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3.xml" ContentType="application/vnd.openxmlformats-officedocument.spreadsheetml.worksheet+xml"/>
  <Override PartName="/xl/chartsheets/sheet2.xml" ContentType="application/vnd.openxmlformats-officedocument.spreadsheetml.chart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 codeName="{B6124F1A-AFFB-F854-7757-9A1D4C6FC43C}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LLB\Documents\Retireator\Excel_2016\"/>
    </mc:Choice>
  </mc:AlternateContent>
  <xr:revisionPtr revIDLastSave="0" documentId="13_ncr:1_{2F78B746-C3D7-43AD-867C-2B654E62A13B}" xr6:coauthVersionLast="47" xr6:coauthVersionMax="47" xr10:uidLastSave="{00000000-0000-0000-0000-000000000000}"/>
  <workbookProtection lockStructure="1"/>
  <bookViews>
    <workbookView xWindow="4200" yWindow="270" windowWidth="22635" windowHeight="15000" tabRatio="611" firstSheet="14" activeTab="15" xr2:uid="{00000000-000D-0000-FFFF-FFFF00000000}"/>
  </bookViews>
  <sheets>
    <sheet name="Sys" sheetId="13" state="hidden" r:id="rId1"/>
    <sheet name="Main" sheetId="4" state="hidden" r:id="rId2"/>
    <sheet name="Economy" sheetId="14" state="hidden" r:id="rId3"/>
    <sheet name="Income" sheetId="5" state="hidden" r:id="rId4"/>
    <sheet name="Expenses" sheetId="12" state="hidden" r:id="rId5"/>
    <sheet name="Portfolio" sheetId="1" state="hidden" r:id="rId6"/>
    <sheet name="Annuitizer" sheetId="18" state="hidden" r:id="rId7"/>
    <sheet name="SSRIB" sheetId="9" state="hidden" r:id="rId8"/>
    <sheet name="Amortizer" sheetId="15" state="hidden" r:id="rId9"/>
    <sheet name="Taxes" sheetId="7" state="hidden" r:id="rId10"/>
    <sheet name="Net Worth" sheetId="19" state="hidden" r:id="rId11"/>
    <sheet name="Annualizer" sheetId="8" state="hidden" r:id="rId12"/>
    <sheet name="DBChart" sheetId="17" state="hidden" r:id="rId13"/>
    <sheet name="Lookup" sheetId="6" state="hidden" r:id="rId14"/>
    <sheet name="Chart" sheetId="16" r:id="rId15"/>
    <sheet name="Readme" sheetId="10" r:id="rId16"/>
    <sheet name="License" sheetId="11" r:id="rId17"/>
  </sheets>
  <functionGroups builtInGroupCount="19"/>
  <definedNames>
    <definedName name="_xlnm._FilterDatabase" localSheetId="8" hidden="1">Amortizer!$B$3:$C$86</definedName>
    <definedName name="_xlnm._FilterDatabase" localSheetId="11" hidden="1">Annualizer!$B$3:$C$169</definedName>
    <definedName name="_xlnm._FilterDatabase" localSheetId="6" hidden="1">Annuitizer!$B$3:$C$86</definedName>
    <definedName name="_xlnm._FilterDatabase" localSheetId="2" hidden="1">Economy!$B$3:$C$152</definedName>
    <definedName name="_xlnm._FilterDatabase" localSheetId="4" hidden="1">Expenses!$B$3:$D$72</definedName>
    <definedName name="_xlnm._FilterDatabase" localSheetId="3" hidden="1">Income!$B$3:$F$301</definedName>
    <definedName name="_xlnm._FilterDatabase" localSheetId="1" hidden="1">Main!$D$49:$E$145</definedName>
    <definedName name="_xlnm._FilterDatabase" localSheetId="10" hidden="1">'Net Worth'!$B$3:$C$169</definedName>
    <definedName name="_xlnm._FilterDatabase" localSheetId="5" hidden="1">Portfolio!$B$3:$F$169</definedName>
    <definedName name="_xlnm._FilterDatabase" localSheetId="7" hidden="1">SSRIB!$B$3:$E$169</definedName>
    <definedName name="_xlnm._FilterDatabase" localSheetId="9" hidden="1">Taxes!$B$3:$F$169</definedName>
    <definedName name="BA_401KBalance">Portfolio!$X$6:$X$7</definedName>
    <definedName name="BA_AnnyBalance">Annuitizer!$V$5</definedName>
    <definedName name="BA_AnnyCostBasis">Annuitizer!$W$5</definedName>
    <definedName name="BA_CoreBalance">Portfolio!$P$6</definedName>
    <definedName name="BA_CoreCostBasis">Portfolio!$Q$6</definedName>
    <definedName name="BA_DebtBalance">Annualizer!$I$6</definedName>
    <definedName name="BA_HECMOriginBalance">Amortizer!$S$4</definedName>
    <definedName name="BA_HECMOriginDate">Amortizer!$R$4</definedName>
    <definedName name="BA_IRABalance">Portfolio!$AZ$6:$AZ$7</definedName>
    <definedName name="BA_MortNper">Amortizer!$K$4</definedName>
    <definedName name="BA_MortOriginBalance">Amortizer!$I$4</definedName>
    <definedName name="BA_MortOriginDate">Amortizer!$H$4</definedName>
    <definedName name="BA_Roth401KBalance">Portfolio!$AE$6:$AE$7</definedName>
    <definedName name="BA_Roth401KCostBasis">Portfolio!$AF$6:$AF$7</definedName>
    <definedName name="BA_RothIRABalance">Portfolio!$BG$6:$BG$7</definedName>
    <definedName name="BA_RothIRACostBasis">Portfolio!$BH$6:$BH$7</definedName>
    <definedName name="BA_RothSolo401KBalance">Portfolio!$AS$6:$AS$7</definedName>
    <definedName name="BA_RothSolo401KCostBasis">Portfolio!$AT$6:$AT$7</definedName>
    <definedName name="BA_Solo401KBalance">Portfolio!$AL$6:$AL$7</definedName>
    <definedName name="EAIDX" localSheetId="8">(SP_CurrentYear-SC_YearEpoch)+(ROW()-ROW(Amortizer!$B$6))</definedName>
    <definedName name="EAIDX" localSheetId="11">(SP_CurrentYear-SC_YearEpoch)+ROUNDDOWN((ROW()-ROW(Annualizer!$B$8))/2,0)</definedName>
    <definedName name="EAIDX" localSheetId="6">(SP_CurrentYear-SC_YearEpoch)+(ROW()-ROW(Annuitizer!$B$6))</definedName>
    <definedName name="EAIDX" localSheetId="2">ROW()-ROW(Economy!$B$5)+1</definedName>
    <definedName name="EAIDX" localSheetId="4">(SP_CurrentYear-SC_YearEpoch)+1</definedName>
    <definedName name="EAIDX" localSheetId="3">ROUNDDOWN((ROW()-ROW(Income!$B$4))/2,0)</definedName>
    <definedName name="EAIDX" localSheetId="1">(SP_CurrentYear-SC_YearEpoch)+1</definedName>
    <definedName name="EAIDX" localSheetId="10">(SP_CurrentYear-SC_YearEpoch)+ROUNDDOWN((ROW()-ROW('Net Worth'!$B$8))/2,0)</definedName>
    <definedName name="EAIDX" localSheetId="5">(SP_CurrentYear-SC_YearEpoch)+ROUNDDOWN((ROW()-ROW(Portfolio!$B$8))/2,0)</definedName>
    <definedName name="EAIDX" localSheetId="7">(SP_CurrentYear-SC_YearEpoch)+ROUNDDOWN((ROW()-ROW(SSRIB!$B$8))/2,0)</definedName>
    <definedName name="EAIDX" localSheetId="9">(SP_CurrentYear-SC_YearEpoch)+ROUNDDOWN((ROW()-ROW(Taxes!$B$8))/2,0)</definedName>
    <definedName name="EXIDX" localSheetId="6">(SP_CurrentYear-SC_YearEpoch)*2+(ROW()-ROW(Annuitizer!$B$6))-1</definedName>
    <definedName name="EXIDX" localSheetId="5">(SP_CurrentYear-SC_YearEpoch)*2+(ROW()-ROW(Portfolio!$B$8))-1</definedName>
    <definedName name="EXIDX" localSheetId="7">(SP_CurrentYear-SC_YearEpoch)*2+(ROW()-ROW(SSRIB!$B$8))-1</definedName>
    <definedName name="EXIDX" localSheetId="9">(SP_CurrentYear-SC_YearEpoch)*2+(ROW()-ROW(Taxes!$B$8))-1</definedName>
    <definedName name="EXIDX1" localSheetId="11">((SP_CurrentYear-SC_YearEpoch)+ROUNDDOWN((ROW()-ROW(Annualizer!$B$8))/2,0))*2-1</definedName>
    <definedName name="EXIDX1" localSheetId="6">((SP_CurrentYear-SC_YearEpoch)+(ROW()-ROW(Annuitizer!$B$6)))*2-1</definedName>
    <definedName name="EXIDX1" localSheetId="10">((SP_CurrentYear-SC_YearEpoch)+ROUNDDOWN((ROW()-ROW('Net Worth'!$B$8))/2,0))*2-1</definedName>
    <definedName name="EXIDX1" localSheetId="9">((SP_CurrentYear-SC_YearEpoch)+ROUNDDOWN((ROW()-ROW(Portfolio!$B$8))/2,0))*2-1</definedName>
    <definedName name="IV_CodeTable">Sys!$B$22:$C$39</definedName>
    <definedName name="IV_FilterRange" localSheetId="8">Amortizer!$B$3:$C$3</definedName>
    <definedName name="IV_FilterRange" localSheetId="11">Annualizer!$B$3:$C$3</definedName>
    <definedName name="IV_FilterRange" localSheetId="6">Annuitizer!$B$3:$C$3</definedName>
    <definedName name="IV_FilterRange" localSheetId="2">Economy!$B$3:$C$3</definedName>
    <definedName name="IV_FilterRange" localSheetId="3">Income!$B$3:$F$3</definedName>
    <definedName name="IV_FilterRange" localSheetId="1">Main!$D$49:$E$49</definedName>
    <definedName name="IV_FilterRange" localSheetId="10">'Net Worth'!$B$3:$C$3</definedName>
    <definedName name="IV_FilterRange" localSheetId="5">Portfolio!$B$3:$F$3</definedName>
    <definedName name="IV_FilterRange" localSheetId="7">SSRIB!$B$3:$E$3</definedName>
    <definedName name="IV_FilterRange" localSheetId="9">Taxes!$B$3:$F$3</definedName>
    <definedName name="IV_IncomeEmployer">OFFSET(SP_EX_IncomeEmployer,(SP_CurrentYear-SC_YearEpoch)*2,-Income!IV_ShadowOffset,2,1)</definedName>
    <definedName name="IV_IncomePassive">OFFSET(SP_EX_IncomePassive,(SP_CurrentYear-SC_YearEpoch)*2,-Income!IV_ShadowOffset,2,1)</definedName>
    <definedName name="IV_IncomeSE">OFFSET(SP_EX_IncomeSE,(SP_CurrentYear-SC_YearEpoch)*2,-Income!IV_ShadowOffset,2,1)</definedName>
    <definedName name="IV_MacroLinks">Main!$I$5,Main!$I$7,Main!$I$10,Main!$I$21,Main!$I$22,Main!$I$23,Main!$I$24,Main!$I$52,Main!$I$53,Main!$I$54,Main!$I$55,Main!$I$56,Main!$I$57,Main!$I$62,Main!$I$63,Main!$I$88,Main!$I$89,Main!$I$106,Main!$I$107</definedName>
    <definedName name="IV_Output" localSheetId="2">OFFSET(Economy!$W$5,,,SC_VersionMaj-SC_YearEpoch+SC_MaxForecastYears)</definedName>
    <definedName name="IV_Output" localSheetId="4">Expenses!$O$4:$O$43</definedName>
    <definedName name="IV_Output" localSheetId="3">OFFSET(Income!$AM$6,,,(SC_VersionMaj-SC_YearEpoch+SC_MaxForecastYears)*2)</definedName>
    <definedName name="IV_Output" localSheetId="1">Main!$M$4:$M$127</definedName>
    <definedName name="IV_ShadowOffset" localSheetId="2">4</definedName>
    <definedName name="IV_ShadowOffset" localSheetId="4">4</definedName>
    <definedName name="IV_ShadowOffset" localSheetId="3">4</definedName>
    <definedName name="IV_ShadowOffset" localSheetId="1">2</definedName>
    <definedName name="IV_ShadowOffset" localSheetId="0">4</definedName>
    <definedName name="IV_WBNAME">"["&amp;GET.CELL(66,Sys!$A$1)&amp;"]"</definedName>
    <definedName name="LT_AnnuityLifeTable">Lookup!$B$123:$H$243</definedName>
    <definedName name="LT_AnnuityMaxAge">Lookup!$B$243</definedName>
    <definedName name="LT_HECMMaxLoan">Lookup!$C$245</definedName>
    <definedName name="LT_IncomeTaxFed">OFFSET(Lookup!$C$24:$G$30, MATCH(SP_FilingStatus,Lookup!$B$24:$B$54, 0)-1, 0)</definedName>
    <definedName name="LT_InvestmentBonds" localSheetId="5">IF(LT_InvestmentDynamic,VLOOKUP(INDEX(SC_ZX_YearsToRetirement, Portfolio!ZXIDX1),Lookup!$D$112:$H$117,3,TRUE), INDEX(Lookup!$F$112:$F$118, MATCH(SP_InvestmentStrategy, Lookup!$B$112:$B$118, 0)))</definedName>
    <definedName name="LT_InvestmentDynamic">INDEX(Lookup!$C$112:$C$119, MATCH(SP_InvestmentStrategy,Lookup!$B$112:$B$119, 0))</definedName>
    <definedName name="LT_InvestmentQDI" localSheetId="5">IF(LT_InvestmentDynamic,VLOOKUP(INDEX(SC_ZX_YearsToRetirement, Portfolio!ZXIDX1),Lookup!$D$112:$H$117,5,TRUE), INDEX(Lookup!$H$112:$H$118, MATCH(SP_InvestmentStrategy, Lookup!$B$112:$B$118, 0)))</definedName>
    <definedName name="LT_InvestmentStocks" localSheetId="5">IF(LT_InvestmentDynamic,VLOOKUP(INDEX(SC_ZX_YearsToRetirement, Portfolio!ZXIDX1),Lookup!$D$112:$H$117,2,TRUE), INDEX(Lookup!$E$112:$E$118, MATCH(SP_InvestmentStrategy, Lookup!$B$112:$B$118, 0)))</definedName>
    <definedName name="LT_MedicareRate">Lookup!$C$9</definedName>
    <definedName name="LT_PersonalExemptAmt">Lookup!$C$15</definedName>
    <definedName name="LT_RealtorFees">Lookup!$C$246</definedName>
    <definedName name="LT_SSBases">OFFSET(Lookup!$I$24:$K$26, MATCH(SP_FilingStatus,Lookup!$B$24:$B$54, 0)-1, 0)</definedName>
    <definedName name="LT_SSMaxCredit">Lookup!$C$13</definedName>
    <definedName name="LT_SSOneCredit">Lookup!$C$12</definedName>
    <definedName name="LT_SSPIA">Lookup!$B$19:$C$21</definedName>
    <definedName name="LT_SSRate">Lookup!$C$7</definedName>
    <definedName name="LT_StandardDeduction">OFFSET(Lookup!$M$24, MATCH(SP_FilingStatus,Lookup!$B$24:$B$54, 0)-1, 0)</definedName>
    <definedName name="LT_StateTax">Lookup!$C$57:$H$108</definedName>
    <definedName name="PMADVANCED">32</definedName>
    <definedName name="PMBASIC">16</definedName>
    <definedName name="SC_AnnyPmntPr">Main!$I$43</definedName>
    <definedName name="SC_CurrentDatePr">Main!$I$6</definedName>
    <definedName name="SC_DataMode">Sys!$D$5</definedName>
    <definedName name="SC_EA_ARBonds">OFFSET(Economy!$P$5,0,0,SC_VersionMaj+SC_MaxForecastYears-SC_YearEpoch)</definedName>
    <definedName name="SC_EA_InflationCPIdx">OFFSET(Economy!$R$5,0,0,SC_VersionMaj+SC_MaxForecastYears-SC_YearEpoch)</definedName>
    <definedName name="SC_EA_InflationWageIdx">OFFSET(Economy!$Q$5,0,0,SC_VersionMaj+SC_MaxForecastYears-SC_YearEpoch)</definedName>
    <definedName name="SC_EA_SSBendPts">OFFSET(Economy!$T$5:$U$5,0,0,SC_VersionMaj+SC_MaxForecastYears-SC_YearEpoch)</definedName>
    <definedName name="SC_EA_SSCOLA">OFFSET(Economy!$V$5,0,0,SC_VersionMaj+SC_MaxForecastYears-SC_YearEpoch)</definedName>
    <definedName name="SC_EA_SSWageBase">OFFSET(Economy!$S$5,0,0,SC_VersionMaj+SC_MaxForecastYears-SC_YearEpoch)</definedName>
    <definedName name="SC_EX_Age">OFFSET(Income!$I$6,0,0,(SC_YearStop-SC_YearEpoch)*2)</definedName>
    <definedName name="SC_EX_APW">OFFSET(Income!$K$6,0,0,(SC_YearStop-SC_YearEpoch)*2)</definedName>
    <definedName name="SC_EX_IncomeActiveA">OFFSET(Income!$AK$6,0,0,(SC_YearStop-SC_YearEpoch)*2)</definedName>
    <definedName name="SC_EX_IncomeActiveT">OFFSET(Income!$AF$6,0,0,(SC_YearStop-SC_YearEpoch)*2)</definedName>
    <definedName name="SC_EX_IncomeEmployer">OFFSET(Income!$T$6,0,0,(SC_YearStop-SC_YearEpoch)*2)</definedName>
    <definedName name="SC_EX_IncomePassive">OFFSET(Income!$R$6,0,0,(SC_YearStop-SC_YearEpoch)*2)</definedName>
    <definedName name="SC_EX_IncomePassiveA">OFFSET(Income!$AL$6,0,0,(SC_YearStop-SC_YearEpoch)*2)</definedName>
    <definedName name="SC_EX_IncomePassiveT">OFFSET(Income!$AG$6,0,0,(SC_YearStop-SC_YearEpoch)*2)</definedName>
    <definedName name="SC_EX_IncomeSE">OFFSET(Income!$U$6,0,0,(SC_YearStop-SC_YearEpoch)*2)</definedName>
    <definedName name="SC_EX_MedicareWages">OFFSET(Income!$V$6,0,0,(SC_YearStop-SC_YearEpoch)*2)</definedName>
    <definedName name="SC_EX_MedicareWagesSE">OFFSET(Income!$W$6,0,0,(SC_YearStop-SC_YearEpoch)*2)</definedName>
    <definedName name="SC_EX_PreFICADeduct">OFFSET(Income!$S$6,0,0,(SC_YearStop-SC_YearEpoch)*2)</definedName>
    <definedName name="SC_EX_RN">OFFSET(Income!$G$6,0,0,(SC_YearStop-SC_YearEpoch)*2)</definedName>
    <definedName name="SC_EX_RolloverAnny">OFFSET(Income!$AI$6,0,0,(SC_YearStop-SC_YearEpoch)*2)</definedName>
    <definedName name="SC_EX_RolloverCore">OFFSET(Income!$AH$6,0,0,(SC_YearStop-SC_YearEpoch)*2)</definedName>
    <definedName name="SC_EX_SSAIME">OFFSET(Income!$AB$6,0,0,(SC_YearStop-SC_YearEpoch)*2)</definedName>
    <definedName name="SC_EX_SSIDXBY">OFFSET(Income!$Z$6,0,0,(SC_YearStop-SC_YearEpoch)*2)</definedName>
    <definedName name="SC_EX_SSIDXCOLA">OFFSET(Income!$AC$6,0,0,(SC_YearStop-SC_YearEpoch)*2)</definedName>
    <definedName name="SC_EX_SSWages">OFFSET(Income!$X$6,0,0,(SC_YearStop-SC_YearEpoch)*2)</definedName>
    <definedName name="SC_EX_SSWagesSE">OFFSET(Income!$Y$6,0,0,(SC_YearStop-SC_YearEpoch)*2)</definedName>
    <definedName name="SC_EX_SSWorkCredits">OFFSET(Income!$AA$6,0,0,(SC_YearStop-SC_YearEpoch)*2)</definedName>
    <definedName name="SC_ExpensesLiving">Expenses!$E$48:$F$48</definedName>
    <definedName name="SC_ExpensesLivingD">Expenses!$E$46:$F$47</definedName>
    <definedName name="SC_ExpensesLivingPF">Expenses!$E$44:$F$45</definedName>
    <definedName name="SC_ForecastYears">OFFSET(Economy!$B$5,SP_CurrentYear-SC_YearEpoch,,SC_YearStop-SP_CurrentYear)</definedName>
    <definedName name="SC_HECMNper">Expenses!$E$17</definedName>
    <definedName name="SC_HECMPLF">Expenses!$E$19</definedName>
    <definedName name="SC_MaxForecastYears">Sys!$D$7</definedName>
    <definedName name="SC_MaxForecastYearsEx">Sys!$D$8</definedName>
    <definedName name="SC_ParameterMode">IF(SP_ParameterMode = "Advanced", PMADVANCED, PMBASIC)</definedName>
    <definedName name="SC_ShowRetireatee">Main!$I$50:$I$51</definedName>
    <definedName name="SC_SSABFD">Main!$J$126:$J$127</definedName>
    <definedName name="SC_SSABPct">Main!$I$142:$I$143</definedName>
    <definedName name="SC_SSBaseYear">Main!$I$130:$I$131</definedName>
    <definedName name="SC_SSCalcYears">{1,2,3,4,5,6,7,8,9,10,11,12,13,14,15,16,17,18,19,20,21,22,23,24,25,26,27,28,29,30,31,32,33,34,35}</definedName>
    <definedName name="SC_SSCreditsNeeded">Main!$I$136:$I$137</definedName>
    <definedName name="SC_SSDelayedCredit">Main!$I$138:$I$139</definedName>
    <definedName name="SC_SSDFA">Main!$I$134:$I$135</definedName>
    <definedName name="SC_SSDFD">Main!$J$134:$J$135</definedName>
    <definedName name="SC_SSFRA">Main!$I$132:$I$133</definedName>
    <definedName name="SC_SSFRD">Main!$J$132:$J$133</definedName>
    <definedName name="SC_SSPBFD">Main!$J$124:$J$125</definedName>
    <definedName name="SC_SSPBPct">Main!$I$140:$I$141</definedName>
    <definedName name="SC_SSSBPct">Main!$I$144:$I$145</definedName>
    <definedName name="SC_SurvivingAge">Main!$I$58:$I$59</definedName>
    <definedName name="SC_TargetRY">YEAR(SP_TargetRD)</definedName>
    <definedName name="SC_TaxIndex">Sys!$D$19:$E$19</definedName>
    <definedName name="SC_VersionMaj">Sys!$D$3</definedName>
    <definedName name="SC_VersionMin">Sys!$F$3</definedName>
    <definedName name="SC_ViewMode">Sys!$D$4</definedName>
    <definedName name="SC_YearEpoch">Sys!$D$6</definedName>
    <definedName name="SC_YearStop">Main!$I$8</definedName>
    <definedName name="SC_ZA_AnnyBalanceAT">OFFSET(Annuitizer!$AI$7,0,0,SC_YearStop-SP_CurrentYear)</definedName>
    <definedName name="SC_ZA_AnnyBalanceBT">OFFSET(Annuitizer!$AH$7,0,0,SC_YearStop-SP_CurrentYear)</definedName>
    <definedName name="SC_ZA_AnnyContrib">OFFSET(Annuitizer!$AD$7,0,0,SC_YearStop-SP_CurrentYear)</definedName>
    <definedName name="SC_ZA_AnnyROR">OFFSET(Annuitizer!$U$7,0,0,SC_YearStop-SP_CurrentYear)</definedName>
    <definedName name="SC_ZA_AnnyWeight">OFFSET(Annuitizer!$AC$7,0,0,SC_YearStop-SP_CurrentYear)</definedName>
    <definedName name="SC_ZA_ExpensesHome">OFFSET(Amortizer!$Z$7,0,0,SC_YearStop-SP_CurrentYear)</definedName>
    <definedName name="SC_ZA_ExpensesHomeD">OFFSET(Amortizer!$X$7:$Y$7,0,0,SC_YearStop-SP_CurrentYear)</definedName>
    <definedName name="SC_ZA_HECMLumpSum">OFFSET(Amortizer!$U$7,0,0,SC_YearStop-SP_CurrentYear)</definedName>
    <definedName name="SC_ZA_HomeEquity">OFFSET(Amortizer!$W$7,0,0,SC_YearStop-SP_CurrentYear)</definedName>
    <definedName name="SC_ZA_IncomeAnny">OFFSET(Annuitizer!$AG$7,0,0,SC_YearStop-SP_CurrentYear)</definedName>
    <definedName name="SC_ZA_IncomeAnnyT">OFFSET(Annuitizer!$AE$7,0,0,SC_YearStop-SP_CurrentYear)</definedName>
    <definedName name="SC_ZA_MortBalance">OFFSET(Amortizer!$I$7,0,0,SC_YearStop-SP_CurrentYear)</definedName>
    <definedName name="SC_ZA_MortPpmt">OFFSET(Amortizer!$M$7,0,0,SC_YearStop-SP_CurrentYear)</definedName>
    <definedName name="SC_ZX_AnnyBalanceAT">OFFSET('Net Worth'!$L$10,0,0,(SC_YearStop-SP_CurrentYear)*2)</definedName>
    <definedName name="SC_ZX_AnnyBalanceBT">OFFSET('Net Worth'!$K$10,0,0,(SC_YearStop-SP_CurrentYear)*2)</definedName>
    <definedName name="SC_ZX_AnnyPV">OFFSET('Net Worth'!$N$10,0,0,(SC_YearStop-SP_CurrentYear)*2)</definedName>
    <definedName name="SC_ZX_ARPortfolio">OFFSET(Portfolio!$O$10,0,0,(SC_YearStop-SP_CurrentYear)*2)</definedName>
    <definedName name="SC_ZX_BalanceAccessibleA">OFFSET(Portfolio!$BV$10,0,0,(SC_YearStop-SP_CurrentYear)*2)</definedName>
    <definedName name="SC_ZX_BalanceAT">OFFSET('Net Worth'!$J$10,0,0,(SC_YearStop-SP_CurrentYear)*2)</definedName>
    <definedName name="SC_ZX_BalanceATA">OFFSET(Portfolio!$BX$10,0,0,(SC_YearStop-SP_CurrentYear)*2)</definedName>
    <definedName name="SC_ZX_BalanceBT">OFFSET('Net Worth'!$I$10,0,0,(SC_YearStop-SP_CurrentYear)*2)</definedName>
    <definedName name="SC_ZX_BalanceBTA">OFFSET(Portfolio!$BW$10,0,0,(SC_YearStop-SP_CurrentYear)*2)</definedName>
    <definedName name="SC_ZX_BalancePV">OFFSET('Net Worth'!$M$10,0,0,(SC_YearStop-SP_CurrentYear)*2)</definedName>
    <definedName name="SC_ZX_CodeA">OFFSET(Annualizer!$Z$10,0,0,(SC_YearStop-SP_CurrentYear)*2)</definedName>
    <definedName name="SC_ZX_Debt">OFFSET(Annualizer!$I$10,0,0,(SC_YearStop-SP_CurrentYear)*2)</definedName>
    <definedName name="SC_ZX_DebtInterest">OFFSET(Annualizer!$S$10,0,0,(SC_YearStop-SP_CurrentYear)*2)</definedName>
    <definedName name="SC_ZX_DebtNW">OFFSET('Net Worth'!$Q$10,0,0,(SC_YearStop-SP_CurrentYear)*2)</definedName>
    <definedName name="SC_ZX_Drawdown">OFFSET(Annualizer!$W$10,0,0,(SC_YearStop-SP_CurrentYear)*2)</definedName>
    <definedName name="SC_ZX_EffectiveTaxRateA">OFFSET(Taxes!$AK$10,0,0,(SC_YearStop-SP_CurrentYear)*2)</definedName>
    <definedName name="SC_ZX_Expenses">OFFSET(Annualizer!$Q$10,0,0,(SC_YearStop-SP_CurrentYear)*2)</definedName>
    <definedName name="SC_ZX_IncomeActive">OFFSET(Annualizer!$J$10,0,0,(SC_YearStop-SP_CurrentYear)*2)</definedName>
    <definedName name="SC_ZX_IncomeAnny">OFFSET(Annualizer!$L$10,0,0,(SC_YearStop-SP_CurrentYear)*2)</definedName>
    <definedName name="SC_ZX_IncomeCapital">OFFSET(Annualizer!$N$10,0,0,(SC_YearStop-SP_CurrentYear)*2)</definedName>
    <definedName name="SC_ZX_IncomeCapitalA">OFFSET(Portfolio!$BU$10,0,0,(SC_YearStop-SP_CurrentYear)*2)</definedName>
    <definedName name="SC_ZX_IncomeCapitalT">OFFSET(Portfolio!$BR$10,0,0,(SC_YearStop-SP_CurrentYear)*2)</definedName>
    <definedName name="SC_ZX_IncomeGross">OFFSET(Annualizer!$O$10,0,0,(SC_YearStop-SP_CurrentYear)*2)</definedName>
    <definedName name="SC_ZX_IncomePassive">OFFSET(Annualizer!$K$10,0,0,(SC_YearStop-SP_CurrentYear)*2)</definedName>
    <definedName name="SC_ZX_IncomeSS">OFFSET(Annualizer!$M$10,0,0,(SC_YearStop-SP_CurrentYear)*2)</definedName>
    <definedName name="SC_ZX_IncomeSurplus">OFFSET(Annualizer!$X$10,0,0,(SC_YearStop-SP_CurrentYear)*2)</definedName>
    <definedName name="SC_ZX_IRAContribA">OFFSET(Portfolio!$BT$10,0,0,(SC_YearStop-SP_CurrentYear)*2)</definedName>
    <definedName name="SC_ZX_IRAContribD">OFFSET(Portfolio!$BN$10,0,0,(SC_YearStop-SP_CurrentYear)*2)</definedName>
    <definedName name="SC_ZX_LTCapitalGains">OFFSET(Portfolio!$BP$10,0,0,(SC_YearStop-SP_CurrentYear)*2)</definedName>
    <definedName name="SC_ZX_LumpSums">OFFSET(Annualizer!$R$10,0,0,(SC_YearStop-SP_CurrentYear)*2)</definedName>
    <definedName name="SC_ZX_OtherPV">OFFSET('Net Worth'!$P$10,0,0,(SC_YearStop-SP_CurrentYear)*2)</definedName>
    <definedName name="SC_ZX_RN">OFFSET(SSRIB!$F$10,0,0,(SC_YearStop-SP_CurrentYear)*2)</definedName>
    <definedName name="SC_ZX_SavingsContrib">OFFSET(Annualizer!$P$10,0,0,(SC_YearStop-SP_CurrentYear)*2)</definedName>
    <definedName name="SC_ZX_SavingsGoal">OFFSET(Annualizer!$Y$10,0,0,(SC_YearStop-SP_CurrentYear)*2)</definedName>
    <definedName name="SC_ZX_SSPV">OFFSET('Net Worth'!$O$10,0,0,(SC_YearStop-SP_CurrentYear)*2)</definedName>
    <definedName name="SC_ZX_SSPVA">OFFSET(SSRIB!$V$10,0,0,(SC_YearStop-SP_CurrentYear)*2)</definedName>
    <definedName name="SC_ZX_SSRIB">OFFSET(SSRIB!$U$10,0,0,(SC_YearStop-SP_CurrentYear)*2)</definedName>
    <definedName name="SC_ZX_SSRIBA">OFFSET(SSRIB!$W$10,0,0,(SC_YearStop-SP_CurrentYear)*2)</definedName>
    <definedName name="SC_ZX_TotalTaxes">OFFSET(Annualizer!$T$10,0,0,(SC_YearStop-SP_CurrentYear)*2)</definedName>
    <definedName name="SC_ZX_TotalTaxesA">OFFSET(Taxes!$AJ$10,0,0,(SC_YearStop-SP_CurrentYear)*2)</definedName>
    <definedName name="SC_ZX_ValueType">OFFSET(Annualizer!$C$10,0,0,(SC_YearStop-SP_CurrentYear)*2)</definedName>
    <definedName name="SC_ZX_Year">OFFSET(Annualizer!$B$10,0,0,(SC_YearStop-SP_CurrentYear)*2)</definedName>
    <definedName name="SC_ZX_YearsToRetirement">OFFSET(Portfolio!$N$10,0,0,(SC_YearStop-SP_CurrentYear)*2)</definedName>
    <definedName name="SP_401KBalance">Main!$K$76:$K$77</definedName>
    <definedName name="SP_401KContrib">Main!$K$74:$K$75</definedName>
    <definedName name="SP_401KDistribAge">Main!$K$86:$K$87</definedName>
    <definedName name="SP_401KMatch">Main!$K$78:$K$79</definedName>
    <definedName name="SP_AdditionalRI">Main!$K$28</definedName>
    <definedName name="SP_AdjustedDate">Sys!$H$11</definedName>
    <definedName name="SP_AnnyBalance">Main!$K$40</definedName>
    <definedName name="SP_AnnyCeiling">Main!$K$34</definedName>
    <definedName name="SP_AnnyContrib">Main!$K$39</definedName>
    <definedName name="SP_AnnyCostBasis">Main!$K$41</definedName>
    <definedName name="SP_AnnyFees">Main!$K$36</definedName>
    <definedName name="SP_AnnyFloor">Main!$K$35</definedName>
    <definedName name="SP_AnnyInflation">Main!$K$32</definedName>
    <definedName name="SP_AnnyParticipation">Main!$K$33</definedName>
    <definedName name="SP_AnnyPeriod">Main!$K$38</definedName>
    <definedName name="SP_AnnyRate">Main!$K$31</definedName>
    <definedName name="SP_AnnySurvivor">Main!$K$37</definedName>
    <definedName name="SP_AnnyTerms">Main!$K$30</definedName>
    <definedName name="SP_ARStocksDef">Main!$K$13</definedName>
    <definedName name="SP_ASD">Sys!$H$12</definedName>
    <definedName name="SP_AWI">Main!$K$11</definedName>
    <definedName name="SP_BirthDate">Main!$K$52:$K$53</definedName>
    <definedName name="SP_BondYieldDef">Main!$K$14</definedName>
    <definedName name="SP_CoreBalance">Main!$K$25</definedName>
    <definedName name="SP_CoreCostBasis">Main!$K$26</definedName>
    <definedName name="SP_CPI">Main!$K$12</definedName>
    <definedName name="SP_CurrencyMode">Main!$K$16</definedName>
    <definedName name="SP_CurrentDate">Main!$K$4</definedName>
    <definedName name="SP_CurrentYear">Main!$K$7</definedName>
    <definedName name="SP_DebtBalance">Main!$K$45</definedName>
    <definedName name="SP_DebtLimit">Main!$K$44</definedName>
    <definedName name="SP_DebtRate">Main!$K$46</definedName>
    <definedName name="SP_DeductionsLiving">Expenses!$K$22:$K$43</definedName>
    <definedName name="SP_Dependents">Main!$K$60:$K$61</definedName>
    <definedName name="SP_EA_ARStocks">OFFSET(Economy!$J$5,0,0,SC_VersionMaj+SC_MaxForecastYears-SC_YearEpoch)</definedName>
    <definedName name="SP_EA_BondYield">OFFSET(Economy!$K$5,0,0,SC_VersionMaj+SC_MaxForecastYears-SC_YearEpoch)</definedName>
    <definedName name="SP_EA_InflationCPRate">OFFSET(Economy!$I$5,0,0,SC_VersionMaj+SC_MaxForecastYears-SC_YearEpoch)</definedName>
    <definedName name="SP_EA_InflationWageRate">OFFSET(Economy!$H$5,0,0,SC_VersionMaj+SC_MaxForecastYears-SC_YearEpoch)</definedName>
    <definedName name="SP_EI">Sys!$H$13</definedName>
    <definedName name="SP_EX_IncomeEmployer">OFFSET(Income!$P$6,0,0,(SC_VersionMaj+SC_MaxForecastYears-SC_YearEpoch)*2)</definedName>
    <definedName name="SP_EX_IncomePassive">OFFSET(Income!$R$6,0,0,(SC_VersionMaj+SC_MaxForecastYears-SC_YearEpoch)*2)</definedName>
    <definedName name="SP_EX_IncomeSE">OFFSET(Income!$Q$6,0,0,(SC_VersionMaj+SC_MaxForecastYears-SC_YearEpoch)*2)</definedName>
    <definedName name="SP_EX_PreFICADeduct">OFFSET(Income!$S$6,0,0,(SC_VersionMaj+SC_MaxForecastYears-SC_YearEpoch)*2)</definedName>
    <definedName name="SP_ExpensesLiving">Expenses!$I$22:$J$43</definedName>
    <definedName name="SP_ExpensesTags">Expenses!$H$39:$H$43</definedName>
    <definedName name="SP_FilingStatus">Main!$K$22</definedName>
    <definedName name="SP_HECMOriginBalance">Expenses!$I$16</definedName>
    <definedName name="SP_HECMOriginDate">Expenses!$I$15</definedName>
    <definedName name="SP_HECMRate">Expenses!$I$18</definedName>
    <definedName name="SP_HM">Sys!$H$16</definedName>
    <definedName name="SP_HomeIns">Expenses!$I$12</definedName>
    <definedName name="SP_HomeValue">Expenses!$I$4</definedName>
    <definedName name="SP_IncomeEmployerAdj">Main!$K$64:$K$65</definedName>
    <definedName name="SP_IncomePassiveAdj">Main!$K$108:$K$109</definedName>
    <definedName name="SP_IncomeSEAdj">Main!$K$90:$K$91</definedName>
    <definedName name="SP_Initials">Main!$K$23:$K$24</definedName>
    <definedName name="SP_InvestmentStrategy">Main!$K$15</definedName>
    <definedName name="SP_IRABalance">Main!$K$114:$K$115</definedName>
    <definedName name="SP_IRAContrib">Main!$K$110:$K$111</definedName>
    <definedName name="SP_IRADistribAge">Main!$K$122:$K$123</definedName>
    <definedName name="SP_IRASpousalContrib">Main!$K$112:$K$113</definedName>
    <definedName name="SP_LifeExp">Main!$K$56:$K$57</definedName>
    <definedName name="SP_LumpSumAmounts">Expenses!$J$53:$J$57</definedName>
    <definedName name="SP_LumpSumTags">Expenses!$H$53:$H$57</definedName>
    <definedName name="SP_LumpSumYears">Expenses!$I$53:$I$57</definedName>
    <definedName name="SP_MaritalStatus">Main!$K$21</definedName>
    <definedName name="SP_MortDeduct">Expenses!$K$9:$K$13</definedName>
    <definedName name="SP_MortExtraPayment">Expenses!$I$13</definedName>
    <definedName name="SP_MortNper">Expenses!$I$7</definedName>
    <definedName name="SP_MortOriginBalance">Expenses!$I$6</definedName>
    <definedName name="SP_MortOriginDate">Expenses!$I$5</definedName>
    <definedName name="SP_MortRate">Expenses!$I$8</definedName>
    <definedName name="SP_OtherAssets">Main!$K$27</definedName>
    <definedName name="SP_ParameterMode">Sys!$H$10</definedName>
    <definedName name="SP_PensionFAE">Main!$K$68:$K$69</definedName>
    <definedName name="SP_PensionPayout">Main!$K$72:$K$73</definedName>
    <definedName name="SP_PensionPCT">Main!$K$70:$K$71</definedName>
    <definedName name="SP_PensionSWD">Main!$K$66:$K$67</definedName>
    <definedName name="SP_PIIRP">Sys!$H$15</definedName>
    <definedName name="SP_RealEstateTax">Expenses!$I$11</definedName>
    <definedName name="SP_Roth401KBalance">Main!$K$82:$K$83</definedName>
    <definedName name="SP_Roth401KContrib">Main!$K$80:$K$81</definedName>
    <definedName name="SP_Roth401KCostBasis">Main!$K$84:$K$85</definedName>
    <definedName name="SP_RothIRABalance">Main!$K$118:$K$119</definedName>
    <definedName name="SP_RothIRAContrib">Main!$K$116:$K$117</definedName>
    <definedName name="SP_RothIRACostBasis">Main!$K$120:$K$121</definedName>
    <definedName name="SP_RothSolo401KBalance">Main!$K$100:$K$101</definedName>
    <definedName name="SP_RothSolo401KContrib">Main!$K$98:$K$99</definedName>
    <definedName name="SP_RothSolo401KCostBasis">Main!$K$102:$K$103</definedName>
    <definedName name="SP_SEI">Sys!$H$14</definedName>
    <definedName name="SP_Solo401KBalance">Main!$K$94:$K$95</definedName>
    <definedName name="SP_Solo401KContrib">Main!$K$92:$K$93</definedName>
    <definedName name="SP_Solo401KDistribAge">Main!$K$104:$K$105</definedName>
    <definedName name="SP_Solo401KMatch">Main!$K$96:$K$97</definedName>
    <definedName name="SP_SSABFA">Main!$K$126:$K$127</definedName>
    <definedName name="SP_SSPBFA">Main!$K$124:$K$125</definedName>
    <definedName name="SP_SSRIB">Sys!$H$17</definedName>
    <definedName name="SP_StartWorkAge">Main!$K$54:$K$55</definedName>
    <definedName name="SP_TargetRD">Main!$K$9</definedName>
    <definedName name="SP_Taxes">Main!$K$29</definedName>
    <definedName name="VMDEBUG">8</definedName>
    <definedName name="VMMACRO">4</definedName>
    <definedName name="VMONLINE">2</definedName>
    <definedName name="VMWIPED">1</definedName>
    <definedName name="ZAIDX" localSheetId="11">ROUNDDOWN((ROW()-ROW(Annualizer!$B$10))/2,0)+1</definedName>
    <definedName name="ZAIDX" localSheetId="6">ROW()-ROW(Annuitizer!$B$6)</definedName>
    <definedName name="ZAIDX" localSheetId="10">ROUNDDOWN((ROW()-ROW('Net Worth'!$B$10))/2,0)+1</definedName>
    <definedName name="ZAIDX" localSheetId="5">ROUNDDOWN((ROW()-ROW(Portfolio!$B$10))/2,0)+1</definedName>
    <definedName name="ZAIDX" localSheetId="9">ROUNDDOWN((ROW()-ROW(Taxes!$B$10))/2,0)+1</definedName>
    <definedName name="ZXIDX" localSheetId="5">(ROW()-ROW(Portfolio!$B$10))*2+1</definedName>
    <definedName name="ZXIDX1" localSheetId="11">(ROUNDDOWN((ROW()-ROW(Annualizer!$B$10))/2,0))*2+1</definedName>
    <definedName name="ZXIDX1" localSheetId="10">(ROUNDDOWN((ROW()-ROW('Net Worth'!$B$10))/2,0))*2+1</definedName>
    <definedName name="ZXIDX1" localSheetId="5">(ROUNDDOWN((ROW()-ROW(Portfolio!$B$10))/2,0))*2+1</definedName>
    <definedName name="ZXIDX1" localSheetId="7">(ROUNDDOWN((ROW()-ROW(SSRIB!$B$10))/2,0))*2+1</definedName>
    <definedName name="ZXIDX1" localSheetId="9">(ROUNDDOWN((ROW()-ROW(Taxes!$B$10))/2,0))*2+1</definedName>
    <definedName name="ZXIDX2" localSheetId="5">(ROUNDDOWN((ROW()-ROW(Portfolio!$B$10))/2,0))*2+2</definedName>
  </definedNames>
  <calcPr calcId="181029" iterate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301" i="5" l="1"/>
  <c r="G301" i="5"/>
  <c r="H300" i="5"/>
  <c r="G300" i="5"/>
  <c r="K67" i="4" l="1"/>
  <c r="AD301" i="5" s="1"/>
  <c r="K66" i="4"/>
  <c r="AD300" i="5" s="1"/>
  <c r="L67" i="4"/>
  <c r="L66" i="4"/>
  <c r="L127" i="4"/>
  <c r="K127" i="4" s="1"/>
  <c r="L126" i="4"/>
  <c r="L125" i="4"/>
  <c r="K125" i="4" s="1"/>
  <c r="L124" i="4"/>
  <c r="K124" i="4" s="1"/>
  <c r="K126" i="4"/>
  <c r="A1" i="11" l="1"/>
  <c r="A8" i="10"/>
  <c r="A7" i="10"/>
  <c r="A6" i="10"/>
  <c r="A5" i="10"/>
  <c r="A4" i="10"/>
  <c r="A3" i="10"/>
  <c r="A2" i="10"/>
  <c r="A1" i="10"/>
  <c r="A1" i="6"/>
  <c r="A3" i="8"/>
  <c r="A2" i="8"/>
  <c r="Z1" i="8"/>
  <c r="Y1" i="8"/>
  <c r="X1" i="8"/>
  <c r="W1" i="8"/>
  <c r="V1" i="8"/>
  <c r="U1" i="8"/>
  <c r="T1" i="8"/>
  <c r="S1" i="8"/>
  <c r="R1" i="8"/>
  <c r="Q1" i="8"/>
  <c r="P1" i="8"/>
  <c r="O1" i="8"/>
  <c r="N1" i="8"/>
  <c r="M1" i="8"/>
  <c r="L1" i="8"/>
  <c r="K1" i="8"/>
  <c r="J1" i="8"/>
  <c r="I1" i="8"/>
  <c r="H1" i="8"/>
  <c r="E1" i="8"/>
  <c r="D1" i="8"/>
  <c r="C1" i="8"/>
  <c r="B1" i="8"/>
  <c r="A1" i="8"/>
  <c r="A3" i="19"/>
  <c r="A2" i="19"/>
  <c r="R1" i="19"/>
  <c r="Q1" i="19"/>
  <c r="P1" i="19"/>
  <c r="O1" i="19"/>
  <c r="N1" i="19"/>
  <c r="M1" i="19"/>
  <c r="L1" i="19"/>
  <c r="K1" i="19"/>
  <c r="J1" i="19"/>
  <c r="I1" i="19"/>
  <c r="H1" i="19"/>
  <c r="E1" i="19"/>
  <c r="D1" i="19"/>
  <c r="C1" i="19"/>
  <c r="B1" i="19"/>
  <c r="A1" i="19"/>
  <c r="A3" i="7"/>
  <c r="A2" i="7"/>
  <c r="AK1" i="7"/>
  <c r="AJ1" i="7"/>
  <c r="AI1" i="7"/>
  <c r="AH1" i="7"/>
  <c r="AG1" i="7"/>
  <c r="AF1" i="7"/>
  <c r="AE1" i="7"/>
  <c r="AD1" i="7"/>
  <c r="AC1" i="7"/>
  <c r="AB1" i="7"/>
  <c r="AA1" i="7"/>
  <c r="Z1" i="7"/>
  <c r="Y1" i="7"/>
  <c r="X1" i="7"/>
  <c r="W1" i="7"/>
  <c r="V1" i="7"/>
  <c r="U1" i="7"/>
  <c r="T1" i="7"/>
  <c r="S1" i="7"/>
  <c r="R1" i="7"/>
  <c r="Q1" i="7"/>
  <c r="P1" i="7"/>
  <c r="O1" i="7"/>
  <c r="N1" i="7"/>
  <c r="M1" i="7"/>
  <c r="L1" i="7"/>
  <c r="K1" i="7"/>
  <c r="J1" i="7"/>
  <c r="I1" i="7"/>
  <c r="H1" i="7"/>
  <c r="G1" i="7"/>
  <c r="F1" i="7"/>
  <c r="E1" i="7"/>
  <c r="C1" i="7"/>
  <c r="B1" i="7"/>
  <c r="A1" i="7"/>
  <c r="A3" i="15"/>
  <c r="A2" i="15"/>
  <c r="Z1" i="15"/>
  <c r="V1" i="15"/>
  <c r="U1" i="15"/>
  <c r="T1" i="15"/>
  <c r="S1" i="15"/>
  <c r="R1" i="15"/>
  <c r="Q1" i="15"/>
  <c r="P1" i="15"/>
  <c r="O1" i="15"/>
  <c r="N1" i="15"/>
  <c r="M1" i="15"/>
  <c r="L1" i="15"/>
  <c r="K1" i="15"/>
  <c r="J1" i="15"/>
  <c r="I1" i="15"/>
  <c r="H1" i="15"/>
  <c r="G1" i="15"/>
  <c r="F1" i="15"/>
  <c r="C1" i="15"/>
  <c r="B1" i="15"/>
  <c r="A3" i="9"/>
  <c r="A2" i="9"/>
  <c r="W1" i="9"/>
  <c r="V1" i="9"/>
  <c r="U1" i="9"/>
  <c r="T1" i="9"/>
  <c r="S1" i="9"/>
  <c r="R1" i="9"/>
  <c r="Q1" i="9"/>
  <c r="P1" i="9"/>
  <c r="O1" i="9"/>
  <c r="N1" i="9"/>
  <c r="M1" i="9"/>
  <c r="L1" i="9"/>
  <c r="K1" i="9"/>
  <c r="J1" i="9"/>
  <c r="I1" i="9"/>
  <c r="H1" i="9"/>
  <c r="G1" i="9"/>
  <c r="F1" i="9"/>
  <c r="E1" i="9"/>
  <c r="C1" i="9"/>
  <c r="B1" i="9"/>
  <c r="A3" i="18"/>
  <c r="A2" i="18"/>
  <c r="XK1" i="18"/>
  <c r="XJ1" i="18"/>
  <c r="XI1" i="18"/>
  <c r="XH1" i="18"/>
  <c r="XG1" i="18"/>
  <c r="XF1" i="18"/>
  <c r="XE1" i="18"/>
  <c r="XD1" i="18"/>
  <c r="XC1" i="18"/>
  <c r="XB1" i="18"/>
  <c r="XA1" i="18"/>
  <c r="WZ1" i="18"/>
  <c r="WY1" i="18"/>
  <c r="WX1" i="18"/>
  <c r="WW1" i="18"/>
  <c r="WV1" i="18"/>
  <c r="WU1" i="18"/>
  <c r="WT1" i="18"/>
  <c r="WS1" i="18"/>
  <c r="WR1" i="18"/>
  <c r="WQ1" i="18"/>
  <c r="WP1" i="18"/>
  <c r="WO1" i="18"/>
  <c r="WN1" i="18"/>
  <c r="WM1" i="18"/>
  <c r="WL1" i="18"/>
  <c r="WK1" i="18"/>
  <c r="WJ1" i="18"/>
  <c r="WI1" i="18"/>
  <c r="WH1" i="18"/>
  <c r="WG1" i="18"/>
  <c r="WF1" i="18"/>
  <c r="WE1" i="18"/>
  <c r="WD1" i="18"/>
  <c r="WC1" i="18"/>
  <c r="WB1" i="18"/>
  <c r="WA1" i="18"/>
  <c r="VZ1" i="18"/>
  <c r="VY1" i="18"/>
  <c r="VX1" i="18"/>
  <c r="VW1" i="18"/>
  <c r="VV1" i="18"/>
  <c r="VU1" i="18"/>
  <c r="VT1" i="18"/>
  <c r="VS1" i="18"/>
  <c r="VR1" i="18"/>
  <c r="VQ1" i="18"/>
  <c r="VP1" i="18"/>
  <c r="VO1" i="18"/>
  <c r="VN1" i="18"/>
  <c r="VM1" i="18"/>
  <c r="VL1" i="18"/>
  <c r="VK1" i="18"/>
  <c r="VJ1" i="18"/>
  <c r="VI1" i="18"/>
  <c r="VH1" i="18"/>
  <c r="VG1" i="18"/>
  <c r="VF1" i="18"/>
  <c r="VE1" i="18"/>
  <c r="VD1" i="18"/>
  <c r="VC1" i="18"/>
  <c r="VB1" i="18"/>
  <c r="VA1" i="18"/>
  <c r="UZ1" i="18"/>
  <c r="UY1" i="18"/>
  <c r="UX1" i="18"/>
  <c r="UW1" i="18"/>
  <c r="UV1" i="18"/>
  <c r="UU1" i="18"/>
  <c r="UT1" i="18"/>
  <c r="US1" i="18"/>
  <c r="UR1" i="18"/>
  <c r="UQ1" i="18"/>
  <c r="UP1" i="18"/>
  <c r="UO1" i="18"/>
  <c r="UN1" i="18"/>
  <c r="UM1" i="18"/>
  <c r="UL1" i="18"/>
  <c r="UK1" i="18"/>
  <c r="UJ1" i="18"/>
  <c r="UI1" i="18"/>
  <c r="UH1" i="18"/>
  <c r="UG1" i="18"/>
  <c r="UF1" i="18"/>
  <c r="UE1" i="18"/>
  <c r="UD1" i="18"/>
  <c r="UC1" i="18"/>
  <c r="UB1" i="18"/>
  <c r="UA1" i="18"/>
  <c r="TZ1" i="18"/>
  <c r="TY1" i="18"/>
  <c r="TX1" i="18"/>
  <c r="TW1" i="18"/>
  <c r="TV1" i="18"/>
  <c r="TU1" i="18"/>
  <c r="TT1" i="18"/>
  <c r="TS1" i="18"/>
  <c r="TR1" i="18"/>
  <c r="TQ1" i="18"/>
  <c r="TP1" i="18"/>
  <c r="TO1" i="18"/>
  <c r="TN1" i="18"/>
  <c r="TM1" i="18"/>
  <c r="TL1" i="18"/>
  <c r="TK1" i="18"/>
  <c r="TJ1" i="18"/>
  <c r="TI1" i="18"/>
  <c r="TH1" i="18"/>
  <c r="TG1" i="18"/>
  <c r="TF1" i="18"/>
  <c r="TE1" i="18"/>
  <c r="TD1" i="18"/>
  <c r="TC1" i="18"/>
  <c r="TB1" i="18"/>
  <c r="TA1" i="18"/>
  <c r="SZ1" i="18"/>
  <c r="SY1" i="18"/>
  <c r="SX1" i="18"/>
  <c r="SW1" i="18"/>
  <c r="SV1" i="18"/>
  <c r="SU1" i="18"/>
  <c r="ST1" i="18"/>
  <c r="SS1" i="18"/>
  <c r="SR1" i="18"/>
  <c r="SQ1" i="18"/>
  <c r="SP1" i="18"/>
  <c r="SO1" i="18"/>
  <c r="SN1" i="18"/>
  <c r="SM1" i="18"/>
  <c r="SL1" i="18"/>
  <c r="SK1" i="18"/>
  <c r="SJ1" i="18"/>
  <c r="SI1" i="18"/>
  <c r="SH1" i="18"/>
  <c r="SG1" i="18"/>
  <c r="SF1" i="18"/>
  <c r="SE1" i="18"/>
  <c r="SD1" i="18"/>
  <c r="SC1" i="18"/>
  <c r="SB1" i="18"/>
  <c r="SA1" i="18"/>
  <c r="RZ1" i="18"/>
  <c r="RY1" i="18"/>
  <c r="RX1" i="18"/>
  <c r="RW1" i="18"/>
  <c r="RV1" i="18"/>
  <c r="RU1" i="18"/>
  <c r="RT1" i="18"/>
  <c r="RS1" i="18"/>
  <c r="RR1" i="18"/>
  <c r="RQ1" i="18"/>
  <c r="RP1" i="18"/>
  <c r="RO1" i="18"/>
  <c r="RN1" i="18"/>
  <c r="RM1" i="18"/>
  <c r="RL1" i="18"/>
  <c r="RK1" i="18"/>
  <c r="RJ1" i="18"/>
  <c r="RI1" i="18"/>
  <c r="RH1" i="18"/>
  <c r="RG1" i="18"/>
  <c r="RF1" i="18"/>
  <c r="RE1" i="18"/>
  <c r="RD1" i="18"/>
  <c r="RC1" i="18"/>
  <c r="RB1" i="18"/>
  <c r="RA1" i="18"/>
  <c r="QZ1" i="18"/>
  <c r="QY1" i="18"/>
  <c r="QX1" i="18"/>
  <c r="QW1" i="18"/>
  <c r="QV1" i="18"/>
  <c r="QU1" i="18"/>
  <c r="QT1" i="18"/>
  <c r="QS1" i="18"/>
  <c r="QR1" i="18"/>
  <c r="QQ1" i="18"/>
  <c r="QP1" i="18"/>
  <c r="QO1" i="18"/>
  <c r="QN1" i="18"/>
  <c r="QM1" i="18"/>
  <c r="QL1" i="18"/>
  <c r="QK1" i="18"/>
  <c r="QJ1" i="18"/>
  <c r="QI1" i="18"/>
  <c r="QH1" i="18"/>
  <c r="QG1" i="18"/>
  <c r="QF1" i="18"/>
  <c r="QE1" i="18"/>
  <c r="QD1" i="18"/>
  <c r="QC1" i="18"/>
  <c r="QB1" i="18"/>
  <c r="QA1" i="18"/>
  <c r="PZ1" i="18"/>
  <c r="PY1" i="18"/>
  <c r="PX1" i="18"/>
  <c r="PW1" i="18"/>
  <c r="PV1" i="18"/>
  <c r="PU1" i="18"/>
  <c r="PT1" i="18"/>
  <c r="PS1" i="18"/>
  <c r="PR1" i="18"/>
  <c r="PQ1" i="18"/>
  <c r="PP1" i="18"/>
  <c r="PO1" i="18"/>
  <c r="PN1" i="18"/>
  <c r="PM1" i="18"/>
  <c r="PL1" i="18"/>
  <c r="PK1" i="18"/>
  <c r="PJ1" i="18"/>
  <c r="PI1" i="18"/>
  <c r="PH1" i="18"/>
  <c r="PG1" i="18"/>
  <c r="PF1" i="18"/>
  <c r="PE1" i="18"/>
  <c r="PD1" i="18"/>
  <c r="PC1" i="18"/>
  <c r="PB1" i="18"/>
  <c r="PA1" i="18"/>
  <c r="OZ1" i="18"/>
  <c r="OY1" i="18"/>
  <c r="OX1" i="18"/>
  <c r="OW1" i="18"/>
  <c r="OV1" i="18"/>
  <c r="OU1" i="18"/>
  <c r="OT1" i="18"/>
  <c r="OS1" i="18"/>
  <c r="OR1" i="18"/>
  <c r="OQ1" i="18"/>
  <c r="OP1" i="18"/>
  <c r="OO1" i="18"/>
  <c r="ON1" i="18"/>
  <c r="OM1" i="18"/>
  <c r="OL1" i="18"/>
  <c r="OK1" i="18"/>
  <c r="OJ1" i="18"/>
  <c r="OI1" i="18"/>
  <c r="OH1" i="18"/>
  <c r="OG1" i="18"/>
  <c r="OF1" i="18"/>
  <c r="OE1" i="18"/>
  <c r="OD1" i="18"/>
  <c r="OC1" i="18"/>
  <c r="OB1" i="18"/>
  <c r="OA1" i="18"/>
  <c r="NZ1" i="18"/>
  <c r="NY1" i="18"/>
  <c r="NX1" i="18"/>
  <c r="NW1" i="18"/>
  <c r="NV1" i="18"/>
  <c r="NU1" i="18"/>
  <c r="NT1" i="18"/>
  <c r="NS1" i="18"/>
  <c r="NR1" i="18"/>
  <c r="NQ1" i="18"/>
  <c r="NP1" i="18"/>
  <c r="NO1" i="18"/>
  <c r="NN1" i="18"/>
  <c r="NM1" i="18"/>
  <c r="NL1" i="18"/>
  <c r="NK1" i="18"/>
  <c r="NJ1" i="18"/>
  <c r="NI1" i="18"/>
  <c r="NH1" i="18"/>
  <c r="NG1" i="18"/>
  <c r="NF1" i="18"/>
  <c r="NE1" i="18"/>
  <c r="ND1" i="18"/>
  <c r="NC1" i="18"/>
  <c r="NB1" i="18"/>
  <c r="NA1" i="18"/>
  <c r="MZ1" i="18"/>
  <c r="MY1" i="18"/>
  <c r="MX1" i="18"/>
  <c r="MW1" i="18"/>
  <c r="MV1" i="18"/>
  <c r="MU1" i="18"/>
  <c r="MT1" i="18"/>
  <c r="MS1" i="18"/>
  <c r="MR1" i="18"/>
  <c r="MQ1" i="18"/>
  <c r="MP1" i="18"/>
  <c r="MO1" i="18"/>
  <c r="MN1" i="18"/>
  <c r="MM1" i="18"/>
  <c r="ML1" i="18"/>
  <c r="MK1" i="18"/>
  <c r="MJ1" i="18"/>
  <c r="MI1" i="18"/>
  <c r="MH1" i="18"/>
  <c r="MG1" i="18"/>
  <c r="MF1" i="18"/>
  <c r="ME1" i="18"/>
  <c r="MD1" i="18"/>
  <c r="MC1" i="18"/>
  <c r="MB1" i="18"/>
  <c r="MA1" i="18"/>
  <c r="LZ1" i="18"/>
  <c r="LY1" i="18"/>
  <c r="LX1" i="18"/>
  <c r="LW1" i="18"/>
  <c r="LV1" i="18"/>
  <c r="LU1" i="18"/>
  <c r="LT1" i="18"/>
  <c r="LS1" i="18"/>
  <c r="LR1" i="18"/>
  <c r="LQ1" i="18"/>
  <c r="LP1" i="18"/>
  <c r="LO1" i="18"/>
  <c r="LN1" i="18"/>
  <c r="LM1" i="18"/>
  <c r="LL1" i="18"/>
  <c r="LK1" i="18"/>
  <c r="LJ1" i="18"/>
  <c r="LI1" i="18"/>
  <c r="LH1" i="18"/>
  <c r="LG1" i="18"/>
  <c r="LF1" i="18"/>
  <c r="LE1" i="18"/>
  <c r="LD1" i="18"/>
  <c r="LC1" i="18"/>
  <c r="LB1" i="18"/>
  <c r="LA1" i="18"/>
  <c r="KZ1" i="18"/>
  <c r="KY1" i="18"/>
  <c r="KX1" i="18"/>
  <c r="KW1" i="18"/>
  <c r="KV1" i="18"/>
  <c r="KU1" i="18"/>
  <c r="KT1" i="18"/>
  <c r="KS1" i="18"/>
  <c r="KR1" i="18"/>
  <c r="KQ1" i="18"/>
  <c r="KP1" i="18"/>
  <c r="KO1" i="18"/>
  <c r="KN1" i="18"/>
  <c r="KM1" i="18"/>
  <c r="KL1" i="18"/>
  <c r="KK1" i="18"/>
  <c r="KJ1" i="18"/>
  <c r="KI1" i="18"/>
  <c r="KH1" i="18"/>
  <c r="KG1" i="18"/>
  <c r="KF1" i="18"/>
  <c r="KE1" i="18"/>
  <c r="KD1" i="18"/>
  <c r="KC1" i="18"/>
  <c r="KB1" i="18"/>
  <c r="KA1" i="18"/>
  <c r="JZ1" i="18"/>
  <c r="JY1" i="18"/>
  <c r="JX1" i="18"/>
  <c r="JW1" i="18"/>
  <c r="JV1" i="18"/>
  <c r="JU1" i="18"/>
  <c r="JT1" i="18"/>
  <c r="JS1" i="18"/>
  <c r="JR1" i="18"/>
  <c r="JQ1" i="18"/>
  <c r="JP1" i="18"/>
  <c r="JO1" i="18"/>
  <c r="JN1" i="18"/>
  <c r="JM1" i="18"/>
  <c r="JL1" i="18"/>
  <c r="JK1" i="18"/>
  <c r="JJ1" i="18"/>
  <c r="JI1" i="18"/>
  <c r="JH1" i="18"/>
  <c r="JG1" i="18"/>
  <c r="JF1" i="18"/>
  <c r="JE1" i="18"/>
  <c r="JD1" i="18"/>
  <c r="JC1" i="18"/>
  <c r="JB1" i="18"/>
  <c r="JA1" i="18"/>
  <c r="IZ1" i="18"/>
  <c r="IY1" i="18"/>
  <c r="IX1" i="18"/>
  <c r="IW1" i="18"/>
  <c r="IV1" i="18"/>
  <c r="IU1" i="18"/>
  <c r="IT1" i="18"/>
  <c r="IS1" i="18"/>
  <c r="IR1" i="18"/>
  <c r="IQ1" i="18"/>
  <c r="IP1" i="18"/>
  <c r="IO1" i="18"/>
  <c r="IN1" i="18"/>
  <c r="IM1" i="18"/>
  <c r="IL1" i="18"/>
  <c r="IK1" i="18"/>
  <c r="IJ1" i="18"/>
  <c r="II1" i="18"/>
  <c r="IH1" i="18"/>
  <c r="IG1" i="18"/>
  <c r="IF1" i="18"/>
  <c r="IE1" i="18"/>
  <c r="ID1" i="18"/>
  <c r="IC1" i="18"/>
  <c r="IB1" i="18"/>
  <c r="IA1" i="18"/>
  <c r="HZ1" i="18"/>
  <c r="HY1" i="18"/>
  <c r="HX1" i="18"/>
  <c r="HW1" i="18"/>
  <c r="HV1" i="18"/>
  <c r="HU1" i="18"/>
  <c r="HT1" i="18"/>
  <c r="HS1" i="18"/>
  <c r="HR1" i="18"/>
  <c r="HQ1" i="18"/>
  <c r="HP1" i="18"/>
  <c r="HO1" i="18"/>
  <c r="HN1" i="18"/>
  <c r="HM1" i="18"/>
  <c r="HL1" i="18"/>
  <c r="HK1" i="18"/>
  <c r="HJ1" i="18"/>
  <c r="HI1" i="18"/>
  <c r="HH1" i="18"/>
  <c r="HG1" i="18"/>
  <c r="HF1" i="18"/>
  <c r="HE1" i="18"/>
  <c r="HD1" i="18"/>
  <c r="HC1" i="18"/>
  <c r="HB1" i="18"/>
  <c r="HA1" i="18"/>
  <c r="GZ1" i="18"/>
  <c r="GY1" i="18"/>
  <c r="GX1" i="18"/>
  <c r="GW1" i="18"/>
  <c r="GV1" i="18"/>
  <c r="GU1" i="18"/>
  <c r="GT1" i="18"/>
  <c r="GS1" i="18"/>
  <c r="GR1" i="18"/>
  <c r="GQ1" i="18"/>
  <c r="GP1" i="18"/>
  <c r="GO1" i="18"/>
  <c r="GN1" i="18"/>
  <c r="GM1" i="18"/>
  <c r="GL1" i="18"/>
  <c r="GK1" i="18"/>
  <c r="GJ1" i="18"/>
  <c r="GI1" i="18"/>
  <c r="GH1" i="18"/>
  <c r="GG1" i="18"/>
  <c r="GF1" i="18"/>
  <c r="GE1" i="18"/>
  <c r="GD1" i="18"/>
  <c r="GC1" i="18"/>
  <c r="GB1" i="18"/>
  <c r="GA1" i="18"/>
  <c r="FZ1" i="18"/>
  <c r="FY1" i="18"/>
  <c r="FX1" i="18"/>
  <c r="FW1" i="18"/>
  <c r="FV1" i="18"/>
  <c r="FU1" i="18"/>
  <c r="FT1" i="18"/>
  <c r="FS1" i="18"/>
  <c r="FR1" i="18"/>
  <c r="FQ1" i="18"/>
  <c r="FP1" i="18"/>
  <c r="FO1" i="18"/>
  <c r="FN1" i="18"/>
  <c r="FM1" i="18"/>
  <c r="FL1" i="18"/>
  <c r="FK1" i="18"/>
  <c r="FJ1" i="18"/>
  <c r="FI1" i="18"/>
  <c r="FH1" i="18"/>
  <c r="FG1" i="18"/>
  <c r="FF1" i="18"/>
  <c r="FE1" i="18"/>
  <c r="FD1" i="18"/>
  <c r="FC1" i="18"/>
  <c r="FB1" i="18"/>
  <c r="FA1" i="18"/>
  <c r="EZ1" i="18"/>
  <c r="EY1" i="18"/>
  <c r="EX1" i="18"/>
  <c r="EW1" i="18"/>
  <c r="EV1" i="18"/>
  <c r="EU1" i="18"/>
  <c r="ET1" i="18"/>
  <c r="ES1" i="18"/>
  <c r="ER1" i="18"/>
  <c r="EQ1" i="18"/>
  <c r="EP1" i="18"/>
  <c r="EO1" i="18"/>
  <c r="EN1" i="18"/>
  <c r="EM1" i="18"/>
  <c r="EL1" i="18"/>
  <c r="EK1" i="18"/>
  <c r="EJ1" i="18"/>
  <c r="EI1" i="18"/>
  <c r="EH1" i="18"/>
  <c r="EG1" i="18"/>
  <c r="EF1" i="18"/>
  <c r="EE1" i="18"/>
  <c r="ED1" i="18"/>
  <c r="EC1" i="18"/>
  <c r="EB1" i="18"/>
  <c r="EA1" i="18"/>
  <c r="DZ1" i="18"/>
  <c r="DY1" i="18"/>
  <c r="DX1" i="18"/>
  <c r="DW1" i="18"/>
  <c r="DV1" i="18"/>
  <c r="DU1" i="18"/>
  <c r="DT1" i="18"/>
  <c r="DS1" i="18"/>
  <c r="DR1" i="18"/>
  <c r="DQ1" i="18"/>
  <c r="DP1" i="18"/>
  <c r="DO1" i="18"/>
  <c r="DN1" i="18"/>
  <c r="DM1" i="18"/>
  <c r="DL1" i="18"/>
  <c r="DK1" i="18"/>
  <c r="DJ1" i="18"/>
  <c r="DI1" i="18"/>
  <c r="DH1" i="18"/>
  <c r="DG1" i="18"/>
  <c r="DF1" i="18"/>
  <c r="DE1" i="18"/>
  <c r="DD1" i="18"/>
  <c r="DC1" i="18"/>
  <c r="DB1" i="18"/>
  <c r="DA1" i="18"/>
  <c r="CZ1" i="18"/>
  <c r="CY1" i="18"/>
  <c r="CX1" i="18"/>
  <c r="CW1" i="18"/>
  <c r="CV1" i="18"/>
  <c r="CU1" i="18"/>
  <c r="CT1" i="18"/>
  <c r="CS1" i="18"/>
  <c r="CR1" i="18"/>
  <c r="CQ1" i="18"/>
  <c r="CP1" i="18"/>
  <c r="CO1" i="18"/>
  <c r="CN1" i="18"/>
  <c r="CM1" i="18"/>
  <c r="CL1" i="18"/>
  <c r="CK1" i="18"/>
  <c r="CJ1" i="18"/>
  <c r="CI1" i="18"/>
  <c r="CH1" i="18"/>
  <c r="CG1" i="18"/>
  <c r="CF1" i="18"/>
  <c r="CE1" i="18"/>
  <c r="CD1" i="18"/>
  <c r="CC1" i="18"/>
  <c r="CB1" i="18"/>
  <c r="CA1" i="18"/>
  <c r="BZ1" i="18"/>
  <c r="BY1" i="18"/>
  <c r="BX1" i="18"/>
  <c r="BW1" i="18"/>
  <c r="BV1" i="18"/>
  <c r="BU1" i="18"/>
  <c r="BT1" i="18"/>
  <c r="BS1" i="18"/>
  <c r="BR1" i="18"/>
  <c r="BQ1" i="18"/>
  <c r="BP1" i="18"/>
  <c r="BO1" i="18"/>
  <c r="BN1" i="18"/>
  <c r="BM1" i="18"/>
  <c r="BL1" i="18"/>
  <c r="BK1" i="18"/>
  <c r="BJ1" i="18"/>
  <c r="BI1" i="18"/>
  <c r="BH1" i="18"/>
  <c r="BG1" i="18"/>
  <c r="BF1" i="18"/>
  <c r="BE1" i="18"/>
  <c r="BD1" i="18"/>
  <c r="BC1" i="18"/>
  <c r="BB1" i="18"/>
  <c r="BA1" i="18"/>
  <c r="AZ1" i="18"/>
  <c r="AY1" i="18"/>
  <c r="AX1" i="18"/>
  <c r="AW1" i="18"/>
  <c r="AV1" i="18"/>
  <c r="AU1" i="18"/>
  <c r="AT1" i="18"/>
  <c r="AS1" i="18"/>
  <c r="AR1" i="18"/>
  <c r="AQ1" i="18"/>
  <c r="AP1" i="18"/>
  <c r="AO1" i="18"/>
  <c r="AN1" i="18"/>
  <c r="AM1" i="18"/>
  <c r="AL1" i="18"/>
  <c r="AK1" i="18"/>
  <c r="AJ1" i="18"/>
  <c r="AI1" i="18"/>
  <c r="AH1" i="18"/>
  <c r="AG1" i="18"/>
  <c r="AF1" i="18"/>
  <c r="AE1" i="18"/>
  <c r="AD1" i="18"/>
  <c r="AC1" i="18"/>
  <c r="AB1" i="18"/>
  <c r="AA1" i="18"/>
  <c r="Z1" i="18"/>
  <c r="Y1" i="18"/>
  <c r="X1" i="18"/>
  <c r="W1" i="18"/>
  <c r="V1" i="18"/>
  <c r="U1" i="18"/>
  <c r="T1" i="18"/>
  <c r="S1" i="18"/>
  <c r="R1" i="18"/>
  <c r="Q1" i="18"/>
  <c r="P1" i="18"/>
  <c r="O1" i="18"/>
  <c r="N1" i="18"/>
  <c r="M1" i="18"/>
  <c r="L1" i="18"/>
  <c r="K1" i="18"/>
  <c r="J1" i="18"/>
  <c r="I1" i="18"/>
  <c r="H1" i="18"/>
  <c r="G1" i="18"/>
  <c r="F1" i="18"/>
  <c r="C1" i="18"/>
  <c r="B1" i="18"/>
  <c r="A1" i="18"/>
  <c r="A3" i="1"/>
  <c r="A2" i="1"/>
  <c r="BX1" i="1"/>
  <c r="BW1" i="1"/>
  <c r="BV1" i="1"/>
  <c r="BU1" i="1"/>
  <c r="BT1" i="1"/>
  <c r="BS1" i="1"/>
  <c r="BR1" i="1"/>
  <c r="BQ1" i="1"/>
  <c r="BP1" i="1"/>
  <c r="BO1" i="1"/>
  <c r="BN1" i="1"/>
  <c r="BK1" i="1"/>
  <c r="BJ1" i="1"/>
  <c r="BD1" i="1"/>
  <c r="BC1" i="1"/>
  <c r="AW1" i="1"/>
  <c r="AV1" i="1"/>
  <c r="AP1" i="1"/>
  <c r="AO1" i="1"/>
  <c r="AI1" i="1"/>
  <c r="AH1" i="1"/>
  <c r="AB1" i="1"/>
  <c r="AA1" i="1"/>
  <c r="W1" i="1"/>
  <c r="V1" i="1"/>
  <c r="U1" i="1"/>
  <c r="T1" i="1"/>
  <c r="S1" i="1"/>
  <c r="R1" i="1"/>
  <c r="Q1" i="1"/>
  <c r="P1" i="1"/>
  <c r="O1" i="1"/>
  <c r="N1" i="1"/>
  <c r="M1" i="1"/>
  <c r="L1" i="1"/>
  <c r="K1" i="1"/>
  <c r="J1" i="1"/>
  <c r="I1" i="1"/>
  <c r="H1" i="1"/>
  <c r="G1" i="1"/>
  <c r="F1" i="1"/>
  <c r="E1" i="1"/>
  <c r="C1" i="1"/>
  <c r="B1" i="1"/>
  <c r="A1" i="1"/>
  <c r="A71" i="12"/>
  <c r="A70" i="12"/>
  <c r="A69" i="12"/>
  <c r="A68" i="12"/>
  <c r="A67" i="12"/>
  <c r="A66" i="12"/>
  <c r="A65" i="12"/>
  <c r="A64" i="12"/>
  <c r="A63" i="12"/>
  <c r="A62" i="12"/>
  <c r="A61" i="12"/>
  <c r="A60" i="12"/>
  <c r="A59" i="12"/>
  <c r="A58" i="12"/>
  <c r="A57" i="12"/>
  <c r="A56" i="12"/>
  <c r="A55" i="12"/>
  <c r="A54" i="12"/>
  <c r="A53" i="12"/>
  <c r="A52" i="12"/>
  <c r="A51" i="12"/>
  <c r="A50" i="12"/>
  <c r="A49" i="12"/>
  <c r="A48" i="12"/>
  <c r="A47" i="12"/>
  <c r="A46" i="12"/>
  <c r="A45" i="12"/>
  <c r="A44" i="12"/>
  <c r="A43" i="12"/>
  <c r="A42" i="12"/>
  <c r="A41" i="12"/>
  <c r="A40" i="12"/>
  <c r="A39" i="12"/>
  <c r="A38" i="12"/>
  <c r="A37" i="12"/>
  <c r="A36" i="12"/>
  <c r="A35" i="12"/>
  <c r="A34" i="12"/>
  <c r="A33" i="12"/>
  <c r="A32" i="12"/>
  <c r="A31" i="12"/>
  <c r="A27" i="12"/>
  <c r="A26" i="12"/>
  <c r="A25" i="12"/>
  <c r="A24" i="12"/>
  <c r="A23" i="12"/>
  <c r="A22" i="12"/>
  <c r="A21" i="12"/>
  <c r="A3" i="12"/>
  <c r="A2" i="12"/>
  <c r="P1" i="12"/>
  <c r="O1" i="12"/>
  <c r="N1" i="12"/>
  <c r="M1" i="12"/>
  <c r="L1" i="12"/>
  <c r="K1" i="12"/>
  <c r="J1" i="12"/>
  <c r="I1" i="12"/>
  <c r="H1" i="12"/>
  <c r="G1" i="12"/>
  <c r="F1" i="12"/>
  <c r="E1" i="12"/>
  <c r="D1" i="12"/>
  <c r="C1" i="12"/>
  <c r="B1" i="12"/>
  <c r="A1" i="12"/>
  <c r="A3" i="5"/>
  <c r="A2" i="5"/>
  <c r="AL1" i="5"/>
  <c r="AK1" i="5"/>
  <c r="AJ1" i="5"/>
  <c r="AG1" i="5"/>
  <c r="AF1" i="5"/>
  <c r="AC1" i="5"/>
  <c r="Z1" i="5"/>
  <c r="U1" i="5"/>
  <c r="T1" i="5"/>
  <c r="S1" i="5"/>
  <c r="R1" i="5"/>
  <c r="Q1" i="5"/>
  <c r="P1" i="5"/>
  <c r="K1" i="5"/>
  <c r="J1" i="5"/>
  <c r="I1" i="5"/>
  <c r="H1" i="5"/>
  <c r="G1" i="5"/>
  <c r="F1" i="5"/>
  <c r="E1" i="5"/>
  <c r="C1" i="5"/>
  <c r="B1" i="5"/>
  <c r="A3" i="14"/>
  <c r="A2" i="14"/>
  <c r="X1" i="14"/>
  <c r="W1" i="14"/>
  <c r="V1" i="14"/>
  <c r="U1" i="14"/>
  <c r="T1" i="14"/>
  <c r="S1" i="14"/>
  <c r="R1" i="14"/>
  <c r="Q1" i="14"/>
  <c r="P1" i="14"/>
  <c r="O1" i="14"/>
  <c r="N1" i="14"/>
  <c r="M1" i="14"/>
  <c r="L1" i="14"/>
  <c r="K1" i="14"/>
  <c r="J1" i="14"/>
  <c r="I1" i="14"/>
  <c r="H1" i="14"/>
  <c r="G1" i="14"/>
  <c r="F1" i="14"/>
  <c r="E1" i="14"/>
  <c r="D1" i="14"/>
  <c r="C1" i="14"/>
  <c r="B1" i="14"/>
  <c r="A1" i="14"/>
  <c r="A131" i="4"/>
  <c r="A130" i="4"/>
  <c r="A129" i="4"/>
  <c r="A128" i="4"/>
  <c r="A51" i="4"/>
  <c r="A50" i="4"/>
  <c r="A49" i="4"/>
  <c r="A48" i="4"/>
  <c r="A47" i="4"/>
  <c r="A46" i="4"/>
  <c r="A45" i="4"/>
  <c r="A44" i="4"/>
  <c r="A43" i="4"/>
  <c r="A42" i="4"/>
  <c r="A41" i="4"/>
  <c r="A40" i="4"/>
  <c r="A39" i="4"/>
  <c r="A38" i="4"/>
  <c r="A36" i="4"/>
  <c r="A35" i="4"/>
  <c r="A34" i="4"/>
  <c r="A33" i="4"/>
  <c r="A32" i="4"/>
  <c r="A31" i="4"/>
  <c r="A30" i="4"/>
  <c r="A29" i="4"/>
  <c r="A28" i="4"/>
  <c r="A27" i="4"/>
  <c r="A26" i="4"/>
  <c r="A25" i="4"/>
  <c r="A22" i="4"/>
  <c r="A21" i="4"/>
  <c r="A20" i="4"/>
  <c r="A19" i="4"/>
  <c r="A18" i="4"/>
  <c r="A17" i="4"/>
  <c r="A16" i="4"/>
  <c r="A15" i="4"/>
  <c r="A14" i="4"/>
  <c r="A13" i="4"/>
  <c r="A12" i="4"/>
  <c r="A11" i="4"/>
  <c r="A10" i="4"/>
  <c r="A9" i="4"/>
  <c r="A8" i="4"/>
  <c r="A7" i="4"/>
  <c r="A6" i="4"/>
  <c r="A5" i="4"/>
  <c r="A4" i="4"/>
  <c r="A3" i="4"/>
  <c r="A2" i="4"/>
  <c r="N1" i="4"/>
  <c r="M1" i="4"/>
  <c r="L1" i="4"/>
  <c r="K1" i="4"/>
  <c r="J1" i="4"/>
  <c r="I1" i="4"/>
  <c r="H1" i="4"/>
  <c r="G1" i="4"/>
  <c r="F1" i="4"/>
  <c r="E1" i="4"/>
  <c r="C1" i="4"/>
  <c r="B1" i="4"/>
  <c r="A1" i="4"/>
  <c r="A1" i="13"/>
  <c r="K16" i="4" l="1"/>
  <c r="I17" i="4" s="1"/>
  <c r="J56" i="12" l="1"/>
  <c r="O56" i="12" s="1"/>
  <c r="H57" i="12"/>
  <c r="H53" i="12"/>
  <c r="H54" i="12"/>
  <c r="J57" i="12"/>
  <c r="O57" i="12" s="1"/>
  <c r="H56" i="12"/>
  <c r="J55" i="12"/>
  <c r="O55" i="12" s="1"/>
  <c r="H55" i="12"/>
  <c r="J54" i="12"/>
  <c r="O54" i="12" s="1"/>
  <c r="J53" i="12"/>
  <c r="O53" i="12" s="1"/>
  <c r="D169" i="19" l="1"/>
  <c r="C169" i="19"/>
  <c r="E168" i="19"/>
  <c r="C168" i="19"/>
  <c r="D167" i="19"/>
  <c r="C167" i="19"/>
  <c r="E166" i="19"/>
  <c r="C166" i="19"/>
  <c r="D165" i="19"/>
  <c r="C165" i="19"/>
  <c r="E164" i="19"/>
  <c r="C164" i="19"/>
  <c r="D163" i="19"/>
  <c r="C163" i="19"/>
  <c r="E162" i="19"/>
  <c r="C162" i="19"/>
  <c r="D161" i="19"/>
  <c r="C161" i="19"/>
  <c r="E160" i="19"/>
  <c r="C160" i="19"/>
  <c r="D159" i="19"/>
  <c r="C159" i="19"/>
  <c r="E158" i="19"/>
  <c r="C158" i="19"/>
  <c r="D157" i="19"/>
  <c r="C157" i="19"/>
  <c r="E156" i="19"/>
  <c r="C156" i="19"/>
  <c r="D155" i="19"/>
  <c r="C155" i="19"/>
  <c r="E154" i="19"/>
  <c r="C154" i="19"/>
  <c r="D153" i="19"/>
  <c r="C153" i="19"/>
  <c r="E152" i="19"/>
  <c r="C152" i="19"/>
  <c r="D151" i="19"/>
  <c r="C151" i="19"/>
  <c r="E150" i="19"/>
  <c r="C150" i="19"/>
  <c r="D149" i="19"/>
  <c r="C149" i="19"/>
  <c r="E148" i="19"/>
  <c r="C148" i="19"/>
  <c r="D147" i="19"/>
  <c r="C147" i="19"/>
  <c r="E146" i="19"/>
  <c r="C146" i="19"/>
  <c r="D145" i="19"/>
  <c r="C145" i="19"/>
  <c r="E144" i="19"/>
  <c r="C144" i="19"/>
  <c r="D143" i="19"/>
  <c r="C143" i="19"/>
  <c r="E142" i="19"/>
  <c r="C142" i="19"/>
  <c r="D141" i="19"/>
  <c r="C141" i="19"/>
  <c r="E140" i="19"/>
  <c r="C140" i="19"/>
  <c r="D139" i="19"/>
  <c r="C139" i="19"/>
  <c r="E138" i="19"/>
  <c r="C138" i="19"/>
  <c r="D137" i="19"/>
  <c r="C137" i="19"/>
  <c r="E136" i="19"/>
  <c r="C136" i="19"/>
  <c r="D135" i="19"/>
  <c r="C135" i="19"/>
  <c r="E134" i="19"/>
  <c r="C134" i="19"/>
  <c r="D133" i="19"/>
  <c r="C133" i="19"/>
  <c r="E132" i="19"/>
  <c r="C132" i="19"/>
  <c r="D131" i="19"/>
  <c r="C131" i="19"/>
  <c r="E130" i="19"/>
  <c r="C130" i="19"/>
  <c r="D129" i="19"/>
  <c r="C129" i="19"/>
  <c r="E128" i="19"/>
  <c r="C128" i="19"/>
  <c r="D127" i="19"/>
  <c r="C127" i="19"/>
  <c r="E126" i="19"/>
  <c r="C126" i="19"/>
  <c r="D125" i="19"/>
  <c r="C125" i="19"/>
  <c r="E124" i="19"/>
  <c r="C124" i="19"/>
  <c r="D123" i="19"/>
  <c r="C123" i="19"/>
  <c r="E122" i="19"/>
  <c r="C122" i="19"/>
  <c r="D121" i="19"/>
  <c r="C121" i="19"/>
  <c r="E120" i="19"/>
  <c r="C120" i="19"/>
  <c r="D119" i="19"/>
  <c r="C119" i="19"/>
  <c r="E118" i="19"/>
  <c r="C118" i="19"/>
  <c r="D117" i="19"/>
  <c r="C117" i="19"/>
  <c r="E116" i="19"/>
  <c r="C116" i="19"/>
  <c r="D115" i="19"/>
  <c r="C115" i="19"/>
  <c r="E114" i="19"/>
  <c r="C114" i="19"/>
  <c r="D113" i="19"/>
  <c r="C113" i="19"/>
  <c r="E112" i="19"/>
  <c r="C112" i="19"/>
  <c r="D111" i="19"/>
  <c r="C111" i="19"/>
  <c r="E110" i="19"/>
  <c r="C110" i="19"/>
  <c r="D109" i="19"/>
  <c r="C109" i="19"/>
  <c r="E108" i="19"/>
  <c r="C108" i="19"/>
  <c r="D107" i="19"/>
  <c r="C107" i="19"/>
  <c r="E106" i="19"/>
  <c r="C106" i="19"/>
  <c r="D105" i="19"/>
  <c r="C105" i="19"/>
  <c r="E104" i="19"/>
  <c r="C104" i="19"/>
  <c r="D103" i="19"/>
  <c r="C103" i="19"/>
  <c r="E102" i="19"/>
  <c r="C102" i="19"/>
  <c r="D101" i="19"/>
  <c r="C101" i="19"/>
  <c r="E100" i="19"/>
  <c r="C100" i="19"/>
  <c r="D99" i="19"/>
  <c r="C99" i="19"/>
  <c r="E98" i="19"/>
  <c r="C98" i="19"/>
  <c r="D97" i="19"/>
  <c r="C97" i="19"/>
  <c r="E96" i="19"/>
  <c r="C96" i="19"/>
  <c r="D95" i="19"/>
  <c r="C95" i="19"/>
  <c r="E94" i="19"/>
  <c r="C94" i="19"/>
  <c r="D93" i="19"/>
  <c r="C93" i="19"/>
  <c r="E92" i="19"/>
  <c r="C92" i="19"/>
  <c r="D91" i="19"/>
  <c r="C91" i="19"/>
  <c r="E90" i="19"/>
  <c r="C90" i="19"/>
  <c r="D89" i="19"/>
  <c r="C89" i="19"/>
  <c r="E88" i="19"/>
  <c r="C88" i="19"/>
  <c r="D87" i="19"/>
  <c r="C87" i="19"/>
  <c r="E86" i="19"/>
  <c r="C86" i="19"/>
  <c r="D85" i="19"/>
  <c r="C85" i="19"/>
  <c r="E84" i="19"/>
  <c r="C84" i="19"/>
  <c r="D83" i="19"/>
  <c r="C83" i="19"/>
  <c r="E82" i="19"/>
  <c r="C82" i="19"/>
  <c r="D81" i="19"/>
  <c r="C81" i="19"/>
  <c r="E80" i="19"/>
  <c r="C80" i="19"/>
  <c r="D79" i="19"/>
  <c r="C79" i="19"/>
  <c r="E78" i="19"/>
  <c r="C78" i="19"/>
  <c r="D77" i="19"/>
  <c r="C77" i="19"/>
  <c r="E76" i="19"/>
  <c r="C76" i="19"/>
  <c r="D75" i="19"/>
  <c r="C75" i="19"/>
  <c r="E74" i="19"/>
  <c r="C74" i="19"/>
  <c r="D73" i="19"/>
  <c r="C73" i="19"/>
  <c r="E72" i="19"/>
  <c r="C72" i="19"/>
  <c r="D71" i="19"/>
  <c r="C71" i="19"/>
  <c r="E70" i="19"/>
  <c r="C70" i="19"/>
  <c r="D69" i="19"/>
  <c r="C69" i="19"/>
  <c r="E68" i="19"/>
  <c r="C68" i="19"/>
  <c r="D67" i="19"/>
  <c r="C67" i="19"/>
  <c r="E66" i="19"/>
  <c r="C66" i="19"/>
  <c r="D65" i="19"/>
  <c r="C65" i="19"/>
  <c r="E64" i="19"/>
  <c r="C64" i="19"/>
  <c r="D63" i="19"/>
  <c r="C63" i="19"/>
  <c r="E62" i="19"/>
  <c r="C62" i="19"/>
  <c r="D61" i="19"/>
  <c r="C61" i="19"/>
  <c r="E60" i="19"/>
  <c r="C60" i="19"/>
  <c r="D59" i="19"/>
  <c r="C59" i="19"/>
  <c r="E58" i="19"/>
  <c r="C58" i="19"/>
  <c r="D57" i="19"/>
  <c r="C57" i="19"/>
  <c r="E56" i="19"/>
  <c r="C56" i="19"/>
  <c r="D55" i="19"/>
  <c r="C55" i="19"/>
  <c r="E54" i="19"/>
  <c r="C54" i="19"/>
  <c r="D53" i="19"/>
  <c r="C53" i="19"/>
  <c r="E52" i="19"/>
  <c r="C52" i="19"/>
  <c r="D51" i="19"/>
  <c r="C51" i="19"/>
  <c r="E50" i="19"/>
  <c r="C50" i="19"/>
  <c r="D49" i="19"/>
  <c r="C49" i="19"/>
  <c r="E48" i="19"/>
  <c r="C48" i="19"/>
  <c r="D47" i="19"/>
  <c r="C47" i="19"/>
  <c r="E46" i="19"/>
  <c r="C46" i="19"/>
  <c r="D45" i="19"/>
  <c r="C45" i="19"/>
  <c r="E44" i="19"/>
  <c r="C44" i="19"/>
  <c r="D43" i="19"/>
  <c r="C43" i="19"/>
  <c r="E42" i="19"/>
  <c r="C42" i="19"/>
  <c r="D41" i="19"/>
  <c r="C41" i="19"/>
  <c r="E40" i="19"/>
  <c r="C40" i="19"/>
  <c r="D39" i="19"/>
  <c r="C39" i="19"/>
  <c r="E38" i="19"/>
  <c r="C38" i="19"/>
  <c r="D37" i="19"/>
  <c r="C37" i="19"/>
  <c r="E36" i="19"/>
  <c r="C36" i="19"/>
  <c r="D35" i="19"/>
  <c r="C35" i="19"/>
  <c r="E34" i="19"/>
  <c r="C34" i="19"/>
  <c r="D33" i="19"/>
  <c r="C33" i="19"/>
  <c r="E32" i="19"/>
  <c r="C32" i="19"/>
  <c r="D31" i="19"/>
  <c r="C31" i="19"/>
  <c r="E30" i="19"/>
  <c r="C30" i="19"/>
  <c r="D29" i="19"/>
  <c r="C29" i="19"/>
  <c r="E28" i="19"/>
  <c r="C28" i="19"/>
  <c r="D27" i="19"/>
  <c r="C27" i="19"/>
  <c r="E26" i="19"/>
  <c r="C26" i="19"/>
  <c r="D25" i="19"/>
  <c r="C25" i="19"/>
  <c r="E24" i="19"/>
  <c r="C24" i="19"/>
  <c r="D23" i="19"/>
  <c r="C23" i="19"/>
  <c r="E22" i="19"/>
  <c r="C22" i="19"/>
  <c r="D21" i="19"/>
  <c r="C21" i="19"/>
  <c r="E20" i="19"/>
  <c r="C20" i="19"/>
  <c r="D19" i="19"/>
  <c r="C19" i="19"/>
  <c r="E18" i="19"/>
  <c r="C18" i="19"/>
  <c r="D17" i="19"/>
  <c r="C17" i="19"/>
  <c r="E16" i="19"/>
  <c r="C16" i="19"/>
  <c r="D15" i="19"/>
  <c r="C15" i="19"/>
  <c r="E14" i="19"/>
  <c r="C14" i="19"/>
  <c r="D13" i="19"/>
  <c r="C13" i="19"/>
  <c r="E12" i="19"/>
  <c r="C12" i="19"/>
  <c r="D11" i="19"/>
  <c r="D9" i="19" s="1"/>
  <c r="C11" i="19"/>
  <c r="E10" i="19"/>
  <c r="E8" i="19" s="1"/>
  <c r="C10" i="19"/>
  <c r="G299" i="5" l="1"/>
  <c r="H299" i="5" s="1"/>
  <c r="G298" i="5"/>
  <c r="G297" i="5"/>
  <c r="G296" i="5"/>
  <c r="G295" i="5"/>
  <c r="G294" i="5"/>
  <c r="G293" i="5"/>
  <c r="H293" i="5" s="1"/>
  <c r="G292" i="5"/>
  <c r="H292" i="5" s="1"/>
  <c r="H294" i="5" l="1"/>
  <c r="H295" i="5"/>
  <c r="H296" i="5"/>
  <c r="H297" i="5"/>
  <c r="H298" i="5"/>
  <c r="F129" i="4" l="1"/>
  <c r="F128" i="4"/>
  <c r="H128" i="4" l="1"/>
  <c r="H129" i="4"/>
  <c r="J126" i="4"/>
  <c r="J125" i="4"/>
  <c r="F59" i="4" l="1"/>
  <c r="F58" i="4"/>
  <c r="H59" i="4" l="1"/>
  <c r="H58" i="4"/>
  <c r="F145" i="4"/>
  <c r="F144" i="4"/>
  <c r="H144" i="4" l="1"/>
  <c r="H145" i="4"/>
  <c r="G8" i="7" l="1"/>
  <c r="G9" i="7"/>
  <c r="G291" i="5" l="1"/>
  <c r="H291" i="5" s="1"/>
  <c r="G290" i="5"/>
  <c r="H290" i="5" l="1"/>
  <c r="C13" i="6" l="1"/>
  <c r="I16" i="12" l="1"/>
  <c r="I15" i="12" l="1"/>
  <c r="G243" i="6" l="1"/>
  <c r="G242" i="6"/>
  <c r="G241" i="6"/>
  <c r="G240" i="6"/>
  <c r="G239" i="6"/>
  <c r="G238" i="6"/>
  <c r="G237" i="6"/>
  <c r="G236" i="6"/>
  <c r="G235" i="6"/>
  <c r="G234" i="6"/>
  <c r="G233" i="6"/>
  <c r="G232" i="6"/>
  <c r="G231" i="6"/>
  <c r="G230" i="6"/>
  <c r="G229" i="6"/>
  <c r="G228" i="6"/>
  <c r="G227" i="6"/>
  <c r="G226" i="6"/>
  <c r="G225" i="6"/>
  <c r="G224" i="6"/>
  <c r="G223" i="6"/>
  <c r="G222" i="6"/>
  <c r="G221" i="6"/>
  <c r="G220" i="6"/>
  <c r="G219" i="6"/>
  <c r="G218" i="6"/>
  <c r="G217" i="6"/>
  <c r="G216" i="6"/>
  <c r="G215" i="6"/>
  <c r="G214" i="6"/>
  <c r="G213" i="6"/>
  <c r="G212" i="6"/>
  <c r="G211" i="6"/>
  <c r="G210" i="6"/>
  <c r="G209" i="6"/>
  <c r="G208" i="6"/>
  <c r="G207" i="6"/>
  <c r="G206" i="6"/>
  <c r="G205" i="6"/>
  <c r="G204" i="6"/>
  <c r="G203" i="6"/>
  <c r="G202" i="6"/>
  <c r="G201" i="6"/>
  <c r="G200" i="6"/>
  <c r="G199" i="6"/>
  <c r="G198" i="6"/>
  <c r="G197" i="6"/>
  <c r="G196" i="6"/>
  <c r="G195" i="6"/>
  <c r="G194" i="6"/>
  <c r="G193" i="6"/>
  <c r="G192" i="6"/>
  <c r="G191" i="6"/>
  <c r="G190" i="6"/>
  <c r="G189" i="6"/>
  <c r="G188" i="6"/>
  <c r="G187" i="6"/>
  <c r="G186" i="6"/>
  <c r="G185" i="6"/>
  <c r="G184" i="6"/>
  <c r="G183" i="6"/>
  <c r="G182" i="6"/>
  <c r="G181" i="6"/>
  <c r="G180" i="6"/>
  <c r="G179" i="6"/>
  <c r="G178" i="6"/>
  <c r="G177" i="6"/>
  <c r="G176" i="6"/>
  <c r="G175" i="6"/>
  <c r="G174" i="6"/>
  <c r="G173" i="6"/>
  <c r="G172" i="6"/>
  <c r="G171" i="6"/>
  <c r="G170" i="6"/>
  <c r="G169" i="6"/>
  <c r="G168" i="6"/>
  <c r="G167" i="6"/>
  <c r="G166" i="6"/>
  <c r="G165" i="6"/>
  <c r="G164" i="6"/>
  <c r="G163" i="6"/>
  <c r="G162" i="6"/>
  <c r="G161" i="6"/>
  <c r="G160" i="6"/>
  <c r="G159" i="6"/>
  <c r="G158" i="6"/>
  <c r="G157" i="6"/>
  <c r="G156" i="6"/>
  <c r="G155" i="6"/>
  <c r="G154" i="6"/>
  <c r="G153" i="6"/>
  <c r="G152" i="6"/>
  <c r="G151" i="6"/>
  <c r="G150" i="6"/>
  <c r="G149" i="6"/>
  <c r="G148" i="6"/>
  <c r="G147" i="6"/>
  <c r="G146" i="6"/>
  <c r="G145" i="6"/>
  <c r="G144" i="6"/>
  <c r="G143" i="6"/>
  <c r="G142" i="6"/>
  <c r="G141" i="6"/>
  <c r="G140" i="6"/>
  <c r="G139" i="6"/>
  <c r="G138" i="6"/>
  <c r="G137" i="6"/>
  <c r="G136" i="6"/>
  <c r="G135" i="6"/>
  <c r="G134" i="6"/>
  <c r="G133" i="6"/>
  <c r="G132" i="6"/>
  <c r="G131" i="6"/>
  <c r="G130" i="6"/>
  <c r="G129" i="6"/>
  <c r="G128" i="6"/>
  <c r="G127" i="6"/>
  <c r="G126" i="6"/>
  <c r="G125" i="6"/>
  <c r="G124" i="6"/>
  <c r="G123" i="6"/>
  <c r="D243" i="6"/>
  <c r="D242" i="6"/>
  <c r="D241" i="6"/>
  <c r="D240" i="6"/>
  <c r="D239" i="6"/>
  <c r="D238" i="6"/>
  <c r="D237" i="6"/>
  <c r="D236" i="6"/>
  <c r="D235" i="6"/>
  <c r="D234" i="6"/>
  <c r="D233" i="6"/>
  <c r="D232" i="6"/>
  <c r="D231" i="6"/>
  <c r="D230" i="6"/>
  <c r="D229" i="6"/>
  <c r="D228" i="6"/>
  <c r="D227" i="6"/>
  <c r="D226" i="6"/>
  <c r="D225" i="6"/>
  <c r="D224" i="6"/>
  <c r="D223" i="6"/>
  <c r="D222" i="6"/>
  <c r="D221" i="6"/>
  <c r="D220" i="6"/>
  <c r="D219" i="6"/>
  <c r="D218" i="6"/>
  <c r="D217" i="6"/>
  <c r="D216" i="6"/>
  <c r="D215" i="6"/>
  <c r="D214" i="6"/>
  <c r="D213" i="6"/>
  <c r="D212" i="6"/>
  <c r="D211" i="6"/>
  <c r="D210" i="6"/>
  <c r="D209" i="6"/>
  <c r="D208" i="6"/>
  <c r="D207" i="6"/>
  <c r="D206" i="6"/>
  <c r="D205" i="6"/>
  <c r="D204" i="6"/>
  <c r="D203" i="6"/>
  <c r="D202" i="6"/>
  <c r="D201" i="6"/>
  <c r="D200" i="6"/>
  <c r="D199" i="6"/>
  <c r="D198" i="6"/>
  <c r="D197" i="6"/>
  <c r="D196" i="6"/>
  <c r="D195" i="6"/>
  <c r="D194" i="6"/>
  <c r="D193" i="6"/>
  <c r="D192" i="6"/>
  <c r="D191" i="6"/>
  <c r="D190" i="6"/>
  <c r="D189" i="6"/>
  <c r="D188" i="6"/>
  <c r="D187" i="6"/>
  <c r="D186" i="6"/>
  <c r="D185" i="6"/>
  <c r="D184" i="6"/>
  <c r="D183" i="6"/>
  <c r="D182" i="6"/>
  <c r="D181" i="6"/>
  <c r="D180" i="6"/>
  <c r="D179" i="6"/>
  <c r="D178" i="6"/>
  <c r="D177" i="6"/>
  <c r="D176" i="6"/>
  <c r="D175" i="6"/>
  <c r="D174" i="6"/>
  <c r="D173" i="6"/>
  <c r="D172" i="6"/>
  <c r="D171" i="6"/>
  <c r="D170" i="6"/>
  <c r="D169" i="6"/>
  <c r="D168" i="6"/>
  <c r="D167" i="6"/>
  <c r="D166" i="6"/>
  <c r="D165" i="6"/>
  <c r="D164" i="6"/>
  <c r="D163" i="6"/>
  <c r="D162" i="6"/>
  <c r="D161" i="6"/>
  <c r="D160" i="6"/>
  <c r="D159" i="6"/>
  <c r="D158" i="6"/>
  <c r="D157" i="6"/>
  <c r="D156" i="6"/>
  <c r="D155" i="6"/>
  <c r="D154" i="6"/>
  <c r="D153" i="6"/>
  <c r="D152" i="6"/>
  <c r="D151" i="6"/>
  <c r="D150" i="6"/>
  <c r="D149" i="6"/>
  <c r="D148" i="6"/>
  <c r="D147" i="6"/>
  <c r="D146" i="6"/>
  <c r="D145" i="6"/>
  <c r="D144" i="6"/>
  <c r="D143" i="6"/>
  <c r="D142" i="6"/>
  <c r="D141" i="6"/>
  <c r="D140" i="6"/>
  <c r="D139" i="6"/>
  <c r="D138" i="6"/>
  <c r="D137" i="6"/>
  <c r="D136" i="6"/>
  <c r="D135" i="6"/>
  <c r="D134" i="6"/>
  <c r="D133" i="6"/>
  <c r="D132" i="6"/>
  <c r="D131" i="6"/>
  <c r="D130" i="6"/>
  <c r="D129" i="6"/>
  <c r="D128" i="6"/>
  <c r="D127" i="6"/>
  <c r="D126" i="6"/>
  <c r="D125" i="6"/>
  <c r="D124" i="6"/>
  <c r="D123" i="6"/>
  <c r="I42" i="12" l="1"/>
  <c r="I38" i="12"/>
  <c r="I34" i="12"/>
  <c r="I30" i="12"/>
  <c r="I26" i="12"/>
  <c r="I22" i="12"/>
  <c r="I43" i="12"/>
  <c r="I41" i="12"/>
  <c r="I40" i="12"/>
  <c r="I39" i="12"/>
  <c r="I37" i="12"/>
  <c r="I36" i="12"/>
  <c r="I35" i="12"/>
  <c r="I33" i="12"/>
  <c r="I32" i="12"/>
  <c r="I31" i="12"/>
  <c r="I29" i="12"/>
  <c r="I27" i="12"/>
  <c r="I25" i="12"/>
  <c r="I24" i="12"/>
  <c r="I23" i="12"/>
  <c r="I5" i="12" l="1"/>
  <c r="D25" i="6" l="1"/>
  <c r="D26" i="6" s="1"/>
  <c r="D27" i="6" s="1"/>
  <c r="D28" i="6" s="1"/>
  <c r="D29" i="6" s="1"/>
  <c r="D30" i="6" s="1"/>
  <c r="L7" i="4" l="1"/>
  <c r="F51" i="4"/>
  <c r="H51" i="4" s="1"/>
  <c r="K24" i="4"/>
  <c r="K55" i="4"/>
  <c r="K23" i="4"/>
  <c r="F50" i="4"/>
  <c r="H50" i="4" s="1"/>
  <c r="K52" i="4"/>
  <c r="K56" i="4"/>
  <c r="K54" i="4"/>
  <c r="K11" i="4"/>
  <c r="K109" i="4"/>
  <c r="K108" i="4"/>
  <c r="K90" i="4"/>
  <c r="K64" i="4"/>
  <c r="K14" i="4"/>
  <c r="O152" i="14" s="1"/>
  <c r="K13" i="4"/>
  <c r="K12" i="4"/>
  <c r="K30" i="4"/>
  <c r="L38" i="4" s="1"/>
  <c r="K31" i="4"/>
  <c r="L34" i="4" s="1"/>
  <c r="F119" i="4"/>
  <c r="H15" i="13"/>
  <c r="K53" i="4"/>
  <c r="F101" i="4"/>
  <c r="H14" i="13"/>
  <c r="F100" i="4"/>
  <c r="F83" i="4"/>
  <c r="H13" i="13"/>
  <c r="F82" i="4"/>
  <c r="K82" i="4"/>
  <c r="K65" i="4"/>
  <c r="H66" i="14"/>
  <c r="H65" i="14"/>
  <c r="H64" i="14"/>
  <c r="H63" i="14"/>
  <c r="H62" i="14"/>
  <c r="H61" i="14"/>
  <c r="H60" i="14"/>
  <c r="H59" i="14"/>
  <c r="H58" i="14"/>
  <c r="H57" i="14"/>
  <c r="H56" i="14"/>
  <c r="H55" i="14"/>
  <c r="H54" i="14"/>
  <c r="H53" i="14"/>
  <c r="H52" i="14"/>
  <c r="H51" i="14"/>
  <c r="H50" i="14"/>
  <c r="H49" i="14"/>
  <c r="K40" i="4"/>
  <c r="L41" i="4" s="1"/>
  <c r="K25" i="4"/>
  <c r="L26" i="4" s="1"/>
  <c r="F118" i="4"/>
  <c r="K118" i="4"/>
  <c r="K100" i="4"/>
  <c r="H48" i="14"/>
  <c r="K119" i="4"/>
  <c r="K101" i="4"/>
  <c r="K83" i="4"/>
  <c r="K57" i="4"/>
  <c r="K91" i="4"/>
  <c r="K35" i="4"/>
  <c r="M35" i="4" s="1"/>
  <c r="N35" i="4" s="1"/>
  <c r="AJ2" i="18"/>
  <c r="K32" i="4"/>
  <c r="AP2" i="18"/>
  <c r="AV2" i="18"/>
  <c r="BB2" i="18"/>
  <c r="BH2" i="18"/>
  <c r="BN2" i="18"/>
  <c r="BT2" i="18"/>
  <c r="BZ2" i="18"/>
  <c r="CF2" i="18"/>
  <c r="CL2" i="18"/>
  <c r="CR2" i="18"/>
  <c r="CX2" i="18"/>
  <c r="DD2" i="18"/>
  <c r="DJ2" i="18"/>
  <c r="DP2" i="18"/>
  <c r="DV2" i="18"/>
  <c r="EB2" i="18"/>
  <c r="EH2" i="18"/>
  <c r="EN2" i="18"/>
  <c r="ET2" i="18"/>
  <c r="EZ2" i="18"/>
  <c r="FF2" i="18"/>
  <c r="FL2" i="18"/>
  <c r="FR2" i="18"/>
  <c r="FX2" i="18"/>
  <c r="GD2" i="18"/>
  <c r="GJ2" i="18"/>
  <c r="GP2" i="18"/>
  <c r="GV2" i="18"/>
  <c r="HB2" i="18"/>
  <c r="HH2" i="18"/>
  <c r="HN2" i="18"/>
  <c r="HT2" i="18"/>
  <c r="HZ2" i="18"/>
  <c r="IF2" i="18"/>
  <c r="IL2" i="18"/>
  <c r="IR2" i="18"/>
  <c r="IX2" i="18"/>
  <c r="JD2" i="18"/>
  <c r="JJ2" i="18"/>
  <c r="JP2" i="18"/>
  <c r="JV2" i="18"/>
  <c r="KB2" i="18"/>
  <c r="KH2" i="18"/>
  <c r="KN2" i="18"/>
  <c r="KT2" i="18"/>
  <c r="KZ2" i="18"/>
  <c r="LF2" i="18"/>
  <c r="LL2" i="18"/>
  <c r="LR2" i="18"/>
  <c r="LX2" i="18"/>
  <c r="MD2" i="18"/>
  <c r="MJ2" i="18"/>
  <c r="MP2" i="18"/>
  <c r="MV2" i="18"/>
  <c r="NB2" i="18"/>
  <c r="NH2" i="18"/>
  <c r="NN2" i="18"/>
  <c r="NT2" i="18"/>
  <c r="NZ2" i="18"/>
  <c r="OF2" i="18"/>
  <c r="OL2" i="18"/>
  <c r="OR2" i="18"/>
  <c r="OX2" i="18"/>
  <c r="PD2" i="18"/>
  <c r="PJ2" i="18"/>
  <c r="PP2" i="18"/>
  <c r="PV2" i="18"/>
  <c r="QB2" i="18"/>
  <c r="QH2" i="18"/>
  <c r="QN2" i="18"/>
  <c r="QT2" i="18"/>
  <c r="QZ2" i="18"/>
  <c r="RF2" i="18"/>
  <c r="RL2" i="18"/>
  <c r="RR2" i="18"/>
  <c r="RX2" i="18"/>
  <c r="SD2" i="18"/>
  <c r="SJ2" i="18"/>
  <c r="SP2" i="18"/>
  <c r="SV2" i="18"/>
  <c r="TB2" i="18"/>
  <c r="TH2" i="18"/>
  <c r="TN2" i="18"/>
  <c r="TT2" i="18"/>
  <c r="TZ2" i="18"/>
  <c r="UF2" i="18"/>
  <c r="UL2" i="18"/>
  <c r="UR2" i="18"/>
  <c r="UX2" i="18"/>
  <c r="VD2" i="18"/>
  <c r="VJ2" i="18"/>
  <c r="VP2" i="18"/>
  <c r="VV2" i="18"/>
  <c r="WB2" i="18"/>
  <c r="WH2" i="18"/>
  <c r="WN2" i="18"/>
  <c r="WT2" i="18"/>
  <c r="WZ2" i="18"/>
  <c r="XF2" i="18"/>
  <c r="I63" i="14"/>
  <c r="I62" i="14"/>
  <c r="I61" i="14"/>
  <c r="I60" i="14"/>
  <c r="I59" i="14"/>
  <c r="I58" i="14"/>
  <c r="I57" i="14"/>
  <c r="I56" i="14"/>
  <c r="I55" i="14"/>
  <c r="I54" i="14"/>
  <c r="I53" i="14"/>
  <c r="I52" i="14"/>
  <c r="I51" i="14"/>
  <c r="I50" i="14"/>
  <c r="I49" i="14"/>
  <c r="I48" i="14"/>
  <c r="I47" i="14"/>
  <c r="I46" i="14"/>
  <c r="I45" i="14"/>
  <c r="I44" i="14"/>
  <c r="H41" i="14"/>
  <c r="H40" i="14"/>
  <c r="I43" i="14"/>
  <c r="I42" i="14"/>
  <c r="I41" i="14"/>
  <c r="I39" i="14"/>
  <c r="I38" i="14"/>
  <c r="I67" i="14"/>
  <c r="I66" i="14"/>
  <c r="K67" i="14"/>
  <c r="P67" i="14" s="1"/>
  <c r="K66" i="14"/>
  <c r="P66" i="14" s="1"/>
  <c r="V6" i="18"/>
  <c r="K15" i="4"/>
  <c r="K39" i="4"/>
  <c r="M39" i="4" s="1"/>
  <c r="N39" i="4" s="1"/>
  <c r="K72" i="4"/>
  <c r="K68" i="4"/>
  <c r="K73" i="4"/>
  <c r="K69" i="4"/>
  <c r="K22" i="4"/>
  <c r="K70" i="4"/>
  <c r="K71" i="4"/>
  <c r="G6" i="5"/>
  <c r="G129" i="5"/>
  <c r="H129" i="5" s="1"/>
  <c r="G128" i="5"/>
  <c r="G130" i="5"/>
  <c r="G127" i="5"/>
  <c r="G126" i="5"/>
  <c r="H126" i="5" s="1"/>
  <c r="G125" i="5"/>
  <c r="G124" i="5"/>
  <c r="G123" i="5"/>
  <c r="G122" i="5"/>
  <c r="H122" i="5" s="1"/>
  <c r="G121" i="5"/>
  <c r="G120" i="5"/>
  <c r="G119" i="5"/>
  <c r="G118" i="5"/>
  <c r="G117" i="5"/>
  <c r="G116" i="5"/>
  <c r="G115" i="5"/>
  <c r="G114" i="5"/>
  <c r="H114" i="5" s="1"/>
  <c r="G113" i="5"/>
  <c r="G112" i="5"/>
  <c r="G111" i="5"/>
  <c r="G110" i="5"/>
  <c r="H110" i="5" s="1"/>
  <c r="G109" i="5"/>
  <c r="G108" i="5"/>
  <c r="G107" i="5"/>
  <c r="G106" i="5"/>
  <c r="H106" i="5" s="1"/>
  <c r="G105" i="5"/>
  <c r="G104" i="5"/>
  <c r="G103" i="5"/>
  <c r="H103" i="5" s="1"/>
  <c r="G102" i="5"/>
  <c r="H102" i="5" s="1"/>
  <c r="G101" i="5"/>
  <c r="G100" i="5"/>
  <c r="G99" i="5"/>
  <c r="G98" i="5"/>
  <c r="H98" i="5" s="1"/>
  <c r="G97" i="5"/>
  <c r="G96" i="5"/>
  <c r="G95" i="5"/>
  <c r="G94" i="5"/>
  <c r="H94" i="5" s="1"/>
  <c r="G93" i="5"/>
  <c r="G92" i="5"/>
  <c r="G91" i="5"/>
  <c r="G90" i="5"/>
  <c r="H90" i="5" s="1"/>
  <c r="G89" i="5"/>
  <c r="G88" i="5"/>
  <c r="G87" i="5"/>
  <c r="G86" i="5"/>
  <c r="H86" i="5" s="1"/>
  <c r="G85" i="5"/>
  <c r="G84" i="5"/>
  <c r="G83" i="5"/>
  <c r="H83" i="5" s="1"/>
  <c r="G82" i="5"/>
  <c r="H82" i="5" s="1"/>
  <c r="G81" i="5"/>
  <c r="G80" i="5"/>
  <c r="G79" i="5"/>
  <c r="H79" i="5" s="1"/>
  <c r="G78" i="5"/>
  <c r="H78" i="5" s="1"/>
  <c r="G77" i="5"/>
  <c r="G76" i="5"/>
  <c r="G75" i="5"/>
  <c r="G74" i="5"/>
  <c r="H74" i="5" s="1"/>
  <c r="G73" i="5"/>
  <c r="G72" i="5"/>
  <c r="G71" i="5"/>
  <c r="G70" i="5"/>
  <c r="H70" i="5" s="1"/>
  <c r="G69" i="5"/>
  <c r="G68" i="5"/>
  <c r="G67" i="5"/>
  <c r="G66" i="5"/>
  <c r="H66" i="5" s="1"/>
  <c r="G65" i="5"/>
  <c r="G64" i="5"/>
  <c r="G63" i="5"/>
  <c r="G62" i="5"/>
  <c r="H62" i="5" s="1"/>
  <c r="G61" i="5"/>
  <c r="G60" i="5"/>
  <c r="G59" i="5"/>
  <c r="H59" i="5" s="1"/>
  <c r="G58" i="5"/>
  <c r="H58" i="5" s="1"/>
  <c r="G57" i="5"/>
  <c r="G56" i="5"/>
  <c r="G55" i="5"/>
  <c r="H55" i="5" s="1"/>
  <c r="G54" i="5"/>
  <c r="H54" i="5" s="1"/>
  <c r="G53" i="5"/>
  <c r="G52" i="5"/>
  <c r="G51" i="5"/>
  <c r="G50" i="5"/>
  <c r="H50" i="5" s="1"/>
  <c r="G49" i="5"/>
  <c r="G48" i="5"/>
  <c r="G47" i="5"/>
  <c r="G46" i="5"/>
  <c r="H46" i="5" s="1"/>
  <c r="G45" i="5"/>
  <c r="G44" i="5"/>
  <c r="G43" i="5"/>
  <c r="G42" i="5"/>
  <c r="H42" i="5" s="1"/>
  <c r="G41" i="5"/>
  <c r="G40" i="5"/>
  <c r="G39" i="5"/>
  <c r="G38" i="5"/>
  <c r="H38" i="5" s="1"/>
  <c r="G37" i="5"/>
  <c r="G36" i="5"/>
  <c r="G35" i="5"/>
  <c r="G34" i="5"/>
  <c r="H34" i="5" s="1"/>
  <c r="G33" i="5"/>
  <c r="G32" i="5"/>
  <c r="G31" i="5"/>
  <c r="G30" i="5"/>
  <c r="H30" i="5" s="1"/>
  <c r="G29" i="5"/>
  <c r="G28" i="5"/>
  <c r="G27" i="5"/>
  <c r="G26" i="5"/>
  <c r="H26" i="5" s="1"/>
  <c r="G25" i="5"/>
  <c r="G24" i="5"/>
  <c r="G23" i="5"/>
  <c r="G22" i="5"/>
  <c r="H22" i="5" s="1"/>
  <c r="G21" i="5"/>
  <c r="G20" i="5"/>
  <c r="G19" i="5"/>
  <c r="H19" i="5" s="1"/>
  <c r="G18" i="5"/>
  <c r="H18" i="5" s="1"/>
  <c r="G17" i="5"/>
  <c r="G16" i="5"/>
  <c r="G15" i="5"/>
  <c r="H15" i="5" s="1"/>
  <c r="G14" i="5"/>
  <c r="H14" i="5" s="1"/>
  <c r="G13" i="5"/>
  <c r="G12" i="5"/>
  <c r="G11" i="5"/>
  <c r="H11" i="5" s="1"/>
  <c r="G10" i="5"/>
  <c r="H10" i="5" s="1"/>
  <c r="G9" i="5"/>
  <c r="G8" i="5"/>
  <c r="G7" i="5"/>
  <c r="G133" i="5"/>
  <c r="H133" i="5" s="1"/>
  <c r="G135" i="5"/>
  <c r="G137" i="5"/>
  <c r="G139" i="5"/>
  <c r="G141" i="5"/>
  <c r="H141" i="5" s="1"/>
  <c r="G143" i="5"/>
  <c r="G145" i="5"/>
  <c r="G147" i="5"/>
  <c r="G149" i="5"/>
  <c r="H149" i="5" s="1"/>
  <c r="G151" i="5"/>
  <c r="G153" i="5"/>
  <c r="G155" i="5"/>
  <c r="G157" i="5"/>
  <c r="H157" i="5" s="1"/>
  <c r="G159" i="5"/>
  <c r="G161" i="5"/>
  <c r="G163" i="5"/>
  <c r="H163" i="5" s="1"/>
  <c r="G165" i="5"/>
  <c r="G167" i="5"/>
  <c r="G169" i="5"/>
  <c r="G171" i="5"/>
  <c r="H171" i="5" s="1"/>
  <c r="G173" i="5"/>
  <c r="H173" i="5" s="1"/>
  <c r="G175" i="5"/>
  <c r="G177" i="5"/>
  <c r="G179" i="5"/>
  <c r="G181" i="5"/>
  <c r="H181" i="5" s="1"/>
  <c r="G183" i="5"/>
  <c r="G185" i="5"/>
  <c r="G187" i="5"/>
  <c r="G189" i="5"/>
  <c r="H189" i="5" s="1"/>
  <c r="G191" i="5"/>
  <c r="G193" i="5"/>
  <c r="G195" i="5"/>
  <c r="G197" i="5"/>
  <c r="H197" i="5" s="1"/>
  <c r="G199" i="5"/>
  <c r="G201" i="5"/>
  <c r="G203" i="5"/>
  <c r="G205" i="5"/>
  <c r="H205" i="5" s="1"/>
  <c r="G207" i="5"/>
  <c r="G209" i="5"/>
  <c r="G211" i="5"/>
  <c r="H211" i="5" s="1"/>
  <c r="G213" i="5"/>
  <c r="H213" i="5" s="1"/>
  <c r="G215" i="5"/>
  <c r="G217" i="5"/>
  <c r="G219" i="5"/>
  <c r="G221" i="5"/>
  <c r="H221" i="5" s="1"/>
  <c r="G223" i="5"/>
  <c r="G225" i="5"/>
  <c r="G227" i="5"/>
  <c r="H227" i="5" s="1"/>
  <c r="G229" i="5"/>
  <c r="H229" i="5" s="1"/>
  <c r="G231" i="5"/>
  <c r="G233" i="5"/>
  <c r="G235" i="5"/>
  <c r="G237" i="5"/>
  <c r="H237" i="5" s="1"/>
  <c r="G239" i="5"/>
  <c r="G241" i="5"/>
  <c r="G243" i="5"/>
  <c r="G245" i="5"/>
  <c r="H245" i="5" s="1"/>
  <c r="G247" i="5"/>
  <c r="G249" i="5"/>
  <c r="G251" i="5"/>
  <c r="G253" i="5"/>
  <c r="H253" i="5" s="1"/>
  <c r="G255" i="5"/>
  <c r="G257" i="5"/>
  <c r="G259" i="5"/>
  <c r="G261" i="5"/>
  <c r="H261" i="5" s="1"/>
  <c r="G263" i="5"/>
  <c r="G265" i="5"/>
  <c r="G267" i="5"/>
  <c r="G269" i="5"/>
  <c r="H269" i="5" s="1"/>
  <c r="G271" i="5"/>
  <c r="G273" i="5"/>
  <c r="G275" i="5"/>
  <c r="G277" i="5"/>
  <c r="H277" i="5" s="1"/>
  <c r="G279" i="5"/>
  <c r="G281" i="5"/>
  <c r="G283" i="5"/>
  <c r="G285" i="5"/>
  <c r="H285" i="5" s="1"/>
  <c r="G287" i="5"/>
  <c r="G289" i="5"/>
  <c r="G132" i="5"/>
  <c r="H132" i="5" s="1"/>
  <c r="G134" i="5"/>
  <c r="H134" i="5" s="1"/>
  <c r="G136" i="5"/>
  <c r="G138" i="5"/>
  <c r="G140" i="5"/>
  <c r="G142" i="5"/>
  <c r="H142" i="5" s="1"/>
  <c r="G144" i="5"/>
  <c r="G146" i="5"/>
  <c r="G148" i="5"/>
  <c r="H148" i="5" s="1"/>
  <c r="G150" i="5"/>
  <c r="H150" i="5" s="1"/>
  <c r="G152" i="5"/>
  <c r="G154" i="5"/>
  <c r="G156" i="5"/>
  <c r="G158" i="5"/>
  <c r="H158" i="5" s="1"/>
  <c r="G160" i="5"/>
  <c r="G162" i="5"/>
  <c r="G164" i="5"/>
  <c r="G166" i="5"/>
  <c r="H166" i="5" s="1"/>
  <c r="G168" i="5"/>
  <c r="G170" i="5"/>
  <c r="G172" i="5"/>
  <c r="G174" i="5"/>
  <c r="H174" i="5" s="1"/>
  <c r="G176" i="5"/>
  <c r="G178" i="5"/>
  <c r="G180" i="5"/>
  <c r="G182" i="5"/>
  <c r="H182" i="5" s="1"/>
  <c r="G184" i="5"/>
  <c r="G186" i="5"/>
  <c r="G188" i="5"/>
  <c r="G190" i="5"/>
  <c r="H190" i="5" s="1"/>
  <c r="G192" i="5"/>
  <c r="G194" i="5"/>
  <c r="G196" i="5"/>
  <c r="G198" i="5"/>
  <c r="H198" i="5" s="1"/>
  <c r="G200" i="5"/>
  <c r="G202" i="5"/>
  <c r="G204" i="5"/>
  <c r="G206" i="5"/>
  <c r="H206" i="5" s="1"/>
  <c r="G208" i="5"/>
  <c r="G210" i="5"/>
  <c r="G212" i="5"/>
  <c r="H212" i="5" s="1"/>
  <c r="G214" i="5"/>
  <c r="H214" i="5" s="1"/>
  <c r="G216" i="5"/>
  <c r="G218" i="5"/>
  <c r="G220" i="5"/>
  <c r="H220" i="5" s="1"/>
  <c r="G222" i="5"/>
  <c r="H222" i="5" s="1"/>
  <c r="G224" i="5"/>
  <c r="G226" i="5"/>
  <c r="G228" i="5"/>
  <c r="G230" i="5"/>
  <c r="H230" i="5" s="1"/>
  <c r="G232" i="5"/>
  <c r="G234" i="5"/>
  <c r="G236" i="5"/>
  <c r="H236" i="5" s="1"/>
  <c r="G238" i="5"/>
  <c r="H238" i="5" s="1"/>
  <c r="G240" i="5"/>
  <c r="G242" i="5"/>
  <c r="G244" i="5"/>
  <c r="G246" i="5"/>
  <c r="H246" i="5" s="1"/>
  <c r="G248" i="5"/>
  <c r="G250" i="5"/>
  <c r="G252" i="5"/>
  <c r="H252" i="5" s="1"/>
  <c r="G254" i="5"/>
  <c r="H254" i="5" s="1"/>
  <c r="G256" i="5"/>
  <c r="G258" i="5"/>
  <c r="G260" i="5"/>
  <c r="H260" i="5" s="1"/>
  <c r="G262" i="5"/>
  <c r="H262" i="5" s="1"/>
  <c r="G264" i="5"/>
  <c r="G266" i="5"/>
  <c r="G268" i="5"/>
  <c r="G270" i="5"/>
  <c r="H270" i="5" s="1"/>
  <c r="G272" i="5"/>
  <c r="G274" i="5"/>
  <c r="G276" i="5"/>
  <c r="H276" i="5" s="1"/>
  <c r="G278" i="5"/>
  <c r="H278" i="5" s="1"/>
  <c r="G280" i="5"/>
  <c r="G282" i="5"/>
  <c r="G284" i="5"/>
  <c r="G286" i="5"/>
  <c r="H286" i="5" s="1"/>
  <c r="G288" i="5"/>
  <c r="G131" i="5"/>
  <c r="F73" i="4"/>
  <c r="H10" i="13"/>
  <c r="F72" i="4"/>
  <c r="F74" i="4"/>
  <c r="K74" i="4"/>
  <c r="F75" i="4"/>
  <c r="K75" i="4"/>
  <c r="F62" i="4"/>
  <c r="F63" i="4"/>
  <c r="F107" i="4"/>
  <c r="F106" i="4"/>
  <c r="F89" i="4"/>
  <c r="F88" i="4"/>
  <c r="H47" i="14"/>
  <c r="H46" i="14"/>
  <c r="H45" i="14"/>
  <c r="H44" i="14"/>
  <c r="H43" i="14"/>
  <c r="H42" i="14"/>
  <c r="H39" i="14"/>
  <c r="H38" i="14"/>
  <c r="H37" i="14"/>
  <c r="H36" i="14"/>
  <c r="H35" i="14"/>
  <c r="H34" i="14"/>
  <c r="H33" i="14"/>
  <c r="H32" i="14"/>
  <c r="H31" i="14"/>
  <c r="H30" i="14"/>
  <c r="H29" i="14"/>
  <c r="H28" i="14"/>
  <c r="H27" i="14"/>
  <c r="H26" i="14"/>
  <c r="H25" i="14"/>
  <c r="H24" i="14"/>
  <c r="H23" i="14"/>
  <c r="H22" i="14"/>
  <c r="H21" i="14"/>
  <c r="H20" i="14"/>
  <c r="K93" i="4"/>
  <c r="K111" i="4"/>
  <c r="K113" i="4"/>
  <c r="K28" i="4"/>
  <c r="M28" i="4" s="1"/>
  <c r="N28" i="4" s="1"/>
  <c r="F130" i="4"/>
  <c r="H130" i="4" s="1"/>
  <c r="F131" i="4"/>
  <c r="K29" i="4"/>
  <c r="M29" i="4" s="1"/>
  <c r="N29" i="4" s="1"/>
  <c r="F133" i="4"/>
  <c r="J67" i="14"/>
  <c r="J66" i="14"/>
  <c r="J6" i="18"/>
  <c r="D169" i="8"/>
  <c r="D167" i="8"/>
  <c r="D165" i="8"/>
  <c r="D163" i="8"/>
  <c r="D161" i="8"/>
  <c r="D159" i="8"/>
  <c r="D157" i="8"/>
  <c r="D155" i="8"/>
  <c r="D153" i="8"/>
  <c r="D151" i="8"/>
  <c r="D149" i="8"/>
  <c r="D147" i="8"/>
  <c r="D145" i="8"/>
  <c r="D143" i="8"/>
  <c r="D141" i="8"/>
  <c r="D139" i="8"/>
  <c r="D137" i="8"/>
  <c r="D135" i="8"/>
  <c r="D133" i="8"/>
  <c r="D131" i="8"/>
  <c r="D129" i="8"/>
  <c r="D127" i="8"/>
  <c r="D125" i="8"/>
  <c r="D123" i="8"/>
  <c r="D121" i="8"/>
  <c r="D119" i="8"/>
  <c r="D117" i="8"/>
  <c r="D115" i="8"/>
  <c r="D113" i="8"/>
  <c r="D111" i="8"/>
  <c r="D109" i="8"/>
  <c r="D107" i="8"/>
  <c r="K6" i="14"/>
  <c r="P6" i="14" s="1"/>
  <c r="K5" i="14"/>
  <c r="P5" i="14" s="1"/>
  <c r="F121" i="4"/>
  <c r="F120" i="4"/>
  <c r="F103" i="4"/>
  <c r="F102" i="4"/>
  <c r="F85" i="4"/>
  <c r="F84" i="4"/>
  <c r="K65" i="14"/>
  <c r="P65" i="14" s="1"/>
  <c r="K64" i="14"/>
  <c r="P64" i="14" s="1"/>
  <c r="K63" i="14"/>
  <c r="P63" i="14" s="1"/>
  <c r="K62" i="14"/>
  <c r="P62" i="14" s="1"/>
  <c r="K61" i="14"/>
  <c r="P61" i="14" s="1"/>
  <c r="K60" i="14"/>
  <c r="P60" i="14" s="1"/>
  <c r="K59" i="14"/>
  <c r="P59" i="14" s="1"/>
  <c r="K58" i="14"/>
  <c r="P58" i="14" s="1"/>
  <c r="K57" i="14"/>
  <c r="P57" i="14" s="1"/>
  <c r="K56" i="14"/>
  <c r="P56" i="14" s="1"/>
  <c r="K55" i="14"/>
  <c r="P55" i="14" s="1"/>
  <c r="K54" i="14"/>
  <c r="P54" i="14" s="1"/>
  <c r="K53" i="14"/>
  <c r="P53" i="14" s="1"/>
  <c r="K52" i="14"/>
  <c r="P52" i="14" s="1"/>
  <c r="K51" i="14"/>
  <c r="P51" i="14" s="1"/>
  <c r="K50" i="14"/>
  <c r="P50" i="14" s="1"/>
  <c r="K49" i="14"/>
  <c r="P49" i="14" s="1"/>
  <c r="K48" i="14"/>
  <c r="P48" i="14" s="1"/>
  <c r="K47" i="14"/>
  <c r="P47" i="14" s="1"/>
  <c r="K46" i="14"/>
  <c r="P46" i="14" s="1"/>
  <c r="K45" i="14"/>
  <c r="P45" i="14" s="1"/>
  <c r="K44" i="14"/>
  <c r="P44" i="14" s="1"/>
  <c r="K43" i="14"/>
  <c r="P43" i="14" s="1"/>
  <c r="K42" i="14"/>
  <c r="P42" i="14" s="1"/>
  <c r="K41" i="14"/>
  <c r="P41" i="14" s="1"/>
  <c r="K40" i="14"/>
  <c r="P40" i="14" s="1"/>
  <c r="K39" i="14"/>
  <c r="P39" i="14" s="1"/>
  <c r="K38" i="14"/>
  <c r="P38" i="14" s="1"/>
  <c r="K37" i="14"/>
  <c r="P37" i="14" s="1"/>
  <c r="K36" i="14"/>
  <c r="P36" i="14" s="1"/>
  <c r="K35" i="14"/>
  <c r="P35" i="14" s="1"/>
  <c r="K34" i="14"/>
  <c r="P34" i="14" s="1"/>
  <c r="K33" i="14"/>
  <c r="P33" i="14" s="1"/>
  <c r="K32" i="14"/>
  <c r="P32" i="14" s="1"/>
  <c r="K31" i="14"/>
  <c r="P31" i="14" s="1"/>
  <c r="K30" i="14"/>
  <c r="P30" i="14" s="1"/>
  <c r="K29" i="14"/>
  <c r="P29" i="14" s="1"/>
  <c r="K28" i="14"/>
  <c r="P28" i="14" s="1"/>
  <c r="K27" i="14"/>
  <c r="P27" i="14" s="1"/>
  <c r="K26" i="14"/>
  <c r="P26" i="14" s="1"/>
  <c r="K25" i="14"/>
  <c r="P25" i="14" s="1"/>
  <c r="K24" i="14"/>
  <c r="P24" i="14" s="1"/>
  <c r="K23" i="14"/>
  <c r="P23" i="14" s="1"/>
  <c r="K22" i="14"/>
  <c r="P22" i="14" s="1"/>
  <c r="K21" i="14"/>
  <c r="P21" i="14" s="1"/>
  <c r="K20" i="14"/>
  <c r="P20" i="14" s="1"/>
  <c r="K19" i="14"/>
  <c r="P19" i="14" s="1"/>
  <c r="K18" i="14"/>
  <c r="P18" i="14" s="1"/>
  <c r="K17" i="14"/>
  <c r="P17" i="14" s="1"/>
  <c r="K16" i="14"/>
  <c r="P16" i="14" s="1"/>
  <c r="K15" i="14"/>
  <c r="P15" i="14" s="1"/>
  <c r="K14" i="14"/>
  <c r="P14" i="14" s="1"/>
  <c r="K13" i="14"/>
  <c r="P13" i="14" s="1"/>
  <c r="K12" i="14"/>
  <c r="P12" i="14" s="1"/>
  <c r="K11" i="14"/>
  <c r="P11" i="14" s="1"/>
  <c r="K10" i="14"/>
  <c r="P10" i="14" s="1"/>
  <c r="K9" i="14"/>
  <c r="P9" i="14" s="1"/>
  <c r="K8" i="14"/>
  <c r="P8" i="14" s="1"/>
  <c r="K7" i="14"/>
  <c r="P7" i="14" s="1"/>
  <c r="H19" i="14"/>
  <c r="H17" i="13"/>
  <c r="D6" i="13"/>
  <c r="D112" i="6" s="1"/>
  <c r="J14" i="14"/>
  <c r="J13" i="14"/>
  <c r="J11" i="14"/>
  <c r="J65" i="14"/>
  <c r="J64" i="14"/>
  <c r="J63" i="14"/>
  <c r="J62" i="14"/>
  <c r="J61" i="14"/>
  <c r="J60" i="14"/>
  <c r="J59" i="14"/>
  <c r="J58" i="14"/>
  <c r="J57" i="14"/>
  <c r="J56" i="14"/>
  <c r="J55" i="14"/>
  <c r="J54" i="14"/>
  <c r="J53" i="14"/>
  <c r="J52" i="14"/>
  <c r="J51" i="14"/>
  <c r="J50" i="14"/>
  <c r="J49" i="14"/>
  <c r="J48" i="14"/>
  <c r="J47" i="14"/>
  <c r="J46" i="14"/>
  <c r="J45" i="14"/>
  <c r="J44" i="14"/>
  <c r="J43" i="14"/>
  <c r="J42" i="14"/>
  <c r="J41" i="14"/>
  <c r="J40" i="14"/>
  <c r="J39" i="14"/>
  <c r="J38" i="14"/>
  <c r="J37" i="14"/>
  <c r="J36" i="14"/>
  <c r="J35" i="14"/>
  <c r="J34" i="14"/>
  <c r="J33" i="14"/>
  <c r="J32" i="14"/>
  <c r="J31" i="14"/>
  <c r="J30" i="14"/>
  <c r="J29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2" i="14"/>
  <c r="J10" i="14"/>
  <c r="J9" i="14"/>
  <c r="J8" i="14"/>
  <c r="J7" i="14"/>
  <c r="J6" i="14"/>
  <c r="J5" i="14"/>
  <c r="H116" i="6"/>
  <c r="H115" i="6"/>
  <c r="H114" i="6"/>
  <c r="H113" i="6"/>
  <c r="H112" i="6"/>
  <c r="H118" i="6"/>
  <c r="H117" i="6"/>
  <c r="G118" i="6"/>
  <c r="G117" i="6"/>
  <c r="G116" i="6"/>
  <c r="G115" i="6"/>
  <c r="G114" i="6"/>
  <c r="G113" i="6"/>
  <c r="G112" i="6"/>
  <c r="X61" i="14"/>
  <c r="L8" i="1"/>
  <c r="L9" i="1"/>
  <c r="F91" i="4"/>
  <c r="F90" i="4"/>
  <c r="B2" i="10"/>
  <c r="H287" i="5"/>
  <c r="H14" i="14"/>
  <c r="H6" i="14"/>
  <c r="H18" i="14"/>
  <c r="H17" i="14"/>
  <c r="H16" i="14"/>
  <c r="H15" i="14"/>
  <c r="H13" i="14"/>
  <c r="H12" i="14"/>
  <c r="H11" i="14"/>
  <c r="H10" i="14"/>
  <c r="H9" i="14"/>
  <c r="H8" i="14"/>
  <c r="H7" i="14"/>
  <c r="E168" i="8"/>
  <c r="E166" i="8"/>
  <c r="E164" i="8"/>
  <c r="E162" i="8"/>
  <c r="E160" i="8"/>
  <c r="E158" i="8"/>
  <c r="E156" i="8"/>
  <c r="E154" i="8"/>
  <c r="E152" i="8"/>
  <c r="E150" i="8"/>
  <c r="E148" i="8"/>
  <c r="E146" i="8"/>
  <c r="E144" i="8"/>
  <c r="E142" i="8"/>
  <c r="E140" i="8"/>
  <c r="E138" i="8"/>
  <c r="E136" i="8"/>
  <c r="E134" i="8"/>
  <c r="E132" i="8"/>
  <c r="E130" i="8"/>
  <c r="E128" i="8"/>
  <c r="E126" i="8"/>
  <c r="E124" i="8"/>
  <c r="E122" i="8"/>
  <c r="E120" i="8"/>
  <c r="E118" i="8"/>
  <c r="E116" i="8"/>
  <c r="E114" i="8"/>
  <c r="E112" i="8"/>
  <c r="E110" i="8"/>
  <c r="E108" i="8"/>
  <c r="E106" i="8"/>
  <c r="E104" i="8"/>
  <c r="E102" i="8"/>
  <c r="E100" i="8"/>
  <c r="E98" i="8"/>
  <c r="E96" i="8"/>
  <c r="E94" i="8"/>
  <c r="E92" i="8"/>
  <c r="E90" i="8"/>
  <c r="E88" i="8"/>
  <c r="E86" i="8"/>
  <c r="E84" i="8"/>
  <c r="E82" i="8"/>
  <c r="E80" i="8"/>
  <c r="E78" i="8"/>
  <c r="E76" i="8"/>
  <c r="E74" i="8"/>
  <c r="E72" i="8"/>
  <c r="E70" i="8"/>
  <c r="E68" i="8"/>
  <c r="E66" i="8"/>
  <c r="E64" i="8"/>
  <c r="E62" i="8"/>
  <c r="E60" i="8"/>
  <c r="E58" i="8"/>
  <c r="E56" i="8"/>
  <c r="E54" i="8"/>
  <c r="E52" i="8"/>
  <c r="E50" i="8"/>
  <c r="E48" i="8"/>
  <c r="E46" i="8"/>
  <c r="E44" i="8"/>
  <c r="E42" i="8"/>
  <c r="E40" i="8"/>
  <c r="E38" i="8"/>
  <c r="E36" i="8"/>
  <c r="E34" i="8"/>
  <c r="E32" i="8"/>
  <c r="E30" i="8"/>
  <c r="E28" i="8"/>
  <c r="E26" i="8"/>
  <c r="E24" i="8"/>
  <c r="E22" i="8"/>
  <c r="E20" i="8"/>
  <c r="E18" i="8"/>
  <c r="E16" i="8"/>
  <c r="E14" i="8"/>
  <c r="E12" i="8"/>
  <c r="E10" i="8"/>
  <c r="E8" i="8" s="1"/>
  <c r="H12" i="13"/>
  <c r="H16" i="13"/>
  <c r="X62" i="14"/>
  <c r="X60" i="14"/>
  <c r="X59" i="14"/>
  <c r="X58" i="14"/>
  <c r="X57" i="14"/>
  <c r="X56" i="14"/>
  <c r="X55" i="14"/>
  <c r="X54" i="14"/>
  <c r="X53" i="14"/>
  <c r="X52" i="14"/>
  <c r="X51" i="14"/>
  <c r="X50" i="14"/>
  <c r="X49" i="14"/>
  <c r="X48" i="14"/>
  <c r="X47" i="14"/>
  <c r="X46" i="14"/>
  <c r="X45" i="14"/>
  <c r="X44" i="14"/>
  <c r="X43" i="14"/>
  <c r="X42" i="14"/>
  <c r="X41" i="14"/>
  <c r="X40" i="14"/>
  <c r="X39" i="14"/>
  <c r="X38" i="14"/>
  <c r="X37" i="14"/>
  <c r="X36" i="14"/>
  <c r="X35" i="14"/>
  <c r="X34" i="14"/>
  <c r="X33" i="14"/>
  <c r="X32" i="14"/>
  <c r="X31" i="14"/>
  <c r="X30" i="14"/>
  <c r="X29" i="14"/>
  <c r="X28" i="14"/>
  <c r="X27" i="14"/>
  <c r="X26" i="14"/>
  <c r="X25" i="14"/>
  <c r="X24" i="14"/>
  <c r="X23" i="14"/>
  <c r="X22" i="14"/>
  <c r="X21" i="14"/>
  <c r="X20" i="14"/>
  <c r="X19" i="14"/>
  <c r="X18" i="14"/>
  <c r="X17" i="14"/>
  <c r="X16" i="14"/>
  <c r="X15" i="14"/>
  <c r="X14" i="14"/>
  <c r="X13" i="14"/>
  <c r="X12" i="14"/>
  <c r="X11" i="14"/>
  <c r="X10" i="14"/>
  <c r="X9" i="14"/>
  <c r="X8" i="14"/>
  <c r="X7" i="14"/>
  <c r="X6" i="14"/>
  <c r="K21" i="4"/>
  <c r="N20" i="4"/>
  <c r="N19" i="4"/>
  <c r="N18" i="4"/>
  <c r="F143" i="4"/>
  <c r="H143" i="4" s="1"/>
  <c r="F142" i="4"/>
  <c r="F141" i="4"/>
  <c r="F140" i="4"/>
  <c r="F139" i="4"/>
  <c r="F138" i="4"/>
  <c r="F137" i="4"/>
  <c r="F136" i="4"/>
  <c r="F135" i="4"/>
  <c r="F134" i="4"/>
  <c r="F132" i="4"/>
  <c r="F127" i="4"/>
  <c r="F126" i="4"/>
  <c r="F125" i="4"/>
  <c r="F124" i="4"/>
  <c r="F123" i="4"/>
  <c r="F122" i="4"/>
  <c r="F117" i="4"/>
  <c r="F116" i="4"/>
  <c r="F115" i="4"/>
  <c r="F114" i="4"/>
  <c r="F113" i="4"/>
  <c r="H113" i="4" s="1"/>
  <c r="F112" i="4"/>
  <c r="F111" i="4"/>
  <c r="F110" i="4"/>
  <c r="F105" i="4"/>
  <c r="F104" i="4"/>
  <c r="F99" i="4"/>
  <c r="F98" i="4"/>
  <c r="F97" i="4"/>
  <c r="F96" i="4"/>
  <c r="F95" i="4"/>
  <c r="F94" i="4"/>
  <c r="F93" i="4"/>
  <c r="F92" i="4"/>
  <c r="F87" i="4"/>
  <c r="F86" i="4"/>
  <c r="F81" i="4"/>
  <c r="F80" i="4"/>
  <c r="F79" i="4"/>
  <c r="F78" i="4"/>
  <c r="F77" i="4"/>
  <c r="F76" i="4"/>
  <c r="F71" i="4"/>
  <c r="F70" i="4"/>
  <c r="F69" i="4"/>
  <c r="F68" i="4"/>
  <c r="F67" i="4"/>
  <c r="F66" i="4"/>
  <c r="F109" i="4"/>
  <c r="F108" i="4"/>
  <c r="F65" i="4"/>
  <c r="F64" i="4"/>
  <c r="F61" i="4"/>
  <c r="F60" i="4"/>
  <c r="F57" i="4"/>
  <c r="F56" i="4"/>
  <c r="F55" i="4"/>
  <c r="F54" i="4"/>
  <c r="F53" i="4"/>
  <c r="F52" i="4"/>
  <c r="K45" i="4"/>
  <c r="K44" i="4"/>
  <c r="M44" i="4" s="1"/>
  <c r="N44" i="4" s="1"/>
  <c r="K27" i="4"/>
  <c r="M27" i="4" s="1"/>
  <c r="N27" i="4" s="1"/>
  <c r="I4" i="12"/>
  <c r="I13" i="12"/>
  <c r="I7" i="12"/>
  <c r="I6" i="12"/>
  <c r="K117" i="4"/>
  <c r="K116" i="4"/>
  <c r="K115" i="4"/>
  <c r="K114" i="4"/>
  <c r="K112" i="4"/>
  <c r="K95" i="4"/>
  <c r="K94" i="4"/>
  <c r="K77" i="4"/>
  <c r="K76" i="4"/>
  <c r="K61" i="4"/>
  <c r="K60" i="4"/>
  <c r="K99" i="4"/>
  <c r="K98" i="4"/>
  <c r="K97" i="4"/>
  <c r="K96" i="4"/>
  <c r="K92" i="4"/>
  <c r="K81" i="4"/>
  <c r="K80" i="4"/>
  <c r="K79" i="4"/>
  <c r="K78" i="4"/>
  <c r="I65" i="14"/>
  <c r="I64" i="14"/>
  <c r="I31" i="14"/>
  <c r="I23" i="14"/>
  <c r="I30" i="14"/>
  <c r="I22" i="14"/>
  <c r="I37" i="14"/>
  <c r="I29" i="14"/>
  <c r="I21" i="14"/>
  <c r="I40" i="14"/>
  <c r="I36" i="14"/>
  <c r="I28" i="14"/>
  <c r="I32" i="14"/>
  <c r="I35" i="14"/>
  <c r="I27" i="14"/>
  <c r="I34" i="14"/>
  <c r="I26" i="14"/>
  <c r="I24" i="14"/>
  <c r="I33" i="14"/>
  <c r="I25" i="14"/>
  <c r="H5" i="14"/>
  <c r="K123" i="4"/>
  <c r="K13" i="12"/>
  <c r="H42" i="12"/>
  <c r="H43" i="12"/>
  <c r="H41" i="12"/>
  <c r="H40" i="12"/>
  <c r="H39" i="12"/>
  <c r="K122" i="4"/>
  <c r="K37" i="12"/>
  <c r="K36" i="12"/>
  <c r="K28" i="12"/>
  <c r="K22" i="12"/>
  <c r="K12" i="12"/>
  <c r="K41" i="12"/>
  <c r="K40" i="12"/>
  <c r="K31" i="12"/>
  <c r="K32" i="12"/>
  <c r="K24" i="12"/>
  <c r="K29" i="12"/>
  <c r="K23" i="12"/>
  <c r="K38" i="12"/>
  <c r="K39" i="12"/>
  <c r="K35" i="12"/>
  <c r="K33" i="12"/>
  <c r="K30" i="12"/>
  <c r="K27" i="12"/>
  <c r="K26" i="12"/>
  <c r="K11" i="12"/>
  <c r="K10" i="12"/>
  <c r="K9" i="12"/>
  <c r="K43" i="12"/>
  <c r="K42" i="12"/>
  <c r="K34" i="12"/>
  <c r="K25" i="12"/>
  <c r="J32" i="12"/>
  <c r="O32" i="12" s="1"/>
  <c r="P32" i="12" s="1"/>
  <c r="K110" i="4"/>
  <c r="G169" i="7"/>
  <c r="R169" i="7" s="1"/>
  <c r="G168" i="7"/>
  <c r="H168" i="7" s="1"/>
  <c r="G167" i="7"/>
  <c r="R167" i="7" s="1"/>
  <c r="G166" i="7"/>
  <c r="H166" i="7" s="1"/>
  <c r="G165" i="7"/>
  <c r="R165" i="7" s="1"/>
  <c r="G164" i="7"/>
  <c r="H164" i="7" s="1"/>
  <c r="G163" i="7"/>
  <c r="G162" i="7"/>
  <c r="H162" i="7" s="1"/>
  <c r="G161" i="7"/>
  <c r="R161" i="7" s="1"/>
  <c r="G160" i="7"/>
  <c r="G159" i="7"/>
  <c r="R159" i="7" s="1"/>
  <c r="G158" i="7"/>
  <c r="H158" i="7" s="1"/>
  <c r="G157" i="7"/>
  <c r="R157" i="7" s="1"/>
  <c r="G156" i="7"/>
  <c r="H156" i="7" s="1"/>
  <c r="G155" i="7"/>
  <c r="R155" i="7" s="1"/>
  <c r="G154" i="7"/>
  <c r="H154" i="7" s="1"/>
  <c r="G153" i="7"/>
  <c r="R153" i="7" s="1"/>
  <c r="G152" i="7"/>
  <c r="G151" i="7"/>
  <c r="R151" i="7" s="1"/>
  <c r="G150" i="7"/>
  <c r="H150" i="7" s="1"/>
  <c r="G149" i="7"/>
  <c r="G148" i="7"/>
  <c r="H148" i="7" s="1"/>
  <c r="G147" i="7"/>
  <c r="R147" i="7" s="1"/>
  <c r="G146" i="7"/>
  <c r="H146" i="7" s="1"/>
  <c r="G145" i="7"/>
  <c r="R145" i="7" s="1"/>
  <c r="G144" i="7"/>
  <c r="H144" i="7" s="1"/>
  <c r="G143" i="7"/>
  <c r="R143" i="7" s="1"/>
  <c r="G142" i="7"/>
  <c r="G141" i="7"/>
  <c r="R141" i="7" s="1"/>
  <c r="G140" i="7"/>
  <c r="H140" i="7" s="1"/>
  <c r="G139" i="7"/>
  <c r="G138" i="7"/>
  <c r="H138" i="7" s="1"/>
  <c r="G137" i="7"/>
  <c r="R137" i="7" s="1"/>
  <c r="G136" i="7"/>
  <c r="H136" i="7" s="1"/>
  <c r="G135" i="7"/>
  <c r="R135" i="7" s="1"/>
  <c r="G134" i="7"/>
  <c r="G133" i="7"/>
  <c r="G132" i="7"/>
  <c r="H132" i="7" s="1"/>
  <c r="G131" i="7"/>
  <c r="R131" i="7" s="1"/>
  <c r="G130" i="7"/>
  <c r="H130" i="7" s="1"/>
  <c r="G129" i="7"/>
  <c r="G128" i="7"/>
  <c r="H128" i="7" s="1"/>
  <c r="G127" i="7"/>
  <c r="R127" i="7" s="1"/>
  <c r="G126" i="7"/>
  <c r="H126" i="7" s="1"/>
  <c r="G125" i="7"/>
  <c r="R125" i="7" s="1"/>
  <c r="G124" i="7"/>
  <c r="G123" i="7"/>
  <c r="R123" i="7" s="1"/>
  <c r="G122" i="7"/>
  <c r="H122" i="7" s="1"/>
  <c r="G121" i="7"/>
  <c r="R121" i="7" s="1"/>
  <c r="G120" i="7"/>
  <c r="H120" i="7" s="1"/>
  <c r="G119" i="7"/>
  <c r="R119" i="7" s="1"/>
  <c r="G118" i="7"/>
  <c r="G117" i="7"/>
  <c r="G116" i="7"/>
  <c r="G115" i="7"/>
  <c r="R115" i="7" s="1"/>
  <c r="G114" i="7"/>
  <c r="H114" i="7" s="1"/>
  <c r="G113" i="7"/>
  <c r="G112" i="7"/>
  <c r="H112" i="7" s="1"/>
  <c r="G111" i="7"/>
  <c r="G110" i="7"/>
  <c r="G109" i="7"/>
  <c r="G108" i="7"/>
  <c r="H108" i="7" s="1"/>
  <c r="G107" i="7"/>
  <c r="R107" i="7" s="1"/>
  <c r="G106" i="7"/>
  <c r="H106" i="7" s="1"/>
  <c r="G105" i="7"/>
  <c r="R105" i="7" s="1"/>
  <c r="G104" i="7"/>
  <c r="H104" i="7" s="1"/>
  <c r="G103" i="7"/>
  <c r="R103" i="7" s="1"/>
  <c r="G102" i="7"/>
  <c r="G101" i="7"/>
  <c r="R101" i="7" s="1"/>
  <c r="G100" i="7"/>
  <c r="H100" i="7" s="1"/>
  <c r="G99" i="7"/>
  <c r="R99" i="7" s="1"/>
  <c r="G98" i="7"/>
  <c r="H98" i="7" s="1"/>
  <c r="G97" i="7"/>
  <c r="G96" i="7"/>
  <c r="H96" i="7" s="1"/>
  <c r="G95" i="7"/>
  <c r="G94" i="7"/>
  <c r="H94" i="7" s="1"/>
  <c r="G93" i="7"/>
  <c r="G92" i="7"/>
  <c r="H92" i="7" s="1"/>
  <c r="G91" i="7"/>
  <c r="G90" i="7"/>
  <c r="H90" i="7" s="1"/>
  <c r="G89" i="7"/>
  <c r="H89" i="7" s="1"/>
  <c r="G88" i="7"/>
  <c r="H88" i="7" s="1"/>
  <c r="G87" i="7"/>
  <c r="R87" i="7" s="1"/>
  <c r="G86" i="7"/>
  <c r="G85" i="7"/>
  <c r="R85" i="7" s="1"/>
  <c r="G84" i="7"/>
  <c r="H84" i="7" s="1"/>
  <c r="G83" i="7"/>
  <c r="R83" i="7" s="1"/>
  <c r="G82" i="7"/>
  <c r="H82" i="7" s="1"/>
  <c r="G81" i="7"/>
  <c r="G80" i="7"/>
  <c r="H80" i="7" s="1"/>
  <c r="G79" i="7"/>
  <c r="G78" i="7"/>
  <c r="G77" i="7"/>
  <c r="G76" i="7"/>
  <c r="H76" i="7" s="1"/>
  <c r="G75" i="7"/>
  <c r="R75" i="7" s="1"/>
  <c r="G74" i="7"/>
  <c r="H74" i="7" s="1"/>
  <c r="G73" i="7"/>
  <c r="G72" i="7"/>
  <c r="H72" i="7" s="1"/>
  <c r="G71" i="7"/>
  <c r="R71" i="7" s="1"/>
  <c r="G70" i="7"/>
  <c r="G69" i="7"/>
  <c r="R69" i="7" s="1"/>
  <c r="G68" i="7"/>
  <c r="H68" i="7" s="1"/>
  <c r="G67" i="7"/>
  <c r="R67" i="7" s="1"/>
  <c r="G66" i="7"/>
  <c r="H66" i="7" s="1"/>
  <c r="G65" i="7"/>
  <c r="R65" i="7" s="1"/>
  <c r="G64" i="7"/>
  <c r="G63" i="7"/>
  <c r="R63" i="7" s="1"/>
  <c r="G62" i="7"/>
  <c r="G61" i="7"/>
  <c r="G60" i="7"/>
  <c r="H60" i="7" s="1"/>
  <c r="G59" i="7"/>
  <c r="G58" i="7"/>
  <c r="H58" i="7" s="1"/>
  <c r="G57" i="7"/>
  <c r="R57" i="7" s="1"/>
  <c r="G56" i="7"/>
  <c r="H56" i="7" s="1"/>
  <c r="G55" i="7"/>
  <c r="R55" i="7" s="1"/>
  <c r="G54" i="7"/>
  <c r="H54" i="7" s="1"/>
  <c r="G53" i="7"/>
  <c r="G52" i="7"/>
  <c r="H52" i="7" s="1"/>
  <c r="G51" i="7"/>
  <c r="R51" i="7" s="1"/>
  <c r="G50" i="7"/>
  <c r="H50" i="7" s="1"/>
  <c r="G49" i="7"/>
  <c r="G48" i="7"/>
  <c r="H48" i="7" s="1"/>
  <c r="G47" i="7"/>
  <c r="R47" i="7" s="1"/>
  <c r="G46" i="7"/>
  <c r="G45" i="7"/>
  <c r="R45" i="7" s="1"/>
  <c r="G44" i="7"/>
  <c r="H44" i="7" s="1"/>
  <c r="G43" i="7"/>
  <c r="G42" i="7"/>
  <c r="H42" i="7" s="1"/>
  <c r="G41" i="7"/>
  <c r="G40" i="7"/>
  <c r="H40" i="7" s="1"/>
  <c r="G39" i="7"/>
  <c r="R39" i="7" s="1"/>
  <c r="G38" i="7"/>
  <c r="G37" i="7"/>
  <c r="G36" i="7"/>
  <c r="H36" i="7" s="1"/>
  <c r="G35" i="7"/>
  <c r="R35" i="7" s="1"/>
  <c r="G34" i="7"/>
  <c r="H34" i="7" s="1"/>
  <c r="G33" i="7"/>
  <c r="R33" i="7" s="1"/>
  <c r="G32" i="7"/>
  <c r="H32" i="7" s="1"/>
  <c r="G31" i="7"/>
  <c r="R31" i="7" s="1"/>
  <c r="G30" i="7"/>
  <c r="G29" i="7"/>
  <c r="R29" i="7" s="1"/>
  <c r="G28" i="7"/>
  <c r="H28" i="7" s="1"/>
  <c r="G27" i="7"/>
  <c r="G26" i="7"/>
  <c r="H26" i="7" s="1"/>
  <c r="G25" i="7"/>
  <c r="R25" i="7" s="1"/>
  <c r="G24" i="7"/>
  <c r="H24" i="7" s="1"/>
  <c r="G23" i="7"/>
  <c r="R23" i="7" s="1"/>
  <c r="G22" i="7"/>
  <c r="G21" i="7"/>
  <c r="R21" i="7" s="1"/>
  <c r="G20" i="7"/>
  <c r="H20" i="7" s="1"/>
  <c r="G19" i="7"/>
  <c r="R19" i="7" s="1"/>
  <c r="G18" i="7"/>
  <c r="H18" i="7" s="1"/>
  <c r="G17" i="7"/>
  <c r="G16" i="7"/>
  <c r="H16" i="7" s="1"/>
  <c r="G15" i="7"/>
  <c r="G14" i="7"/>
  <c r="H14" i="7" s="1"/>
  <c r="G13" i="7"/>
  <c r="G12" i="7"/>
  <c r="G11" i="7"/>
  <c r="G10" i="7"/>
  <c r="H10" i="7" s="1"/>
  <c r="F169" i="9"/>
  <c r="F168" i="9"/>
  <c r="F167" i="9"/>
  <c r="G167" i="9" s="1"/>
  <c r="F166" i="9"/>
  <c r="F165" i="9"/>
  <c r="F164" i="9"/>
  <c r="F163" i="9"/>
  <c r="F162" i="9"/>
  <c r="G162" i="9" s="1"/>
  <c r="F161" i="9"/>
  <c r="F160" i="9"/>
  <c r="F159" i="9"/>
  <c r="F158" i="9"/>
  <c r="F157" i="9"/>
  <c r="F156" i="9"/>
  <c r="F155" i="9"/>
  <c r="F154" i="9"/>
  <c r="F153" i="9"/>
  <c r="F152" i="9"/>
  <c r="F151" i="9"/>
  <c r="F150" i="9"/>
  <c r="F149" i="9"/>
  <c r="F148" i="9"/>
  <c r="F147" i="9"/>
  <c r="F146" i="9"/>
  <c r="F145" i="9"/>
  <c r="F144" i="9"/>
  <c r="F143" i="9"/>
  <c r="F142" i="9"/>
  <c r="F141" i="9"/>
  <c r="F140" i="9"/>
  <c r="F139" i="9"/>
  <c r="F138" i="9"/>
  <c r="F137" i="9"/>
  <c r="F136" i="9"/>
  <c r="F135" i="9"/>
  <c r="F134" i="9"/>
  <c r="F133" i="9"/>
  <c r="F132" i="9"/>
  <c r="F131" i="9"/>
  <c r="F130" i="9"/>
  <c r="F129" i="9"/>
  <c r="F128" i="9"/>
  <c r="F127" i="9"/>
  <c r="F126" i="9"/>
  <c r="F125" i="9"/>
  <c r="F124" i="9"/>
  <c r="F123" i="9"/>
  <c r="F122" i="9"/>
  <c r="F121" i="9"/>
  <c r="F120" i="9"/>
  <c r="F119" i="9"/>
  <c r="F118" i="9"/>
  <c r="F117" i="9"/>
  <c r="F116" i="9"/>
  <c r="F115" i="9"/>
  <c r="F114" i="9"/>
  <c r="F113" i="9"/>
  <c r="F112" i="9"/>
  <c r="F111" i="9"/>
  <c r="F110" i="9"/>
  <c r="F109" i="9"/>
  <c r="F108" i="9"/>
  <c r="F107" i="9"/>
  <c r="F106" i="9"/>
  <c r="F105" i="9"/>
  <c r="F104" i="9"/>
  <c r="F103" i="9"/>
  <c r="F102" i="9"/>
  <c r="F101" i="9"/>
  <c r="F100" i="9"/>
  <c r="F99" i="9"/>
  <c r="F98" i="9"/>
  <c r="F97" i="9"/>
  <c r="F96" i="9"/>
  <c r="F95" i="9"/>
  <c r="F94" i="9"/>
  <c r="F93" i="9"/>
  <c r="F92" i="9"/>
  <c r="F91" i="9"/>
  <c r="F90" i="9"/>
  <c r="F89" i="9"/>
  <c r="F88" i="9"/>
  <c r="F87" i="9"/>
  <c r="F86" i="9"/>
  <c r="F85" i="9"/>
  <c r="F84" i="9"/>
  <c r="F83" i="9"/>
  <c r="F82" i="9"/>
  <c r="F81" i="9"/>
  <c r="F80" i="9"/>
  <c r="F79" i="9"/>
  <c r="F78" i="9"/>
  <c r="F77" i="9"/>
  <c r="F76" i="9"/>
  <c r="F75" i="9"/>
  <c r="F74" i="9"/>
  <c r="G74" i="9" s="1"/>
  <c r="F73" i="9"/>
  <c r="F72" i="9"/>
  <c r="G72" i="9" s="1"/>
  <c r="F71" i="9"/>
  <c r="G71" i="9" s="1"/>
  <c r="F70" i="9"/>
  <c r="G70" i="9" s="1"/>
  <c r="F69" i="9"/>
  <c r="F68" i="9"/>
  <c r="F67" i="9"/>
  <c r="F66" i="9"/>
  <c r="G66" i="9" s="1"/>
  <c r="F65" i="9"/>
  <c r="F64" i="9"/>
  <c r="F63" i="9"/>
  <c r="F62" i="9"/>
  <c r="G62" i="9" s="1"/>
  <c r="F61" i="9"/>
  <c r="F60" i="9"/>
  <c r="F59" i="9"/>
  <c r="F58" i="9"/>
  <c r="G58" i="9" s="1"/>
  <c r="F57" i="9"/>
  <c r="F56" i="9"/>
  <c r="F55" i="9"/>
  <c r="G55" i="9" s="1"/>
  <c r="F54" i="9"/>
  <c r="G54" i="9" s="1"/>
  <c r="F53" i="9"/>
  <c r="F52" i="9"/>
  <c r="F51" i="9"/>
  <c r="F50" i="9"/>
  <c r="F49" i="9"/>
  <c r="F48" i="9"/>
  <c r="F47" i="9"/>
  <c r="G47" i="9" s="1"/>
  <c r="F46" i="9"/>
  <c r="G46" i="9" s="1"/>
  <c r="F45" i="9"/>
  <c r="F44" i="9"/>
  <c r="F43" i="9"/>
  <c r="G43" i="9" s="1"/>
  <c r="F42" i="9"/>
  <c r="G42" i="9" s="1"/>
  <c r="F41" i="9"/>
  <c r="F40" i="9"/>
  <c r="F39" i="9"/>
  <c r="G39" i="9" s="1"/>
  <c r="F38" i="9"/>
  <c r="G38" i="9" s="1"/>
  <c r="F37" i="9"/>
  <c r="G37" i="9" s="1"/>
  <c r="F36" i="9"/>
  <c r="F35" i="9"/>
  <c r="F34" i="9"/>
  <c r="G34" i="9" s="1"/>
  <c r="F33" i="9"/>
  <c r="F32" i="9"/>
  <c r="F31" i="9"/>
  <c r="F30" i="9"/>
  <c r="G30" i="9" s="1"/>
  <c r="F29" i="9"/>
  <c r="F28" i="9"/>
  <c r="F27" i="9"/>
  <c r="F26" i="9"/>
  <c r="G26" i="9" s="1"/>
  <c r="F25" i="9"/>
  <c r="F24" i="9"/>
  <c r="F23" i="9"/>
  <c r="F22" i="9"/>
  <c r="F21" i="9"/>
  <c r="F20" i="9"/>
  <c r="F19" i="9"/>
  <c r="F18" i="9"/>
  <c r="G18" i="9" s="1"/>
  <c r="F17" i="9"/>
  <c r="F16" i="9"/>
  <c r="F15" i="9"/>
  <c r="F14" i="9"/>
  <c r="F13" i="9"/>
  <c r="F12" i="9"/>
  <c r="F11" i="9"/>
  <c r="F10" i="9"/>
  <c r="G10" i="9" s="1"/>
  <c r="F169" i="1"/>
  <c r="G169" i="1" s="1"/>
  <c r="F168" i="1"/>
  <c r="G168" i="1" s="1"/>
  <c r="F167" i="1"/>
  <c r="F166" i="1"/>
  <c r="G166" i="1" s="1"/>
  <c r="F165" i="1"/>
  <c r="G165" i="1" s="1"/>
  <c r="F164" i="1"/>
  <c r="G164" i="1" s="1"/>
  <c r="F163" i="1"/>
  <c r="G163" i="1" s="1"/>
  <c r="F162" i="1"/>
  <c r="G162" i="1" s="1"/>
  <c r="F161" i="1"/>
  <c r="G161" i="1" s="1"/>
  <c r="F160" i="1"/>
  <c r="G160" i="1" s="1"/>
  <c r="F159" i="1"/>
  <c r="F158" i="1"/>
  <c r="G158" i="1" s="1"/>
  <c r="F157" i="1"/>
  <c r="G157" i="1" s="1"/>
  <c r="F156" i="1"/>
  <c r="G156" i="1" s="1"/>
  <c r="F155" i="1"/>
  <c r="G155" i="1" s="1"/>
  <c r="F154" i="1"/>
  <c r="G154" i="1" s="1"/>
  <c r="F153" i="1"/>
  <c r="G153" i="1" s="1"/>
  <c r="F152" i="1"/>
  <c r="G152" i="1" s="1"/>
  <c r="F151" i="1"/>
  <c r="F150" i="1"/>
  <c r="G150" i="1" s="1"/>
  <c r="F149" i="1"/>
  <c r="G149" i="1" s="1"/>
  <c r="F148" i="1"/>
  <c r="G148" i="1" s="1"/>
  <c r="F147" i="1"/>
  <c r="G147" i="1" s="1"/>
  <c r="F146" i="1"/>
  <c r="G146" i="1" s="1"/>
  <c r="F145" i="1"/>
  <c r="G145" i="1" s="1"/>
  <c r="F144" i="1"/>
  <c r="G144" i="1" s="1"/>
  <c r="F143" i="1"/>
  <c r="F142" i="1"/>
  <c r="G142" i="1" s="1"/>
  <c r="F141" i="1"/>
  <c r="G141" i="1" s="1"/>
  <c r="F140" i="1"/>
  <c r="G140" i="1" s="1"/>
  <c r="F139" i="1"/>
  <c r="G139" i="1" s="1"/>
  <c r="F138" i="1"/>
  <c r="G138" i="1" s="1"/>
  <c r="F137" i="1"/>
  <c r="G137" i="1" s="1"/>
  <c r="F136" i="1"/>
  <c r="G136" i="1" s="1"/>
  <c r="F135" i="1"/>
  <c r="F134" i="1"/>
  <c r="G134" i="1" s="1"/>
  <c r="F133" i="1"/>
  <c r="G133" i="1" s="1"/>
  <c r="F132" i="1"/>
  <c r="G132" i="1" s="1"/>
  <c r="F131" i="1"/>
  <c r="G131" i="1" s="1"/>
  <c r="F130" i="1"/>
  <c r="G130" i="1" s="1"/>
  <c r="F129" i="1"/>
  <c r="G129" i="1" s="1"/>
  <c r="F128" i="1"/>
  <c r="G128" i="1" s="1"/>
  <c r="F127" i="1"/>
  <c r="F126" i="1"/>
  <c r="G126" i="1" s="1"/>
  <c r="F125" i="1"/>
  <c r="G125" i="1" s="1"/>
  <c r="F124" i="1"/>
  <c r="G124" i="1" s="1"/>
  <c r="F123" i="1"/>
  <c r="G123" i="1" s="1"/>
  <c r="F122" i="1"/>
  <c r="G122" i="1" s="1"/>
  <c r="F121" i="1"/>
  <c r="G121" i="1" s="1"/>
  <c r="F120" i="1"/>
  <c r="G120" i="1" s="1"/>
  <c r="F119" i="1"/>
  <c r="F118" i="1"/>
  <c r="G118" i="1" s="1"/>
  <c r="F117" i="1"/>
  <c r="G117" i="1" s="1"/>
  <c r="F116" i="1"/>
  <c r="G116" i="1" s="1"/>
  <c r="F115" i="1"/>
  <c r="G115" i="1" s="1"/>
  <c r="F114" i="1"/>
  <c r="G114" i="1" s="1"/>
  <c r="F113" i="1"/>
  <c r="G113" i="1" s="1"/>
  <c r="F112" i="1"/>
  <c r="G112" i="1" s="1"/>
  <c r="F111" i="1"/>
  <c r="F110" i="1"/>
  <c r="G110" i="1" s="1"/>
  <c r="F109" i="1"/>
  <c r="G109" i="1" s="1"/>
  <c r="F108" i="1"/>
  <c r="G108" i="1" s="1"/>
  <c r="F107" i="1"/>
  <c r="G107" i="1" s="1"/>
  <c r="F106" i="1"/>
  <c r="G106" i="1" s="1"/>
  <c r="F105" i="1"/>
  <c r="G105" i="1" s="1"/>
  <c r="F104" i="1"/>
  <c r="G104" i="1" s="1"/>
  <c r="F103" i="1"/>
  <c r="F102" i="1"/>
  <c r="G102" i="1" s="1"/>
  <c r="F101" i="1"/>
  <c r="G101" i="1" s="1"/>
  <c r="F100" i="1"/>
  <c r="G100" i="1" s="1"/>
  <c r="F99" i="1"/>
  <c r="G99" i="1" s="1"/>
  <c r="F98" i="1"/>
  <c r="G98" i="1" s="1"/>
  <c r="F97" i="1"/>
  <c r="G97" i="1" s="1"/>
  <c r="F96" i="1"/>
  <c r="G96" i="1" s="1"/>
  <c r="F95" i="1"/>
  <c r="F94" i="1"/>
  <c r="G94" i="1" s="1"/>
  <c r="F93" i="1"/>
  <c r="G93" i="1" s="1"/>
  <c r="F92" i="1"/>
  <c r="G92" i="1" s="1"/>
  <c r="F91" i="1"/>
  <c r="G91" i="1" s="1"/>
  <c r="F90" i="1"/>
  <c r="G90" i="1" s="1"/>
  <c r="F89" i="1"/>
  <c r="G89" i="1" s="1"/>
  <c r="F88" i="1"/>
  <c r="G88" i="1" s="1"/>
  <c r="F87" i="1"/>
  <c r="F86" i="1"/>
  <c r="G86" i="1" s="1"/>
  <c r="F85" i="1"/>
  <c r="G85" i="1" s="1"/>
  <c r="F84" i="1"/>
  <c r="G84" i="1" s="1"/>
  <c r="F83" i="1"/>
  <c r="G83" i="1" s="1"/>
  <c r="F82" i="1"/>
  <c r="G82" i="1" s="1"/>
  <c r="F81" i="1"/>
  <c r="G81" i="1" s="1"/>
  <c r="F80" i="1"/>
  <c r="G80" i="1" s="1"/>
  <c r="F79" i="1"/>
  <c r="F78" i="1"/>
  <c r="G78" i="1" s="1"/>
  <c r="F77" i="1"/>
  <c r="G77" i="1" s="1"/>
  <c r="F76" i="1"/>
  <c r="G76" i="1" s="1"/>
  <c r="F75" i="1"/>
  <c r="G75" i="1" s="1"/>
  <c r="F74" i="1"/>
  <c r="G74" i="1" s="1"/>
  <c r="F73" i="1"/>
  <c r="G73" i="1" s="1"/>
  <c r="F72" i="1"/>
  <c r="G72" i="1" s="1"/>
  <c r="F71" i="1"/>
  <c r="F70" i="1"/>
  <c r="G70" i="1" s="1"/>
  <c r="F69" i="1"/>
  <c r="G69" i="1" s="1"/>
  <c r="F68" i="1"/>
  <c r="G68" i="1" s="1"/>
  <c r="F67" i="1"/>
  <c r="G67" i="1" s="1"/>
  <c r="F66" i="1"/>
  <c r="G66" i="1" s="1"/>
  <c r="F65" i="1"/>
  <c r="G65" i="1" s="1"/>
  <c r="F64" i="1"/>
  <c r="G64" i="1" s="1"/>
  <c r="F63" i="1"/>
  <c r="G63" i="1" s="1"/>
  <c r="F62" i="1"/>
  <c r="G62" i="1" s="1"/>
  <c r="F61" i="1"/>
  <c r="G61" i="1" s="1"/>
  <c r="F60" i="1"/>
  <c r="G60" i="1" s="1"/>
  <c r="F59" i="1"/>
  <c r="G59" i="1" s="1"/>
  <c r="F58" i="1"/>
  <c r="G58" i="1" s="1"/>
  <c r="F57" i="1"/>
  <c r="F56" i="1"/>
  <c r="G56" i="1" s="1"/>
  <c r="F55" i="1"/>
  <c r="G55" i="1" s="1"/>
  <c r="F54" i="1"/>
  <c r="G54" i="1" s="1"/>
  <c r="F53" i="1"/>
  <c r="G53" i="1" s="1"/>
  <c r="F52" i="1"/>
  <c r="G52" i="1" s="1"/>
  <c r="F51" i="1"/>
  <c r="G51" i="1" s="1"/>
  <c r="F50" i="1"/>
  <c r="G50" i="1" s="1"/>
  <c r="F49" i="1"/>
  <c r="F48" i="1"/>
  <c r="G48" i="1" s="1"/>
  <c r="F47" i="1"/>
  <c r="G47" i="1" s="1"/>
  <c r="F46" i="1"/>
  <c r="G46" i="1" s="1"/>
  <c r="F45" i="1"/>
  <c r="G45" i="1" s="1"/>
  <c r="F44" i="1"/>
  <c r="G44" i="1" s="1"/>
  <c r="F43" i="1"/>
  <c r="G43" i="1" s="1"/>
  <c r="F42" i="1"/>
  <c r="G42" i="1" s="1"/>
  <c r="F41" i="1"/>
  <c r="F40" i="1"/>
  <c r="G40" i="1" s="1"/>
  <c r="F39" i="1"/>
  <c r="G39" i="1" s="1"/>
  <c r="F38" i="1"/>
  <c r="G38" i="1" s="1"/>
  <c r="F37" i="1"/>
  <c r="G37" i="1" s="1"/>
  <c r="F36" i="1"/>
  <c r="G36" i="1" s="1"/>
  <c r="F35" i="1"/>
  <c r="G35" i="1" s="1"/>
  <c r="F34" i="1"/>
  <c r="G34" i="1" s="1"/>
  <c r="F33" i="1"/>
  <c r="G33" i="1" s="1"/>
  <c r="F32" i="1"/>
  <c r="G32" i="1" s="1"/>
  <c r="F31" i="1"/>
  <c r="G31" i="1" s="1"/>
  <c r="F30" i="1"/>
  <c r="G30" i="1" s="1"/>
  <c r="F29" i="1"/>
  <c r="G29" i="1" s="1"/>
  <c r="F28" i="1"/>
  <c r="G28" i="1" s="1"/>
  <c r="F27" i="1"/>
  <c r="G27" i="1" s="1"/>
  <c r="F26" i="1"/>
  <c r="G26" i="1" s="1"/>
  <c r="F25" i="1"/>
  <c r="G25" i="1" s="1"/>
  <c r="F24" i="1"/>
  <c r="G24" i="1" s="1"/>
  <c r="F23" i="1"/>
  <c r="G23" i="1" s="1"/>
  <c r="F22" i="1"/>
  <c r="G22" i="1" s="1"/>
  <c r="F21" i="1"/>
  <c r="G21" i="1" s="1"/>
  <c r="F20" i="1"/>
  <c r="G20" i="1" s="1"/>
  <c r="F19" i="1"/>
  <c r="G19" i="1" s="1"/>
  <c r="F18" i="1"/>
  <c r="G18" i="1" s="1"/>
  <c r="F17" i="1"/>
  <c r="G17" i="1" s="1"/>
  <c r="F16" i="1"/>
  <c r="G16" i="1" s="1"/>
  <c r="F15" i="1"/>
  <c r="G15" i="1" s="1"/>
  <c r="F14" i="1"/>
  <c r="G14" i="1" s="1"/>
  <c r="F13" i="1"/>
  <c r="G13" i="1" s="1"/>
  <c r="F12" i="1"/>
  <c r="G12" i="1" s="1"/>
  <c r="F11" i="1"/>
  <c r="G11" i="1" s="1"/>
  <c r="F10" i="1"/>
  <c r="G10" i="1" s="1"/>
  <c r="F9" i="1"/>
  <c r="G9" i="1" s="1"/>
  <c r="F8" i="1"/>
  <c r="G8" i="1" s="1"/>
  <c r="C169" i="8"/>
  <c r="C168" i="8"/>
  <c r="C167" i="8"/>
  <c r="C166" i="8"/>
  <c r="C165" i="8"/>
  <c r="C164" i="8"/>
  <c r="C163" i="8"/>
  <c r="C162" i="8"/>
  <c r="C161" i="8"/>
  <c r="C160" i="8"/>
  <c r="C159" i="8"/>
  <c r="C158" i="8"/>
  <c r="C157" i="8"/>
  <c r="C156" i="8"/>
  <c r="C155" i="8"/>
  <c r="C154" i="8"/>
  <c r="C153" i="8"/>
  <c r="C152" i="8"/>
  <c r="C151" i="8"/>
  <c r="C150" i="8"/>
  <c r="C149" i="8"/>
  <c r="C148" i="8"/>
  <c r="C147" i="8"/>
  <c r="C146" i="8"/>
  <c r="C145" i="8"/>
  <c r="C144" i="8"/>
  <c r="C143" i="8"/>
  <c r="C142" i="8"/>
  <c r="C141" i="8"/>
  <c r="C140" i="8"/>
  <c r="C139" i="8"/>
  <c r="C138" i="8"/>
  <c r="C137" i="8"/>
  <c r="C136" i="8"/>
  <c r="C135" i="8"/>
  <c r="C134" i="8"/>
  <c r="C133" i="8"/>
  <c r="C132" i="8"/>
  <c r="C131" i="8"/>
  <c r="C130" i="8"/>
  <c r="C129" i="8"/>
  <c r="C128" i="8"/>
  <c r="C127" i="8"/>
  <c r="C126" i="8"/>
  <c r="C125" i="8"/>
  <c r="C124" i="8"/>
  <c r="C123" i="8"/>
  <c r="C122" i="8"/>
  <c r="C121" i="8"/>
  <c r="C120" i="8"/>
  <c r="C119" i="8"/>
  <c r="C118" i="8"/>
  <c r="C117" i="8"/>
  <c r="C116" i="8"/>
  <c r="C115" i="8"/>
  <c r="C114" i="8"/>
  <c r="C113" i="8"/>
  <c r="C112" i="8"/>
  <c r="C111" i="8"/>
  <c r="C110" i="8"/>
  <c r="C109" i="8"/>
  <c r="C108" i="8"/>
  <c r="C107" i="8"/>
  <c r="C106" i="8"/>
  <c r="D105" i="8"/>
  <c r="C105" i="8"/>
  <c r="C104" i="8"/>
  <c r="D103" i="8"/>
  <c r="C103" i="8"/>
  <c r="C102" i="8"/>
  <c r="D101" i="8"/>
  <c r="C101" i="8"/>
  <c r="C100" i="8"/>
  <c r="D99" i="8"/>
  <c r="C99" i="8"/>
  <c r="C98" i="8"/>
  <c r="D97" i="8"/>
  <c r="C97" i="8"/>
  <c r="C96" i="8"/>
  <c r="D95" i="8"/>
  <c r="C95" i="8"/>
  <c r="C94" i="8"/>
  <c r="D93" i="8"/>
  <c r="C93" i="8"/>
  <c r="C92" i="8"/>
  <c r="D91" i="8"/>
  <c r="C91" i="8"/>
  <c r="C90" i="8"/>
  <c r="D89" i="8"/>
  <c r="C89" i="8"/>
  <c r="C88" i="8"/>
  <c r="D87" i="8"/>
  <c r="C87" i="8"/>
  <c r="C86" i="8"/>
  <c r="D85" i="8"/>
  <c r="C85" i="8"/>
  <c r="C84" i="8"/>
  <c r="D83" i="8"/>
  <c r="C83" i="8"/>
  <c r="C82" i="8"/>
  <c r="D81" i="8"/>
  <c r="C81" i="8"/>
  <c r="C80" i="8"/>
  <c r="D79" i="8"/>
  <c r="C79" i="8"/>
  <c r="C78" i="8"/>
  <c r="D77" i="8"/>
  <c r="C77" i="8"/>
  <c r="C76" i="8"/>
  <c r="D75" i="8"/>
  <c r="C75" i="8"/>
  <c r="C74" i="8"/>
  <c r="D73" i="8"/>
  <c r="C73" i="8"/>
  <c r="C72" i="8"/>
  <c r="D71" i="8"/>
  <c r="C71" i="8"/>
  <c r="C70" i="8"/>
  <c r="D69" i="8"/>
  <c r="C69" i="8"/>
  <c r="C68" i="8"/>
  <c r="D67" i="8"/>
  <c r="C67" i="8"/>
  <c r="C66" i="8"/>
  <c r="D65" i="8"/>
  <c r="C65" i="8"/>
  <c r="C64" i="8"/>
  <c r="D63" i="8"/>
  <c r="C63" i="8"/>
  <c r="C62" i="8"/>
  <c r="D61" i="8"/>
  <c r="C61" i="8"/>
  <c r="C60" i="8"/>
  <c r="D59" i="8"/>
  <c r="C59" i="8"/>
  <c r="C58" i="8"/>
  <c r="D57" i="8"/>
  <c r="C57" i="8"/>
  <c r="C56" i="8"/>
  <c r="D55" i="8"/>
  <c r="C55" i="8"/>
  <c r="C54" i="8"/>
  <c r="D53" i="8"/>
  <c r="C53" i="8"/>
  <c r="C52" i="8"/>
  <c r="D51" i="8"/>
  <c r="C51" i="8"/>
  <c r="C50" i="8"/>
  <c r="D49" i="8"/>
  <c r="C49" i="8"/>
  <c r="C48" i="8"/>
  <c r="D47" i="8"/>
  <c r="C47" i="8"/>
  <c r="C46" i="8"/>
  <c r="D45" i="8"/>
  <c r="C45" i="8"/>
  <c r="C44" i="8"/>
  <c r="D43" i="8"/>
  <c r="C43" i="8"/>
  <c r="C42" i="8"/>
  <c r="D41" i="8"/>
  <c r="C41" i="8"/>
  <c r="C40" i="8"/>
  <c r="D39" i="8"/>
  <c r="C39" i="8"/>
  <c r="C38" i="8"/>
  <c r="D37" i="8"/>
  <c r="C37" i="8"/>
  <c r="C36" i="8"/>
  <c r="D35" i="8"/>
  <c r="C35" i="8"/>
  <c r="C34" i="8"/>
  <c r="D33" i="8"/>
  <c r="C33" i="8"/>
  <c r="C32" i="8"/>
  <c r="D31" i="8"/>
  <c r="C31" i="8"/>
  <c r="C30" i="8"/>
  <c r="D29" i="8"/>
  <c r="C29" i="8"/>
  <c r="C28" i="8"/>
  <c r="D27" i="8"/>
  <c r="C27" i="8"/>
  <c r="C26" i="8"/>
  <c r="D25" i="8"/>
  <c r="C25" i="8"/>
  <c r="C24" i="8"/>
  <c r="D23" i="8"/>
  <c r="C23" i="8"/>
  <c r="C22" i="8"/>
  <c r="D21" i="8"/>
  <c r="C21" i="8"/>
  <c r="C20" i="8"/>
  <c r="D19" i="8"/>
  <c r="C19" i="8"/>
  <c r="C18" i="8"/>
  <c r="D17" i="8"/>
  <c r="C17" i="8"/>
  <c r="C16" i="8"/>
  <c r="D15" i="8"/>
  <c r="C15" i="8"/>
  <c r="C14" i="8"/>
  <c r="D13" i="8"/>
  <c r="C13" i="8"/>
  <c r="C12" i="8"/>
  <c r="C10" i="8"/>
  <c r="C11" i="8"/>
  <c r="G152" i="9"/>
  <c r="G84" i="9"/>
  <c r="H169" i="7"/>
  <c r="H161" i="7"/>
  <c r="H137" i="7"/>
  <c r="H116" i="7"/>
  <c r="H101" i="7"/>
  <c r="H64" i="7"/>
  <c r="H63" i="7"/>
  <c r="H25" i="7"/>
  <c r="H12" i="7"/>
  <c r="H282" i="5"/>
  <c r="H273" i="5"/>
  <c r="H272" i="5"/>
  <c r="H264" i="5"/>
  <c r="H248" i="5"/>
  <c r="H247" i="5"/>
  <c r="H233" i="5"/>
  <c r="H231" i="5"/>
  <c r="H226" i="5"/>
  <c r="H223" i="5"/>
  <c r="H208" i="5"/>
  <c r="H207" i="5"/>
  <c r="H200" i="5"/>
  <c r="H196" i="5"/>
  <c r="H191" i="5"/>
  <c r="H188" i="5"/>
  <c r="H184" i="5"/>
  <c r="H180" i="5"/>
  <c r="H179" i="5"/>
  <c r="H175" i="5"/>
  <c r="H170" i="5"/>
  <c r="H167" i="5"/>
  <c r="H159" i="5"/>
  <c r="H154" i="5"/>
  <c r="H153" i="5"/>
  <c r="H152" i="5"/>
  <c r="H138" i="5"/>
  <c r="H135" i="5"/>
  <c r="H123" i="5"/>
  <c r="H117" i="5"/>
  <c r="H116" i="5"/>
  <c r="H109" i="5"/>
  <c r="H100" i="5"/>
  <c r="H99" i="5"/>
  <c r="H95" i="5"/>
  <c r="H93" i="5"/>
  <c r="H85" i="5"/>
  <c r="H84" i="5"/>
  <c r="H81" i="5"/>
  <c r="H76" i="5"/>
  <c r="H67" i="5"/>
  <c r="H60" i="5"/>
  <c r="H56" i="5"/>
  <c r="H49" i="5"/>
  <c r="H48" i="5"/>
  <c r="H35" i="5"/>
  <c r="H33" i="5"/>
  <c r="H27" i="5"/>
  <c r="H25" i="5"/>
  <c r="H17" i="5"/>
  <c r="H105" i="5"/>
  <c r="H115" i="5"/>
  <c r="H75" i="5"/>
  <c r="H101" i="5"/>
  <c r="H125" i="5"/>
  <c r="H162" i="5"/>
  <c r="H255" i="5"/>
  <c r="H36" i="5"/>
  <c r="H57" i="5"/>
  <c r="H73" i="5"/>
  <c r="H146" i="5"/>
  <c r="H155" i="5"/>
  <c r="H186" i="5"/>
  <c r="H199" i="5"/>
  <c r="H288" i="5"/>
  <c r="H63" i="5"/>
  <c r="H43" i="5"/>
  <c r="H147" i="5"/>
  <c r="H20" i="5"/>
  <c r="H65" i="5"/>
  <c r="H274" i="5"/>
  <c r="H40" i="5"/>
  <c r="H71" i="5"/>
  <c r="H107" i="5"/>
  <c r="H113" i="5"/>
  <c r="H139" i="5"/>
  <c r="H201" i="5"/>
  <c r="H242" i="5"/>
  <c r="H251" i="5"/>
  <c r="H234" i="5"/>
  <c r="H24" i="5"/>
  <c r="H44" i="5"/>
  <c r="H121" i="5"/>
  <c r="H140" i="5"/>
  <c r="H218" i="5"/>
  <c r="H256" i="5"/>
  <c r="H64" i="5"/>
  <c r="H80" i="5"/>
  <c r="H187" i="5"/>
  <c r="H204" i="5"/>
  <c r="H258" i="5"/>
  <c r="H143" i="5"/>
  <c r="H7" i="5"/>
  <c r="H12" i="5"/>
  <c r="H41" i="5"/>
  <c r="H47" i="5"/>
  <c r="H51" i="5"/>
  <c r="H72" i="5"/>
  <c r="H92" i="5"/>
  <c r="H185" i="5"/>
  <c r="H266" i="5"/>
  <c r="H219" i="5"/>
  <c r="H249" i="5"/>
  <c r="H8" i="5"/>
  <c r="H130" i="5"/>
  <c r="H178" i="5"/>
  <c r="H239" i="5"/>
  <c r="H265" i="5"/>
  <c r="H275" i="5"/>
  <c r="H31" i="5"/>
  <c r="H39" i="5"/>
  <c r="H235" i="5"/>
  <c r="H243" i="5"/>
  <c r="G80" i="9"/>
  <c r="G104" i="9"/>
  <c r="H29" i="7"/>
  <c r="H39" i="7"/>
  <c r="H152" i="7"/>
  <c r="H45" i="7"/>
  <c r="H105" i="7"/>
  <c r="H151" i="7"/>
  <c r="H153" i="7"/>
  <c r="H145" i="7"/>
  <c r="H124" i="7"/>
  <c r="H160" i="7"/>
  <c r="H29" i="5"/>
  <c r="H77" i="5"/>
  <c r="H28" i="5"/>
  <c r="H118" i="5"/>
  <c r="H32" i="5"/>
  <c r="H6" i="5"/>
  <c r="H52" i="5"/>
  <c r="H68" i="5"/>
  <c r="H151" i="5"/>
  <c r="H161" i="5"/>
  <c r="H9" i="5"/>
  <c r="H124" i="5"/>
  <c r="H131" i="5"/>
  <c r="H21" i="5"/>
  <c r="H61" i="5"/>
  <c r="H87" i="5"/>
  <c r="H91" i="5"/>
  <c r="H137" i="5"/>
  <c r="H13" i="5"/>
  <c r="H37" i="5"/>
  <c r="H23" i="5"/>
  <c r="H112" i="5"/>
  <c r="H127" i="5"/>
  <c r="H53" i="5"/>
  <c r="H119" i="5"/>
  <c r="H144" i="5"/>
  <c r="H88" i="5"/>
  <c r="H145" i="5"/>
  <c r="H45" i="5"/>
  <c r="H128" i="5"/>
  <c r="H136" i="5"/>
  <c r="H192" i="5"/>
  <c r="H16" i="5"/>
  <c r="H69" i="5"/>
  <c r="H96" i="5"/>
  <c r="H156" i="5"/>
  <c r="H97" i="5"/>
  <c r="H111" i="5"/>
  <c r="H120" i="5"/>
  <c r="H89" i="5"/>
  <c r="H104" i="5"/>
  <c r="H108" i="5"/>
  <c r="H165" i="5"/>
  <c r="H193" i="5"/>
  <c r="H169" i="5"/>
  <c r="H271" i="5"/>
  <c r="H160" i="5"/>
  <c r="H168" i="5"/>
  <c r="H183" i="5"/>
  <c r="H194" i="5"/>
  <c r="H195" i="5"/>
  <c r="H210" i="5"/>
  <c r="H176" i="5"/>
  <c r="H215" i="5"/>
  <c r="H164" i="5"/>
  <c r="H172" i="5"/>
  <c r="H177" i="5"/>
  <c r="H202" i="5"/>
  <c r="H203" i="5"/>
  <c r="H209" i="5"/>
  <c r="H241" i="5"/>
  <c r="H250" i="5"/>
  <c r="H257" i="5"/>
  <c r="H228" i="5"/>
  <c r="H217" i="5"/>
  <c r="H225" i="5"/>
  <c r="H244" i="5"/>
  <c r="H216" i="5"/>
  <c r="H224" i="5"/>
  <c r="H232" i="5"/>
  <c r="H240" i="5"/>
  <c r="H263" i="5"/>
  <c r="H267" i="5"/>
  <c r="H279" i="5"/>
  <c r="H283" i="5"/>
  <c r="H268" i="5"/>
  <c r="H259" i="5"/>
  <c r="H280" i="5"/>
  <c r="H281" i="5"/>
  <c r="H284" i="5"/>
  <c r="H289" i="5"/>
  <c r="D11" i="8"/>
  <c r="J42" i="6"/>
  <c r="J33" i="6"/>
  <c r="J34" i="6" s="1"/>
  <c r="F49" i="6"/>
  <c r="F50" i="6" s="1"/>
  <c r="F51" i="6" s="1"/>
  <c r="F52" i="6" s="1"/>
  <c r="F53" i="6" s="1"/>
  <c r="F54" i="6" s="1"/>
  <c r="D49" i="6"/>
  <c r="D50" i="6" s="1"/>
  <c r="D51" i="6" s="1"/>
  <c r="D52" i="6" s="1"/>
  <c r="D53" i="6" s="1"/>
  <c r="D54" i="6" s="1"/>
  <c r="F41" i="6"/>
  <c r="F42" i="6" s="1"/>
  <c r="F43" i="6" s="1"/>
  <c r="F44" i="6" s="1"/>
  <c r="F45" i="6" s="1"/>
  <c r="F46" i="6" s="1"/>
  <c r="D41" i="6"/>
  <c r="D42" i="6" s="1"/>
  <c r="D43" i="6" s="1"/>
  <c r="D44" i="6" s="1"/>
  <c r="D45" i="6" s="1"/>
  <c r="D46" i="6" s="1"/>
  <c r="F33" i="6"/>
  <c r="F34" i="6" s="1"/>
  <c r="F35" i="6" s="1"/>
  <c r="F36" i="6" s="1"/>
  <c r="F37" i="6" s="1"/>
  <c r="F38" i="6" s="1"/>
  <c r="D33" i="6"/>
  <c r="D34" i="6" s="1"/>
  <c r="D35" i="6" s="1"/>
  <c r="D36" i="6" s="1"/>
  <c r="D37" i="6" s="1"/>
  <c r="D38" i="6" s="1"/>
  <c r="F25" i="6"/>
  <c r="F26" i="6" s="1"/>
  <c r="F27" i="6" s="1"/>
  <c r="F28" i="6" s="1"/>
  <c r="F29" i="6" s="1"/>
  <c r="F30" i="6" s="1"/>
  <c r="J25" i="6"/>
  <c r="J26" i="6" s="1"/>
  <c r="J50" i="6"/>
  <c r="K152" i="14" l="1"/>
  <c r="P152" i="14" s="1"/>
  <c r="AH300" i="5"/>
  <c r="N151" i="14"/>
  <c r="N152" i="14"/>
  <c r="G3" i="19"/>
  <c r="D301" i="5"/>
  <c r="L151" i="14"/>
  <c r="L152" i="14"/>
  <c r="M151" i="14"/>
  <c r="M152" i="14"/>
  <c r="F3" i="19"/>
  <c r="D300" i="5"/>
  <c r="H127" i="7"/>
  <c r="C57" i="12"/>
  <c r="C53" i="12"/>
  <c r="C40" i="12"/>
  <c r="C36" i="12"/>
  <c r="C56" i="12"/>
  <c r="C43" i="12"/>
  <c r="C39" i="12"/>
  <c r="C35" i="12"/>
  <c r="C31" i="12"/>
  <c r="C27" i="12"/>
  <c r="C23" i="12"/>
  <c r="C26" i="12"/>
  <c r="C55" i="12"/>
  <c r="C42" i="12"/>
  <c r="C38" i="12"/>
  <c r="C34" i="12"/>
  <c r="C22" i="12"/>
  <c r="C54" i="12"/>
  <c r="C41" i="12"/>
  <c r="C37" i="12"/>
  <c r="C33" i="12"/>
  <c r="C25" i="12"/>
  <c r="C32" i="12"/>
  <c r="C24" i="12"/>
  <c r="E131" i="4"/>
  <c r="E51" i="4"/>
  <c r="E5" i="4"/>
  <c r="E130" i="4"/>
  <c r="E50" i="4"/>
  <c r="E4" i="4"/>
  <c r="E129" i="4"/>
  <c r="E10" i="4"/>
  <c r="E128" i="4"/>
  <c r="E9" i="4"/>
  <c r="A1" i="15"/>
  <c r="A29" i="12"/>
  <c r="C29" i="12" s="1"/>
  <c r="A18" i="12"/>
  <c r="C18" i="12" s="1"/>
  <c r="A14" i="12"/>
  <c r="A10" i="12"/>
  <c r="A6" i="12"/>
  <c r="C6" i="12" s="1"/>
  <c r="A28" i="12"/>
  <c r="C28" i="12" s="1"/>
  <c r="A17" i="12"/>
  <c r="A13" i="12"/>
  <c r="C13" i="12" s="1"/>
  <c r="A9" i="12"/>
  <c r="A5" i="12"/>
  <c r="C5" i="12" s="1"/>
  <c r="A20" i="12"/>
  <c r="A16" i="12"/>
  <c r="C16" i="12" s="1"/>
  <c r="A12" i="12"/>
  <c r="C12" i="12" s="1"/>
  <c r="A8" i="12"/>
  <c r="C8" i="12" s="1"/>
  <c r="A4" i="12"/>
  <c r="C4" i="12" s="1"/>
  <c r="A30" i="12"/>
  <c r="C30" i="12" s="1"/>
  <c r="A19" i="12"/>
  <c r="A15" i="12"/>
  <c r="C15" i="12" s="1"/>
  <c r="A11" i="12"/>
  <c r="C11" i="12" s="1"/>
  <c r="A7" i="12"/>
  <c r="C7" i="12" s="1"/>
  <c r="AX1" i="1"/>
  <c r="AR1" i="1"/>
  <c r="AL1" i="1"/>
  <c r="AU1" i="1"/>
  <c r="AQ1" i="1"/>
  <c r="Y1" i="5"/>
  <c r="AT1" i="1"/>
  <c r="AN1" i="1"/>
  <c r="AY1" i="1"/>
  <c r="AS1" i="1"/>
  <c r="AM1" i="1"/>
  <c r="W1" i="5"/>
  <c r="M1" i="5"/>
  <c r="AA1" i="5"/>
  <c r="A1" i="9"/>
  <c r="AB1" i="5"/>
  <c r="AF1" i="1"/>
  <c r="Z1" i="1"/>
  <c r="AH1" i="5"/>
  <c r="V1" i="5"/>
  <c r="L1" i="5"/>
  <c r="AK1" i="1"/>
  <c r="AE1" i="1"/>
  <c r="Y1" i="1"/>
  <c r="AE1" i="5"/>
  <c r="O1" i="5"/>
  <c r="A1" i="5"/>
  <c r="AJ1" i="1"/>
  <c r="AD1" i="1"/>
  <c r="X1" i="1"/>
  <c r="AD1" i="5"/>
  <c r="X1" i="5"/>
  <c r="AG1" i="1"/>
  <c r="AC1" i="1"/>
  <c r="AI1" i="5"/>
  <c r="BI1" i="1"/>
  <c r="BE1" i="1"/>
  <c r="BH1" i="1"/>
  <c r="BA1" i="1"/>
  <c r="BM1" i="1"/>
  <c r="BG1" i="1"/>
  <c r="AZ1" i="1"/>
  <c r="N1" i="5"/>
  <c r="BL1" i="1"/>
  <c r="BF1" i="1"/>
  <c r="H53" i="4"/>
  <c r="H57" i="4"/>
  <c r="H65" i="4"/>
  <c r="H71" i="4"/>
  <c r="H79" i="4"/>
  <c r="H99" i="4"/>
  <c r="H111" i="4"/>
  <c r="H123" i="4"/>
  <c r="J127" i="4"/>
  <c r="H102" i="4"/>
  <c r="H89" i="4"/>
  <c r="H62" i="4"/>
  <c r="H82" i="4"/>
  <c r="H119" i="4"/>
  <c r="H60" i="4"/>
  <c r="H108" i="4"/>
  <c r="H76" i="4"/>
  <c r="H80" i="4"/>
  <c r="H96" i="4"/>
  <c r="H104" i="4"/>
  <c r="H116" i="4"/>
  <c r="H137" i="4"/>
  <c r="H90" i="4"/>
  <c r="H106" i="4"/>
  <c r="H118" i="4"/>
  <c r="H101" i="4"/>
  <c r="H55" i="4"/>
  <c r="H61" i="4"/>
  <c r="H109" i="4"/>
  <c r="H69" i="4"/>
  <c r="H77" i="4"/>
  <c r="H81" i="4"/>
  <c r="H97" i="4"/>
  <c r="H117" i="4"/>
  <c r="H138" i="4"/>
  <c r="H84" i="4"/>
  <c r="H120" i="4"/>
  <c r="H107" i="4"/>
  <c r="H83" i="4"/>
  <c r="H52" i="4"/>
  <c r="H56" i="4"/>
  <c r="H78" i="4"/>
  <c r="H86" i="4"/>
  <c r="H98" i="4"/>
  <c r="H114" i="4"/>
  <c r="H139" i="4"/>
  <c r="H85" i="4"/>
  <c r="H121" i="4"/>
  <c r="H88" i="4"/>
  <c r="H100" i="4"/>
  <c r="J124" i="4"/>
  <c r="M28" i="12"/>
  <c r="M45" i="4"/>
  <c r="N45" i="4" s="1"/>
  <c r="D9" i="8"/>
  <c r="O151" i="14"/>
  <c r="L46" i="4"/>
  <c r="H151" i="14"/>
  <c r="J151" i="14"/>
  <c r="I151" i="14"/>
  <c r="V151" i="14" s="1"/>
  <c r="AD291" i="5"/>
  <c r="AD299" i="5"/>
  <c r="AD293" i="5"/>
  <c r="AD297" i="5"/>
  <c r="AD295" i="5"/>
  <c r="AH292" i="5"/>
  <c r="AH294" i="5"/>
  <c r="AH296" i="5"/>
  <c r="AH298" i="5"/>
  <c r="D129" i="4"/>
  <c r="D297" i="5"/>
  <c r="D299" i="5"/>
  <c r="D293" i="5"/>
  <c r="D295" i="5"/>
  <c r="AD292" i="5"/>
  <c r="AD294" i="5"/>
  <c r="AD298" i="5"/>
  <c r="AD296" i="5"/>
  <c r="D128" i="4"/>
  <c r="D298" i="5"/>
  <c r="D292" i="5"/>
  <c r="D294" i="5"/>
  <c r="D296" i="5"/>
  <c r="H143" i="7"/>
  <c r="H115" i="7"/>
  <c r="H47" i="7"/>
  <c r="H159" i="7"/>
  <c r="H103" i="7"/>
  <c r="H31" i="7"/>
  <c r="H75" i="7"/>
  <c r="H123" i="7"/>
  <c r="H135" i="4"/>
  <c r="H134" i="4"/>
  <c r="H133" i="4"/>
  <c r="N150" i="14"/>
  <c r="N148" i="14"/>
  <c r="N149" i="14"/>
  <c r="O148" i="14"/>
  <c r="O149" i="14"/>
  <c r="O150" i="14"/>
  <c r="L150" i="14"/>
  <c r="L148" i="14"/>
  <c r="L149" i="14"/>
  <c r="M147" i="14"/>
  <c r="M150" i="14"/>
  <c r="M148" i="14"/>
  <c r="M149" i="14"/>
  <c r="H125" i="4"/>
  <c r="G141" i="9"/>
  <c r="G98" i="9"/>
  <c r="G122" i="9"/>
  <c r="G126" i="9"/>
  <c r="G166" i="9"/>
  <c r="G103" i="9"/>
  <c r="G127" i="9"/>
  <c r="G131" i="9"/>
  <c r="G155" i="9"/>
  <c r="G159" i="9"/>
  <c r="G105" i="9"/>
  <c r="G90" i="9"/>
  <c r="G106" i="9"/>
  <c r="G110" i="9"/>
  <c r="G134" i="9"/>
  <c r="G138" i="9"/>
  <c r="H127" i="4"/>
  <c r="D59" i="4"/>
  <c r="D58" i="4"/>
  <c r="G12" i="9"/>
  <c r="G16" i="9"/>
  <c r="G20" i="9"/>
  <c r="G24" i="9"/>
  <c r="G28" i="9"/>
  <c r="G32" i="9"/>
  <c r="G36" i="9"/>
  <c r="G40" i="9"/>
  <c r="G44" i="9"/>
  <c r="G48" i="9"/>
  <c r="G52" i="9"/>
  <c r="G56" i="9"/>
  <c r="G60" i="9"/>
  <c r="G64" i="9"/>
  <c r="G68" i="9"/>
  <c r="G76" i="9"/>
  <c r="G88" i="9"/>
  <c r="G92" i="9"/>
  <c r="G96" i="9"/>
  <c r="G100" i="9"/>
  <c r="G108" i="9"/>
  <c r="G112" i="9"/>
  <c r="G116" i="9"/>
  <c r="G120" i="9"/>
  <c r="G124" i="9"/>
  <c r="G128" i="9"/>
  <c r="G132" i="9"/>
  <c r="G136" i="9"/>
  <c r="G140" i="9"/>
  <c r="G144" i="9"/>
  <c r="G148" i="9"/>
  <c r="G156" i="9"/>
  <c r="G160" i="9"/>
  <c r="G164" i="9"/>
  <c r="G168" i="9"/>
  <c r="G13" i="9"/>
  <c r="G17" i="9"/>
  <c r="G21" i="9"/>
  <c r="G25" i="9"/>
  <c r="G29" i="9"/>
  <c r="G33" i="9"/>
  <c r="G41" i="9"/>
  <c r="G45" i="9"/>
  <c r="G49" i="9"/>
  <c r="G53" i="9"/>
  <c r="G57" i="9"/>
  <c r="G61" i="9"/>
  <c r="G65" i="9"/>
  <c r="G69" i="9"/>
  <c r="G73" i="9"/>
  <c r="G77" i="9"/>
  <c r="G81" i="9"/>
  <c r="G85" i="9"/>
  <c r="G89" i="9"/>
  <c r="G93" i="9"/>
  <c r="G97" i="9"/>
  <c r="G101" i="9"/>
  <c r="G109" i="9"/>
  <c r="G113" i="9"/>
  <c r="G117" i="9"/>
  <c r="G121" i="9"/>
  <c r="G125" i="9"/>
  <c r="G129" i="9"/>
  <c r="G133" i="9"/>
  <c r="G137" i="9"/>
  <c r="G145" i="9"/>
  <c r="G149" i="9"/>
  <c r="G153" i="9"/>
  <c r="G157" i="9"/>
  <c r="G161" i="9"/>
  <c r="G165" i="9"/>
  <c r="G169" i="9"/>
  <c r="G14" i="9"/>
  <c r="G22" i="9"/>
  <c r="G50" i="9"/>
  <c r="G78" i="9"/>
  <c r="G82" i="9"/>
  <c r="G86" i="9"/>
  <c r="G94" i="9"/>
  <c r="G102" i="9"/>
  <c r="G114" i="9"/>
  <c r="G118" i="9"/>
  <c r="G130" i="9"/>
  <c r="G142" i="9"/>
  <c r="G146" i="9"/>
  <c r="G150" i="9"/>
  <c r="G154" i="9"/>
  <c r="G158" i="9"/>
  <c r="G11" i="9"/>
  <c r="G15" i="9"/>
  <c r="G19" i="9"/>
  <c r="G23" i="9"/>
  <c r="G27" i="9"/>
  <c r="G31" i="9"/>
  <c r="G35" i="9"/>
  <c r="G51" i="9"/>
  <c r="G59" i="9"/>
  <c r="G63" i="9"/>
  <c r="G67" i="9"/>
  <c r="G75" i="9"/>
  <c r="G79" i="9"/>
  <c r="G83" i="9"/>
  <c r="G87" i="9"/>
  <c r="G91" i="9"/>
  <c r="G95" i="9"/>
  <c r="G99" i="9"/>
  <c r="G107" i="9"/>
  <c r="G111" i="9"/>
  <c r="G115" i="9"/>
  <c r="G119" i="9"/>
  <c r="G123" i="9"/>
  <c r="G135" i="9"/>
  <c r="G139" i="9"/>
  <c r="G143" i="9"/>
  <c r="G147" i="9"/>
  <c r="G151" i="9"/>
  <c r="G163" i="9"/>
  <c r="D145" i="4"/>
  <c r="H132" i="4"/>
  <c r="D144" i="4"/>
  <c r="E3" i="15"/>
  <c r="G3" i="8"/>
  <c r="F3" i="8"/>
  <c r="D3" i="15"/>
  <c r="G3" i="18"/>
  <c r="E3" i="18"/>
  <c r="D290" i="5"/>
  <c r="F3" i="18"/>
  <c r="D3" i="18"/>
  <c r="AH290" i="5"/>
  <c r="N146" i="14"/>
  <c r="N147" i="14"/>
  <c r="O146" i="14"/>
  <c r="O147" i="14"/>
  <c r="L76" i="14"/>
  <c r="L147" i="14"/>
  <c r="D291" i="5"/>
  <c r="R41" i="7"/>
  <c r="H41" i="7"/>
  <c r="R49" i="7"/>
  <c r="H49" i="7"/>
  <c r="R77" i="7"/>
  <c r="H77" i="7"/>
  <c r="R113" i="7"/>
  <c r="H113" i="7"/>
  <c r="R133" i="7"/>
  <c r="H133" i="7"/>
  <c r="R149" i="7"/>
  <c r="H149" i="7"/>
  <c r="R13" i="7"/>
  <c r="H13" i="7"/>
  <c r="R53" i="7"/>
  <c r="H53" i="7"/>
  <c r="R129" i="7"/>
  <c r="H129" i="7"/>
  <c r="H157" i="7"/>
  <c r="H21" i="7"/>
  <c r="H33" i="7"/>
  <c r="H125" i="7"/>
  <c r="R17" i="7"/>
  <c r="H17" i="7"/>
  <c r="R37" i="7"/>
  <c r="H37" i="7"/>
  <c r="R61" i="7"/>
  <c r="H61" i="7"/>
  <c r="R73" i="7"/>
  <c r="H73" i="7"/>
  <c r="R81" i="7"/>
  <c r="H81" i="7"/>
  <c r="R93" i="7"/>
  <c r="H93" i="7"/>
  <c r="R97" i="7"/>
  <c r="H97" i="7"/>
  <c r="R109" i="7"/>
  <c r="H109" i="7"/>
  <c r="R117" i="7"/>
  <c r="H117" i="7"/>
  <c r="H141" i="7"/>
  <c r="H65" i="7"/>
  <c r="H121" i="7"/>
  <c r="H57" i="7"/>
  <c r="H165" i="7"/>
  <c r="H69" i="7"/>
  <c r="H85" i="7"/>
  <c r="H11" i="7"/>
  <c r="R11" i="7"/>
  <c r="H43" i="7"/>
  <c r="R43" i="7"/>
  <c r="H59" i="7"/>
  <c r="R59" i="7"/>
  <c r="H91" i="7"/>
  <c r="R91" i="7"/>
  <c r="H139" i="7"/>
  <c r="R139" i="7"/>
  <c r="H155" i="7"/>
  <c r="H107" i="7"/>
  <c r="H135" i="7"/>
  <c r="H147" i="7"/>
  <c r="H167" i="7"/>
  <c r="X9" i="1"/>
  <c r="B5" i="5"/>
  <c r="B7" i="5" s="1"/>
  <c r="BG8" i="1"/>
  <c r="H15" i="7"/>
  <c r="R15" i="7"/>
  <c r="H27" i="7"/>
  <c r="R27" i="7"/>
  <c r="H79" i="7"/>
  <c r="R79" i="7"/>
  <c r="H95" i="7"/>
  <c r="R95" i="7"/>
  <c r="H111" i="7"/>
  <c r="R111" i="7"/>
  <c r="H163" i="7"/>
  <c r="R163" i="7"/>
  <c r="M146" i="14"/>
  <c r="D57" i="5"/>
  <c r="D15" i="5"/>
  <c r="D279" i="5"/>
  <c r="D227" i="5"/>
  <c r="D275" i="5"/>
  <c r="D35" i="5"/>
  <c r="L12" i="12"/>
  <c r="D41" i="5"/>
  <c r="D121" i="5"/>
  <c r="D173" i="5"/>
  <c r="D69" i="1"/>
  <c r="D217" i="5"/>
  <c r="D135" i="5"/>
  <c r="D131" i="5"/>
  <c r="D27" i="9"/>
  <c r="D147" i="9"/>
  <c r="D177" i="5"/>
  <c r="D231" i="5"/>
  <c r="D85" i="5"/>
  <c r="AE8" i="1"/>
  <c r="D126" i="9"/>
  <c r="H99" i="7"/>
  <c r="AS8" i="1"/>
  <c r="H35" i="7"/>
  <c r="H19" i="7"/>
  <c r="H55" i="7"/>
  <c r="H71" i="7"/>
  <c r="H87" i="7"/>
  <c r="H131" i="7"/>
  <c r="B4" i="14"/>
  <c r="B5" i="14" s="1"/>
  <c r="B6" i="14" s="1"/>
  <c r="B7" i="14" s="1"/>
  <c r="B8" i="14" s="1"/>
  <c r="B9" i="14" s="1"/>
  <c r="B10" i="14" s="1"/>
  <c r="B11" i="14" s="1"/>
  <c r="B12" i="14" s="1"/>
  <c r="B13" i="14" s="1"/>
  <c r="B14" i="14" s="1"/>
  <c r="B15" i="14" s="1"/>
  <c r="B16" i="14" s="1"/>
  <c r="B17" i="14" s="1"/>
  <c r="B18" i="14" s="1"/>
  <c r="B19" i="14" s="1"/>
  <c r="B20" i="14" s="1"/>
  <c r="B21" i="14" s="1"/>
  <c r="B22" i="14" s="1"/>
  <c r="B23" i="14" s="1"/>
  <c r="B24" i="14" s="1"/>
  <c r="B25" i="14" s="1"/>
  <c r="B26" i="14" s="1"/>
  <c r="B27" i="14" s="1"/>
  <c r="B28" i="14" s="1"/>
  <c r="B29" i="14" s="1"/>
  <c r="B30" i="14" s="1"/>
  <c r="B31" i="14" s="1"/>
  <c r="B32" i="14" s="1"/>
  <c r="B33" i="14" s="1"/>
  <c r="B34" i="14" s="1"/>
  <c r="B35" i="14" s="1"/>
  <c r="B36" i="14" s="1"/>
  <c r="B37" i="14" s="1"/>
  <c r="B38" i="14" s="1"/>
  <c r="B39" i="14" s="1"/>
  <c r="B40" i="14" s="1"/>
  <c r="B41" i="14" s="1"/>
  <c r="B42" i="14" s="1"/>
  <c r="B43" i="14" s="1"/>
  <c r="B44" i="14" s="1"/>
  <c r="B45" i="14" s="1"/>
  <c r="B46" i="14" s="1"/>
  <c r="B47" i="14" s="1"/>
  <c r="B48" i="14" s="1"/>
  <c r="B49" i="14" s="1"/>
  <c r="B50" i="14" s="1"/>
  <c r="B51" i="14" s="1"/>
  <c r="B52" i="14" s="1"/>
  <c r="B53" i="14" s="1"/>
  <c r="B54" i="14" s="1"/>
  <c r="B55" i="14" s="1"/>
  <c r="B56" i="14" s="1"/>
  <c r="B57" i="14" s="1"/>
  <c r="B58" i="14" s="1"/>
  <c r="B59" i="14" s="1"/>
  <c r="B60" i="14" s="1"/>
  <c r="B61" i="14" s="1"/>
  <c r="B62" i="14" s="1"/>
  <c r="B63" i="14" s="1"/>
  <c r="B64" i="14" s="1"/>
  <c r="B65" i="14" s="1"/>
  <c r="B66" i="14" s="1"/>
  <c r="B67" i="14" s="1"/>
  <c r="B4" i="5"/>
  <c r="B6" i="5" s="1"/>
  <c r="AD263" i="5"/>
  <c r="H119" i="7"/>
  <c r="H51" i="7"/>
  <c r="H83" i="7"/>
  <c r="H23" i="7"/>
  <c r="H67" i="7"/>
  <c r="BG9" i="1"/>
  <c r="D175" i="5"/>
  <c r="D79" i="5"/>
  <c r="D229" i="5"/>
  <c r="D117" i="5"/>
  <c r="D37" i="5"/>
  <c r="D179" i="5"/>
  <c r="D75" i="5"/>
  <c r="D33" i="1"/>
  <c r="D101" i="1"/>
  <c r="D13" i="9"/>
  <c r="D17" i="9"/>
  <c r="D25" i="9"/>
  <c r="D29" i="9"/>
  <c r="D33" i="9"/>
  <c r="D41" i="9"/>
  <c r="D45" i="9"/>
  <c r="D49" i="9"/>
  <c r="D57" i="9"/>
  <c r="D61" i="9"/>
  <c r="D65" i="9"/>
  <c r="D73" i="9"/>
  <c r="D77" i="9"/>
  <c r="D81" i="9"/>
  <c r="D89" i="9"/>
  <c r="D93" i="9"/>
  <c r="D97" i="9"/>
  <c r="D105" i="9"/>
  <c r="D109" i="9"/>
  <c r="D113" i="9"/>
  <c r="D121" i="9"/>
  <c r="D125" i="9"/>
  <c r="D129" i="9"/>
  <c r="D137" i="9"/>
  <c r="D141" i="9"/>
  <c r="D145" i="9"/>
  <c r="D153" i="9"/>
  <c r="D157" i="9"/>
  <c r="D161" i="9"/>
  <c r="D169" i="9"/>
  <c r="D11" i="7"/>
  <c r="D15" i="7"/>
  <c r="D27" i="7"/>
  <c r="D31" i="7"/>
  <c r="D43" i="7"/>
  <c r="D47" i="7"/>
  <c r="D59" i="7"/>
  <c r="D63" i="7"/>
  <c r="D75" i="7"/>
  <c r="D79" i="7"/>
  <c r="D91" i="7"/>
  <c r="D95" i="7"/>
  <c r="D107" i="7"/>
  <c r="D111" i="7"/>
  <c r="D123" i="7"/>
  <c r="D127" i="7"/>
  <c r="D139" i="7"/>
  <c r="D143" i="7"/>
  <c r="D147" i="7"/>
  <c r="D159" i="7"/>
  <c r="D163" i="7"/>
  <c r="D85" i="9"/>
  <c r="D269" i="5"/>
  <c r="D209" i="5"/>
  <c r="D105" i="5"/>
  <c r="D247" i="5"/>
  <c r="D143" i="5"/>
  <c r="D55" i="5"/>
  <c r="D205" i="5"/>
  <c r="D101" i="5"/>
  <c r="D259" i="5"/>
  <c r="D139" i="5"/>
  <c r="D51" i="5"/>
  <c r="D87" i="1"/>
  <c r="D91" i="1"/>
  <c r="D133" i="1"/>
  <c r="D123" i="9"/>
  <c r="D289" i="5"/>
  <c r="D267" i="5"/>
  <c r="D145" i="5"/>
  <c r="D49" i="5"/>
  <c r="D207" i="5"/>
  <c r="D87" i="5"/>
  <c r="D7" i="5"/>
  <c r="D165" i="5"/>
  <c r="D45" i="5"/>
  <c r="D203" i="5"/>
  <c r="D115" i="5"/>
  <c r="D59" i="1"/>
  <c r="D43" i="9"/>
  <c r="D285" i="5"/>
  <c r="D233" i="5"/>
  <c r="D169" i="5"/>
  <c r="D89" i="5"/>
  <c r="D9" i="5"/>
  <c r="D183" i="5"/>
  <c r="D119" i="5"/>
  <c r="D39" i="5"/>
  <c r="D213" i="5"/>
  <c r="D141" i="5"/>
  <c r="D53" i="5"/>
  <c r="D243" i="5"/>
  <c r="D171" i="5"/>
  <c r="D83" i="5"/>
  <c r="D11" i="5"/>
  <c r="D11" i="1"/>
  <c r="D53" i="1"/>
  <c r="D63" i="1"/>
  <c r="D77" i="1"/>
  <c r="D19" i="9"/>
  <c r="D91" i="9"/>
  <c r="D273" i="5"/>
  <c r="D277" i="5"/>
  <c r="D249" i="5"/>
  <c r="D185" i="5"/>
  <c r="D137" i="5"/>
  <c r="D81" i="5"/>
  <c r="D17" i="5"/>
  <c r="D215" i="5"/>
  <c r="D167" i="5"/>
  <c r="D103" i="5"/>
  <c r="D47" i="5"/>
  <c r="D245" i="5"/>
  <c r="D181" i="5"/>
  <c r="D133" i="5"/>
  <c r="D77" i="5"/>
  <c r="D13" i="5"/>
  <c r="D211" i="5"/>
  <c r="D163" i="5"/>
  <c r="D99" i="5"/>
  <c r="D43" i="5"/>
  <c r="D93" i="1"/>
  <c r="D103" i="1"/>
  <c r="D107" i="1"/>
  <c r="D157" i="1"/>
  <c r="D67" i="9"/>
  <c r="D131" i="9"/>
  <c r="D63" i="4"/>
  <c r="J29" i="12"/>
  <c r="O29" i="12" s="1"/>
  <c r="P29" i="12" s="1"/>
  <c r="J34" i="12"/>
  <c r="O34" i="12" s="1"/>
  <c r="P34" i="12" s="1"/>
  <c r="J43" i="12"/>
  <c r="O43" i="12" s="1"/>
  <c r="P43" i="12" s="1"/>
  <c r="J23" i="12"/>
  <c r="O23" i="12" s="1"/>
  <c r="P23" i="12" s="1"/>
  <c r="J33" i="12"/>
  <c r="O33" i="12" s="1"/>
  <c r="P33" i="12" s="1"/>
  <c r="D21" i="1"/>
  <c r="D47" i="1"/>
  <c r="D117" i="1"/>
  <c r="D155" i="1"/>
  <c r="D161" i="1"/>
  <c r="D165" i="1"/>
  <c r="D59" i="9"/>
  <c r="D101" i="9"/>
  <c r="D155" i="9"/>
  <c r="D93" i="4"/>
  <c r="D105" i="4"/>
  <c r="D141" i="4"/>
  <c r="J37" i="12"/>
  <c r="O37" i="12" s="1"/>
  <c r="P37" i="12" s="1"/>
  <c r="J38" i="12"/>
  <c r="O38" i="12" s="1"/>
  <c r="P38" i="12" s="1"/>
  <c r="D281" i="5"/>
  <c r="D271" i="5"/>
  <c r="D283" i="5"/>
  <c r="D241" i="5"/>
  <c r="D201" i="5"/>
  <c r="D153" i="5"/>
  <c r="D113" i="5"/>
  <c r="D73" i="5"/>
  <c r="D25" i="5"/>
  <c r="D239" i="5"/>
  <c r="D199" i="5"/>
  <c r="D151" i="5"/>
  <c r="D111" i="5"/>
  <c r="D71" i="5"/>
  <c r="D23" i="5"/>
  <c r="D237" i="5"/>
  <c r="D197" i="5"/>
  <c r="D149" i="5"/>
  <c r="D109" i="5"/>
  <c r="D69" i="5"/>
  <c r="D21" i="5"/>
  <c r="D235" i="5"/>
  <c r="D195" i="5"/>
  <c r="D147" i="5"/>
  <c r="D107" i="5"/>
  <c r="D67" i="5"/>
  <c r="D19" i="5"/>
  <c r="D17" i="1"/>
  <c r="D27" i="1"/>
  <c r="D37" i="1"/>
  <c r="D51" i="1"/>
  <c r="D109" i="1"/>
  <c r="D119" i="1"/>
  <c r="D123" i="1"/>
  <c r="D141" i="1"/>
  <c r="D37" i="9"/>
  <c r="D69" i="9"/>
  <c r="D115" i="9"/>
  <c r="D149" i="9"/>
  <c r="D101" i="4"/>
  <c r="D67" i="4"/>
  <c r="D87" i="4"/>
  <c r="D95" i="4"/>
  <c r="D115" i="4"/>
  <c r="D91" i="4"/>
  <c r="J25" i="12"/>
  <c r="O25" i="12" s="1"/>
  <c r="P25" i="12" s="1"/>
  <c r="J39" i="12"/>
  <c r="O39" i="12" s="1"/>
  <c r="P39" i="12" s="1"/>
  <c r="J41" i="12"/>
  <c r="O41" i="12" s="1"/>
  <c r="P41" i="12" s="1"/>
  <c r="J24" i="12"/>
  <c r="O24" i="12" s="1"/>
  <c r="P24" i="12" s="1"/>
  <c r="D9" i="1"/>
  <c r="D265" i="5"/>
  <c r="D263" i="5"/>
  <c r="D261" i="5"/>
  <c r="D257" i="5"/>
  <c r="D225" i="5"/>
  <c r="D193" i="5"/>
  <c r="D161" i="5"/>
  <c r="D129" i="5"/>
  <c r="D97" i="5"/>
  <c r="D65" i="5"/>
  <c r="D33" i="5"/>
  <c r="D255" i="5"/>
  <c r="D223" i="5"/>
  <c r="D191" i="5"/>
  <c r="D159" i="5"/>
  <c r="D127" i="5"/>
  <c r="D95" i="5"/>
  <c r="D63" i="5"/>
  <c r="D31" i="5"/>
  <c r="D253" i="5"/>
  <c r="D221" i="5"/>
  <c r="D189" i="5"/>
  <c r="D157" i="5"/>
  <c r="D125" i="5"/>
  <c r="D93" i="5"/>
  <c r="D61" i="5"/>
  <c r="D29" i="5"/>
  <c r="D251" i="5"/>
  <c r="D219" i="5"/>
  <c r="D187" i="5"/>
  <c r="D155" i="5"/>
  <c r="D123" i="5"/>
  <c r="D91" i="5"/>
  <c r="D59" i="5"/>
  <c r="D27" i="5"/>
  <c r="D29" i="1"/>
  <c r="D35" i="1"/>
  <c r="D71" i="1"/>
  <c r="D75" i="1"/>
  <c r="D85" i="1"/>
  <c r="D125" i="1"/>
  <c r="D135" i="1"/>
  <c r="D139" i="1"/>
  <c r="D145" i="1"/>
  <c r="D149" i="1"/>
  <c r="D21" i="9"/>
  <c r="D51" i="9"/>
  <c r="D83" i="9"/>
  <c r="D107" i="9"/>
  <c r="D133" i="9"/>
  <c r="D165" i="9"/>
  <c r="J42" i="12"/>
  <c r="O42" i="12" s="1"/>
  <c r="P42" i="12" s="1"/>
  <c r="D13" i="1"/>
  <c r="D19" i="1"/>
  <c r="D25" i="1"/>
  <c r="D43" i="1"/>
  <c r="D55" i="1"/>
  <c r="D61" i="1"/>
  <c r="D67" i="1"/>
  <c r="D79" i="1"/>
  <c r="D83" i="1"/>
  <c r="D95" i="1"/>
  <c r="D99" i="1"/>
  <c r="D111" i="1"/>
  <c r="D115" i="1"/>
  <c r="D127" i="1"/>
  <c r="D131" i="1"/>
  <c r="D147" i="1"/>
  <c r="D153" i="1"/>
  <c r="D163" i="1"/>
  <c r="D169" i="1"/>
  <c r="D15" i="9"/>
  <c r="D23" i="9"/>
  <c r="D31" i="9"/>
  <c r="D39" i="9"/>
  <c r="D47" i="9"/>
  <c r="D55" i="9"/>
  <c r="D63" i="9"/>
  <c r="D71" i="9"/>
  <c r="D79" i="9"/>
  <c r="D87" i="9"/>
  <c r="D95" i="9"/>
  <c r="D103" i="9"/>
  <c r="D111" i="9"/>
  <c r="D119" i="9"/>
  <c r="D127" i="9"/>
  <c r="D135" i="9"/>
  <c r="D143" i="9"/>
  <c r="D151" i="9"/>
  <c r="D159" i="9"/>
  <c r="D167" i="9"/>
  <c r="D25" i="7"/>
  <c r="D41" i="7"/>
  <c r="D57" i="7"/>
  <c r="D73" i="7"/>
  <c r="D89" i="7"/>
  <c r="D105" i="7"/>
  <c r="D121" i="7"/>
  <c r="D137" i="7"/>
  <c r="D157" i="7"/>
  <c r="D11" i="9"/>
  <c r="D35" i="9"/>
  <c r="D53" i="9"/>
  <c r="D75" i="9"/>
  <c r="D99" i="9"/>
  <c r="D117" i="9"/>
  <c r="D139" i="9"/>
  <c r="D163" i="9"/>
  <c r="D51" i="4"/>
  <c r="D287" i="5"/>
  <c r="M14" i="4"/>
  <c r="N14" i="4" s="1"/>
  <c r="J30" i="12"/>
  <c r="O30" i="12" s="1"/>
  <c r="P30" i="12" s="1"/>
  <c r="AH182" i="5"/>
  <c r="D119" i="4"/>
  <c r="J40" i="12"/>
  <c r="O40" i="12" s="1"/>
  <c r="P40" i="12" s="1"/>
  <c r="J22" i="12"/>
  <c r="O22" i="12" s="1"/>
  <c r="P22" i="12" s="1"/>
  <c r="J31" i="12"/>
  <c r="O31" i="12" s="1"/>
  <c r="P31" i="12" s="1"/>
  <c r="G49" i="1"/>
  <c r="D49" i="1"/>
  <c r="D143" i="1"/>
  <c r="G143" i="1"/>
  <c r="D159" i="1"/>
  <c r="G159" i="1"/>
  <c r="X8" i="1"/>
  <c r="G41" i="1"/>
  <c r="D41" i="1"/>
  <c r="AZ8" i="1"/>
  <c r="G57" i="1"/>
  <c r="D57" i="1"/>
  <c r="D15" i="1"/>
  <c r="D23" i="1"/>
  <c r="D31" i="1"/>
  <c r="D39" i="1"/>
  <c r="D45" i="1"/>
  <c r="D151" i="1"/>
  <c r="G151" i="1"/>
  <c r="D167" i="1"/>
  <c r="G167" i="1"/>
  <c r="G71" i="1"/>
  <c r="G79" i="1"/>
  <c r="G87" i="1"/>
  <c r="G95" i="1"/>
  <c r="G103" i="1"/>
  <c r="G111" i="1"/>
  <c r="G119" i="1"/>
  <c r="G127" i="1"/>
  <c r="G135" i="1"/>
  <c r="AE9" i="1"/>
  <c r="D65" i="1"/>
  <c r="D73" i="1"/>
  <c r="D81" i="1"/>
  <c r="D89" i="1"/>
  <c r="D97" i="1"/>
  <c r="D105" i="1"/>
  <c r="D113" i="1"/>
  <c r="D121" i="1"/>
  <c r="D129" i="1"/>
  <c r="D137" i="1"/>
  <c r="AL8" i="1"/>
  <c r="AZ9" i="1"/>
  <c r="AS9" i="1"/>
  <c r="AL9" i="1"/>
  <c r="D75" i="4"/>
  <c r="D133" i="4"/>
  <c r="K41" i="4"/>
  <c r="M13" i="4"/>
  <c r="N13" i="4" s="1"/>
  <c r="D89" i="4"/>
  <c r="M40" i="4"/>
  <c r="N40" i="4" s="1"/>
  <c r="K26" i="4"/>
  <c r="H63" i="4"/>
  <c r="M25" i="4"/>
  <c r="N25" i="4" s="1"/>
  <c r="D176" i="5"/>
  <c r="D216" i="5"/>
  <c r="D258" i="5"/>
  <c r="D12" i="5"/>
  <c r="D48" i="5"/>
  <c r="D8" i="1"/>
  <c r="D88" i="5"/>
  <c r="D130" i="5"/>
  <c r="D117" i="4"/>
  <c r="X66" i="14"/>
  <c r="D38" i="9"/>
  <c r="D102" i="9"/>
  <c r="D166" i="9"/>
  <c r="AH120" i="5"/>
  <c r="D99" i="4"/>
  <c r="AH40" i="5"/>
  <c r="L11" i="12"/>
  <c r="D16" i="5"/>
  <c r="D50" i="5"/>
  <c r="D96" i="5"/>
  <c r="D136" i="5"/>
  <c r="D178" i="5"/>
  <c r="D224" i="5"/>
  <c r="D264" i="5"/>
  <c r="D14" i="9"/>
  <c r="D78" i="9"/>
  <c r="D142" i="9"/>
  <c r="D18" i="5"/>
  <c r="D56" i="5"/>
  <c r="D98" i="5"/>
  <c r="D144" i="5"/>
  <c r="D184" i="5"/>
  <c r="D226" i="5"/>
  <c r="D272" i="5"/>
  <c r="D54" i="9"/>
  <c r="D118" i="9"/>
  <c r="D24" i="5"/>
  <c r="D64" i="5"/>
  <c r="D104" i="5"/>
  <c r="D146" i="5"/>
  <c r="D192" i="5"/>
  <c r="D232" i="5"/>
  <c r="D274" i="5"/>
  <c r="D30" i="9"/>
  <c r="D94" i="9"/>
  <c r="D158" i="9"/>
  <c r="D28" i="5"/>
  <c r="D66" i="5"/>
  <c r="D112" i="5"/>
  <c r="D152" i="5"/>
  <c r="D194" i="5"/>
  <c r="D240" i="5"/>
  <c r="D280" i="5"/>
  <c r="D70" i="9"/>
  <c r="D134" i="9"/>
  <c r="D32" i="5"/>
  <c r="D72" i="5"/>
  <c r="D114" i="5"/>
  <c r="D160" i="5"/>
  <c r="D200" i="5"/>
  <c r="D242" i="5"/>
  <c r="D12" i="7"/>
  <c r="D20" i="7"/>
  <c r="D28" i="7"/>
  <c r="D36" i="7"/>
  <c r="D44" i="7"/>
  <c r="D52" i="7"/>
  <c r="D60" i="7"/>
  <c r="D68" i="7"/>
  <c r="D76" i="7"/>
  <c r="D84" i="7"/>
  <c r="D92" i="7"/>
  <c r="D100" i="7"/>
  <c r="D108" i="7"/>
  <c r="D116" i="7"/>
  <c r="D124" i="7"/>
  <c r="D132" i="7"/>
  <c r="D140" i="7"/>
  <c r="D148" i="7"/>
  <c r="D156" i="7"/>
  <c r="D164" i="7"/>
  <c r="D46" i="9"/>
  <c r="D110" i="9"/>
  <c r="D100" i="4"/>
  <c r="D34" i="5"/>
  <c r="D80" i="5"/>
  <c r="D120" i="5"/>
  <c r="D162" i="5"/>
  <c r="D208" i="5"/>
  <c r="D248" i="5"/>
  <c r="D22" i="9"/>
  <c r="D86" i="9"/>
  <c r="D150" i="9"/>
  <c r="D8" i="5"/>
  <c r="D40" i="5"/>
  <c r="D82" i="5"/>
  <c r="D128" i="5"/>
  <c r="D168" i="5"/>
  <c r="D210" i="5"/>
  <c r="D256" i="5"/>
  <c r="D62" i="9"/>
  <c r="AH8" i="5"/>
  <c r="AH136" i="5"/>
  <c r="AH24" i="5"/>
  <c r="AH152" i="5"/>
  <c r="AH56" i="5"/>
  <c r="AH230" i="5"/>
  <c r="AH72" i="5"/>
  <c r="AH246" i="5"/>
  <c r="AH88" i="5"/>
  <c r="AH198" i="5"/>
  <c r="AH104" i="5"/>
  <c r="H105" i="4"/>
  <c r="H141" i="4"/>
  <c r="D77" i="4"/>
  <c r="D61" i="4"/>
  <c r="D137" i="4"/>
  <c r="D113" i="4"/>
  <c r="AH214" i="5"/>
  <c r="AH274" i="5"/>
  <c r="AH262" i="5"/>
  <c r="AH276" i="5"/>
  <c r="AH166" i="5"/>
  <c r="D125" i="4"/>
  <c r="D81" i="4"/>
  <c r="AD119" i="5"/>
  <c r="D69" i="4"/>
  <c r="AD57" i="5"/>
  <c r="D97" i="4"/>
  <c r="AD85" i="5"/>
  <c r="D107" i="4"/>
  <c r="AD7" i="5"/>
  <c r="AD21" i="5"/>
  <c r="AD39" i="5"/>
  <c r="AD77" i="5"/>
  <c r="AD111" i="5"/>
  <c r="AD23" i="5"/>
  <c r="AD9" i="5"/>
  <c r="AD41" i="5"/>
  <c r="AD59" i="5"/>
  <c r="D83" i="4"/>
  <c r="AD11" i="5"/>
  <c r="AD25" i="5"/>
  <c r="AD43" i="5"/>
  <c r="AD63" i="5"/>
  <c r="AD89" i="5"/>
  <c r="AD123" i="5"/>
  <c r="M11" i="4"/>
  <c r="N11" i="4" s="1"/>
  <c r="AD13" i="5"/>
  <c r="AD27" i="5"/>
  <c r="AD45" i="5"/>
  <c r="AD67" i="5"/>
  <c r="AD93" i="5"/>
  <c r="AD15" i="5"/>
  <c r="AD29" i="5"/>
  <c r="AD49" i="5"/>
  <c r="AD71" i="5"/>
  <c r="AD97" i="5"/>
  <c r="AD17" i="5"/>
  <c r="AD31" i="5"/>
  <c r="AD53" i="5"/>
  <c r="AD101" i="5"/>
  <c r="AD19" i="5"/>
  <c r="AD35" i="5"/>
  <c r="AD55" i="5"/>
  <c r="AD73" i="5"/>
  <c r="H93" i="4"/>
  <c r="D55" i="4"/>
  <c r="D111" i="4"/>
  <c r="D135" i="4"/>
  <c r="AD33" i="5"/>
  <c r="AD47" i="5"/>
  <c r="AD61" i="5"/>
  <c r="AD81" i="5"/>
  <c r="AD107" i="5"/>
  <c r="AD37" i="5"/>
  <c r="AD51" i="5"/>
  <c r="AD65" i="5"/>
  <c r="AD115" i="5"/>
  <c r="D123" i="4"/>
  <c r="D121" i="4"/>
  <c r="H67" i="4"/>
  <c r="H95" i="4"/>
  <c r="D79" i="4"/>
  <c r="D57" i="4"/>
  <c r="D102" i="4"/>
  <c r="J26" i="12"/>
  <c r="O26" i="12" s="1"/>
  <c r="P26" i="12" s="1"/>
  <c r="J35" i="12"/>
  <c r="O35" i="12" s="1"/>
  <c r="P35" i="12" s="1"/>
  <c r="D20" i="5"/>
  <c r="D36" i="5"/>
  <c r="D52" i="5"/>
  <c r="D68" i="5"/>
  <c r="D84" i="5"/>
  <c r="D100" i="5"/>
  <c r="D116" i="5"/>
  <c r="D132" i="5"/>
  <c r="D148" i="5"/>
  <c r="D164" i="5"/>
  <c r="D180" i="5"/>
  <c r="D196" i="5"/>
  <c r="D212" i="5"/>
  <c r="D228" i="5"/>
  <c r="D244" i="5"/>
  <c r="D260" i="5"/>
  <c r="D276" i="5"/>
  <c r="D10" i="1"/>
  <c r="D14" i="1"/>
  <c r="D18" i="1"/>
  <c r="D22" i="1"/>
  <c r="D26" i="1"/>
  <c r="D30" i="1"/>
  <c r="D34" i="1"/>
  <c r="D38" i="1"/>
  <c r="D42" i="1"/>
  <c r="D46" i="1"/>
  <c r="D50" i="1"/>
  <c r="D54" i="1"/>
  <c r="D58" i="1"/>
  <c r="D62" i="1"/>
  <c r="D66" i="1"/>
  <c r="D70" i="1"/>
  <c r="D74" i="1"/>
  <c r="D78" i="1"/>
  <c r="D82" i="1"/>
  <c r="D86" i="1"/>
  <c r="D90" i="1"/>
  <c r="D94" i="1"/>
  <c r="D98" i="1"/>
  <c r="D102" i="1"/>
  <c r="D106" i="1"/>
  <c r="D110" i="1"/>
  <c r="D114" i="1"/>
  <c r="D118" i="1"/>
  <c r="D122" i="1"/>
  <c r="D126" i="1"/>
  <c r="D130" i="1"/>
  <c r="D134" i="1"/>
  <c r="D138" i="1"/>
  <c r="D142" i="1"/>
  <c r="D146" i="1"/>
  <c r="D150" i="1"/>
  <c r="D154" i="1"/>
  <c r="D158" i="1"/>
  <c r="D162" i="1"/>
  <c r="D166" i="1"/>
  <c r="D66" i="4"/>
  <c r="D94" i="4"/>
  <c r="D110" i="4"/>
  <c r="D122" i="4"/>
  <c r="D88" i="4"/>
  <c r="D90" i="4"/>
  <c r="D6" i="5"/>
  <c r="D22" i="5"/>
  <c r="D38" i="5"/>
  <c r="D54" i="5"/>
  <c r="D70" i="5"/>
  <c r="D86" i="5"/>
  <c r="D102" i="5"/>
  <c r="D118" i="5"/>
  <c r="D134" i="5"/>
  <c r="D150" i="5"/>
  <c r="D166" i="5"/>
  <c r="D182" i="5"/>
  <c r="D198" i="5"/>
  <c r="D214" i="5"/>
  <c r="D230" i="5"/>
  <c r="D246" i="5"/>
  <c r="D262" i="5"/>
  <c r="D278" i="5"/>
  <c r="D14" i="7"/>
  <c r="D22" i="7"/>
  <c r="D30" i="7"/>
  <c r="D38" i="7"/>
  <c r="D46" i="7"/>
  <c r="D54" i="7"/>
  <c r="D62" i="7"/>
  <c r="D70" i="7"/>
  <c r="D78" i="7"/>
  <c r="D86" i="7"/>
  <c r="D94" i="7"/>
  <c r="D102" i="7"/>
  <c r="D110" i="7"/>
  <c r="D118" i="7"/>
  <c r="D126" i="7"/>
  <c r="D134" i="7"/>
  <c r="D142" i="7"/>
  <c r="D150" i="7"/>
  <c r="D158" i="7"/>
  <c r="D166" i="7"/>
  <c r="D16" i="9"/>
  <c r="D24" i="9"/>
  <c r="D32" i="9"/>
  <c r="D40" i="9"/>
  <c r="D48" i="9"/>
  <c r="D56" i="9"/>
  <c r="D64" i="9"/>
  <c r="D72" i="9"/>
  <c r="D80" i="9"/>
  <c r="D88" i="9"/>
  <c r="D96" i="9"/>
  <c r="D104" i="9"/>
  <c r="D112" i="9"/>
  <c r="D120" i="9"/>
  <c r="D128" i="9"/>
  <c r="D136" i="9"/>
  <c r="D144" i="9"/>
  <c r="D152" i="9"/>
  <c r="D160" i="9"/>
  <c r="D168" i="9"/>
  <c r="D50" i="4"/>
  <c r="D62" i="4"/>
  <c r="D286" i="5"/>
  <c r="D74" i="4"/>
  <c r="D132" i="4"/>
  <c r="D80" i="4"/>
  <c r="D124" i="4"/>
  <c r="D106" i="4"/>
  <c r="D72" i="4"/>
  <c r="D10" i="5"/>
  <c r="D26" i="5"/>
  <c r="D42" i="5"/>
  <c r="D58" i="5"/>
  <c r="D74" i="5"/>
  <c r="D90" i="5"/>
  <c r="D106" i="5"/>
  <c r="D122" i="5"/>
  <c r="D138" i="5"/>
  <c r="D154" i="5"/>
  <c r="D170" i="5"/>
  <c r="D186" i="5"/>
  <c r="D202" i="5"/>
  <c r="D218" i="5"/>
  <c r="D234" i="5"/>
  <c r="D250" i="5"/>
  <c r="D266" i="5"/>
  <c r="D282" i="5"/>
  <c r="D16" i="7"/>
  <c r="D24" i="7"/>
  <c r="D32" i="7"/>
  <c r="D40" i="7"/>
  <c r="D48" i="7"/>
  <c r="D56" i="7"/>
  <c r="D64" i="7"/>
  <c r="D72" i="7"/>
  <c r="D80" i="7"/>
  <c r="D88" i="7"/>
  <c r="D96" i="7"/>
  <c r="D104" i="7"/>
  <c r="D112" i="7"/>
  <c r="D120" i="7"/>
  <c r="D128" i="7"/>
  <c r="D136" i="7"/>
  <c r="D144" i="7"/>
  <c r="D152" i="7"/>
  <c r="D160" i="7"/>
  <c r="D168" i="7"/>
  <c r="D10" i="9"/>
  <c r="D18" i="9"/>
  <c r="D26" i="9"/>
  <c r="D34" i="9"/>
  <c r="D42" i="9"/>
  <c r="D50" i="9"/>
  <c r="D58" i="9"/>
  <c r="D66" i="9"/>
  <c r="D74" i="9"/>
  <c r="D82" i="9"/>
  <c r="D90" i="9"/>
  <c r="D98" i="9"/>
  <c r="D106" i="9"/>
  <c r="D114" i="9"/>
  <c r="D122" i="9"/>
  <c r="D130" i="9"/>
  <c r="D138" i="9"/>
  <c r="D146" i="9"/>
  <c r="D154" i="9"/>
  <c r="D162" i="9"/>
  <c r="D130" i="4"/>
  <c r="D44" i="5"/>
  <c r="D60" i="5"/>
  <c r="D76" i="5"/>
  <c r="D92" i="5"/>
  <c r="D108" i="5"/>
  <c r="D124" i="5"/>
  <c r="D140" i="5"/>
  <c r="D156" i="5"/>
  <c r="D172" i="5"/>
  <c r="D188" i="5"/>
  <c r="D204" i="5"/>
  <c r="D220" i="5"/>
  <c r="D236" i="5"/>
  <c r="D252" i="5"/>
  <c r="D268" i="5"/>
  <c r="D284" i="5"/>
  <c r="D12" i="1"/>
  <c r="D16" i="1"/>
  <c r="D20" i="1"/>
  <c r="D24" i="1"/>
  <c r="D28" i="1"/>
  <c r="D32" i="1"/>
  <c r="D36" i="1"/>
  <c r="D40" i="1"/>
  <c r="D44" i="1"/>
  <c r="D48" i="1"/>
  <c r="D52" i="1"/>
  <c r="D56" i="1"/>
  <c r="D60" i="1"/>
  <c r="D64" i="1"/>
  <c r="D68" i="1"/>
  <c r="D72" i="1"/>
  <c r="D76" i="1"/>
  <c r="D80" i="1"/>
  <c r="D84" i="1"/>
  <c r="D88" i="1"/>
  <c r="D92" i="1"/>
  <c r="D96" i="1"/>
  <c r="D100" i="1"/>
  <c r="D104" i="1"/>
  <c r="D108" i="1"/>
  <c r="D112" i="1"/>
  <c r="D116" i="1"/>
  <c r="D120" i="1"/>
  <c r="D124" i="1"/>
  <c r="D128" i="1"/>
  <c r="D132" i="1"/>
  <c r="D136" i="1"/>
  <c r="D140" i="1"/>
  <c r="D144" i="1"/>
  <c r="D148" i="1"/>
  <c r="D152" i="1"/>
  <c r="D156" i="1"/>
  <c r="D160" i="1"/>
  <c r="D164" i="1"/>
  <c r="D168" i="1"/>
  <c r="D84" i="4"/>
  <c r="D120" i="4"/>
  <c r="D64" i="4"/>
  <c r="D70" i="4"/>
  <c r="D126" i="4"/>
  <c r="D142" i="4"/>
  <c r="D14" i="5"/>
  <c r="D30" i="5"/>
  <c r="D46" i="5"/>
  <c r="D62" i="5"/>
  <c r="D78" i="5"/>
  <c r="D94" i="5"/>
  <c r="D110" i="5"/>
  <c r="D126" i="5"/>
  <c r="D142" i="5"/>
  <c r="D158" i="5"/>
  <c r="D174" i="5"/>
  <c r="D190" i="5"/>
  <c r="D206" i="5"/>
  <c r="D222" i="5"/>
  <c r="D238" i="5"/>
  <c r="D254" i="5"/>
  <c r="D270" i="5"/>
  <c r="D288" i="5"/>
  <c r="D10" i="7"/>
  <c r="D18" i="7"/>
  <c r="D26" i="7"/>
  <c r="D34" i="7"/>
  <c r="D42" i="7"/>
  <c r="D50" i="7"/>
  <c r="D58" i="7"/>
  <c r="D66" i="7"/>
  <c r="D74" i="7"/>
  <c r="D82" i="7"/>
  <c r="D90" i="7"/>
  <c r="D98" i="7"/>
  <c r="D106" i="7"/>
  <c r="D114" i="7"/>
  <c r="D122" i="7"/>
  <c r="D130" i="7"/>
  <c r="D138" i="7"/>
  <c r="D146" i="7"/>
  <c r="D154" i="7"/>
  <c r="D162" i="7"/>
  <c r="D12" i="9"/>
  <c r="D20" i="9"/>
  <c r="D28" i="9"/>
  <c r="D36" i="9"/>
  <c r="D44" i="9"/>
  <c r="D52" i="9"/>
  <c r="D60" i="9"/>
  <c r="D68" i="9"/>
  <c r="D76" i="9"/>
  <c r="D84" i="9"/>
  <c r="D92" i="9"/>
  <c r="D100" i="9"/>
  <c r="D108" i="9"/>
  <c r="D116" i="9"/>
  <c r="D124" i="9"/>
  <c r="D132" i="9"/>
  <c r="D140" i="9"/>
  <c r="D148" i="9"/>
  <c r="D156" i="9"/>
  <c r="D164" i="9"/>
  <c r="D82" i="4"/>
  <c r="D118" i="4"/>
  <c r="D54" i="4"/>
  <c r="D92" i="4"/>
  <c r="D140" i="4"/>
  <c r="D71" i="4"/>
  <c r="D53" i="4"/>
  <c r="AD133" i="5"/>
  <c r="H64" i="4"/>
  <c r="H142" i="4"/>
  <c r="D86" i="4"/>
  <c r="D114" i="4"/>
  <c r="H70" i="4"/>
  <c r="H126" i="4"/>
  <c r="D138" i="4"/>
  <c r="D98" i="4"/>
  <c r="D52" i="4"/>
  <c r="AD287" i="5"/>
  <c r="J27" i="12"/>
  <c r="J36" i="12"/>
  <c r="O36" i="12" s="1"/>
  <c r="P36" i="12" s="1"/>
  <c r="AD267" i="5"/>
  <c r="AD183" i="5"/>
  <c r="H94" i="4"/>
  <c r="H110" i="4"/>
  <c r="H122" i="4"/>
  <c r="AD277" i="5"/>
  <c r="AD281" i="5"/>
  <c r="AD6" i="5"/>
  <c r="AD167" i="5"/>
  <c r="L139" i="14"/>
  <c r="H30" i="7"/>
  <c r="H86" i="7"/>
  <c r="H134" i="7"/>
  <c r="H102" i="7"/>
  <c r="H110" i="7"/>
  <c r="H142" i="7"/>
  <c r="H38" i="7"/>
  <c r="H22" i="7"/>
  <c r="H78" i="7"/>
  <c r="H46" i="7"/>
  <c r="H70" i="7"/>
  <c r="H118" i="7"/>
  <c r="H62" i="7"/>
  <c r="R89" i="7"/>
  <c r="D13" i="7"/>
  <c r="D17" i="7"/>
  <c r="D21" i="7"/>
  <c r="D29" i="7"/>
  <c r="D33" i="7"/>
  <c r="D37" i="7"/>
  <c r="D45" i="7"/>
  <c r="D49" i="7"/>
  <c r="D53" i="7"/>
  <c r="D61" i="7"/>
  <c r="D65" i="7"/>
  <c r="D69" i="7"/>
  <c r="D77" i="7"/>
  <c r="D81" i="7"/>
  <c r="D85" i="7"/>
  <c r="D93" i="7"/>
  <c r="D97" i="7"/>
  <c r="D101" i="7"/>
  <c r="D109" i="7"/>
  <c r="D113" i="7"/>
  <c r="D117" i="7"/>
  <c r="D125" i="7"/>
  <c r="D129" i="7"/>
  <c r="D133" i="7"/>
  <c r="D141" i="7"/>
  <c r="D145" i="7"/>
  <c r="D149" i="7"/>
  <c r="D153" i="7"/>
  <c r="D161" i="7"/>
  <c r="D165" i="7"/>
  <c r="D169" i="7"/>
  <c r="D19" i="7"/>
  <c r="D23" i="7"/>
  <c r="D35" i="7"/>
  <c r="D39" i="7"/>
  <c r="D51" i="7"/>
  <c r="D55" i="7"/>
  <c r="D67" i="7"/>
  <c r="D71" i="7"/>
  <c r="D83" i="7"/>
  <c r="D87" i="7"/>
  <c r="D99" i="7"/>
  <c r="D103" i="7"/>
  <c r="D115" i="7"/>
  <c r="D119" i="7"/>
  <c r="D131" i="7"/>
  <c r="D135" i="7"/>
  <c r="D151" i="7"/>
  <c r="D155" i="7"/>
  <c r="D167" i="7"/>
  <c r="AD75" i="5"/>
  <c r="AD83" i="5"/>
  <c r="AD105" i="5"/>
  <c r="AD113" i="5"/>
  <c r="AD273" i="5"/>
  <c r="AD135" i="5"/>
  <c r="AD69" i="5"/>
  <c r="AD91" i="5"/>
  <c r="AD99" i="5"/>
  <c r="AD121" i="5"/>
  <c r="AD275" i="5"/>
  <c r="AD285" i="5"/>
  <c r="AD141" i="5"/>
  <c r="AD165" i="5"/>
  <c r="AD265" i="5"/>
  <c r="AD143" i="5"/>
  <c r="AD79" i="5"/>
  <c r="AD87" i="5"/>
  <c r="AD109" i="5"/>
  <c r="AD117" i="5"/>
  <c r="AD279" i="5"/>
  <c r="AD289" i="5"/>
  <c r="AD149" i="5"/>
  <c r="AD173" i="5"/>
  <c r="AD95" i="5"/>
  <c r="AD103" i="5"/>
  <c r="AD125" i="5"/>
  <c r="AD269" i="5"/>
  <c r="AD151" i="5"/>
  <c r="AD127" i="5"/>
  <c r="AD271" i="5"/>
  <c r="AD283" i="5"/>
  <c r="AD189" i="5"/>
  <c r="L141" i="14"/>
  <c r="L131" i="14"/>
  <c r="L128" i="14"/>
  <c r="AD175" i="5"/>
  <c r="L119" i="14"/>
  <c r="AD157" i="5"/>
  <c r="L115" i="14"/>
  <c r="AD159" i="5"/>
  <c r="AD181" i="5"/>
  <c r="L107" i="14"/>
  <c r="L95" i="14"/>
  <c r="L143" i="14"/>
  <c r="L133" i="14"/>
  <c r="L122" i="14"/>
  <c r="L109" i="14"/>
  <c r="L96" i="14"/>
  <c r="L140" i="14"/>
  <c r="L129" i="14"/>
  <c r="L117" i="14"/>
  <c r="L106" i="14"/>
  <c r="L93" i="14"/>
  <c r="L92" i="14"/>
  <c r="AD199" i="5"/>
  <c r="L138" i="14"/>
  <c r="L127" i="14"/>
  <c r="L114" i="14"/>
  <c r="L104" i="14"/>
  <c r="L90" i="14"/>
  <c r="L137" i="14"/>
  <c r="L126" i="14"/>
  <c r="L113" i="14"/>
  <c r="L101" i="14"/>
  <c r="L88" i="14"/>
  <c r="L145" i="14"/>
  <c r="L136" i="14"/>
  <c r="L125" i="14"/>
  <c r="L112" i="14"/>
  <c r="L99" i="14"/>
  <c r="L81" i="14"/>
  <c r="P8" i="1"/>
  <c r="L146" i="14"/>
  <c r="L144" i="14"/>
  <c r="L134" i="14"/>
  <c r="L123" i="14"/>
  <c r="L111" i="14"/>
  <c r="L97" i="14"/>
  <c r="L73" i="14"/>
  <c r="D85" i="4"/>
  <c r="D134" i="4"/>
  <c r="AH18" i="5"/>
  <c r="AH34" i="5"/>
  <c r="AH50" i="5"/>
  <c r="AH66" i="5"/>
  <c r="AH82" i="5"/>
  <c r="AH98" i="5"/>
  <c r="AH114" i="5"/>
  <c r="AH134" i="5"/>
  <c r="AH150" i="5"/>
  <c r="AH164" i="5"/>
  <c r="AH180" i="5"/>
  <c r="AH196" i="5"/>
  <c r="AH212" i="5"/>
  <c r="AH228" i="5"/>
  <c r="AH244" i="5"/>
  <c r="AH260" i="5"/>
  <c r="AH282" i="5"/>
  <c r="AH288" i="5"/>
  <c r="H66" i="4"/>
  <c r="AH14" i="5"/>
  <c r="AH30" i="5"/>
  <c r="AH46" i="5"/>
  <c r="AH62" i="5"/>
  <c r="AH78" i="5"/>
  <c r="AH94" i="5"/>
  <c r="AH110" i="5"/>
  <c r="AH126" i="5"/>
  <c r="AH138" i="5"/>
  <c r="AH154" i="5"/>
  <c r="AH168" i="5"/>
  <c r="AH184" i="5"/>
  <c r="AH200" i="5"/>
  <c r="AH216" i="5"/>
  <c r="AH232" i="5"/>
  <c r="AH248" i="5"/>
  <c r="AH264" i="5"/>
  <c r="AH270" i="5"/>
  <c r="AH284" i="5"/>
  <c r="D56" i="4"/>
  <c r="D78" i="4"/>
  <c r="AH20" i="5"/>
  <c r="AH36" i="5"/>
  <c r="AH52" i="5"/>
  <c r="AH68" i="5"/>
  <c r="AH84" i="5"/>
  <c r="AH100" i="5"/>
  <c r="AH116" i="5"/>
  <c r="AH140" i="5"/>
  <c r="AH156" i="5"/>
  <c r="AH170" i="5"/>
  <c r="AH186" i="5"/>
  <c r="AH202" i="5"/>
  <c r="AH218" i="5"/>
  <c r="AH234" i="5"/>
  <c r="AH250" i="5"/>
  <c r="AH278" i="5"/>
  <c r="AH10" i="5"/>
  <c r="AH26" i="5"/>
  <c r="AH42" i="5"/>
  <c r="AH58" i="5"/>
  <c r="AH74" i="5"/>
  <c r="AH90" i="5"/>
  <c r="AH106" i="5"/>
  <c r="AH122" i="5"/>
  <c r="AH142" i="5"/>
  <c r="AH158" i="5"/>
  <c r="AH172" i="5"/>
  <c r="AH188" i="5"/>
  <c r="AH204" i="5"/>
  <c r="AH220" i="5"/>
  <c r="AH236" i="5"/>
  <c r="AH252" i="5"/>
  <c r="AH16" i="5"/>
  <c r="AH32" i="5"/>
  <c r="AH48" i="5"/>
  <c r="AH64" i="5"/>
  <c r="AH80" i="5"/>
  <c r="AH96" i="5"/>
  <c r="AH112" i="5"/>
  <c r="AH128" i="5"/>
  <c r="AH144" i="5"/>
  <c r="AH174" i="5"/>
  <c r="AH190" i="5"/>
  <c r="AH206" i="5"/>
  <c r="AH222" i="5"/>
  <c r="AH238" i="5"/>
  <c r="AH254" i="5"/>
  <c r="AH266" i="5"/>
  <c r="AH272" i="5"/>
  <c r="AH280" i="5"/>
  <c r="AH286" i="5"/>
  <c r="AH6" i="5"/>
  <c r="AH22" i="5"/>
  <c r="AH38" i="5"/>
  <c r="AH54" i="5"/>
  <c r="AH70" i="5"/>
  <c r="AH86" i="5"/>
  <c r="AH102" i="5"/>
  <c r="AH118" i="5"/>
  <c r="AH130" i="5"/>
  <c r="AH146" i="5"/>
  <c r="AH160" i="5"/>
  <c r="AH176" i="5"/>
  <c r="AH192" i="5"/>
  <c r="AH208" i="5"/>
  <c r="AH224" i="5"/>
  <c r="AH240" i="5"/>
  <c r="AH256" i="5"/>
  <c r="AH12" i="5"/>
  <c r="AH28" i="5"/>
  <c r="AH44" i="5"/>
  <c r="AH60" i="5"/>
  <c r="AH76" i="5"/>
  <c r="AH92" i="5"/>
  <c r="AH108" i="5"/>
  <c r="AH124" i="5"/>
  <c r="AH132" i="5"/>
  <c r="AH148" i="5"/>
  <c r="AH162" i="5"/>
  <c r="AH178" i="5"/>
  <c r="AH194" i="5"/>
  <c r="AH210" i="5"/>
  <c r="AH226" i="5"/>
  <c r="AH242" i="5"/>
  <c r="AH258" i="5"/>
  <c r="AH268" i="5"/>
  <c r="AD191" i="5"/>
  <c r="AD215" i="5"/>
  <c r="O108" i="14"/>
  <c r="N112" i="14"/>
  <c r="O92" i="14"/>
  <c r="O98" i="14"/>
  <c r="O122" i="14"/>
  <c r="M91" i="14"/>
  <c r="O75" i="14"/>
  <c r="O110" i="14"/>
  <c r="O83" i="14"/>
  <c r="O113" i="14"/>
  <c r="N79" i="14"/>
  <c r="O86" i="14"/>
  <c r="O117" i="14"/>
  <c r="N94" i="14"/>
  <c r="O89" i="14"/>
  <c r="O119" i="14"/>
  <c r="O95" i="14"/>
  <c r="O134" i="14"/>
  <c r="AD205" i="5"/>
  <c r="AD235" i="5"/>
  <c r="N83" i="14"/>
  <c r="N100" i="14"/>
  <c r="N118" i="14"/>
  <c r="AD221" i="5"/>
  <c r="N85" i="14"/>
  <c r="N101" i="14"/>
  <c r="N119" i="14"/>
  <c r="AD197" i="5"/>
  <c r="AD207" i="5"/>
  <c r="N87" i="14"/>
  <c r="N103" i="14"/>
  <c r="N121" i="14"/>
  <c r="O78" i="14"/>
  <c r="O101" i="14"/>
  <c r="O126" i="14"/>
  <c r="L79" i="14"/>
  <c r="AD223" i="5"/>
  <c r="N73" i="14"/>
  <c r="N88" i="14"/>
  <c r="N107" i="14"/>
  <c r="N127" i="14"/>
  <c r="O81" i="14"/>
  <c r="O104" i="14"/>
  <c r="O128" i="14"/>
  <c r="L75" i="14"/>
  <c r="N76" i="14"/>
  <c r="N91" i="14"/>
  <c r="N109" i="14"/>
  <c r="N131" i="14"/>
  <c r="AD213" i="5"/>
  <c r="N78" i="14"/>
  <c r="N92" i="14"/>
  <c r="N110" i="14"/>
  <c r="N135" i="14"/>
  <c r="AD229" i="5"/>
  <c r="N81" i="14"/>
  <c r="N97" i="14"/>
  <c r="N116" i="14"/>
  <c r="AD227" i="5"/>
  <c r="AD237" i="5"/>
  <c r="M87" i="14"/>
  <c r="M133" i="14"/>
  <c r="M96" i="14"/>
  <c r="N140" i="14"/>
  <c r="M100" i="14"/>
  <c r="AD243" i="5"/>
  <c r="M105" i="14"/>
  <c r="AD245" i="5"/>
  <c r="M109" i="14"/>
  <c r="N125" i="14"/>
  <c r="M78" i="14"/>
  <c r="M115" i="14"/>
  <c r="M81" i="14"/>
  <c r="M120" i="14"/>
  <c r="N128" i="14"/>
  <c r="H68" i="4"/>
  <c r="D68" i="4"/>
  <c r="H112" i="4"/>
  <c r="D112" i="4"/>
  <c r="H136" i="4"/>
  <c r="D136" i="4"/>
  <c r="H103" i="4"/>
  <c r="D103" i="4"/>
  <c r="D131" i="4"/>
  <c r="H131" i="4"/>
  <c r="D96" i="4"/>
  <c r="H124" i="4"/>
  <c r="D60" i="4"/>
  <c r="D127" i="4"/>
  <c r="H87" i="4"/>
  <c r="AD253" i="5"/>
  <c r="M12" i="4"/>
  <c r="N12" i="4" s="1"/>
  <c r="M77" i="14"/>
  <c r="M86" i="14"/>
  <c r="M95" i="14"/>
  <c r="M104" i="14"/>
  <c r="M113" i="14"/>
  <c r="M129" i="14"/>
  <c r="N80" i="14"/>
  <c r="N89" i="14"/>
  <c r="N99" i="14"/>
  <c r="N108" i="14"/>
  <c r="N117" i="14"/>
  <c r="N126" i="14"/>
  <c r="N137" i="14"/>
  <c r="O74" i="14"/>
  <c r="O82" i="14"/>
  <c r="O90" i="14"/>
  <c r="O100" i="14"/>
  <c r="O109" i="14"/>
  <c r="O118" i="14"/>
  <c r="O127" i="14"/>
  <c r="L142" i="14"/>
  <c r="L135" i="14"/>
  <c r="L130" i="14"/>
  <c r="L124" i="14"/>
  <c r="L118" i="14"/>
  <c r="L105" i="14"/>
  <c r="L100" i="14"/>
  <c r="L94" i="14"/>
  <c r="L87" i="14"/>
  <c r="L82" i="14"/>
  <c r="L74" i="14"/>
  <c r="D139" i="4"/>
  <c r="H115" i="4"/>
  <c r="AD257" i="5"/>
  <c r="M79" i="14"/>
  <c r="M88" i="14"/>
  <c r="M97" i="14"/>
  <c r="M107" i="14"/>
  <c r="M117" i="14"/>
  <c r="M135" i="14"/>
  <c r="O76" i="14"/>
  <c r="O84" i="14"/>
  <c r="O93" i="14"/>
  <c r="O102" i="14"/>
  <c r="O111" i="14"/>
  <c r="O120" i="14"/>
  <c r="O129" i="14"/>
  <c r="L86" i="14"/>
  <c r="AD129" i="5"/>
  <c r="AD137" i="5"/>
  <c r="AD145" i="5"/>
  <c r="AD153" i="5"/>
  <c r="AD161" i="5"/>
  <c r="AD169" i="5"/>
  <c r="AD177" i="5"/>
  <c r="AD185" i="5"/>
  <c r="AD193" i="5"/>
  <c r="AD201" i="5"/>
  <c r="AD209" i="5"/>
  <c r="AD217" i="5"/>
  <c r="AD231" i="5"/>
  <c r="AD239" i="5"/>
  <c r="AD247" i="5"/>
  <c r="M80" i="14"/>
  <c r="M89" i="14"/>
  <c r="M99" i="14"/>
  <c r="M108" i="14"/>
  <c r="M119" i="14"/>
  <c r="M137" i="14"/>
  <c r="N75" i="14"/>
  <c r="N84" i="14"/>
  <c r="N93" i="14"/>
  <c r="N102" i="14"/>
  <c r="N111" i="14"/>
  <c r="N120" i="14"/>
  <c r="N129" i="14"/>
  <c r="O77" i="14"/>
  <c r="O85" i="14"/>
  <c r="O94" i="14"/>
  <c r="O103" i="14"/>
  <c r="O112" i="14"/>
  <c r="O121" i="14"/>
  <c r="O130" i="14"/>
  <c r="L121" i="14"/>
  <c r="L116" i="14"/>
  <c r="L110" i="14"/>
  <c r="L103" i="14"/>
  <c r="L98" i="14"/>
  <c r="L91" i="14"/>
  <c r="L85" i="14"/>
  <c r="L80" i="14"/>
  <c r="AD131" i="5"/>
  <c r="AD139" i="5"/>
  <c r="AD147" i="5"/>
  <c r="AD155" i="5"/>
  <c r="AD163" i="5"/>
  <c r="AD171" i="5"/>
  <c r="AD179" i="5"/>
  <c r="AD187" i="5"/>
  <c r="AD195" i="5"/>
  <c r="AD203" i="5"/>
  <c r="AD211" i="5"/>
  <c r="AD219" i="5"/>
  <c r="AD225" i="5"/>
  <c r="AD233" i="5"/>
  <c r="AD241" i="5"/>
  <c r="AD249" i="5"/>
  <c r="M73" i="14"/>
  <c r="M83" i="14"/>
  <c r="M92" i="14"/>
  <c r="M101" i="14"/>
  <c r="M110" i="14"/>
  <c r="M124" i="14"/>
  <c r="N77" i="14"/>
  <c r="N86" i="14"/>
  <c r="N95" i="14"/>
  <c r="N104" i="14"/>
  <c r="N113" i="14"/>
  <c r="N123" i="14"/>
  <c r="N132" i="14"/>
  <c r="O79" i="14"/>
  <c r="O87" i="14"/>
  <c r="O96" i="14"/>
  <c r="O105" i="14"/>
  <c r="O114" i="14"/>
  <c r="O124" i="14"/>
  <c r="O135" i="14"/>
  <c r="L132" i="14"/>
  <c r="L120" i="14"/>
  <c r="L108" i="14"/>
  <c r="L102" i="14"/>
  <c r="L89" i="14"/>
  <c r="L84" i="14"/>
  <c r="L78" i="14"/>
  <c r="D143" i="4"/>
  <c r="K34" i="4"/>
  <c r="M34" i="4" s="1"/>
  <c r="N34" i="4" s="1"/>
  <c r="M75" i="14"/>
  <c r="M84" i="14"/>
  <c r="M93" i="14"/>
  <c r="M102" i="14"/>
  <c r="M111" i="14"/>
  <c r="M126" i="14"/>
  <c r="N96" i="14"/>
  <c r="N105" i="14"/>
  <c r="N115" i="14"/>
  <c r="N124" i="14"/>
  <c r="N133" i="14"/>
  <c r="O80" i="14"/>
  <c r="O88" i="14"/>
  <c r="O97" i="14"/>
  <c r="O106" i="14"/>
  <c r="O116" i="14"/>
  <c r="O125" i="14"/>
  <c r="O136" i="14"/>
  <c r="L83" i="14"/>
  <c r="L77" i="14"/>
  <c r="D65" i="4"/>
  <c r="K38" i="4"/>
  <c r="M38" i="4" s="1"/>
  <c r="N38" i="4" s="1"/>
  <c r="M76" i="14"/>
  <c r="M85" i="14"/>
  <c r="M94" i="14"/>
  <c r="M103" i="14"/>
  <c r="M112" i="14"/>
  <c r="M128" i="14"/>
  <c r="D76" i="4"/>
  <c r="D116" i="4"/>
  <c r="H92" i="4"/>
  <c r="AD255" i="5"/>
  <c r="AD261" i="5"/>
  <c r="H140" i="4"/>
  <c r="D109" i="4"/>
  <c r="H91" i="4"/>
  <c r="D104" i="4"/>
  <c r="AD251" i="5"/>
  <c r="AD259" i="5"/>
  <c r="I8" i="8"/>
  <c r="H74" i="4"/>
  <c r="H75" i="4"/>
  <c r="M144" i="14"/>
  <c r="L36" i="4"/>
  <c r="M118" i="14"/>
  <c r="M127" i="14"/>
  <c r="M136" i="14"/>
  <c r="M145" i="14"/>
  <c r="N139" i="14"/>
  <c r="M139" i="14"/>
  <c r="N141" i="14"/>
  <c r="I51" i="4"/>
  <c r="M121" i="14"/>
  <c r="M131" i="14"/>
  <c r="M140" i="14"/>
  <c r="N142" i="14"/>
  <c r="M123" i="14"/>
  <c r="M132" i="14"/>
  <c r="M141" i="14"/>
  <c r="N134" i="14"/>
  <c r="N143" i="14"/>
  <c r="O138" i="14"/>
  <c r="M142" i="14"/>
  <c r="N144" i="14"/>
  <c r="O139" i="14"/>
  <c r="M116" i="14"/>
  <c r="M125" i="14"/>
  <c r="M134" i="14"/>
  <c r="M143" i="14"/>
  <c r="N136" i="14"/>
  <c r="N145" i="14"/>
  <c r="O140" i="14"/>
  <c r="I50" i="4"/>
  <c r="D73" i="4"/>
  <c r="H73" i="4"/>
  <c r="H72" i="4"/>
  <c r="H54" i="4"/>
  <c r="D108" i="4"/>
  <c r="L33" i="4"/>
  <c r="M74" i="14"/>
  <c r="M82" i="14"/>
  <c r="M90" i="14"/>
  <c r="M98" i="14"/>
  <c r="M106" i="14"/>
  <c r="M114" i="14"/>
  <c r="M122" i="14"/>
  <c r="M130" i="14"/>
  <c r="M138" i="14"/>
  <c r="N74" i="14"/>
  <c r="N82" i="14"/>
  <c r="N90" i="14"/>
  <c r="N98" i="14"/>
  <c r="N106" i="14"/>
  <c r="N114" i="14"/>
  <c r="N122" i="14"/>
  <c r="N130" i="14"/>
  <c r="N138" i="14"/>
  <c r="O91" i="14"/>
  <c r="O99" i="14"/>
  <c r="O107" i="14"/>
  <c r="O115" i="14"/>
  <c r="O123" i="14"/>
  <c r="O131" i="14"/>
  <c r="O143" i="14"/>
  <c r="O132" i="14"/>
  <c r="O142" i="14"/>
  <c r="O141" i="14"/>
  <c r="O133" i="14"/>
  <c r="O145" i="14"/>
  <c r="O137" i="14"/>
  <c r="O144" i="14"/>
  <c r="L72" i="14"/>
  <c r="K7" i="4"/>
  <c r="I152" i="14" l="1"/>
  <c r="V152" i="14" s="1"/>
  <c r="H152" i="14"/>
  <c r="J152" i="14"/>
  <c r="D1" i="7"/>
  <c r="J301" i="5"/>
  <c r="I301" i="5"/>
  <c r="AC301" i="5" s="1"/>
  <c r="R7" i="5"/>
  <c r="AG7" i="5" s="1"/>
  <c r="A136" i="4"/>
  <c r="E136" i="4" s="1"/>
  <c r="A67" i="4"/>
  <c r="E67" i="4" s="1"/>
  <c r="A126" i="4"/>
  <c r="E126" i="4" s="1"/>
  <c r="A127" i="4"/>
  <c r="E127" i="4" s="1"/>
  <c r="A100" i="4"/>
  <c r="E100" i="4" s="1"/>
  <c r="A88" i="4"/>
  <c r="E88" i="4" s="1"/>
  <c r="A85" i="4"/>
  <c r="E85" i="4" s="1"/>
  <c r="A135" i="4"/>
  <c r="E135" i="4" s="1"/>
  <c r="A94" i="4"/>
  <c r="E94" i="4" s="1"/>
  <c r="A56" i="4"/>
  <c r="E56" i="4" s="1"/>
  <c r="A83" i="4"/>
  <c r="E83" i="4" s="1"/>
  <c r="A134" i="4"/>
  <c r="E134" i="4" s="1"/>
  <c r="A105" i="4"/>
  <c r="E105" i="4" s="1"/>
  <c r="A81" i="4"/>
  <c r="E81" i="4" s="1"/>
  <c r="A69" i="4"/>
  <c r="E69" i="4" s="1"/>
  <c r="A61" i="4"/>
  <c r="E61" i="4" s="1"/>
  <c r="A101" i="4"/>
  <c r="E101" i="4" s="1"/>
  <c r="A72" i="4"/>
  <c r="E72" i="4" s="1"/>
  <c r="A103" i="4"/>
  <c r="E103" i="4" s="1"/>
  <c r="A137" i="4"/>
  <c r="E137" i="4" s="1"/>
  <c r="A116" i="4"/>
  <c r="E116" i="4" s="1"/>
  <c r="A96" i="4"/>
  <c r="E96" i="4" s="1"/>
  <c r="A108" i="4"/>
  <c r="A54" i="4"/>
  <c r="E54" i="4" s="1"/>
  <c r="A89" i="4"/>
  <c r="E89" i="4" s="1"/>
  <c r="A140" i="4"/>
  <c r="E140" i="4" s="1"/>
  <c r="A123" i="4"/>
  <c r="E123" i="4" s="1"/>
  <c r="A87" i="4"/>
  <c r="E87" i="4" s="1"/>
  <c r="A57" i="4"/>
  <c r="E57" i="4" s="1"/>
  <c r="A110" i="4"/>
  <c r="E110" i="4" s="1"/>
  <c r="A86" i="4"/>
  <c r="E86" i="4" s="1"/>
  <c r="A70" i="4"/>
  <c r="E70" i="4" s="1"/>
  <c r="A120" i="4"/>
  <c r="E120" i="4" s="1"/>
  <c r="A91" i="4"/>
  <c r="E91" i="4" s="1"/>
  <c r="A125" i="4"/>
  <c r="E125" i="4" s="1"/>
  <c r="M125" i="4" s="1"/>
  <c r="A97" i="4"/>
  <c r="E97" i="4" s="1"/>
  <c r="A106" i="4"/>
  <c r="E106" i="4" s="1"/>
  <c r="A90" i="4"/>
  <c r="E90" i="4" s="1"/>
  <c r="A76" i="4"/>
  <c r="E76" i="4" s="1"/>
  <c r="A119" i="4"/>
  <c r="E119" i="4" s="1"/>
  <c r="A74" i="4"/>
  <c r="E74" i="4" s="1"/>
  <c r="A99" i="4"/>
  <c r="E99" i="4" s="1"/>
  <c r="A79" i="4"/>
  <c r="E79" i="4" s="1"/>
  <c r="D1" i="18"/>
  <c r="A145" i="4"/>
  <c r="E145" i="4" s="1"/>
  <c r="A113" i="4"/>
  <c r="E113" i="4" s="1"/>
  <c r="A23" i="4"/>
  <c r="F1" i="8"/>
  <c r="X1" i="15"/>
  <c r="A144" i="4"/>
  <c r="E144" i="4" s="1"/>
  <c r="A112" i="4"/>
  <c r="E112" i="4" s="1"/>
  <c r="A143" i="4"/>
  <c r="E143" i="4" s="1"/>
  <c r="A59" i="4"/>
  <c r="E59" i="4" s="1"/>
  <c r="F1" i="19"/>
  <c r="D1" i="15"/>
  <c r="A142" i="4"/>
  <c r="E142" i="4" s="1"/>
  <c r="A58" i="4"/>
  <c r="E58" i="4" s="1"/>
  <c r="G1" i="8"/>
  <c r="Y1" i="15"/>
  <c r="BB1" i="1"/>
  <c r="D1" i="9"/>
  <c r="D1" i="4"/>
  <c r="G1" i="19"/>
  <c r="E1" i="15"/>
  <c r="D1" i="5"/>
  <c r="A37" i="4"/>
  <c r="E1" i="18"/>
  <c r="D1" i="1"/>
  <c r="A24" i="4"/>
  <c r="A73" i="4"/>
  <c r="E73" i="4" s="1"/>
  <c r="A121" i="4"/>
  <c r="E121" i="4" s="1"/>
  <c r="A139" i="4"/>
  <c r="E139" i="4" s="1"/>
  <c r="A122" i="4"/>
  <c r="E122" i="4" s="1"/>
  <c r="A98" i="4"/>
  <c r="E98" i="4" s="1"/>
  <c r="A66" i="4"/>
  <c r="E66" i="4" s="1"/>
  <c r="A52" i="4"/>
  <c r="E52" i="4" s="1"/>
  <c r="A75" i="4"/>
  <c r="E75" i="4" s="1"/>
  <c r="A138" i="4"/>
  <c r="E138" i="4" s="1"/>
  <c r="A117" i="4"/>
  <c r="E117" i="4" s="1"/>
  <c r="A77" i="4"/>
  <c r="E77" i="4" s="1"/>
  <c r="A109" i="4"/>
  <c r="E109" i="4" s="1"/>
  <c r="A55" i="4"/>
  <c r="E55" i="4" s="1"/>
  <c r="A118" i="4"/>
  <c r="E118" i="4" s="1"/>
  <c r="M118" i="4" s="1"/>
  <c r="A132" i="4"/>
  <c r="E132" i="4" s="1"/>
  <c r="A104" i="4"/>
  <c r="E104" i="4" s="1"/>
  <c r="A92" i="4"/>
  <c r="E92" i="4" s="1"/>
  <c r="A60" i="4"/>
  <c r="E60" i="4" s="1"/>
  <c r="A62" i="4"/>
  <c r="E62" i="4" s="1"/>
  <c r="A102" i="4"/>
  <c r="E102" i="4" s="1"/>
  <c r="A115" i="4"/>
  <c r="E115" i="4" s="1"/>
  <c r="A65" i="4"/>
  <c r="E65" i="4" s="1"/>
  <c r="A53" i="4"/>
  <c r="E53" i="4" s="1"/>
  <c r="A63" i="4"/>
  <c r="E63" i="4" s="1"/>
  <c r="A114" i="4"/>
  <c r="E114" i="4" s="1"/>
  <c r="A78" i="4"/>
  <c r="E78" i="4" s="1"/>
  <c r="A64" i="4"/>
  <c r="E64" i="4" s="1"/>
  <c r="A107" i="4"/>
  <c r="E107" i="4" s="1"/>
  <c r="A84" i="4"/>
  <c r="E84" i="4" s="1"/>
  <c r="A93" i="4"/>
  <c r="E93" i="4" s="1"/>
  <c r="A133" i="4"/>
  <c r="E133" i="4" s="1"/>
  <c r="A141" i="4"/>
  <c r="E141" i="4" s="1"/>
  <c r="A124" i="4"/>
  <c r="E124" i="4" s="1"/>
  <c r="M124" i="4" s="1"/>
  <c r="A80" i="4"/>
  <c r="E80" i="4" s="1"/>
  <c r="A68" i="4"/>
  <c r="E68" i="4" s="1"/>
  <c r="A82" i="4"/>
  <c r="E82" i="4" s="1"/>
  <c r="A111" i="4"/>
  <c r="E111" i="4" s="1"/>
  <c r="A95" i="4"/>
  <c r="E95" i="4" s="1"/>
  <c r="A71" i="4"/>
  <c r="E71" i="4" s="1"/>
  <c r="R6" i="5"/>
  <c r="AG6" i="5" s="1"/>
  <c r="B9" i="5"/>
  <c r="I132" i="4"/>
  <c r="J132" i="4" s="1"/>
  <c r="I133" i="4"/>
  <c r="J133" i="4" s="1"/>
  <c r="I28" i="12"/>
  <c r="M54" i="12"/>
  <c r="M57" i="12"/>
  <c r="M53" i="12"/>
  <c r="M56" i="12"/>
  <c r="M55" i="12"/>
  <c r="B8" i="19"/>
  <c r="B10" i="19" s="1"/>
  <c r="B12" i="19" s="1"/>
  <c r="B14" i="19" s="1"/>
  <c r="B16" i="19" s="1"/>
  <c r="B18" i="19" s="1"/>
  <c r="B20" i="19" s="1"/>
  <c r="B22" i="19" s="1"/>
  <c r="B24" i="19" s="1"/>
  <c r="B26" i="19" s="1"/>
  <c r="B28" i="19" s="1"/>
  <c r="B30" i="19" s="1"/>
  <c r="B32" i="19" s="1"/>
  <c r="B34" i="19" s="1"/>
  <c r="B36" i="19" s="1"/>
  <c r="B38" i="19" s="1"/>
  <c r="B40" i="19" s="1"/>
  <c r="B42" i="19" s="1"/>
  <c r="B44" i="19" s="1"/>
  <c r="B46" i="19" s="1"/>
  <c r="B48" i="19" s="1"/>
  <c r="B50" i="19" s="1"/>
  <c r="B52" i="19" s="1"/>
  <c r="B54" i="19" s="1"/>
  <c r="B56" i="19" s="1"/>
  <c r="B58" i="19" s="1"/>
  <c r="B60" i="19" s="1"/>
  <c r="B62" i="19" s="1"/>
  <c r="B64" i="19" s="1"/>
  <c r="B66" i="19" s="1"/>
  <c r="B68" i="19" s="1"/>
  <c r="B70" i="19" s="1"/>
  <c r="B72" i="19" s="1"/>
  <c r="B74" i="19" s="1"/>
  <c r="B76" i="19" s="1"/>
  <c r="B78" i="19" s="1"/>
  <c r="B80" i="19" s="1"/>
  <c r="B82" i="19" s="1"/>
  <c r="B84" i="19" s="1"/>
  <c r="B86" i="19" s="1"/>
  <c r="B88" i="19" s="1"/>
  <c r="B90" i="19" s="1"/>
  <c r="B92" i="19" s="1"/>
  <c r="B94" i="19" s="1"/>
  <c r="B96" i="19" s="1"/>
  <c r="B98" i="19" s="1"/>
  <c r="B100" i="19" s="1"/>
  <c r="B102" i="19" s="1"/>
  <c r="B104" i="19" s="1"/>
  <c r="B106" i="19" s="1"/>
  <c r="B108" i="19" s="1"/>
  <c r="B110" i="19" s="1"/>
  <c r="B112" i="19" s="1"/>
  <c r="B114" i="19" s="1"/>
  <c r="B116" i="19" s="1"/>
  <c r="B118" i="19" s="1"/>
  <c r="B120" i="19" s="1"/>
  <c r="B122" i="19" s="1"/>
  <c r="B124" i="19" s="1"/>
  <c r="B126" i="19" s="1"/>
  <c r="B128" i="19" s="1"/>
  <c r="B130" i="19" s="1"/>
  <c r="B132" i="19" s="1"/>
  <c r="B134" i="19" s="1"/>
  <c r="B136" i="19" s="1"/>
  <c r="B138" i="19" s="1"/>
  <c r="B140" i="19" s="1"/>
  <c r="B142" i="19" s="1"/>
  <c r="B144" i="19" s="1"/>
  <c r="B146" i="19" s="1"/>
  <c r="B148" i="19" s="1"/>
  <c r="B150" i="19" s="1"/>
  <c r="B152" i="19" s="1"/>
  <c r="B154" i="19" s="1"/>
  <c r="B156" i="19" s="1"/>
  <c r="B158" i="19" s="1"/>
  <c r="B160" i="19" s="1"/>
  <c r="B162" i="19" s="1"/>
  <c r="B164" i="19" s="1"/>
  <c r="B166" i="19" s="1"/>
  <c r="B168" i="19" s="1"/>
  <c r="F168" i="19" s="1"/>
  <c r="B9" i="19"/>
  <c r="B11" i="19" s="1"/>
  <c r="B13" i="19" s="1"/>
  <c r="G13" i="19" s="1"/>
  <c r="K151" i="14"/>
  <c r="K46" i="4"/>
  <c r="M46" i="4" s="1"/>
  <c r="N46" i="4" s="1"/>
  <c r="I147" i="14"/>
  <c r="V147" i="14" s="1"/>
  <c r="I59" i="4"/>
  <c r="I129" i="4" s="1"/>
  <c r="I58" i="4"/>
  <c r="I128" i="4" s="1"/>
  <c r="I137" i="4"/>
  <c r="I136" i="4"/>
  <c r="I148" i="14"/>
  <c r="V148" i="14" s="1"/>
  <c r="H148" i="14"/>
  <c r="K148" i="14"/>
  <c r="P148" i="14" s="1"/>
  <c r="I150" i="14"/>
  <c r="V150" i="14" s="1"/>
  <c r="H150" i="14"/>
  <c r="J149" i="14"/>
  <c r="K150" i="14"/>
  <c r="P150" i="14" s="1"/>
  <c r="J148" i="14"/>
  <c r="I149" i="14"/>
  <c r="V149" i="14" s="1"/>
  <c r="H149" i="14"/>
  <c r="K149" i="14"/>
  <c r="P149" i="14" s="1"/>
  <c r="J150" i="14"/>
  <c r="J146" i="14"/>
  <c r="I6" i="5"/>
  <c r="J6" i="5" s="1"/>
  <c r="I7" i="5"/>
  <c r="H76" i="14"/>
  <c r="K146" i="14"/>
  <c r="P146" i="14" s="1"/>
  <c r="H147" i="14"/>
  <c r="J147" i="14"/>
  <c r="K147" i="14"/>
  <c r="P147" i="14" s="1"/>
  <c r="O16" i="12"/>
  <c r="P16" i="12" s="1"/>
  <c r="I146" i="14"/>
  <c r="V146" i="14" s="1"/>
  <c r="I12" i="12"/>
  <c r="O12" i="12" s="1"/>
  <c r="P12" i="12" s="1"/>
  <c r="B8" i="5"/>
  <c r="W6" i="18"/>
  <c r="M41" i="4"/>
  <c r="N41" i="4" s="1"/>
  <c r="H117" i="14"/>
  <c r="H95" i="14"/>
  <c r="H90" i="14"/>
  <c r="H106" i="14"/>
  <c r="H67" i="14"/>
  <c r="X67" i="14" s="1"/>
  <c r="M26" i="4"/>
  <c r="N26" i="4" s="1"/>
  <c r="Q8" i="1"/>
  <c r="H111" i="14"/>
  <c r="H140" i="14"/>
  <c r="H141" i="14"/>
  <c r="H145" i="14"/>
  <c r="O13" i="12"/>
  <c r="P13" i="12" s="1"/>
  <c r="H137" i="14"/>
  <c r="H73" i="14"/>
  <c r="H88" i="14"/>
  <c r="H127" i="14"/>
  <c r="H139" i="14"/>
  <c r="H97" i="14"/>
  <c r="H81" i="14"/>
  <c r="H101" i="14"/>
  <c r="H138" i="14"/>
  <c r="H96" i="14"/>
  <c r="H128" i="14"/>
  <c r="I11" i="12"/>
  <c r="H125" i="14"/>
  <c r="H136" i="14"/>
  <c r="H143" i="14"/>
  <c r="H114" i="14"/>
  <c r="H129" i="14"/>
  <c r="H107" i="14"/>
  <c r="H131" i="14"/>
  <c r="H93" i="14"/>
  <c r="H133" i="14"/>
  <c r="H119" i="14"/>
  <c r="H144" i="14"/>
  <c r="H123" i="14"/>
  <c r="H113" i="14"/>
  <c r="H109" i="14"/>
  <c r="H115" i="14"/>
  <c r="H134" i="14"/>
  <c r="H122" i="14"/>
  <c r="H112" i="14"/>
  <c r="H126" i="14"/>
  <c r="H92" i="14"/>
  <c r="H69" i="14"/>
  <c r="H99" i="14"/>
  <c r="H79" i="14"/>
  <c r="K68" i="14"/>
  <c r="P68" i="14" s="1"/>
  <c r="I68" i="14"/>
  <c r="O4" i="12"/>
  <c r="P4" i="12" s="1"/>
  <c r="O27" i="12"/>
  <c r="P27" i="12" s="1"/>
  <c r="K83" i="14"/>
  <c r="K110" i="14"/>
  <c r="P110" i="14" s="1"/>
  <c r="H146" i="14"/>
  <c r="H75" i="14"/>
  <c r="H104" i="14"/>
  <c r="K92" i="14"/>
  <c r="P92" i="14" s="1"/>
  <c r="J116" i="14"/>
  <c r="J110" i="14"/>
  <c r="J76" i="14"/>
  <c r="J88" i="14"/>
  <c r="K78" i="14"/>
  <c r="P78" i="14" s="1"/>
  <c r="K119" i="14"/>
  <c r="P119" i="14" s="1"/>
  <c r="J78" i="14"/>
  <c r="J103" i="14"/>
  <c r="J101" i="14"/>
  <c r="J83" i="14"/>
  <c r="J94" i="14"/>
  <c r="I91" i="14"/>
  <c r="V91" i="14" s="1"/>
  <c r="K108" i="14"/>
  <c r="P108" i="14" s="1"/>
  <c r="J87" i="14"/>
  <c r="J85" i="14"/>
  <c r="J69" i="14"/>
  <c r="K117" i="14"/>
  <c r="P117" i="14" s="1"/>
  <c r="K122" i="14"/>
  <c r="P122" i="14" s="1"/>
  <c r="J92" i="14"/>
  <c r="J121" i="14"/>
  <c r="K89" i="14"/>
  <c r="P89" i="14" s="1"/>
  <c r="K104" i="14"/>
  <c r="P104" i="14" s="1"/>
  <c r="J70" i="14"/>
  <c r="K86" i="14"/>
  <c r="P86" i="14" s="1"/>
  <c r="K75" i="14"/>
  <c r="P75" i="14" s="1"/>
  <c r="K70" i="14"/>
  <c r="P70" i="14" s="1"/>
  <c r="J131" i="14"/>
  <c r="K81" i="14"/>
  <c r="P81" i="14" s="1"/>
  <c r="J79" i="14"/>
  <c r="J97" i="14"/>
  <c r="J109" i="14"/>
  <c r="K126" i="14"/>
  <c r="P126" i="14" s="1"/>
  <c r="K134" i="14"/>
  <c r="P134" i="14" s="1"/>
  <c r="K113" i="14"/>
  <c r="P113" i="14" s="1"/>
  <c r="J112" i="14"/>
  <c r="J73" i="14"/>
  <c r="J119" i="14"/>
  <c r="J135" i="14"/>
  <c r="J107" i="14"/>
  <c r="K95" i="14"/>
  <c r="P95" i="14" s="1"/>
  <c r="K98" i="14"/>
  <c r="P98" i="14" s="1"/>
  <c r="K73" i="14"/>
  <c r="P73" i="14" s="1"/>
  <c r="I128" i="14"/>
  <c r="K72" i="14"/>
  <c r="P72" i="14" s="1"/>
  <c r="I102" i="14"/>
  <c r="V102" i="14" s="1"/>
  <c r="K135" i="14"/>
  <c r="P135" i="14" s="1"/>
  <c r="J132" i="14"/>
  <c r="I124" i="14"/>
  <c r="V124" i="14" s="1"/>
  <c r="H116" i="14"/>
  <c r="K103" i="14"/>
  <c r="P103" i="14" s="1"/>
  <c r="J102" i="14"/>
  <c r="I89" i="14"/>
  <c r="V89" i="14" s="1"/>
  <c r="K76" i="14"/>
  <c r="P76" i="14" s="1"/>
  <c r="H82" i="14"/>
  <c r="K74" i="14"/>
  <c r="P74" i="14" s="1"/>
  <c r="J71" i="14"/>
  <c r="I105" i="14"/>
  <c r="V105" i="14" s="1"/>
  <c r="I112" i="14"/>
  <c r="V112" i="14" s="1"/>
  <c r="K136" i="14"/>
  <c r="P136" i="14" s="1"/>
  <c r="J133" i="14"/>
  <c r="I93" i="14"/>
  <c r="H84" i="14"/>
  <c r="K124" i="14"/>
  <c r="P124" i="14" s="1"/>
  <c r="J123" i="14"/>
  <c r="I110" i="14"/>
  <c r="V110" i="14" s="1"/>
  <c r="K94" i="14"/>
  <c r="P94" i="14" s="1"/>
  <c r="J93" i="14"/>
  <c r="I80" i="14"/>
  <c r="V80" i="14" s="1"/>
  <c r="I135" i="14"/>
  <c r="V135" i="14" s="1"/>
  <c r="H142" i="14"/>
  <c r="J137" i="14"/>
  <c r="I129" i="14"/>
  <c r="I115" i="14"/>
  <c r="V115" i="14" s="1"/>
  <c r="I69" i="14"/>
  <c r="I133" i="14"/>
  <c r="V133" i="14" s="1"/>
  <c r="K101" i="14"/>
  <c r="P101" i="14" s="1"/>
  <c r="I103" i="14"/>
  <c r="V103" i="14" s="1"/>
  <c r="K125" i="14"/>
  <c r="P125" i="14" s="1"/>
  <c r="J124" i="14"/>
  <c r="I84" i="14"/>
  <c r="K114" i="14"/>
  <c r="P114" i="14" s="1"/>
  <c r="J113" i="14"/>
  <c r="I101" i="14"/>
  <c r="V101" i="14" s="1"/>
  <c r="H80" i="14"/>
  <c r="K85" i="14"/>
  <c r="P85" i="14" s="1"/>
  <c r="J84" i="14"/>
  <c r="I71" i="14"/>
  <c r="K129" i="14"/>
  <c r="P129" i="14" s="1"/>
  <c r="I117" i="14"/>
  <c r="K127" i="14"/>
  <c r="P127" i="14" s="1"/>
  <c r="J126" i="14"/>
  <c r="I113" i="14"/>
  <c r="J128" i="14"/>
  <c r="I78" i="14"/>
  <c r="V78" i="14" s="1"/>
  <c r="I87" i="14"/>
  <c r="V87" i="14" s="1"/>
  <c r="J118" i="14"/>
  <c r="I94" i="14"/>
  <c r="V94" i="14" s="1"/>
  <c r="K116" i="14"/>
  <c r="P116" i="14" s="1"/>
  <c r="J115" i="14"/>
  <c r="I75" i="14"/>
  <c r="H102" i="14"/>
  <c r="K105" i="14"/>
  <c r="P105" i="14" s="1"/>
  <c r="J104" i="14"/>
  <c r="I92" i="14"/>
  <c r="K77" i="14"/>
  <c r="P77" i="14" s="1"/>
  <c r="J75" i="14"/>
  <c r="K120" i="14"/>
  <c r="P120" i="14" s="1"/>
  <c r="I107" i="14"/>
  <c r="V107" i="14" s="1"/>
  <c r="H100" i="14"/>
  <c r="K118" i="14"/>
  <c r="P118" i="14" s="1"/>
  <c r="J117" i="14"/>
  <c r="I104" i="14"/>
  <c r="V104" i="14" s="1"/>
  <c r="I120" i="14"/>
  <c r="V120" i="14" s="1"/>
  <c r="J125" i="14"/>
  <c r="J140" i="14"/>
  <c r="K128" i="14"/>
  <c r="P128" i="14" s="1"/>
  <c r="J100" i="14"/>
  <c r="I85" i="14"/>
  <c r="V85" i="14" s="1"/>
  <c r="K106" i="14"/>
  <c r="P106" i="14" s="1"/>
  <c r="J105" i="14"/>
  <c r="K96" i="14"/>
  <c r="P96" i="14" s="1"/>
  <c r="J95" i="14"/>
  <c r="I83" i="14"/>
  <c r="V83" i="14" s="1"/>
  <c r="K69" i="14"/>
  <c r="P69" i="14" s="1"/>
  <c r="I137" i="14"/>
  <c r="V137" i="14" s="1"/>
  <c r="K111" i="14"/>
  <c r="P111" i="14" s="1"/>
  <c r="I97" i="14"/>
  <c r="K109" i="14"/>
  <c r="P109" i="14" s="1"/>
  <c r="J108" i="14"/>
  <c r="I95" i="14"/>
  <c r="I81" i="14"/>
  <c r="I109" i="14"/>
  <c r="V109" i="14" s="1"/>
  <c r="I96" i="14"/>
  <c r="V96" i="14" s="1"/>
  <c r="I76" i="14"/>
  <c r="K97" i="14"/>
  <c r="P97" i="14" s="1"/>
  <c r="J96" i="14"/>
  <c r="H120" i="14"/>
  <c r="K87" i="14"/>
  <c r="P87" i="14" s="1"/>
  <c r="J86" i="14"/>
  <c r="I73" i="14"/>
  <c r="V73" i="14" s="1"/>
  <c r="H98" i="14"/>
  <c r="K130" i="14"/>
  <c r="P130" i="14" s="1"/>
  <c r="J129" i="14"/>
  <c r="I119" i="14"/>
  <c r="H86" i="14"/>
  <c r="K102" i="14"/>
  <c r="P102" i="14" s="1"/>
  <c r="I88" i="14"/>
  <c r="H118" i="14"/>
  <c r="K100" i="14"/>
  <c r="P100" i="14" s="1"/>
  <c r="J99" i="14"/>
  <c r="I86" i="14"/>
  <c r="V86" i="14" s="1"/>
  <c r="I72" i="14"/>
  <c r="K88" i="14"/>
  <c r="P88" i="14" s="1"/>
  <c r="I126" i="14"/>
  <c r="H132" i="14"/>
  <c r="K79" i="14"/>
  <c r="P79" i="14" s="1"/>
  <c r="J77" i="14"/>
  <c r="K121" i="14"/>
  <c r="P121" i="14" s="1"/>
  <c r="J120" i="14"/>
  <c r="I108" i="14"/>
  <c r="V108" i="14" s="1"/>
  <c r="K93" i="14"/>
  <c r="P93" i="14" s="1"/>
  <c r="I79" i="14"/>
  <c r="K90" i="14"/>
  <c r="P90" i="14" s="1"/>
  <c r="J89" i="14"/>
  <c r="I77" i="14"/>
  <c r="V77" i="14" s="1"/>
  <c r="J81" i="14"/>
  <c r="J91" i="14"/>
  <c r="J127" i="14"/>
  <c r="J72" i="14"/>
  <c r="K80" i="14"/>
  <c r="P80" i="14" s="1"/>
  <c r="I111" i="14"/>
  <c r="K71" i="14"/>
  <c r="P71" i="14" s="1"/>
  <c r="J68" i="14"/>
  <c r="K112" i="14"/>
  <c r="P112" i="14" s="1"/>
  <c r="J111" i="14"/>
  <c r="I99" i="14"/>
  <c r="K84" i="14"/>
  <c r="I70" i="14"/>
  <c r="H130" i="14"/>
  <c r="K82" i="14"/>
  <c r="P82" i="14" s="1"/>
  <c r="J80" i="14"/>
  <c r="I100" i="14"/>
  <c r="V100" i="14" s="1"/>
  <c r="H72" i="14"/>
  <c r="K133" i="14"/>
  <c r="P133" i="14" s="1"/>
  <c r="K107" i="14"/>
  <c r="P107" i="14" s="1"/>
  <c r="J98" i="14"/>
  <c r="I106" i="14"/>
  <c r="V106" i="14" s="1"/>
  <c r="I143" i="14"/>
  <c r="J143" i="14"/>
  <c r="I121" i="14"/>
  <c r="V121" i="14" s="1"/>
  <c r="I118" i="14"/>
  <c r="V118" i="14" s="1"/>
  <c r="H135" i="14"/>
  <c r="K141" i="14"/>
  <c r="P141" i="14" s="1"/>
  <c r="K99" i="14"/>
  <c r="P99" i="14" s="1"/>
  <c r="J90" i="14"/>
  <c r="I98" i="14"/>
  <c r="V98" i="14" s="1"/>
  <c r="I134" i="14"/>
  <c r="V134" i="14" s="1"/>
  <c r="J134" i="14"/>
  <c r="K36" i="4"/>
  <c r="M36" i="4" s="1"/>
  <c r="N36" i="4" s="1"/>
  <c r="H85" i="14"/>
  <c r="H87" i="14"/>
  <c r="K142" i="14"/>
  <c r="P142" i="14" s="1"/>
  <c r="K91" i="14"/>
  <c r="P91" i="14" s="1"/>
  <c r="J82" i="14"/>
  <c r="I90" i="14"/>
  <c r="V90" i="14" s="1"/>
  <c r="I125" i="14"/>
  <c r="I141" i="14"/>
  <c r="V141" i="14" s="1"/>
  <c r="J141" i="14"/>
  <c r="I144" i="14"/>
  <c r="V144" i="14" s="1"/>
  <c r="H91" i="14"/>
  <c r="H94" i="14"/>
  <c r="K132" i="14"/>
  <c r="P132" i="14" s="1"/>
  <c r="J138" i="14"/>
  <c r="J74" i="14"/>
  <c r="I82" i="14"/>
  <c r="K33" i="4"/>
  <c r="M33" i="4" s="1"/>
  <c r="N33" i="4" s="1"/>
  <c r="I116" i="14"/>
  <c r="I132" i="14"/>
  <c r="V132" i="14" s="1"/>
  <c r="I139" i="14"/>
  <c r="H78" i="14"/>
  <c r="K143" i="14"/>
  <c r="P143" i="14" s="1"/>
  <c r="J130" i="14"/>
  <c r="I138" i="14"/>
  <c r="V138" i="14" s="1"/>
  <c r="I74" i="14"/>
  <c r="V74" i="14" s="1"/>
  <c r="K139" i="14"/>
  <c r="P139" i="14" s="1"/>
  <c r="I123" i="14"/>
  <c r="J139" i="14"/>
  <c r="H103" i="14"/>
  <c r="H105" i="14"/>
  <c r="K144" i="14"/>
  <c r="P144" i="14" s="1"/>
  <c r="K131" i="14"/>
  <c r="P131" i="14" s="1"/>
  <c r="J122" i="14"/>
  <c r="I130" i="14"/>
  <c r="K140" i="14"/>
  <c r="P140" i="14" s="1"/>
  <c r="J144" i="14"/>
  <c r="J142" i="14"/>
  <c r="I145" i="14"/>
  <c r="H68" i="14"/>
  <c r="H89" i="14"/>
  <c r="H110" i="14"/>
  <c r="H71" i="14"/>
  <c r="K137" i="14"/>
  <c r="P137" i="14" s="1"/>
  <c r="K123" i="14"/>
  <c r="P123" i="14" s="1"/>
  <c r="J114" i="14"/>
  <c r="I122" i="14"/>
  <c r="V122" i="14" s="1"/>
  <c r="J145" i="14"/>
  <c r="I142" i="14"/>
  <c r="V142" i="14" s="1"/>
  <c r="I140" i="14"/>
  <c r="I136" i="14"/>
  <c r="V136" i="14" s="1"/>
  <c r="H77" i="14"/>
  <c r="H124" i="14"/>
  <c r="K145" i="14"/>
  <c r="P145" i="14" s="1"/>
  <c r="K115" i="14"/>
  <c r="P115" i="14" s="1"/>
  <c r="J106" i="14"/>
  <c r="I114" i="14"/>
  <c r="J136" i="14"/>
  <c r="K138" i="14"/>
  <c r="P138" i="14" s="1"/>
  <c r="I131" i="14"/>
  <c r="I127" i="14"/>
  <c r="H83" i="14"/>
  <c r="H108" i="14"/>
  <c r="H70" i="14"/>
  <c r="H121" i="14"/>
  <c r="H74" i="14"/>
  <c r="I139" i="4"/>
  <c r="B68" i="14"/>
  <c r="I131" i="4"/>
  <c r="I130" i="4"/>
  <c r="L37" i="4"/>
  <c r="D19" i="13"/>
  <c r="E300" i="5" s="1"/>
  <c r="I138" i="4"/>
  <c r="E19" i="13"/>
  <c r="E301" i="5" s="1"/>
  <c r="L4" i="4"/>
  <c r="B6" i="15"/>
  <c r="B8" i="9"/>
  <c r="B8" i="7"/>
  <c r="B9" i="9"/>
  <c r="B9" i="7"/>
  <c r="B9" i="8"/>
  <c r="B11" i="8" s="1"/>
  <c r="B8" i="8"/>
  <c r="B10" i="8" s="1"/>
  <c r="G10" i="8" s="1"/>
  <c r="B8" i="1"/>
  <c r="B9" i="1"/>
  <c r="I8" i="4"/>
  <c r="B6" i="18"/>
  <c r="B7" i="18" s="1"/>
  <c r="D7" i="18" s="1"/>
  <c r="O5" i="12"/>
  <c r="R9" i="5" l="1"/>
  <c r="AG9" i="5" s="1"/>
  <c r="R8" i="5"/>
  <c r="AG8" i="5" s="1"/>
  <c r="Y301" i="5"/>
  <c r="X301" i="5"/>
  <c r="F301" i="5"/>
  <c r="Z301" i="5"/>
  <c r="AA301" i="5"/>
  <c r="E108" i="4"/>
  <c r="M108" i="4" s="1"/>
  <c r="N108" i="4" s="1"/>
  <c r="F7" i="18"/>
  <c r="I9" i="5"/>
  <c r="B11" i="5"/>
  <c r="E47" i="12"/>
  <c r="E48" i="12"/>
  <c r="E45" i="12"/>
  <c r="E44" i="12"/>
  <c r="J28" i="12"/>
  <c r="O28" i="12" s="1"/>
  <c r="P28" i="12" s="1"/>
  <c r="E46" i="12"/>
  <c r="I56" i="12"/>
  <c r="P56" i="12" s="1"/>
  <c r="I53" i="12"/>
  <c r="I57" i="12"/>
  <c r="P57" i="12" s="1"/>
  <c r="I55" i="12"/>
  <c r="I54" i="12"/>
  <c r="P54" i="12" s="1"/>
  <c r="Q169" i="19"/>
  <c r="J169" i="19"/>
  <c r="I167" i="19"/>
  <c r="L165" i="19"/>
  <c r="Q164" i="19"/>
  <c r="K163" i="19"/>
  <c r="Q161" i="19"/>
  <c r="J161" i="19"/>
  <c r="I159" i="19"/>
  <c r="L157" i="19"/>
  <c r="Q156" i="19"/>
  <c r="K155" i="19"/>
  <c r="Q153" i="19"/>
  <c r="J153" i="19"/>
  <c r="I151" i="19"/>
  <c r="L149" i="19"/>
  <c r="Q148" i="19"/>
  <c r="K147" i="19"/>
  <c r="Q145" i="19"/>
  <c r="J145" i="19"/>
  <c r="I143" i="19"/>
  <c r="L141" i="19"/>
  <c r="Q140" i="19"/>
  <c r="K139" i="19"/>
  <c r="Q137" i="19"/>
  <c r="J137" i="19"/>
  <c r="I135" i="19"/>
  <c r="I169" i="19"/>
  <c r="L167" i="19"/>
  <c r="Q166" i="19"/>
  <c r="K165" i="19"/>
  <c r="Q163" i="19"/>
  <c r="J163" i="19"/>
  <c r="I161" i="19"/>
  <c r="L159" i="19"/>
  <c r="Q158" i="19"/>
  <c r="K157" i="19"/>
  <c r="Q155" i="19"/>
  <c r="J155" i="19"/>
  <c r="I153" i="19"/>
  <c r="L151" i="19"/>
  <c r="Q150" i="19"/>
  <c r="K149" i="19"/>
  <c r="Q147" i="19"/>
  <c r="J147" i="19"/>
  <c r="I145" i="19"/>
  <c r="L143" i="19"/>
  <c r="Q142" i="19"/>
  <c r="K141" i="19"/>
  <c r="Q139" i="19"/>
  <c r="J139" i="19"/>
  <c r="I137" i="19"/>
  <c r="L135" i="19"/>
  <c r="Q134" i="19"/>
  <c r="L169" i="19"/>
  <c r="Q168" i="19"/>
  <c r="K167" i="19"/>
  <c r="Q165" i="19"/>
  <c r="J165" i="19"/>
  <c r="I163" i="19"/>
  <c r="L161" i="19"/>
  <c r="Q160" i="19"/>
  <c r="K159" i="19"/>
  <c r="Q157" i="19"/>
  <c r="J157" i="19"/>
  <c r="I155" i="19"/>
  <c r="L153" i="19"/>
  <c r="Q152" i="19"/>
  <c r="K151" i="19"/>
  <c r="Q149" i="19"/>
  <c r="J149" i="19"/>
  <c r="I147" i="19"/>
  <c r="L145" i="19"/>
  <c r="Q144" i="19"/>
  <c r="K143" i="19"/>
  <c r="Q141" i="19"/>
  <c r="J141" i="19"/>
  <c r="I139" i="19"/>
  <c r="L137" i="19"/>
  <c r="Q136" i="19"/>
  <c r="K135" i="19"/>
  <c r="K169" i="19"/>
  <c r="Q167" i="19"/>
  <c r="J167" i="19"/>
  <c r="I165" i="19"/>
  <c r="L163" i="19"/>
  <c r="Q162" i="19"/>
  <c r="K161" i="19"/>
  <c r="Q159" i="19"/>
  <c r="J159" i="19"/>
  <c r="I157" i="19"/>
  <c r="L155" i="19"/>
  <c r="Q154" i="19"/>
  <c r="K153" i="19"/>
  <c r="Q151" i="19"/>
  <c r="J151" i="19"/>
  <c r="I149" i="19"/>
  <c r="L147" i="19"/>
  <c r="Q146" i="19"/>
  <c r="K145" i="19"/>
  <c r="Q143" i="19"/>
  <c r="J143" i="19"/>
  <c r="I141" i="19"/>
  <c r="L139" i="19"/>
  <c r="Q138" i="19"/>
  <c r="K137" i="19"/>
  <c r="Q135" i="19"/>
  <c r="J135" i="19"/>
  <c r="G22" i="19"/>
  <c r="G36" i="19"/>
  <c r="G30" i="19"/>
  <c r="G32" i="19"/>
  <c r="G16" i="19"/>
  <c r="G54" i="19"/>
  <c r="G14" i="19"/>
  <c r="G10" i="19"/>
  <c r="G44" i="19"/>
  <c r="G68" i="19"/>
  <c r="G26" i="19"/>
  <c r="G62" i="19"/>
  <c r="G74" i="19"/>
  <c r="G48" i="19"/>
  <c r="G72" i="19"/>
  <c r="G64" i="19"/>
  <c r="G80" i="19"/>
  <c r="G66" i="19"/>
  <c r="G144" i="19"/>
  <c r="G28" i="19"/>
  <c r="G38" i="19"/>
  <c r="G46" i="19"/>
  <c r="G20" i="19"/>
  <c r="G88" i="19"/>
  <c r="G112" i="19"/>
  <c r="G40" i="19"/>
  <c r="G70" i="19"/>
  <c r="G18" i="19"/>
  <c r="G58" i="19"/>
  <c r="G92" i="19"/>
  <c r="G12" i="19"/>
  <c r="G60" i="19"/>
  <c r="G90" i="19"/>
  <c r="G52" i="19"/>
  <c r="G98" i="19"/>
  <c r="G24" i="19"/>
  <c r="G56" i="19"/>
  <c r="G108" i="19"/>
  <c r="G34" i="19"/>
  <c r="G120" i="19"/>
  <c r="G102" i="19"/>
  <c r="G42" i="19"/>
  <c r="G84" i="19"/>
  <c r="G11" i="19"/>
  <c r="G116" i="19"/>
  <c r="G118" i="19"/>
  <c r="G128" i="19"/>
  <c r="G50" i="19"/>
  <c r="G76" i="19"/>
  <c r="G114" i="19"/>
  <c r="G142" i="19"/>
  <c r="G82" i="19"/>
  <c r="G106" i="19"/>
  <c r="G104" i="19"/>
  <c r="G138" i="19"/>
  <c r="G158" i="19"/>
  <c r="G78" i="19"/>
  <c r="G136" i="19"/>
  <c r="G110" i="19"/>
  <c r="G154" i="19"/>
  <c r="G100" i="19"/>
  <c r="G96" i="19"/>
  <c r="G86" i="19"/>
  <c r="G122" i="19"/>
  <c r="G94" i="19"/>
  <c r="G134" i="19"/>
  <c r="G140" i="19"/>
  <c r="G152" i="19"/>
  <c r="G168" i="19"/>
  <c r="G150" i="19"/>
  <c r="G160" i="19"/>
  <c r="G162" i="19"/>
  <c r="G124" i="19"/>
  <c r="G156" i="19"/>
  <c r="G146" i="19"/>
  <c r="G126" i="19"/>
  <c r="G130" i="19"/>
  <c r="G132" i="19"/>
  <c r="G148" i="19"/>
  <c r="G164" i="19"/>
  <c r="G166" i="19"/>
  <c r="F40" i="19"/>
  <c r="B15" i="19"/>
  <c r="G15" i="19" s="1"/>
  <c r="F13" i="19"/>
  <c r="F16" i="19"/>
  <c r="F24" i="19"/>
  <c r="F30" i="19"/>
  <c r="F48" i="19"/>
  <c r="F64" i="19"/>
  <c r="F56" i="19"/>
  <c r="F94" i="19"/>
  <c r="F38" i="19"/>
  <c r="F14" i="19"/>
  <c r="F32" i="19"/>
  <c r="F46" i="19"/>
  <c r="F22" i="19"/>
  <c r="F10" i="19"/>
  <c r="F62" i="19"/>
  <c r="F106" i="19"/>
  <c r="F72" i="19"/>
  <c r="F54" i="19"/>
  <c r="F34" i="19"/>
  <c r="F18" i="19"/>
  <c r="F50" i="19"/>
  <c r="F76" i="19"/>
  <c r="F12" i="19"/>
  <c r="F36" i="19"/>
  <c r="F82" i="19"/>
  <c r="F108" i="19"/>
  <c r="F26" i="19"/>
  <c r="F42" i="19"/>
  <c r="F58" i="19"/>
  <c r="F11" i="19"/>
  <c r="F60" i="19"/>
  <c r="F66" i="19"/>
  <c r="F20" i="19"/>
  <c r="F28" i="19"/>
  <c r="F44" i="19"/>
  <c r="F68" i="19"/>
  <c r="F110" i="19"/>
  <c r="F92" i="19"/>
  <c r="F118" i="19"/>
  <c r="F52" i="19"/>
  <c r="F134" i="19"/>
  <c r="F144" i="19"/>
  <c r="F78" i="19"/>
  <c r="F112" i="19"/>
  <c r="F84" i="19"/>
  <c r="F116" i="19"/>
  <c r="F80" i="19"/>
  <c r="F138" i="19"/>
  <c r="F98" i="19"/>
  <c r="F122" i="19"/>
  <c r="F114" i="19"/>
  <c r="F90" i="19"/>
  <c r="F88" i="19"/>
  <c r="F132" i="19"/>
  <c r="F156" i="19"/>
  <c r="F74" i="19"/>
  <c r="F70" i="19"/>
  <c r="F86" i="19"/>
  <c r="F102" i="19"/>
  <c r="F130" i="19"/>
  <c r="F124" i="19"/>
  <c r="F164" i="19"/>
  <c r="F100" i="19"/>
  <c r="F96" i="19"/>
  <c r="F128" i="19"/>
  <c r="F150" i="19"/>
  <c r="F148" i="19"/>
  <c r="F166" i="19"/>
  <c r="F154" i="19"/>
  <c r="F160" i="19"/>
  <c r="F146" i="19"/>
  <c r="F152" i="19"/>
  <c r="F162" i="19"/>
  <c r="F104" i="19"/>
  <c r="F120" i="19"/>
  <c r="F142" i="19"/>
  <c r="F126" i="19"/>
  <c r="F140" i="19"/>
  <c r="F136" i="19"/>
  <c r="F158" i="19"/>
  <c r="P151" i="14"/>
  <c r="W151" i="14"/>
  <c r="X151" i="14" s="1"/>
  <c r="W71" i="14"/>
  <c r="X71" i="14" s="1"/>
  <c r="G128" i="4"/>
  <c r="E292" i="5"/>
  <c r="E294" i="5"/>
  <c r="E298" i="5"/>
  <c r="E296" i="5"/>
  <c r="G129" i="4"/>
  <c r="E299" i="5"/>
  <c r="E297" i="5"/>
  <c r="E295" i="5"/>
  <c r="E293" i="5"/>
  <c r="J9" i="5"/>
  <c r="F9" i="5" s="1"/>
  <c r="J7" i="5"/>
  <c r="F7" i="5" s="1"/>
  <c r="I135" i="4"/>
  <c r="J135" i="4" s="1"/>
  <c r="I134" i="4"/>
  <c r="J134" i="4" s="1"/>
  <c r="I142" i="4"/>
  <c r="W148" i="14"/>
  <c r="X148" i="14" s="1"/>
  <c r="W149" i="14"/>
  <c r="X149" i="14" s="1"/>
  <c r="W150" i="14"/>
  <c r="X150" i="14" s="1"/>
  <c r="I143" i="4"/>
  <c r="G58" i="4"/>
  <c r="F6" i="5"/>
  <c r="G145" i="4"/>
  <c r="G59" i="4"/>
  <c r="G144" i="4"/>
  <c r="F11" i="8"/>
  <c r="F10" i="8"/>
  <c r="G11" i="8"/>
  <c r="E291" i="5"/>
  <c r="E9" i="7"/>
  <c r="E290" i="5"/>
  <c r="E8" i="7"/>
  <c r="E7" i="18"/>
  <c r="G7" i="18" s="1"/>
  <c r="I8" i="5"/>
  <c r="J8" i="5" s="1"/>
  <c r="H9" i="1"/>
  <c r="I9" i="1" s="1"/>
  <c r="H8" i="1"/>
  <c r="I8" i="1" s="1"/>
  <c r="W147" i="14"/>
  <c r="X147" i="14" s="1"/>
  <c r="O15" i="12"/>
  <c r="P15" i="12" s="1"/>
  <c r="L18" i="12"/>
  <c r="W146" i="14"/>
  <c r="X146" i="14" s="1"/>
  <c r="P84" i="14"/>
  <c r="P83" i="14"/>
  <c r="L8" i="12"/>
  <c r="B11" i="9"/>
  <c r="B11" i="1"/>
  <c r="B11" i="7"/>
  <c r="AD8" i="5"/>
  <c r="O6" i="12"/>
  <c r="P6" i="12" s="1"/>
  <c r="O7" i="12"/>
  <c r="P7" i="12" s="1"/>
  <c r="B10" i="5"/>
  <c r="O11" i="12"/>
  <c r="P11" i="12" s="1"/>
  <c r="M91" i="4"/>
  <c r="N91" i="4" s="1"/>
  <c r="L66" i="18"/>
  <c r="L11" i="18"/>
  <c r="L85" i="18"/>
  <c r="L35" i="18"/>
  <c r="L24" i="18"/>
  <c r="B8" i="18"/>
  <c r="L15" i="18"/>
  <c r="L69" i="18"/>
  <c r="L27" i="18"/>
  <c r="L78" i="18"/>
  <c r="L31" i="18"/>
  <c r="L82" i="18"/>
  <c r="L38" i="18"/>
  <c r="L86" i="18"/>
  <c r="L71" i="18"/>
  <c r="L19" i="18"/>
  <c r="L52" i="18"/>
  <c r="L22" i="18"/>
  <c r="L62" i="18"/>
  <c r="W132" i="14"/>
  <c r="X132" i="14" s="1"/>
  <c r="L23" i="18"/>
  <c r="L41" i="18"/>
  <c r="L26" i="18"/>
  <c r="L49" i="18"/>
  <c r="L30" i="18"/>
  <c r="L32" i="18"/>
  <c r="L16" i="18"/>
  <c r="K167" i="8"/>
  <c r="Y166" i="1"/>
  <c r="AN169" i="1"/>
  <c r="J169" i="8"/>
  <c r="AU164" i="1"/>
  <c r="J167" i="8"/>
  <c r="Z165" i="1"/>
  <c r="K169" i="8"/>
  <c r="AN168" i="1"/>
  <c r="AN166" i="1"/>
  <c r="AG168" i="1"/>
  <c r="AN165" i="1"/>
  <c r="AU169" i="1"/>
  <c r="AG167" i="1"/>
  <c r="Z168" i="1"/>
  <c r="AG169" i="1"/>
  <c r="AM168" i="1"/>
  <c r="Z169" i="1"/>
  <c r="K165" i="8"/>
  <c r="Y164" i="1"/>
  <c r="AU165" i="1"/>
  <c r="AM165" i="1"/>
  <c r="H85" i="18"/>
  <c r="Y165" i="1"/>
  <c r="AU168" i="1"/>
  <c r="AN164" i="1"/>
  <c r="Z167" i="1"/>
  <c r="AM169" i="1"/>
  <c r="AU167" i="1"/>
  <c r="AG164" i="1"/>
  <c r="Z164" i="1"/>
  <c r="Y167" i="1"/>
  <c r="Y169" i="1"/>
  <c r="AG165" i="1"/>
  <c r="Z84" i="18"/>
  <c r="AM167" i="1"/>
  <c r="L9" i="4"/>
  <c r="Z85" i="18"/>
  <c r="AM166" i="1"/>
  <c r="Z166" i="1"/>
  <c r="AU166" i="1"/>
  <c r="J165" i="8"/>
  <c r="H86" i="18"/>
  <c r="AN167" i="1"/>
  <c r="AG166" i="1"/>
  <c r="Z86" i="18"/>
  <c r="Y168" i="1"/>
  <c r="AM164" i="1"/>
  <c r="L7" i="18"/>
  <c r="H84" i="18"/>
  <c r="L73" i="18"/>
  <c r="L14" i="18"/>
  <c r="L56" i="18"/>
  <c r="L25" i="18"/>
  <c r="L21" i="18"/>
  <c r="L47" i="18"/>
  <c r="L12" i="18"/>
  <c r="L28" i="18"/>
  <c r="L65" i="18"/>
  <c r="L9" i="18"/>
  <c r="L34" i="18"/>
  <c r="L61" i="18"/>
  <c r="L20" i="18"/>
  <c r="L58" i="18"/>
  <c r="L43" i="18"/>
  <c r="L37" i="18"/>
  <c r="L17" i="18"/>
  <c r="L18" i="18"/>
  <c r="L63" i="18"/>
  <c r="L13" i="18"/>
  <c r="L57" i="18"/>
  <c r="W74" i="14"/>
  <c r="X74" i="14" s="1"/>
  <c r="L75" i="18"/>
  <c r="L10" i="18"/>
  <c r="X69" i="14"/>
  <c r="L8" i="18"/>
  <c r="L44" i="18"/>
  <c r="L42" i="18"/>
  <c r="L64" i="18"/>
  <c r="V99" i="14"/>
  <c r="W99" i="14"/>
  <c r="X99" i="14" s="1"/>
  <c r="L48" i="18"/>
  <c r="L55" i="18"/>
  <c r="W73" i="14"/>
  <c r="X73" i="14" s="1"/>
  <c r="W108" i="14"/>
  <c r="X108" i="14" s="1"/>
  <c r="W110" i="14"/>
  <c r="X110" i="14" s="1"/>
  <c r="W78" i="14"/>
  <c r="X78" i="14" s="1"/>
  <c r="W109" i="14"/>
  <c r="X109" i="14" s="1"/>
  <c r="W118" i="14"/>
  <c r="X118" i="14" s="1"/>
  <c r="V111" i="14"/>
  <c r="W111" i="14"/>
  <c r="X111" i="14" s="1"/>
  <c r="L60" i="18"/>
  <c r="L36" i="18"/>
  <c r="L45" i="18"/>
  <c r="W80" i="14"/>
  <c r="X80" i="14" s="1"/>
  <c r="L33" i="18"/>
  <c r="V93" i="14"/>
  <c r="W93" i="14"/>
  <c r="X93" i="14" s="1"/>
  <c r="W86" i="14"/>
  <c r="X86" i="14" s="1"/>
  <c r="V76" i="14"/>
  <c r="W76" i="14"/>
  <c r="X76" i="14" s="1"/>
  <c r="L59" i="18"/>
  <c r="V117" i="14"/>
  <c r="W117" i="14"/>
  <c r="X117" i="14" s="1"/>
  <c r="V129" i="14"/>
  <c r="W129" i="14"/>
  <c r="X129" i="14" s="1"/>
  <c r="L29" i="18"/>
  <c r="V119" i="14"/>
  <c r="W119" i="14"/>
  <c r="X119" i="14" s="1"/>
  <c r="L68" i="18"/>
  <c r="V79" i="14"/>
  <c r="W79" i="14"/>
  <c r="X79" i="14" s="1"/>
  <c r="W112" i="14"/>
  <c r="X112" i="14" s="1"/>
  <c r="L51" i="18"/>
  <c r="L39" i="18"/>
  <c r="V97" i="14"/>
  <c r="W97" i="14"/>
  <c r="X97" i="14" s="1"/>
  <c r="L67" i="18"/>
  <c r="V75" i="14"/>
  <c r="W75" i="14"/>
  <c r="X75" i="14" s="1"/>
  <c r="V113" i="14"/>
  <c r="W113" i="14"/>
  <c r="X113" i="14" s="1"/>
  <c r="L40" i="18"/>
  <c r="W101" i="14"/>
  <c r="X101" i="14" s="1"/>
  <c r="L74" i="18"/>
  <c r="V126" i="14"/>
  <c r="W126" i="14"/>
  <c r="X126" i="14" s="1"/>
  <c r="L50" i="18"/>
  <c r="L53" i="18"/>
  <c r="V88" i="14"/>
  <c r="W88" i="14"/>
  <c r="X88" i="14" s="1"/>
  <c r="V81" i="14"/>
  <c r="W81" i="14"/>
  <c r="X81" i="14" s="1"/>
  <c r="V92" i="14"/>
  <c r="W92" i="14"/>
  <c r="X92" i="14" s="1"/>
  <c r="V84" i="14"/>
  <c r="W84" i="14"/>
  <c r="X84" i="14" s="1"/>
  <c r="V95" i="14"/>
  <c r="W95" i="14"/>
  <c r="X95" i="14" s="1"/>
  <c r="W104" i="14"/>
  <c r="X104" i="14" s="1"/>
  <c r="W128" i="14"/>
  <c r="X128" i="14" s="1"/>
  <c r="V128" i="14"/>
  <c r="W103" i="14"/>
  <c r="X103" i="14" s="1"/>
  <c r="W106" i="14"/>
  <c r="X106" i="14" s="1"/>
  <c r="W91" i="14"/>
  <c r="X91" i="14" s="1"/>
  <c r="W135" i="14"/>
  <c r="X135" i="14" s="1"/>
  <c r="W89" i="14"/>
  <c r="X89" i="14" s="1"/>
  <c r="W87" i="14"/>
  <c r="X87" i="14" s="1"/>
  <c r="W83" i="14"/>
  <c r="X83" i="14" s="1"/>
  <c r="W77" i="14"/>
  <c r="X77" i="14" s="1"/>
  <c r="W120" i="14"/>
  <c r="X120" i="14" s="1"/>
  <c r="X68" i="14"/>
  <c r="W94" i="14"/>
  <c r="X94" i="14" s="1"/>
  <c r="W85" i="14"/>
  <c r="X85" i="14" s="1"/>
  <c r="W90" i="14"/>
  <c r="X90" i="14" s="1"/>
  <c r="W96" i="14"/>
  <c r="X96" i="14" s="1"/>
  <c r="W100" i="14"/>
  <c r="X100" i="14" s="1"/>
  <c r="W102" i="14"/>
  <c r="X102" i="14" s="1"/>
  <c r="W121" i="14"/>
  <c r="X121" i="14" s="1"/>
  <c r="X70" i="14"/>
  <c r="W124" i="14"/>
  <c r="X124" i="14" s="1"/>
  <c r="W105" i="14"/>
  <c r="X105" i="14" s="1"/>
  <c r="W72" i="14"/>
  <c r="X72" i="14" s="1"/>
  <c r="W122" i="14"/>
  <c r="X122" i="14" s="1"/>
  <c r="W98" i="14"/>
  <c r="X98" i="14" s="1"/>
  <c r="L84" i="18"/>
  <c r="W142" i="14"/>
  <c r="X142" i="14" s="1"/>
  <c r="L81" i="18"/>
  <c r="V127" i="14"/>
  <c r="W127" i="14"/>
  <c r="X127" i="14" s="1"/>
  <c r="W144" i="14"/>
  <c r="X144" i="14" s="1"/>
  <c r="W139" i="14"/>
  <c r="X139" i="14" s="1"/>
  <c r="V139" i="14"/>
  <c r="V143" i="14"/>
  <c r="W143" i="14"/>
  <c r="X143" i="14" s="1"/>
  <c r="V131" i="14"/>
  <c r="W131" i="14"/>
  <c r="X131" i="14" s="1"/>
  <c r="L79" i="18"/>
  <c r="W138" i="14"/>
  <c r="X138" i="14" s="1"/>
  <c r="W125" i="14"/>
  <c r="X125" i="14" s="1"/>
  <c r="V125" i="14"/>
  <c r="L77" i="18"/>
  <c r="W140" i="14"/>
  <c r="X140" i="14" s="1"/>
  <c r="V140" i="14"/>
  <c r="V130" i="14"/>
  <c r="W130" i="14"/>
  <c r="X130" i="14" s="1"/>
  <c r="W134" i="14"/>
  <c r="X134" i="14" s="1"/>
  <c r="W136" i="14"/>
  <c r="X136" i="14" s="1"/>
  <c r="W137" i="14"/>
  <c r="X137" i="14" s="1"/>
  <c r="L76" i="18"/>
  <c r="W116" i="14"/>
  <c r="X116" i="14" s="1"/>
  <c r="V116" i="14"/>
  <c r="L80" i="18"/>
  <c r="V114" i="14"/>
  <c r="W114" i="14"/>
  <c r="X114" i="14" s="1"/>
  <c r="L70" i="18"/>
  <c r="L46" i="18"/>
  <c r="W107" i="14"/>
  <c r="X107" i="14" s="1"/>
  <c r="L83" i="18"/>
  <c r="V123" i="14"/>
  <c r="W123" i="14"/>
  <c r="X123" i="14" s="1"/>
  <c r="W133" i="14"/>
  <c r="X133" i="14" s="1"/>
  <c r="L72" i="18"/>
  <c r="W115" i="14"/>
  <c r="X115" i="14" s="1"/>
  <c r="L54" i="18"/>
  <c r="V145" i="14"/>
  <c r="W145" i="14"/>
  <c r="X145" i="14" s="1"/>
  <c r="V82" i="14"/>
  <c r="W82" i="14"/>
  <c r="X82" i="14" s="1"/>
  <c r="W141" i="14"/>
  <c r="X141" i="14" s="1"/>
  <c r="K37" i="4"/>
  <c r="B69" i="14"/>
  <c r="M77" i="4"/>
  <c r="N77" i="4" s="1"/>
  <c r="M93" i="4"/>
  <c r="N93" i="4" s="1"/>
  <c r="M76" i="4"/>
  <c r="N76" i="4" s="1"/>
  <c r="M90" i="4"/>
  <c r="N90" i="4" s="1"/>
  <c r="M113" i="4"/>
  <c r="N113" i="4" s="1"/>
  <c r="M61" i="4"/>
  <c r="N61" i="4" s="1"/>
  <c r="M83" i="4"/>
  <c r="M66" i="4"/>
  <c r="N66" i="4" s="1"/>
  <c r="E260" i="5"/>
  <c r="E222" i="5"/>
  <c r="E218" i="5"/>
  <c r="E214" i="5"/>
  <c r="E210" i="5"/>
  <c r="E206" i="5"/>
  <c r="E202" i="5"/>
  <c r="E198" i="5"/>
  <c r="E194" i="5"/>
  <c r="E190" i="5"/>
  <c r="E186" i="5"/>
  <c r="E182" i="5"/>
  <c r="E178" i="5"/>
  <c r="E174" i="5"/>
  <c r="E170" i="5"/>
  <c r="E166" i="5"/>
  <c r="E162" i="5"/>
  <c r="E158" i="5"/>
  <c r="E154" i="5"/>
  <c r="E150" i="5"/>
  <c r="E146" i="5"/>
  <c r="E142" i="5"/>
  <c r="E138" i="5"/>
  <c r="E134" i="5"/>
  <c r="E130" i="5"/>
  <c r="E276" i="5"/>
  <c r="E126" i="5"/>
  <c r="E110" i="5"/>
  <c r="E94" i="5"/>
  <c r="E78" i="5"/>
  <c r="E62" i="5"/>
  <c r="E46" i="5"/>
  <c r="E30" i="5"/>
  <c r="E14" i="5"/>
  <c r="Y143" i="7"/>
  <c r="E242" i="5"/>
  <c r="E238" i="5"/>
  <c r="E234" i="5"/>
  <c r="E230" i="5"/>
  <c r="E226" i="5"/>
  <c r="E282" i="5"/>
  <c r="E266" i="5"/>
  <c r="E116" i="5"/>
  <c r="E100" i="5"/>
  <c r="E84" i="5"/>
  <c r="E68" i="5"/>
  <c r="E52" i="5"/>
  <c r="E36" i="5"/>
  <c r="E20" i="5"/>
  <c r="E256" i="5"/>
  <c r="E252" i="5"/>
  <c r="E248" i="5"/>
  <c r="E244" i="5"/>
  <c r="E224" i="5"/>
  <c r="E288" i="5"/>
  <c r="E272" i="5"/>
  <c r="E122" i="5"/>
  <c r="E106" i="5"/>
  <c r="E90" i="5"/>
  <c r="E74" i="5"/>
  <c r="E58" i="5"/>
  <c r="E42" i="5"/>
  <c r="E26" i="5"/>
  <c r="E10" i="5"/>
  <c r="Y139" i="7"/>
  <c r="Y135" i="7"/>
  <c r="Y131" i="7"/>
  <c r="Y127" i="7"/>
  <c r="Y123" i="7"/>
  <c r="Y119" i="7"/>
  <c r="Y115" i="7"/>
  <c r="Y111" i="7"/>
  <c r="Y107" i="7"/>
  <c r="Y103" i="7"/>
  <c r="Y99" i="7"/>
  <c r="Y95" i="7"/>
  <c r="Y91" i="7"/>
  <c r="Y87" i="7"/>
  <c r="Y83" i="7"/>
  <c r="Y79" i="7"/>
  <c r="Y75" i="7"/>
  <c r="Y71" i="7"/>
  <c r="Y67" i="7"/>
  <c r="Y63" i="7"/>
  <c r="Y59" i="7"/>
  <c r="Y55" i="7"/>
  <c r="Y51" i="7"/>
  <c r="Y47" i="7"/>
  <c r="Y43" i="7"/>
  <c r="Y39" i="7"/>
  <c r="Y35" i="7"/>
  <c r="Y31" i="7"/>
  <c r="Y27" i="7"/>
  <c r="Y23" i="7"/>
  <c r="Y19" i="7"/>
  <c r="Y15" i="7"/>
  <c r="Y11" i="7"/>
  <c r="E262" i="5"/>
  <c r="E278" i="5"/>
  <c r="E112" i="5"/>
  <c r="E96" i="5"/>
  <c r="E80" i="5"/>
  <c r="E64" i="5"/>
  <c r="E48" i="5"/>
  <c r="E32" i="5"/>
  <c r="E16" i="5"/>
  <c r="Y169" i="7"/>
  <c r="Y165" i="7"/>
  <c r="Y161" i="7"/>
  <c r="Y157" i="7"/>
  <c r="Y153" i="7"/>
  <c r="Y149" i="7"/>
  <c r="Y145" i="7"/>
  <c r="E220" i="5"/>
  <c r="E216" i="5"/>
  <c r="E212" i="5"/>
  <c r="E208" i="5"/>
  <c r="E204" i="5"/>
  <c r="E200" i="5"/>
  <c r="E196" i="5"/>
  <c r="E192" i="5"/>
  <c r="E188" i="5"/>
  <c r="E184" i="5"/>
  <c r="E180" i="5"/>
  <c r="E176" i="5"/>
  <c r="E172" i="5"/>
  <c r="E168" i="5"/>
  <c r="E164" i="5"/>
  <c r="E160" i="5"/>
  <c r="E156" i="5"/>
  <c r="E152" i="5"/>
  <c r="E148" i="5"/>
  <c r="E144" i="5"/>
  <c r="E140" i="5"/>
  <c r="E136" i="5"/>
  <c r="E132" i="5"/>
  <c r="E128" i="5"/>
  <c r="E284" i="5"/>
  <c r="E268" i="5"/>
  <c r="E118" i="5"/>
  <c r="E102" i="5"/>
  <c r="E86" i="5"/>
  <c r="E70" i="5"/>
  <c r="E54" i="5"/>
  <c r="E38" i="5"/>
  <c r="E22" i="5"/>
  <c r="E6" i="5"/>
  <c r="E240" i="5"/>
  <c r="E236" i="5"/>
  <c r="E232" i="5"/>
  <c r="E228" i="5"/>
  <c r="E274" i="5"/>
  <c r="E124" i="5"/>
  <c r="E108" i="5"/>
  <c r="E92" i="5"/>
  <c r="E76" i="5"/>
  <c r="E60" i="5"/>
  <c r="E44" i="5"/>
  <c r="E28" i="5"/>
  <c r="E12" i="5"/>
  <c r="E258" i="5"/>
  <c r="E254" i="5"/>
  <c r="E250" i="5"/>
  <c r="E246" i="5"/>
  <c r="E280" i="5"/>
  <c r="E264" i="5"/>
  <c r="E114" i="5"/>
  <c r="E98" i="5"/>
  <c r="E82" i="5"/>
  <c r="E66" i="5"/>
  <c r="E50" i="5"/>
  <c r="E34" i="5"/>
  <c r="E18" i="5"/>
  <c r="Y141" i="7"/>
  <c r="Y137" i="7"/>
  <c r="Y133" i="7"/>
  <c r="Y129" i="7"/>
  <c r="Y125" i="7"/>
  <c r="Y121" i="7"/>
  <c r="Y117" i="7"/>
  <c r="Y113" i="7"/>
  <c r="Y109" i="7"/>
  <c r="Y105" i="7"/>
  <c r="Y101" i="7"/>
  <c r="Y97" i="7"/>
  <c r="Y93" i="7"/>
  <c r="Y89" i="7"/>
  <c r="Y85" i="7"/>
  <c r="Y81" i="7"/>
  <c r="Y77" i="7"/>
  <c r="Y73" i="7"/>
  <c r="Y69" i="7"/>
  <c r="Y65" i="7"/>
  <c r="Y61" i="7"/>
  <c r="Y57" i="7"/>
  <c r="Y53" i="7"/>
  <c r="Y49" i="7"/>
  <c r="Y45" i="7"/>
  <c r="Y41" i="7"/>
  <c r="Y37" i="7"/>
  <c r="Y33" i="7"/>
  <c r="Y29" i="7"/>
  <c r="Y25" i="7"/>
  <c r="Y21" i="7"/>
  <c r="Y17" i="7"/>
  <c r="Y13" i="7"/>
  <c r="E286" i="5"/>
  <c r="E270" i="5"/>
  <c r="E120" i="5"/>
  <c r="E104" i="5"/>
  <c r="E88" i="5"/>
  <c r="E72" i="5"/>
  <c r="E56" i="5"/>
  <c r="E40" i="5"/>
  <c r="E24" i="5"/>
  <c r="E8" i="5"/>
  <c r="Y167" i="7"/>
  <c r="Y163" i="7"/>
  <c r="Y159" i="7"/>
  <c r="Y155" i="7"/>
  <c r="Y151" i="7"/>
  <c r="Y147" i="7"/>
  <c r="G122" i="4"/>
  <c r="G92" i="4"/>
  <c r="G96" i="4"/>
  <c r="G76" i="4"/>
  <c r="Y62" i="7"/>
  <c r="Y16" i="7"/>
  <c r="Y84" i="7"/>
  <c r="Y54" i="7"/>
  <c r="Y24" i="7"/>
  <c r="Y168" i="7"/>
  <c r="Y152" i="7"/>
  <c r="Y136" i="7"/>
  <c r="Y120" i="7"/>
  <c r="Y76" i="7"/>
  <c r="E164" i="9"/>
  <c r="E156" i="9"/>
  <c r="E152" i="1"/>
  <c r="E126" i="1"/>
  <c r="E56" i="1"/>
  <c r="E20" i="1"/>
  <c r="E124" i="7"/>
  <c r="F124" i="7" s="1"/>
  <c r="E106" i="7"/>
  <c r="F106" i="7" s="1"/>
  <c r="E96" i="7"/>
  <c r="F96" i="7" s="1"/>
  <c r="E90" i="7"/>
  <c r="F90" i="7" s="1"/>
  <c r="E10" i="7"/>
  <c r="F10" i="7" s="1"/>
  <c r="E44" i="1"/>
  <c r="E54" i="1"/>
  <c r="E18" i="9"/>
  <c r="E72" i="9"/>
  <c r="E30" i="9"/>
  <c r="E102" i="9"/>
  <c r="E94" i="9"/>
  <c r="E84" i="1"/>
  <c r="E116" i="1"/>
  <c r="E90" i="1"/>
  <c r="E66" i="1"/>
  <c r="E66" i="7"/>
  <c r="F66" i="7" s="1"/>
  <c r="E60" i="7"/>
  <c r="F60" i="7" s="1"/>
  <c r="E28" i="7"/>
  <c r="F28" i="7" s="1"/>
  <c r="E128" i="7"/>
  <c r="F128" i="7" s="1"/>
  <c r="E150" i="7"/>
  <c r="F150" i="7" s="1"/>
  <c r="G90" i="4"/>
  <c r="G138" i="4"/>
  <c r="G112" i="4"/>
  <c r="G116" i="4"/>
  <c r="G80" i="4"/>
  <c r="G78" i="4"/>
  <c r="Y46" i="7"/>
  <c r="Y98" i="7"/>
  <c r="Y68" i="7"/>
  <c r="Y38" i="7"/>
  <c r="Y106" i="7"/>
  <c r="Y166" i="7"/>
  <c r="Y150" i="7"/>
  <c r="Y134" i="7"/>
  <c r="Y118" i="7"/>
  <c r="Y60" i="7"/>
  <c r="E154" i="9"/>
  <c r="E144" i="9"/>
  <c r="E136" i="9"/>
  <c r="E128" i="9"/>
  <c r="E74" i="9"/>
  <c r="E148" i="1"/>
  <c r="E124" i="1"/>
  <c r="E52" i="1"/>
  <c r="E18" i="1"/>
  <c r="E138" i="7"/>
  <c r="F138" i="7" s="1"/>
  <c r="E116" i="7"/>
  <c r="F116" i="7" s="1"/>
  <c r="E64" i="7"/>
  <c r="F64" i="7" s="1"/>
  <c r="E54" i="7"/>
  <c r="F54" i="7" s="1"/>
  <c r="E44" i="7"/>
  <c r="F44" i="7" s="1"/>
  <c r="E16" i="7"/>
  <c r="F16" i="7" s="1"/>
  <c r="E14" i="1"/>
  <c r="E70" i="1"/>
  <c r="E22" i="9"/>
  <c r="E112" i="9"/>
  <c r="E58" i="9"/>
  <c r="E76" i="9"/>
  <c r="E46" i="9"/>
  <c r="E106" i="9"/>
  <c r="E96" i="9"/>
  <c r="E108" i="1"/>
  <c r="E106" i="1"/>
  <c r="E146" i="1"/>
  <c r="E96" i="1"/>
  <c r="E34" i="7"/>
  <c r="F34" i="7" s="1"/>
  <c r="E22" i="7"/>
  <c r="F22" i="7" s="1"/>
  <c r="E78" i="7"/>
  <c r="F78" i="7" s="1"/>
  <c r="E112" i="7"/>
  <c r="F112" i="7" s="1"/>
  <c r="E160" i="7"/>
  <c r="F160" i="7" s="1"/>
  <c r="G124" i="4"/>
  <c r="G66" i="4"/>
  <c r="G64" i="4"/>
  <c r="Y14" i="7"/>
  <c r="Y66" i="7"/>
  <c r="Y36" i="7"/>
  <c r="Y104" i="7"/>
  <c r="Y74" i="7"/>
  <c r="Y162" i="7"/>
  <c r="Y146" i="7"/>
  <c r="Y130" i="7"/>
  <c r="Y114" i="7"/>
  <c r="Y28" i="7"/>
  <c r="E162" i="9"/>
  <c r="E152" i="9"/>
  <c r="E98" i="9"/>
  <c r="E168" i="1"/>
  <c r="E140" i="1"/>
  <c r="E120" i="1"/>
  <c r="E48" i="1"/>
  <c r="E12" i="1"/>
  <c r="E164" i="7"/>
  <c r="F164" i="7" s="1"/>
  <c r="E122" i="7"/>
  <c r="F122" i="7" s="1"/>
  <c r="E100" i="7"/>
  <c r="F100" i="7" s="1"/>
  <c r="E94" i="7"/>
  <c r="F94" i="7" s="1"/>
  <c r="E86" i="7"/>
  <c r="F86" i="7" s="1"/>
  <c r="E30" i="7"/>
  <c r="F30" i="7" s="1"/>
  <c r="E28" i="1"/>
  <c r="E26" i="1"/>
  <c r="E32" i="9"/>
  <c r="E52" i="9"/>
  <c r="E108" i="9"/>
  <c r="E62" i="9"/>
  <c r="E60" i="1"/>
  <c r="E158" i="1"/>
  <c r="E72" i="1"/>
  <c r="E142" i="1"/>
  <c r="E84" i="7"/>
  <c r="F84" i="7" s="1"/>
  <c r="E32" i="7"/>
  <c r="F32" i="7" s="1"/>
  <c r="E82" i="7"/>
  <c r="F82" i="7" s="1"/>
  <c r="G106" i="4"/>
  <c r="G100" i="4"/>
  <c r="G140" i="4"/>
  <c r="G94" i="4"/>
  <c r="G98" i="4"/>
  <c r="G84" i="4"/>
  <c r="G56" i="4"/>
  <c r="Y96" i="7"/>
  <c r="Y50" i="7"/>
  <c r="Y20" i="7"/>
  <c r="Y88" i="7"/>
  <c r="Y58" i="7"/>
  <c r="Y160" i="7"/>
  <c r="Y144" i="7"/>
  <c r="Y128" i="7"/>
  <c r="Y112" i="7"/>
  <c r="Y12" i="7"/>
  <c r="E132" i="9"/>
  <c r="E124" i="9"/>
  <c r="E164" i="1"/>
  <c r="E136" i="1"/>
  <c r="E114" i="1"/>
  <c r="E42" i="1"/>
  <c r="E158" i="7"/>
  <c r="F158" i="7" s="1"/>
  <c r="E144" i="7"/>
  <c r="F144" i="7" s="1"/>
  <c r="E136" i="7"/>
  <c r="F136" i="7" s="1"/>
  <c r="E74" i="7"/>
  <c r="F74" i="7" s="1"/>
  <c r="E52" i="7"/>
  <c r="F52" i="7" s="1"/>
  <c r="E20" i="7"/>
  <c r="F20" i="7" s="1"/>
  <c r="E14" i="7"/>
  <c r="F14" i="7" s="1"/>
  <c r="E36" i="1"/>
  <c r="E34" i="1"/>
  <c r="E134" i="9"/>
  <c r="E42" i="9"/>
  <c r="E50" i="9"/>
  <c r="E36" i="9"/>
  <c r="E26" i="9"/>
  <c r="E126" i="9"/>
  <c r="E12" i="9"/>
  <c r="E64" i="9"/>
  <c r="E10" i="9"/>
  <c r="E166" i="1"/>
  <c r="E76" i="1"/>
  <c r="E104" i="1"/>
  <c r="E50" i="7"/>
  <c r="F50" i="7" s="1"/>
  <c r="E80" i="7"/>
  <c r="F80" i="7" s="1"/>
  <c r="E152" i="7"/>
  <c r="F152" i="7" s="1"/>
  <c r="E88" i="7"/>
  <c r="F88" i="7" s="1"/>
  <c r="E118" i="7"/>
  <c r="F118" i="7" s="1"/>
  <c r="E114" i="7"/>
  <c r="F114" i="7" s="1"/>
  <c r="E134" i="7"/>
  <c r="F134" i="7" s="1"/>
  <c r="G62" i="4"/>
  <c r="G120" i="4"/>
  <c r="G110" i="4"/>
  <c r="G114" i="4"/>
  <c r="G118" i="4"/>
  <c r="G68" i="4"/>
  <c r="G60" i="4"/>
  <c r="Y80" i="7"/>
  <c r="Y34" i="7"/>
  <c r="Y102" i="7"/>
  <c r="Y72" i="7"/>
  <c r="Y42" i="7"/>
  <c r="Y158" i="7"/>
  <c r="Y142" i="7"/>
  <c r="Y126" i="7"/>
  <c r="Y110" i="7"/>
  <c r="Y10" i="7"/>
  <c r="E168" i="9"/>
  <c r="E160" i="9"/>
  <c r="E140" i="9"/>
  <c r="E122" i="9"/>
  <c r="E114" i="9"/>
  <c r="E82" i="9"/>
  <c r="E66" i="9"/>
  <c r="E160" i="1"/>
  <c r="E132" i="1"/>
  <c r="E102" i="1"/>
  <c r="E40" i="1"/>
  <c r="E8" i="1"/>
  <c r="E156" i="7"/>
  <c r="F156" i="7" s="1"/>
  <c r="E120" i="7"/>
  <c r="F120" i="7" s="1"/>
  <c r="E68" i="7"/>
  <c r="F68" i="7" s="1"/>
  <c r="E58" i="7"/>
  <c r="F58" i="7" s="1"/>
  <c r="E62" i="1"/>
  <c r="E78" i="1"/>
  <c r="E34" i="9"/>
  <c r="E54" i="9"/>
  <c r="E146" i="9"/>
  <c r="E70" i="9"/>
  <c r="E68" i="9"/>
  <c r="E82" i="1"/>
  <c r="E80" i="1"/>
  <c r="E64" i="1"/>
  <c r="E10" i="1"/>
  <c r="E12" i="7"/>
  <c r="F12" i="7" s="1"/>
  <c r="E98" i="7"/>
  <c r="F98" i="7" s="1"/>
  <c r="E102" i="7"/>
  <c r="F102" i="7" s="1"/>
  <c r="E142" i="7"/>
  <c r="F142" i="7" s="1"/>
  <c r="G88" i="4"/>
  <c r="G136" i="4"/>
  <c r="G126" i="4"/>
  <c r="G134" i="4"/>
  <c r="G86" i="4"/>
  <c r="G54" i="4"/>
  <c r="Y94" i="7"/>
  <c r="Y64" i="7"/>
  <c r="Y18" i="7"/>
  <c r="Y86" i="7"/>
  <c r="Y56" i="7"/>
  <c r="Y26" i="7"/>
  <c r="Y156" i="7"/>
  <c r="Y140" i="7"/>
  <c r="Y124" i="7"/>
  <c r="Y108" i="7"/>
  <c r="E156" i="1"/>
  <c r="E130" i="1"/>
  <c r="E94" i="1"/>
  <c r="E32" i="1"/>
  <c r="E126" i="7"/>
  <c r="F126" i="7" s="1"/>
  <c r="E108" i="7"/>
  <c r="F108" i="7" s="1"/>
  <c r="E92" i="7"/>
  <c r="F92" i="7" s="1"/>
  <c r="E36" i="7"/>
  <c r="F36" i="7" s="1"/>
  <c r="E26" i="7"/>
  <c r="F26" i="7" s="1"/>
  <c r="E138" i="1"/>
  <c r="E86" i="1"/>
  <c r="E162" i="1"/>
  <c r="E60" i="9"/>
  <c r="E16" i="9"/>
  <c r="E38" i="9"/>
  <c r="E56" i="9"/>
  <c r="E158" i="9"/>
  <c r="E14" i="9"/>
  <c r="E86" i="9"/>
  <c r="E116" i="9"/>
  <c r="E100" i="9"/>
  <c r="E134" i="1"/>
  <c r="E92" i="1"/>
  <c r="E68" i="1"/>
  <c r="E42" i="7"/>
  <c r="F42" i="7" s="1"/>
  <c r="E40" i="7"/>
  <c r="F40" i="7" s="1"/>
  <c r="E110" i="7"/>
  <c r="F110" i="7" s="1"/>
  <c r="G102" i="4"/>
  <c r="G142" i="4"/>
  <c r="G70" i="4"/>
  <c r="G50" i="4"/>
  <c r="Y78" i="7"/>
  <c r="Y48" i="7"/>
  <c r="Y100" i="7"/>
  <c r="Y70" i="7"/>
  <c r="Y40" i="7"/>
  <c r="Y32" i="7"/>
  <c r="Y154" i="7"/>
  <c r="Y138" i="7"/>
  <c r="Y122" i="7"/>
  <c r="Y92" i="7"/>
  <c r="E148" i="9"/>
  <c r="E138" i="9"/>
  <c r="E130" i="9"/>
  <c r="E120" i="9"/>
  <c r="E90" i="9"/>
  <c r="E154" i="1"/>
  <c r="E128" i="1"/>
  <c r="E58" i="1"/>
  <c r="E24" i="1"/>
  <c r="E162" i="7"/>
  <c r="F162" i="7" s="1"/>
  <c r="E154" i="7"/>
  <c r="F154" i="7" s="1"/>
  <c r="E140" i="7"/>
  <c r="F140" i="7" s="1"/>
  <c r="E132" i="7"/>
  <c r="F132" i="7" s="1"/>
  <c r="E72" i="7"/>
  <c r="F72" i="7" s="1"/>
  <c r="E46" i="7"/>
  <c r="F46" i="7" s="1"/>
  <c r="E30" i="1"/>
  <c r="E46" i="1"/>
  <c r="E20" i="9"/>
  <c r="E78" i="9"/>
  <c r="E166" i="9"/>
  <c r="E28" i="9"/>
  <c r="E44" i="9"/>
  <c r="E88" i="9"/>
  <c r="E118" i="9"/>
  <c r="E92" i="9"/>
  <c r="E142" i="9"/>
  <c r="E150" i="1"/>
  <c r="E74" i="1"/>
  <c r="E118" i="1"/>
  <c r="E100" i="1"/>
  <c r="E38" i="7"/>
  <c r="F38" i="7" s="1"/>
  <c r="E48" i="7"/>
  <c r="F48" i="7" s="1"/>
  <c r="E18" i="7"/>
  <c r="F18" i="7" s="1"/>
  <c r="E168" i="7"/>
  <c r="F168" i="7" s="1"/>
  <c r="G52" i="4"/>
  <c r="Y148" i="7"/>
  <c r="E48" i="9"/>
  <c r="E84" i="9"/>
  <c r="E104" i="7"/>
  <c r="F104" i="7" s="1"/>
  <c r="Y132" i="7"/>
  <c r="E144" i="1"/>
  <c r="E24" i="9"/>
  <c r="E56" i="7"/>
  <c r="F56" i="7" s="1"/>
  <c r="Y30" i="7"/>
  <c r="Y116" i="7"/>
  <c r="E122" i="1"/>
  <c r="E166" i="7"/>
  <c r="F166" i="7" s="1"/>
  <c r="E70" i="7"/>
  <c r="F70" i="7" s="1"/>
  <c r="E22" i="1"/>
  <c r="E104" i="9"/>
  <c r="G104" i="4"/>
  <c r="Y82" i="7"/>
  <c r="Y44" i="7"/>
  <c r="E50" i="1"/>
  <c r="E146" i="7"/>
  <c r="F146" i="7" s="1"/>
  <c r="E38" i="1"/>
  <c r="E80" i="9"/>
  <c r="E112" i="1"/>
  <c r="E148" i="7"/>
  <c r="F148" i="7" s="1"/>
  <c r="G130" i="4"/>
  <c r="Y52" i="7"/>
  <c r="E16" i="1"/>
  <c r="E130" i="7"/>
  <c r="F130" i="7" s="1"/>
  <c r="E110" i="1"/>
  <c r="G132" i="4"/>
  <c r="Y22" i="7"/>
  <c r="E24" i="7"/>
  <c r="F24" i="7" s="1"/>
  <c r="E40" i="9"/>
  <c r="E88" i="1"/>
  <c r="E76" i="7"/>
  <c r="F76" i="7" s="1"/>
  <c r="Y90" i="7"/>
  <c r="E150" i="9"/>
  <c r="E98" i="1"/>
  <c r="G82" i="4"/>
  <c r="Y164" i="7"/>
  <c r="E110" i="9"/>
  <c r="E62" i="7"/>
  <c r="F62" i="7" s="1"/>
  <c r="G74" i="4"/>
  <c r="G72" i="4"/>
  <c r="G108" i="4"/>
  <c r="M95" i="4"/>
  <c r="N95" i="4" s="1"/>
  <c r="M70" i="4"/>
  <c r="N70" i="4" s="1"/>
  <c r="M78" i="4"/>
  <c r="N78" i="4" s="1"/>
  <c r="M117" i="4"/>
  <c r="N117" i="4" s="1"/>
  <c r="M65" i="4"/>
  <c r="N65" i="4" s="1"/>
  <c r="M115" i="4"/>
  <c r="N115" i="4" s="1"/>
  <c r="M109" i="4"/>
  <c r="N109" i="4" s="1"/>
  <c r="E259" i="5"/>
  <c r="E255" i="5"/>
  <c r="E251" i="5"/>
  <c r="E247" i="5"/>
  <c r="E243" i="5"/>
  <c r="E239" i="5"/>
  <c r="E235" i="5"/>
  <c r="E231" i="5"/>
  <c r="E227" i="5"/>
  <c r="E287" i="5"/>
  <c r="E271" i="5"/>
  <c r="E121" i="5"/>
  <c r="E105" i="5"/>
  <c r="E89" i="5"/>
  <c r="E73" i="5"/>
  <c r="E57" i="5"/>
  <c r="E41" i="5"/>
  <c r="E25" i="5"/>
  <c r="E9" i="5"/>
  <c r="E277" i="5"/>
  <c r="E127" i="5"/>
  <c r="E111" i="5"/>
  <c r="E95" i="5"/>
  <c r="E79" i="5"/>
  <c r="E63" i="5"/>
  <c r="E47" i="5"/>
  <c r="E31" i="5"/>
  <c r="E15" i="5"/>
  <c r="G73" i="4"/>
  <c r="E261" i="5"/>
  <c r="E223" i="5"/>
  <c r="E219" i="5"/>
  <c r="E215" i="5"/>
  <c r="E211" i="5"/>
  <c r="E207" i="5"/>
  <c r="E203" i="5"/>
  <c r="E199" i="5"/>
  <c r="E195" i="5"/>
  <c r="E191" i="5"/>
  <c r="E187" i="5"/>
  <c r="E183" i="5"/>
  <c r="E179" i="5"/>
  <c r="E175" i="5"/>
  <c r="E171" i="5"/>
  <c r="E167" i="5"/>
  <c r="E163" i="5"/>
  <c r="E159" i="5"/>
  <c r="E155" i="5"/>
  <c r="E151" i="5"/>
  <c r="E147" i="5"/>
  <c r="E143" i="5"/>
  <c r="E139" i="5"/>
  <c r="E135" i="5"/>
  <c r="E131" i="5"/>
  <c r="E283" i="5"/>
  <c r="E267" i="5"/>
  <c r="E117" i="5"/>
  <c r="E101" i="5"/>
  <c r="E85" i="5"/>
  <c r="E69" i="5"/>
  <c r="E53" i="5"/>
  <c r="E37" i="5"/>
  <c r="E21" i="5"/>
  <c r="E289" i="5"/>
  <c r="E273" i="5"/>
  <c r="E123" i="5"/>
  <c r="E107" i="5"/>
  <c r="E91" i="5"/>
  <c r="E75" i="5"/>
  <c r="E59" i="5"/>
  <c r="E43" i="5"/>
  <c r="E27" i="5"/>
  <c r="E11" i="5"/>
  <c r="E257" i="5"/>
  <c r="E253" i="5"/>
  <c r="E249" i="5"/>
  <c r="E245" i="5"/>
  <c r="E241" i="5"/>
  <c r="E237" i="5"/>
  <c r="E233" i="5"/>
  <c r="E229" i="5"/>
  <c r="E225" i="5"/>
  <c r="E279" i="5"/>
  <c r="E113" i="5"/>
  <c r="E97" i="5"/>
  <c r="E81" i="5"/>
  <c r="E65" i="5"/>
  <c r="E49" i="5"/>
  <c r="E33" i="5"/>
  <c r="E17" i="5"/>
  <c r="G75" i="4"/>
  <c r="E263" i="5"/>
  <c r="E285" i="5"/>
  <c r="E269" i="5"/>
  <c r="E119" i="5"/>
  <c r="E103" i="5"/>
  <c r="E87" i="5"/>
  <c r="E71" i="5"/>
  <c r="E55" i="5"/>
  <c r="E39" i="5"/>
  <c r="E23" i="5"/>
  <c r="E7" i="5"/>
  <c r="E221" i="5"/>
  <c r="E217" i="5"/>
  <c r="E213" i="5"/>
  <c r="E209" i="5"/>
  <c r="E205" i="5"/>
  <c r="E201" i="5"/>
  <c r="E197" i="5"/>
  <c r="E193" i="5"/>
  <c r="E189" i="5"/>
  <c r="E185" i="5"/>
  <c r="E181" i="5"/>
  <c r="E177" i="5"/>
  <c r="E173" i="5"/>
  <c r="E169" i="5"/>
  <c r="E165" i="5"/>
  <c r="E161" i="5"/>
  <c r="E157" i="5"/>
  <c r="E153" i="5"/>
  <c r="E149" i="5"/>
  <c r="E145" i="5"/>
  <c r="E141" i="5"/>
  <c r="E137" i="5"/>
  <c r="E133" i="5"/>
  <c r="E129" i="5"/>
  <c r="E275" i="5"/>
  <c r="E125" i="5"/>
  <c r="E109" i="5"/>
  <c r="E93" i="5"/>
  <c r="E77" i="5"/>
  <c r="E61" i="5"/>
  <c r="E45" i="5"/>
  <c r="E29" i="5"/>
  <c r="E13" i="5"/>
  <c r="E281" i="5"/>
  <c r="E265" i="5"/>
  <c r="E115" i="5"/>
  <c r="E99" i="5"/>
  <c r="E83" i="5"/>
  <c r="E67" i="5"/>
  <c r="E51" i="5"/>
  <c r="E35" i="5"/>
  <c r="E19" i="5"/>
  <c r="G109" i="4"/>
  <c r="G93" i="4"/>
  <c r="G97" i="4"/>
  <c r="G101" i="4"/>
  <c r="G141" i="4"/>
  <c r="G71" i="4"/>
  <c r="G87" i="4"/>
  <c r="G61" i="4"/>
  <c r="G63" i="4"/>
  <c r="G113" i="4"/>
  <c r="G117" i="4"/>
  <c r="G121" i="4"/>
  <c r="G111" i="4"/>
  <c r="G77" i="4"/>
  <c r="G65" i="4"/>
  <c r="E39" i="1"/>
  <c r="E123" i="7"/>
  <c r="F123" i="7" s="1"/>
  <c r="E21" i="1"/>
  <c r="E45" i="1"/>
  <c r="E11" i="7"/>
  <c r="F11" i="7" s="1"/>
  <c r="E55" i="7"/>
  <c r="F55" i="7" s="1"/>
  <c r="E161" i="7"/>
  <c r="F161" i="7" s="1"/>
  <c r="E37" i="7"/>
  <c r="F37" i="7" s="1"/>
  <c r="E149" i="9"/>
  <c r="E89" i="1"/>
  <c r="E69" i="9"/>
  <c r="E15" i="1"/>
  <c r="E167" i="7"/>
  <c r="F167" i="7" s="1"/>
  <c r="E133" i="9"/>
  <c r="E119" i="1"/>
  <c r="E15" i="7"/>
  <c r="F15" i="7" s="1"/>
  <c r="E103" i="9"/>
  <c r="E47" i="9"/>
  <c r="E125" i="1"/>
  <c r="E9" i="1"/>
  <c r="E53" i="9"/>
  <c r="E139" i="1"/>
  <c r="E97" i="1"/>
  <c r="E103" i="1"/>
  <c r="E117" i="1"/>
  <c r="E125" i="7"/>
  <c r="F125" i="7" s="1"/>
  <c r="E95" i="7"/>
  <c r="F95" i="7" s="1"/>
  <c r="E165" i="7"/>
  <c r="F165" i="7" s="1"/>
  <c r="G89" i="4"/>
  <c r="G103" i="4"/>
  <c r="G83" i="4"/>
  <c r="G53" i="4"/>
  <c r="E17" i="1"/>
  <c r="E31" i="9"/>
  <c r="E23" i="7"/>
  <c r="F23" i="7" s="1"/>
  <c r="E129" i="7"/>
  <c r="F129" i="7" s="1"/>
  <c r="E25" i="1"/>
  <c r="E35" i="9"/>
  <c r="E19" i="7"/>
  <c r="F19" i="7" s="1"/>
  <c r="E19" i="9"/>
  <c r="E93" i="1"/>
  <c r="E13" i="7"/>
  <c r="F13" i="7" s="1"/>
  <c r="E91" i="1"/>
  <c r="E27" i="9"/>
  <c r="E161" i="9"/>
  <c r="E137" i="9"/>
  <c r="E127" i="9"/>
  <c r="E77" i="1"/>
  <c r="E33" i="9"/>
  <c r="E135" i="1"/>
  <c r="E73" i="9"/>
  <c r="E105" i="1"/>
  <c r="E93" i="9"/>
  <c r="E157" i="1"/>
  <c r="E59" i="7"/>
  <c r="F59" i="7" s="1"/>
  <c r="E131" i="9"/>
  <c r="E11" i="1"/>
  <c r="E97" i="9"/>
  <c r="G95" i="4"/>
  <c r="G99" i="4"/>
  <c r="G123" i="4"/>
  <c r="G81" i="4"/>
  <c r="G55" i="4"/>
  <c r="E13" i="1"/>
  <c r="E141" i="7"/>
  <c r="F141" i="7" s="1"/>
  <c r="E71" i="7"/>
  <c r="F71" i="7" s="1"/>
  <c r="E99" i="7"/>
  <c r="F99" i="7" s="1"/>
  <c r="E17" i="7"/>
  <c r="F17" i="7" s="1"/>
  <c r="E59" i="1"/>
  <c r="E53" i="1"/>
  <c r="E89" i="7"/>
  <c r="F89" i="7" s="1"/>
  <c r="E55" i="1"/>
  <c r="E17" i="9"/>
  <c r="E67" i="1"/>
  <c r="E141" i="1"/>
  <c r="E141" i="9"/>
  <c r="E107" i="9"/>
  <c r="E73" i="7"/>
  <c r="F73" i="7" s="1"/>
  <c r="E159" i="1"/>
  <c r="E57" i="9"/>
  <c r="E145" i="1"/>
  <c r="E93" i="7"/>
  <c r="F93" i="7" s="1"/>
  <c r="E71" i="9"/>
  <c r="E167" i="1"/>
  <c r="E81" i="9"/>
  <c r="E161" i="1"/>
  <c r="E69" i="7"/>
  <c r="F69" i="7" s="1"/>
  <c r="E165" i="9"/>
  <c r="E133" i="1"/>
  <c r="E101" i="7"/>
  <c r="F101" i="7" s="1"/>
  <c r="E145" i="9"/>
  <c r="E147" i="7"/>
  <c r="F147" i="7" s="1"/>
  <c r="E153" i="7"/>
  <c r="F153" i="7" s="1"/>
  <c r="E155" i="9"/>
  <c r="E119" i="9"/>
  <c r="G91" i="4"/>
  <c r="G115" i="4"/>
  <c r="G119" i="4"/>
  <c r="G139" i="4"/>
  <c r="G67" i="4"/>
  <c r="G51" i="4"/>
  <c r="E111" i="7"/>
  <c r="F111" i="7" s="1"/>
  <c r="E109" i="7"/>
  <c r="F109" i="7" s="1"/>
  <c r="E65" i="7"/>
  <c r="F65" i="7" s="1"/>
  <c r="E49" i="1"/>
  <c r="E39" i="9"/>
  <c r="E51" i="1"/>
  <c r="E35" i="1"/>
  <c r="E45" i="7"/>
  <c r="F45" i="7" s="1"/>
  <c r="E37" i="1"/>
  <c r="E55" i="9"/>
  <c r="E101" i="1"/>
  <c r="E115" i="7"/>
  <c r="F115" i="7" s="1"/>
  <c r="E57" i="1"/>
  <c r="E163" i="9"/>
  <c r="E135" i="9"/>
  <c r="E83" i="7"/>
  <c r="F83" i="7" s="1"/>
  <c r="E47" i="1"/>
  <c r="E111" i="9"/>
  <c r="E115" i="1"/>
  <c r="E117" i="7"/>
  <c r="F117" i="7" s="1"/>
  <c r="E87" i="9"/>
  <c r="E113" i="7"/>
  <c r="F113" i="7" s="1"/>
  <c r="E75" i="9"/>
  <c r="E85" i="1"/>
  <c r="E33" i="7"/>
  <c r="F33" i="7" s="1"/>
  <c r="E157" i="9"/>
  <c r="E139" i="9"/>
  <c r="E117" i="9"/>
  <c r="E123" i="9"/>
  <c r="E49" i="9"/>
  <c r="E99" i="9"/>
  <c r="E105" i="9"/>
  <c r="G107" i="4"/>
  <c r="G135" i="4"/>
  <c r="G105" i="4"/>
  <c r="G85" i="4"/>
  <c r="E103" i="7"/>
  <c r="F103" i="7" s="1"/>
  <c r="E31" i="7"/>
  <c r="F31" i="7" s="1"/>
  <c r="E169" i="7"/>
  <c r="F169" i="7" s="1"/>
  <c r="E81" i="7"/>
  <c r="F81" i="7" s="1"/>
  <c r="E29" i="1"/>
  <c r="E87" i="7"/>
  <c r="F87" i="7" s="1"/>
  <c r="E33" i="1"/>
  <c r="E79" i="7"/>
  <c r="F79" i="7" s="1"/>
  <c r="E67" i="9"/>
  <c r="E151" i="1"/>
  <c r="E91" i="7"/>
  <c r="F91" i="7" s="1"/>
  <c r="E81" i="1"/>
  <c r="E121" i="9"/>
  <c r="E123" i="1"/>
  <c r="E25" i="7"/>
  <c r="F25" i="7" s="1"/>
  <c r="E61" i="9"/>
  <c r="E59" i="9"/>
  <c r="E79" i="1"/>
  <c r="E153" i="9"/>
  <c r="E45" i="9"/>
  <c r="E121" i="1"/>
  <c r="E111" i="1"/>
  <c r="E115" i="9"/>
  <c r="E43" i="9"/>
  <c r="E13" i="9"/>
  <c r="E105" i="7"/>
  <c r="F105" i="7" s="1"/>
  <c r="E127" i="1"/>
  <c r="E129" i="9"/>
  <c r="E169" i="9"/>
  <c r="E153" i="1"/>
  <c r="G143" i="4"/>
  <c r="G125" i="4"/>
  <c r="G69" i="4"/>
  <c r="E43" i="1"/>
  <c r="E63" i="7"/>
  <c r="F63" i="7" s="1"/>
  <c r="E51" i="7"/>
  <c r="F51" i="7" s="1"/>
  <c r="E47" i="7"/>
  <c r="F47" i="7" s="1"/>
  <c r="E77" i="7"/>
  <c r="F77" i="7" s="1"/>
  <c r="E67" i="7"/>
  <c r="F67" i="7" s="1"/>
  <c r="E163" i="7"/>
  <c r="F163" i="7" s="1"/>
  <c r="E43" i="7"/>
  <c r="F43" i="7" s="1"/>
  <c r="E49" i="7"/>
  <c r="F49" i="7" s="1"/>
  <c r="E101" i="9"/>
  <c r="E95" i="1"/>
  <c r="E145" i="7"/>
  <c r="F145" i="7" s="1"/>
  <c r="E25" i="9"/>
  <c r="E23" i="9"/>
  <c r="E31" i="1"/>
  <c r="E95" i="9"/>
  <c r="E109" i="9"/>
  <c r="E53" i="7"/>
  <c r="F53" i="7" s="1"/>
  <c r="E119" i="7"/>
  <c r="F119" i="7" s="1"/>
  <c r="E151" i="9"/>
  <c r="E29" i="9"/>
  <c r="E155" i="1"/>
  <c r="E137" i="1"/>
  <c r="E143" i="7"/>
  <c r="F143" i="7" s="1"/>
  <c r="E147" i="9"/>
  <c r="E159" i="9"/>
  <c r="E65" i="1"/>
  <c r="E135" i="7"/>
  <c r="F135" i="7" s="1"/>
  <c r="E57" i="7"/>
  <c r="F57" i="7" s="1"/>
  <c r="E83" i="1"/>
  <c r="E71" i="1"/>
  <c r="E99" i="1"/>
  <c r="G133" i="4"/>
  <c r="E131" i="7"/>
  <c r="F131" i="7" s="1"/>
  <c r="E21" i="7"/>
  <c r="F21" i="7" s="1"/>
  <c r="E155" i="7"/>
  <c r="F155" i="7" s="1"/>
  <c r="E139" i="7"/>
  <c r="F139" i="7" s="1"/>
  <c r="E137" i="7"/>
  <c r="F137" i="7" s="1"/>
  <c r="E169" i="1"/>
  <c r="E61" i="1"/>
  <c r="E147" i="1"/>
  <c r="G137" i="4"/>
  <c r="G57" i="4"/>
  <c r="E27" i="1"/>
  <c r="E51" i="9"/>
  <c r="E163" i="1"/>
  <c r="E113" i="9"/>
  <c r="E127" i="7"/>
  <c r="F127" i="7" s="1"/>
  <c r="E121" i="7"/>
  <c r="F121" i="7" s="1"/>
  <c r="E87" i="1"/>
  <c r="E133" i="7"/>
  <c r="F133" i="7" s="1"/>
  <c r="G127" i="4"/>
  <c r="E41" i="1"/>
  <c r="E39" i="7"/>
  <c r="F39" i="7" s="1"/>
  <c r="E97" i="7"/>
  <c r="F97" i="7" s="1"/>
  <c r="E89" i="9"/>
  <c r="E65" i="9"/>
  <c r="E21" i="9"/>
  <c r="E79" i="9"/>
  <c r="E73" i="1"/>
  <c r="E75" i="7"/>
  <c r="F75" i="7" s="1"/>
  <c r="E27" i="7"/>
  <c r="F27" i="7" s="1"/>
  <c r="E35" i="7"/>
  <c r="F35" i="7" s="1"/>
  <c r="E63" i="9"/>
  <c r="E143" i="9"/>
  <c r="E41" i="9"/>
  <c r="E149" i="7"/>
  <c r="F149" i="7" s="1"/>
  <c r="E41" i="7"/>
  <c r="F41" i="7" s="1"/>
  <c r="E61" i="7"/>
  <c r="F61" i="7" s="1"/>
  <c r="E83" i="9"/>
  <c r="E125" i="9"/>
  <c r="E167" i="9"/>
  <c r="E15" i="9"/>
  <c r="E77" i="9"/>
  <c r="E107" i="7"/>
  <c r="F107" i="7" s="1"/>
  <c r="E85" i="7"/>
  <c r="F85" i="7" s="1"/>
  <c r="E11" i="9"/>
  <c r="E85" i="9"/>
  <c r="E109" i="1"/>
  <c r="E91" i="9"/>
  <c r="E107" i="1"/>
  <c r="E159" i="7"/>
  <c r="F159" i="7" s="1"/>
  <c r="G79" i="4"/>
  <c r="E63" i="1"/>
  <c r="E143" i="1"/>
  <c r="E131" i="1"/>
  <c r="E69" i="1"/>
  <c r="E75" i="1"/>
  <c r="E29" i="7"/>
  <c r="F29" i="7" s="1"/>
  <c r="G131" i="4"/>
  <c r="E19" i="1"/>
  <c r="E23" i="1"/>
  <c r="E157" i="7"/>
  <c r="F157" i="7" s="1"/>
  <c r="E129" i="1"/>
  <c r="E149" i="1"/>
  <c r="E151" i="7"/>
  <c r="F151" i="7" s="1"/>
  <c r="E165" i="1"/>
  <c r="E113" i="1"/>
  <c r="E37" i="9"/>
  <c r="M101" i="4"/>
  <c r="M114" i="4"/>
  <c r="N114" i="4" s="1"/>
  <c r="M127" i="4"/>
  <c r="M74" i="4"/>
  <c r="N74" i="4" s="1"/>
  <c r="M126" i="4"/>
  <c r="M97" i="4"/>
  <c r="N97" i="4" s="1"/>
  <c r="M123" i="4"/>
  <c r="N123" i="4" s="1"/>
  <c r="M69" i="4"/>
  <c r="N69" i="4" s="1"/>
  <c r="M111" i="4"/>
  <c r="N111" i="4" s="1"/>
  <c r="M81" i="4"/>
  <c r="N81" i="4" s="1"/>
  <c r="M60" i="4"/>
  <c r="N60" i="4" s="1"/>
  <c r="M99" i="4"/>
  <c r="N99" i="4" s="1"/>
  <c r="M100" i="4"/>
  <c r="M119" i="4"/>
  <c r="M67" i="4"/>
  <c r="N67" i="4" s="1"/>
  <c r="M64" i="4"/>
  <c r="N64" i="4" s="1"/>
  <c r="M68" i="4"/>
  <c r="N68" i="4" s="1"/>
  <c r="M110" i="4"/>
  <c r="N110" i="4" s="1"/>
  <c r="M112" i="4"/>
  <c r="N112" i="4" s="1"/>
  <c r="M116" i="4"/>
  <c r="N116" i="4" s="1"/>
  <c r="L120" i="4"/>
  <c r="N118" i="4"/>
  <c r="M75" i="4"/>
  <c r="N75" i="4" s="1"/>
  <c r="M98" i="4"/>
  <c r="N98" i="4" s="1"/>
  <c r="M96" i="4"/>
  <c r="N96" i="4" s="1"/>
  <c r="M71" i="4"/>
  <c r="N71" i="4" s="1"/>
  <c r="M79" i="4"/>
  <c r="N79" i="4" s="1"/>
  <c r="M82" i="4"/>
  <c r="M94" i="4"/>
  <c r="N94" i="4" s="1"/>
  <c r="M80" i="4"/>
  <c r="N80" i="4" s="1"/>
  <c r="M92" i="4"/>
  <c r="N92" i="4" s="1"/>
  <c r="M122" i="4"/>
  <c r="N122" i="4" s="1"/>
  <c r="B13" i="8"/>
  <c r="B10" i="7"/>
  <c r="K4" i="4"/>
  <c r="B10" i="9"/>
  <c r="B10" i="1"/>
  <c r="B7" i="15"/>
  <c r="B12" i="8"/>
  <c r="R11" i="5" l="1"/>
  <c r="AG11" i="5" s="1"/>
  <c r="R10" i="5"/>
  <c r="AG10" i="5" s="1"/>
  <c r="F47" i="12"/>
  <c r="B13" i="5"/>
  <c r="I11" i="5"/>
  <c r="J11" i="5" s="1"/>
  <c r="F11" i="5" s="1"/>
  <c r="F46" i="12"/>
  <c r="F48" i="12"/>
  <c r="F45" i="12"/>
  <c r="F44" i="12"/>
  <c r="P53" i="12"/>
  <c r="P55" i="12"/>
  <c r="B17" i="19"/>
  <c r="G17" i="19" s="1"/>
  <c r="F15" i="19"/>
  <c r="I5" i="4"/>
  <c r="I140" i="4"/>
  <c r="I145" i="4" s="1"/>
  <c r="N125" i="4"/>
  <c r="H11" i="9"/>
  <c r="I11" i="9" s="1"/>
  <c r="H10" i="9"/>
  <c r="I10" i="9" s="1"/>
  <c r="AJ6" i="5"/>
  <c r="AL6" i="5" s="1"/>
  <c r="F8" i="5"/>
  <c r="N127" i="4"/>
  <c r="N124" i="4"/>
  <c r="N126" i="4"/>
  <c r="I141" i="4"/>
  <c r="I144" i="4" s="1"/>
  <c r="F13" i="8"/>
  <c r="G13" i="8"/>
  <c r="F12" i="8"/>
  <c r="G12" i="8"/>
  <c r="I11" i="7"/>
  <c r="J11" i="7"/>
  <c r="I10" i="7"/>
  <c r="J10" i="7"/>
  <c r="U7" i="15"/>
  <c r="D7" i="15"/>
  <c r="E7" i="15"/>
  <c r="D8" i="18"/>
  <c r="F8" i="18" s="1"/>
  <c r="E8" i="18"/>
  <c r="G8" i="18" s="1"/>
  <c r="I13" i="5"/>
  <c r="J13" i="5" s="1"/>
  <c r="I10" i="5"/>
  <c r="J10" i="5" s="1"/>
  <c r="H10" i="1"/>
  <c r="I10" i="1" s="1"/>
  <c r="H11" i="1"/>
  <c r="I11" i="1" s="1"/>
  <c r="T7" i="15"/>
  <c r="I18" i="12"/>
  <c r="O18" i="12" s="1"/>
  <c r="P18" i="12" s="1"/>
  <c r="WV7" i="18"/>
  <c r="VX7" i="18"/>
  <c r="UZ7" i="18"/>
  <c r="UB7" i="18"/>
  <c r="TD7" i="18"/>
  <c r="SF7" i="18"/>
  <c r="RH7" i="18"/>
  <c r="QJ7" i="18"/>
  <c r="PL7" i="18"/>
  <c r="ON7" i="18"/>
  <c r="NP7" i="18"/>
  <c r="MR7" i="18"/>
  <c r="LT7" i="18"/>
  <c r="KV7" i="18"/>
  <c r="JX7" i="18"/>
  <c r="IZ7" i="18"/>
  <c r="IB7" i="18"/>
  <c r="HD7" i="18"/>
  <c r="GF7" i="18"/>
  <c r="FH7" i="18"/>
  <c r="EJ7" i="18"/>
  <c r="DL7" i="18"/>
  <c r="CN7" i="18"/>
  <c r="BP7" i="18"/>
  <c r="AR7" i="18"/>
  <c r="TV7" i="18"/>
  <c r="QD7" i="18"/>
  <c r="ML7" i="18"/>
  <c r="JR7" i="18"/>
  <c r="HV7" i="18"/>
  <c r="FZ7" i="18"/>
  <c r="ED7" i="18"/>
  <c r="XB7" i="18"/>
  <c r="WD7" i="18"/>
  <c r="VF7" i="18"/>
  <c r="UH7" i="18"/>
  <c r="TJ7" i="18"/>
  <c r="SL7" i="18"/>
  <c r="RN7" i="18"/>
  <c r="QP7" i="18"/>
  <c r="PR7" i="18"/>
  <c r="OT7" i="18"/>
  <c r="NV7" i="18"/>
  <c r="MX7" i="18"/>
  <c r="LZ7" i="18"/>
  <c r="LB7" i="18"/>
  <c r="KD7" i="18"/>
  <c r="JF7" i="18"/>
  <c r="IH7" i="18"/>
  <c r="HJ7" i="18"/>
  <c r="GL7" i="18"/>
  <c r="FN7" i="18"/>
  <c r="EP7" i="18"/>
  <c r="DR7" i="18"/>
  <c r="CT7" i="18"/>
  <c r="BV7" i="18"/>
  <c r="AX7" i="18"/>
  <c r="WP7" i="18"/>
  <c r="VR7" i="18"/>
  <c r="RB7" i="18"/>
  <c r="OH7" i="18"/>
  <c r="NJ7" i="18"/>
  <c r="LN7" i="18"/>
  <c r="IT7" i="18"/>
  <c r="DF7" i="18"/>
  <c r="CH7" i="18"/>
  <c r="BJ7" i="18"/>
  <c r="XH7" i="18"/>
  <c r="WJ7" i="18"/>
  <c r="VL7" i="18"/>
  <c r="UN7" i="18"/>
  <c r="TP7" i="18"/>
  <c r="SR7" i="18"/>
  <c r="RT7" i="18"/>
  <c r="QV7" i="18"/>
  <c r="PX7" i="18"/>
  <c r="OZ7" i="18"/>
  <c r="OB7" i="18"/>
  <c r="ND7" i="18"/>
  <c r="MF7" i="18"/>
  <c r="LH7" i="18"/>
  <c r="KJ7" i="18"/>
  <c r="JL7" i="18"/>
  <c r="IN7" i="18"/>
  <c r="HP7" i="18"/>
  <c r="GR7" i="18"/>
  <c r="FT7" i="18"/>
  <c r="EV7" i="18"/>
  <c r="DX7" i="18"/>
  <c r="CZ7" i="18"/>
  <c r="CB7" i="18"/>
  <c r="BD7" i="18"/>
  <c r="SX7" i="18"/>
  <c r="GX7" i="18"/>
  <c r="FB7" i="18"/>
  <c r="AL7" i="18"/>
  <c r="UT7" i="18"/>
  <c r="RZ7" i="18"/>
  <c r="PF7" i="18"/>
  <c r="KP7" i="18"/>
  <c r="M72" i="18"/>
  <c r="M83" i="18"/>
  <c r="M46" i="18"/>
  <c r="M80" i="18"/>
  <c r="M67" i="18"/>
  <c r="M51" i="18"/>
  <c r="M68" i="18"/>
  <c r="M59" i="18"/>
  <c r="M45" i="18"/>
  <c r="M55" i="18"/>
  <c r="M64" i="18"/>
  <c r="M57" i="18"/>
  <c r="M43" i="18"/>
  <c r="M34" i="18"/>
  <c r="M12" i="18"/>
  <c r="M56" i="18"/>
  <c r="M32" i="18"/>
  <c r="M26" i="18"/>
  <c r="M52" i="18"/>
  <c r="M38" i="18"/>
  <c r="M31" i="18"/>
  <c r="M69" i="18"/>
  <c r="M11" i="18"/>
  <c r="M70" i="18"/>
  <c r="M81" i="18"/>
  <c r="M53" i="18"/>
  <c r="M74" i="18"/>
  <c r="M36" i="18"/>
  <c r="M48" i="18"/>
  <c r="M42" i="18"/>
  <c r="M10" i="18"/>
  <c r="M13" i="18"/>
  <c r="M18" i="18"/>
  <c r="M58" i="18"/>
  <c r="M9" i="18"/>
  <c r="M47" i="18"/>
  <c r="M14" i="18"/>
  <c r="M7" i="18"/>
  <c r="M30" i="18"/>
  <c r="M41" i="18"/>
  <c r="M19" i="18"/>
  <c r="M78" i="18"/>
  <c r="M15" i="18"/>
  <c r="M24" i="18"/>
  <c r="M66" i="18"/>
  <c r="M54" i="18"/>
  <c r="M50" i="18"/>
  <c r="M33" i="18"/>
  <c r="M60" i="18"/>
  <c r="M44" i="18"/>
  <c r="M75" i="18"/>
  <c r="M63" i="18"/>
  <c r="M17" i="18"/>
  <c r="M20" i="18"/>
  <c r="M65" i="18"/>
  <c r="M21" i="18"/>
  <c r="M73" i="18"/>
  <c r="M49" i="18"/>
  <c r="M23" i="18"/>
  <c r="M62" i="18"/>
  <c r="M71" i="18"/>
  <c r="M27" i="18"/>
  <c r="M35" i="18"/>
  <c r="M76" i="18"/>
  <c r="M77" i="18"/>
  <c r="M79" i="18"/>
  <c r="M84" i="18"/>
  <c r="M40" i="18"/>
  <c r="M39" i="18"/>
  <c r="M29" i="18"/>
  <c r="M8" i="18"/>
  <c r="M37" i="18"/>
  <c r="M61" i="18"/>
  <c r="M28" i="18"/>
  <c r="M25" i="18"/>
  <c r="M16" i="18"/>
  <c r="M22" i="18"/>
  <c r="M86" i="18"/>
  <c r="M82" i="18"/>
  <c r="M85" i="18"/>
  <c r="I8" i="12"/>
  <c r="B13" i="7"/>
  <c r="B13" i="1"/>
  <c r="B13" i="9"/>
  <c r="AD10" i="5"/>
  <c r="P5" i="12"/>
  <c r="B12" i="5"/>
  <c r="B9" i="18"/>
  <c r="K9" i="4"/>
  <c r="K120" i="4"/>
  <c r="B70" i="14"/>
  <c r="B71" i="14" s="1"/>
  <c r="B72" i="14" s="1"/>
  <c r="B73" i="14" s="1"/>
  <c r="L85" i="4"/>
  <c r="N83" i="4"/>
  <c r="L121" i="4"/>
  <c r="N119" i="4"/>
  <c r="L103" i="4"/>
  <c r="N101" i="4"/>
  <c r="L84" i="4"/>
  <c r="N82" i="4"/>
  <c r="L102" i="4"/>
  <c r="N100" i="4"/>
  <c r="B12" i="1"/>
  <c r="B15" i="8"/>
  <c r="B14" i="8"/>
  <c r="B12" i="9"/>
  <c r="H11" i="13"/>
  <c r="I6" i="4"/>
  <c r="M4" i="4"/>
  <c r="N4" i="4" s="1"/>
  <c r="M5" i="4"/>
  <c r="N5" i="4" s="1"/>
  <c r="B12" i="7"/>
  <c r="B8" i="15"/>
  <c r="B15" i="5" l="1"/>
  <c r="R13" i="5"/>
  <c r="AG13" i="5" s="1"/>
  <c r="B19" i="19"/>
  <c r="G19" i="19" s="1"/>
  <c r="F17" i="19"/>
  <c r="R4" i="15"/>
  <c r="K11" i="9"/>
  <c r="K10" i="9"/>
  <c r="L11" i="9"/>
  <c r="L10" i="9"/>
  <c r="J11" i="9"/>
  <c r="J10" i="9"/>
  <c r="H12" i="9"/>
  <c r="K12" i="9" s="1"/>
  <c r="H13" i="9"/>
  <c r="L13" i="9" s="1"/>
  <c r="AJ8" i="5"/>
  <c r="AL8" i="5" s="1"/>
  <c r="F13" i="5"/>
  <c r="F14" i="8"/>
  <c r="G14" i="8"/>
  <c r="F15" i="8"/>
  <c r="G15" i="8"/>
  <c r="J12" i="7"/>
  <c r="I12" i="7"/>
  <c r="I13" i="7"/>
  <c r="J13" i="7"/>
  <c r="U8" i="15"/>
  <c r="E8" i="15"/>
  <c r="D8" i="15"/>
  <c r="D9" i="18"/>
  <c r="F9" i="18" s="1"/>
  <c r="E9" i="18"/>
  <c r="G9" i="18" s="1"/>
  <c r="I15" i="5"/>
  <c r="J15" i="5" s="1"/>
  <c r="I12" i="5"/>
  <c r="J12" i="5" s="1"/>
  <c r="H12" i="1"/>
  <c r="I12" i="1" s="1"/>
  <c r="H13" i="1"/>
  <c r="I13" i="1" s="1"/>
  <c r="S6" i="15"/>
  <c r="T8" i="15"/>
  <c r="I6" i="15"/>
  <c r="WV8" i="18"/>
  <c r="VX8" i="18"/>
  <c r="UZ8" i="18"/>
  <c r="UB8" i="18"/>
  <c r="TD8" i="18"/>
  <c r="SF8" i="18"/>
  <c r="RH8" i="18"/>
  <c r="QJ8" i="18"/>
  <c r="PL8" i="18"/>
  <c r="ON8" i="18"/>
  <c r="NP8" i="18"/>
  <c r="MR8" i="18"/>
  <c r="LT8" i="18"/>
  <c r="KV8" i="18"/>
  <c r="JX8" i="18"/>
  <c r="IZ8" i="18"/>
  <c r="IB8" i="18"/>
  <c r="HD8" i="18"/>
  <c r="GF8" i="18"/>
  <c r="FH8" i="18"/>
  <c r="EJ8" i="18"/>
  <c r="DL8" i="18"/>
  <c r="CN8" i="18"/>
  <c r="BP8" i="18"/>
  <c r="AR8" i="18"/>
  <c r="TV8" i="18"/>
  <c r="PF8" i="18"/>
  <c r="LN8" i="18"/>
  <c r="JR8" i="18"/>
  <c r="FZ8" i="18"/>
  <c r="BJ8" i="18"/>
  <c r="XB8" i="18"/>
  <c r="WD8" i="18"/>
  <c r="VF8" i="18"/>
  <c r="UH8" i="18"/>
  <c r="TJ8" i="18"/>
  <c r="SL8" i="18"/>
  <c r="RN8" i="18"/>
  <c r="QP8" i="18"/>
  <c r="PR8" i="18"/>
  <c r="OT8" i="18"/>
  <c r="NV8" i="18"/>
  <c r="MX8" i="18"/>
  <c r="LZ8" i="18"/>
  <c r="LB8" i="18"/>
  <c r="KD8" i="18"/>
  <c r="JF8" i="18"/>
  <c r="IH8" i="18"/>
  <c r="HJ8" i="18"/>
  <c r="GL8" i="18"/>
  <c r="FN8" i="18"/>
  <c r="EP8" i="18"/>
  <c r="DR8" i="18"/>
  <c r="CT8" i="18"/>
  <c r="BV8" i="18"/>
  <c r="AX8" i="18"/>
  <c r="VR8" i="18"/>
  <c r="RZ8" i="18"/>
  <c r="RB8" i="18"/>
  <c r="QD8" i="18"/>
  <c r="NJ8" i="18"/>
  <c r="IT8" i="18"/>
  <c r="HV8" i="18"/>
  <c r="AL8" i="18"/>
  <c r="XH8" i="18"/>
  <c r="WJ8" i="18"/>
  <c r="VL8" i="18"/>
  <c r="UN8" i="18"/>
  <c r="TP8" i="18"/>
  <c r="SR8" i="18"/>
  <c r="RT8" i="18"/>
  <c r="QV8" i="18"/>
  <c r="PX8" i="18"/>
  <c r="OZ8" i="18"/>
  <c r="OB8" i="18"/>
  <c r="ND8" i="18"/>
  <c r="MF8" i="18"/>
  <c r="LH8" i="18"/>
  <c r="KJ8" i="18"/>
  <c r="JL8" i="18"/>
  <c r="IN8" i="18"/>
  <c r="HP8" i="18"/>
  <c r="GR8" i="18"/>
  <c r="FT8" i="18"/>
  <c r="EV8" i="18"/>
  <c r="DX8" i="18"/>
  <c r="CZ8" i="18"/>
  <c r="CB8" i="18"/>
  <c r="BD8" i="18"/>
  <c r="UT8" i="18"/>
  <c r="SX8" i="18"/>
  <c r="ML8" i="18"/>
  <c r="GX8" i="18"/>
  <c r="ED8" i="18"/>
  <c r="DF8" i="18"/>
  <c r="WP8" i="18"/>
  <c r="OH8" i="18"/>
  <c r="KP8" i="18"/>
  <c r="FB8" i="18"/>
  <c r="CH8" i="18"/>
  <c r="WO8" i="18"/>
  <c r="VQ8" i="18"/>
  <c r="US8" i="18"/>
  <c r="TU8" i="18"/>
  <c r="SW8" i="18"/>
  <c r="RY8" i="18"/>
  <c r="RA8" i="18"/>
  <c r="QC8" i="18"/>
  <c r="PE8" i="18"/>
  <c r="OG8" i="18"/>
  <c r="NI8" i="18"/>
  <c r="MK8" i="18"/>
  <c r="LM8" i="18"/>
  <c r="KO8" i="18"/>
  <c r="JQ8" i="18"/>
  <c r="IS8" i="18"/>
  <c r="HU8" i="18"/>
  <c r="GW8" i="18"/>
  <c r="FY8" i="18"/>
  <c r="FA8" i="18"/>
  <c r="EC8" i="18"/>
  <c r="DE8" i="18"/>
  <c r="CG8" i="18"/>
  <c r="BI8" i="18"/>
  <c r="AK8" i="18"/>
  <c r="WI8" i="18"/>
  <c r="SQ8" i="18"/>
  <c r="OA8" i="18"/>
  <c r="IM8" i="18"/>
  <c r="EU8" i="18"/>
  <c r="CY8" i="18"/>
  <c r="WU8" i="18"/>
  <c r="VW8" i="18"/>
  <c r="UY8" i="18"/>
  <c r="UA8" i="18"/>
  <c r="TC8" i="18"/>
  <c r="SE8" i="18"/>
  <c r="RG8" i="18"/>
  <c r="QI8" i="18"/>
  <c r="PK8" i="18"/>
  <c r="OM8" i="18"/>
  <c r="NO8" i="18"/>
  <c r="MQ8" i="18"/>
  <c r="LS8" i="18"/>
  <c r="KU8" i="18"/>
  <c r="JW8" i="18"/>
  <c r="IY8" i="18"/>
  <c r="IA8" i="18"/>
  <c r="HC8" i="18"/>
  <c r="GE8" i="18"/>
  <c r="FG8" i="18"/>
  <c r="EI8" i="18"/>
  <c r="DK8" i="18"/>
  <c r="CM8" i="18"/>
  <c r="BO8" i="18"/>
  <c r="AQ8" i="18"/>
  <c r="XG8" i="18"/>
  <c r="UM8" i="18"/>
  <c r="OY8" i="18"/>
  <c r="ME8" i="18"/>
  <c r="LG8" i="18"/>
  <c r="KI8" i="18"/>
  <c r="GQ8" i="18"/>
  <c r="FS8" i="18"/>
  <c r="XA8" i="18"/>
  <c r="WC8" i="18"/>
  <c r="VE8" i="18"/>
  <c r="UG8" i="18"/>
  <c r="TI8" i="18"/>
  <c r="SK8" i="18"/>
  <c r="RM8" i="18"/>
  <c r="QO8" i="18"/>
  <c r="PQ8" i="18"/>
  <c r="OS8" i="18"/>
  <c r="NU8" i="18"/>
  <c r="MW8" i="18"/>
  <c r="LY8" i="18"/>
  <c r="LA8" i="18"/>
  <c r="KC8" i="18"/>
  <c r="JE8" i="18"/>
  <c r="IG8" i="18"/>
  <c r="HI8" i="18"/>
  <c r="GK8" i="18"/>
  <c r="FM8" i="18"/>
  <c r="EO8" i="18"/>
  <c r="DQ8" i="18"/>
  <c r="CS8" i="18"/>
  <c r="BU8" i="18"/>
  <c r="AW8" i="18"/>
  <c r="RS8" i="18"/>
  <c r="QU8" i="18"/>
  <c r="PW8" i="18"/>
  <c r="JK8" i="18"/>
  <c r="CA8" i="18"/>
  <c r="VK8" i="18"/>
  <c r="TO8" i="18"/>
  <c r="NC8" i="18"/>
  <c r="HO8" i="18"/>
  <c r="DW8" i="18"/>
  <c r="BC8" i="18"/>
  <c r="XF7" i="18"/>
  <c r="TN7" i="18"/>
  <c r="PV7" i="18"/>
  <c r="KZ7" i="18"/>
  <c r="UR7" i="18"/>
  <c r="WT7" i="18"/>
  <c r="TB7" i="18"/>
  <c r="PJ7" i="18"/>
  <c r="LR7" i="18"/>
  <c r="QN7" i="18"/>
  <c r="WH7" i="18"/>
  <c r="LF7" i="18"/>
  <c r="WZ7" i="18"/>
  <c r="TT7" i="18"/>
  <c r="QB7" i="18"/>
  <c r="VV7" i="18"/>
  <c r="SD7" i="18"/>
  <c r="WB7" i="18"/>
  <c r="LX7" i="18"/>
  <c r="VJ7" i="18"/>
  <c r="RR7" i="18"/>
  <c r="NZ7" i="18"/>
  <c r="RL7" i="18"/>
  <c r="WN7" i="18"/>
  <c r="PD7" i="18"/>
  <c r="TH7" i="18"/>
  <c r="UX7" i="18"/>
  <c r="VD7" i="18"/>
  <c r="UL7" i="18"/>
  <c r="VP7" i="18"/>
  <c r="RX7" i="18"/>
  <c r="SJ7" i="18"/>
  <c r="TZ7" i="18"/>
  <c r="UF7" i="18"/>
  <c r="XF8" i="18"/>
  <c r="TN8" i="18"/>
  <c r="PV8" i="18"/>
  <c r="TT8" i="18"/>
  <c r="VV8" i="18"/>
  <c r="SD8" i="18"/>
  <c r="KT8" i="18"/>
  <c r="WZ8" i="18"/>
  <c r="NT8" i="18"/>
  <c r="PP8" i="18"/>
  <c r="WH8" i="18"/>
  <c r="OX8" i="18"/>
  <c r="VD8" i="18"/>
  <c r="WN8" i="18"/>
  <c r="SV8" i="18"/>
  <c r="PD8" i="18"/>
  <c r="LL8" i="18"/>
  <c r="UX8" i="18"/>
  <c r="RF8" i="18"/>
  <c r="WB8" i="18"/>
  <c r="KZ8" i="18"/>
  <c r="VJ8" i="18"/>
  <c r="RR8" i="18"/>
  <c r="VP8" i="18"/>
  <c r="RX8" i="18"/>
  <c r="TH8" i="18"/>
  <c r="TZ8" i="18"/>
  <c r="QH8" i="18"/>
  <c r="UF8" i="18"/>
  <c r="UL8" i="18"/>
  <c r="UR8" i="18"/>
  <c r="WT8" i="18"/>
  <c r="TB8" i="18"/>
  <c r="LR8" i="18"/>
  <c r="RL8" i="18"/>
  <c r="XF9" i="18"/>
  <c r="WH9" i="18"/>
  <c r="VJ9" i="18"/>
  <c r="UL9" i="18"/>
  <c r="TN9" i="18"/>
  <c r="SP9" i="18"/>
  <c r="RR9" i="18"/>
  <c r="OX9" i="18"/>
  <c r="LF9" i="18"/>
  <c r="WB9" i="18"/>
  <c r="VD9" i="18"/>
  <c r="OR9" i="18"/>
  <c r="WN9" i="18"/>
  <c r="VP9" i="18"/>
  <c r="UR9" i="18"/>
  <c r="TT9" i="18"/>
  <c r="SV9" i="18"/>
  <c r="RX9" i="18"/>
  <c r="QZ9" i="18"/>
  <c r="QB9" i="18"/>
  <c r="LL9" i="18"/>
  <c r="KN9" i="18"/>
  <c r="WT9" i="18"/>
  <c r="VV9" i="18"/>
  <c r="UX9" i="18"/>
  <c r="TZ9" i="18"/>
  <c r="TB9" i="18"/>
  <c r="RF9" i="18"/>
  <c r="PJ9" i="18"/>
  <c r="NN9" i="18"/>
  <c r="KT9" i="18"/>
  <c r="WZ9" i="18"/>
  <c r="UF9" i="18"/>
  <c r="TH9" i="18"/>
  <c r="RL9" i="18"/>
  <c r="PP9" i="18"/>
  <c r="O8" i="12"/>
  <c r="P8" i="12" s="1"/>
  <c r="E9" i="12"/>
  <c r="E10" i="12"/>
  <c r="L105" i="4"/>
  <c r="L87" i="4"/>
  <c r="B15" i="9"/>
  <c r="B15" i="7"/>
  <c r="B15" i="1"/>
  <c r="AD12" i="5"/>
  <c r="AE12" i="5" s="1"/>
  <c r="F4" i="15"/>
  <c r="B17" i="5"/>
  <c r="B14" i="5"/>
  <c r="R12" i="5"/>
  <c r="AG12" i="5" s="1"/>
  <c r="M9" i="4"/>
  <c r="N9" i="4" s="1"/>
  <c r="B10" i="18"/>
  <c r="N10" i="1"/>
  <c r="BP11" i="1" s="1"/>
  <c r="X11" i="7" s="1"/>
  <c r="K12" i="5"/>
  <c r="AE11" i="5"/>
  <c r="K11" i="5"/>
  <c r="AE7" i="5"/>
  <c r="I10" i="4"/>
  <c r="N7" i="18"/>
  <c r="AE13" i="5"/>
  <c r="K9" i="5"/>
  <c r="AE10" i="5"/>
  <c r="L86" i="4"/>
  <c r="K15" i="5"/>
  <c r="AE8" i="5"/>
  <c r="M10" i="4"/>
  <c r="N10" i="4" s="1"/>
  <c r="L104" i="4"/>
  <c r="AE6" i="5"/>
  <c r="N8" i="18"/>
  <c r="K6" i="5"/>
  <c r="K13" i="5"/>
  <c r="AE9" i="5"/>
  <c r="K7" i="5"/>
  <c r="K10" i="5"/>
  <c r="AE15" i="5"/>
  <c r="K8" i="5"/>
  <c r="N9" i="18"/>
  <c r="I43" i="4"/>
  <c r="AP7" i="18" s="1"/>
  <c r="BH8" i="1"/>
  <c r="M120" i="4"/>
  <c r="N120" i="4" s="1"/>
  <c r="K102" i="4"/>
  <c r="K121" i="4"/>
  <c r="K84" i="4"/>
  <c r="K85" i="4"/>
  <c r="K103" i="4"/>
  <c r="B74" i="14"/>
  <c r="B14" i="7"/>
  <c r="B14" i="9"/>
  <c r="B9" i="15"/>
  <c r="B16" i="8"/>
  <c r="I6" i="18"/>
  <c r="K8" i="1"/>
  <c r="K9" i="1"/>
  <c r="J4" i="18"/>
  <c r="L4" i="1"/>
  <c r="H6" i="8"/>
  <c r="L5" i="1"/>
  <c r="K4" i="1"/>
  <c r="I4" i="18"/>
  <c r="K5" i="1"/>
  <c r="J4" i="1"/>
  <c r="J5" i="1"/>
  <c r="H4" i="18"/>
  <c r="B14" i="1"/>
  <c r="N12" i="1"/>
  <c r="B17" i="8"/>
  <c r="R15" i="5" l="1"/>
  <c r="AG15" i="5" s="1"/>
  <c r="R14" i="5"/>
  <c r="AG14" i="5" s="1"/>
  <c r="Q6" i="5"/>
  <c r="U6" i="5" s="1"/>
  <c r="Q7" i="5"/>
  <c r="U7" i="5" s="1"/>
  <c r="LR9" i="18"/>
  <c r="LX8" i="18"/>
  <c r="MD7" i="18"/>
  <c r="Q9" i="5"/>
  <c r="U9" i="5" s="1"/>
  <c r="Q13" i="5"/>
  <c r="U13" i="5" s="1"/>
  <c r="Q11" i="5"/>
  <c r="U11" i="5" s="1"/>
  <c r="Q8" i="5"/>
  <c r="U8" i="5" s="1"/>
  <c r="B21" i="19"/>
  <c r="G21" i="19" s="1"/>
  <c r="F19" i="19"/>
  <c r="KB9" i="18"/>
  <c r="KH8" i="18"/>
  <c r="KN7" i="18"/>
  <c r="I13" i="9"/>
  <c r="I12" i="9"/>
  <c r="QN9" i="18"/>
  <c r="QT8" i="18"/>
  <c r="QZ7" i="18"/>
  <c r="NT9" i="18"/>
  <c r="NZ8" i="18"/>
  <c r="OF7" i="18"/>
  <c r="KH9" i="18"/>
  <c r="KN8" i="18"/>
  <c r="KT7" i="18"/>
  <c r="IF7" i="18"/>
  <c r="HT9" i="18"/>
  <c r="HZ8" i="18"/>
  <c r="JD9" i="18"/>
  <c r="JJ8" i="18"/>
  <c r="JP7" i="18"/>
  <c r="SP8" i="18"/>
  <c r="SV7" i="18"/>
  <c r="SJ9" i="18"/>
  <c r="SD9" i="18"/>
  <c r="SP7" i="18"/>
  <c r="SJ8" i="18"/>
  <c r="LX9" i="18"/>
  <c r="MD8" i="18"/>
  <c r="MJ7" i="18"/>
  <c r="M11" i="9"/>
  <c r="L12" i="9"/>
  <c r="M10" i="9"/>
  <c r="K13" i="9"/>
  <c r="J13" i="9"/>
  <c r="J12" i="9"/>
  <c r="H15" i="9"/>
  <c r="K15" i="9" s="1"/>
  <c r="H14" i="9"/>
  <c r="K14" i="9" s="1"/>
  <c r="AJ10" i="5"/>
  <c r="AL10" i="5" s="1"/>
  <c r="F10" i="5"/>
  <c r="QH7" i="18"/>
  <c r="PV9" i="18"/>
  <c r="QB8" i="18"/>
  <c r="F12" i="5"/>
  <c r="F15" i="5"/>
  <c r="OR7" i="18"/>
  <c r="OF9" i="18"/>
  <c r="OL8" i="18"/>
  <c r="OR8" i="18"/>
  <c r="OL9" i="18"/>
  <c r="OX7" i="18"/>
  <c r="JV9" i="18"/>
  <c r="KB8" i="18"/>
  <c r="KH7" i="18"/>
  <c r="QN8" i="18"/>
  <c r="QT7" i="18"/>
  <c r="QH9" i="18"/>
  <c r="F17" i="8"/>
  <c r="G17" i="8"/>
  <c r="F16" i="8"/>
  <c r="G16" i="8"/>
  <c r="J15" i="7"/>
  <c r="I15" i="7"/>
  <c r="I14" i="7"/>
  <c r="J14" i="7"/>
  <c r="U9" i="15"/>
  <c r="Y9" i="18" s="1"/>
  <c r="D9" i="15"/>
  <c r="E9" i="15"/>
  <c r="D10" i="18"/>
  <c r="F10" i="18" s="1"/>
  <c r="E10" i="18"/>
  <c r="G10" i="18" s="1"/>
  <c r="I14" i="5"/>
  <c r="J14" i="5" s="1"/>
  <c r="I17" i="5"/>
  <c r="J17" i="5" s="1"/>
  <c r="H14" i="1"/>
  <c r="I14" i="1" s="1"/>
  <c r="H15" i="1"/>
  <c r="I15" i="1" s="1"/>
  <c r="IL9" i="18"/>
  <c r="IR8" i="18"/>
  <c r="IX7" i="18"/>
  <c r="QT9" i="18"/>
  <c r="RF7" i="18"/>
  <c r="QZ8" i="18"/>
  <c r="HZ9" i="18"/>
  <c r="IL7" i="18"/>
  <c r="IF8" i="18"/>
  <c r="NB9" i="18"/>
  <c r="NH8" i="18"/>
  <c r="NN7" i="18"/>
  <c r="MV8" i="18"/>
  <c r="MP9" i="18"/>
  <c r="NB7" i="18"/>
  <c r="KZ9" i="18"/>
  <c r="LF8" i="18"/>
  <c r="LL7" i="18"/>
  <c r="JD8" i="18"/>
  <c r="JJ7" i="18"/>
  <c r="IX9" i="18"/>
  <c r="IX8" i="18"/>
  <c r="JD7" i="18"/>
  <c r="IR9" i="18"/>
  <c r="EH8" i="18"/>
  <c r="EB9" i="18"/>
  <c r="EN7" i="18"/>
  <c r="NT7" i="18"/>
  <c r="NH9" i="18"/>
  <c r="NN8" i="18"/>
  <c r="GP7" i="18"/>
  <c r="GD9" i="18"/>
  <c r="GJ8" i="18"/>
  <c r="GV9" i="18"/>
  <c r="HH7" i="18"/>
  <c r="HB8" i="18"/>
  <c r="ET8" i="18"/>
  <c r="EN9" i="18"/>
  <c r="EZ7" i="18"/>
  <c r="HN9" i="18"/>
  <c r="HZ7" i="18"/>
  <c r="HT8" i="18"/>
  <c r="PP7" i="18"/>
  <c r="PJ8" i="18"/>
  <c r="PD9" i="18"/>
  <c r="NB8" i="18"/>
  <c r="MV9" i="18"/>
  <c r="NH7" i="18"/>
  <c r="FX8" i="18"/>
  <c r="GD7" i="18"/>
  <c r="FR9" i="18"/>
  <c r="JP9" i="18"/>
  <c r="KB7" i="18"/>
  <c r="JV8" i="18"/>
  <c r="JJ9" i="18"/>
  <c r="JP8" i="18"/>
  <c r="JV7" i="18"/>
  <c r="EH9" i="18"/>
  <c r="ET7" i="18"/>
  <c r="EN8" i="18"/>
  <c r="IF9" i="18"/>
  <c r="IL8" i="18"/>
  <c r="IR7" i="18"/>
  <c r="OL7" i="18"/>
  <c r="NZ9" i="18"/>
  <c r="OF8" i="18"/>
  <c r="GV8" i="18"/>
  <c r="GP9" i="18"/>
  <c r="HB7" i="18"/>
  <c r="CF9" i="18"/>
  <c r="CR7" i="18"/>
  <c r="CL8" i="18"/>
  <c r="HH9" i="18"/>
  <c r="HN8" i="18"/>
  <c r="HT7" i="18"/>
  <c r="DP9" i="18"/>
  <c r="EB7" i="18"/>
  <c r="DV8" i="18"/>
  <c r="CR8" i="18"/>
  <c r="CL9" i="18"/>
  <c r="CX7" i="18"/>
  <c r="ET9" i="18"/>
  <c r="EZ8" i="18"/>
  <c r="FF7" i="18"/>
  <c r="GV7" i="18"/>
  <c r="GP8" i="18"/>
  <c r="GJ9" i="18"/>
  <c r="DJ9" i="18"/>
  <c r="DV7" i="18"/>
  <c r="DP8" i="18"/>
  <c r="EB8" i="18"/>
  <c r="DV9" i="18"/>
  <c r="EH7" i="18"/>
  <c r="GD8" i="18"/>
  <c r="GJ7" i="18"/>
  <c r="FX9" i="18"/>
  <c r="BZ8" i="18"/>
  <c r="CF7" i="18"/>
  <c r="BT9" i="18"/>
  <c r="CF8" i="18"/>
  <c r="CL7" i="18"/>
  <c r="BZ9" i="18"/>
  <c r="DD9" i="18"/>
  <c r="DP7" i="18"/>
  <c r="DJ8" i="18"/>
  <c r="FR8" i="18"/>
  <c r="FX7" i="18"/>
  <c r="FL9" i="18"/>
  <c r="BH7" i="18"/>
  <c r="AV9" i="18"/>
  <c r="BB8" i="18"/>
  <c r="BH9" i="18"/>
  <c r="BN8" i="18"/>
  <c r="BT7" i="18"/>
  <c r="DD7" i="18"/>
  <c r="CX8" i="18"/>
  <c r="CR9" i="18"/>
  <c r="EZ9" i="18"/>
  <c r="FF8" i="18"/>
  <c r="FL7" i="18"/>
  <c r="AJ7" i="18"/>
  <c r="T9" i="15"/>
  <c r="I7" i="15"/>
  <c r="HB9" i="18"/>
  <c r="HN7" i="18"/>
  <c r="HH8" i="18"/>
  <c r="AI10" i="5"/>
  <c r="MD9" i="18"/>
  <c r="MJ8" i="18"/>
  <c r="MP7" i="18"/>
  <c r="MJ9" i="18"/>
  <c r="MP8" i="18"/>
  <c r="MV7" i="18"/>
  <c r="BB9" i="18"/>
  <c r="BH8" i="18"/>
  <c r="BN7" i="18"/>
  <c r="BZ7" i="18"/>
  <c r="BN9" i="18"/>
  <c r="BT8" i="18"/>
  <c r="DJ7" i="18"/>
  <c r="DD8" i="18"/>
  <c r="CX9" i="18"/>
  <c r="FL8" i="18"/>
  <c r="FF9" i="18"/>
  <c r="FR7" i="18"/>
  <c r="AP8" i="18"/>
  <c r="AJ9" i="18"/>
  <c r="AV7" i="18"/>
  <c r="AJ8" i="18"/>
  <c r="WO9" i="18"/>
  <c r="VQ9" i="18"/>
  <c r="US9" i="18"/>
  <c r="TU9" i="18"/>
  <c r="SW9" i="18"/>
  <c r="RY9" i="18"/>
  <c r="RA9" i="18"/>
  <c r="QC9" i="18"/>
  <c r="PE9" i="18"/>
  <c r="OG9" i="18"/>
  <c r="NI9" i="18"/>
  <c r="MK9" i="18"/>
  <c r="LM9" i="18"/>
  <c r="KO9" i="18"/>
  <c r="JQ9" i="18"/>
  <c r="IS9" i="18"/>
  <c r="HU9" i="18"/>
  <c r="GW9" i="18"/>
  <c r="FY9" i="18"/>
  <c r="FA9" i="18"/>
  <c r="EC9" i="18"/>
  <c r="DE9" i="18"/>
  <c r="CG9" i="18"/>
  <c r="BI9" i="18"/>
  <c r="AK9" i="18"/>
  <c r="SQ9" i="18"/>
  <c r="RS9" i="18"/>
  <c r="ME9" i="18"/>
  <c r="JK9" i="18"/>
  <c r="IM9" i="18"/>
  <c r="EU9" i="18"/>
  <c r="CA9" i="18"/>
  <c r="WU9" i="18"/>
  <c r="VW9" i="18"/>
  <c r="UY9" i="18"/>
  <c r="UA9" i="18"/>
  <c r="TC9" i="18"/>
  <c r="SE9" i="18"/>
  <c r="RG9" i="18"/>
  <c r="QI9" i="18"/>
  <c r="PK9" i="18"/>
  <c r="OM9" i="18"/>
  <c r="NO9" i="18"/>
  <c r="MQ9" i="18"/>
  <c r="LS9" i="18"/>
  <c r="KU9" i="18"/>
  <c r="JW9" i="18"/>
  <c r="IY9" i="18"/>
  <c r="IA9" i="18"/>
  <c r="HC9" i="18"/>
  <c r="GE9" i="18"/>
  <c r="FG9" i="18"/>
  <c r="EI9" i="18"/>
  <c r="DK9" i="18"/>
  <c r="CM9" i="18"/>
  <c r="BO9" i="18"/>
  <c r="AQ9" i="18"/>
  <c r="XG9" i="18"/>
  <c r="UM9" i="18"/>
  <c r="TO9" i="18"/>
  <c r="OA9" i="18"/>
  <c r="KI9" i="18"/>
  <c r="GQ9" i="18"/>
  <c r="CY9" i="18"/>
  <c r="XA9" i="18"/>
  <c r="WC9" i="18"/>
  <c r="VE9" i="18"/>
  <c r="UG9" i="18"/>
  <c r="TI9" i="18"/>
  <c r="SK9" i="18"/>
  <c r="RM9" i="18"/>
  <c r="QO9" i="18"/>
  <c r="PQ9" i="18"/>
  <c r="OS9" i="18"/>
  <c r="NU9" i="18"/>
  <c r="MW9" i="18"/>
  <c r="LY9" i="18"/>
  <c r="LA9" i="18"/>
  <c r="KC9" i="18"/>
  <c r="JE9" i="18"/>
  <c r="IG9" i="18"/>
  <c r="HI9" i="18"/>
  <c r="GK9" i="18"/>
  <c r="FM9" i="18"/>
  <c r="EO9" i="18"/>
  <c r="DQ9" i="18"/>
  <c r="CS9" i="18"/>
  <c r="BU9" i="18"/>
  <c r="AW9" i="18"/>
  <c r="WI9" i="18"/>
  <c r="VK9" i="18"/>
  <c r="QU9" i="18"/>
  <c r="PW9" i="18"/>
  <c r="OY9" i="18"/>
  <c r="HO9" i="18"/>
  <c r="DW9" i="18"/>
  <c r="BC9" i="18"/>
  <c r="NC9" i="18"/>
  <c r="LG9" i="18"/>
  <c r="FS9" i="18"/>
  <c r="AP9" i="18"/>
  <c r="BB7" i="18"/>
  <c r="AV8" i="18"/>
  <c r="XF10" i="18"/>
  <c r="WH10" i="18"/>
  <c r="VJ10" i="18"/>
  <c r="UL10" i="18"/>
  <c r="TN10" i="18"/>
  <c r="SP10" i="18"/>
  <c r="RR10" i="18"/>
  <c r="QT10" i="18"/>
  <c r="PV10" i="18"/>
  <c r="OX10" i="18"/>
  <c r="NZ10" i="18"/>
  <c r="NB10" i="18"/>
  <c r="MD10" i="18"/>
  <c r="LF10" i="18"/>
  <c r="KH10" i="18"/>
  <c r="JJ10" i="18"/>
  <c r="IL10" i="18"/>
  <c r="HN10" i="18"/>
  <c r="GP10" i="18"/>
  <c r="FR10" i="18"/>
  <c r="ET10" i="18"/>
  <c r="DV10" i="18"/>
  <c r="CX10" i="18"/>
  <c r="BZ10" i="18"/>
  <c r="BB10" i="18"/>
  <c r="WB10" i="18"/>
  <c r="QN10" i="18"/>
  <c r="NT10" i="18"/>
  <c r="MV10" i="18"/>
  <c r="HH10" i="18"/>
  <c r="EN10" i="18"/>
  <c r="BT10" i="18"/>
  <c r="WN10" i="18"/>
  <c r="VP10" i="18"/>
  <c r="UR10" i="18"/>
  <c r="TT10" i="18"/>
  <c r="SV10" i="18"/>
  <c r="RX10" i="18"/>
  <c r="QZ10" i="18"/>
  <c r="QB10" i="18"/>
  <c r="PD10" i="18"/>
  <c r="OF10" i="18"/>
  <c r="NH10" i="18"/>
  <c r="MJ10" i="18"/>
  <c r="LL10" i="18"/>
  <c r="KN10" i="18"/>
  <c r="JP10" i="18"/>
  <c r="IR10" i="18"/>
  <c r="HT10" i="18"/>
  <c r="GV10" i="18"/>
  <c r="FX10" i="18"/>
  <c r="EZ10" i="18"/>
  <c r="EB10" i="18"/>
  <c r="DD10" i="18"/>
  <c r="CF10" i="18"/>
  <c r="BH10" i="18"/>
  <c r="AJ10" i="18"/>
  <c r="VD10" i="18"/>
  <c r="OR10" i="18"/>
  <c r="IF10" i="18"/>
  <c r="CR10" i="18"/>
  <c r="WT10" i="18"/>
  <c r="VV10" i="18"/>
  <c r="UX10" i="18"/>
  <c r="TZ10" i="18"/>
  <c r="TB10" i="18"/>
  <c r="SD10" i="18"/>
  <c r="RF10" i="18"/>
  <c r="QH10" i="18"/>
  <c r="PJ10" i="18"/>
  <c r="OL10" i="18"/>
  <c r="NN10" i="18"/>
  <c r="MP10" i="18"/>
  <c r="LR10" i="18"/>
  <c r="KT10" i="18"/>
  <c r="JV10" i="18"/>
  <c r="IX10" i="18"/>
  <c r="HZ10" i="18"/>
  <c r="HB10" i="18"/>
  <c r="GD10" i="18"/>
  <c r="FF10" i="18"/>
  <c r="EH10" i="18"/>
  <c r="DJ10" i="18"/>
  <c r="CL10" i="18"/>
  <c r="BN10" i="18"/>
  <c r="AP10" i="18"/>
  <c r="WZ10" i="18"/>
  <c r="TH10" i="18"/>
  <c r="SJ10" i="18"/>
  <c r="RL10" i="18"/>
  <c r="LX10" i="18"/>
  <c r="KB10" i="18"/>
  <c r="JD10" i="18"/>
  <c r="GJ10" i="18"/>
  <c r="FL10" i="18"/>
  <c r="DP10" i="18"/>
  <c r="AV10" i="18"/>
  <c r="UF10" i="18"/>
  <c r="PP10" i="18"/>
  <c r="KZ10" i="18"/>
  <c r="WV9" i="18"/>
  <c r="VX9" i="18"/>
  <c r="UZ9" i="18"/>
  <c r="UB9" i="18"/>
  <c r="TD9" i="18"/>
  <c r="SF9" i="18"/>
  <c r="RH9" i="18"/>
  <c r="QJ9" i="18"/>
  <c r="PL9" i="18"/>
  <c r="ON9" i="18"/>
  <c r="NP9" i="18"/>
  <c r="MR9" i="18"/>
  <c r="LT9" i="18"/>
  <c r="KV9" i="18"/>
  <c r="JX9" i="18"/>
  <c r="IZ9" i="18"/>
  <c r="IB9" i="18"/>
  <c r="HD9" i="18"/>
  <c r="GF9" i="18"/>
  <c r="FH9" i="18"/>
  <c r="EJ9" i="18"/>
  <c r="DL9" i="18"/>
  <c r="CN9" i="18"/>
  <c r="BP9" i="18"/>
  <c r="AR9" i="18"/>
  <c r="TV9" i="18"/>
  <c r="QD9" i="18"/>
  <c r="NJ9" i="18"/>
  <c r="KP9" i="18"/>
  <c r="FZ9" i="18"/>
  <c r="DF9" i="18"/>
  <c r="AL9" i="18"/>
  <c r="XB9" i="18"/>
  <c r="WD9" i="18"/>
  <c r="VF9" i="18"/>
  <c r="UH9" i="18"/>
  <c r="TJ9" i="18"/>
  <c r="SL9" i="18"/>
  <c r="RN9" i="18"/>
  <c r="QP9" i="18"/>
  <c r="PR9" i="18"/>
  <c r="OT9" i="18"/>
  <c r="NV9" i="18"/>
  <c r="MX9" i="18"/>
  <c r="LZ9" i="18"/>
  <c r="LB9" i="18"/>
  <c r="KD9" i="18"/>
  <c r="JF9" i="18"/>
  <c r="IH9" i="18"/>
  <c r="HJ9" i="18"/>
  <c r="GL9" i="18"/>
  <c r="FN9" i="18"/>
  <c r="EP9" i="18"/>
  <c r="DR9" i="18"/>
  <c r="CT9" i="18"/>
  <c r="BV9" i="18"/>
  <c r="AX9" i="18"/>
  <c r="VR9" i="18"/>
  <c r="RZ9" i="18"/>
  <c r="PF9" i="18"/>
  <c r="ML9" i="18"/>
  <c r="LN9" i="18"/>
  <c r="HV9" i="18"/>
  <c r="ED9" i="18"/>
  <c r="BJ9" i="18"/>
  <c r="XH9" i="18"/>
  <c r="WJ9" i="18"/>
  <c r="VL9" i="18"/>
  <c r="UN9" i="18"/>
  <c r="TP9" i="18"/>
  <c r="SR9" i="18"/>
  <c r="RT9" i="18"/>
  <c r="QV9" i="18"/>
  <c r="PX9" i="18"/>
  <c r="OZ9" i="18"/>
  <c r="OB9" i="18"/>
  <c r="ND9" i="18"/>
  <c r="MF9" i="18"/>
  <c r="LH9" i="18"/>
  <c r="KJ9" i="18"/>
  <c r="JL9" i="18"/>
  <c r="IN9" i="18"/>
  <c r="HP9" i="18"/>
  <c r="GR9" i="18"/>
  <c r="FT9" i="18"/>
  <c r="EV9" i="18"/>
  <c r="DX9" i="18"/>
  <c r="CZ9" i="18"/>
  <c r="CB9" i="18"/>
  <c r="BD9" i="18"/>
  <c r="IT9" i="18"/>
  <c r="FB9" i="18"/>
  <c r="WP9" i="18"/>
  <c r="UT9" i="18"/>
  <c r="SX9" i="18"/>
  <c r="RB9" i="18"/>
  <c r="OH9" i="18"/>
  <c r="JR9" i="18"/>
  <c r="GX9" i="18"/>
  <c r="CH9" i="18"/>
  <c r="AI6" i="5"/>
  <c r="K105" i="4"/>
  <c r="M105" i="4" s="1"/>
  <c r="N105" i="4" s="1"/>
  <c r="K87" i="4"/>
  <c r="M87" i="4" s="1"/>
  <c r="N87" i="4" s="1"/>
  <c r="AI8" i="5"/>
  <c r="B17" i="9"/>
  <c r="AI12" i="5"/>
  <c r="B17" i="1"/>
  <c r="B17" i="7"/>
  <c r="AD14" i="5"/>
  <c r="AE14" i="5" s="1"/>
  <c r="AI14" i="5" s="1"/>
  <c r="K14" i="5"/>
  <c r="K17" i="5"/>
  <c r="AE17" i="5"/>
  <c r="B16" i="5"/>
  <c r="B19" i="5"/>
  <c r="R17" i="5"/>
  <c r="AG17" i="5" s="1"/>
  <c r="N10" i="18"/>
  <c r="B11" i="18"/>
  <c r="K86" i="4"/>
  <c r="M86" i="4" s="1"/>
  <c r="N86" i="4" s="1"/>
  <c r="K104" i="4"/>
  <c r="M104" i="4" s="1"/>
  <c r="N104" i="4" s="1"/>
  <c r="O11" i="1"/>
  <c r="BQ11" i="1"/>
  <c r="O10" i="1"/>
  <c r="O10" i="18"/>
  <c r="O7" i="18"/>
  <c r="O8" i="18"/>
  <c r="O9" i="18"/>
  <c r="AT9" i="1"/>
  <c r="M103" i="4"/>
  <c r="N103" i="4" s="1"/>
  <c r="AF9" i="1"/>
  <c r="M85" i="4"/>
  <c r="N85" i="4" s="1"/>
  <c r="AT8" i="1"/>
  <c r="M102" i="4"/>
  <c r="N102" i="4" s="1"/>
  <c r="AF8" i="1"/>
  <c r="M84" i="4"/>
  <c r="N84" i="4" s="1"/>
  <c r="BH9" i="1"/>
  <c r="M121" i="4"/>
  <c r="N121" i="4" s="1"/>
  <c r="B75" i="14"/>
  <c r="B16" i="7"/>
  <c r="B19" i="8"/>
  <c r="BQ13" i="1"/>
  <c r="O13" i="1"/>
  <c r="BP13" i="1"/>
  <c r="X13" i="7" s="1"/>
  <c r="O12" i="1"/>
  <c r="B10" i="15"/>
  <c r="B16" i="9"/>
  <c r="B16" i="1"/>
  <c r="N14" i="1"/>
  <c r="B18" i="8"/>
  <c r="Q10" i="5" l="1"/>
  <c r="U10" i="5" s="1"/>
  <c r="Q15" i="5"/>
  <c r="U15" i="5" s="1"/>
  <c r="Q12" i="5"/>
  <c r="U12" i="5" s="1"/>
  <c r="B23" i="19"/>
  <c r="G23" i="19" s="1"/>
  <c r="F21" i="19"/>
  <c r="I15" i="9"/>
  <c r="I14" i="9"/>
  <c r="L15" i="9"/>
  <c r="L14" i="9"/>
  <c r="M13" i="9"/>
  <c r="M12" i="9"/>
  <c r="J15" i="9"/>
  <c r="J14" i="9"/>
  <c r="H16" i="9"/>
  <c r="K16" i="9" s="1"/>
  <c r="H17" i="9"/>
  <c r="K17" i="9" s="1"/>
  <c r="AJ12" i="5"/>
  <c r="AL12" i="5" s="1"/>
  <c r="OU8" i="18"/>
  <c r="F17" i="5"/>
  <c r="F18" i="8"/>
  <c r="G18" i="8"/>
  <c r="F19" i="8"/>
  <c r="G19" i="8"/>
  <c r="J17" i="7"/>
  <c r="I17" i="7"/>
  <c r="I16" i="7"/>
  <c r="J16" i="7"/>
  <c r="U10" i="15"/>
  <c r="Y10" i="18" s="1"/>
  <c r="E10" i="15"/>
  <c r="D10" i="15"/>
  <c r="D11" i="18"/>
  <c r="F11" i="18" s="1"/>
  <c r="E11" i="18"/>
  <c r="G11" i="18" s="1"/>
  <c r="I19" i="5"/>
  <c r="J19" i="5" s="1"/>
  <c r="I16" i="5"/>
  <c r="J16" i="5" s="1"/>
  <c r="H16" i="1"/>
  <c r="I16" i="1" s="1"/>
  <c r="H17" i="1"/>
  <c r="I17" i="1" s="1"/>
  <c r="T10" i="15"/>
  <c r="J7" i="15"/>
  <c r="K7" i="15"/>
  <c r="TX9" i="18"/>
  <c r="HQ8" i="18"/>
  <c r="GY8" i="18"/>
  <c r="IC8" i="18"/>
  <c r="WE9" i="18"/>
  <c r="WX9" i="18"/>
  <c r="CU9" i="18"/>
  <c r="DO8" i="18"/>
  <c r="MN8" i="18"/>
  <c r="NR8" i="18"/>
  <c r="JH8" i="18"/>
  <c r="DB9" i="18"/>
  <c r="SG9" i="18"/>
  <c r="BX9" i="18"/>
  <c r="HK8" i="18"/>
  <c r="CU8" i="18"/>
  <c r="UI8" i="18"/>
  <c r="UP9" i="18"/>
  <c r="JT9" i="18"/>
  <c r="GG9" i="18"/>
  <c r="TX8" i="18"/>
  <c r="VB8" i="18"/>
  <c r="QX8" i="18"/>
  <c r="PZ9" i="18"/>
  <c r="MN9" i="18"/>
  <c r="EW8" i="18"/>
  <c r="EE8" i="18"/>
  <c r="FI8" i="18"/>
  <c r="WL9" i="18"/>
  <c r="SY9" i="18"/>
  <c r="PN9" i="18"/>
  <c r="QY8" i="18"/>
  <c r="KX8" i="18"/>
  <c r="VN8" i="18"/>
  <c r="UV8" i="18"/>
  <c r="VT9" i="18"/>
  <c r="KW9" i="18"/>
  <c r="VY8" i="18"/>
  <c r="LC8" i="18"/>
  <c r="FU8" i="18"/>
  <c r="NE9" i="18"/>
  <c r="CI9" i="18"/>
  <c r="KE9" i="18"/>
  <c r="KG8" i="18"/>
  <c r="SH8" i="18"/>
  <c r="OD8" i="18"/>
  <c r="NL8" i="18"/>
  <c r="IP9" i="18"/>
  <c r="BR9" i="18"/>
  <c r="BK8" i="18"/>
  <c r="CO8" i="18"/>
  <c r="NE8" i="18"/>
  <c r="PA9" i="18"/>
  <c r="LO9" i="18"/>
  <c r="IC9" i="18"/>
  <c r="MU9" i="18"/>
  <c r="ST8" i="18"/>
  <c r="SB8" i="18"/>
  <c r="TF8" i="18"/>
  <c r="OJ9" i="18"/>
  <c r="DN9" i="18"/>
  <c r="KS8" i="18"/>
  <c r="FO8" i="18"/>
  <c r="DA8" i="18"/>
  <c r="CI8" i="18"/>
  <c r="FU9" i="18"/>
  <c r="VA9" i="18"/>
  <c r="AY9" i="18"/>
  <c r="EY9" i="18"/>
  <c r="PT8" i="18"/>
  <c r="KR8" i="18"/>
  <c r="LV8" i="18"/>
  <c r="BF9" i="18"/>
  <c r="IJ9" i="18"/>
  <c r="XC8" i="18"/>
  <c r="KK8" i="18"/>
  <c r="JS8" i="18"/>
  <c r="HR9" i="18"/>
  <c r="EE9" i="18"/>
  <c r="SM9" i="18"/>
  <c r="RC9" i="18"/>
  <c r="FD9" i="18"/>
  <c r="KL9" i="18"/>
  <c r="RV9" i="18"/>
  <c r="FP9" i="18"/>
  <c r="MZ9" i="18"/>
  <c r="QR9" i="18"/>
  <c r="UJ9" i="18"/>
  <c r="JB9" i="18"/>
  <c r="QL9" i="18"/>
  <c r="UE9" i="18"/>
  <c r="PZ8" i="18"/>
  <c r="PH8" i="18"/>
  <c r="QL8" i="18"/>
  <c r="RP8" i="18"/>
  <c r="GZ9" i="18"/>
  <c r="RP9" i="18"/>
  <c r="QS8" i="18"/>
  <c r="VG8" i="18"/>
  <c r="TK8" i="18"/>
  <c r="AS8" i="18"/>
  <c r="OV9" i="18"/>
  <c r="NQ9" i="18"/>
  <c r="XJ8" i="18"/>
  <c r="WR8" i="18"/>
  <c r="JB8" i="18"/>
  <c r="XJ9" i="18"/>
  <c r="GU9" i="18"/>
  <c r="VO9" i="18"/>
  <c r="CK9" i="18"/>
  <c r="GC9" i="18"/>
  <c r="JU9" i="18"/>
  <c r="NM9" i="18"/>
  <c r="RE9" i="18"/>
  <c r="UW9" i="18"/>
  <c r="KA9" i="18"/>
  <c r="TG9" i="18"/>
  <c r="PC9" i="18"/>
  <c r="VC9" i="18"/>
  <c r="BA9" i="18"/>
  <c r="ES9" i="18"/>
  <c r="MC9" i="18"/>
  <c r="PU9" i="18"/>
  <c r="XE9" i="18"/>
  <c r="HG9" i="18"/>
  <c r="FW9" i="18"/>
  <c r="UQ9" i="18"/>
  <c r="IE9" i="18"/>
  <c r="KM9" i="18"/>
  <c r="LW9" i="18"/>
  <c r="DI9" i="18"/>
  <c r="HA9" i="18"/>
  <c r="KS9" i="18"/>
  <c r="OK9" i="18"/>
  <c r="SC9" i="18"/>
  <c r="VU9" i="18"/>
  <c r="SI9" i="18"/>
  <c r="EA9" i="18"/>
  <c r="SU9" i="18"/>
  <c r="BY9" i="18"/>
  <c r="JI9" i="18"/>
  <c r="QS9" i="18"/>
  <c r="UK9" i="18"/>
  <c r="GI9" i="18"/>
  <c r="PO9" i="18"/>
  <c r="JO9" i="18"/>
  <c r="EM9" i="18"/>
  <c r="RK9" i="18"/>
  <c r="OE9" i="18"/>
  <c r="AO9" i="18"/>
  <c r="EG9" i="18"/>
  <c r="HY9" i="18"/>
  <c r="LQ9" i="18"/>
  <c r="PI9" i="18"/>
  <c r="TA9" i="18"/>
  <c r="WS9" i="18"/>
  <c r="HS9" i="18"/>
  <c r="WM9" i="18"/>
  <c r="DO9" i="18"/>
  <c r="CW9" i="18"/>
  <c r="KG9" i="18"/>
  <c r="NY9" i="18"/>
  <c r="RQ9" i="18"/>
  <c r="VI9" i="18"/>
  <c r="OQ9" i="18"/>
  <c r="WY9" i="18"/>
  <c r="NG9" i="18"/>
  <c r="BM9" i="18"/>
  <c r="QG9" i="18"/>
  <c r="LK9" i="18"/>
  <c r="XK9" i="18"/>
  <c r="OW9" i="18"/>
  <c r="CE9" i="18"/>
  <c r="CQ9" i="18"/>
  <c r="HM9" i="18"/>
  <c r="MO9" i="18"/>
  <c r="LE9" i="18"/>
  <c r="JC9" i="18"/>
  <c r="FE9" i="18"/>
  <c r="TY9" i="18"/>
  <c r="FK9" i="18"/>
  <c r="DU9" i="18"/>
  <c r="SO9" i="18"/>
  <c r="QY9" i="18"/>
  <c r="IW9" i="18"/>
  <c r="NS9" i="18"/>
  <c r="WG9" i="18"/>
  <c r="RW9" i="18"/>
  <c r="IQ9" i="18"/>
  <c r="DC9" i="18"/>
  <c r="KY9" i="18"/>
  <c r="WA9" i="18"/>
  <c r="WV10" i="18"/>
  <c r="VX10" i="18"/>
  <c r="UZ10" i="18"/>
  <c r="UB10" i="18"/>
  <c r="TD10" i="18"/>
  <c r="SF10" i="18"/>
  <c r="RH10" i="18"/>
  <c r="QJ10" i="18"/>
  <c r="PL10" i="18"/>
  <c r="ON10" i="18"/>
  <c r="NP10" i="18"/>
  <c r="MR10" i="18"/>
  <c r="LT10" i="18"/>
  <c r="KV10" i="18"/>
  <c r="JX10" i="18"/>
  <c r="IZ10" i="18"/>
  <c r="IB10" i="18"/>
  <c r="HD10" i="18"/>
  <c r="GF10" i="18"/>
  <c r="FH10" i="18"/>
  <c r="EJ10" i="18"/>
  <c r="DL10" i="18"/>
  <c r="CN10" i="18"/>
  <c r="BP10" i="18"/>
  <c r="AR10" i="18"/>
  <c r="UT10" i="18"/>
  <c r="RZ10" i="18"/>
  <c r="PF10" i="18"/>
  <c r="LN10" i="18"/>
  <c r="IT10" i="18"/>
  <c r="FZ10" i="18"/>
  <c r="DF10" i="18"/>
  <c r="AL10" i="18"/>
  <c r="XB10" i="18"/>
  <c r="WD10" i="18"/>
  <c r="VF10" i="18"/>
  <c r="UH10" i="18"/>
  <c r="TJ10" i="18"/>
  <c r="SL10" i="18"/>
  <c r="RN10" i="18"/>
  <c r="QP10" i="18"/>
  <c r="PR10" i="18"/>
  <c r="OT10" i="18"/>
  <c r="NV10" i="18"/>
  <c r="MX10" i="18"/>
  <c r="LZ10" i="18"/>
  <c r="LB10" i="18"/>
  <c r="KD10" i="18"/>
  <c r="JF10" i="18"/>
  <c r="IH10" i="18"/>
  <c r="HJ10" i="18"/>
  <c r="GL10" i="18"/>
  <c r="FN10" i="18"/>
  <c r="EP10" i="18"/>
  <c r="DR10" i="18"/>
  <c r="CT10" i="18"/>
  <c r="BV10" i="18"/>
  <c r="AX10" i="18"/>
  <c r="TV10" i="18"/>
  <c r="SX10" i="18"/>
  <c r="NJ10" i="18"/>
  <c r="KP10" i="18"/>
  <c r="FB10" i="18"/>
  <c r="ED10" i="18"/>
  <c r="BJ10" i="18"/>
  <c r="XH10" i="18"/>
  <c r="WJ10" i="18"/>
  <c r="VL10" i="18"/>
  <c r="UN10" i="18"/>
  <c r="TP10" i="18"/>
  <c r="SR10" i="18"/>
  <c r="RT10" i="18"/>
  <c r="QV10" i="18"/>
  <c r="PX10" i="18"/>
  <c r="OZ10" i="18"/>
  <c r="OB10" i="18"/>
  <c r="ND10" i="18"/>
  <c r="MF10" i="18"/>
  <c r="LH10" i="18"/>
  <c r="KJ10" i="18"/>
  <c r="JL10" i="18"/>
  <c r="IN10" i="18"/>
  <c r="HP10" i="18"/>
  <c r="GR10" i="18"/>
  <c r="FT10" i="18"/>
  <c r="EV10" i="18"/>
  <c r="DX10" i="18"/>
  <c r="CZ10" i="18"/>
  <c r="CB10" i="18"/>
  <c r="BD10" i="18"/>
  <c r="VR10" i="18"/>
  <c r="QD10" i="18"/>
  <c r="OH10" i="18"/>
  <c r="HV10" i="18"/>
  <c r="WP10" i="18"/>
  <c r="RB10" i="18"/>
  <c r="ML10" i="18"/>
  <c r="JR10" i="18"/>
  <c r="GX10" i="18"/>
  <c r="CH10" i="18"/>
  <c r="EX8" i="18"/>
  <c r="BL8" i="18"/>
  <c r="XD8" i="18"/>
  <c r="HR8" i="18"/>
  <c r="EF8" i="18"/>
  <c r="CP8" i="18"/>
  <c r="KL8" i="18"/>
  <c r="GZ8" i="18"/>
  <c r="FJ8" i="18"/>
  <c r="NF8" i="18"/>
  <c r="JT8" i="18"/>
  <c r="ID8" i="18"/>
  <c r="WK9" i="18"/>
  <c r="PB9" i="18"/>
  <c r="HQ9" i="18"/>
  <c r="WF9" i="18"/>
  <c r="SZ9" i="18"/>
  <c r="LP9" i="18"/>
  <c r="EF9" i="18"/>
  <c r="WW9" i="18"/>
  <c r="PM9" i="18"/>
  <c r="ID9" i="18"/>
  <c r="SN9" i="18"/>
  <c r="CV9" i="18"/>
  <c r="NM8" i="18"/>
  <c r="ES8" i="18"/>
  <c r="MI9" i="18"/>
  <c r="BG9" i="18"/>
  <c r="BE8" i="18"/>
  <c r="DS8" i="18"/>
  <c r="NW8" i="18"/>
  <c r="DY8" i="18"/>
  <c r="AM8" i="18"/>
  <c r="WE8" i="18"/>
  <c r="GS8" i="18"/>
  <c r="DG8" i="18"/>
  <c r="BQ8" i="18"/>
  <c r="JM8" i="18"/>
  <c r="GA8" i="18"/>
  <c r="EK8" i="18"/>
  <c r="VM9" i="18"/>
  <c r="OC9" i="18"/>
  <c r="GS9" i="18"/>
  <c r="VG9" i="18"/>
  <c r="SB9" i="18"/>
  <c r="KQ9" i="18"/>
  <c r="DG9" i="18"/>
  <c r="VY9" i="18"/>
  <c r="OP9" i="18"/>
  <c r="HF9" i="18"/>
  <c r="XC9" i="18"/>
  <c r="LC9" i="18"/>
  <c r="DS9" i="18"/>
  <c r="IQ8" i="18"/>
  <c r="JC8" i="18"/>
  <c r="HL8" i="18"/>
  <c r="VZ8" i="18"/>
  <c r="FP8" i="18"/>
  <c r="VH8" i="18"/>
  <c r="CV8" i="18"/>
  <c r="LD8" i="18"/>
  <c r="DB8" i="18"/>
  <c r="TL8" i="18"/>
  <c r="UJ8" i="18"/>
  <c r="FV8" i="18"/>
  <c r="CJ8" i="18"/>
  <c r="AT8" i="18"/>
  <c r="UO9" i="18"/>
  <c r="NF9" i="18"/>
  <c r="FV9" i="18"/>
  <c r="OU9" i="18"/>
  <c r="RD9" i="18"/>
  <c r="JS9" i="18"/>
  <c r="CJ9" i="18"/>
  <c r="VB9" i="18"/>
  <c r="NR9" i="18"/>
  <c r="GH9" i="18"/>
  <c r="UI9" i="18"/>
  <c r="KF9" i="18"/>
  <c r="AZ9" i="18"/>
  <c r="GI8" i="18"/>
  <c r="LW8" i="18"/>
  <c r="TS9" i="18"/>
  <c r="IO8" i="18"/>
  <c r="FC8" i="18"/>
  <c r="DM8" i="18"/>
  <c r="LI8" i="18"/>
  <c r="HW8" i="18"/>
  <c r="GG8" i="18"/>
  <c r="QQ8" i="18"/>
  <c r="BW8" i="18"/>
  <c r="KE8" i="18"/>
  <c r="CC8" i="18"/>
  <c r="EQ8" i="18"/>
  <c r="TQ9" i="18"/>
  <c r="MG9" i="18"/>
  <c r="EW9" i="18"/>
  <c r="HK9" i="18"/>
  <c r="QE9" i="18"/>
  <c r="IU9" i="18"/>
  <c r="BK9" i="18"/>
  <c r="UC9" i="18"/>
  <c r="MS9" i="18"/>
  <c r="FI9" i="18"/>
  <c r="TK9" i="18"/>
  <c r="GM9" i="18"/>
  <c r="AZ8" i="18"/>
  <c r="AY8" i="18"/>
  <c r="BA8" i="18"/>
  <c r="HS8" i="18"/>
  <c r="WM8" i="18"/>
  <c r="CK8" i="18"/>
  <c r="GC8" i="18"/>
  <c r="JU8" i="18"/>
  <c r="RE8" i="18"/>
  <c r="UW8" i="18"/>
  <c r="EY8" i="18"/>
  <c r="TS8" i="18"/>
  <c r="KA8" i="18"/>
  <c r="IK8" i="18"/>
  <c r="MC8" i="18"/>
  <c r="TM8" i="18"/>
  <c r="XE8" i="18"/>
  <c r="AU8" i="18"/>
  <c r="GU8" i="18"/>
  <c r="VO8" i="18"/>
  <c r="MU8" i="18"/>
  <c r="NS8" i="18"/>
  <c r="DI8" i="18"/>
  <c r="HA8" i="18"/>
  <c r="OK8" i="18"/>
  <c r="SC8" i="18"/>
  <c r="VU8" i="18"/>
  <c r="FK8" i="18"/>
  <c r="UE8" i="18"/>
  <c r="FW8" i="18"/>
  <c r="UQ8" i="18"/>
  <c r="FQ8" i="18"/>
  <c r="JI8" i="18"/>
  <c r="NA8" i="18"/>
  <c r="UK8" i="18"/>
  <c r="EM8" i="18"/>
  <c r="KY8" i="18"/>
  <c r="KM8" i="18"/>
  <c r="WA8" i="18"/>
  <c r="PC8" i="18"/>
  <c r="AO8" i="18"/>
  <c r="EG8" i="18"/>
  <c r="LQ8" i="18"/>
  <c r="PI8" i="18"/>
  <c r="TA8" i="18"/>
  <c r="OQ8" i="18"/>
  <c r="MI8" i="18"/>
  <c r="QM8" i="18"/>
  <c r="HG8" i="18"/>
  <c r="JO8" i="18"/>
  <c r="CQ8" i="18"/>
  <c r="CW8" i="18"/>
  <c r="GO8" i="18"/>
  <c r="NY8" i="18"/>
  <c r="RQ8" i="18"/>
  <c r="VI8" i="18"/>
  <c r="TG8" i="18"/>
  <c r="PO8" i="18"/>
  <c r="FE8" i="18"/>
  <c r="TY8" i="18"/>
  <c r="BS8" i="18"/>
  <c r="DU8" i="18"/>
  <c r="SO8" i="18"/>
  <c r="RW8" i="18"/>
  <c r="MO8" i="18"/>
  <c r="BG8" i="18"/>
  <c r="VC8" i="18"/>
  <c r="QG8" i="18"/>
  <c r="OW8" i="18"/>
  <c r="EA8" i="18"/>
  <c r="IW8" i="18"/>
  <c r="IE8" i="18"/>
  <c r="RK8" i="18"/>
  <c r="HM8" i="18"/>
  <c r="WG8" i="18"/>
  <c r="SU8" i="18"/>
  <c r="NG8" i="18"/>
  <c r="BM8" i="18"/>
  <c r="WY8" i="18"/>
  <c r="LE8" i="18"/>
  <c r="QA8" i="18"/>
  <c r="DC8" i="18"/>
  <c r="XF11" i="18"/>
  <c r="WH11" i="18"/>
  <c r="VJ11" i="18"/>
  <c r="UL11" i="18"/>
  <c r="TN11" i="18"/>
  <c r="SP11" i="18"/>
  <c r="RR11" i="18"/>
  <c r="QT11" i="18"/>
  <c r="PV11" i="18"/>
  <c r="OX11" i="18"/>
  <c r="NZ11" i="18"/>
  <c r="NB11" i="18"/>
  <c r="MD11" i="18"/>
  <c r="LF11" i="18"/>
  <c r="KH11" i="18"/>
  <c r="JJ11" i="18"/>
  <c r="IL11" i="18"/>
  <c r="HN11" i="18"/>
  <c r="GP11" i="18"/>
  <c r="FR11" i="18"/>
  <c r="ET11" i="18"/>
  <c r="DV11" i="18"/>
  <c r="CX11" i="18"/>
  <c r="BZ11" i="18"/>
  <c r="BB11" i="18"/>
  <c r="UF11" i="18"/>
  <c r="PP11" i="18"/>
  <c r="NT11" i="18"/>
  <c r="MV11" i="18"/>
  <c r="KZ11" i="18"/>
  <c r="IF11" i="18"/>
  <c r="HH11" i="18"/>
  <c r="DP11" i="18"/>
  <c r="AV11" i="18"/>
  <c r="WN11" i="18"/>
  <c r="VP11" i="18"/>
  <c r="UR11" i="18"/>
  <c r="TT11" i="18"/>
  <c r="SV11" i="18"/>
  <c r="RX11" i="18"/>
  <c r="QZ11" i="18"/>
  <c r="QB11" i="18"/>
  <c r="PD11" i="18"/>
  <c r="OF11" i="18"/>
  <c r="NH11" i="18"/>
  <c r="MJ11" i="18"/>
  <c r="LL11" i="18"/>
  <c r="KN11" i="18"/>
  <c r="JP11" i="18"/>
  <c r="IR11" i="18"/>
  <c r="HT11" i="18"/>
  <c r="GV11" i="18"/>
  <c r="FX11" i="18"/>
  <c r="EZ11" i="18"/>
  <c r="EB11" i="18"/>
  <c r="DD11" i="18"/>
  <c r="CF11" i="18"/>
  <c r="BH11" i="18"/>
  <c r="AJ11" i="18"/>
  <c r="WB11" i="18"/>
  <c r="SJ11" i="18"/>
  <c r="OR11" i="18"/>
  <c r="LX11" i="18"/>
  <c r="KB11" i="18"/>
  <c r="JD11" i="18"/>
  <c r="FL11" i="18"/>
  <c r="EN11" i="18"/>
  <c r="CR11" i="18"/>
  <c r="BT11" i="18"/>
  <c r="WT11" i="18"/>
  <c r="VV11" i="18"/>
  <c r="UX11" i="18"/>
  <c r="TZ11" i="18"/>
  <c r="TB11" i="18"/>
  <c r="SD11" i="18"/>
  <c r="RF11" i="18"/>
  <c r="QH11" i="18"/>
  <c r="PJ11" i="18"/>
  <c r="OL11" i="18"/>
  <c r="NN11" i="18"/>
  <c r="MP11" i="18"/>
  <c r="LR11" i="18"/>
  <c r="KT11" i="18"/>
  <c r="JV11" i="18"/>
  <c r="IX11" i="18"/>
  <c r="HZ11" i="18"/>
  <c r="HB11" i="18"/>
  <c r="GD11" i="18"/>
  <c r="FF11" i="18"/>
  <c r="EH11" i="18"/>
  <c r="DJ11" i="18"/>
  <c r="CL11" i="18"/>
  <c r="BN11" i="18"/>
  <c r="AP11" i="18"/>
  <c r="WZ11" i="18"/>
  <c r="TH11" i="18"/>
  <c r="RL11" i="18"/>
  <c r="GJ11" i="18"/>
  <c r="VD11" i="18"/>
  <c r="QN11" i="18"/>
  <c r="WO10" i="18"/>
  <c r="VQ10" i="18"/>
  <c r="US10" i="18"/>
  <c r="TU10" i="18"/>
  <c r="SW10" i="18"/>
  <c r="RY10" i="18"/>
  <c r="RA10" i="18"/>
  <c r="QC10" i="18"/>
  <c r="PE10" i="18"/>
  <c r="OG10" i="18"/>
  <c r="NI10" i="18"/>
  <c r="MK10" i="18"/>
  <c r="LM10" i="18"/>
  <c r="KO10" i="18"/>
  <c r="JQ10" i="18"/>
  <c r="IS10" i="18"/>
  <c r="HU10" i="18"/>
  <c r="GW10" i="18"/>
  <c r="FY10" i="18"/>
  <c r="FA10" i="18"/>
  <c r="EC10" i="18"/>
  <c r="DE10" i="18"/>
  <c r="CG10" i="18"/>
  <c r="BI10" i="18"/>
  <c r="AK10" i="18"/>
  <c r="XG10" i="18"/>
  <c r="TO10" i="18"/>
  <c r="KI10" i="18"/>
  <c r="WU10" i="18"/>
  <c r="VW10" i="18"/>
  <c r="UY10" i="18"/>
  <c r="UA10" i="18"/>
  <c r="TC10" i="18"/>
  <c r="SE10" i="18"/>
  <c r="RG10" i="18"/>
  <c r="QI10" i="18"/>
  <c r="PK10" i="18"/>
  <c r="OM10" i="18"/>
  <c r="NO10" i="18"/>
  <c r="MQ10" i="18"/>
  <c r="LS10" i="18"/>
  <c r="KU10" i="18"/>
  <c r="JW10" i="18"/>
  <c r="IY10" i="18"/>
  <c r="IA10" i="18"/>
  <c r="HC10" i="18"/>
  <c r="GE10" i="18"/>
  <c r="FG10" i="18"/>
  <c r="EI10" i="18"/>
  <c r="DK10" i="18"/>
  <c r="CM10" i="18"/>
  <c r="BO10" i="18"/>
  <c r="AQ10" i="18"/>
  <c r="WI10" i="18"/>
  <c r="RS10" i="18"/>
  <c r="QU10" i="18"/>
  <c r="PW10" i="18"/>
  <c r="ME10" i="18"/>
  <c r="JK10" i="18"/>
  <c r="GQ10" i="18"/>
  <c r="XA10" i="18"/>
  <c r="WC10" i="18"/>
  <c r="VE10" i="18"/>
  <c r="UG10" i="18"/>
  <c r="TI10" i="18"/>
  <c r="SK10" i="18"/>
  <c r="RM10" i="18"/>
  <c r="QO10" i="18"/>
  <c r="PQ10" i="18"/>
  <c r="OS10" i="18"/>
  <c r="NU10" i="18"/>
  <c r="MW10" i="18"/>
  <c r="LY10" i="18"/>
  <c r="LA10" i="18"/>
  <c r="KC10" i="18"/>
  <c r="JE10" i="18"/>
  <c r="IG10" i="18"/>
  <c r="HI10" i="18"/>
  <c r="GK10" i="18"/>
  <c r="FM10" i="18"/>
  <c r="EO10" i="18"/>
  <c r="DQ10" i="18"/>
  <c r="CS10" i="18"/>
  <c r="BU10" i="18"/>
  <c r="AW10" i="18"/>
  <c r="UM10" i="18"/>
  <c r="OY10" i="18"/>
  <c r="NC10" i="18"/>
  <c r="LG10" i="18"/>
  <c r="HO10" i="18"/>
  <c r="EU10" i="18"/>
  <c r="CY10" i="18"/>
  <c r="CA10" i="18"/>
  <c r="VK10" i="18"/>
  <c r="SQ10" i="18"/>
  <c r="OA10" i="18"/>
  <c r="IM10" i="18"/>
  <c r="FS10" i="18"/>
  <c r="DW10" i="18"/>
  <c r="BC10" i="18"/>
  <c r="TQ8" i="18"/>
  <c r="QE8" i="18"/>
  <c r="OO8" i="18"/>
  <c r="WK8" i="18"/>
  <c r="SY8" i="18"/>
  <c r="RI8" i="18"/>
  <c r="MA8" i="18"/>
  <c r="VS8" i="18"/>
  <c r="UC8" i="18"/>
  <c r="SM8" i="18"/>
  <c r="MY8" i="18"/>
  <c r="WW8" i="18"/>
  <c r="II8" i="18"/>
  <c r="SS9" i="18"/>
  <c r="LI9" i="18"/>
  <c r="DY9" i="18"/>
  <c r="WR9" i="18"/>
  <c r="PG9" i="18"/>
  <c r="HW9" i="18"/>
  <c r="AM9" i="18"/>
  <c r="TE9" i="18"/>
  <c r="LU9" i="18"/>
  <c r="EK9" i="18"/>
  <c r="MA9" i="18"/>
  <c r="EQ9" i="18"/>
  <c r="SI8" i="18"/>
  <c r="PU8" i="18"/>
  <c r="IK9" i="18"/>
  <c r="QA9" i="18"/>
  <c r="BF8" i="18"/>
  <c r="DT8" i="18"/>
  <c r="NX8" i="18"/>
  <c r="DZ8" i="18"/>
  <c r="AN8" i="18"/>
  <c r="WF8" i="18"/>
  <c r="GT8" i="18"/>
  <c r="DH8" i="18"/>
  <c r="BR8" i="18"/>
  <c r="JN8" i="18"/>
  <c r="GB8" i="18"/>
  <c r="EL8" i="18"/>
  <c r="VN9" i="18"/>
  <c r="OD9" i="18"/>
  <c r="GT9" i="18"/>
  <c r="VH9" i="18"/>
  <c r="SA9" i="18"/>
  <c r="KR9" i="18"/>
  <c r="DH9" i="18"/>
  <c r="VZ9" i="18"/>
  <c r="OO9" i="18"/>
  <c r="HE9" i="18"/>
  <c r="XD9" i="18"/>
  <c r="LD9" i="18"/>
  <c r="DT9" i="18"/>
  <c r="XK8" i="18"/>
  <c r="MG8" i="18"/>
  <c r="IU8" i="18"/>
  <c r="HE8" i="18"/>
  <c r="PA8" i="18"/>
  <c r="LO8" i="18"/>
  <c r="JY8" i="18"/>
  <c r="RU8" i="18"/>
  <c r="OI8" i="18"/>
  <c r="MS8" i="18"/>
  <c r="UO8" i="18"/>
  <c r="RC8" i="18"/>
  <c r="PM8" i="18"/>
  <c r="GM8" i="18"/>
  <c r="QW9" i="18"/>
  <c r="JM9" i="18"/>
  <c r="CC9" i="18"/>
  <c r="UV9" i="18"/>
  <c r="NK9" i="18"/>
  <c r="GA9" i="18"/>
  <c r="JG9" i="18"/>
  <c r="RI9" i="18"/>
  <c r="JY9" i="18"/>
  <c r="CO9" i="18"/>
  <c r="NW9" i="18"/>
  <c r="PS9" i="18"/>
  <c r="HY8" i="18"/>
  <c r="OE8" i="18"/>
  <c r="GO9" i="18"/>
  <c r="IP8" i="18"/>
  <c r="FD8" i="18"/>
  <c r="DN8" i="18"/>
  <c r="LJ8" i="18"/>
  <c r="HX8" i="18"/>
  <c r="GH8" i="18"/>
  <c r="QR8" i="18"/>
  <c r="BX8" i="18"/>
  <c r="KF8" i="18"/>
  <c r="CD8" i="18"/>
  <c r="ER8" i="18"/>
  <c r="OV8" i="18"/>
  <c r="TR9" i="18"/>
  <c r="MH9" i="18"/>
  <c r="EX9" i="18"/>
  <c r="HL9" i="18"/>
  <c r="QF9" i="18"/>
  <c r="IV9" i="18"/>
  <c r="BL9" i="18"/>
  <c r="UD9" i="18"/>
  <c r="MT9" i="18"/>
  <c r="FJ9" i="18"/>
  <c r="TL9" i="18"/>
  <c r="GN9" i="18"/>
  <c r="NA9" i="18"/>
  <c r="TR8" i="18"/>
  <c r="QF8" i="18"/>
  <c r="OP8" i="18"/>
  <c r="WL8" i="18"/>
  <c r="SZ8" i="18"/>
  <c r="RJ8" i="18"/>
  <c r="MB8" i="18"/>
  <c r="VT8" i="18"/>
  <c r="UD8" i="18"/>
  <c r="SN8" i="18"/>
  <c r="MZ8" i="18"/>
  <c r="WX8" i="18"/>
  <c r="IJ8" i="18"/>
  <c r="ST9" i="18"/>
  <c r="LJ9" i="18"/>
  <c r="DZ9" i="18"/>
  <c r="WQ9" i="18"/>
  <c r="PH9" i="18"/>
  <c r="HX9" i="18"/>
  <c r="AN9" i="18"/>
  <c r="TF9" i="18"/>
  <c r="LV9" i="18"/>
  <c r="EL9" i="18"/>
  <c r="MB9" i="18"/>
  <c r="ER9" i="18"/>
  <c r="CE8" i="18"/>
  <c r="QM9" i="18"/>
  <c r="TM9" i="18"/>
  <c r="FQ9" i="18"/>
  <c r="PY8" i="18"/>
  <c r="MM8" i="18"/>
  <c r="KW8" i="18"/>
  <c r="SS8" i="18"/>
  <c r="PG8" i="18"/>
  <c r="NQ8" i="18"/>
  <c r="VM8" i="18"/>
  <c r="SA8" i="18"/>
  <c r="QK8" i="18"/>
  <c r="JG8" i="18"/>
  <c r="UU8" i="18"/>
  <c r="TE8" i="18"/>
  <c r="RO8" i="18"/>
  <c r="RU9" i="18"/>
  <c r="KK9" i="18"/>
  <c r="DA9" i="18"/>
  <c r="VS9" i="18"/>
  <c r="OI9" i="18"/>
  <c r="GY9" i="18"/>
  <c r="QQ9" i="18"/>
  <c r="SH9" i="18"/>
  <c r="KX9" i="18"/>
  <c r="DM9" i="18"/>
  <c r="RO9" i="18"/>
  <c r="BW9" i="18"/>
  <c r="LK8" i="18"/>
  <c r="BY8" i="18"/>
  <c r="MH8" i="18"/>
  <c r="IV8" i="18"/>
  <c r="HF8" i="18"/>
  <c r="PB8" i="18"/>
  <c r="LP8" i="18"/>
  <c r="JZ8" i="18"/>
  <c r="RV8" i="18"/>
  <c r="OJ8" i="18"/>
  <c r="MT8" i="18"/>
  <c r="UP8" i="18"/>
  <c r="RD8" i="18"/>
  <c r="PN8" i="18"/>
  <c r="GN8" i="18"/>
  <c r="QX9" i="18"/>
  <c r="JN9" i="18"/>
  <c r="CD9" i="18"/>
  <c r="UU9" i="18"/>
  <c r="NL9" i="18"/>
  <c r="GB9" i="18"/>
  <c r="JH9" i="18"/>
  <c r="RJ9" i="18"/>
  <c r="JZ9" i="18"/>
  <c r="CP9" i="18"/>
  <c r="NX9" i="18"/>
  <c r="PT9" i="18"/>
  <c r="WS8" i="18"/>
  <c r="BS9" i="18"/>
  <c r="XI8" i="18"/>
  <c r="TW8" i="18"/>
  <c r="SG8" i="18"/>
  <c r="PS8" i="18"/>
  <c r="WQ8" i="18"/>
  <c r="VA8" i="18"/>
  <c r="OC8" i="18"/>
  <c r="KQ8" i="18"/>
  <c r="JA8" i="18"/>
  <c r="QW8" i="18"/>
  <c r="NK8" i="18"/>
  <c r="LU8" i="18"/>
  <c r="XI9" i="18"/>
  <c r="PY9" i="18"/>
  <c r="IO9" i="18"/>
  <c r="BE9" i="18"/>
  <c r="TW9" i="18"/>
  <c r="MM9" i="18"/>
  <c r="FC9" i="18"/>
  <c r="FO9" i="18"/>
  <c r="QK9" i="18"/>
  <c r="JA9" i="18"/>
  <c r="BQ9" i="18"/>
  <c r="MY9" i="18"/>
  <c r="II9" i="18"/>
  <c r="AT9" i="18"/>
  <c r="AS9" i="18"/>
  <c r="AU9" i="18"/>
  <c r="B19" i="7"/>
  <c r="B19" i="9"/>
  <c r="B19" i="1"/>
  <c r="AD16" i="5"/>
  <c r="AE16" i="5" s="1"/>
  <c r="AI16" i="5" s="1"/>
  <c r="B21" i="5"/>
  <c r="R19" i="5"/>
  <c r="AG19" i="5" s="1"/>
  <c r="K19" i="5"/>
  <c r="AE19" i="5"/>
  <c r="B18" i="5"/>
  <c r="R16" i="5"/>
  <c r="AG16" i="5" s="1"/>
  <c r="K16" i="5"/>
  <c r="N11" i="18"/>
  <c r="O11" i="18"/>
  <c r="B12" i="18"/>
  <c r="B76" i="14"/>
  <c r="B18" i="1"/>
  <c r="N16" i="1"/>
  <c r="B20" i="8"/>
  <c r="B18" i="7"/>
  <c r="B18" i="9"/>
  <c r="BP15" i="1"/>
  <c r="X15" i="7" s="1"/>
  <c r="O14" i="1"/>
  <c r="O15" i="1"/>
  <c r="BQ15" i="1"/>
  <c r="B21" i="8"/>
  <c r="B11" i="15"/>
  <c r="Q17" i="5" l="1"/>
  <c r="U17" i="5" s="1"/>
  <c r="R21" i="5"/>
  <c r="AG21" i="5" s="1"/>
  <c r="B25" i="19"/>
  <c r="G25" i="19" s="1"/>
  <c r="F23" i="19"/>
  <c r="I17" i="9"/>
  <c r="I16" i="9"/>
  <c r="AJ14" i="5"/>
  <c r="AL14" i="5" s="1"/>
  <c r="M15" i="9"/>
  <c r="L16" i="9"/>
  <c r="L17" i="9"/>
  <c r="M14" i="9"/>
  <c r="J17" i="9"/>
  <c r="J16" i="9"/>
  <c r="H18" i="9"/>
  <c r="K18" i="9" s="1"/>
  <c r="H19" i="9"/>
  <c r="K19" i="9" s="1"/>
  <c r="F14" i="5"/>
  <c r="F19" i="5"/>
  <c r="F16" i="5"/>
  <c r="F20" i="8"/>
  <c r="G20" i="8"/>
  <c r="F21" i="8"/>
  <c r="G21" i="8"/>
  <c r="I19" i="7"/>
  <c r="J19" i="7"/>
  <c r="I18" i="7"/>
  <c r="J18" i="7"/>
  <c r="U11" i="15"/>
  <c r="Y11" i="18" s="1"/>
  <c r="D11" i="15"/>
  <c r="E11" i="15"/>
  <c r="D12" i="18"/>
  <c r="F12" i="18" s="1"/>
  <c r="E12" i="18"/>
  <c r="G12" i="18" s="1"/>
  <c r="I18" i="5"/>
  <c r="J18" i="5" s="1"/>
  <c r="I21" i="5"/>
  <c r="J21" i="5" s="1"/>
  <c r="H18" i="1"/>
  <c r="I18" i="1" s="1"/>
  <c r="H19" i="1"/>
  <c r="I19" i="1" s="1"/>
  <c r="CD10" i="18"/>
  <c r="BR10" i="18"/>
  <c r="CK10" i="18"/>
  <c r="BK10" i="18"/>
  <c r="AY10" i="18"/>
  <c r="BE10" i="18"/>
  <c r="IV10" i="18"/>
  <c r="T11" i="15"/>
  <c r="L7" i="15"/>
  <c r="DG10" i="18"/>
  <c r="VM10" i="18"/>
  <c r="CP10" i="18"/>
  <c r="BS10" i="18"/>
  <c r="CO10" i="18"/>
  <c r="LK10" i="18"/>
  <c r="WR10" i="18"/>
  <c r="BY10" i="18"/>
  <c r="CC10" i="18"/>
  <c r="AT10" i="18"/>
  <c r="EM10" i="18"/>
  <c r="AM10" i="18"/>
  <c r="BX10" i="18"/>
  <c r="BM10" i="18"/>
  <c r="JM10" i="18"/>
  <c r="NK10" i="18"/>
  <c r="CE10" i="18"/>
  <c r="AN10" i="18"/>
  <c r="AO10" i="18"/>
  <c r="BF10" i="18"/>
  <c r="CJ10" i="18"/>
  <c r="BA10" i="18"/>
  <c r="BW10" i="18"/>
  <c r="BL10" i="18"/>
  <c r="BQ10" i="18"/>
  <c r="AZ10" i="18"/>
  <c r="AU10" i="18"/>
  <c r="CI10" i="18"/>
  <c r="BG10" i="18"/>
  <c r="AS10" i="18"/>
  <c r="CV10" i="18"/>
  <c r="CU10" i="18"/>
  <c r="CW10" i="18"/>
  <c r="FV10" i="18"/>
  <c r="UQ10" i="18"/>
  <c r="ID10" i="18"/>
  <c r="LV10" i="18"/>
  <c r="PM10" i="18"/>
  <c r="TG10" i="18"/>
  <c r="WW10" i="18"/>
  <c r="NF10" i="18"/>
  <c r="FP10" i="18"/>
  <c r="JG10" i="18"/>
  <c r="MY10" i="18"/>
  <c r="QR10" i="18"/>
  <c r="UK10" i="18"/>
  <c r="OU10" i="18"/>
  <c r="SM10" i="18"/>
  <c r="GB10" i="18"/>
  <c r="HS10" i="18"/>
  <c r="DT10" i="18"/>
  <c r="HL10" i="18"/>
  <c r="LC10" i="18"/>
  <c r="OV10" i="18"/>
  <c r="SN10" i="18"/>
  <c r="WF10" i="18"/>
  <c r="WM10" i="18"/>
  <c r="HA10" i="18"/>
  <c r="SA10" i="18"/>
  <c r="VU10" i="18"/>
  <c r="FC10" i="18"/>
  <c r="TY10" i="18"/>
  <c r="WS10" i="18"/>
  <c r="DZ10" i="18"/>
  <c r="SS10" i="18"/>
  <c r="PA10" i="18"/>
  <c r="GH10" i="18"/>
  <c r="JZ10" i="18"/>
  <c r="NQ10" i="18"/>
  <c r="RK10" i="18"/>
  <c r="VB10" i="18"/>
  <c r="GA10" i="18"/>
  <c r="DS10" i="18"/>
  <c r="FU10" i="18"/>
  <c r="GN10" i="18"/>
  <c r="RP10" i="18"/>
  <c r="UO10" i="18"/>
  <c r="NR10" i="18"/>
  <c r="LE10" i="18"/>
  <c r="EG10" i="18"/>
  <c r="LO10" i="18"/>
  <c r="PG10" i="18"/>
  <c r="TA10" i="18"/>
  <c r="FW10" i="18"/>
  <c r="GG10" i="18"/>
  <c r="LD10" i="18"/>
  <c r="OC10" i="18"/>
  <c r="DC10" i="18"/>
  <c r="GS10" i="18"/>
  <c r="QX10" i="18"/>
  <c r="FK10" i="18"/>
  <c r="MT10" i="18"/>
  <c r="QK10" i="18"/>
  <c r="UE10" i="18"/>
  <c r="MO10" i="18"/>
  <c r="QF10" i="18"/>
  <c r="VH10" i="18"/>
  <c r="RU10" i="18"/>
  <c r="RC10" i="18"/>
  <c r="VC10" i="18"/>
  <c r="CQ10" i="18"/>
  <c r="RJ10" i="18"/>
  <c r="EE10" i="18"/>
  <c r="OP10" i="18"/>
  <c r="UP10" i="18"/>
  <c r="DU10" i="18"/>
  <c r="OW10" i="18"/>
  <c r="SO10" i="18"/>
  <c r="SY10" i="18"/>
  <c r="PH10" i="18"/>
  <c r="EW10" i="18"/>
  <c r="MH10" i="18"/>
  <c r="XI10" i="18"/>
  <c r="DM10" i="18"/>
  <c r="TR10" i="18"/>
  <c r="IU10" i="18"/>
  <c r="VA10" i="18"/>
  <c r="KA10" i="18"/>
  <c r="NA10" i="18"/>
  <c r="OJ10" i="18"/>
  <c r="EX10" i="18"/>
  <c r="JN10" i="18"/>
  <c r="RI10" i="18"/>
  <c r="GI10" i="18"/>
  <c r="NG10" i="18"/>
  <c r="JO10" i="18"/>
  <c r="TX10" i="18"/>
  <c r="NS10" i="18"/>
  <c r="JY10" i="18"/>
  <c r="GC10" i="18"/>
  <c r="JI10" i="18"/>
  <c r="MM10" i="18"/>
  <c r="HY10" i="18"/>
  <c r="IQ10" i="18"/>
  <c r="MG10" i="18"/>
  <c r="PZ10" i="18"/>
  <c r="TQ10" i="18"/>
  <c r="XK10" i="18"/>
  <c r="TL10" i="18"/>
  <c r="DN10" i="18"/>
  <c r="OQ10" i="18"/>
  <c r="QY10" i="18"/>
  <c r="NE10" i="18"/>
  <c r="TW10" i="18"/>
  <c r="MN10" i="18"/>
  <c r="FE10" i="18"/>
  <c r="QS10" i="18"/>
  <c r="OO10" i="18"/>
  <c r="FQ10" i="18"/>
  <c r="XJ10" i="18"/>
  <c r="MZ10" i="18"/>
  <c r="JH10" i="18"/>
  <c r="JT10" i="18"/>
  <c r="UV10" i="18"/>
  <c r="QW10" i="18"/>
  <c r="IW10" i="18"/>
  <c r="FD10" i="18"/>
  <c r="QQ10" i="18"/>
  <c r="DO10" i="18"/>
  <c r="FO10" i="18"/>
  <c r="TS10" i="18"/>
  <c r="MI10" i="18"/>
  <c r="EY10" i="18"/>
  <c r="HG10" i="18"/>
  <c r="KY10" i="18"/>
  <c r="SH10" i="18"/>
  <c r="VY10" i="18"/>
  <c r="KQ10" i="18"/>
  <c r="IP10" i="18"/>
  <c r="ES10" i="18"/>
  <c r="IJ10" i="18"/>
  <c r="MB10" i="18"/>
  <c r="PT10" i="18"/>
  <c r="TK10" i="18"/>
  <c r="XC10" i="18"/>
  <c r="PY10" i="18"/>
  <c r="HX10" i="18"/>
  <c r="UU10" i="18"/>
  <c r="DY10" i="18"/>
  <c r="KS10" i="18"/>
  <c r="HF10" i="18"/>
  <c r="WA10" i="18"/>
  <c r="WK10" i="18"/>
  <c r="HM10" i="18"/>
  <c r="GY10" i="18"/>
  <c r="OE10" i="18"/>
  <c r="KW10" i="18"/>
  <c r="ST10" i="18"/>
  <c r="VS10" i="18"/>
  <c r="DH10" i="18"/>
  <c r="GO10" i="18"/>
  <c r="RE10" i="18"/>
  <c r="QE10" i="18"/>
  <c r="GU10" i="18"/>
  <c r="KL10" i="18"/>
  <c r="VN10" i="18"/>
  <c r="KF10" i="18"/>
  <c r="NX10" i="18"/>
  <c r="FJ10" i="18"/>
  <c r="JB10" i="18"/>
  <c r="MS10" i="18"/>
  <c r="QM10" i="18"/>
  <c r="UD10" i="18"/>
  <c r="DA10" i="18"/>
  <c r="HR10" i="18"/>
  <c r="SB10" i="18"/>
  <c r="UI10" i="18"/>
  <c r="NL10" i="18"/>
  <c r="SI10" i="18"/>
  <c r="XD10" i="18"/>
  <c r="WY10" i="18"/>
  <c r="EL10" i="18"/>
  <c r="WV11" i="18"/>
  <c r="VX11" i="18"/>
  <c r="UZ11" i="18"/>
  <c r="UB11" i="18"/>
  <c r="TD11" i="18"/>
  <c r="SF11" i="18"/>
  <c r="RH11" i="18"/>
  <c r="QJ11" i="18"/>
  <c r="PL11" i="18"/>
  <c r="ON11" i="18"/>
  <c r="NP11" i="18"/>
  <c r="MR11" i="18"/>
  <c r="LT11" i="18"/>
  <c r="KV11" i="18"/>
  <c r="JX11" i="18"/>
  <c r="IZ11" i="18"/>
  <c r="IB11" i="18"/>
  <c r="HD11" i="18"/>
  <c r="GF11" i="18"/>
  <c r="FH11" i="18"/>
  <c r="EJ11" i="18"/>
  <c r="DL11" i="18"/>
  <c r="CN11" i="18"/>
  <c r="BP11" i="18"/>
  <c r="AR11" i="18"/>
  <c r="WP11" i="18"/>
  <c r="SX11" i="18"/>
  <c r="RZ11" i="18"/>
  <c r="RB11" i="18"/>
  <c r="KP11" i="18"/>
  <c r="JR11" i="18"/>
  <c r="FZ11" i="18"/>
  <c r="XB11" i="18"/>
  <c r="WD11" i="18"/>
  <c r="VF11" i="18"/>
  <c r="UH11" i="18"/>
  <c r="TJ11" i="18"/>
  <c r="SL11" i="18"/>
  <c r="RN11" i="18"/>
  <c r="QP11" i="18"/>
  <c r="PR11" i="18"/>
  <c r="OT11" i="18"/>
  <c r="NV11" i="18"/>
  <c r="MX11" i="18"/>
  <c r="LZ11" i="18"/>
  <c r="LB11" i="18"/>
  <c r="KD11" i="18"/>
  <c r="JF11" i="18"/>
  <c r="IH11" i="18"/>
  <c r="HJ11" i="18"/>
  <c r="GL11" i="18"/>
  <c r="FN11" i="18"/>
  <c r="EP11" i="18"/>
  <c r="DR11" i="18"/>
  <c r="CT11" i="18"/>
  <c r="BV11" i="18"/>
  <c r="AX11" i="18"/>
  <c r="UT11" i="18"/>
  <c r="TV11" i="18"/>
  <c r="AL11" i="18"/>
  <c r="XH11" i="18"/>
  <c r="WJ11" i="18"/>
  <c r="VL11" i="18"/>
  <c r="UN11" i="18"/>
  <c r="TP11" i="18"/>
  <c r="SR11" i="18"/>
  <c r="RT11" i="18"/>
  <c r="QV11" i="18"/>
  <c r="PX11" i="18"/>
  <c r="OZ11" i="18"/>
  <c r="OB11" i="18"/>
  <c r="ND11" i="18"/>
  <c r="MF11" i="18"/>
  <c r="LH11" i="18"/>
  <c r="KJ11" i="18"/>
  <c r="JL11" i="18"/>
  <c r="IN11" i="18"/>
  <c r="HP11" i="18"/>
  <c r="GR11" i="18"/>
  <c r="FT11" i="18"/>
  <c r="EV11" i="18"/>
  <c r="DX11" i="18"/>
  <c r="CZ11" i="18"/>
  <c r="CB11" i="18"/>
  <c r="BD11" i="18"/>
  <c r="VR11" i="18"/>
  <c r="QD11" i="18"/>
  <c r="OH11" i="18"/>
  <c r="LN11" i="18"/>
  <c r="IT11" i="18"/>
  <c r="HV11" i="18"/>
  <c r="FB11" i="18"/>
  <c r="ED11" i="18"/>
  <c r="DF11" i="18"/>
  <c r="CH11" i="18"/>
  <c r="PF11" i="18"/>
  <c r="NJ11" i="18"/>
  <c r="ML11" i="18"/>
  <c r="GX11" i="18"/>
  <c r="BJ11" i="18"/>
  <c r="NY10" i="18"/>
  <c r="IK10" i="18"/>
  <c r="KG10" i="18"/>
  <c r="KM10" i="18"/>
  <c r="RD10" i="18"/>
  <c r="IO10" i="18"/>
  <c r="WQ10" i="18"/>
  <c r="SZ10" i="18"/>
  <c r="LQ10" i="18"/>
  <c r="HW10" i="18"/>
  <c r="EF10" i="18"/>
  <c r="UC10" i="18"/>
  <c r="QL10" i="18"/>
  <c r="JC10" i="18"/>
  <c r="FI10" i="18"/>
  <c r="OD10" i="18"/>
  <c r="DB10" i="18"/>
  <c r="JU10" i="18"/>
  <c r="VZ10" i="18"/>
  <c r="KX10" i="18"/>
  <c r="WL10" i="18"/>
  <c r="PC10" i="18"/>
  <c r="LI10" i="18"/>
  <c r="HQ10" i="18"/>
  <c r="WG10" i="18"/>
  <c r="HK10" i="18"/>
  <c r="VT10" i="18"/>
  <c r="OK10" i="18"/>
  <c r="KR10" i="18"/>
  <c r="GZ10" i="18"/>
  <c r="VI10" i="18"/>
  <c r="WX10" i="18"/>
  <c r="TF10" i="18"/>
  <c r="LW10" i="18"/>
  <c r="IC10" i="18"/>
  <c r="EK10" i="18"/>
  <c r="RQ10" i="18"/>
  <c r="GM10" i="18"/>
  <c r="UJ10" i="18"/>
  <c r="RW10" i="18"/>
  <c r="GT10" i="18"/>
  <c r="ER10" i="18"/>
  <c r="SG10" i="18"/>
  <c r="HE10" i="18"/>
  <c r="PU10" i="18"/>
  <c r="WZ12" i="18"/>
  <c r="WB12" i="18"/>
  <c r="VD12" i="18"/>
  <c r="UF12" i="18"/>
  <c r="TH12" i="18"/>
  <c r="SJ12" i="18"/>
  <c r="RL12" i="18"/>
  <c r="QN12" i="18"/>
  <c r="PP12" i="18"/>
  <c r="OR12" i="18"/>
  <c r="NT12" i="18"/>
  <c r="MV12" i="18"/>
  <c r="LX12" i="18"/>
  <c r="XF12" i="18"/>
  <c r="WH12" i="18"/>
  <c r="VJ12" i="18"/>
  <c r="UL12" i="18"/>
  <c r="TN12" i="18"/>
  <c r="SP12" i="18"/>
  <c r="RR12" i="18"/>
  <c r="QT12" i="18"/>
  <c r="PV12" i="18"/>
  <c r="OX12" i="18"/>
  <c r="NZ12" i="18"/>
  <c r="NB12" i="18"/>
  <c r="MD12" i="18"/>
  <c r="VV12" i="18"/>
  <c r="TZ12" i="18"/>
  <c r="SD12" i="18"/>
  <c r="QH12" i="18"/>
  <c r="OL12" i="18"/>
  <c r="MP12" i="18"/>
  <c r="LF12" i="18"/>
  <c r="KH12" i="18"/>
  <c r="JJ12" i="18"/>
  <c r="IL12" i="18"/>
  <c r="HN12" i="18"/>
  <c r="GP12" i="18"/>
  <c r="FR12" i="18"/>
  <c r="ET12" i="18"/>
  <c r="DV12" i="18"/>
  <c r="CX12" i="18"/>
  <c r="BZ12" i="18"/>
  <c r="BB12" i="18"/>
  <c r="WN12" i="18"/>
  <c r="SV12" i="18"/>
  <c r="NH12" i="18"/>
  <c r="HH12" i="18"/>
  <c r="AV12" i="18"/>
  <c r="VP12" i="18"/>
  <c r="TT12" i="18"/>
  <c r="RX12" i="18"/>
  <c r="QB12" i="18"/>
  <c r="OF12" i="18"/>
  <c r="MJ12" i="18"/>
  <c r="LL12" i="18"/>
  <c r="KN12" i="18"/>
  <c r="JP12" i="18"/>
  <c r="IR12" i="18"/>
  <c r="HT12" i="18"/>
  <c r="GV12" i="18"/>
  <c r="FX12" i="18"/>
  <c r="EZ12" i="18"/>
  <c r="EB12" i="18"/>
  <c r="DD12" i="18"/>
  <c r="CF12" i="18"/>
  <c r="BH12" i="18"/>
  <c r="AJ12" i="18"/>
  <c r="UR12" i="18"/>
  <c r="QZ12" i="18"/>
  <c r="FL12" i="18"/>
  <c r="EN12" i="18"/>
  <c r="BT12" i="18"/>
  <c r="WT12" i="18"/>
  <c r="UX12" i="18"/>
  <c r="TB12" i="18"/>
  <c r="RF12" i="18"/>
  <c r="PJ12" i="18"/>
  <c r="NN12" i="18"/>
  <c r="LR12" i="18"/>
  <c r="KT12" i="18"/>
  <c r="JV12" i="18"/>
  <c r="IX12" i="18"/>
  <c r="HZ12" i="18"/>
  <c r="HB12" i="18"/>
  <c r="GD12" i="18"/>
  <c r="FF12" i="18"/>
  <c r="EH12" i="18"/>
  <c r="DJ12" i="18"/>
  <c r="CL12" i="18"/>
  <c r="BN12" i="18"/>
  <c r="AP12" i="18"/>
  <c r="JD12" i="18"/>
  <c r="IF12" i="18"/>
  <c r="GJ12" i="18"/>
  <c r="DP12" i="18"/>
  <c r="CR12" i="18"/>
  <c r="PD12" i="18"/>
  <c r="KZ12" i="18"/>
  <c r="KB12" i="18"/>
  <c r="TE10" i="18"/>
  <c r="IE10" i="18"/>
  <c r="MA10" i="18"/>
  <c r="WO11" i="18"/>
  <c r="VQ11" i="18"/>
  <c r="US11" i="18"/>
  <c r="TU11" i="18"/>
  <c r="SW11" i="18"/>
  <c r="RY11" i="18"/>
  <c r="RA11" i="18"/>
  <c r="QC11" i="18"/>
  <c r="PE11" i="18"/>
  <c r="OG11" i="18"/>
  <c r="NI11" i="18"/>
  <c r="MK11" i="18"/>
  <c r="LM11" i="18"/>
  <c r="KO11" i="18"/>
  <c r="JQ11" i="18"/>
  <c r="IS11" i="18"/>
  <c r="HU11" i="18"/>
  <c r="GW11" i="18"/>
  <c r="FY11" i="18"/>
  <c r="FA11" i="18"/>
  <c r="EC11" i="18"/>
  <c r="DE11" i="18"/>
  <c r="CG11" i="18"/>
  <c r="BI11" i="18"/>
  <c r="AK11" i="18"/>
  <c r="VK11" i="18"/>
  <c r="OY11" i="18"/>
  <c r="ME11" i="18"/>
  <c r="EU11" i="18"/>
  <c r="CA11" i="18"/>
  <c r="WU11" i="18"/>
  <c r="VW11" i="18"/>
  <c r="UY11" i="18"/>
  <c r="UA11" i="18"/>
  <c r="TC11" i="18"/>
  <c r="SE11" i="18"/>
  <c r="RG11" i="18"/>
  <c r="QI11" i="18"/>
  <c r="PK11" i="18"/>
  <c r="OM11" i="18"/>
  <c r="NO11" i="18"/>
  <c r="MQ11" i="18"/>
  <c r="LS11" i="18"/>
  <c r="KU11" i="18"/>
  <c r="JW11" i="18"/>
  <c r="IY11" i="18"/>
  <c r="IA11" i="18"/>
  <c r="HC11" i="18"/>
  <c r="GE11" i="18"/>
  <c r="FG11" i="18"/>
  <c r="EI11" i="18"/>
  <c r="DK11" i="18"/>
  <c r="CM11" i="18"/>
  <c r="BO11" i="18"/>
  <c r="AQ11" i="18"/>
  <c r="XG11" i="18"/>
  <c r="QU11" i="18"/>
  <c r="PW11" i="18"/>
  <c r="OA11" i="18"/>
  <c r="IM11" i="18"/>
  <c r="HO11" i="18"/>
  <c r="GQ11" i="18"/>
  <c r="DW11" i="18"/>
  <c r="XA11" i="18"/>
  <c r="WC11" i="18"/>
  <c r="VE11" i="18"/>
  <c r="UG11" i="18"/>
  <c r="TI11" i="18"/>
  <c r="SK11" i="18"/>
  <c r="RM11" i="18"/>
  <c r="QO11" i="18"/>
  <c r="PQ11" i="18"/>
  <c r="OS11" i="18"/>
  <c r="NU11" i="18"/>
  <c r="MW11" i="18"/>
  <c r="LY11" i="18"/>
  <c r="LA11" i="18"/>
  <c r="KC11" i="18"/>
  <c r="JE11" i="18"/>
  <c r="IG11" i="18"/>
  <c r="HI11" i="18"/>
  <c r="GK11" i="18"/>
  <c r="FM11" i="18"/>
  <c r="EO11" i="18"/>
  <c r="DQ11" i="18"/>
  <c r="CS11" i="18"/>
  <c r="BU11" i="18"/>
  <c r="AW11" i="18"/>
  <c r="UM11" i="18"/>
  <c r="NC11" i="18"/>
  <c r="KI11" i="18"/>
  <c r="BC11" i="18"/>
  <c r="WI11" i="18"/>
  <c r="TO11" i="18"/>
  <c r="SQ11" i="18"/>
  <c r="RS11" i="18"/>
  <c r="LG11" i="18"/>
  <c r="JK11" i="18"/>
  <c r="FS11" i="18"/>
  <c r="CY11" i="18"/>
  <c r="NW10" i="18"/>
  <c r="QG10" i="18"/>
  <c r="II10" i="18"/>
  <c r="TM10" i="18"/>
  <c r="KE10" i="18"/>
  <c r="VO10" i="18"/>
  <c r="KK10" i="18"/>
  <c r="QA10" i="18"/>
  <c r="PI10" i="18"/>
  <c r="LP10" i="18"/>
  <c r="MU10" i="18"/>
  <c r="JA10" i="18"/>
  <c r="UW10" i="18"/>
  <c r="JS10" i="18"/>
  <c r="XE10" i="18"/>
  <c r="SU10" i="18"/>
  <c r="PB10" i="18"/>
  <c r="LJ10" i="18"/>
  <c r="EA10" i="18"/>
  <c r="WE10" i="18"/>
  <c r="SC10" i="18"/>
  <c r="OI10" i="18"/>
  <c r="DI10" i="18"/>
  <c r="VG10" i="18"/>
  <c r="PO10" i="18"/>
  <c r="LU10" i="18"/>
  <c r="RO10" i="18"/>
  <c r="RV10" i="18"/>
  <c r="NM10" i="18"/>
  <c r="MC10" i="18"/>
  <c r="PS10" i="18"/>
  <c r="PN10" i="18"/>
  <c r="EQ10" i="18"/>
  <c r="B21" i="9"/>
  <c r="B21" i="1"/>
  <c r="B21" i="7"/>
  <c r="AD18" i="5"/>
  <c r="AE18" i="5" s="1"/>
  <c r="AI18" i="5" s="1"/>
  <c r="B23" i="5"/>
  <c r="AE21" i="5"/>
  <c r="K21" i="5"/>
  <c r="B20" i="5"/>
  <c r="R18" i="5"/>
  <c r="AG18" i="5" s="1"/>
  <c r="K18" i="5"/>
  <c r="N12" i="18"/>
  <c r="B13" i="18"/>
  <c r="O12" i="18"/>
  <c r="Q8" i="18"/>
  <c r="R8" i="18"/>
  <c r="P8" i="18"/>
  <c r="P9" i="18"/>
  <c r="R9" i="18"/>
  <c r="Q9" i="18"/>
  <c r="B77" i="14"/>
  <c r="R73" i="14"/>
  <c r="R72" i="14" s="1"/>
  <c r="R71" i="14" s="1"/>
  <c r="R70" i="14" s="1"/>
  <c r="R69" i="14" s="1"/>
  <c r="R68" i="14" s="1"/>
  <c r="R67" i="14" s="1"/>
  <c r="R66" i="14" s="1"/>
  <c r="R65" i="14" s="1"/>
  <c r="R64" i="14" s="1"/>
  <c r="R63" i="14" s="1"/>
  <c r="R62" i="14" s="1"/>
  <c r="R61" i="14" s="1"/>
  <c r="R60" i="14" s="1"/>
  <c r="R59" i="14" s="1"/>
  <c r="R58" i="14" s="1"/>
  <c r="R57" i="14" s="1"/>
  <c r="R56" i="14" s="1"/>
  <c r="R55" i="14" s="1"/>
  <c r="R54" i="14" s="1"/>
  <c r="R53" i="14" s="1"/>
  <c r="R52" i="14" s="1"/>
  <c r="R51" i="14" s="1"/>
  <c r="R50" i="14" s="1"/>
  <c r="R49" i="14" s="1"/>
  <c r="R48" i="14" s="1"/>
  <c r="R47" i="14" s="1"/>
  <c r="R46" i="14" s="1"/>
  <c r="R45" i="14" s="1"/>
  <c r="R44" i="14" s="1"/>
  <c r="R43" i="14" s="1"/>
  <c r="R42" i="14" s="1"/>
  <c r="R41" i="14" s="1"/>
  <c r="R40" i="14" s="1"/>
  <c r="R39" i="14" s="1"/>
  <c r="R38" i="14" s="1"/>
  <c r="R37" i="14" s="1"/>
  <c r="R36" i="14" s="1"/>
  <c r="R35" i="14" s="1"/>
  <c r="R34" i="14" s="1"/>
  <c r="R33" i="14" s="1"/>
  <c r="R32" i="14" s="1"/>
  <c r="R31" i="14" s="1"/>
  <c r="R30" i="14" s="1"/>
  <c r="R29" i="14" s="1"/>
  <c r="R28" i="14" s="1"/>
  <c r="R27" i="14" s="1"/>
  <c r="R26" i="14" s="1"/>
  <c r="R25" i="14" s="1"/>
  <c r="R24" i="14" s="1"/>
  <c r="R23" i="14" s="1"/>
  <c r="R22" i="14" s="1"/>
  <c r="R21" i="14" s="1"/>
  <c r="R20" i="14" s="1"/>
  <c r="R19" i="14" s="1"/>
  <c r="R18" i="14" s="1"/>
  <c r="R17" i="14" s="1"/>
  <c r="R16" i="14" s="1"/>
  <c r="R15" i="14" s="1"/>
  <c r="R14" i="14" s="1"/>
  <c r="R13" i="14" s="1"/>
  <c r="R12" i="14" s="1"/>
  <c r="R11" i="14" s="1"/>
  <c r="R10" i="14" s="1"/>
  <c r="R9" i="14" s="1"/>
  <c r="R8" i="14" s="1"/>
  <c r="R7" i="14" s="1"/>
  <c r="R6" i="14" s="1"/>
  <c r="R5" i="14" s="1"/>
  <c r="Q73" i="14"/>
  <c r="Q72" i="14" s="1"/>
  <c r="Q71" i="14" s="1"/>
  <c r="Q70" i="14" s="1"/>
  <c r="Q69" i="14" s="1"/>
  <c r="Q68" i="14" s="1"/>
  <c r="Q67" i="14" s="1"/>
  <c r="Q66" i="14" s="1"/>
  <c r="Q65" i="14" s="1"/>
  <c r="Q64" i="14" s="1"/>
  <c r="Q63" i="14" s="1"/>
  <c r="Q62" i="14" s="1"/>
  <c r="Q61" i="14" s="1"/>
  <c r="Q60" i="14" s="1"/>
  <c r="Q59" i="14" s="1"/>
  <c r="Q58" i="14" s="1"/>
  <c r="Q57" i="14" s="1"/>
  <c r="Q56" i="14" s="1"/>
  <c r="Q55" i="14" s="1"/>
  <c r="Q54" i="14" s="1"/>
  <c r="Q53" i="14" s="1"/>
  <c r="Q52" i="14" s="1"/>
  <c r="Q51" i="14" s="1"/>
  <c r="Q50" i="14" s="1"/>
  <c r="Q49" i="14" s="1"/>
  <c r="Q48" i="14" s="1"/>
  <c r="Q47" i="14" s="1"/>
  <c r="Q46" i="14" s="1"/>
  <c r="Q45" i="14" s="1"/>
  <c r="Q44" i="14" s="1"/>
  <c r="Q43" i="14" s="1"/>
  <c r="S74" i="14" s="1"/>
  <c r="B22" i="8"/>
  <c r="B20" i="9"/>
  <c r="B23" i="8"/>
  <c r="O17" i="1"/>
  <c r="O16" i="1"/>
  <c r="BP17" i="1"/>
  <c r="X17" i="7" s="1"/>
  <c r="BQ17" i="1"/>
  <c r="B12" i="15"/>
  <c r="B20" i="1"/>
  <c r="N18" i="1"/>
  <c r="B20" i="7"/>
  <c r="Q19" i="5" l="1"/>
  <c r="U19" i="5" s="1"/>
  <c r="Q42" i="14"/>
  <c r="Q41" i="14" s="1"/>
  <c r="Q40" i="14" s="1"/>
  <c r="Q39" i="14" s="1"/>
  <c r="Q38" i="14" s="1"/>
  <c r="Q37" i="14" s="1"/>
  <c r="Q36" i="14" s="1"/>
  <c r="Q35" i="14" s="1"/>
  <c r="Q34" i="14" s="1"/>
  <c r="Q33" i="14" s="1"/>
  <c r="Q32" i="14" s="1"/>
  <c r="Q31" i="14" s="1"/>
  <c r="Q30" i="14" s="1"/>
  <c r="Q29" i="14" s="1"/>
  <c r="Q28" i="14" s="1"/>
  <c r="Q27" i="14" s="1"/>
  <c r="Q26" i="14" s="1"/>
  <c r="Q25" i="14" s="1"/>
  <c r="Q24" i="14" s="1"/>
  <c r="Q23" i="14" s="1"/>
  <c r="Q22" i="14" s="1"/>
  <c r="Q21" i="14" s="1"/>
  <c r="Q20" i="14" s="1"/>
  <c r="Q19" i="14" s="1"/>
  <c r="Q18" i="14" s="1"/>
  <c r="Q17" i="14" s="1"/>
  <c r="Q16" i="14" s="1"/>
  <c r="Q15" i="14" s="1"/>
  <c r="Q14" i="14" s="1"/>
  <c r="Q13" i="14" s="1"/>
  <c r="Q12" i="14" s="1"/>
  <c r="Q11" i="14" s="1"/>
  <c r="Q10" i="14" s="1"/>
  <c r="Q9" i="14" s="1"/>
  <c r="Q8" i="14" s="1"/>
  <c r="Q7" i="14" s="1"/>
  <c r="Q6" i="14" s="1"/>
  <c r="Q5" i="14" s="1"/>
  <c r="T74" i="14"/>
  <c r="U74" i="14"/>
  <c r="Q16" i="5"/>
  <c r="U16" i="5" s="1"/>
  <c r="R11" i="8"/>
  <c r="Q14" i="5"/>
  <c r="U14" i="5" s="1"/>
  <c r="BK11" i="18"/>
  <c r="B27" i="19"/>
  <c r="G27" i="19" s="1"/>
  <c r="F25" i="19"/>
  <c r="I19" i="9"/>
  <c r="I18" i="9"/>
  <c r="M17" i="9"/>
  <c r="L18" i="9"/>
  <c r="L19" i="9"/>
  <c r="M16" i="9"/>
  <c r="J19" i="9"/>
  <c r="J18" i="9"/>
  <c r="H20" i="9"/>
  <c r="K20" i="9" s="1"/>
  <c r="H21" i="9"/>
  <c r="K21" i="9" s="1"/>
  <c r="AJ16" i="5"/>
  <c r="AL16" i="5" s="1"/>
  <c r="F18" i="5"/>
  <c r="F21" i="5"/>
  <c r="F23" i="8"/>
  <c r="G23" i="8"/>
  <c r="F22" i="8"/>
  <c r="G22" i="8"/>
  <c r="I21" i="7"/>
  <c r="J21" i="7"/>
  <c r="I20" i="7"/>
  <c r="J20" i="7"/>
  <c r="U12" i="15"/>
  <c r="E12" i="15"/>
  <c r="D12" i="15"/>
  <c r="E13" i="18"/>
  <c r="G13" i="18" s="1"/>
  <c r="D13" i="18"/>
  <c r="F13" i="18" s="1"/>
  <c r="I23" i="5"/>
  <c r="J23" i="5" s="1"/>
  <c r="I20" i="5"/>
  <c r="J20" i="5" s="1"/>
  <c r="H21" i="1"/>
  <c r="I21" i="1" s="1"/>
  <c r="H20" i="1"/>
  <c r="I20" i="1" s="1"/>
  <c r="BW11" i="18"/>
  <c r="BL11" i="18"/>
  <c r="AN11" i="18"/>
  <c r="BR11" i="18"/>
  <c r="AM11" i="18"/>
  <c r="BE11" i="18"/>
  <c r="AS11" i="18"/>
  <c r="T12" i="15"/>
  <c r="SU11" i="18"/>
  <c r="EA11" i="18"/>
  <c r="PA11" i="18"/>
  <c r="UU11" i="18"/>
  <c r="BF11" i="18"/>
  <c r="AY11" i="18"/>
  <c r="AO11" i="18"/>
  <c r="AU11" i="18"/>
  <c r="TQ11" i="18"/>
  <c r="QA11" i="18"/>
  <c r="AZ11" i="18"/>
  <c r="UO11" i="18"/>
  <c r="QX11" i="18"/>
  <c r="BY11" i="18"/>
  <c r="BA11" i="18"/>
  <c r="CD11" i="18"/>
  <c r="BM11" i="18"/>
  <c r="BG11" i="18"/>
  <c r="BQ11" i="18"/>
  <c r="CE11" i="18"/>
  <c r="DB11" i="18"/>
  <c r="RW11" i="18"/>
  <c r="QF11" i="18"/>
  <c r="TW11" i="18"/>
  <c r="AT11" i="18"/>
  <c r="BX11" i="18"/>
  <c r="CC11" i="18"/>
  <c r="BS11" i="18"/>
  <c r="EK11" i="18"/>
  <c r="IE11" i="18"/>
  <c r="LV11" i="18"/>
  <c r="PM11" i="18"/>
  <c r="TF11" i="18"/>
  <c r="WY11" i="18"/>
  <c r="NL11" i="18"/>
  <c r="RC11" i="18"/>
  <c r="EW11" i="18"/>
  <c r="EE11" i="18"/>
  <c r="LQ11" i="18"/>
  <c r="ES11" i="18"/>
  <c r="IK11" i="18"/>
  <c r="MB11" i="18"/>
  <c r="PS11" i="18"/>
  <c r="TM11" i="18"/>
  <c r="XD11" i="18"/>
  <c r="IP11" i="18"/>
  <c r="XJ11" i="18"/>
  <c r="MH11" i="18"/>
  <c r="EL11" i="18"/>
  <c r="CQ11" i="18"/>
  <c r="GH11" i="18"/>
  <c r="JY11" i="18"/>
  <c r="NS11" i="18"/>
  <c r="RJ11" i="18"/>
  <c r="KK11" i="18"/>
  <c r="OD11" i="18"/>
  <c r="JS11" i="18"/>
  <c r="CU11" i="18"/>
  <c r="GN11" i="18"/>
  <c r="KG11" i="18"/>
  <c r="NX11" i="18"/>
  <c r="RP11" i="18"/>
  <c r="VI11" i="18"/>
  <c r="WX11" i="18"/>
  <c r="GU11" i="18"/>
  <c r="JA11" i="18"/>
  <c r="MS11" i="18"/>
  <c r="VO11" i="18"/>
  <c r="TE11" i="18"/>
  <c r="LW11" i="18"/>
  <c r="ID11" i="18"/>
  <c r="OE11" i="18"/>
  <c r="MO11" i="18"/>
  <c r="XI11" i="18"/>
  <c r="CJ11" i="18"/>
  <c r="TX11" i="18"/>
  <c r="VM11" i="18"/>
  <c r="LO11" i="18"/>
  <c r="FQ11" i="18"/>
  <c r="UJ11" i="18"/>
  <c r="VB11" i="18"/>
  <c r="JU11" i="18"/>
  <c r="HX11" i="18"/>
  <c r="SY11" i="18"/>
  <c r="HW11" i="18"/>
  <c r="TA11" i="18"/>
  <c r="IV11" i="18"/>
  <c r="OV11" i="18"/>
  <c r="KW11" i="18"/>
  <c r="WW11" i="18"/>
  <c r="PO11" i="18"/>
  <c r="LU11" i="18"/>
  <c r="IC11" i="18"/>
  <c r="JT11" i="18"/>
  <c r="OC11" i="18"/>
  <c r="TG11" i="18"/>
  <c r="PN11" i="18"/>
  <c r="EM11" i="18"/>
  <c r="LJ11" i="18"/>
  <c r="LE11" i="18"/>
  <c r="WR11" i="18"/>
  <c r="KM11" i="18"/>
  <c r="DN11" i="18"/>
  <c r="HF11" i="18"/>
  <c r="KY11" i="18"/>
  <c r="OP11" i="18"/>
  <c r="SH11" i="18"/>
  <c r="VY11" i="18"/>
  <c r="IW11" i="18"/>
  <c r="MM11" i="18"/>
  <c r="SZ11" i="18"/>
  <c r="LP11" i="18"/>
  <c r="EG11" i="18"/>
  <c r="FD11" i="18"/>
  <c r="HY11" i="18"/>
  <c r="EF11" i="18"/>
  <c r="FU11" i="18"/>
  <c r="JH11" i="18"/>
  <c r="NA11" i="18"/>
  <c r="QQ11" i="18"/>
  <c r="GB11" i="18"/>
  <c r="VZ11" i="18"/>
  <c r="JO11" i="18"/>
  <c r="NF11" i="18"/>
  <c r="FJ11" i="18"/>
  <c r="QM11" i="18"/>
  <c r="UD11" i="18"/>
  <c r="GY11" i="18"/>
  <c r="OJ11" i="18"/>
  <c r="SB11" i="18"/>
  <c r="MT11" i="18"/>
  <c r="GS11" i="18"/>
  <c r="HE11" i="18"/>
  <c r="GO11" i="18"/>
  <c r="OQ11" i="18"/>
  <c r="KL11" i="18"/>
  <c r="MC11" i="18"/>
  <c r="XE11" i="18"/>
  <c r="PU11" i="18"/>
  <c r="RU11" i="18"/>
  <c r="CO11" i="18"/>
  <c r="CK11" i="18"/>
  <c r="CP11" i="18"/>
  <c r="CI11" i="18"/>
  <c r="EQ11" i="18"/>
  <c r="IJ11" i="18"/>
  <c r="VG11" i="18"/>
  <c r="DZ11" i="18"/>
  <c r="HQ11" i="18"/>
  <c r="LI11" i="18"/>
  <c r="PC11" i="18"/>
  <c r="ST11" i="18"/>
  <c r="WK11" i="18"/>
  <c r="UW11" i="18"/>
  <c r="LC11" i="18"/>
  <c r="OU11" i="18"/>
  <c r="SN11" i="18"/>
  <c r="WQ11" i="18"/>
  <c r="WM11" i="18"/>
  <c r="SS11" i="18"/>
  <c r="PB11" i="18"/>
  <c r="HS11" i="18"/>
  <c r="DY11" i="18"/>
  <c r="LD11" i="18"/>
  <c r="QG11" i="18"/>
  <c r="MN11" i="18"/>
  <c r="IU11" i="18"/>
  <c r="MI11" i="18"/>
  <c r="UV11" i="18"/>
  <c r="SO11" i="18"/>
  <c r="RV11" i="18"/>
  <c r="DC11" i="18"/>
  <c r="PT11" i="18"/>
  <c r="II11" i="18"/>
  <c r="MA11" i="18"/>
  <c r="ER11" i="18"/>
  <c r="SI11" i="18"/>
  <c r="OO11" i="18"/>
  <c r="KX11" i="18"/>
  <c r="DO11" i="18"/>
  <c r="XC11" i="18"/>
  <c r="WL11" i="18"/>
  <c r="LK11" i="18"/>
  <c r="HR11" i="18"/>
  <c r="TY11" i="18"/>
  <c r="QE11" i="18"/>
  <c r="OW11" i="18"/>
  <c r="XK11" i="18"/>
  <c r="MG11" i="18"/>
  <c r="SM11" i="18"/>
  <c r="DA11" i="18"/>
  <c r="WS11" i="18"/>
  <c r="WA11" i="18"/>
  <c r="SG11" i="18"/>
  <c r="HG11" i="18"/>
  <c r="DM11" i="18"/>
  <c r="DH11" i="18"/>
  <c r="KS11" i="18"/>
  <c r="VS11" i="18"/>
  <c r="DT11" i="18"/>
  <c r="HM11" i="18"/>
  <c r="WE11" i="18"/>
  <c r="RD11" i="18"/>
  <c r="UP11" i="18"/>
  <c r="NQ11" i="18"/>
  <c r="JI11" i="18"/>
  <c r="FV11" i="18"/>
  <c r="HK11" i="18"/>
  <c r="JZ11" i="18"/>
  <c r="TK11" i="18"/>
  <c r="EX11" i="18"/>
  <c r="IQ11" i="18"/>
  <c r="WG11" i="18"/>
  <c r="QR11" i="18"/>
  <c r="PH11" i="18"/>
  <c r="FE11" i="18"/>
  <c r="FO11" i="18"/>
  <c r="UI11" i="18"/>
  <c r="NM11" i="18"/>
  <c r="MY11" i="18"/>
  <c r="RK11" i="18"/>
  <c r="QK11" i="18"/>
  <c r="JB11" i="18"/>
  <c r="NG11" i="18"/>
  <c r="JM11" i="18"/>
  <c r="NY11" i="18"/>
  <c r="VT11" i="18"/>
  <c r="OK11" i="18"/>
  <c r="KQ11" i="18"/>
  <c r="GZ11" i="18"/>
  <c r="KE11" i="18"/>
  <c r="CV11" i="18"/>
  <c r="PY11" i="18"/>
  <c r="UC11" i="18"/>
  <c r="XG12" i="18"/>
  <c r="WI12" i="18"/>
  <c r="VK12" i="18"/>
  <c r="UM12" i="18"/>
  <c r="TO12" i="18"/>
  <c r="SQ12" i="18"/>
  <c r="RS12" i="18"/>
  <c r="QU12" i="18"/>
  <c r="PW12" i="18"/>
  <c r="OY12" i="18"/>
  <c r="OA12" i="18"/>
  <c r="NC12" i="18"/>
  <c r="ME12" i="18"/>
  <c r="WO12" i="18"/>
  <c r="VQ12" i="18"/>
  <c r="US12" i="18"/>
  <c r="TU12" i="18"/>
  <c r="SW12" i="18"/>
  <c r="RY12" i="18"/>
  <c r="RA12" i="18"/>
  <c r="QC12" i="18"/>
  <c r="PE12" i="18"/>
  <c r="OG12" i="18"/>
  <c r="NI12" i="18"/>
  <c r="MK12" i="18"/>
  <c r="XA12" i="18"/>
  <c r="VE12" i="18"/>
  <c r="TI12" i="18"/>
  <c r="RM12" i="18"/>
  <c r="PQ12" i="18"/>
  <c r="NU12" i="18"/>
  <c r="LY12" i="18"/>
  <c r="LM12" i="18"/>
  <c r="KO12" i="18"/>
  <c r="JQ12" i="18"/>
  <c r="IS12" i="18"/>
  <c r="HU12" i="18"/>
  <c r="GW12" i="18"/>
  <c r="FY12" i="18"/>
  <c r="FA12" i="18"/>
  <c r="EC12" i="18"/>
  <c r="DE12" i="18"/>
  <c r="CG12" i="18"/>
  <c r="BI12" i="18"/>
  <c r="AK12" i="18"/>
  <c r="QI12" i="18"/>
  <c r="LG12" i="18"/>
  <c r="IM12" i="18"/>
  <c r="WU12" i="18"/>
  <c r="UY12" i="18"/>
  <c r="TC12" i="18"/>
  <c r="RG12" i="18"/>
  <c r="PK12" i="18"/>
  <c r="NO12" i="18"/>
  <c r="LS12" i="18"/>
  <c r="KU12" i="18"/>
  <c r="JW12" i="18"/>
  <c r="IY12" i="18"/>
  <c r="IA12" i="18"/>
  <c r="HC12" i="18"/>
  <c r="GE12" i="18"/>
  <c r="FG12" i="18"/>
  <c r="EI12" i="18"/>
  <c r="DK12" i="18"/>
  <c r="CM12" i="18"/>
  <c r="BO12" i="18"/>
  <c r="AQ12" i="18"/>
  <c r="OM12" i="18"/>
  <c r="KI12" i="18"/>
  <c r="JK12" i="18"/>
  <c r="GQ12" i="18"/>
  <c r="CY12" i="18"/>
  <c r="WC12" i="18"/>
  <c r="UG12" i="18"/>
  <c r="SK12" i="18"/>
  <c r="QO12" i="18"/>
  <c r="OS12" i="18"/>
  <c r="MW12" i="18"/>
  <c r="LA12" i="18"/>
  <c r="KC12" i="18"/>
  <c r="JE12" i="18"/>
  <c r="IG12" i="18"/>
  <c r="HI12" i="18"/>
  <c r="GK12" i="18"/>
  <c r="FM12" i="18"/>
  <c r="EO12" i="18"/>
  <c r="DQ12" i="18"/>
  <c r="CS12" i="18"/>
  <c r="BU12" i="18"/>
  <c r="AW12" i="18"/>
  <c r="VW12" i="18"/>
  <c r="UA12" i="18"/>
  <c r="FS12" i="18"/>
  <c r="EU12" i="18"/>
  <c r="DW12" i="18"/>
  <c r="CA12" i="18"/>
  <c r="BC12" i="18"/>
  <c r="SE12" i="18"/>
  <c r="MQ12" i="18"/>
  <c r="HO12" i="18"/>
  <c r="FC11" i="18"/>
  <c r="FP11" i="18"/>
  <c r="GM11" i="18"/>
  <c r="VN11" i="18"/>
  <c r="GT11" i="18"/>
  <c r="PI11" i="18"/>
  <c r="VH11" i="18"/>
  <c r="TS11" i="18"/>
  <c r="IO11" i="18"/>
  <c r="MZ11" i="18"/>
  <c r="GC11" i="18"/>
  <c r="JG11" i="18"/>
  <c r="QL11" i="18"/>
  <c r="RQ11" i="18"/>
  <c r="QY11" i="18"/>
  <c r="NE11" i="18"/>
  <c r="JN11" i="18"/>
  <c r="NW11" i="18"/>
  <c r="HL11" i="18"/>
  <c r="SC11" i="18"/>
  <c r="OI11" i="18"/>
  <c r="KR11" i="18"/>
  <c r="DI11" i="18"/>
  <c r="WF11" i="18"/>
  <c r="KF11" i="18"/>
  <c r="VC11" i="18"/>
  <c r="RI11" i="18"/>
  <c r="NR11" i="18"/>
  <c r="GI11" i="18"/>
  <c r="TL11" i="18"/>
  <c r="PZ11" i="18"/>
  <c r="DU11" i="18"/>
  <c r="NK11" i="18"/>
  <c r="FK11" i="18"/>
  <c r="WZ13" i="18"/>
  <c r="WB13" i="18"/>
  <c r="VD13" i="18"/>
  <c r="UF13" i="18"/>
  <c r="TH13" i="18"/>
  <c r="SJ13" i="18"/>
  <c r="RL13" i="18"/>
  <c r="QN13" i="18"/>
  <c r="PP13" i="18"/>
  <c r="OR13" i="18"/>
  <c r="NT13" i="18"/>
  <c r="MV13" i="18"/>
  <c r="LX13" i="18"/>
  <c r="KZ13" i="18"/>
  <c r="KB13" i="18"/>
  <c r="JD13" i="18"/>
  <c r="IF13" i="18"/>
  <c r="HH13" i="18"/>
  <c r="GJ13" i="18"/>
  <c r="FL13" i="18"/>
  <c r="EN13" i="18"/>
  <c r="DP13" i="18"/>
  <c r="CR13" i="18"/>
  <c r="BT13" i="18"/>
  <c r="AV13" i="18"/>
  <c r="XF13" i="18"/>
  <c r="WH13" i="18"/>
  <c r="VJ13" i="18"/>
  <c r="UL13" i="18"/>
  <c r="TN13" i="18"/>
  <c r="SP13" i="18"/>
  <c r="RR13" i="18"/>
  <c r="QT13" i="18"/>
  <c r="PV13" i="18"/>
  <c r="OX13" i="18"/>
  <c r="NZ13" i="18"/>
  <c r="NB13" i="18"/>
  <c r="MD13" i="18"/>
  <c r="LF13" i="18"/>
  <c r="KH13" i="18"/>
  <c r="JJ13" i="18"/>
  <c r="IL13" i="18"/>
  <c r="HN13" i="18"/>
  <c r="GP13" i="18"/>
  <c r="FR13" i="18"/>
  <c r="ET13" i="18"/>
  <c r="DV13" i="18"/>
  <c r="CX13" i="18"/>
  <c r="BZ13" i="18"/>
  <c r="BB13" i="18"/>
  <c r="WT13" i="18"/>
  <c r="UX13" i="18"/>
  <c r="TB13" i="18"/>
  <c r="RF13" i="18"/>
  <c r="PJ13" i="18"/>
  <c r="NN13" i="18"/>
  <c r="LR13" i="18"/>
  <c r="JV13" i="18"/>
  <c r="HZ13" i="18"/>
  <c r="GD13" i="18"/>
  <c r="EH13" i="18"/>
  <c r="CL13" i="18"/>
  <c r="AP13" i="18"/>
  <c r="WN13" i="18"/>
  <c r="UR13" i="18"/>
  <c r="SV13" i="18"/>
  <c r="QZ13" i="18"/>
  <c r="PD13" i="18"/>
  <c r="NH13" i="18"/>
  <c r="LL13" i="18"/>
  <c r="JP13" i="18"/>
  <c r="HT13" i="18"/>
  <c r="FX13" i="18"/>
  <c r="EB13" i="18"/>
  <c r="CF13" i="18"/>
  <c r="AJ13" i="18"/>
  <c r="TT13" i="18"/>
  <c r="RX13" i="18"/>
  <c r="QB13" i="18"/>
  <c r="MJ13" i="18"/>
  <c r="KN13" i="18"/>
  <c r="IR13" i="18"/>
  <c r="GV13" i="18"/>
  <c r="DD13" i="18"/>
  <c r="VV13" i="18"/>
  <c r="TZ13" i="18"/>
  <c r="SD13" i="18"/>
  <c r="QH13" i="18"/>
  <c r="OL13" i="18"/>
  <c r="MP13" i="18"/>
  <c r="KT13" i="18"/>
  <c r="IX13" i="18"/>
  <c r="HB13" i="18"/>
  <c r="FF13" i="18"/>
  <c r="DJ13" i="18"/>
  <c r="BN13" i="18"/>
  <c r="VP13" i="18"/>
  <c r="OF13" i="18"/>
  <c r="EZ13" i="18"/>
  <c r="BH13" i="18"/>
  <c r="UK11" i="18"/>
  <c r="MU11" i="18"/>
  <c r="PG11" i="18"/>
  <c r="TR11" i="18"/>
  <c r="RE11" i="18"/>
  <c r="GA11" i="18"/>
  <c r="JC11" i="18"/>
  <c r="RO11" i="18"/>
  <c r="UQ11" i="18"/>
  <c r="QW11" i="18"/>
  <c r="FW11" i="18"/>
  <c r="VU11" i="18"/>
  <c r="SA11" i="18"/>
  <c r="HA11" i="18"/>
  <c r="DG11" i="18"/>
  <c r="CW11" i="18"/>
  <c r="VA11" i="18"/>
  <c r="KA11" i="18"/>
  <c r="GG11" i="18"/>
  <c r="QS11" i="18"/>
  <c r="EY11" i="18"/>
  <c r="DS11" i="18"/>
  <c r="UE11" i="18"/>
  <c r="FI11" i="18"/>
  <c r="WP12" i="18"/>
  <c r="VR12" i="18"/>
  <c r="UT12" i="18"/>
  <c r="TV12" i="18"/>
  <c r="SX12" i="18"/>
  <c r="RZ12" i="18"/>
  <c r="RB12" i="18"/>
  <c r="QD12" i="18"/>
  <c r="PF12" i="18"/>
  <c r="OH12" i="18"/>
  <c r="NJ12" i="18"/>
  <c r="ML12" i="18"/>
  <c r="WV12" i="18"/>
  <c r="VX12" i="18"/>
  <c r="UZ12" i="18"/>
  <c r="UB12" i="18"/>
  <c r="TD12" i="18"/>
  <c r="SF12" i="18"/>
  <c r="RH12" i="18"/>
  <c r="QJ12" i="18"/>
  <c r="PL12" i="18"/>
  <c r="ON12" i="18"/>
  <c r="NP12" i="18"/>
  <c r="MR12" i="18"/>
  <c r="LT12" i="18"/>
  <c r="WJ12" i="18"/>
  <c r="UN12" i="18"/>
  <c r="SR12" i="18"/>
  <c r="QV12" i="18"/>
  <c r="OZ12" i="18"/>
  <c r="ND12" i="18"/>
  <c r="KV12" i="18"/>
  <c r="JX12" i="18"/>
  <c r="IZ12" i="18"/>
  <c r="IB12" i="18"/>
  <c r="HD12" i="18"/>
  <c r="GF12" i="18"/>
  <c r="FH12" i="18"/>
  <c r="EJ12" i="18"/>
  <c r="DL12" i="18"/>
  <c r="CN12" i="18"/>
  <c r="BP12" i="18"/>
  <c r="AR12" i="18"/>
  <c r="JR12" i="18"/>
  <c r="FZ12" i="18"/>
  <c r="DF12" i="18"/>
  <c r="WD12" i="18"/>
  <c r="UH12" i="18"/>
  <c r="SL12" i="18"/>
  <c r="QP12" i="18"/>
  <c r="OT12" i="18"/>
  <c r="MX12" i="18"/>
  <c r="LB12" i="18"/>
  <c r="KD12" i="18"/>
  <c r="JF12" i="18"/>
  <c r="IH12" i="18"/>
  <c r="HJ12" i="18"/>
  <c r="GL12" i="18"/>
  <c r="FN12" i="18"/>
  <c r="EP12" i="18"/>
  <c r="DR12" i="18"/>
  <c r="CT12" i="18"/>
  <c r="BV12" i="18"/>
  <c r="AX12" i="18"/>
  <c r="AZ12" i="18" s="1"/>
  <c r="XB12" i="18"/>
  <c r="TJ12" i="18"/>
  <c r="LZ12" i="18"/>
  <c r="HV12" i="18"/>
  <c r="ED12" i="18"/>
  <c r="BJ12" i="18"/>
  <c r="BM12" i="18" s="1"/>
  <c r="XH12" i="18"/>
  <c r="VL12" i="18"/>
  <c r="TP12" i="18"/>
  <c r="RT12" i="18"/>
  <c r="PX12" i="18"/>
  <c r="OB12" i="18"/>
  <c r="MF12" i="18"/>
  <c r="LH12" i="18"/>
  <c r="KJ12" i="18"/>
  <c r="JL12" i="18"/>
  <c r="IN12" i="18"/>
  <c r="HP12" i="18"/>
  <c r="GR12" i="18"/>
  <c r="FT12" i="18"/>
  <c r="EV12" i="18"/>
  <c r="DX12" i="18"/>
  <c r="CZ12" i="18"/>
  <c r="CB12" i="18"/>
  <c r="BD12" i="18"/>
  <c r="RN12" i="18"/>
  <c r="PR12" i="18"/>
  <c r="NV12" i="18"/>
  <c r="LN12" i="18"/>
  <c r="KP12" i="18"/>
  <c r="GX12" i="18"/>
  <c r="VF12" i="18"/>
  <c r="IT12" i="18"/>
  <c r="FB12" i="18"/>
  <c r="CH12" i="18"/>
  <c r="AL12" i="18"/>
  <c r="Q10" i="18"/>
  <c r="P10" i="18"/>
  <c r="S9" i="18" s="1"/>
  <c r="R10" i="18"/>
  <c r="B23" i="7"/>
  <c r="B23" i="1"/>
  <c r="B23" i="9"/>
  <c r="AD20" i="5"/>
  <c r="AE20" i="5" s="1"/>
  <c r="AI20" i="5" s="1"/>
  <c r="B25" i="5"/>
  <c r="R23" i="5"/>
  <c r="AG23" i="5" s="1"/>
  <c r="AE23" i="5"/>
  <c r="K23" i="5"/>
  <c r="B22" i="5"/>
  <c r="R20" i="5"/>
  <c r="AG20" i="5" s="1"/>
  <c r="K20" i="5"/>
  <c r="N13" i="18"/>
  <c r="O13" i="18"/>
  <c r="B14" i="18"/>
  <c r="T8" i="18"/>
  <c r="S8" i="18"/>
  <c r="Q74" i="14"/>
  <c r="U75" i="14"/>
  <c r="T75" i="14"/>
  <c r="S75" i="14"/>
  <c r="R74" i="14"/>
  <c r="B78" i="14"/>
  <c r="B25" i="8"/>
  <c r="B24" i="8"/>
  <c r="BP19" i="1"/>
  <c r="X19" i="7" s="1"/>
  <c r="O18" i="1"/>
  <c r="BQ19" i="1"/>
  <c r="O19" i="1"/>
  <c r="B13" i="15"/>
  <c r="B22" i="9"/>
  <c r="B22" i="1"/>
  <c r="N20" i="1"/>
  <c r="B22" i="7"/>
  <c r="Q21" i="5" l="1"/>
  <c r="U21" i="5" s="1"/>
  <c r="Q18" i="5"/>
  <c r="U18" i="5" s="1"/>
  <c r="R13" i="8"/>
  <c r="R22" i="5"/>
  <c r="AG22" i="5" s="1"/>
  <c r="B29" i="19"/>
  <c r="G29" i="19" s="1"/>
  <c r="F27" i="19"/>
  <c r="I21" i="9"/>
  <c r="I20" i="9"/>
  <c r="F20" i="5"/>
  <c r="L20" i="9"/>
  <c r="L21" i="9"/>
  <c r="M18" i="9"/>
  <c r="M19" i="9"/>
  <c r="J21" i="9"/>
  <c r="AJ18" i="5"/>
  <c r="AL18" i="5" s="1"/>
  <c r="J20" i="9"/>
  <c r="H22" i="9"/>
  <c r="K22" i="9" s="1"/>
  <c r="H23" i="9"/>
  <c r="K23" i="9" s="1"/>
  <c r="F23" i="5"/>
  <c r="F24" i="8"/>
  <c r="G24" i="8"/>
  <c r="F25" i="8"/>
  <c r="G25" i="8"/>
  <c r="J23" i="7"/>
  <c r="I23" i="7"/>
  <c r="I22" i="7"/>
  <c r="J22" i="7"/>
  <c r="U13" i="15"/>
  <c r="Y13" i="18" s="1"/>
  <c r="D13" i="15"/>
  <c r="E13" i="15"/>
  <c r="D14" i="18"/>
  <c r="F14" i="18" s="1"/>
  <c r="E14" i="18"/>
  <c r="G14" i="18" s="1"/>
  <c r="I22" i="5"/>
  <c r="J22" i="5" s="1"/>
  <c r="I25" i="5"/>
  <c r="J25" i="5" s="1"/>
  <c r="H23" i="1"/>
  <c r="I23" i="1" s="1"/>
  <c r="H22" i="1"/>
  <c r="I22" i="1" s="1"/>
  <c r="BR12" i="18"/>
  <c r="U8" i="18"/>
  <c r="T13" i="15"/>
  <c r="CJ12" i="18"/>
  <c r="KQ12" i="18"/>
  <c r="DH12" i="18"/>
  <c r="FJ12" i="18"/>
  <c r="JC12" i="18"/>
  <c r="PB12" i="18"/>
  <c r="WK12" i="18"/>
  <c r="CC12" i="18"/>
  <c r="DN12" i="18"/>
  <c r="HG12" i="18"/>
  <c r="BA12" i="18"/>
  <c r="AY12" i="18"/>
  <c r="BY12" i="18"/>
  <c r="BE12" i="18"/>
  <c r="BW12" i="18"/>
  <c r="AM12" i="18"/>
  <c r="BX12" i="18"/>
  <c r="MH12" i="18"/>
  <c r="CP12" i="18"/>
  <c r="GI12" i="18"/>
  <c r="JY12" i="18"/>
  <c r="PM12" i="18"/>
  <c r="WX12" i="18"/>
  <c r="AS12" i="18"/>
  <c r="BL12" i="18"/>
  <c r="BQ12" i="18"/>
  <c r="BF12" i="18"/>
  <c r="AU12" i="18"/>
  <c r="BK12" i="18"/>
  <c r="AO12" i="18"/>
  <c r="AT12" i="18"/>
  <c r="BS12" i="18"/>
  <c r="BG12" i="18"/>
  <c r="AN12" i="18"/>
  <c r="QY12" i="18"/>
  <c r="TQ12" i="18"/>
  <c r="LI12" i="18"/>
  <c r="MA12" i="18"/>
  <c r="DA12" i="18"/>
  <c r="NF12" i="18"/>
  <c r="RI12" i="18"/>
  <c r="NM12" i="18"/>
  <c r="RD12" i="18"/>
  <c r="UW12" i="18"/>
  <c r="FE12" i="18"/>
  <c r="TM12" i="18"/>
  <c r="GO12" i="18"/>
  <c r="OQ12" i="18"/>
  <c r="KK12" i="18"/>
  <c r="QA12" i="18"/>
  <c r="XJ12" i="18"/>
  <c r="FV12" i="18"/>
  <c r="MN12" i="18"/>
  <c r="QE12" i="18"/>
  <c r="TY12" i="18"/>
  <c r="FP12" i="18"/>
  <c r="JH12" i="18"/>
  <c r="OV12" i="18"/>
  <c r="WE12" i="18"/>
  <c r="RP12" i="18"/>
  <c r="QG12" i="18"/>
  <c r="DG12" i="18"/>
  <c r="SO12" i="18"/>
  <c r="GB12" i="18"/>
  <c r="SH12" i="18"/>
  <c r="SG12" i="18"/>
  <c r="GY12" i="18"/>
  <c r="PU12" i="18"/>
  <c r="NQ12" i="18"/>
  <c r="VA12" i="18"/>
  <c r="SI12" i="18"/>
  <c r="XD12" i="18"/>
  <c r="LE12" i="18"/>
  <c r="PG12" i="18"/>
  <c r="SY12" i="18"/>
  <c r="WS12" i="18"/>
  <c r="JO12" i="18"/>
  <c r="ER12" i="18"/>
  <c r="II12" i="18"/>
  <c r="UI12" i="18"/>
  <c r="SU12" i="18"/>
  <c r="QK12" i="18"/>
  <c r="CI12" i="18"/>
  <c r="CE12" i="18"/>
  <c r="XC12" i="18"/>
  <c r="CK12" i="18"/>
  <c r="CD12" i="18"/>
  <c r="KR12" i="18"/>
  <c r="DZ12" i="18"/>
  <c r="LJ12" i="18"/>
  <c r="EA12" i="18"/>
  <c r="DI12" i="18"/>
  <c r="VI12" i="18"/>
  <c r="NW12" i="18"/>
  <c r="OC12" i="18"/>
  <c r="VO12" i="18"/>
  <c r="JT12" i="18"/>
  <c r="MU12" i="18"/>
  <c r="LK12" i="18"/>
  <c r="GU12" i="18"/>
  <c r="XE12" i="18"/>
  <c r="WR12" i="18"/>
  <c r="DY12" i="18"/>
  <c r="VY12" i="18"/>
  <c r="OK12" i="18"/>
  <c r="VS12" i="18"/>
  <c r="KS12" i="18"/>
  <c r="TR12" i="18"/>
  <c r="PH12" i="18"/>
  <c r="FI12" i="18"/>
  <c r="HM12" i="18"/>
  <c r="ID12" i="18"/>
  <c r="LW12" i="18"/>
  <c r="RV12" i="18"/>
  <c r="VT12" i="18"/>
  <c r="EW12" i="18"/>
  <c r="OI12" i="18"/>
  <c r="WW12" i="18"/>
  <c r="SN12" i="18"/>
  <c r="GH12" i="18"/>
  <c r="HQ12" i="18"/>
  <c r="UC12" i="18"/>
  <c r="CU12" i="18"/>
  <c r="PS12" i="18"/>
  <c r="WQ12" i="18"/>
  <c r="GZ12" i="18"/>
  <c r="WG12" i="18"/>
  <c r="TS12" i="18"/>
  <c r="KM12" i="18"/>
  <c r="VU12" i="18"/>
  <c r="GC12" i="18"/>
  <c r="JZ12" i="18"/>
  <c r="PI12" i="18"/>
  <c r="PA12" i="18"/>
  <c r="JB12" i="18"/>
  <c r="EE12" i="18"/>
  <c r="HW12" i="18"/>
  <c r="LP12" i="18"/>
  <c r="EG12" i="18"/>
  <c r="GM12" i="18"/>
  <c r="KG12" i="18"/>
  <c r="QR12" i="18"/>
  <c r="DB12" i="18"/>
  <c r="OP12" i="18"/>
  <c r="DO12" i="18"/>
  <c r="HF12" i="18"/>
  <c r="KW12" i="18"/>
  <c r="RJ12" i="18"/>
  <c r="IQ12" i="18"/>
  <c r="FD12" i="18"/>
  <c r="IU12" i="18"/>
  <c r="MB12" i="18"/>
  <c r="TK12" i="18"/>
  <c r="NL12" i="18"/>
  <c r="RE12" i="18"/>
  <c r="UU12" i="18"/>
  <c r="NG12" i="18"/>
  <c r="QW12" i="18"/>
  <c r="UO12" i="18"/>
  <c r="GT12" i="18"/>
  <c r="HS12" i="18"/>
  <c r="SM12" i="18"/>
  <c r="PY12" i="18"/>
  <c r="OJ12" i="18"/>
  <c r="PO12" i="18"/>
  <c r="GG12" i="18"/>
  <c r="RO12" i="18"/>
  <c r="FO12" i="18"/>
  <c r="LD12" i="18"/>
  <c r="MT12" i="18"/>
  <c r="DS12" i="18"/>
  <c r="HL12" i="18"/>
  <c r="EL12" i="18"/>
  <c r="IE12" i="18"/>
  <c r="LU12" i="18"/>
  <c r="TE12" i="18"/>
  <c r="SC12" i="18"/>
  <c r="OD12" i="18"/>
  <c r="RW12" i="18"/>
  <c r="VM12" i="18"/>
  <c r="SB12" i="18"/>
  <c r="EK12" i="18"/>
  <c r="DU12" i="18"/>
  <c r="PT12" i="18"/>
  <c r="JG12" i="18"/>
  <c r="OU12" i="18"/>
  <c r="MG12" i="18"/>
  <c r="TA12" i="18"/>
  <c r="KA12" i="18"/>
  <c r="CO12" i="18"/>
  <c r="WM12" i="18"/>
  <c r="NS12" i="18"/>
  <c r="EX12" i="18"/>
  <c r="EQ12" i="18"/>
  <c r="MZ12" i="18"/>
  <c r="UK12" i="18"/>
  <c r="LO12" i="18"/>
  <c r="JS12" i="18"/>
  <c r="ST12" i="18"/>
  <c r="JN12" i="18"/>
  <c r="TX12" i="18"/>
  <c r="MM12" i="18"/>
  <c r="KF12" i="18"/>
  <c r="TL12" i="18"/>
  <c r="UQ12" i="18"/>
  <c r="QX12" i="18"/>
  <c r="NE12" i="18"/>
  <c r="HR12" i="18"/>
  <c r="QF12" i="18"/>
  <c r="UV12" i="18"/>
  <c r="KY12" i="18"/>
  <c r="HE12" i="18"/>
  <c r="DM12" i="18"/>
  <c r="CW12" i="18"/>
  <c r="WF12" i="18"/>
  <c r="XK12" i="18"/>
  <c r="PZ12" i="18"/>
  <c r="QM12" i="18"/>
  <c r="KL12" i="18"/>
  <c r="GS12" i="18"/>
  <c r="RC12" i="18"/>
  <c r="IK12" i="18"/>
  <c r="VG12" i="18"/>
  <c r="NY12" i="18"/>
  <c r="WL12" i="18"/>
  <c r="SS12" i="18"/>
  <c r="WA12" i="18"/>
  <c r="OO12" i="18"/>
  <c r="JM12" i="18"/>
  <c r="NK12" i="18"/>
  <c r="TW12" i="18"/>
  <c r="IW12" i="18"/>
  <c r="FC12" i="18"/>
  <c r="VC12" i="18"/>
  <c r="NR12" i="18"/>
  <c r="JA12" i="18"/>
  <c r="GN12" i="18"/>
  <c r="LC12" i="18"/>
  <c r="UJ12" i="18"/>
  <c r="NA12" i="18"/>
  <c r="VN12" i="18"/>
  <c r="RU12" i="18"/>
  <c r="UE12" i="18"/>
  <c r="MS12" i="18"/>
  <c r="IO12" i="18"/>
  <c r="HK12" i="18"/>
  <c r="SA12" i="18"/>
  <c r="HY12" i="18"/>
  <c r="EF12" i="18"/>
  <c r="TG12" i="18"/>
  <c r="LV12" i="18"/>
  <c r="IC12" i="18"/>
  <c r="DT12" i="18"/>
  <c r="KE12" i="18"/>
  <c r="VH12" i="18"/>
  <c r="QQ12" i="18"/>
  <c r="IP12" i="18"/>
  <c r="WT14" i="18"/>
  <c r="VV14" i="18"/>
  <c r="UX14" i="18"/>
  <c r="TZ14" i="18"/>
  <c r="TB14" i="18"/>
  <c r="WZ14" i="18"/>
  <c r="WB14" i="18"/>
  <c r="VD14" i="18"/>
  <c r="UF14" i="18"/>
  <c r="TH14" i="18"/>
  <c r="SJ14" i="18"/>
  <c r="RL14" i="18"/>
  <c r="QN14" i="18"/>
  <c r="PP14" i="18"/>
  <c r="OR14" i="18"/>
  <c r="NT14" i="18"/>
  <c r="MV14" i="18"/>
  <c r="LX14" i="18"/>
  <c r="KZ14" i="18"/>
  <c r="KB14" i="18"/>
  <c r="JD14" i="18"/>
  <c r="IF14" i="18"/>
  <c r="HH14" i="18"/>
  <c r="GJ14" i="18"/>
  <c r="FL14" i="18"/>
  <c r="EN14" i="18"/>
  <c r="DP14" i="18"/>
  <c r="CR14" i="18"/>
  <c r="BT14" i="18"/>
  <c r="AV14" i="18"/>
  <c r="XF14" i="18"/>
  <c r="WH14" i="18"/>
  <c r="VJ14" i="18"/>
  <c r="UL14" i="18"/>
  <c r="TN14" i="18"/>
  <c r="SP14" i="18"/>
  <c r="RR14" i="18"/>
  <c r="QT14" i="18"/>
  <c r="PV14" i="18"/>
  <c r="OX14" i="18"/>
  <c r="NZ14" i="18"/>
  <c r="NB14" i="18"/>
  <c r="MD14" i="18"/>
  <c r="LF14" i="18"/>
  <c r="KH14" i="18"/>
  <c r="JJ14" i="18"/>
  <c r="IL14" i="18"/>
  <c r="HN14" i="18"/>
  <c r="GP14" i="18"/>
  <c r="FR14" i="18"/>
  <c r="ET14" i="18"/>
  <c r="DV14" i="18"/>
  <c r="CX14" i="18"/>
  <c r="BZ14" i="18"/>
  <c r="BB14" i="18"/>
  <c r="TT14" i="18"/>
  <c r="SD14" i="18"/>
  <c r="QH14" i="18"/>
  <c r="OL14" i="18"/>
  <c r="MP14" i="18"/>
  <c r="KT14" i="18"/>
  <c r="IX14" i="18"/>
  <c r="HB14" i="18"/>
  <c r="FF14" i="18"/>
  <c r="DJ14" i="18"/>
  <c r="BN14" i="18"/>
  <c r="UR14" i="18"/>
  <c r="RX14" i="18"/>
  <c r="QB14" i="18"/>
  <c r="OF14" i="18"/>
  <c r="MJ14" i="18"/>
  <c r="KN14" i="18"/>
  <c r="IR14" i="18"/>
  <c r="GV14" i="18"/>
  <c r="EZ14" i="18"/>
  <c r="DD14" i="18"/>
  <c r="BH14" i="18"/>
  <c r="QZ14" i="18"/>
  <c r="PD14" i="18"/>
  <c r="FX14" i="18"/>
  <c r="VP14" i="18"/>
  <c r="RF14" i="18"/>
  <c r="PJ14" i="18"/>
  <c r="NN14" i="18"/>
  <c r="LR14" i="18"/>
  <c r="JV14" i="18"/>
  <c r="HZ14" i="18"/>
  <c r="GD14" i="18"/>
  <c r="EH14" i="18"/>
  <c r="CL14" i="18"/>
  <c r="AP14" i="18"/>
  <c r="SV14" i="18"/>
  <c r="NH14" i="18"/>
  <c r="JP14" i="18"/>
  <c r="HT14" i="18"/>
  <c r="CF14" i="18"/>
  <c r="AJ14" i="18"/>
  <c r="WN14" i="18"/>
  <c r="LL14" i="18"/>
  <c r="EB14" i="18"/>
  <c r="MC12" i="18"/>
  <c r="UP12" i="18"/>
  <c r="HA12" i="18"/>
  <c r="RK12" i="18"/>
  <c r="KX12" i="18"/>
  <c r="JI12" i="18"/>
  <c r="CV12" i="18"/>
  <c r="OW12" i="18"/>
  <c r="XI12" i="18"/>
  <c r="MI12" i="18"/>
  <c r="QL12" i="18"/>
  <c r="DC12" i="18"/>
  <c r="SZ12" i="18"/>
  <c r="JU12" i="18"/>
  <c r="GA12" i="18"/>
  <c r="WY12" i="18"/>
  <c r="PN12" i="18"/>
  <c r="CQ12" i="18"/>
  <c r="IJ12" i="18"/>
  <c r="RQ12" i="18"/>
  <c r="NX12" i="18"/>
  <c r="PC12" i="18"/>
  <c r="VZ12" i="18"/>
  <c r="FW12" i="18"/>
  <c r="MO12" i="18"/>
  <c r="IV12" i="18"/>
  <c r="FQ12" i="18"/>
  <c r="VB12" i="18"/>
  <c r="FK12" i="18"/>
  <c r="QS12" i="18"/>
  <c r="MY12" i="18"/>
  <c r="OE12" i="18"/>
  <c r="UD12" i="18"/>
  <c r="EY12" i="18"/>
  <c r="LQ12" i="18"/>
  <c r="HX12" i="18"/>
  <c r="ES12" i="18"/>
  <c r="TF12" i="18"/>
  <c r="EM12" i="18"/>
  <c r="XG13" i="18"/>
  <c r="WI13" i="18"/>
  <c r="VK13" i="18"/>
  <c r="UM13" i="18"/>
  <c r="TO13" i="18"/>
  <c r="SQ13" i="18"/>
  <c r="RS13" i="18"/>
  <c r="QU13" i="18"/>
  <c r="PW13" i="18"/>
  <c r="OY13" i="18"/>
  <c r="OA13" i="18"/>
  <c r="NC13" i="18"/>
  <c r="ME13" i="18"/>
  <c r="LG13" i="18"/>
  <c r="KI13" i="18"/>
  <c r="JK13" i="18"/>
  <c r="IM13" i="18"/>
  <c r="HO13" i="18"/>
  <c r="GQ13" i="18"/>
  <c r="FS13" i="18"/>
  <c r="EU13" i="18"/>
  <c r="DW13" i="18"/>
  <c r="CY13" i="18"/>
  <c r="CA13" i="18"/>
  <c r="BC13" i="18"/>
  <c r="WO13" i="18"/>
  <c r="VQ13" i="18"/>
  <c r="US13" i="18"/>
  <c r="TU13" i="18"/>
  <c r="SW13" i="18"/>
  <c r="RY13" i="18"/>
  <c r="RA13" i="18"/>
  <c r="QC13" i="18"/>
  <c r="PE13" i="18"/>
  <c r="OG13" i="18"/>
  <c r="NI13" i="18"/>
  <c r="MK13" i="18"/>
  <c r="LM13" i="18"/>
  <c r="KO13" i="18"/>
  <c r="JQ13" i="18"/>
  <c r="IS13" i="18"/>
  <c r="HU13" i="18"/>
  <c r="GW13" i="18"/>
  <c r="FY13" i="18"/>
  <c r="FA13" i="18"/>
  <c r="EC13" i="18"/>
  <c r="DE13" i="18"/>
  <c r="CG13" i="18"/>
  <c r="BI13" i="18"/>
  <c r="AK13" i="18"/>
  <c r="WC13" i="18"/>
  <c r="UG13" i="18"/>
  <c r="SK13" i="18"/>
  <c r="QO13" i="18"/>
  <c r="OS13" i="18"/>
  <c r="MW13" i="18"/>
  <c r="LA13" i="18"/>
  <c r="JE13" i="18"/>
  <c r="HI13" i="18"/>
  <c r="FM13" i="18"/>
  <c r="DQ13" i="18"/>
  <c r="BU13" i="18"/>
  <c r="RG13" i="18"/>
  <c r="VW13" i="18"/>
  <c r="UA13" i="18"/>
  <c r="SE13" i="18"/>
  <c r="QI13" i="18"/>
  <c r="OM13" i="18"/>
  <c r="MQ13" i="18"/>
  <c r="KU13" i="18"/>
  <c r="IY13" i="18"/>
  <c r="HC13" i="18"/>
  <c r="FG13" i="18"/>
  <c r="DK13" i="18"/>
  <c r="BO13" i="18"/>
  <c r="WU13" i="18"/>
  <c r="UY13" i="18"/>
  <c r="PK13" i="18"/>
  <c r="NO13" i="18"/>
  <c r="GE13" i="18"/>
  <c r="EI13" i="18"/>
  <c r="XA13" i="18"/>
  <c r="VE13" i="18"/>
  <c r="TI13" i="18"/>
  <c r="RM13" i="18"/>
  <c r="PQ13" i="18"/>
  <c r="NU13" i="18"/>
  <c r="LY13" i="18"/>
  <c r="KC13" i="18"/>
  <c r="IG13" i="18"/>
  <c r="GK13" i="18"/>
  <c r="EO13" i="18"/>
  <c r="CS13" i="18"/>
  <c r="AW13" i="18"/>
  <c r="TC13" i="18"/>
  <c r="LS13" i="18"/>
  <c r="JW13" i="18"/>
  <c r="CM13" i="18"/>
  <c r="AQ13" i="18"/>
  <c r="IA13" i="18"/>
  <c r="FU12" i="18"/>
  <c r="WP13" i="18"/>
  <c r="VR13" i="18"/>
  <c r="UT13" i="18"/>
  <c r="TV13" i="18"/>
  <c r="SX13" i="18"/>
  <c r="RZ13" i="18"/>
  <c r="RB13" i="18"/>
  <c r="QD13" i="18"/>
  <c r="PF13" i="18"/>
  <c r="OH13" i="18"/>
  <c r="NJ13" i="18"/>
  <c r="ML13" i="18"/>
  <c r="LN13" i="18"/>
  <c r="KP13" i="18"/>
  <c r="JR13" i="18"/>
  <c r="IT13" i="18"/>
  <c r="HV13" i="18"/>
  <c r="GX13" i="18"/>
  <c r="FZ13" i="18"/>
  <c r="FB13" i="18"/>
  <c r="ED13" i="18"/>
  <c r="DF13" i="18"/>
  <c r="CH13" i="18"/>
  <c r="BJ13" i="18"/>
  <c r="BM13" i="18" s="1"/>
  <c r="AL13" i="18"/>
  <c r="AN13" i="18" s="1"/>
  <c r="WV13" i="18"/>
  <c r="VX13" i="18"/>
  <c r="UZ13" i="18"/>
  <c r="UB13" i="18"/>
  <c r="TD13" i="18"/>
  <c r="SF13" i="18"/>
  <c r="RH13" i="18"/>
  <c r="QJ13" i="18"/>
  <c r="PL13" i="18"/>
  <c r="ON13" i="18"/>
  <c r="NP13" i="18"/>
  <c r="MR13" i="18"/>
  <c r="LT13" i="18"/>
  <c r="KV13" i="18"/>
  <c r="JX13" i="18"/>
  <c r="IZ13" i="18"/>
  <c r="IB13" i="18"/>
  <c r="HD13" i="18"/>
  <c r="GF13" i="18"/>
  <c r="FH13" i="18"/>
  <c r="EJ13" i="18"/>
  <c r="DL13" i="18"/>
  <c r="CN13" i="18"/>
  <c r="BP13" i="18"/>
  <c r="AR13" i="18"/>
  <c r="XH13" i="18"/>
  <c r="VL13" i="18"/>
  <c r="TP13" i="18"/>
  <c r="RT13" i="18"/>
  <c r="PX13" i="18"/>
  <c r="OB13" i="18"/>
  <c r="MF13" i="18"/>
  <c r="KJ13" i="18"/>
  <c r="IN13" i="18"/>
  <c r="GR13" i="18"/>
  <c r="EV13" i="18"/>
  <c r="CZ13" i="18"/>
  <c r="BD13" i="18"/>
  <c r="XB13" i="18"/>
  <c r="VF13" i="18"/>
  <c r="TJ13" i="18"/>
  <c r="RN13" i="18"/>
  <c r="PR13" i="18"/>
  <c r="NV13" i="18"/>
  <c r="LZ13" i="18"/>
  <c r="KD13" i="18"/>
  <c r="IH13" i="18"/>
  <c r="GL13" i="18"/>
  <c r="EP13" i="18"/>
  <c r="CT13" i="18"/>
  <c r="AX13" i="18"/>
  <c r="JF13" i="18"/>
  <c r="BV13" i="18"/>
  <c r="WJ13" i="18"/>
  <c r="UN13" i="18"/>
  <c r="SR13" i="18"/>
  <c r="QV13" i="18"/>
  <c r="OZ13" i="18"/>
  <c r="ND13" i="18"/>
  <c r="LH13" i="18"/>
  <c r="JL13" i="18"/>
  <c r="HP13" i="18"/>
  <c r="FT13" i="18"/>
  <c r="DX13" i="18"/>
  <c r="CB13" i="18"/>
  <c r="WD13" i="18"/>
  <c r="UH13" i="18"/>
  <c r="QP13" i="18"/>
  <c r="OT13" i="18"/>
  <c r="MX13" i="18"/>
  <c r="HJ13" i="18"/>
  <c r="FN13" i="18"/>
  <c r="SL13" i="18"/>
  <c r="LB13" i="18"/>
  <c r="DR13" i="18"/>
  <c r="AM13" i="18"/>
  <c r="T9" i="18"/>
  <c r="U9" i="18" s="1"/>
  <c r="R11" i="18"/>
  <c r="P11" i="18"/>
  <c r="T10" i="18" s="1"/>
  <c r="Q11" i="18"/>
  <c r="B25" i="1"/>
  <c r="B25" i="9"/>
  <c r="B25" i="7"/>
  <c r="AD22" i="5"/>
  <c r="AE22" i="5" s="1"/>
  <c r="AI22" i="5" s="1"/>
  <c r="B24" i="5"/>
  <c r="K22" i="5"/>
  <c r="B27" i="5"/>
  <c r="R25" i="5"/>
  <c r="AG25" i="5" s="1"/>
  <c r="K25" i="5"/>
  <c r="AE25" i="5"/>
  <c r="N14" i="18"/>
  <c r="B15" i="18"/>
  <c r="O14" i="18"/>
  <c r="S76" i="14"/>
  <c r="T76" i="14"/>
  <c r="U76" i="14"/>
  <c r="Q75" i="14"/>
  <c r="B79" i="14"/>
  <c r="R75" i="14"/>
  <c r="B24" i="1"/>
  <c r="N22" i="1"/>
  <c r="B26" i="8"/>
  <c r="B14" i="15"/>
  <c r="B24" i="7"/>
  <c r="B24" i="9"/>
  <c r="B27" i="8"/>
  <c r="BP21" i="1"/>
  <c r="X21" i="7" s="1"/>
  <c r="BQ21" i="1"/>
  <c r="O20" i="1"/>
  <c r="O21" i="1"/>
  <c r="Q23" i="5" l="1"/>
  <c r="U23" i="5" s="1"/>
  <c r="Q20" i="5"/>
  <c r="U20" i="5" s="1"/>
  <c r="R24" i="5"/>
  <c r="AG24" i="5" s="1"/>
  <c r="R27" i="5"/>
  <c r="AG27" i="5" s="1"/>
  <c r="R15" i="8"/>
  <c r="B31" i="19"/>
  <c r="G31" i="19" s="1"/>
  <c r="F29" i="19"/>
  <c r="I23" i="9"/>
  <c r="I22" i="9"/>
  <c r="L23" i="9"/>
  <c r="L22" i="9"/>
  <c r="M20" i="9"/>
  <c r="M21" i="9"/>
  <c r="AJ20" i="5"/>
  <c r="AL20" i="5" s="1"/>
  <c r="J23" i="9"/>
  <c r="J22" i="9"/>
  <c r="H24" i="9"/>
  <c r="K24" i="9" s="1"/>
  <c r="H25" i="9"/>
  <c r="K25" i="9" s="1"/>
  <c r="F25" i="5"/>
  <c r="F26" i="8"/>
  <c r="G26" i="8"/>
  <c r="F27" i="8"/>
  <c r="G27" i="8"/>
  <c r="J24" i="7"/>
  <c r="I24" i="7"/>
  <c r="J25" i="7"/>
  <c r="I25" i="7"/>
  <c r="U14" i="15"/>
  <c r="Y14" i="18" s="1"/>
  <c r="E14" i="15"/>
  <c r="D14" i="15"/>
  <c r="D15" i="18"/>
  <c r="F15" i="18" s="1"/>
  <c r="E15" i="18"/>
  <c r="G15" i="18" s="1"/>
  <c r="I27" i="5"/>
  <c r="J27" i="5" s="1"/>
  <c r="I24" i="5"/>
  <c r="J24" i="5" s="1"/>
  <c r="H24" i="1"/>
  <c r="I24" i="1" s="1"/>
  <c r="H25" i="1"/>
  <c r="I25" i="1" s="1"/>
  <c r="BG13" i="18"/>
  <c r="T14" i="15"/>
  <c r="BX13" i="18"/>
  <c r="AO13" i="18"/>
  <c r="BL13" i="18"/>
  <c r="AZ13" i="18"/>
  <c r="BK13" i="18"/>
  <c r="AS13" i="18"/>
  <c r="BQ13" i="18"/>
  <c r="UP13" i="18"/>
  <c r="BA13" i="18"/>
  <c r="AU13" i="18"/>
  <c r="BF13" i="18"/>
  <c r="BS13" i="18"/>
  <c r="AT13" i="18"/>
  <c r="AY13" i="18"/>
  <c r="BE13" i="18"/>
  <c r="BR13" i="18"/>
  <c r="CE13" i="18"/>
  <c r="GS13" i="18"/>
  <c r="VM13" i="18"/>
  <c r="HW13" i="18"/>
  <c r="BW13" i="18"/>
  <c r="WQ13" i="18"/>
  <c r="NY13" i="18"/>
  <c r="JA13" i="18"/>
  <c r="QL13" i="18"/>
  <c r="QR13" i="18"/>
  <c r="JI13" i="18"/>
  <c r="HX13" i="18"/>
  <c r="PI13" i="18"/>
  <c r="WR13" i="18"/>
  <c r="XD13" i="18"/>
  <c r="MO13" i="18"/>
  <c r="HQ13" i="18"/>
  <c r="PB13" i="18"/>
  <c r="CW13" i="18"/>
  <c r="KE13" i="18"/>
  <c r="RQ13" i="18"/>
  <c r="IO13" i="18"/>
  <c r="QA13" i="18"/>
  <c r="XI13" i="18"/>
  <c r="BY13" i="18"/>
  <c r="DO13" i="18"/>
  <c r="SI13" i="18"/>
  <c r="CC13" i="18"/>
  <c r="HY13" i="18"/>
  <c r="CD13" i="18"/>
  <c r="QS13" i="18"/>
  <c r="WS13" i="18"/>
  <c r="FP13" i="18"/>
  <c r="QQ13" i="18"/>
  <c r="JH13" i="18"/>
  <c r="PH13" i="18"/>
  <c r="NR13" i="18"/>
  <c r="JG13" i="18"/>
  <c r="PG13" i="18"/>
  <c r="JY13" i="18"/>
  <c r="VB13" i="18"/>
  <c r="FD13" i="18"/>
  <c r="IW13" i="18"/>
  <c r="MM13" i="18"/>
  <c r="TY13" i="18"/>
  <c r="PN13" i="18"/>
  <c r="MH13" i="18"/>
  <c r="TF13" i="18"/>
  <c r="GO13" i="18"/>
  <c r="NW13" i="18"/>
  <c r="VI13" i="18"/>
  <c r="JB13" i="18"/>
  <c r="QM13" i="18"/>
  <c r="OV13" i="18"/>
  <c r="DG13" i="18"/>
  <c r="GY13" i="18"/>
  <c r="KS13" i="18"/>
  <c r="OI13" i="18"/>
  <c r="SA13" i="18"/>
  <c r="VU13" i="18"/>
  <c r="DA13" i="18"/>
  <c r="KM13" i="18"/>
  <c r="RU13" i="18"/>
  <c r="EF13" i="18"/>
  <c r="TA13" i="18"/>
  <c r="MS13" i="18"/>
  <c r="UC13" i="18"/>
  <c r="SN13" i="18"/>
  <c r="QE13" i="18"/>
  <c r="IC13" i="18"/>
  <c r="LU13" i="18"/>
  <c r="ER13" i="18"/>
  <c r="MA13" i="18"/>
  <c r="TL13" i="18"/>
  <c r="GG13" i="18"/>
  <c r="WY13" i="18"/>
  <c r="HE13" i="18"/>
  <c r="OO13" i="18"/>
  <c r="VZ13" i="18"/>
  <c r="FQ13" i="18"/>
  <c r="MY13" i="18"/>
  <c r="UI13" i="18"/>
  <c r="GA13" i="18"/>
  <c r="JT13" i="18"/>
  <c r="NL13" i="18"/>
  <c r="RE13" i="18"/>
  <c r="UW13" i="18"/>
  <c r="JN13" i="18"/>
  <c r="QY13" i="18"/>
  <c r="FV13" i="18"/>
  <c r="NE13" i="18"/>
  <c r="UO13" i="18"/>
  <c r="EQ13" i="18"/>
  <c r="UQ13" i="18"/>
  <c r="IE13" i="18"/>
  <c r="GI13" i="18"/>
  <c r="MN13" i="18"/>
  <c r="VY13" i="18"/>
  <c r="JS13" i="18"/>
  <c r="UV13" i="18"/>
  <c r="NS13" i="18"/>
  <c r="RK13" i="18"/>
  <c r="HK13" i="18"/>
  <c r="WE13" i="18"/>
  <c r="GT13" i="18"/>
  <c r="OC13" i="18"/>
  <c r="VN13" i="18"/>
  <c r="TK13" i="18"/>
  <c r="QW13" i="18"/>
  <c r="UJ13" i="18"/>
  <c r="OE13" i="18"/>
  <c r="VA13" i="18"/>
  <c r="GH13" i="18"/>
  <c r="JO13" i="18"/>
  <c r="QX13" i="18"/>
  <c r="WW13" i="18"/>
  <c r="FE13" i="18"/>
  <c r="CO13" i="18"/>
  <c r="IK13" i="18"/>
  <c r="PS13" i="18"/>
  <c r="XE13" i="18"/>
  <c r="PO13" i="18"/>
  <c r="DM13" i="18"/>
  <c r="KW13" i="18"/>
  <c r="SG13" i="18"/>
  <c r="LQ13" i="18"/>
  <c r="SY13" i="18"/>
  <c r="DY13" i="18"/>
  <c r="LI13" i="18"/>
  <c r="ST13" i="18"/>
  <c r="WK13" i="18"/>
  <c r="MC13" i="18"/>
  <c r="NF13" i="18"/>
  <c r="LP13" i="18"/>
  <c r="UK13" i="18"/>
  <c r="FO13" i="18"/>
  <c r="VC13" i="18"/>
  <c r="MZ13" i="18"/>
  <c r="HG13" i="18"/>
  <c r="CI13" i="18"/>
  <c r="NK13" i="18"/>
  <c r="RC13" i="18"/>
  <c r="KL13" i="18"/>
  <c r="DI13" i="18"/>
  <c r="FC13" i="18"/>
  <c r="JZ13" i="18"/>
  <c r="KF13" i="18"/>
  <c r="RO13" i="18"/>
  <c r="EK13" i="18"/>
  <c r="FI13" i="18"/>
  <c r="MT13" i="18"/>
  <c r="UE13" i="18"/>
  <c r="DU13" i="18"/>
  <c r="LC13" i="18"/>
  <c r="SO13" i="18"/>
  <c r="IV13" i="18"/>
  <c r="QF13" i="18"/>
  <c r="TW13" i="18"/>
  <c r="EW13" i="18"/>
  <c r="IP13" i="18"/>
  <c r="MI13" i="18"/>
  <c r="PY13" i="18"/>
  <c r="TQ13" i="18"/>
  <c r="XJ13" i="18"/>
  <c r="IJ13" i="18"/>
  <c r="FW13" i="18"/>
  <c r="EM13" i="18"/>
  <c r="SS13" i="18"/>
  <c r="DS13" i="18"/>
  <c r="EE13" i="18"/>
  <c r="LK13" i="18"/>
  <c r="RW13" i="18"/>
  <c r="OD13" i="18"/>
  <c r="KK13" i="18"/>
  <c r="DC13" i="18"/>
  <c r="NQ13" i="18"/>
  <c r="DH13" i="18"/>
  <c r="QK13" i="18"/>
  <c r="NX13" i="18"/>
  <c r="CU13" i="18"/>
  <c r="HS13" i="18"/>
  <c r="WX13" i="18"/>
  <c r="XC13" i="18"/>
  <c r="PU13" i="18"/>
  <c r="MB13" i="18"/>
  <c r="II13" i="18"/>
  <c r="FU13" i="18"/>
  <c r="LW13" i="18"/>
  <c r="EL13" i="18"/>
  <c r="UU13" i="18"/>
  <c r="GC13" i="18"/>
  <c r="TX13" i="18"/>
  <c r="KQ13" i="18"/>
  <c r="OQ13" i="18"/>
  <c r="HF13" i="18"/>
  <c r="VS13" i="18"/>
  <c r="RP13" i="18"/>
  <c r="GM13" i="18"/>
  <c r="EA13" i="18"/>
  <c r="ID13" i="18"/>
  <c r="RD13" i="18"/>
  <c r="KY13" i="18"/>
  <c r="WF13" i="18"/>
  <c r="SM13" i="18"/>
  <c r="LE13" i="18"/>
  <c r="HL13" i="18"/>
  <c r="DT13" i="18"/>
  <c r="TS13" i="18"/>
  <c r="PZ13" i="18"/>
  <c r="MG13" i="18"/>
  <c r="EY13" i="18"/>
  <c r="RI13" i="18"/>
  <c r="CQ13" i="18"/>
  <c r="SZ13" i="18"/>
  <c r="LO13" i="18"/>
  <c r="SC13" i="18"/>
  <c r="IU13" i="18"/>
  <c r="UD13" i="18"/>
  <c r="FK13" i="18"/>
  <c r="OJ13" i="18"/>
  <c r="VG13" i="18"/>
  <c r="WM13" i="18"/>
  <c r="LJ13" i="18"/>
  <c r="PM13" i="18"/>
  <c r="HA13" i="18"/>
  <c r="DN13" i="18"/>
  <c r="CV13" i="18"/>
  <c r="TE13" i="18"/>
  <c r="KR13" i="18"/>
  <c r="VT13" i="18"/>
  <c r="GN13" i="18"/>
  <c r="WG13" i="18"/>
  <c r="OU13" i="18"/>
  <c r="HM13" i="18"/>
  <c r="RJ13" i="18"/>
  <c r="OK13" i="18"/>
  <c r="VH13" i="18"/>
  <c r="WT15" i="18"/>
  <c r="VV15" i="18"/>
  <c r="UX15" i="18"/>
  <c r="TZ15" i="18"/>
  <c r="TB15" i="18"/>
  <c r="SD15" i="18"/>
  <c r="RF15" i="18"/>
  <c r="QH15" i="18"/>
  <c r="PJ15" i="18"/>
  <c r="OL15" i="18"/>
  <c r="NN15" i="18"/>
  <c r="MP15" i="18"/>
  <c r="LR15" i="18"/>
  <c r="KT15" i="18"/>
  <c r="JV15" i="18"/>
  <c r="IX15" i="18"/>
  <c r="HZ15" i="18"/>
  <c r="HB15" i="18"/>
  <c r="GD15" i="18"/>
  <c r="FF15" i="18"/>
  <c r="EH15" i="18"/>
  <c r="DJ15" i="18"/>
  <c r="CL15" i="18"/>
  <c r="BN15" i="18"/>
  <c r="AP15" i="18"/>
  <c r="WZ15" i="18"/>
  <c r="WB15" i="18"/>
  <c r="VD15" i="18"/>
  <c r="UF15" i="18"/>
  <c r="TH15" i="18"/>
  <c r="SJ15" i="18"/>
  <c r="RL15" i="18"/>
  <c r="QN15" i="18"/>
  <c r="PP15" i="18"/>
  <c r="OR15" i="18"/>
  <c r="NT15" i="18"/>
  <c r="MV15" i="18"/>
  <c r="LX15" i="18"/>
  <c r="KZ15" i="18"/>
  <c r="KB15" i="18"/>
  <c r="JD15" i="18"/>
  <c r="IF15" i="18"/>
  <c r="HH15" i="18"/>
  <c r="GJ15" i="18"/>
  <c r="FL15" i="18"/>
  <c r="EN15" i="18"/>
  <c r="DP15" i="18"/>
  <c r="CR15" i="18"/>
  <c r="BT15" i="18"/>
  <c r="AV15" i="18"/>
  <c r="XF15" i="18"/>
  <c r="WH15" i="18"/>
  <c r="VJ15" i="18"/>
  <c r="UL15" i="18"/>
  <c r="TN15" i="18"/>
  <c r="SP15" i="18"/>
  <c r="RR15" i="18"/>
  <c r="QT15" i="18"/>
  <c r="PV15" i="18"/>
  <c r="OX15" i="18"/>
  <c r="NZ15" i="18"/>
  <c r="NB15" i="18"/>
  <c r="MD15" i="18"/>
  <c r="LF15" i="18"/>
  <c r="KH15" i="18"/>
  <c r="JJ15" i="18"/>
  <c r="IL15" i="18"/>
  <c r="HN15" i="18"/>
  <c r="GP15" i="18"/>
  <c r="FR15" i="18"/>
  <c r="ET15" i="18"/>
  <c r="DV15" i="18"/>
  <c r="CX15" i="18"/>
  <c r="BZ15" i="18"/>
  <c r="BB15" i="18"/>
  <c r="WN15" i="18"/>
  <c r="SV15" i="18"/>
  <c r="PD15" i="18"/>
  <c r="LL15" i="18"/>
  <c r="HT15" i="18"/>
  <c r="EB15" i="18"/>
  <c r="AJ15" i="18"/>
  <c r="TT15" i="18"/>
  <c r="QB15" i="18"/>
  <c r="MJ15" i="18"/>
  <c r="IR15" i="18"/>
  <c r="EZ15" i="18"/>
  <c r="BH15" i="18"/>
  <c r="RX15" i="18"/>
  <c r="DD15" i="18"/>
  <c r="UR15" i="18"/>
  <c r="QZ15" i="18"/>
  <c r="NH15" i="18"/>
  <c r="JP15" i="18"/>
  <c r="FX15" i="18"/>
  <c r="CF15" i="18"/>
  <c r="VP15" i="18"/>
  <c r="OF15" i="18"/>
  <c r="GV15" i="18"/>
  <c r="KN15" i="18"/>
  <c r="XH14" i="18"/>
  <c r="WJ14" i="18"/>
  <c r="VL14" i="18"/>
  <c r="UN14" i="18"/>
  <c r="TP14" i="18"/>
  <c r="WP14" i="18"/>
  <c r="VR14" i="18"/>
  <c r="UT14" i="18"/>
  <c r="TV14" i="18"/>
  <c r="SX14" i="18"/>
  <c r="RZ14" i="18"/>
  <c r="RB14" i="18"/>
  <c r="QD14" i="18"/>
  <c r="PF14" i="18"/>
  <c r="OH14" i="18"/>
  <c r="NJ14" i="18"/>
  <c r="ML14" i="18"/>
  <c r="LN14" i="18"/>
  <c r="KP14" i="18"/>
  <c r="JR14" i="18"/>
  <c r="IT14" i="18"/>
  <c r="HV14" i="18"/>
  <c r="GX14" i="18"/>
  <c r="FZ14" i="18"/>
  <c r="FB14" i="18"/>
  <c r="ED14" i="18"/>
  <c r="DF14" i="18"/>
  <c r="CH14" i="18"/>
  <c r="BJ14" i="18"/>
  <c r="AL14" i="18"/>
  <c r="WV14" i="18"/>
  <c r="VX14" i="18"/>
  <c r="UZ14" i="18"/>
  <c r="UB14" i="18"/>
  <c r="TD14" i="18"/>
  <c r="SF14" i="18"/>
  <c r="RH14" i="18"/>
  <c r="QJ14" i="18"/>
  <c r="PL14" i="18"/>
  <c r="ON14" i="18"/>
  <c r="NP14" i="18"/>
  <c r="MR14" i="18"/>
  <c r="LT14" i="18"/>
  <c r="KV14" i="18"/>
  <c r="JX14" i="18"/>
  <c r="IZ14" i="18"/>
  <c r="IB14" i="18"/>
  <c r="HD14" i="18"/>
  <c r="GF14" i="18"/>
  <c r="FH14" i="18"/>
  <c r="EJ14" i="18"/>
  <c r="DL14" i="18"/>
  <c r="CN14" i="18"/>
  <c r="BP14" i="18"/>
  <c r="AR14" i="18"/>
  <c r="WD14" i="18"/>
  <c r="SR14" i="18"/>
  <c r="QV14" i="18"/>
  <c r="OZ14" i="18"/>
  <c r="ND14" i="18"/>
  <c r="LH14" i="18"/>
  <c r="JL14" i="18"/>
  <c r="HP14" i="18"/>
  <c r="FT14" i="18"/>
  <c r="DX14" i="18"/>
  <c r="CB14" i="18"/>
  <c r="XB14" i="18"/>
  <c r="TJ14" i="18"/>
  <c r="SL14" i="18"/>
  <c r="QP14" i="18"/>
  <c r="OT14" i="18"/>
  <c r="MX14" i="18"/>
  <c r="LB14" i="18"/>
  <c r="JF14" i="18"/>
  <c r="HJ14" i="18"/>
  <c r="FN14" i="18"/>
  <c r="DR14" i="18"/>
  <c r="BV14" i="18"/>
  <c r="NV14" i="18"/>
  <c r="KD14" i="18"/>
  <c r="EP14" i="18"/>
  <c r="CT14" i="18"/>
  <c r="AX14" i="18"/>
  <c r="UH14" i="18"/>
  <c r="RT14" i="18"/>
  <c r="PX14" i="18"/>
  <c r="OB14" i="18"/>
  <c r="MF14" i="18"/>
  <c r="KJ14" i="18"/>
  <c r="IN14" i="18"/>
  <c r="GR14" i="18"/>
  <c r="EV14" i="18"/>
  <c r="CZ14" i="18"/>
  <c r="BD14" i="18"/>
  <c r="VF14" i="18"/>
  <c r="RN14" i="18"/>
  <c r="LZ14" i="18"/>
  <c r="GL14" i="18"/>
  <c r="PR14" i="18"/>
  <c r="IH14" i="18"/>
  <c r="NA13" i="18"/>
  <c r="VO13" i="18"/>
  <c r="RV13" i="18"/>
  <c r="GU13" i="18"/>
  <c r="DB13" i="18"/>
  <c r="JC13" i="18"/>
  <c r="PC13" i="18"/>
  <c r="HR13" i="18"/>
  <c r="CK13" i="18"/>
  <c r="SH13" i="18"/>
  <c r="TM13" i="18"/>
  <c r="PT13" i="18"/>
  <c r="ES13" i="18"/>
  <c r="NG13" i="18"/>
  <c r="JM13" i="18"/>
  <c r="TG13" i="18"/>
  <c r="LV13" i="18"/>
  <c r="NM13" i="18"/>
  <c r="GB13" i="18"/>
  <c r="WA13" i="18"/>
  <c r="OP13" i="18"/>
  <c r="SU13" i="18"/>
  <c r="DZ13" i="18"/>
  <c r="QG13" i="18"/>
  <c r="KX13" i="18"/>
  <c r="OW13" i="18"/>
  <c r="LD13" i="18"/>
  <c r="XK13" i="18"/>
  <c r="TR13" i="18"/>
  <c r="IQ13" i="18"/>
  <c r="EX13" i="18"/>
  <c r="KA13" i="18"/>
  <c r="CP13" i="18"/>
  <c r="EG13" i="18"/>
  <c r="SB13" i="18"/>
  <c r="MU13" i="18"/>
  <c r="FJ13" i="18"/>
  <c r="KG13" i="18"/>
  <c r="WL13" i="18"/>
  <c r="JU13" i="18"/>
  <c r="GZ13" i="18"/>
  <c r="PA13" i="18"/>
  <c r="CJ13" i="18"/>
  <c r="XA14" i="18"/>
  <c r="WC14" i="18"/>
  <c r="VE14" i="18"/>
  <c r="UG14" i="18"/>
  <c r="TI14" i="18"/>
  <c r="XG14" i="18"/>
  <c r="WI14" i="18"/>
  <c r="VK14" i="18"/>
  <c r="UM14" i="18"/>
  <c r="TO14" i="18"/>
  <c r="SQ14" i="18"/>
  <c r="RS14" i="18"/>
  <c r="QU14" i="18"/>
  <c r="PW14" i="18"/>
  <c r="OY14" i="18"/>
  <c r="OA14" i="18"/>
  <c r="NC14" i="18"/>
  <c r="ME14" i="18"/>
  <c r="LG14" i="18"/>
  <c r="KI14" i="18"/>
  <c r="JK14" i="18"/>
  <c r="IM14" i="18"/>
  <c r="HO14" i="18"/>
  <c r="GQ14" i="18"/>
  <c r="FS14" i="18"/>
  <c r="EU14" i="18"/>
  <c r="DW14" i="18"/>
  <c r="CY14" i="18"/>
  <c r="CA14" i="18"/>
  <c r="BC14" i="18"/>
  <c r="WO14" i="18"/>
  <c r="VQ14" i="18"/>
  <c r="US14" i="18"/>
  <c r="TU14" i="18"/>
  <c r="SW14" i="18"/>
  <c r="RY14" i="18"/>
  <c r="RA14" i="18"/>
  <c r="QC14" i="18"/>
  <c r="PE14" i="18"/>
  <c r="OG14" i="18"/>
  <c r="NI14" i="18"/>
  <c r="MK14" i="18"/>
  <c r="LM14" i="18"/>
  <c r="KO14" i="18"/>
  <c r="JQ14" i="18"/>
  <c r="IS14" i="18"/>
  <c r="HU14" i="18"/>
  <c r="GW14" i="18"/>
  <c r="FY14" i="18"/>
  <c r="FA14" i="18"/>
  <c r="EC14" i="18"/>
  <c r="DE14" i="18"/>
  <c r="CG14" i="18"/>
  <c r="BI14" i="18"/>
  <c r="BK14" i="18" s="1"/>
  <c r="AK14" i="18"/>
  <c r="AN14" i="18" s="1"/>
  <c r="UY14" i="18"/>
  <c r="RM14" i="18"/>
  <c r="PQ14" i="18"/>
  <c r="NU14" i="18"/>
  <c r="LY14" i="18"/>
  <c r="KC14" i="18"/>
  <c r="IG14" i="18"/>
  <c r="GK14" i="18"/>
  <c r="EO14" i="18"/>
  <c r="CS14" i="18"/>
  <c r="AW14" i="18"/>
  <c r="VW14" i="18"/>
  <c r="RG14" i="18"/>
  <c r="PK14" i="18"/>
  <c r="NO14" i="18"/>
  <c r="LS14" i="18"/>
  <c r="JW14" i="18"/>
  <c r="IA14" i="18"/>
  <c r="GE14" i="18"/>
  <c r="EI14" i="18"/>
  <c r="CM14" i="18"/>
  <c r="AQ14" i="18"/>
  <c r="UA14" i="18"/>
  <c r="SE14" i="18"/>
  <c r="MQ14" i="18"/>
  <c r="IY14" i="18"/>
  <c r="HC14" i="18"/>
  <c r="WU14" i="18"/>
  <c r="TC14" i="18"/>
  <c r="SK14" i="18"/>
  <c r="QO14" i="18"/>
  <c r="OS14" i="18"/>
  <c r="MW14" i="18"/>
  <c r="LA14" i="18"/>
  <c r="JE14" i="18"/>
  <c r="HI14" i="18"/>
  <c r="FM14" i="18"/>
  <c r="DQ14" i="18"/>
  <c r="BU14" i="18"/>
  <c r="QI14" i="18"/>
  <c r="OM14" i="18"/>
  <c r="KU14" i="18"/>
  <c r="FG14" i="18"/>
  <c r="DK14" i="18"/>
  <c r="BO14" i="18"/>
  <c r="S10" i="18"/>
  <c r="U10" i="18" s="1"/>
  <c r="R12" i="18"/>
  <c r="P12" i="18"/>
  <c r="T11" i="18" s="1"/>
  <c r="Q12" i="18"/>
  <c r="B27" i="1"/>
  <c r="B27" i="7"/>
  <c r="B27" i="9"/>
  <c r="AD24" i="5"/>
  <c r="AE24" i="5" s="1"/>
  <c r="AI24" i="5" s="1"/>
  <c r="B29" i="5"/>
  <c r="AE27" i="5"/>
  <c r="K27" i="5"/>
  <c r="B26" i="5"/>
  <c r="K24" i="5"/>
  <c r="N15" i="18"/>
  <c r="B16" i="18"/>
  <c r="O15" i="18"/>
  <c r="R76" i="14"/>
  <c r="B80" i="14"/>
  <c r="U77" i="14"/>
  <c r="S77" i="14"/>
  <c r="T77" i="14"/>
  <c r="Q76" i="14"/>
  <c r="B26" i="7"/>
  <c r="O23" i="1"/>
  <c r="O22" i="1"/>
  <c r="BQ23" i="1"/>
  <c r="BP23" i="1"/>
  <c r="X23" i="7" s="1"/>
  <c r="B29" i="8"/>
  <c r="B26" i="1"/>
  <c r="N24" i="1"/>
  <c r="B28" i="8"/>
  <c r="B26" i="9"/>
  <c r="B15" i="15"/>
  <c r="Q25" i="5" l="1"/>
  <c r="U25" i="5" s="1"/>
  <c r="R17" i="8"/>
  <c r="B33" i="19"/>
  <c r="G33" i="19" s="1"/>
  <c r="F31" i="19"/>
  <c r="I25" i="9"/>
  <c r="I24" i="9"/>
  <c r="AJ22" i="5"/>
  <c r="AL22" i="5" s="1"/>
  <c r="F22" i="5"/>
  <c r="L24" i="9"/>
  <c r="L25" i="9"/>
  <c r="M23" i="9"/>
  <c r="M22" i="9"/>
  <c r="J24" i="9"/>
  <c r="J25" i="9"/>
  <c r="H26" i="9"/>
  <c r="K26" i="9" s="1"/>
  <c r="H27" i="9"/>
  <c r="K27" i="9" s="1"/>
  <c r="F27" i="5"/>
  <c r="F28" i="8"/>
  <c r="G28" i="8"/>
  <c r="F29" i="8"/>
  <c r="G29" i="8"/>
  <c r="I27" i="7"/>
  <c r="J27" i="7"/>
  <c r="I26" i="7"/>
  <c r="J26" i="7"/>
  <c r="U15" i="15"/>
  <c r="D15" i="15"/>
  <c r="E15" i="15"/>
  <c r="D16" i="18"/>
  <c r="F16" i="18" s="1"/>
  <c r="E16" i="18"/>
  <c r="G16" i="18" s="1"/>
  <c r="I29" i="5"/>
  <c r="J29" i="5" s="1"/>
  <c r="I26" i="5"/>
  <c r="J26" i="5" s="1"/>
  <c r="H27" i="1"/>
  <c r="I27" i="1" s="1"/>
  <c r="H26" i="1"/>
  <c r="I26" i="1" s="1"/>
  <c r="AZ14" i="18"/>
  <c r="AU14" i="18"/>
  <c r="DO14" i="18"/>
  <c r="T15" i="15"/>
  <c r="SH14" i="18"/>
  <c r="VZ14" i="18"/>
  <c r="JB14" i="18"/>
  <c r="CU14" i="18"/>
  <c r="CE14" i="18"/>
  <c r="JN14" i="18"/>
  <c r="CO14" i="18"/>
  <c r="JZ14" i="18"/>
  <c r="RK14" i="18"/>
  <c r="VA14" i="18"/>
  <c r="EQ14" i="18"/>
  <c r="MB14" i="18"/>
  <c r="DA14" i="18"/>
  <c r="KL14" i="18"/>
  <c r="RV14" i="18"/>
  <c r="AY14" i="18"/>
  <c r="BE14" i="18"/>
  <c r="QX14" i="18"/>
  <c r="BA14" i="18"/>
  <c r="BF14" i="18"/>
  <c r="BG14" i="18"/>
  <c r="AT14" i="18"/>
  <c r="BL14" i="18"/>
  <c r="AS14" i="18"/>
  <c r="AO14" i="18"/>
  <c r="BM14" i="18"/>
  <c r="AM14" i="18"/>
  <c r="PT14" i="18"/>
  <c r="DY14" i="18"/>
  <c r="LJ14" i="18"/>
  <c r="SS14" i="18"/>
  <c r="MC14" i="18"/>
  <c r="GI14" i="18"/>
  <c r="NS14" i="18"/>
  <c r="FD14" i="18"/>
  <c r="IV14" i="18"/>
  <c r="MO14" i="18"/>
  <c r="QF14" i="18"/>
  <c r="TY14" i="18"/>
  <c r="TS14" i="18"/>
  <c r="XI14" i="18"/>
  <c r="MA14" i="18"/>
  <c r="RI14" i="18"/>
  <c r="DT14" i="18"/>
  <c r="LC14" i="18"/>
  <c r="SM14" i="18"/>
  <c r="JY14" i="18"/>
  <c r="ER14" i="18"/>
  <c r="RJ14" i="18"/>
  <c r="CD14" i="18"/>
  <c r="BR14" i="18"/>
  <c r="CQ14" i="18"/>
  <c r="UP14" i="18"/>
  <c r="OJ14" i="18"/>
  <c r="XD14" i="18"/>
  <c r="WS14" i="18"/>
  <c r="JO14" i="18"/>
  <c r="BS14" i="18"/>
  <c r="BQ14" i="18"/>
  <c r="QY14" i="18"/>
  <c r="JM14" i="18"/>
  <c r="CC14" i="18"/>
  <c r="MT14" i="18"/>
  <c r="ES14" i="18"/>
  <c r="QW14" i="18"/>
  <c r="JC14" i="18"/>
  <c r="KA14" i="18"/>
  <c r="CP14" i="18"/>
  <c r="QM14" i="18"/>
  <c r="GO14" i="18"/>
  <c r="EE14" i="18"/>
  <c r="HW14" i="18"/>
  <c r="LO14" i="18"/>
  <c r="PG14" i="18"/>
  <c r="SZ14" i="18"/>
  <c r="WR14" i="18"/>
  <c r="WK14" i="18"/>
  <c r="JA14" i="18"/>
  <c r="FJ14" i="18"/>
  <c r="BW14" i="18"/>
  <c r="JH14" i="18"/>
  <c r="QS14" i="18"/>
  <c r="UE14" i="18"/>
  <c r="IP14" i="18"/>
  <c r="QA14" i="18"/>
  <c r="BY14" i="18"/>
  <c r="BX14" i="18"/>
  <c r="XC14" i="18"/>
  <c r="GY14" i="18"/>
  <c r="OI14" i="18"/>
  <c r="PU14" i="18"/>
  <c r="HA14" i="18"/>
  <c r="IE14" i="18"/>
  <c r="PM14" i="18"/>
  <c r="XE14" i="18"/>
  <c r="OK14" i="18"/>
  <c r="GZ14" i="18"/>
  <c r="TE14" i="18"/>
  <c r="DH14" i="18"/>
  <c r="KS14" i="18"/>
  <c r="SB14" i="18"/>
  <c r="VU14" i="18"/>
  <c r="GU14" i="18"/>
  <c r="OC14" i="18"/>
  <c r="VO14" i="18"/>
  <c r="HM14" i="18"/>
  <c r="OU14" i="18"/>
  <c r="WY14" i="18"/>
  <c r="EK14" i="18"/>
  <c r="LV14" i="18"/>
  <c r="NW14" i="18"/>
  <c r="HQ14" i="18"/>
  <c r="PC14" i="18"/>
  <c r="VI14" i="18"/>
  <c r="IJ14" i="18"/>
  <c r="FV14" i="18"/>
  <c r="JU14" i="18"/>
  <c r="RE14" i="18"/>
  <c r="WQ14" i="18"/>
  <c r="KW14" i="18"/>
  <c r="KE14" i="18"/>
  <c r="RP14" i="18"/>
  <c r="CJ14" i="18"/>
  <c r="GB14" i="18"/>
  <c r="JS14" i="18"/>
  <c r="NK14" i="18"/>
  <c r="UV14" i="18"/>
  <c r="OP14" i="18"/>
  <c r="FO14" i="18"/>
  <c r="NA14" i="18"/>
  <c r="UI14" i="18"/>
  <c r="QK14" i="18"/>
  <c r="HF14" i="18"/>
  <c r="II14" i="18"/>
  <c r="EY14" i="18"/>
  <c r="MH14" i="18"/>
  <c r="WG14" i="18"/>
  <c r="QL14" i="18"/>
  <c r="VC14" i="18"/>
  <c r="DS14" i="18"/>
  <c r="OO14" i="18"/>
  <c r="WX14" i="18"/>
  <c r="GS14" i="18"/>
  <c r="VH14" i="18"/>
  <c r="PB14" i="18"/>
  <c r="SC14" i="18"/>
  <c r="EG14" i="18"/>
  <c r="SN14" i="18"/>
  <c r="UW14" i="18"/>
  <c r="RO14" i="18"/>
  <c r="KG14" i="18"/>
  <c r="MY14" i="18"/>
  <c r="TK14" i="18"/>
  <c r="FW14" i="18"/>
  <c r="NE14" i="18"/>
  <c r="DN14" i="18"/>
  <c r="KY14" i="18"/>
  <c r="WA14" i="18"/>
  <c r="JT14" i="18"/>
  <c r="NM14" i="18"/>
  <c r="RC14" i="18"/>
  <c r="UQ14" i="18"/>
  <c r="TF14" i="18"/>
  <c r="VM14" i="18"/>
  <c r="DB14" i="18"/>
  <c r="VT14" i="18"/>
  <c r="GM14" i="18"/>
  <c r="LI14" i="18"/>
  <c r="KR14" i="18"/>
  <c r="LE14" i="18"/>
  <c r="PO14" i="18"/>
  <c r="RU14" i="18"/>
  <c r="LU14" i="18"/>
  <c r="CV14" i="18"/>
  <c r="EA14" i="18"/>
  <c r="DG14" i="18"/>
  <c r="HL14" i="18"/>
  <c r="IC14" i="18"/>
  <c r="LQ14" i="18"/>
  <c r="KM14" i="18"/>
  <c r="SU14" i="18"/>
  <c r="MS14" i="18"/>
  <c r="SY14" i="18"/>
  <c r="VY14" i="18"/>
  <c r="TM14" i="18"/>
  <c r="PS14" i="18"/>
  <c r="UO14" i="18"/>
  <c r="NG14" i="18"/>
  <c r="FU14" i="18"/>
  <c r="RD14" i="18"/>
  <c r="VB14" i="18"/>
  <c r="WE14" i="18"/>
  <c r="OW14" i="18"/>
  <c r="LD14" i="18"/>
  <c r="HK14" i="18"/>
  <c r="XK14" i="18"/>
  <c r="TR14" i="18"/>
  <c r="PY14" i="18"/>
  <c r="IQ14" i="18"/>
  <c r="EX14" i="18"/>
  <c r="HG14" i="18"/>
  <c r="UU14" i="18"/>
  <c r="MM14" i="18"/>
  <c r="PI14" i="18"/>
  <c r="PN14" i="18"/>
  <c r="ID14" i="18"/>
  <c r="HY14" i="18"/>
  <c r="LP14" i="18"/>
  <c r="WW14" i="18"/>
  <c r="UK14" i="18"/>
  <c r="QR14" i="18"/>
  <c r="MZ14" i="18"/>
  <c r="FQ14" i="18"/>
  <c r="VN14" i="18"/>
  <c r="OE14" i="18"/>
  <c r="KK14" i="18"/>
  <c r="GT14" i="18"/>
  <c r="SI14" i="18"/>
  <c r="KX14" i="18"/>
  <c r="DM14" i="18"/>
  <c r="IW14" i="18"/>
  <c r="VS14" i="18"/>
  <c r="EM14" i="18"/>
  <c r="NL14" i="18"/>
  <c r="UC14" i="18"/>
  <c r="VG14" i="18"/>
  <c r="NY14" i="18"/>
  <c r="KF14" i="18"/>
  <c r="GN14" i="18"/>
  <c r="WM14" i="18"/>
  <c r="ST14" i="18"/>
  <c r="PA14" i="18"/>
  <c r="HS14" i="18"/>
  <c r="DZ14" i="18"/>
  <c r="TW14" i="18"/>
  <c r="FK14" i="18"/>
  <c r="SA14" i="18"/>
  <c r="KQ14" i="18"/>
  <c r="GC14" i="18"/>
  <c r="NR14" i="18"/>
  <c r="GG14" i="18"/>
  <c r="CK14" i="18"/>
  <c r="EF14" i="18"/>
  <c r="WF14" i="18"/>
  <c r="PZ14" i="18"/>
  <c r="MG14" i="18"/>
  <c r="MN14" i="18"/>
  <c r="TL14" i="18"/>
  <c r="IK14" i="18"/>
  <c r="NF14" i="18"/>
  <c r="SO14" i="18"/>
  <c r="OV14" i="18"/>
  <c r="DU14" i="18"/>
  <c r="XJ14" i="18"/>
  <c r="TQ14" i="18"/>
  <c r="MI14" i="18"/>
  <c r="IO14" i="18"/>
  <c r="EW14" i="18"/>
  <c r="OQ14" i="18"/>
  <c r="HE14" i="18"/>
  <c r="FE14" i="18"/>
  <c r="PH14" i="18"/>
  <c r="HX14" i="18"/>
  <c r="TG14" i="18"/>
  <c r="UJ14" i="18"/>
  <c r="QQ14" i="18"/>
  <c r="JI14" i="18"/>
  <c r="FP14" i="18"/>
  <c r="RW14" i="18"/>
  <c r="OD14" i="18"/>
  <c r="DC14" i="18"/>
  <c r="SG14" i="18"/>
  <c r="QG14" i="18"/>
  <c r="IU14" i="18"/>
  <c r="LW14" i="18"/>
  <c r="EL14" i="18"/>
  <c r="UD14" i="18"/>
  <c r="RQ14" i="18"/>
  <c r="NX14" i="18"/>
  <c r="CW14" i="18"/>
  <c r="WL14" i="18"/>
  <c r="LK14" i="18"/>
  <c r="HR14" i="18"/>
  <c r="MU14" i="18"/>
  <c r="FI14" i="18"/>
  <c r="DI14" i="18"/>
  <c r="GA14" i="18"/>
  <c r="NQ14" i="18"/>
  <c r="TA14" i="18"/>
  <c r="CI14" i="18"/>
  <c r="FC14" i="18"/>
  <c r="JG14" i="18"/>
  <c r="QE14" i="18"/>
  <c r="TX14" i="18"/>
  <c r="GH14" i="18"/>
  <c r="WT16" i="18"/>
  <c r="VV16" i="18"/>
  <c r="UX16" i="18"/>
  <c r="TZ16" i="18"/>
  <c r="TB16" i="18"/>
  <c r="SD16" i="18"/>
  <c r="RF16" i="18"/>
  <c r="QH16" i="18"/>
  <c r="PJ16" i="18"/>
  <c r="OL16" i="18"/>
  <c r="NN16" i="18"/>
  <c r="MP16" i="18"/>
  <c r="LR16" i="18"/>
  <c r="KT16" i="18"/>
  <c r="JV16" i="18"/>
  <c r="IX16" i="18"/>
  <c r="HZ16" i="18"/>
  <c r="HB16" i="18"/>
  <c r="GD16" i="18"/>
  <c r="FF16" i="18"/>
  <c r="EH16" i="18"/>
  <c r="DJ16" i="18"/>
  <c r="CL16" i="18"/>
  <c r="BN16" i="18"/>
  <c r="AP16" i="18"/>
  <c r="WZ16" i="18"/>
  <c r="WB16" i="18"/>
  <c r="VD16" i="18"/>
  <c r="UF16" i="18"/>
  <c r="TH16" i="18"/>
  <c r="SJ16" i="18"/>
  <c r="RL16" i="18"/>
  <c r="QN16" i="18"/>
  <c r="PP16" i="18"/>
  <c r="OR16" i="18"/>
  <c r="NT16" i="18"/>
  <c r="MV16" i="18"/>
  <c r="LX16" i="18"/>
  <c r="KZ16" i="18"/>
  <c r="KB16" i="18"/>
  <c r="JD16" i="18"/>
  <c r="IF16" i="18"/>
  <c r="HH16" i="18"/>
  <c r="GJ16" i="18"/>
  <c r="FL16" i="18"/>
  <c r="EN16" i="18"/>
  <c r="DP16" i="18"/>
  <c r="CR16" i="18"/>
  <c r="BT16" i="18"/>
  <c r="AV16" i="18"/>
  <c r="XF16" i="18"/>
  <c r="WH16" i="18"/>
  <c r="VJ16" i="18"/>
  <c r="UL16" i="18"/>
  <c r="TN16" i="18"/>
  <c r="SP16" i="18"/>
  <c r="RR16" i="18"/>
  <c r="QT16" i="18"/>
  <c r="PV16" i="18"/>
  <c r="OX16" i="18"/>
  <c r="NZ16" i="18"/>
  <c r="NB16" i="18"/>
  <c r="MD16" i="18"/>
  <c r="LF16" i="18"/>
  <c r="KH16" i="18"/>
  <c r="JJ16" i="18"/>
  <c r="IL16" i="18"/>
  <c r="HN16" i="18"/>
  <c r="GP16" i="18"/>
  <c r="FR16" i="18"/>
  <c r="ET16" i="18"/>
  <c r="DV16" i="18"/>
  <c r="CX16" i="18"/>
  <c r="BZ16" i="18"/>
  <c r="BB16" i="18"/>
  <c r="VP16" i="18"/>
  <c r="RX16" i="18"/>
  <c r="OF16" i="18"/>
  <c r="KN16" i="18"/>
  <c r="GV16" i="18"/>
  <c r="DD16" i="18"/>
  <c r="WN16" i="18"/>
  <c r="SV16" i="18"/>
  <c r="PD16" i="18"/>
  <c r="LL16" i="18"/>
  <c r="HT16" i="18"/>
  <c r="EB16" i="18"/>
  <c r="AJ16" i="18"/>
  <c r="FX16" i="18"/>
  <c r="TT16" i="18"/>
  <c r="QB16" i="18"/>
  <c r="MJ16" i="18"/>
  <c r="IR16" i="18"/>
  <c r="EZ16" i="18"/>
  <c r="BH16" i="18"/>
  <c r="UR16" i="18"/>
  <c r="QZ16" i="18"/>
  <c r="NH16" i="18"/>
  <c r="JP16" i="18"/>
  <c r="CF16" i="18"/>
  <c r="XH15" i="18"/>
  <c r="WJ15" i="18"/>
  <c r="VL15" i="18"/>
  <c r="UN15" i="18"/>
  <c r="TP15" i="18"/>
  <c r="SR15" i="18"/>
  <c r="RT15" i="18"/>
  <c r="QV15" i="18"/>
  <c r="PX15" i="18"/>
  <c r="OZ15" i="18"/>
  <c r="OB15" i="18"/>
  <c r="ND15" i="18"/>
  <c r="MF15" i="18"/>
  <c r="LH15" i="18"/>
  <c r="KJ15" i="18"/>
  <c r="JL15" i="18"/>
  <c r="IN15" i="18"/>
  <c r="HP15" i="18"/>
  <c r="GR15" i="18"/>
  <c r="FT15" i="18"/>
  <c r="EV15" i="18"/>
  <c r="DX15" i="18"/>
  <c r="CZ15" i="18"/>
  <c r="CB15" i="18"/>
  <c r="BD15" i="18"/>
  <c r="WP15" i="18"/>
  <c r="VR15" i="18"/>
  <c r="UT15" i="18"/>
  <c r="TV15" i="18"/>
  <c r="SX15" i="18"/>
  <c r="RZ15" i="18"/>
  <c r="RB15" i="18"/>
  <c r="QD15" i="18"/>
  <c r="PF15" i="18"/>
  <c r="OH15" i="18"/>
  <c r="NJ15" i="18"/>
  <c r="ML15" i="18"/>
  <c r="LN15" i="18"/>
  <c r="KP15" i="18"/>
  <c r="JR15" i="18"/>
  <c r="IT15" i="18"/>
  <c r="HV15" i="18"/>
  <c r="GX15" i="18"/>
  <c r="FZ15" i="18"/>
  <c r="FB15" i="18"/>
  <c r="ED15" i="18"/>
  <c r="DF15" i="18"/>
  <c r="CH15" i="18"/>
  <c r="BJ15" i="18"/>
  <c r="AL15" i="18"/>
  <c r="WV15" i="18"/>
  <c r="VX15" i="18"/>
  <c r="UZ15" i="18"/>
  <c r="UB15" i="18"/>
  <c r="TD15" i="18"/>
  <c r="SF15" i="18"/>
  <c r="RH15" i="18"/>
  <c r="QJ15" i="18"/>
  <c r="PL15" i="18"/>
  <c r="ON15" i="18"/>
  <c r="NP15" i="18"/>
  <c r="MR15" i="18"/>
  <c r="LT15" i="18"/>
  <c r="KV15" i="18"/>
  <c r="JX15" i="18"/>
  <c r="IZ15" i="18"/>
  <c r="IB15" i="18"/>
  <c r="HD15" i="18"/>
  <c r="GF15" i="18"/>
  <c r="FH15" i="18"/>
  <c r="EJ15" i="18"/>
  <c r="DL15" i="18"/>
  <c r="CN15" i="18"/>
  <c r="BP15" i="18"/>
  <c r="AR15" i="18"/>
  <c r="VF15" i="18"/>
  <c r="RN15" i="18"/>
  <c r="NV15" i="18"/>
  <c r="KD15" i="18"/>
  <c r="GL15" i="18"/>
  <c r="CT15" i="18"/>
  <c r="WD15" i="18"/>
  <c r="SL15" i="18"/>
  <c r="OT15" i="18"/>
  <c r="LB15" i="18"/>
  <c r="HJ15" i="18"/>
  <c r="DR15" i="18"/>
  <c r="UH15" i="18"/>
  <c r="MX15" i="18"/>
  <c r="JF15" i="18"/>
  <c r="FN15" i="18"/>
  <c r="XB15" i="18"/>
  <c r="TJ15" i="18"/>
  <c r="PR15" i="18"/>
  <c r="LZ15" i="18"/>
  <c r="IH15" i="18"/>
  <c r="EP15" i="18"/>
  <c r="AX15" i="18"/>
  <c r="QP15" i="18"/>
  <c r="BV15" i="18"/>
  <c r="XA15" i="18"/>
  <c r="WC15" i="18"/>
  <c r="VE15" i="18"/>
  <c r="UG15" i="18"/>
  <c r="TI15" i="18"/>
  <c r="SK15" i="18"/>
  <c r="RM15" i="18"/>
  <c r="QO15" i="18"/>
  <c r="PQ15" i="18"/>
  <c r="OS15" i="18"/>
  <c r="NU15" i="18"/>
  <c r="MW15" i="18"/>
  <c r="LY15" i="18"/>
  <c r="LA15" i="18"/>
  <c r="KC15" i="18"/>
  <c r="KE15" i="18" s="1"/>
  <c r="JE15" i="18"/>
  <c r="IG15" i="18"/>
  <c r="HI15" i="18"/>
  <c r="GK15" i="18"/>
  <c r="FM15" i="18"/>
  <c r="EO15" i="18"/>
  <c r="DQ15" i="18"/>
  <c r="CS15" i="18"/>
  <c r="BU15" i="18"/>
  <c r="AW15" i="18"/>
  <c r="XG15" i="18"/>
  <c r="WI15" i="18"/>
  <c r="VK15" i="18"/>
  <c r="UM15" i="18"/>
  <c r="TO15" i="18"/>
  <c r="SQ15" i="18"/>
  <c r="RS15" i="18"/>
  <c r="QU15" i="18"/>
  <c r="PW15" i="18"/>
  <c r="OY15" i="18"/>
  <c r="OA15" i="18"/>
  <c r="NC15" i="18"/>
  <c r="ME15" i="18"/>
  <c r="LG15" i="18"/>
  <c r="KI15" i="18"/>
  <c r="JK15" i="18"/>
  <c r="IM15" i="18"/>
  <c r="HO15" i="18"/>
  <c r="GQ15" i="18"/>
  <c r="FS15" i="18"/>
  <c r="EU15" i="18"/>
  <c r="DW15" i="18"/>
  <c r="CY15" i="18"/>
  <c r="CA15" i="18"/>
  <c r="BC15" i="18"/>
  <c r="WO15" i="18"/>
  <c r="VQ15" i="18"/>
  <c r="US15" i="18"/>
  <c r="TU15" i="18"/>
  <c r="SW15" i="18"/>
  <c r="RY15" i="18"/>
  <c r="RA15" i="18"/>
  <c r="QC15" i="18"/>
  <c r="PE15" i="18"/>
  <c r="OG15" i="18"/>
  <c r="NI15" i="18"/>
  <c r="MK15" i="18"/>
  <c r="LM15" i="18"/>
  <c r="KO15" i="18"/>
  <c r="JQ15" i="18"/>
  <c r="IS15" i="18"/>
  <c r="HU15" i="18"/>
  <c r="GW15" i="18"/>
  <c r="FY15" i="18"/>
  <c r="FA15" i="18"/>
  <c r="EC15" i="18"/>
  <c r="DE15" i="18"/>
  <c r="CG15" i="18"/>
  <c r="BI15" i="18"/>
  <c r="AK15" i="18"/>
  <c r="UA15" i="18"/>
  <c r="QI15" i="18"/>
  <c r="MQ15" i="18"/>
  <c r="IY15" i="18"/>
  <c r="FG15" i="18"/>
  <c r="BO15" i="18"/>
  <c r="UY15" i="18"/>
  <c r="RG15" i="18"/>
  <c r="NO15" i="18"/>
  <c r="JW15" i="18"/>
  <c r="JZ15" i="18" s="1"/>
  <c r="GE15" i="18"/>
  <c r="CM15" i="18"/>
  <c r="WU15" i="18"/>
  <c r="PK15" i="18"/>
  <c r="IA15" i="18"/>
  <c r="AQ15" i="18"/>
  <c r="AT15" i="18" s="1"/>
  <c r="VW15" i="18"/>
  <c r="VY15" i="18" s="1"/>
  <c r="SE15" i="18"/>
  <c r="OM15" i="18"/>
  <c r="KU15" i="18"/>
  <c r="HC15" i="18"/>
  <c r="DK15" i="18"/>
  <c r="TC15" i="18"/>
  <c r="LS15" i="18"/>
  <c r="EI15" i="18"/>
  <c r="P13" i="18"/>
  <c r="T12" i="18" s="1"/>
  <c r="S11" i="18"/>
  <c r="U11" i="18" s="1"/>
  <c r="R13" i="18"/>
  <c r="Q13" i="18"/>
  <c r="B29" i="7"/>
  <c r="B29" i="9"/>
  <c r="B29" i="1"/>
  <c r="AD26" i="5"/>
  <c r="AE26" i="5" s="1"/>
  <c r="AI26" i="5" s="1"/>
  <c r="B28" i="5"/>
  <c r="R26" i="5"/>
  <c r="AG26" i="5" s="1"/>
  <c r="K26" i="5"/>
  <c r="B31" i="5"/>
  <c r="R29" i="5"/>
  <c r="AG29" i="5" s="1"/>
  <c r="AE29" i="5"/>
  <c r="K29" i="5"/>
  <c r="B17" i="18"/>
  <c r="O16" i="18"/>
  <c r="N16" i="18"/>
  <c r="R77" i="14"/>
  <c r="B81" i="14"/>
  <c r="T78" i="14"/>
  <c r="U78" i="14"/>
  <c r="S78" i="14"/>
  <c r="Q77" i="14"/>
  <c r="B28" i="1"/>
  <c r="N26" i="1"/>
  <c r="B28" i="9"/>
  <c r="B31" i="8"/>
  <c r="B28" i="7"/>
  <c r="B16" i="15"/>
  <c r="BP25" i="1"/>
  <c r="X25" i="7" s="1"/>
  <c r="O24" i="1"/>
  <c r="BQ25" i="1"/>
  <c r="O25" i="1"/>
  <c r="B30" i="8"/>
  <c r="Q27" i="5" l="1"/>
  <c r="U27" i="5" s="1"/>
  <c r="R31" i="5"/>
  <c r="AG31" i="5" s="1"/>
  <c r="Q22" i="5"/>
  <c r="U22" i="5" s="1"/>
  <c r="R19" i="8"/>
  <c r="LU15" i="18"/>
  <c r="B35" i="19"/>
  <c r="G35" i="19" s="1"/>
  <c r="F33" i="19"/>
  <c r="I27" i="9"/>
  <c r="I26" i="9"/>
  <c r="BY15" i="18"/>
  <c r="HE15" i="18"/>
  <c r="MS15" i="18"/>
  <c r="HM15" i="18"/>
  <c r="AJ24" i="5"/>
  <c r="AL24" i="5" s="1"/>
  <c r="F24" i="5"/>
  <c r="F26" i="5"/>
  <c r="ER15" i="18"/>
  <c r="L27" i="9"/>
  <c r="L26" i="9"/>
  <c r="M24" i="9"/>
  <c r="M25" i="9"/>
  <c r="WG15" i="18"/>
  <c r="J27" i="9"/>
  <c r="J26" i="9"/>
  <c r="H29" i="9"/>
  <c r="K29" i="9" s="1"/>
  <c r="H28" i="9"/>
  <c r="K28" i="9" s="1"/>
  <c r="F29" i="5"/>
  <c r="F31" i="8"/>
  <c r="G31" i="8"/>
  <c r="F30" i="8"/>
  <c r="G30" i="8"/>
  <c r="I29" i="7"/>
  <c r="J29" i="7"/>
  <c r="J28" i="7"/>
  <c r="I28" i="7"/>
  <c r="U16" i="15"/>
  <c r="Y16" i="18" s="1"/>
  <c r="E16" i="15"/>
  <c r="D16" i="15"/>
  <c r="E17" i="18"/>
  <c r="G17" i="18" s="1"/>
  <c r="D17" i="18"/>
  <c r="F17" i="18" s="1"/>
  <c r="I31" i="5"/>
  <c r="J31" i="5" s="1"/>
  <c r="I28" i="5"/>
  <c r="J28" i="5" s="1"/>
  <c r="H28" i="1"/>
  <c r="I28" i="1" s="1"/>
  <c r="H29" i="1"/>
  <c r="I29" i="1" s="1"/>
  <c r="UK15" i="18"/>
  <c r="TL15" i="18"/>
  <c r="BE15" i="18"/>
  <c r="T16" i="15"/>
  <c r="AO15" i="18"/>
  <c r="AS15" i="18"/>
  <c r="AU15" i="18"/>
  <c r="AY15" i="18"/>
  <c r="BA15" i="18"/>
  <c r="AN15" i="18"/>
  <c r="AZ15" i="18"/>
  <c r="AM15" i="18"/>
  <c r="BG15" i="18"/>
  <c r="BF15" i="18"/>
  <c r="KM15" i="18"/>
  <c r="BL15" i="18"/>
  <c r="JI15" i="18"/>
  <c r="UJ15" i="18"/>
  <c r="BS15" i="18"/>
  <c r="QL15" i="18"/>
  <c r="FI15" i="18"/>
  <c r="UE15" i="18"/>
  <c r="JG15" i="18"/>
  <c r="JA15" i="18"/>
  <c r="EE15" i="18"/>
  <c r="HW15" i="18"/>
  <c r="LP15" i="18"/>
  <c r="PH15" i="18"/>
  <c r="SY15" i="18"/>
  <c r="WQ15" i="18"/>
  <c r="DY15" i="18"/>
  <c r="HR15" i="18"/>
  <c r="LJ15" i="18"/>
  <c r="PC15" i="18"/>
  <c r="SU15" i="18"/>
  <c r="WM15" i="18"/>
  <c r="BX15" i="18"/>
  <c r="PM15" i="18"/>
  <c r="NL15" i="18"/>
  <c r="EL15" i="18"/>
  <c r="WY15" i="18"/>
  <c r="DI15" i="18"/>
  <c r="GY15" i="18"/>
  <c r="KR15" i="18"/>
  <c r="OI15" i="18"/>
  <c r="SA15" i="18"/>
  <c r="VU15" i="18"/>
  <c r="DA15" i="18"/>
  <c r="GT15" i="18"/>
  <c r="RU15" i="18"/>
  <c r="VN15" i="18"/>
  <c r="NS15" i="18"/>
  <c r="CO15" i="18"/>
  <c r="RI15" i="18"/>
  <c r="CU15" i="18"/>
  <c r="RP15" i="18"/>
  <c r="VA15" i="18"/>
  <c r="MN15" i="18"/>
  <c r="MZ15" i="18"/>
  <c r="QS15" i="18"/>
  <c r="BR15" i="18"/>
  <c r="BK15" i="18"/>
  <c r="BQ15" i="18"/>
  <c r="BM15" i="18"/>
  <c r="IE15" i="18"/>
  <c r="UI15" i="18"/>
  <c r="JH15" i="18"/>
  <c r="BW15" i="18"/>
  <c r="KX15" i="18"/>
  <c r="TF15" i="18"/>
  <c r="OQ15" i="18"/>
  <c r="GG15" i="18"/>
  <c r="FC15" i="18"/>
  <c r="IU15" i="18"/>
  <c r="QE15" i="18"/>
  <c r="TW15" i="18"/>
  <c r="EW15" i="18"/>
  <c r="IO15" i="18"/>
  <c r="MH15" i="18"/>
  <c r="QA15" i="18"/>
  <c r="TQ15" i="18"/>
  <c r="XI15" i="18"/>
  <c r="DT15" i="18"/>
  <c r="LC15" i="18"/>
  <c r="OU15" i="18"/>
  <c r="SN15" i="18"/>
  <c r="EG15" i="18"/>
  <c r="DM15" i="18"/>
  <c r="SG15" i="18"/>
  <c r="PN15" i="18"/>
  <c r="CI15" i="18"/>
  <c r="GB15" i="18"/>
  <c r="JT15" i="18"/>
  <c r="NK15" i="18"/>
  <c r="RE15" i="18"/>
  <c r="UW15" i="18"/>
  <c r="CE15" i="18"/>
  <c r="FU15" i="18"/>
  <c r="JM15" i="18"/>
  <c r="NF15" i="18"/>
  <c r="QY15" i="18"/>
  <c r="UO15" i="18"/>
  <c r="MA15" i="18"/>
  <c r="GM15" i="18"/>
  <c r="NX15" i="18"/>
  <c r="VI15" i="18"/>
  <c r="IK15" i="18"/>
  <c r="PS15" i="18"/>
  <c r="XE15" i="18"/>
  <c r="QQ15" i="18"/>
  <c r="FK15" i="18"/>
  <c r="OP15" i="18"/>
  <c r="IJ15" i="18"/>
  <c r="FW15" i="18"/>
  <c r="RD15" i="18"/>
  <c r="NR15" i="18"/>
  <c r="HL15" i="18"/>
  <c r="EY15" i="18"/>
  <c r="FE15" i="18"/>
  <c r="NA15" i="18"/>
  <c r="MO15" i="18"/>
  <c r="DO15" i="18"/>
  <c r="EQ15" i="18"/>
  <c r="UQ15" i="18"/>
  <c r="CD15" i="18"/>
  <c r="IW15" i="18"/>
  <c r="JY15" i="18"/>
  <c r="TS15" i="18"/>
  <c r="UV15" i="18"/>
  <c r="UD15" i="18"/>
  <c r="XD15" i="18"/>
  <c r="QX15" i="18"/>
  <c r="JS15" i="18"/>
  <c r="WF15" i="18"/>
  <c r="PZ15" i="18"/>
  <c r="GA15" i="18"/>
  <c r="MC15" i="18"/>
  <c r="FO15" i="18"/>
  <c r="DS15" i="18"/>
  <c r="SM15" i="18"/>
  <c r="EM15" i="18"/>
  <c r="IC15" i="18"/>
  <c r="PO15" i="18"/>
  <c r="TG15" i="18"/>
  <c r="WW15" i="18"/>
  <c r="DH15" i="18"/>
  <c r="KQ15" i="18"/>
  <c r="SB15" i="18"/>
  <c r="VS15" i="18"/>
  <c r="DB15" i="18"/>
  <c r="GU15" i="18"/>
  <c r="KK15" i="18"/>
  <c r="OC15" i="18"/>
  <c r="RV15" i="18"/>
  <c r="VO15" i="18"/>
  <c r="QK15" i="18"/>
  <c r="SI15" i="18"/>
  <c r="TK15" i="18"/>
  <c r="NE15" i="18"/>
  <c r="QG15" i="18"/>
  <c r="LE15" i="18"/>
  <c r="MG15" i="18"/>
  <c r="CW15" i="18"/>
  <c r="KW15" i="18"/>
  <c r="JC15" i="18"/>
  <c r="NW15" i="18"/>
  <c r="HQ15" i="18"/>
  <c r="CQ15" i="18"/>
  <c r="LO15" i="18"/>
  <c r="WX15" i="18"/>
  <c r="TE15" i="18"/>
  <c r="LW15" i="18"/>
  <c r="ID15" i="18"/>
  <c r="EK15" i="18"/>
  <c r="QR15" i="18"/>
  <c r="MY15" i="18"/>
  <c r="FQ15" i="18"/>
  <c r="VM15" i="18"/>
  <c r="OE15" i="18"/>
  <c r="KL15" i="18"/>
  <c r="GS15" i="18"/>
  <c r="TA15" i="18"/>
  <c r="EF15" i="18"/>
  <c r="MM15" i="18"/>
  <c r="NM15" i="18"/>
  <c r="VT15" i="18"/>
  <c r="UC15" i="18"/>
  <c r="MU15" i="18"/>
  <c r="FJ15" i="18"/>
  <c r="KG15" i="18"/>
  <c r="CV15" i="18"/>
  <c r="SS15" i="18"/>
  <c r="EA15" i="18"/>
  <c r="HX15" i="18"/>
  <c r="WA15" i="18"/>
  <c r="SH15" i="18"/>
  <c r="OO15" i="18"/>
  <c r="HG15" i="18"/>
  <c r="DN15" i="18"/>
  <c r="XC15" i="18"/>
  <c r="PU15" i="18"/>
  <c r="MB15" i="18"/>
  <c r="II15" i="18"/>
  <c r="UP15" i="18"/>
  <c r="QW15" i="18"/>
  <c r="JO15" i="18"/>
  <c r="FV15" i="18"/>
  <c r="CC15" i="18"/>
  <c r="IV15" i="18"/>
  <c r="DG15" i="18"/>
  <c r="OK15" i="18"/>
  <c r="JB15" i="18"/>
  <c r="VG15" i="18"/>
  <c r="GO15" i="18"/>
  <c r="WL15" i="18"/>
  <c r="PA15" i="18"/>
  <c r="WS15" i="18"/>
  <c r="QF15" i="18"/>
  <c r="RC15" i="18"/>
  <c r="VC15" i="18"/>
  <c r="RJ15" i="18"/>
  <c r="NQ15" i="18"/>
  <c r="GI15" i="18"/>
  <c r="CP15" i="18"/>
  <c r="WE15" i="18"/>
  <c r="OW15" i="18"/>
  <c r="LD15" i="18"/>
  <c r="HK15" i="18"/>
  <c r="XK15" i="18"/>
  <c r="TR15" i="18"/>
  <c r="PY15" i="18"/>
  <c r="IQ15" i="18"/>
  <c r="EX15" i="18"/>
  <c r="TY15" i="18"/>
  <c r="FD15" i="18"/>
  <c r="UU15" i="18"/>
  <c r="HA15" i="18"/>
  <c r="CK15" i="18"/>
  <c r="XA16" i="18"/>
  <c r="WC16" i="18"/>
  <c r="VE16" i="18"/>
  <c r="UG16" i="18"/>
  <c r="TI16" i="18"/>
  <c r="SK16" i="18"/>
  <c r="RM16" i="18"/>
  <c r="QO16" i="18"/>
  <c r="PQ16" i="18"/>
  <c r="OS16" i="18"/>
  <c r="NU16" i="18"/>
  <c r="MW16" i="18"/>
  <c r="LY16" i="18"/>
  <c r="LA16" i="18"/>
  <c r="KC16" i="18"/>
  <c r="JE16" i="18"/>
  <c r="IG16" i="18"/>
  <c r="HI16" i="18"/>
  <c r="GK16" i="18"/>
  <c r="FM16" i="18"/>
  <c r="EO16" i="18"/>
  <c r="DQ16" i="18"/>
  <c r="CS16" i="18"/>
  <c r="BU16" i="18"/>
  <c r="AW16" i="18"/>
  <c r="XG16" i="18"/>
  <c r="WI16" i="18"/>
  <c r="VK16" i="18"/>
  <c r="UM16" i="18"/>
  <c r="TO16" i="18"/>
  <c r="SQ16" i="18"/>
  <c r="RS16" i="18"/>
  <c r="QU16" i="18"/>
  <c r="PW16" i="18"/>
  <c r="OY16" i="18"/>
  <c r="OA16" i="18"/>
  <c r="NC16" i="18"/>
  <c r="ME16" i="18"/>
  <c r="LG16" i="18"/>
  <c r="KI16" i="18"/>
  <c r="JK16" i="18"/>
  <c r="IM16" i="18"/>
  <c r="HO16" i="18"/>
  <c r="GQ16" i="18"/>
  <c r="FS16" i="18"/>
  <c r="EU16" i="18"/>
  <c r="DW16" i="18"/>
  <c r="CY16" i="18"/>
  <c r="CA16" i="18"/>
  <c r="BC16" i="18"/>
  <c r="WO16" i="18"/>
  <c r="VQ16" i="18"/>
  <c r="US16" i="18"/>
  <c r="TU16" i="18"/>
  <c r="SW16" i="18"/>
  <c r="RY16" i="18"/>
  <c r="RA16" i="18"/>
  <c r="QC16" i="18"/>
  <c r="PE16" i="18"/>
  <c r="OG16" i="18"/>
  <c r="NI16" i="18"/>
  <c r="MK16" i="18"/>
  <c r="LM16" i="18"/>
  <c r="KO16" i="18"/>
  <c r="JQ16" i="18"/>
  <c r="IS16" i="18"/>
  <c r="HU16" i="18"/>
  <c r="GW16" i="18"/>
  <c r="FY16" i="18"/>
  <c r="FA16" i="18"/>
  <c r="EC16" i="18"/>
  <c r="DE16" i="18"/>
  <c r="CG16" i="18"/>
  <c r="BI16" i="18"/>
  <c r="AK16" i="18"/>
  <c r="WU16" i="18"/>
  <c r="TC16" i="18"/>
  <c r="PK16" i="18"/>
  <c r="LS16" i="18"/>
  <c r="IA16" i="18"/>
  <c r="EI16" i="18"/>
  <c r="AQ16" i="18"/>
  <c r="UA16" i="18"/>
  <c r="QI16" i="18"/>
  <c r="MQ16" i="18"/>
  <c r="IY16" i="18"/>
  <c r="FG16" i="18"/>
  <c r="BO16" i="18"/>
  <c r="VW16" i="18"/>
  <c r="KU16" i="18"/>
  <c r="DK16" i="18"/>
  <c r="UY16" i="18"/>
  <c r="RG16" i="18"/>
  <c r="NO16" i="18"/>
  <c r="JW16" i="18"/>
  <c r="GE16" i="18"/>
  <c r="CM16" i="18"/>
  <c r="SE16" i="18"/>
  <c r="HC16" i="18"/>
  <c r="OM16" i="18"/>
  <c r="ST15" i="18"/>
  <c r="HY15" i="18"/>
  <c r="PG15" i="18"/>
  <c r="VH15" i="18"/>
  <c r="PB15" i="18"/>
  <c r="RK15" i="18"/>
  <c r="LV15" i="18"/>
  <c r="FP15" i="18"/>
  <c r="RW15" i="18"/>
  <c r="OD15" i="18"/>
  <c r="DC15" i="18"/>
  <c r="SZ15" i="18"/>
  <c r="SC15" i="18"/>
  <c r="QM15" i="18"/>
  <c r="MT15" i="18"/>
  <c r="RQ15" i="18"/>
  <c r="KF15" i="18"/>
  <c r="LK15" i="18"/>
  <c r="DZ15" i="18"/>
  <c r="KS15" i="18"/>
  <c r="VZ15" i="18"/>
  <c r="KY15" i="18"/>
  <c r="HF15" i="18"/>
  <c r="TM15" i="18"/>
  <c r="PT15" i="18"/>
  <c r="ES15" i="18"/>
  <c r="NG15" i="18"/>
  <c r="JN15" i="18"/>
  <c r="PI15" i="18"/>
  <c r="JU15" i="18"/>
  <c r="OJ15" i="18"/>
  <c r="NY15" i="18"/>
  <c r="GN15" i="18"/>
  <c r="WK15" i="18"/>
  <c r="HS15" i="18"/>
  <c r="WR15" i="18"/>
  <c r="VB15" i="18"/>
  <c r="KA15" i="18"/>
  <c r="GH15" i="18"/>
  <c r="SO15" i="18"/>
  <c r="OV15" i="18"/>
  <c r="DU15" i="18"/>
  <c r="XJ15" i="18"/>
  <c r="MI15" i="18"/>
  <c r="IP15" i="18"/>
  <c r="LQ15" i="18"/>
  <c r="TX15" i="18"/>
  <c r="GC15" i="18"/>
  <c r="GZ15" i="18"/>
  <c r="CJ15" i="18"/>
  <c r="RO15" i="18"/>
  <c r="LI15" i="18"/>
  <c r="WT17" i="18"/>
  <c r="VV17" i="18"/>
  <c r="UX17" i="18"/>
  <c r="TZ17" i="18"/>
  <c r="TB17" i="18"/>
  <c r="SD17" i="18"/>
  <c r="RF17" i="18"/>
  <c r="QH17" i="18"/>
  <c r="PJ17" i="18"/>
  <c r="OL17" i="18"/>
  <c r="NN17" i="18"/>
  <c r="MP17" i="18"/>
  <c r="LR17" i="18"/>
  <c r="KT17" i="18"/>
  <c r="JV17" i="18"/>
  <c r="IX17" i="18"/>
  <c r="HZ17" i="18"/>
  <c r="HB17" i="18"/>
  <c r="GD17" i="18"/>
  <c r="FF17" i="18"/>
  <c r="EH17" i="18"/>
  <c r="DJ17" i="18"/>
  <c r="CL17" i="18"/>
  <c r="BN17" i="18"/>
  <c r="AP17" i="18"/>
  <c r="WZ17" i="18"/>
  <c r="WB17" i="18"/>
  <c r="VD17" i="18"/>
  <c r="UF17" i="18"/>
  <c r="TH17" i="18"/>
  <c r="SJ17" i="18"/>
  <c r="RL17" i="18"/>
  <c r="QN17" i="18"/>
  <c r="PP17" i="18"/>
  <c r="OR17" i="18"/>
  <c r="NT17" i="18"/>
  <c r="MV17" i="18"/>
  <c r="LX17" i="18"/>
  <c r="KZ17" i="18"/>
  <c r="KB17" i="18"/>
  <c r="JD17" i="18"/>
  <c r="IF17" i="18"/>
  <c r="HH17" i="18"/>
  <c r="GJ17" i="18"/>
  <c r="FL17" i="18"/>
  <c r="EN17" i="18"/>
  <c r="DP17" i="18"/>
  <c r="CR17" i="18"/>
  <c r="BT17" i="18"/>
  <c r="AV17" i="18"/>
  <c r="XF17" i="18"/>
  <c r="WH17" i="18"/>
  <c r="VJ17" i="18"/>
  <c r="UL17" i="18"/>
  <c r="TN17" i="18"/>
  <c r="SP17" i="18"/>
  <c r="RR17" i="18"/>
  <c r="QT17" i="18"/>
  <c r="PV17" i="18"/>
  <c r="OX17" i="18"/>
  <c r="NZ17" i="18"/>
  <c r="NB17" i="18"/>
  <c r="MD17" i="18"/>
  <c r="LF17" i="18"/>
  <c r="KH17" i="18"/>
  <c r="JJ17" i="18"/>
  <c r="IL17" i="18"/>
  <c r="HN17" i="18"/>
  <c r="GP17" i="18"/>
  <c r="FR17" i="18"/>
  <c r="ET17" i="18"/>
  <c r="DV17" i="18"/>
  <c r="CX17" i="18"/>
  <c r="BZ17" i="18"/>
  <c r="BB17" i="18"/>
  <c r="UR17" i="18"/>
  <c r="QZ17" i="18"/>
  <c r="NH17" i="18"/>
  <c r="JP17" i="18"/>
  <c r="FX17" i="18"/>
  <c r="CF17" i="18"/>
  <c r="VP17" i="18"/>
  <c r="RX17" i="18"/>
  <c r="OF17" i="18"/>
  <c r="KN17" i="18"/>
  <c r="GV17" i="18"/>
  <c r="DD17" i="18"/>
  <c r="MJ17" i="18"/>
  <c r="BH17" i="18"/>
  <c r="WN17" i="18"/>
  <c r="SV17" i="18"/>
  <c r="PD17" i="18"/>
  <c r="LL17" i="18"/>
  <c r="HT17" i="18"/>
  <c r="EB17" i="18"/>
  <c r="AJ17" i="18"/>
  <c r="TT17" i="18"/>
  <c r="QB17" i="18"/>
  <c r="IR17" i="18"/>
  <c r="EZ17" i="18"/>
  <c r="XH16" i="18"/>
  <c r="WJ16" i="18"/>
  <c r="VL16" i="18"/>
  <c r="UN16" i="18"/>
  <c r="TP16" i="18"/>
  <c r="SR16" i="18"/>
  <c r="RT16" i="18"/>
  <c r="QV16" i="18"/>
  <c r="PX16" i="18"/>
  <c r="OZ16" i="18"/>
  <c r="OB16" i="18"/>
  <c r="ND16" i="18"/>
  <c r="MF16" i="18"/>
  <c r="LH16" i="18"/>
  <c r="KJ16" i="18"/>
  <c r="JL16" i="18"/>
  <c r="IN16" i="18"/>
  <c r="HP16" i="18"/>
  <c r="GR16" i="18"/>
  <c r="FT16" i="18"/>
  <c r="EV16" i="18"/>
  <c r="DX16" i="18"/>
  <c r="CZ16" i="18"/>
  <c r="CB16" i="18"/>
  <c r="BD16" i="18"/>
  <c r="WP16" i="18"/>
  <c r="VR16" i="18"/>
  <c r="UT16" i="18"/>
  <c r="TV16" i="18"/>
  <c r="SX16" i="18"/>
  <c r="RZ16" i="18"/>
  <c r="RB16" i="18"/>
  <c r="QD16" i="18"/>
  <c r="PF16" i="18"/>
  <c r="OH16" i="18"/>
  <c r="NJ16" i="18"/>
  <c r="ML16" i="18"/>
  <c r="LN16" i="18"/>
  <c r="KP16" i="18"/>
  <c r="JR16" i="18"/>
  <c r="IT16" i="18"/>
  <c r="HV16" i="18"/>
  <c r="GX16" i="18"/>
  <c r="FZ16" i="18"/>
  <c r="FB16" i="18"/>
  <c r="ED16" i="18"/>
  <c r="DF16" i="18"/>
  <c r="CH16" i="18"/>
  <c r="BJ16" i="18"/>
  <c r="AL16" i="18"/>
  <c r="WV16" i="18"/>
  <c r="VX16" i="18"/>
  <c r="UZ16" i="18"/>
  <c r="UB16" i="18"/>
  <c r="TD16" i="18"/>
  <c r="SF16" i="18"/>
  <c r="RH16" i="18"/>
  <c r="QJ16" i="18"/>
  <c r="PL16" i="18"/>
  <c r="ON16" i="18"/>
  <c r="NP16" i="18"/>
  <c r="MR16" i="18"/>
  <c r="LT16" i="18"/>
  <c r="KV16" i="18"/>
  <c r="JX16" i="18"/>
  <c r="IZ16" i="18"/>
  <c r="IB16" i="18"/>
  <c r="HD16" i="18"/>
  <c r="GF16" i="18"/>
  <c r="FH16" i="18"/>
  <c r="EJ16" i="18"/>
  <c r="DL16" i="18"/>
  <c r="CN16" i="18"/>
  <c r="BP16" i="18"/>
  <c r="AR16" i="18"/>
  <c r="UH16" i="18"/>
  <c r="QP16" i="18"/>
  <c r="MX16" i="18"/>
  <c r="JF16" i="18"/>
  <c r="FN16" i="18"/>
  <c r="BV16" i="18"/>
  <c r="VF16" i="18"/>
  <c r="RN16" i="18"/>
  <c r="NV16" i="18"/>
  <c r="KD16" i="18"/>
  <c r="GL16" i="18"/>
  <c r="CT16" i="18"/>
  <c r="TJ16" i="18"/>
  <c r="PR16" i="18"/>
  <c r="IH16" i="18"/>
  <c r="WD16" i="18"/>
  <c r="SL16" i="18"/>
  <c r="OT16" i="18"/>
  <c r="LB16" i="18"/>
  <c r="HJ16" i="18"/>
  <c r="DR16" i="18"/>
  <c r="XB16" i="18"/>
  <c r="LZ16" i="18"/>
  <c r="EP16" i="18"/>
  <c r="AX16" i="18"/>
  <c r="Q14" i="18"/>
  <c r="S12" i="18"/>
  <c r="U12" i="18" s="1"/>
  <c r="P14" i="18"/>
  <c r="T13" i="18" s="1"/>
  <c r="R14" i="18"/>
  <c r="B31" i="1"/>
  <c r="B31" i="9"/>
  <c r="B31" i="7"/>
  <c r="AD28" i="5"/>
  <c r="AE28" i="5" s="1"/>
  <c r="AI28" i="5" s="1"/>
  <c r="B33" i="5"/>
  <c r="K31" i="5"/>
  <c r="AE31" i="5"/>
  <c r="B30" i="5"/>
  <c r="R28" i="5"/>
  <c r="AG28" i="5" s="1"/>
  <c r="K28" i="5"/>
  <c r="N17" i="18"/>
  <c r="O17" i="18"/>
  <c r="B18" i="18"/>
  <c r="B82" i="14"/>
  <c r="T79" i="14"/>
  <c r="S79" i="14"/>
  <c r="U79" i="14"/>
  <c r="Q78" i="14"/>
  <c r="R78" i="14"/>
  <c r="B30" i="7"/>
  <c r="B30" i="9"/>
  <c r="O26" i="1"/>
  <c r="BQ27" i="1"/>
  <c r="BP27" i="1"/>
  <c r="X27" i="7" s="1"/>
  <c r="O27" i="1"/>
  <c r="B32" i="8"/>
  <c r="B30" i="1"/>
  <c r="N28" i="1"/>
  <c r="B33" i="8"/>
  <c r="B17" i="15"/>
  <c r="Q29" i="5" l="1"/>
  <c r="U29" i="5" s="1"/>
  <c r="Q24" i="5"/>
  <c r="U24" i="5" s="1"/>
  <c r="Q26" i="5"/>
  <c r="U26" i="5" s="1"/>
  <c r="R21" i="8"/>
  <c r="R33" i="5"/>
  <c r="AG33" i="5" s="1"/>
  <c r="B37" i="19"/>
  <c r="G37" i="19" s="1"/>
  <c r="F35" i="19"/>
  <c r="I29" i="9"/>
  <c r="I28" i="9"/>
  <c r="AJ26" i="5"/>
  <c r="AL26" i="5" s="1"/>
  <c r="F28" i="5"/>
  <c r="M27" i="9"/>
  <c r="L29" i="9"/>
  <c r="L28" i="9"/>
  <c r="M26" i="9"/>
  <c r="J29" i="9"/>
  <c r="J28" i="9"/>
  <c r="H31" i="9"/>
  <c r="K31" i="9" s="1"/>
  <c r="H30" i="9"/>
  <c r="K30" i="9" s="1"/>
  <c r="F31" i="5"/>
  <c r="F32" i="8"/>
  <c r="G32" i="8"/>
  <c r="F33" i="8"/>
  <c r="G33" i="8"/>
  <c r="I30" i="7"/>
  <c r="J30" i="7"/>
  <c r="J31" i="7"/>
  <c r="I31" i="7"/>
  <c r="U17" i="15"/>
  <c r="D17" i="15"/>
  <c r="E17" i="15"/>
  <c r="E18" i="18"/>
  <c r="G18" i="18" s="1"/>
  <c r="D18" i="18"/>
  <c r="F18" i="18" s="1"/>
  <c r="I30" i="5"/>
  <c r="J30" i="5" s="1"/>
  <c r="I33" i="5"/>
  <c r="J33" i="5" s="1"/>
  <c r="H30" i="1"/>
  <c r="I30" i="1" s="1"/>
  <c r="H31" i="1"/>
  <c r="I31" i="1" s="1"/>
  <c r="BY16" i="18"/>
  <c r="T17" i="15"/>
  <c r="NW16" i="18"/>
  <c r="QS16" i="18"/>
  <c r="HK16" i="18"/>
  <c r="WE16" i="18"/>
  <c r="AM16" i="18"/>
  <c r="AO16" i="18"/>
  <c r="AN16" i="18"/>
  <c r="BF16" i="18"/>
  <c r="BA16" i="18"/>
  <c r="AU16" i="18"/>
  <c r="PO16" i="18"/>
  <c r="AS16" i="18"/>
  <c r="AY16" i="18"/>
  <c r="AT16" i="18"/>
  <c r="AZ16" i="18"/>
  <c r="MY16" i="18"/>
  <c r="CV16" i="18"/>
  <c r="RO16" i="18"/>
  <c r="LU16" i="18"/>
  <c r="GM16" i="18"/>
  <c r="VG16" i="18"/>
  <c r="FJ16" i="18"/>
  <c r="UD16" i="18"/>
  <c r="EE16" i="18"/>
  <c r="HW16" i="18"/>
  <c r="LP16" i="18"/>
  <c r="PG16" i="18"/>
  <c r="WS16" i="18"/>
  <c r="EA16" i="18"/>
  <c r="HQ16" i="18"/>
  <c r="LI16" i="18"/>
  <c r="PB16" i="18"/>
  <c r="SU16" i="18"/>
  <c r="WL16" i="18"/>
  <c r="KG16" i="18"/>
  <c r="HS16" i="18"/>
  <c r="FI16" i="18"/>
  <c r="UE16" i="18"/>
  <c r="ST16" i="18"/>
  <c r="PI16" i="18"/>
  <c r="FK16" i="18"/>
  <c r="LK16" i="18"/>
  <c r="WK16" i="18"/>
  <c r="DY16" i="18"/>
  <c r="BQ16" i="18"/>
  <c r="QL16" i="18"/>
  <c r="UC16" i="18"/>
  <c r="SS16" i="18"/>
  <c r="HR16" i="18"/>
  <c r="PH16" i="18"/>
  <c r="FO16" i="18"/>
  <c r="UI16" i="18"/>
  <c r="QK16" i="18"/>
  <c r="WM16" i="18"/>
  <c r="PA16" i="18"/>
  <c r="DZ16" i="18"/>
  <c r="JG16" i="18"/>
  <c r="EM16" i="18"/>
  <c r="IE16" i="18"/>
  <c r="TG16" i="18"/>
  <c r="WY16" i="18"/>
  <c r="DI16" i="18"/>
  <c r="HA16" i="18"/>
  <c r="KR16" i="18"/>
  <c r="OJ16" i="18"/>
  <c r="SB16" i="18"/>
  <c r="VS16" i="18"/>
  <c r="DA16" i="18"/>
  <c r="GT16" i="18"/>
  <c r="KM16" i="18"/>
  <c r="OD16" i="18"/>
  <c r="RU16" i="18"/>
  <c r="VM16" i="18"/>
  <c r="BR16" i="18"/>
  <c r="VH16" i="18"/>
  <c r="KE16" i="18"/>
  <c r="MN16" i="18"/>
  <c r="LE16" i="18"/>
  <c r="OW16" i="18"/>
  <c r="NQ16" i="18"/>
  <c r="IV16" i="18"/>
  <c r="MO16" i="18"/>
  <c r="QF16" i="18"/>
  <c r="EX16" i="18"/>
  <c r="IP16" i="18"/>
  <c r="PZ16" i="18"/>
  <c r="TR16" i="18"/>
  <c r="DT16" i="18"/>
  <c r="SO16" i="18"/>
  <c r="JC16" i="18"/>
  <c r="JB16" i="18"/>
  <c r="BM16" i="18"/>
  <c r="GN16" i="18"/>
  <c r="KF16" i="18"/>
  <c r="BK16" i="18"/>
  <c r="BG16" i="18"/>
  <c r="BL16" i="18"/>
  <c r="BE16" i="18"/>
  <c r="NX16" i="18"/>
  <c r="MM16" i="18"/>
  <c r="MT16" i="18"/>
  <c r="CK16" i="18"/>
  <c r="NY16" i="18"/>
  <c r="CQ16" i="18"/>
  <c r="GA16" i="18"/>
  <c r="SG16" i="18"/>
  <c r="KW16" i="18"/>
  <c r="FD16" i="18"/>
  <c r="TW16" i="18"/>
  <c r="MG16" i="18"/>
  <c r="XK16" i="18"/>
  <c r="HG16" i="18"/>
  <c r="JZ16" i="18"/>
  <c r="NS16" i="18"/>
  <c r="DS16" i="18"/>
  <c r="EF16" i="18"/>
  <c r="IU16" i="18"/>
  <c r="SN16" i="18"/>
  <c r="IO16" i="18"/>
  <c r="QE16" i="18"/>
  <c r="CO16" i="18"/>
  <c r="RI16" i="18"/>
  <c r="VY16" i="18"/>
  <c r="MS16" i="18"/>
  <c r="EK16" i="18"/>
  <c r="TF16" i="18"/>
  <c r="CJ16" i="18"/>
  <c r="GC16" i="18"/>
  <c r="JT16" i="18"/>
  <c r="NK16" i="18"/>
  <c r="RC16" i="18"/>
  <c r="UV16" i="18"/>
  <c r="CE16" i="18"/>
  <c r="FV16" i="18"/>
  <c r="JN16" i="18"/>
  <c r="NE16" i="18"/>
  <c r="QY16" i="18"/>
  <c r="UP16" i="18"/>
  <c r="EQ16" i="18"/>
  <c r="IK16" i="18"/>
  <c r="MA16" i="18"/>
  <c r="PT16" i="18"/>
  <c r="TK16" i="18"/>
  <c r="XE16" i="18"/>
  <c r="TX16" i="18"/>
  <c r="JY16" i="18"/>
  <c r="MH16" i="18"/>
  <c r="QA16" i="18"/>
  <c r="SM16" i="18"/>
  <c r="OQ16" i="18"/>
  <c r="GG16" i="18"/>
  <c r="VA16" i="18"/>
  <c r="BS16" i="18"/>
  <c r="QM16" i="18"/>
  <c r="IC16" i="18"/>
  <c r="WW16" i="18"/>
  <c r="DH16" i="18"/>
  <c r="GY16" i="18"/>
  <c r="KS16" i="18"/>
  <c r="OI16" i="18"/>
  <c r="SA16" i="18"/>
  <c r="VT16" i="18"/>
  <c r="DC16" i="18"/>
  <c r="GS16" i="18"/>
  <c r="KK16" i="18"/>
  <c r="OC16" i="18"/>
  <c r="RW16" i="18"/>
  <c r="VN16" i="18"/>
  <c r="BX16" i="18"/>
  <c r="FP16" i="18"/>
  <c r="JI16" i="18"/>
  <c r="MZ16" i="18"/>
  <c r="QR16" i="18"/>
  <c r="UJ16" i="18"/>
  <c r="SI16" i="18"/>
  <c r="OU16" i="18"/>
  <c r="EY16" i="18"/>
  <c r="LQ16" i="18"/>
  <c r="GI16" i="18"/>
  <c r="TS16" i="18"/>
  <c r="HF16" i="18"/>
  <c r="KA16" i="18"/>
  <c r="DN16" i="18"/>
  <c r="HX16" i="18"/>
  <c r="SY16" i="18"/>
  <c r="WR16" i="18"/>
  <c r="DO16" i="18"/>
  <c r="SZ16" i="18"/>
  <c r="OV16" i="18"/>
  <c r="EW16" i="18"/>
  <c r="NA16" i="18"/>
  <c r="GH16" i="18"/>
  <c r="IQ16" i="18"/>
  <c r="SH16" i="18"/>
  <c r="KX16" i="18"/>
  <c r="FC16" i="18"/>
  <c r="TY16" i="18"/>
  <c r="MI16" i="18"/>
  <c r="XJ16" i="18"/>
  <c r="LC16" i="18"/>
  <c r="WF16" i="18"/>
  <c r="OP16" i="18"/>
  <c r="DM16" i="18"/>
  <c r="HY16" i="18"/>
  <c r="VC16" i="18"/>
  <c r="XI16" i="18"/>
  <c r="JH16" i="18"/>
  <c r="RV16" i="18"/>
  <c r="MC16" i="18"/>
  <c r="UQ16" i="18"/>
  <c r="FW16" i="18"/>
  <c r="RQ16" i="18"/>
  <c r="CW16" i="18"/>
  <c r="CP16" i="18"/>
  <c r="TE16" i="18"/>
  <c r="DB16" i="18"/>
  <c r="LO16" i="18"/>
  <c r="RK16" i="18"/>
  <c r="WA16" i="18"/>
  <c r="OO16" i="18"/>
  <c r="XC16" i="18"/>
  <c r="PU16" i="18"/>
  <c r="MB16" i="18"/>
  <c r="IJ16" i="18"/>
  <c r="UO16" i="18"/>
  <c r="QX16" i="18"/>
  <c r="JO16" i="18"/>
  <c r="FU16" i="18"/>
  <c r="CD16" i="18"/>
  <c r="NM16" i="18"/>
  <c r="VB16" i="18"/>
  <c r="XH17" i="18"/>
  <c r="WJ17" i="18"/>
  <c r="VL17" i="18"/>
  <c r="UN17" i="18"/>
  <c r="TP17" i="18"/>
  <c r="SR17" i="18"/>
  <c r="RT17" i="18"/>
  <c r="QV17" i="18"/>
  <c r="PX17" i="18"/>
  <c r="OZ17" i="18"/>
  <c r="OB17" i="18"/>
  <c r="ND17" i="18"/>
  <c r="MF17" i="18"/>
  <c r="LH17" i="18"/>
  <c r="KJ17" i="18"/>
  <c r="JL17" i="18"/>
  <c r="IN17" i="18"/>
  <c r="HP17" i="18"/>
  <c r="GR17" i="18"/>
  <c r="FT17" i="18"/>
  <c r="EV17" i="18"/>
  <c r="DX17" i="18"/>
  <c r="CZ17" i="18"/>
  <c r="CB17" i="18"/>
  <c r="BD17" i="18"/>
  <c r="WP17" i="18"/>
  <c r="VR17" i="18"/>
  <c r="UT17" i="18"/>
  <c r="TV17" i="18"/>
  <c r="SX17" i="18"/>
  <c r="RZ17" i="18"/>
  <c r="RB17" i="18"/>
  <c r="QD17" i="18"/>
  <c r="PF17" i="18"/>
  <c r="OH17" i="18"/>
  <c r="NJ17" i="18"/>
  <c r="ML17" i="18"/>
  <c r="LN17" i="18"/>
  <c r="KP17" i="18"/>
  <c r="JR17" i="18"/>
  <c r="IT17" i="18"/>
  <c r="HV17" i="18"/>
  <c r="GX17" i="18"/>
  <c r="FZ17" i="18"/>
  <c r="FB17" i="18"/>
  <c r="ED17" i="18"/>
  <c r="DF17" i="18"/>
  <c r="CH17" i="18"/>
  <c r="BJ17" i="18"/>
  <c r="AL17" i="18"/>
  <c r="WV17" i="18"/>
  <c r="VX17" i="18"/>
  <c r="UZ17" i="18"/>
  <c r="UB17" i="18"/>
  <c r="TD17" i="18"/>
  <c r="SF17" i="18"/>
  <c r="RH17" i="18"/>
  <c r="QJ17" i="18"/>
  <c r="PL17" i="18"/>
  <c r="ON17" i="18"/>
  <c r="NP17" i="18"/>
  <c r="MR17" i="18"/>
  <c r="LT17" i="18"/>
  <c r="KV17" i="18"/>
  <c r="JX17" i="18"/>
  <c r="IZ17" i="18"/>
  <c r="IB17" i="18"/>
  <c r="HD17" i="18"/>
  <c r="GF17" i="18"/>
  <c r="FH17" i="18"/>
  <c r="EJ17" i="18"/>
  <c r="DL17" i="18"/>
  <c r="CN17" i="18"/>
  <c r="BP17" i="18"/>
  <c r="AR17" i="18"/>
  <c r="XB17" i="18"/>
  <c r="TJ17" i="18"/>
  <c r="PR17" i="18"/>
  <c r="LZ17" i="18"/>
  <c r="IH17" i="18"/>
  <c r="EP17" i="18"/>
  <c r="AX17" i="18"/>
  <c r="UH17" i="18"/>
  <c r="QP17" i="18"/>
  <c r="MX17" i="18"/>
  <c r="JF17" i="18"/>
  <c r="FN17" i="18"/>
  <c r="BV17" i="18"/>
  <c r="SL17" i="18"/>
  <c r="OT17" i="18"/>
  <c r="HJ17" i="18"/>
  <c r="DR17" i="18"/>
  <c r="VF17" i="18"/>
  <c r="RN17" i="18"/>
  <c r="NV17" i="18"/>
  <c r="KD17" i="18"/>
  <c r="GL17" i="18"/>
  <c r="CT17" i="18"/>
  <c r="WD17" i="18"/>
  <c r="LB17" i="18"/>
  <c r="LV16" i="18"/>
  <c r="HL16" i="18"/>
  <c r="TL16" i="18"/>
  <c r="ER16" i="18"/>
  <c r="NF16" i="18"/>
  <c r="CC16" i="18"/>
  <c r="UW16" i="18"/>
  <c r="MU16" i="18"/>
  <c r="JA16" i="18"/>
  <c r="VI16" i="18"/>
  <c r="RP16" i="18"/>
  <c r="GO16" i="18"/>
  <c r="CU16" i="18"/>
  <c r="PC16" i="18"/>
  <c r="LJ16" i="18"/>
  <c r="VU16" i="18"/>
  <c r="GZ16" i="18"/>
  <c r="UU16" i="18"/>
  <c r="CI16" i="18"/>
  <c r="NR16" i="18"/>
  <c r="DU16" i="18"/>
  <c r="PY16" i="18"/>
  <c r="EG16" i="18"/>
  <c r="JS16" i="18"/>
  <c r="WX16" i="18"/>
  <c r="LW16" i="18"/>
  <c r="ID16" i="18"/>
  <c r="EL16" i="18"/>
  <c r="UK16" i="18"/>
  <c r="QQ16" i="18"/>
  <c r="FQ16" i="18"/>
  <c r="BW16" i="18"/>
  <c r="OE16" i="18"/>
  <c r="KL16" i="18"/>
  <c r="SC16" i="18"/>
  <c r="DG16" i="18"/>
  <c r="IW16" i="18"/>
  <c r="RD16" i="18"/>
  <c r="RJ16" i="18"/>
  <c r="HM16" i="18"/>
  <c r="TQ16" i="18"/>
  <c r="QG16" i="18"/>
  <c r="VZ16" i="18"/>
  <c r="KY16" i="18"/>
  <c r="HE16" i="18"/>
  <c r="TM16" i="18"/>
  <c r="PS16" i="18"/>
  <c r="ES16" i="18"/>
  <c r="NG16" i="18"/>
  <c r="JM16" i="18"/>
  <c r="OK16" i="18"/>
  <c r="WQ16" i="18"/>
  <c r="FE16" i="18"/>
  <c r="NL16" i="18"/>
  <c r="WG16" i="18"/>
  <c r="LD16" i="18"/>
  <c r="TA16" i="18"/>
  <c r="KQ16" i="18"/>
  <c r="PM16" i="18"/>
  <c r="VO16" i="18"/>
  <c r="GU16" i="18"/>
  <c r="XD16" i="18"/>
  <c r="II16" i="18"/>
  <c r="QW16" i="18"/>
  <c r="XA17" i="18"/>
  <c r="WC17" i="18"/>
  <c r="VE17" i="18"/>
  <c r="UG17" i="18"/>
  <c r="TI17" i="18"/>
  <c r="SK17" i="18"/>
  <c r="RM17" i="18"/>
  <c r="QO17" i="18"/>
  <c r="PQ17" i="18"/>
  <c r="OS17" i="18"/>
  <c r="NU17" i="18"/>
  <c r="MW17" i="18"/>
  <c r="LY17" i="18"/>
  <c r="LA17" i="18"/>
  <c r="KC17" i="18"/>
  <c r="JE17" i="18"/>
  <c r="IG17" i="18"/>
  <c r="HI17" i="18"/>
  <c r="GK17" i="18"/>
  <c r="FM17" i="18"/>
  <c r="EO17" i="18"/>
  <c r="DQ17" i="18"/>
  <c r="CS17" i="18"/>
  <c r="BU17" i="18"/>
  <c r="AW17" i="18"/>
  <c r="XG17" i="18"/>
  <c r="WI17" i="18"/>
  <c r="VK17" i="18"/>
  <c r="UM17" i="18"/>
  <c r="TO17" i="18"/>
  <c r="SQ17" i="18"/>
  <c r="RS17" i="18"/>
  <c r="QU17" i="18"/>
  <c r="PW17" i="18"/>
  <c r="OY17" i="18"/>
  <c r="OA17" i="18"/>
  <c r="NC17" i="18"/>
  <c r="ME17" i="18"/>
  <c r="LG17" i="18"/>
  <c r="KI17" i="18"/>
  <c r="JK17" i="18"/>
  <c r="IM17" i="18"/>
  <c r="HO17" i="18"/>
  <c r="GQ17" i="18"/>
  <c r="FS17" i="18"/>
  <c r="EU17" i="18"/>
  <c r="DW17" i="18"/>
  <c r="CY17" i="18"/>
  <c r="CA17" i="18"/>
  <c r="BC17" i="18"/>
  <c r="WO17" i="18"/>
  <c r="VQ17" i="18"/>
  <c r="US17" i="18"/>
  <c r="TU17" i="18"/>
  <c r="SW17" i="18"/>
  <c r="RY17" i="18"/>
  <c r="RA17" i="18"/>
  <c r="QC17" i="18"/>
  <c r="PE17" i="18"/>
  <c r="OG17" i="18"/>
  <c r="NI17" i="18"/>
  <c r="MK17" i="18"/>
  <c r="LM17" i="18"/>
  <c r="KO17" i="18"/>
  <c r="JQ17" i="18"/>
  <c r="IS17" i="18"/>
  <c r="HU17" i="18"/>
  <c r="GW17" i="18"/>
  <c r="FY17" i="18"/>
  <c r="FA17" i="18"/>
  <c r="EC17" i="18"/>
  <c r="DE17" i="18"/>
  <c r="CG17" i="18"/>
  <c r="BI17" i="18"/>
  <c r="AK17" i="18"/>
  <c r="VW17" i="18"/>
  <c r="SE17" i="18"/>
  <c r="OM17" i="18"/>
  <c r="KU17" i="18"/>
  <c r="HC17" i="18"/>
  <c r="DK17" i="18"/>
  <c r="WU17" i="18"/>
  <c r="TC17" i="18"/>
  <c r="PK17" i="18"/>
  <c r="LS17" i="18"/>
  <c r="IA17" i="18"/>
  <c r="EI17" i="18"/>
  <c r="AQ17" i="18"/>
  <c r="UY17" i="18"/>
  <c r="JW17" i="18"/>
  <c r="UA17" i="18"/>
  <c r="QI17" i="18"/>
  <c r="MQ17" i="18"/>
  <c r="IY17" i="18"/>
  <c r="FG17" i="18"/>
  <c r="BO17" i="18"/>
  <c r="NO17" i="18"/>
  <c r="GE17" i="18"/>
  <c r="CM17" i="18"/>
  <c r="RG17" i="18"/>
  <c r="JU16" i="18"/>
  <c r="PN16" i="18"/>
  <c r="GB16" i="18"/>
  <c r="RE16" i="18"/>
  <c r="WN18" i="18"/>
  <c r="VP18" i="18"/>
  <c r="UR18" i="18"/>
  <c r="TT18" i="18"/>
  <c r="SV18" i="18"/>
  <c r="RX18" i="18"/>
  <c r="QZ18" i="18"/>
  <c r="QB18" i="18"/>
  <c r="PD18" i="18"/>
  <c r="OF18" i="18"/>
  <c r="NH18" i="18"/>
  <c r="MJ18" i="18"/>
  <c r="LL18" i="18"/>
  <c r="KN18" i="18"/>
  <c r="JP18" i="18"/>
  <c r="IR18" i="18"/>
  <c r="HT18" i="18"/>
  <c r="WT18" i="18"/>
  <c r="VV18" i="18"/>
  <c r="UX18" i="18"/>
  <c r="TZ18" i="18"/>
  <c r="TB18" i="18"/>
  <c r="SD18" i="18"/>
  <c r="RF18" i="18"/>
  <c r="QH18" i="18"/>
  <c r="PJ18" i="18"/>
  <c r="OL18" i="18"/>
  <c r="NN18" i="18"/>
  <c r="MP18" i="18"/>
  <c r="LR18" i="18"/>
  <c r="KT18" i="18"/>
  <c r="JV18" i="18"/>
  <c r="IX18" i="18"/>
  <c r="HZ18" i="18"/>
  <c r="HB18" i="18"/>
  <c r="XF18" i="18"/>
  <c r="VJ18" i="18"/>
  <c r="TN18" i="18"/>
  <c r="RR18" i="18"/>
  <c r="PV18" i="18"/>
  <c r="NZ18" i="18"/>
  <c r="MD18" i="18"/>
  <c r="KH18" i="18"/>
  <c r="IL18" i="18"/>
  <c r="GD18" i="18"/>
  <c r="FF18" i="18"/>
  <c r="EH18" i="18"/>
  <c r="DJ18" i="18"/>
  <c r="CL18" i="18"/>
  <c r="BN18" i="18"/>
  <c r="AP18" i="18"/>
  <c r="WZ18" i="18"/>
  <c r="VD18" i="18"/>
  <c r="TH18" i="18"/>
  <c r="RL18" i="18"/>
  <c r="PP18" i="18"/>
  <c r="NT18" i="18"/>
  <c r="LX18" i="18"/>
  <c r="KB18" i="18"/>
  <c r="IF18" i="18"/>
  <c r="GJ18" i="18"/>
  <c r="FL18" i="18"/>
  <c r="EN18" i="18"/>
  <c r="DP18" i="18"/>
  <c r="CR18" i="18"/>
  <c r="BT18" i="18"/>
  <c r="AV18" i="18"/>
  <c r="WH18" i="18"/>
  <c r="UL18" i="18"/>
  <c r="SP18" i="18"/>
  <c r="QT18" i="18"/>
  <c r="OX18" i="18"/>
  <c r="NB18" i="18"/>
  <c r="LF18" i="18"/>
  <c r="JJ18" i="18"/>
  <c r="HN18" i="18"/>
  <c r="GP18" i="18"/>
  <c r="FR18" i="18"/>
  <c r="ET18" i="18"/>
  <c r="DV18" i="18"/>
  <c r="CX18" i="18"/>
  <c r="BZ18" i="18"/>
  <c r="BB18" i="18"/>
  <c r="UF18" i="18"/>
  <c r="MV18" i="18"/>
  <c r="EZ18" i="18"/>
  <c r="BH18" i="18"/>
  <c r="WB18" i="18"/>
  <c r="OR18" i="18"/>
  <c r="HH18" i="18"/>
  <c r="FX18" i="18"/>
  <c r="CF18" i="18"/>
  <c r="KZ18" i="18"/>
  <c r="AJ18" i="18"/>
  <c r="QN18" i="18"/>
  <c r="JD18" i="18"/>
  <c r="GV18" i="18"/>
  <c r="DD18" i="18"/>
  <c r="EB18" i="18"/>
  <c r="SJ18" i="18"/>
  <c r="R15" i="18"/>
  <c r="S13" i="18"/>
  <c r="U13" i="18" s="1"/>
  <c r="P15" i="18"/>
  <c r="T14" i="18" s="1"/>
  <c r="Q15" i="18"/>
  <c r="B33" i="9"/>
  <c r="B33" i="7"/>
  <c r="B33" i="1"/>
  <c r="AD30" i="5"/>
  <c r="AE30" i="5" s="1"/>
  <c r="AI30" i="5" s="1"/>
  <c r="B32" i="5"/>
  <c r="R30" i="5"/>
  <c r="AG30" i="5" s="1"/>
  <c r="K30" i="5"/>
  <c r="B35" i="5"/>
  <c r="K33" i="5"/>
  <c r="AE33" i="5"/>
  <c r="N18" i="18"/>
  <c r="B19" i="18"/>
  <c r="O18" i="18"/>
  <c r="U80" i="14"/>
  <c r="S80" i="14"/>
  <c r="T80" i="14"/>
  <c r="Q79" i="14"/>
  <c r="R79" i="14"/>
  <c r="B83" i="14"/>
  <c r="BP29" i="1"/>
  <c r="X29" i="7" s="1"/>
  <c r="O28" i="1"/>
  <c r="BQ29" i="1"/>
  <c r="O29" i="1"/>
  <c r="B32" i="9"/>
  <c r="B32" i="1"/>
  <c r="N30" i="1"/>
  <c r="B34" i="8"/>
  <c r="B35" i="8"/>
  <c r="B18" i="15"/>
  <c r="B32" i="7"/>
  <c r="Q31" i="5" l="1"/>
  <c r="U31" i="5" s="1"/>
  <c r="R23" i="8"/>
  <c r="Q28" i="5"/>
  <c r="U28" i="5" s="1"/>
  <c r="R35" i="5"/>
  <c r="AG35" i="5" s="1"/>
  <c r="B39" i="19"/>
  <c r="G39" i="19" s="1"/>
  <c r="F37" i="19"/>
  <c r="I31" i="9"/>
  <c r="I30" i="9"/>
  <c r="AJ28" i="5"/>
  <c r="AL28" i="5" s="1"/>
  <c r="M29" i="9"/>
  <c r="L31" i="9"/>
  <c r="L30" i="9"/>
  <c r="M28" i="9"/>
  <c r="J30" i="9"/>
  <c r="J31" i="9"/>
  <c r="H33" i="9"/>
  <c r="K33" i="9" s="1"/>
  <c r="H32" i="9"/>
  <c r="K32" i="9" s="1"/>
  <c r="F33" i="5"/>
  <c r="F34" i="8"/>
  <c r="G34" i="8"/>
  <c r="F35" i="8"/>
  <c r="G35" i="8"/>
  <c r="J32" i="7"/>
  <c r="I32" i="7"/>
  <c r="J33" i="7"/>
  <c r="I33" i="7"/>
  <c r="U18" i="15"/>
  <c r="E18" i="15"/>
  <c r="D18" i="15"/>
  <c r="E19" i="18"/>
  <c r="G19" i="18" s="1"/>
  <c r="D19" i="18"/>
  <c r="F19" i="18" s="1"/>
  <c r="I35" i="5"/>
  <c r="J35" i="5" s="1"/>
  <c r="I32" i="5"/>
  <c r="J32" i="5" s="1"/>
  <c r="H33" i="1"/>
  <c r="I33" i="1" s="1"/>
  <c r="H32" i="1"/>
  <c r="I32" i="1" s="1"/>
  <c r="AO17" i="18"/>
  <c r="AN17" i="18"/>
  <c r="AS17" i="18"/>
  <c r="DH17" i="18"/>
  <c r="HA17" i="18"/>
  <c r="DA17" i="18"/>
  <c r="GU17" i="18"/>
  <c r="FU17" i="18"/>
  <c r="T18" i="15"/>
  <c r="KS17" i="18"/>
  <c r="PM17" i="18"/>
  <c r="OK17" i="18"/>
  <c r="SA17" i="18"/>
  <c r="VU17" i="18"/>
  <c r="OD17" i="18"/>
  <c r="RU17" i="18"/>
  <c r="VO17" i="18"/>
  <c r="AZ17" i="18"/>
  <c r="FI17" i="18"/>
  <c r="UC17" i="18"/>
  <c r="EF17" i="18"/>
  <c r="HW17" i="18"/>
  <c r="LP17" i="18"/>
  <c r="TA17" i="18"/>
  <c r="WR17" i="18"/>
  <c r="DZ17" i="18"/>
  <c r="HQ17" i="18"/>
  <c r="LK17" i="18"/>
  <c r="ST17" i="18"/>
  <c r="WK17" i="18"/>
  <c r="CW17" i="18"/>
  <c r="FC17" i="18"/>
  <c r="AM17" i="18"/>
  <c r="FP17" i="18"/>
  <c r="UJ17" i="18"/>
  <c r="GH17" i="18"/>
  <c r="JY17" i="18"/>
  <c r="BK17" i="18"/>
  <c r="FE17" i="18"/>
  <c r="IW17" i="18"/>
  <c r="MN17" i="18"/>
  <c r="QG17" i="18"/>
  <c r="TX17" i="18"/>
  <c r="BF17" i="18"/>
  <c r="EY17" i="18"/>
  <c r="IP17" i="18"/>
  <c r="MG17" i="18"/>
  <c r="PZ17" i="18"/>
  <c r="TQ17" i="18"/>
  <c r="XK17" i="18"/>
  <c r="SN17" i="18"/>
  <c r="RQ17" i="18"/>
  <c r="SG17" i="18"/>
  <c r="NK17" i="18"/>
  <c r="UV17" i="18"/>
  <c r="NG17" i="18"/>
  <c r="XC17" i="18"/>
  <c r="AT17" i="18"/>
  <c r="AU17" i="18"/>
  <c r="KM17" i="18"/>
  <c r="NW17" i="18"/>
  <c r="LV17" i="18"/>
  <c r="MA17" i="18"/>
  <c r="ID17" i="18"/>
  <c r="WX17" i="18"/>
  <c r="HM17" i="18"/>
  <c r="WF17" i="18"/>
  <c r="EM17" i="18"/>
  <c r="TG17" i="18"/>
  <c r="NY17" i="18"/>
  <c r="OI17" i="18"/>
  <c r="GN17" i="18"/>
  <c r="VH17" i="18"/>
  <c r="KF17" i="18"/>
  <c r="PT17" i="18"/>
  <c r="QL17" i="18"/>
  <c r="MC17" i="18"/>
  <c r="MB17" i="18"/>
  <c r="OQ17" i="18"/>
  <c r="NX17" i="18"/>
  <c r="NL17" i="18"/>
  <c r="JC17" i="18"/>
  <c r="OU17" i="18"/>
  <c r="GM17" i="18"/>
  <c r="VG17" i="18"/>
  <c r="EQ17" i="18"/>
  <c r="BQ17" i="18"/>
  <c r="QK17" i="18"/>
  <c r="JG17" i="18"/>
  <c r="ES17" i="18"/>
  <c r="NQ17" i="18"/>
  <c r="VB17" i="18"/>
  <c r="ER17" i="18"/>
  <c r="TL17" i="18"/>
  <c r="VI17" i="18"/>
  <c r="GO17" i="18"/>
  <c r="RK17" i="18"/>
  <c r="NA17" i="18"/>
  <c r="CQ17" i="18"/>
  <c r="BR17" i="18"/>
  <c r="QE17" i="18"/>
  <c r="SH17" i="18"/>
  <c r="VS17" i="18"/>
  <c r="DT17" i="18"/>
  <c r="LD17" i="18"/>
  <c r="BG17" i="18"/>
  <c r="BE17" i="18"/>
  <c r="BA17" i="18"/>
  <c r="AY17" i="18"/>
  <c r="KE17" i="18"/>
  <c r="XE17" i="18"/>
  <c r="HG17" i="18"/>
  <c r="SI17" i="18"/>
  <c r="GB17" i="18"/>
  <c r="NM17" i="18"/>
  <c r="UU17" i="18"/>
  <c r="FW17" i="18"/>
  <c r="NF17" i="18"/>
  <c r="UP17" i="18"/>
  <c r="GC17" i="18"/>
  <c r="MO17" i="18"/>
  <c r="FD17" i="18"/>
  <c r="OO17" i="18"/>
  <c r="XD17" i="18"/>
  <c r="UQ17" i="18"/>
  <c r="NE17" i="18"/>
  <c r="FV17" i="18"/>
  <c r="QF17" i="18"/>
  <c r="DM17" i="18"/>
  <c r="CJ17" i="18"/>
  <c r="JT17" i="18"/>
  <c r="RD17" i="18"/>
  <c r="CD17" i="18"/>
  <c r="JN17" i="18"/>
  <c r="QW17" i="18"/>
  <c r="IJ17" i="18"/>
  <c r="KG17" i="18"/>
  <c r="UW17" i="18"/>
  <c r="GA17" i="18"/>
  <c r="MM17" i="18"/>
  <c r="UO17" i="18"/>
  <c r="HF17" i="18"/>
  <c r="WA17" i="18"/>
  <c r="BX17" i="18"/>
  <c r="QR17" i="18"/>
  <c r="KY17" i="18"/>
  <c r="OP17" i="18"/>
  <c r="WG17" i="18"/>
  <c r="MH17" i="18"/>
  <c r="IU17" i="18"/>
  <c r="TE17" i="18"/>
  <c r="TY17" i="18"/>
  <c r="NR17" i="18"/>
  <c r="JU17" i="18"/>
  <c r="CV17" i="18"/>
  <c r="RP17" i="18"/>
  <c r="OV17" i="18"/>
  <c r="PS17" i="18"/>
  <c r="FK17" i="18"/>
  <c r="JB17" i="18"/>
  <c r="MT17" i="18"/>
  <c r="UE17" i="18"/>
  <c r="HX17" i="18"/>
  <c r="PH17" i="18"/>
  <c r="WQ17" i="18"/>
  <c r="DY17" i="18"/>
  <c r="HS17" i="18"/>
  <c r="LJ17" i="18"/>
  <c r="PB17" i="18"/>
  <c r="SS17" i="18"/>
  <c r="WM17" i="18"/>
  <c r="KW17" i="18"/>
  <c r="CO17" i="18"/>
  <c r="LE17" i="18"/>
  <c r="IE17" i="18"/>
  <c r="SO17" i="18"/>
  <c r="SY17" i="18"/>
  <c r="DN17" i="18"/>
  <c r="QA17" i="18"/>
  <c r="LC17" i="18"/>
  <c r="EK17" i="18"/>
  <c r="CK17" i="18"/>
  <c r="HK17" i="18"/>
  <c r="IK17" i="18"/>
  <c r="QX17" i="18"/>
  <c r="EW17" i="18"/>
  <c r="JZ17" i="18"/>
  <c r="XI17" i="18"/>
  <c r="WY17" i="18"/>
  <c r="BL17" i="18"/>
  <c r="TR17" i="18"/>
  <c r="CE17" i="18"/>
  <c r="VC17" i="18"/>
  <c r="MY17" i="18"/>
  <c r="GS17" i="18"/>
  <c r="WN19" i="18"/>
  <c r="VP19" i="18"/>
  <c r="UR19" i="18"/>
  <c r="TT19" i="18"/>
  <c r="SV19" i="18"/>
  <c r="RX19" i="18"/>
  <c r="QZ19" i="18"/>
  <c r="QB19" i="18"/>
  <c r="PD19" i="18"/>
  <c r="OF19" i="18"/>
  <c r="NH19" i="18"/>
  <c r="MJ19" i="18"/>
  <c r="LL19" i="18"/>
  <c r="KN19" i="18"/>
  <c r="JP19" i="18"/>
  <c r="IR19" i="18"/>
  <c r="HT19" i="18"/>
  <c r="GV19" i="18"/>
  <c r="FX19" i="18"/>
  <c r="EZ19" i="18"/>
  <c r="EB19" i="18"/>
  <c r="DD19" i="18"/>
  <c r="CF19" i="18"/>
  <c r="BH19" i="18"/>
  <c r="AJ19" i="18"/>
  <c r="WT19" i="18"/>
  <c r="VV19" i="18"/>
  <c r="UX19" i="18"/>
  <c r="TZ19" i="18"/>
  <c r="TB19" i="18"/>
  <c r="SD19" i="18"/>
  <c r="RF19" i="18"/>
  <c r="QH19" i="18"/>
  <c r="PJ19" i="18"/>
  <c r="OL19" i="18"/>
  <c r="NN19" i="18"/>
  <c r="MP19" i="18"/>
  <c r="LR19" i="18"/>
  <c r="KT19" i="18"/>
  <c r="JV19" i="18"/>
  <c r="IX19" i="18"/>
  <c r="HZ19" i="18"/>
  <c r="HB19" i="18"/>
  <c r="GD19" i="18"/>
  <c r="FF19" i="18"/>
  <c r="EH19" i="18"/>
  <c r="DJ19" i="18"/>
  <c r="CL19" i="18"/>
  <c r="BN19" i="18"/>
  <c r="AP19" i="18"/>
  <c r="WH19" i="18"/>
  <c r="UL19" i="18"/>
  <c r="SP19" i="18"/>
  <c r="QT19" i="18"/>
  <c r="OX19" i="18"/>
  <c r="NB19" i="18"/>
  <c r="LF19" i="18"/>
  <c r="JJ19" i="18"/>
  <c r="HN19" i="18"/>
  <c r="FR19" i="18"/>
  <c r="DV19" i="18"/>
  <c r="BZ19" i="18"/>
  <c r="WB19" i="18"/>
  <c r="UF19" i="18"/>
  <c r="SJ19" i="18"/>
  <c r="QN19" i="18"/>
  <c r="OR19" i="18"/>
  <c r="MV19" i="18"/>
  <c r="KZ19" i="18"/>
  <c r="JD19" i="18"/>
  <c r="HH19" i="18"/>
  <c r="FL19" i="18"/>
  <c r="DP19" i="18"/>
  <c r="BT19" i="18"/>
  <c r="XF19" i="18"/>
  <c r="VJ19" i="18"/>
  <c r="TN19" i="18"/>
  <c r="RR19" i="18"/>
  <c r="PV19" i="18"/>
  <c r="NZ19" i="18"/>
  <c r="MD19" i="18"/>
  <c r="KH19" i="18"/>
  <c r="IL19" i="18"/>
  <c r="GP19" i="18"/>
  <c r="ET19" i="18"/>
  <c r="CX19" i="18"/>
  <c r="BB19" i="18"/>
  <c r="TH19" i="18"/>
  <c r="LX19" i="18"/>
  <c r="EN19" i="18"/>
  <c r="VD19" i="18"/>
  <c r="NT19" i="18"/>
  <c r="GJ19" i="18"/>
  <c r="RL19" i="18"/>
  <c r="WZ19" i="18"/>
  <c r="PP19" i="18"/>
  <c r="IF19" i="18"/>
  <c r="AV19" i="18"/>
  <c r="CR19" i="18"/>
  <c r="KB19" i="18"/>
  <c r="UD17" i="18"/>
  <c r="MU17" i="18"/>
  <c r="JA17" i="18"/>
  <c r="FJ17" i="18"/>
  <c r="RO17" i="18"/>
  <c r="CU17" i="18"/>
  <c r="WL17" i="18"/>
  <c r="PC17" i="18"/>
  <c r="LI17" i="18"/>
  <c r="HR17" i="18"/>
  <c r="OJ17" i="18"/>
  <c r="PI17" i="18"/>
  <c r="HE17" i="18"/>
  <c r="VT17" i="18"/>
  <c r="RJ17" i="18"/>
  <c r="XJ17" i="18"/>
  <c r="DG17" i="18"/>
  <c r="IV17" i="18"/>
  <c r="WW17" i="18"/>
  <c r="TF17" i="18"/>
  <c r="LW17" i="18"/>
  <c r="IC17" i="18"/>
  <c r="EL17" i="18"/>
  <c r="UK17" i="18"/>
  <c r="QQ17" i="18"/>
  <c r="MZ17" i="18"/>
  <c r="FQ17" i="18"/>
  <c r="BW17" i="18"/>
  <c r="VN17" i="18"/>
  <c r="OE17" i="18"/>
  <c r="KK17" i="18"/>
  <c r="GT17" i="18"/>
  <c r="RE17" i="18"/>
  <c r="CI17" i="18"/>
  <c r="KR17" i="18"/>
  <c r="LQ17" i="18"/>
  <c r="TW17" i="18"/>
  <c r="GI17" i="18"/>
  <c r="SM17" i="18"/>
  <c r="HL17" i="18"/>
  <c r="IQ17" i="18"/>
  <c r="JS17" i="18"/>
  <c r="SZ17" i="18"/>
  <c r="VY17" i="18"/>
  <c r="KX17" i="18"/>
  <c r="TM17" i="18"/>
  <c r="II17" i="18"/>
  <c r="JO17" i="18"/>
  <c r="CC17" i="18"/>
  <c r="GZ17" i="18"/>
  <c r="VA17" i="18"/>
  <c r="CP17" i="18"/>
  <c r="DU17" i="18"/>
  <c r="PY17" i="18"/>
  <c r="EX17" i="18"/>
  <c r="EG17" i="18"/>
  <c r="RI17" i="18"/>
  <c r="DI17" i="18"/>
  <c r="QS17" i="18"/>
  <c r="BY17" i="18"/>
  <c r="RV17" i="18"/>
  <c r="KQ17" i="18"/>
  <c r="GY17" i="18"/>
  <c r="SB17" i="18"/>
  <c r="XB18" i="18"/>
  <c r="WD18" i="18"/>
  <c r="VF18" i="18"/>
  <c r="UH18" i="18"/>
  <c r="TJ18" i="18"/>
  <c r="SL18" i="18"/>
  <c r="RN18" i="18"/>
  <c r="QP18" i="18"/>
  <c r="PR18" i="18"/>
  <c r="OT18" i="18"/>
  <c r="NV18" i="18"/>
  <c r="MX18" i="18"/>
  <c r="LZ18" i="18"/>
  <c r="LB18" i="18"/>
  <c r="KD18" i="18"/>
  <c r="JF18" i="18"/>
  <c r="IH18" i="18"/>
  <c r="HJ18" i="18"/>
  <c r="XH18" i="18"/>
  <c r="WJ18" i="18"/>
  <c r="VL18" i="18"/>
  <c r="UN18" i="18"/>
  <c r="TP18" i="18"/>
  <c r="SR18" i="18"/>
  <c r="RT18" i="18"/>
  <c r="QV18" i="18"/>
  <c r="PX18" i="18"/>
  <c r="OZ18" i="18"/>
  <c r="OB18" i="18"/>
  <c r="ND18" i="18"/>
  <c r="MF18" i="18"/>
  <c r="LH18" i="18"/>
  <c r="KJ18" i="18"/>
  <c r="JL18" i="18"/>
  <c r="IN18" i="18"/>
  <c r="HP18" i="18"/>
  <c r="VX18" i="18"/>
  <c r="UB18" i="18"/>
  <c r="SF18" i="18"/>
  <c r="QJ18" i="18"/>
  <c r="ON18" i="18"/>
  <c r="MR18" i="18"/>
  <c r="KV18" i="18"/>
  <c r="IZ18" i="18"/>
  <c r="HD18" i="18"/>
  <c r="GR18" i="18"/>
  <c r="FT18" i="18"/>
  <c r="EV18" i="18"/>
  <c r="DX18" i="18"/>
  <c r="CZ18" i="18"/>
  <c r="CB18" i="18"/>
  <c r="BD18" i="18"/>
  <c r="VR18" i="18"/>
  <c r="TV18" i="18"/>
  <c r="RZ18" i="18"/>
  <c r="QD18" i="18"/>
  <c r="OH18" i="18"/>
  <c r="ML18" i="18"/>
  <c r="KP18" i="18"/>
  <c r="IT18" i="18"/>
  <c r="GX18" i="18"/>
  <c r="FZ18" i="18"/>
  <c r="FB18" i="18"/>
  <c r="ED18" i="18"/>
  <c r="DF18" i="18"/>
  <c r="CH18" i="18"/>
  <c r="BJ18" i="18"/>
  <c r="AL18" i="18"/>
  <c r="WV18" i="18"/>
  <c r="UZ18" i="18"/>
  <c r="TD18" i="18"/>
  <c r="RH18" i="18"/>
  <c r="PL18" i="18"/>
  <c r="NP18" i="18"/>
  <c r="LT18" i="18"/>
  <c r="JX18" i="18"/>
  <c r="IB18" i="18"/>
  <c r="GF18" i="18"/>
  <c r="FH18" i="18"/>
  <c r="EJ18" i="18"/>
  <c r="DL18" i="18"/>
  <c r="CN18" i="18"/>
  <c r="BP18" i="18"/>
  <c r="AR18" i="18"/>
  <c r="WP18" i="18"/>
  <c r="PF18" i="18"/>
  <c r="HV18" i="18"/>
  <c r="DR18" i="18"/>
  <c r="RB18" i="18"/>
  <c r="JR18" i="18"/>
  <c r="EP18" i="18"/>
  <c r="AX18" i="18"/>
  <c r="GL18" i="18"/>
  <c r="CT18" i="18"/>
  <c r="SX18" i="18"/>
  <c r="LN18" i="18"/>
  <c r="FN18" i="18"/>
  <c r="BV18" i="18"/>
  <c r="UT18" i="18"/>
  <c r="NJ18" i="18"/>
  <c r="QM17" i="18"/>
  <c r="MS17" i="18"/>
  <c r="BS17" i="18"/>
  <c r="SU17" i="18"/>
  <c r="PA17" i="18"/>
  <c r="EA17" i="18"/>
  <c r="PG17" i="18"/>
  <c r="PU17" i="18"/>
  <c r="WS17" i="18"/>
  <c r="KA17" i="18"/>
  <c r="WE17" i="18"/>
  <c r="MI17" i="18"/>
  <c r="PO17" i="18"/>
  <c r="LU17" i="18"/>
  <c r="UI17" i="18"/>
  <c r="JI17" i="18"/>
  <c r="FO17" i="18"/>
  <c r="RW17" i="18"/>
  <c r="OC17" i="18"/>
  <c r="KL17" i="18"/>
  <c r="DC17" i="18"/>
  <c r="RC17" i="18"/>
  <c r="BM17" i="18"/>
  <c r="LO17" i="18"/>
  <c r="NS17" i="18"/>
  <c r="GG17" i="18"/>
  <c r="TS17" i="18"/>
  <c r="IO17" i="18"/>
  <c r="VZ17" i="18"/>
  <c r="DO17" i="18"/>
  <c r="TK17" i="18"/>
  <c r="QY17" i="18"/>
  <c r="JM17" i="18"/>
  <c r="HY17" i="18"/>
  <c r="OW17" i="18"/>
  <c r="DS17" i="18"/>
  <c r="SC17" i="18"/>
  <c r="EE17" i="18"/>
  <c r="PN17" i="18"/>
  <c r="JH17" i="18"/>
  <c r="VM17" i="18"/>
  <c r="DB17" i="18"/>
  <c r="WU18" i="18"/>
  <c r="VW18" i="18"/>
  <c r="UY18" i="18"/>
  <c r="UA18" i="18"/>
  <c r="TC18" i="18"/>
  <c r="SE18" i="18"/>
  <c r="RG18" i="18"/>
  <c r="QI18" i="18"/>
  <c r="PK18" i="18"/>
  <c r="OM18" i="18"/>
  <c r="NO18" i="18"/>
  <c r="MQ18" i="18"/>
  <c r="LS18" i="18"/>
  <c r="KU18" i="18"/>
  <c r="JW18" i="18"/>
  <c r="IY18" i="18"/>
  <c r="IA18" i="18"/>
  <c r="HC18" i="18"/>
  <c r="XA18" i="18"/>
  <c r="WC18" i="18"/>
  <c r="VE18" i="18"/>
  <c r="UG18" i="18"/>
  <c r="TI18" i="18"/>
  <c r="SK18" i="18"/>
  <c r="RM18" i="18"/>
  <c r="QO18" i="18"/>
  <c r="PQ18" i="18"/>
  <c r="OS18" i="18"/>
  <c r="NU18" i="18"/>
  <c r="MW18" i="18"/>
  <c r="LY18" i="18"/>
  <c r="LA18" i="18"/>
  <c r="KC18" i="18"/>
  <c r="JE18" i="18"/>
  <c r="IG18" i="18"/>
  <c r="HI18" i="18"/>
  <c r="WO18" i="18"/>
  <c r="US18" i="18"/>
  <c r="SW18" i="18"/>
  <c r="RA18" i="18"/>
  <c r="PE18" i="18"/>
  <c r="NI18" i="18"/>
  <c r="LM18" i="18"/>
  <c r="JQ18" i="18"/>
  <c r="HU18" i="18"/>
  <c r="GK18" i="18"/>
  <c r="FM18" i="18"/>
  <c r="EO18" i="18"/>
  <c r="DQ18" i="18"/>
  <c r="CS18" i="18"/>
  <c r="BU18" i="18"/>
  <c r="AW18" i="18"/>
  <c r="WI18" i="18"/>
  <c r="UM18" i="18"/>
  <c r="SQ18" i="18"/>
  <c r="QU18" i="18"/>
  <c r="OY18" i="18"/>
  <c r="NC18" i="18"/>
  <c r="LG18" i="18"/>
  <c r="JK18" i="18"/>
  <c r="HO18" i="18"/>
  <c r="GQ18" i="18"/>
  <c r="FS18" i="18"/>
  <c r="EU18" i="18"/>
  <c r="DW18" i="18"/>
  <c r="CY18" i="18"/>
  <c r="CA18" i="18"/>
  <c r="BC18" i="18"/>
  <c r="VQ18" i="18"/>
  <c r="TU18" i="18"/>
  <c r="RY18" i="18"/>
  <c r="QC18" i="18"/>
  <c r="OG18" i="18"/>
  <c r="MK18" i="18"/>
  <c r="KO18" i="18"/>
  <c r="IS18" i="18"/>
  <c r="GW18" i="18"/>
  <c r="FY18" i="18"/>
  <c r="FA18" i="18"/>
  <c r="EC18" i="18"/>
  <c r="DE18" i="18"/>
  <c r="CG18" i="18"/>
  <c r="BI18" i="18"/>
  <c r="AK18" i="18"/>
  <c r="RS18" i="18"/>
  <c r="KI18" i="18"/>
  <c r="GE18" i="18"/>
  <c r="CM18" i="18"/>
  <c r="TO18" i="18"/>
  <c r="ME18" i="18"/>
  <c r="DK18" i="18"/>
  <c r="XG18" i="18"/>
  <c r="PW18" i="18"/>
  <c r="VK18" i="18"/>
  <c r="OA18" i="18"/>
  <c r="EI18" i="18"/>
  <c r="AQ18" i="18"/>
  <c r="IM18" i="18"/>
  <c r="BO18" i="18"/>
  <c r="FG18" i="18"/>
  <c r="R16" i="18"/>
  <c r="S14" i="18"/>
  <c r="U14" i="18" s="1"/>
  <c r="Q16" i="18"/>
  <c r="P16" i="18"/>
  <c r="S15" i="18" s="1"/>
  <c r="B35" i="7"/>
  <c r="B35" i="9"/>
  <c r="B35" i="1"/>
  <c r="AD32" i="5"/>
  <c r="AE32" i="5" s="1"/>
  <c r="AI32" i="5" s="1"/>
  <c r="F30" i="5"/>
  <c r="B37" i="5"/>
  <c r="AE35" i="5"/>
  <c r="K35" i="5"/>
  <c r="B34" i="5"/>
  <c r="R32" i="5"/>
  <c r="AG32" i="5" s="1"/>
  <c r="K32" i="5"/>
  <c r="O19" i="18"/>
  <c r="N19" i="18"/>
  <c r="B20" i="18"/>
  <c r="R80" i="14"/>
  <c r="B84" i="14"/>
  <c r="S81" i="14"/>
  <c r="U81" i="14"/>
  <c r="T81" i="14"/>
  <c r="Q80" i="14"/>
  <c r="B19" i="15"/>
  <c r="B36" i="8"/>
  <c r="BP31" i="1"/>
  <c r="X31" i="7" s="1"/>
  <c r="BQ31" i="1"/>
  <c r="O31" i="1"/>
  <c r="O30" i="1"/>
  <c r="B37" i="8"/>
  <c r="B34" i="1"/>
  <c r="N32" i="1"/>
  <c r="B34" i="9"/>
  <c r="B34" i="7"/>
  <c r="Q30" i="5" l="1"/>
  <c r="U30" i="5" s="1"/>
  <c r="R37" i="5"/>
  <c r="AG37" i="5" s="1"/>
  <c r="Q33" i="5"/>
  <c r="U33" i="5" s="1"/>
  <c r="R25" i="8"/>
  <c r="R34" i="5"/>
  <c r="AG34" i="5" s="1"/>
  <c r="B41" i="19"/>
  <c r="G41" i="19" s="1"/>
  <c r="F39" i="19"/>
  <c r="I33" i="9"/>
  <c r="I32" i="9"/>
  <c r="AJ30" i="5"/>
  <c r="AL30" i="5" s="1"/>
  <c r="F32" i="5"/>
  <c r="L32" i="9"/>
  <c r="L33" i="9"/>
  <c r="M31" i="9"/>
  <c r="M30" i="9"/>
  <c r="J32" i="9"/>
  <c r="J33" i="9"/>
  <c r="H34" i="9"/>
  <c r="K34" i="9" s="1"/>
  <c r="H35" i="9"/>
  <c r="K35" i="9" s="1"/>
  <c r="F35" i="5"/>
  <c r="F37" i="8"/>
  <c r="G37" i="8"/>
  <c r="F36" i="8"/>
  <c r="G36" i="8"/>
  <c r="J34" i="7"/>
  <c r="I34" i="7"/>
  <c r="I35" i="7"/>
  <c r="J35" i="7"/>
  <c r="U19" i="15"/>
  <c r="Y19" i="18" s="1"/>
  <c r="D19" i="15"/>
  <c r="E19" i="15"/>
  <c r="E20" i="18"/>
  <c r="G20" i="18" s="1"/>
  <c r="D20" i="18"/>
  <c r="F20" i="18" s="1"/>
  <c r="I34" i="5"/>
  <c r="J34" i="5" s="1"/>
  <c r="I37" i="5"/>
  <c r="J37" i="5" s="1"/>
  <c r="H34" i="1"/>
  <c r="I34" i="1" s="1"/>
  <c r="H35" i="1"/>
  <c r="I35" i="1" s="1"/>
  <c r="T19" i="15"/>
  <c r="IQ18" i="18"/>
  <c r="MH18" i="18"/>
  <c r="UW18" i="18"/>
  <c r="SH18" i="18"/>
  <c r="RC18" i="18"/>
  <c r="LI18" i="18"/>
  <c r="SU18" i="18"/>
  <c r="JY18" i="18"/>
  <c r="PG18" i="18"/>
  <c r="AM18" i="18"/>
  <c r="RI18" i="18"/>
  <c r="AO18" i="18"/>
  <c r="AN18" i="18"/>
  <c r="LO18" i="18"/>
  <c r="VN18" i="18"/>
  <c r="KL18" i="18"/>
  <c r="HG18" i="18"/>
  <c r="OP18" i="18"/>
  <c r="RE18" i="18"/>
  <c r="GG18" i="18"/>
  <c r="BX18" i="18"/>
  <c r="NS18" i="18"/>
  <c r="VB18" i="18"/>
  <c r="QX18" i="18"/>
  <c r="JT18" i="18"/>
  <c r="BS18" i="18"/>
  <c r="BM18" i="18"/>
  <c r="FE18" i="18"/>
  <c r="KR18" i="18"/>
  <c r="SA18" i="18"/>
  <c r="CC18" i="18"/>
  <c r="FV18" i="18"/>
  <c r="SZ18" i="18"/>
  <c r="VY18" i="18"/>
  <c r="AU18" i="18"/>
  <c r="KF18" i="18"/>
  <c r="RP18" i="18"/>
  <c r="AY18" i="18"/>
  <c r="HE18" i="18"/>
  <c r="OO18" i="18"/>
  <c r="VZ18" i="18"/>
  <c r="RD18" i="18"/>
  <c r="OC18" i="18"/>
  <c r="DN18" i="18"/>
  <c r="FO18" i="18"/>
  <c r="IK18" i="18"/>
  <c r="MA18" i="18"/>
  <c r="PU18" i="18"/>
  <c r="TM18" i="18"/>
  <c r="XD18" i="18"/>
  <c r="RV18" i="18"/>
  <c r="DH18" i="18"/>
  <c r="HA18" i="18"/>
  <c r="OK18" i="18"/>
  <c r="VU18" i="18"/>
  <c r="DY18" i="18"/>
  <c r="JS18" i="18"/>
  <c r="QW18" i="18"/>
  <c r="CQ18" i="18"/>
  <c r="JO18" i="18"/>
  <c r="QY18" i="18"/>
  <c r="JU18" i="18"/>
  <c r="HK18" i="18"/>
  <c r="LD18" i="18"/>
  <c r="OU18" i="18"/>
  <c r="SM18" i="18"/>
  <c r="WE18" i="18"/>
  <c r="MS18" i="18"/>
  <c r="CK18" i="18"/>
  <c r="GA18" i="18"/>
  <c r="MO18" i="18"/>
  <c r="TW18" i="18"/>
  <c r="DC18" i="18"/>
  <c r="GS18" i="18"/>
  <c r="NF18" i="18"/>
  <c r="UO18" i="18"/>
  <c r="CW18" i="18"/>
  <c r="JM18" i="18"/>
  <c r="GM18" i="18"/>
  <c r="HF18" i="18"/>
  <c r="OQ18" i="18"/>
  <c r="WA18" i="18"/>
  <c r="JN18" i="18"/>
  <c r="WS18" i="18"/>
  <c r="ID18" i="18"/>
  <c r="RW18" i="18"/>
  <c r="AT18" i="18"/>
  <c r="KM18" i="18"/>
  <c r="GC18" i="18"/>
  <c r="GB18" i="18"/>
  <c r="PM18" i="18"/>
  <c r="WY18" i="18"/>
  <c r="KK18" i="18"/>
  <c r="AZ18" i="18"/>
  <c r="EY18" i="18"/>
  <c r="QR18" i="18"/>
  <c r="BA18" i="18"/>
  <c r="AS18" i="18"/>
  <c r="UD18" i="18"/>
  <c r="NL18" i="18"/>
  <c r="QS18" i="18"/>
  <c r="NK18" i="18"/>
  <c r="EK18" i="18"/>
  <c r="EG18" i="18"/>
  <c r="BG18" i="18"/>
  <c r="EW18" i="18"/>
  <c r="QQ18" i="18"/>
  <c r="NM18" i="18"/>
  <c r="EX18" i="18"/>
  <c r="JH18" i="18"/>
  <c r="MZ18" i="18"/>
  <c r="UI18" i="18"/>
  <c r="PZ18" i="18"/>
  <c r="TQ18" i="18"/>
  <c r="HS18" i="18"/>
  <c r="PA18" i="18"/>
  <c r="WK18" i="18"/>
  <c r="DT18" i="18"/>
  <c r="HY18" i="18"/>
  <c r="NW18" i="18"/>
  <c r="VH18" i="18"/>
  <c r="LV18" i="18"/>
  <c r="TG18" i="18"/>
  <c r="FI18" i="18"/>
  <c r="EL18" i="18"/>
  <c r="XJ18" i="18"/>
  <c r="EE18" i="18"/>
  <c r="IV18" i="18"/>
  <c r="QF18" i="18"/>
  <c r="BF18" i="18"/>
  <c r="JC18" i="18"/>
  <c r="QK18" i="18"/>
  <c r="RU18" i="18"/>
  <c r="MI18" i="18"/>
  <c r="MN18" i="18"/>
  <c r="DS18" i="18"/>
  <c r="WG18" i="18"/>
  <c r="WQ18" i="18"/>
  <c r="VM18" i="18"/>
  <c r="UP18" i="18"/>
  <c r="LE18" i="18"/>
  <c r="WX18" i="18"/>
  <c r="IU18" i="18"/>
  <c r="PC18" i="18"/>
  <c r="CJ18" i="18"/>
  <c r="UC18" i="18"/>
  <c r="CP18" i="18"/>
  <c r="GU18" i="18"/>
  <c r="GZ18" i="18"/>
  <c r="IC18" i="18"/>
  <c r="BL18" i="18"/>
  <c r="OJ18" i="18"/>
  <c r="QA18" i="18"/>
  <c r="HR18" i="18"/>
  <c r="JG18" i="18"/>
  <c r="VT18" i="18"/>
  <c r="MU18" i="18"/>
  <c r="GO18" i="18"/>
  <c r="DB18" i="18"/>
  <c r="TE18" i="18"/>
  <c r="QG18" i="18"/>
  <c r="IP18" i="18"/>
  <c r="DZ18" i="18"/>
  <c r="UU18" i="18"/>
  <c r="EQ18" i="18"/>
  <c r="HW18" i="18"/>
  <c r="LU18" i="18"/>
  <c r="TF18" i="18"/>
  <c r="KW18" i="18"/>
  <c r="SI18" i="18"/>
  <c r="TS18" i="18"/>
  <c r="KE18" i="18"/>
  <c r="RQ18" i="18"/>
  <c r="VG18" i="18"/>
  <c r="HM18" i="18"/>
  <c r="JB18" i="18"/>
  <c r="CV18" i="18"/>
  <c r="MY18" i="18"/>
  <c r="XB19" i="18"/>
  <c r="WD19" i="18"/>
  <c r="VF19" i="18"/>
  <c r="UH19" i="18"/>
  <c r="TJ19" i="18"/>
  <c r="SL19" i="18"/>
  <c r="RN19" i="18"/>
  <c r="QP19" i="18"/>
  <c r="PR19" i="18"/>
  <c r="OT19" i="18"/>
  <c r="NV19" i="18"/>
  <c r="MX19" i="18"/>
  <c r="LZ19" i="18"/>
  <c r="LB19" i="18"/>
  <c r="KD19" i="18"/>
  <c r="JF19" i="18"/>
  <c r="IH19" i="18"/>
  <c r="HJ19" i="18"/>
  <c r="GL19" i="18"/>
  <c r="FN19" i="18"/>
  <c r="EP19" i="18"/>
  <c r="DR19" i="18"/>
  <c r="CT19" i="18"/>
  <c r="BV19" i="18"/>
  <c r="AX19" i="18"/>
  <c r="XH19" i="18"/>
  <c r="WJ19" i="18"/>
  <c r="VL19" i="18"/>
  <c r="UN19" i="18"/>
  <c r="TP19" i="18"/>
  <c r="SR19" i="18"/>
  <c r="RT19" i="18"/>
  <c r="QV19" i="18"/>
  <c r="PX19" i="18"/>
  <c r="OZ19" i="18"/>
  <c r="OB19" i="18"/>
  <c r="ND19" i="18"/>
  <c r="MF19" i="18"/>
  <c r="LH19" i="18"/>
  <c r="KJ19" i="18"/>
  <c r="JL19" i="18"/>
  <c r="IN19" i="18"/>
  <c r="HP19" i="18"/>
  <c r="GR19" i="18"/>
  <c r="FT19" i="18"/>
  <c r="EV19" i="18"/>
  <c r="DX19" i="18"/>
  <c r="CZ19" i="18"/>
  <c r="CB19" i="18"/>
  <c r="BD19" i="18"/>
  <c r="WV19" i="18"/>
  <c r="UZ19" i="18"/>
  <c r="TD19" i="18"/>
  <c r="RH19" i="18"/>
  <c r="PL19" i="18"/>
  <c r="NP19" i="18"/>
  <c r="LT19" i="18"/>
  <c r="JX19" i="18"/>
  <c r="IB19" i="18"/>
  <c r="GF19" i="18"/>
  <c r="EJ19" i="18"/>
  <c r="CN19" i="18"/>
  <c r="AR19" i="18"/>
  <c r="WP19" i="18"/>
  <c r="UT19" i="18"/>
  <c r="SX19" i="18"/>
  <c r="RB19" i="18"/>
  <c r="PF19" i="18"/>
  <c r="NJ19" i="18"/>
  <c r="LN19" i="18"/>
  <c r="JR19" i="18"/>
  <c r="HV19" i="18"/>
  <c r="FZ19" i="18"/>
  <c r="ED19" i="18"/>
  <c r="CH19" i="18"/>
  <c r="AL19" i="18"/>
  <c r="VX19" i="18"/>
  <c r="UB19" i="18"/>
  <c r="SF19" i="18"/>
  <c r="QJ19" i="18"/>
  <c r="ON19" i="18"/>
  <c r="MR19" i="18"/>
  <c r="KV19" i="18"/>
  <c r="IZ19" i="18"/>
  <c r="HD19" i="18"/>
  <c r="FH19" i="18"/>
  <c r="DL19" i="18"/>
  <c r="BP19" i="18"/>
  <c r="VR19" i="18"/>
  <c r="OH19" i="18"/>
  <c r="GX19" i="18"/>
  <c r="QD19" i="18"/>
  <c r="IT19" i="18"/>
  <c r="BJ19" i="18"/>
  <c r="ML19" i="18"/>
  <c r="FB19" i="18"/>
  <c r="RZ19" i="18"/>
  <c r="KP19" i="18"/>
  <c r="DF19" i="18"/>
  <c r="TV19" i="18"/>
  <c r="FP18" i="18"/>
  <c r="RK18" i="18"/>
  <c r="SY18" i="18"/>
  <c r="SC18" i="18"/>
  <c r="ST18" i="18"/>
  <c r="WN20" i="18"/>
  <c r="VP20" i="18"/>
  <c r="UR20" i="18"/>
  <c r="TT20" i="18"/>
  <c r="SV20" i="18"/>
  <c r="RX20" i="18"/>
  <c r="QZ20" i="18"/>
  <c r="QB20" i="18"/>
  <c r="PD20" i="18"/>
  <c r="OF20" i="18"/>
  <c r="NH20" i="18"/>
  <c r="MJ20" i="18"/>
  <c r="LL20" i="18"/>
  <c r="KN20" i="18"/>
  <c r="JP20" i="18"/>
  <c r="IR20" i="18"/>
  <c r="HT20" i="18"/>
  <c r="GV20" i="18"/>
  <c r="FX20" i="18"/>
  <c r="EZ20" i="18"/>
  <c r="EB20" i="18"/>
  <c r="DD20" i="18"/>
  <c r="CF20" i="18"/>
  <c r="BH20" i="18"/>
  <c r="AJ20" i="18"/>
  <c r="WT20" i="18"/>
  <c r="VV20" i="18"/>
  <c r="UX20" i="18"/>
  <c r="TZ20" i="18"/>
  <c r="TB20" i="18"/>
  <c r="SD20" i="18"/>
  <c r="RF20" i="18"/>
  <c r="QH20" i="18"/>
  <c r="PJ20" i="18"/>
  <c r="OL20" i="18"/>
  <c r="NN20" i="18"/>
  <c r="MP20" i="18"/>
  <c r="LR20" i="18"/>
  <c r="KT20" i="18"/>
  <c r="JV20" i="18"/>
  <c r="IX20" i="18"/>
  <c r="HZ20" i="18"/>
  <c r="HB20" i="18"/>
  <c r="GD20" i="18"/>
  <c r="FF20" i="18"/>
  <c r="EH20" i="18"/>
  <c r="DJ20" i="18"/>
  <c r="CL20" i="18"/>
  <c r="BN20" i="18"/>
  <c r="AP20" i="18"/>
  <c r="XF20" i="18"/>
  <c r="VJ20" i="18"/>
  <c r="TN20" i="18"/>
  <c r="RR20" i="18"/>
  <c r="PV20" i="18"/>
  <c r="NZ20" i="18"/>
  <c r="MD20" i="18"/>
  <c r="KH20" i="18"/>
  <c r="IL20" i="18"/>
  <c r="GP20" i="18"/>
  <c r="ET20" i="18"/>
  <c r="CX20" i="18"/>
  <c r="BB20" i="18"/>
  <c r="WZ20" i="18"/>
  <c r="VD20" i="18"/>
  <c r="TH20" i="18"/>
  <c r="RL20" i="18"/>
  <c r="PP20" i="18"/>
  <c r="NT20" i="18"/>
  <c r="LX20" i="18"/>
  <c r="KB20" i="18"/>
  <c r="IF20" i="18"/>
  <c r="GJ20" i="18"/>
  <c r="EN20" i="18"/>
  <c r="CR20" i="18"/>
  <c r="AV20" i="18"/>
  <c r="WH20" i="18"/>
  <c r="UL20" i="18"/>
  <c r="SP20" i="18"/>
  <c r="QT20" i="18"/>
  <c r="OX20" i="18"/>
  <c r="NB20" i="18"/>
  <c r="LF20" i="18"/>
  <c r="JJ20" i="18"/>
  <c r="HN20" i="18"/>
  <c r="FR20" i="18"/>
  <c r="DV20" i="18"/>
  <c r="BZ20" i="18"/>
  <c r="SJ20" i="18"/>
  <c r="KZ20" i="18"/>
  <c r="DP20" i="18"/>
  <c r="UF20" i="18"/>
  <c r="MV20" i="18"/>
  <c r="FL20" i="18"/>
  <c r="JD20" i="18"/>
  <c r="BT20" i="18"/>
  <c r="WB20" i="18"/>
  <c r="OR20" i="18"/>
  <c r="HH20" i="18"/>
  <c r="QN20" i="18"/>
  <c r="UV18" i="18"/>
  <c r="SG18" i="18"/>
  <c r="KY18" i="18"/>
  <c r="EM18" i="18"/>
  <c r="RO18" i="18"/>
  <c r="ES18" i="18"/>
  <c r="BE18" i="18"/>
  <c r="BK18" i="18"/>
  <c r="EF18" i="18"/>
  <c r="OI18" i="18"/>
  <c r="LW18" i="18"/>
  <c r="MG18" i="18"/>
  <c r="TK18" i="18"/>
  <c r="LK18" i="18"/>
  <c r="FD18" i="18"/>
  <c r="TY18" i="18"/>
  <c r="QE18" i="18"/>
  <c r="MM18" i="18"/>
  <c r="VC18" i="18"/>
  <c r="RJ18" i="18"/>
  <c r="NR18" i="18"/>
  <c r="XK18" i="18"/>
  <c r="PY18" i="18"/>
  <c r="IO18" i="18"/>
  <c r="XE18" i="18"/>
  <c r="PT18" i="18"/>
  <c r="II18" i="18"/>
  <c r="WM18" i="18"/>
  <c r="PB18" i="18"/>
  <c r="HQ18" i="18"/>
  <c r="UK18" i="18"/>
  <c r="WF18" i="18"/>
  <c r="CI18" i="18"/>
  <c r="SO18" i="18"/>
  <c r="VS18" i="18"/>
  <c r="PO18" i="18"/>
  <c r="TR18" i="18"/>
  <c r="BQ18" i="18"/>
  <c r="FW18" i="18"/>
  <c r="HL18" i="18"/>
  <c r="WR18" i="18"/>
  <c r="PI18" i="18"/>
  <c r="LP18" i="18"/>
  <c r="HX18" i="18"/>
  <c r="QM18" i="18"/>
  <c r="MT18" i="18"/>
  <c r="JA18" i="18"/>
  <c r="OE18" i="18"/>
  <c r="GH18" i="18"/>
  <c r="CO18" i="18"/>
  <c r="NY18" i="18"/>
  <c r="GN18" i="18"/>
  <c r="CU18" i="18"/>
  <c r="NG18" i="18"/>
  <c r="GT18" i="18"/>
  <c r="DA18" i="18"/>
  <c r="OW18" i="18"/>
  <c r="LC18" i="18"/>
  <c r="GY18" i="18"/>
  <c r="SB18" i="18"/>
  <c r="WW18" i="18"/>
  <c r="FK18" i="18"/>
  <c r="MB18" i="18"/>
  <c r="SS18" i="18"/>
  <c r="DI18" i="18"/>
  <c r="WU19" i="18"/>
  <c r="VW19" i="18"/>
  <c r="UY19" i="18"/>
  <c r="UA19" i="18"/>
  <c r="TC19" i="18"/>
  <c r="SE19" i="18"/>
  <c r="RG19" i="18"/>
  <c r="QI19" i="18"/>
  <c r="PK19" i="18"/>
  <c r="PM19" i="18" s="1"/>
  <c r="OM19" i="18"/>
  <c r="NO19" i="18"/>
  <c r="MQ19" i="18"/>
  <c r="MT19" i="18" s="1"/>
  <c r="LS19" i="18"/>
  <c r="KU19" i="18"/>
  <c r="JW19" i="18"/>
  <c r="IY19" i="18"/>
  <c r="IA19" i="18"/>
  <c r="HC19" i="18"/>
  <c r="GE19" i="18"/>
  <c r="FG19" i="18"/>
  <c r="EI19" i="18"/>
  <c r="DK19" i="18"/>
  <c r="CM19" i="18"/>
  <c r="BO19" i="18"/>
  <c r="AQ19" i="18"/>
  <c r="XA19" i="18"/>
  <c r="WC19" i="18"/>
  <c r="VE19" i="18"/>
  <c r="UG19" i="18"/>
  <c r="TI19" i="18"/>
  <c r="SK19" i="18"/>
  <c r="RM19" i="18"/>
  <c r="QO19" i="18"/>
  <c r="PQ19" i="18"/>
  <c r="OS19" i="18"/>
  <c r="NU19" i="18"/>
  <c r="MW19" i="18"/>
  <c r="LY19" i="18"/>
  <c r="LA19" i="18"/>
  <c r="KC19" i="18"/>
  <c r="JE19" i="18"/>
  <c r="IG19" i="18"/>
  <c r="HI19" i="18"/>
  <c r="GK19" i="18"/>
  <c r="FM19" i="18"/>
  <c r="EO19" i="18"/>
  <c r="DQ19" i="18"/>
  <c r="CS19" i="18"/>
  <c r="BU19" i="18"/>
  <c r="AW19" i="18"/>
  <c r="VQ19" i="18"/>
  <c r="TU19" i="18"/>
  <c r="RY19" i="18"/>
  <c r="QC19" i="18"/>
  <c r="QE19" i="18" s="1"/>
  <c r="OG19" i="18"/>
  <c r="MK19" i="18"/>
  <c r="KO19" i="18"/>
  <c r="IS19" i="18"/>
  <c r="GW19" i="18"/>
  <c r="FA19" i="18"/>
  <c r="DE19" i="18"/>
  <c r="BI19" i="18"/>
  <c r="XG19" i="18"/>
  <c r="VK19" i="18"/>
  <c r="TO19" i="18"/>
  <c r="RS19" i="18"/>
  <c r="PW19" i="18"/>
  <c r="OA19" i="18"/>
  <c r="ME19" i="18"/>
  <c r="KI19" i="18"/>
  <c r="IM19" i="18"/>
  <c r="GQ19" i="18"/>
  <c r="EU19" i="18"/>
  <c r="CY19" i="18"/>
  <c r="BC19" i="18"/>
  <c r="WO19" i="18"/>
  <c r="US19" i="18"/>
  <c r="SW19" i="18"/>
  <c r="RA19" i="18"/>
  <c r="PE19" i="18"/>
  <c r="NI19" i="18"/>
  <c r="LM19" i="18"/>
  <c r="JQ19" i="18"/>
  <c r="HU19" i="18"/>
  <c r="FY19" i="18"/>
  <c r="EC19" i="18"/>
  <c r="CG19" i="18"/>
  <c r="AK19" i="18"/>
  <c r="QU19" i="18"/>
  <c r="JK19" i="18"/>
  <c r="CA19" i="18"/>
  <c r="SQ19" i="18"/>
  <c r="LG19" i="18"/>
  <c r="LK19" i="18" s="1"/>
  <c r="DW19" i="18"/>
  <c r="UM19" i="18"/>
  <c r="NC19" i="18"/>
  <c r="FS19" i="18"/>
  <c r="OY19" i="18"/>
  <c r="HO19" i="18"/>
  <c r="WI19" i="18"/>
  <c r="TL18" i="18"/>
  <c r="NQ18" i="18"/>
  <c r="JZ18" i="18"/>
  <c r="DM18" i="18"/>
  <c r="IJ18" i="18"/>
  <c r="BR18" i="18"/>
  <c r="LQ18" i="18"/>
  <c r="GI18" i="18"/>
  <c r="MC18" i="18"/>
  <c r="CD18" i="18"/>
  <c r="KX18" i="18"/>
  <c r="KG18" i="18"/>
  <c r="ER18" i="18"/>
  <c r="FQ18" i="18"/>
  <c r="LJ18" i="18"/>
  <c r="FC18" i="18"/>
  <c r="TX18" i="18"/>
  <c r="IW18" i="18"/>
  <c r="VA18" i="18"/>
  <c r="KA18" i="18"/>
  <c r="XI18" i="18"/>
  <c r="DO18" i="18"/>
  <c r="XC18" i="18"/>
  <c r="PS18" i="18"/>
  <c r="DU18" i="18"/>
  <c r="WL18" i="18"/>
  <c r="EA18" i="18"/>
  <c r="UJ18" i="18"/>
  <c r="JI18" i="18"/>
  <c r="SN18" i="18"/>
  <c r="KS18" i="18"/>
  <c r="PN18" i="18"/>
  <c r="BY18" i="18"/>
  <c r="FU18" i="18"/>
  <c r="TA18" i="18"/>
  <c r="PH18" i="18"/>
  <c r="UE18" i="18"/>
  <c r="QL18" i="18"/>
  <c r="VO18" i="18"/>
  <c r="OD18" i="18"/>
  <c r="VI18" i="18"/>
  <c r="NX18" i="18"/>
  <c r="UQ18" i="18"/>
  <c r="NE18" i="18"/>
  <c r="NA18" i="18"/>
  <c r="OV18" i="18"/>
  <c r="IE18" i="18"/>
  <c r="FJ18" i="18"/>
  <c r="CE18" i="18"/>
  <c r="DG18" i="18"/>
  <c r="KQ18" i="18"/>
  <c r="BW18" i="18"/>
  <c r="R17" i="18"/>
  <c r="T15" i="18"/>
  <c r="U15" i="18" s="1"/>
  <c r="P17" i="18"/>
  <c r="T16" i="18" s="1"/>
  <c r="Q17" i="18"/>
  <c r="B37" i="9"/>
  <c r="B37" i="1"/>
  <c r="B37" i="7"/>
  <c r="AD34" i="5"/>
  <c r="AE34" i="5" s="1"/>
  <c r="AI34" i="5" s="1"/>
  <c r="B39" i="5"/>
  <c r="AE37" i="5"/>
  <c r="K37" i="5"/>
  <c r="B36" i="5"/>
  <c r="K34" i="5"/>
  <c r="O20" i="18"/>
  <c r="N20" i="18"/>
  <c r="B21" i="18"/>
  <c r="B85" i="14"/>
  <c r="U82" i="14"/>
  <c r="S82" i="14"/>
  <c r="T82" i="14"/>
  <c r="Q81" i="14"/>
  <c r="R81" i="14"/>
  <c r="B36" i="9"/>
  <c r="B20" i="15"/>
  <c r="O32" i="1"/>
  <c r="BP33" i="1"/>
  <c r="X33" i="7" s="1"/>
  <c r="BQ33" i="1"/>
  <c r="O33" i="1"/>
  <c r="B39" i="8"/>
  <c r="B36" i="7"/>
  <c r="B36" i="1"/>
  <c r="N34" i="1"/>
  <c r="B38" i="8"/>
  <c r="Q35" i="5" l="1"/>
  <c r="U35" i="5" s="1"/>
  <c r="R27" i="8"/>
  <c r="Q32" i="5"/>
  <c r="U32" i="5" s="1"/>
  <c r="IE19" i="18"/>
  <c r="FJ19" i="18"/>
  <c r="AT19" i="18"/>
  <c r="UD19" i="18"/>
  <c r="B43" i="19"/>
  <c r="G43" i="19" s="1"/>
  <c r="F41" i="19"/>
  <c r="DC19" i="18"/>
  <c r="I35" i="9"/>
  <c r="I34" i="9"/>
  <c r="KK19" i="18"/>
  <c r="AS19" i="18"/>
  <c r="AJ32" i="5"/>
  <c r="AL32" i="5" s="1"/>
  <c r="F34" i="5"/>
  <c r="L34" i="9"/>
  <c r="L35" i="9"/>
  <c r="M33" i="9"/>
  <c r="M32" i="9"/>
  <c r="J35" i="9"/>
  <c r="J34" i="9"/>
  <c r="H36" i="9"/>
  <c r="K36" i="9" s="1"/>
  <c r="H37" i="9"/>
  <c r="K37" i="9" s="1"/>
  <c r="WW19" i="18"/>
  <c r="F37" i="5"/>
  <c r="RU19" i="18"/>
  <c r="G38" i="8"/>
  <c r="F38" i="8"/>
  <c r="F39" i="8"/>
  <c r="G39" i="8"/>
  <c r="I36" i="7"/>
  <c r="J36" i="7"/>
  <c r="I37" i="7"/>
  <c r="J37" i="7"/>
  <c r="E20" i="15"/>
  <c r="D20" i="15"/>
  <c r="D21" i="18"/>
  <c r="F21" i="18" s="1"/>
  <c r="E21" i="18"/>
  <c r="G21" i="18" s="1"/>
  <c r="UP19" i="18"/>
  <c r="I39" i="5"/>
  <c r="J39" i="5" s="1"/>
  <c r="I36" i="5"/>
  <c r="J36" i="5" s="1"/>
  <c r="H37" i="1"/>
  <c r="I37" i="1" s="1"/>
  <c r="H36" i="1"/>
  <c r="I36" i="1" s="1"/>
  <c r="VU19" i="18"/>
  <c r="DI19" i="18"/>
  <c r="T20" i="15"/>
  <c r="PO19" i="18"/>
  <c r="PZ19" i="18"/>
  <c r="OU19" i="18"/>
  <c r="JY19" i="18"/>
  <c r="ID19" i="18"/>
  <c r="JM19" i="18"/>
  <c r="IV19" i="18"/>
  <c r="AY19" i="18"/>
  <c r="PT19" i="18"/>
  <c r="TL19" i="18"/>
  <c r="XD19" i="18"/>
  <c r="HF19" i="18"/>
  <c r="OP19" i="18"/>
  <c r="WA19" i="18"/>
  <c r="UU19" i="18"/>
  <c r="NF19" i="18"/>
  <c r="WY19" i="18"/>
  <c r="PN19" i="18"/>
  <c r="IC19" i="18"/>
  <c r="WL19" i="18"/>
  <c r="SS19" i="18"/>
  <c r="MO19" i="18"/>
  <c r="CU19" i="18"/>
  <c r="GN19" i="18"/>
  <c r="KE19" i="18"/>
  <c r="NX19" i="18"/>
  <c r="RP19" i="18"/>
  <c r="VH19" i="18"/>
  <c r="WX19" i="18"/>
  <c r="AU19" i="18"/>
  <c r="HQ19" i="18"/>
  <c r="CI19" i="18"/>
  <c r="JU19" i="18"/>
  <c r="RC19" i="18"/>
  <c r="GZ19" i="18"/>
  <c r="PC19" i="18"/>
  <c r="DZ19" i="18"/>
  <c r="DN19" i="18"/>
  <c r="KY19" i="18"/>
  <c r="SG19" i="18"/>
  <c r="UK19" i="18"/>
  <c r="AO19" i="18"/>
  <c r="JT19" i="18"/>
  <c r="XC19" i="18"/>
  <c r="GY19" i="18"/>
  <c r="KX19" i="18"/>
  <c r="FO19" i="18"/>
  <c r="HW19" i="18"/>
  <c r="PI19" i="18"/>
  <c r="WQ19" i="18"/>
  <c r="GT19" i="18"/>
  <c r="OE19" i="18"/>
  <c r="FD19" i="18"/>
  <c r="TX19" i="18"/>
  <c r="BQ19" i="18"/>
  <c r="JC19" i="18"/>
  <c r="QK19" i="18"/>
  <c r="SH19" i="18"/>
  <c r="OO19" i="18"/>
  <c r="OJ19" i="18"/>
  <c r="CQ19" i="18"/>
  <c r="RK19" i="18"/>
  <c r="IO19" i="18"/>
  <c r="XK19" i="18"/>
  <c r="WF19" i="18"/>
  <c r="NR19" i="18"/>
  <c r="BX19" i="18"/>
  <c r="MZ19" i="18"/>
  <c r="EE19" i="18"/>
  <c r="LP19" i="18"/>
  <c r="SY19" i="18"/>
  <c r="BK19" i="18"/>
  <c r="HG19" i="18"/>
  <c r="EW19" i="18"/>
  <c r="MG19" i="18"/>
  <c r="TR19" i="18"/>
  <c r="KQ19" i="18"/>
  <c r="JG19" i="18"/>
  <c r="QS19" i="18"/>
  <c r="IU19" i="18"/>
  <c r="TK19" i="18"/>
  <c r="BE19" i="18"/>
  <c r="IP19" i="18"/>
  <c r="QA19" i="18"/>
  <c r="XI19" i="18"/>
  <c r="OK19" i="18"/>
  <c r="DU19" i="18"/>
  <c r="HK19" i="18"/>
  <c r="LC19" i="18"/>
  <c r="OV19" i="18"/>
  <c r="SM19" i="18"/>
  <c r="WG19" i="18"/>
  <c r="CO19" i="18"/>
  <c r="GG19" i="18"/>
  <c r="JZ19" i="18"/>
  <c r="NS19" i="18"/>
  <c r="RI19" i="18"/>
  <c r="VA19" i="18"/>
  <c r="DO19" i="18"/>
  <c r="KW19" i="18"/>
  <c r="SI19" i="18"/>
  <c r="HS19" i="18"/>
  <c r="BL19" i="18"/>
  <c r="VI19" i="18"/>
  <c r="PS19" i="18"/>
  <c r="RO19" i="18"/>
  <c r="PB19" i="18"/>
  <c r="AN19" i="18"/>
  <c r="AM19" i="18"/>
  <c r="IW19" i="18"/>
  <c r="HE19" i="18"/>
  <c r="OQ19" i="18"/>
  <c r="VY19" i="18"/>
  <c r="GA19" i="18"/>
  <c r="NK19" i="18"/>
  <c r="UV19" i="18"/>
  <c r="FV19" i="18"/>
  <c r="AZ19" i="18"/>
  <c r="PU19" i="18"/>
  <c r="TM19" i="18"/>
  <c r="XE19" i="18"/>
  <c r="NM19" i="18"/>
  <c r="GC19" i="18"/>
  <c r="VZ19" i="18"/>
  <c r="DM19" i="18"/>
  <c r="PA19" i="18"/>
  <c r="VG19" i="18"/>
  <c r="CW19" i="18"/>
  <c r="MN19" i="18"/>
  <c r="BM19" i="18"/>
  <c r="NE19" i="18"/>
  <c r="NW19" i="18"/>
  <c r="KG19" i="18"/>
  <c r="BA19" i="18"/>
  <c r="UQ19" i="18"/>
  <c r="CD19" i="18"/>
  <c r="VS19" i="18"/>
  <c r="UW19" i="18"/>
  <c r="NL19" i="18"/>
  <c r="GB19" i="18"/>
  <c r="WK19" i="18"/>
  <c r="JN19" i="18"/>
  <c r="ER19" i="18"/>
  <c r="II19" i="18"/>
  <c r="MC19" i="18"/>
  <c r="JO19" i="18"/>
  <c r="FU19" i="18"/>
  <c r="QY19" i="18"/>
  <c r="SA19" i="18"/>
  <c r="EK19" i="18"/>
  <c r="LU19" i="18"/>
  <c r="TF19" i="18"/>
  <c r="LO19" i="18"/>
  <c r="EY19" i="18"/>
  <c r="MS19" i="18"/>
  <c r="SU19" i="18"/>
  <c r="KS19" i="18"/>
  <c r="QX19" i="18"/>
  <c r="CV19" i="18"/>
  <c r="MM19" i="18"/>
  <c r="KF19" i="18"/>
  <c r="EG19" i="18"/>
  <c r="UE19" i="18"/>
  <c r="JB19" i="18"/>
  <c r="LJ19" i="18"/>
  <c r="MB19" i="18"/>
  <c r="DH19" i="18"/>
  <c r="RW19" i="18"/>
  <c r="WM19" i="18"/>
  <c r="NG19" i="18"/>
  <c r="NY19" i="18"/>
  <c r="RQ19" i="18"/>
  <c r="TA19" i="18"/>
  <c r="UC19" i="18"/>
  <c r="FK19" i="18"/>
  <c r="DY19" i="18"/>
  <c r="GM19" i="18"/>
  <c r="TE19" i="18"/>
  <c r="DB19" i="18"/>
  <c r="PH19" i="18"/>
  <c r="MU19" i="18"/>
  <c r="FI19" i="18"/>
  <c r="TQ19" i="18"/>
  <c r="EM19" i="18"/>
  <c r="EQ19" i="18"/>
  <c r="TY19" i="18"/>
  <c r="FE19" i="18"/>
  <c r="QF19" i="18"/>
  <c r="QL19" i="18"/>
  <c r="GU19" i="18"/>
  <c r="KL19" i="18"/>
  <c r="OC19" i="18"/>
  <c r="VM19" i="18"/>
  <c r="BY19" i="18"/>
  <c r="FP19" i="18"/>
  <c r="NA19" i="18"/>
  <c r="QQ19" i="18"/>
  <c r="UI19" i="18"/>
  <c r="LE19" i="18"/>
  <c r="CC19" i="18"/>
  <c r="WU20" i="18"/>
  <c r="VW20" i="18"/>
  <c r="UY20" i="18"/>
  <c r="UA20" i="18"/>
  <c r="TC20" i="18"/>
  <c r="SE20" i="18"/>
  <c r="RG20" i="18"/>
  <c r="QI20" i="18"/>
  <c r="PK20" i="18"/>
  <c r="OM20" i="18"/>
  <c r="NO20" i="18"/>
  <c r="MQ20" i="18"/>
  <c r="LS20" i="18"/>
  <c r="KU20" i="18"/>
  <c r="JW20" i="18"/>
  <c r="IY20" i="18"/>
  <c r="IA20" i="18"/>
  <c r="HC20" i="18"/>
  <c r="GE20" i="18"/>
  <c r="FG20" i="18"/>
  <c r="EI20" i="18"/>
  <c r="DK20" i="18"/>
  <c r="CM20" i="18"/>
  <c r="BO20" i="18"/>
  <c r="AQ20" i="18"/>
  <c r="XA20" i="18"/>
  <c r="WC20" i="18"/>
  <c r="VE20" i="18"/>
  <c r="UG20" i="18"/>
  <c r="TI20" i="18"/>
  <c r="SK20" i="18"/>
  <c r="RM20" i="18"/>
  <c r="QO20" i="18"/>
  <c r="PQ20" i="18"/>
  <c r="OS20" i="18"/>
  <c r="NU20" i="18"/>
  <c r="MW20" i="18"/>
  <c r="LY20" i="18"/>
  <c r="LA20" i="18"/>
  <c r="KC20" i="18"/>
  <c r="JE20" i="18"/>
  <c r="IG20" i="18"/>
  <c r="HI20" i="18"/>
  <c r="GK20" i="18"/>
  <c r="FM20" i="18"/>
  <c r="EO20" i="18"/>
  <c r="DQ20" i="18"/>
  <c r="CS20" i="18"/>
  <c r="BU20" i="18"/>
  <c r="AW20" i="18"/>
  <c r="WO20" i="18"/>
  <c r="US20" i="18"/>
  <c r="SW20" i="18"/>
  <c r="RA20" i="18"/>
  <c r="PE20" i="18"/>
  <c r="NI20" i="18"/>
  <c r="LM20" i="18"/>
  <c r="JQ20" i="18"/>
  <c r="HU20" i="18"/>
  <c r="FY20" i="18"/>
  <c r="EC20" i="18"/>
  <c r="CG20" i="18"/>
  <c r="AK20" i="18"/>
  <c r="WI20" i="18"/>
  <c r="UM20" i="18"/>
  <c r="SQ20" i="18"/>
  <c r="QU20" i="18"/>
  <c r="OY20" i="18"/>
  <c r="NC20" i="18"/>
  <c r="LG20" i="18"/>
  <c r="JK20" i="18"/>
  <c r="HO20" i="18"/>
  <c r="FS20" i="18"/>
  <c r="DW20" i="18"/>
  <c r="CA20" i="18"/>
  <c r="VQ20" i="18"/>
  <c r="TU20" i="18"/>
  <c r="RY20" i="18"/>
  <c r="QC20" i="18"/>
  <c r="OG20" i="18"/>
  <c r="MK20" i="18"/>
  <c r="KO20" i="18"/>
  <c r="IS20" i="18"/>
  <c r="GW20" i="18"/>
  <c r="FA20" i="18"/>
  <c r="DE20" i="18"/>
  <c r="BI20" i="18"/>
  <c r="XG20" i="18"/>
  <c r="PW20" i="18"/>
  <c r="IM20" i="18"/>
  <c r="BC20" i="18"/>
  <c r="RS20" i="18"/>
  <c r="KI20" i="18"/>
  <c r="CY20" i="18"/>
  <c r="TO20" i="18"/>
  <c r="ME20" i="18"/>
  <c r="EU20" i="18"/>
  <c r="GQ20" i="18"/>
  <c r="VK20" i="18"/>
  <c r="OA20" i="18"/>
  <c r="RE19" i="18"/>
  <c r="JS19" i="18"/>
  <c r="CK19" i="18"/>
  <c r="HR19" i="18"/>
  <c r="WE19" i="18"/>
  <c r="HM19" i="18"/>
  <c r="XJ19" i="18"/>
  <c r="PY19" i="18"/>
  <c r="BG19" i="18"/>
  <c r="TW19" i="18"/>
  <c r="FC19" i="18"/>
  <c r="VC19" i="18"/>
  <c r="RJ19" i="18"/>
  <c r="NQ19" i="18"/>
  <c r="GI19" i="18"/>
  <c r="CP19" i="18"/>
  <c r="UO19" i="18"/>
  <c r="FW19" i="18"/>
  <c r="UJ19" i="18"/>
  <c r="MY19" i="18"/>
  <c r="VO19" i="18"/>
  <c r="OD19" i="18"/>
  <c r="GS19" i="18"/>
  <c r="VT19" i="18"/>
  <c r="OI19" i="18"/>
  <c r="QR19" i="18"/>
  <c r="BW19" i="18"/>
  <c r="WS19" i="18"/>
  <c r="SZ19" i="18"/>
  <c r="PG19" i="18"/>
  <c r="HY19" i="18"/>
  <c r="EF19" i="18"/>
  <c r="QM19" i="18"/>
  <c r="JA19" i="18"/>
  <c r="BS19" i="18"/>
  <c r="ST19" i="18"/>
  <c r="LI19" i="18"/>
  <c r="SO19" i="18"/>
  <c r="LD19" i="18"/>
  <c r="DS19" i="18"/>
  <c r="MI19" i="18"/>
  <c r="EX19" i="18"/>
  <c r="MA19" i="18"/>
  <c r="IK19" i="18"/>
  <c r="SC19" i="18"/>
  <c r="KR19" i="18"/>
  <c r="DG19" i="18"/>
  <c r="LW19" i="18"/>
  <c r="EL19" i="18"/>
  <c r="QW19" i="18"/>
  <c r="JI19" i="18"/>
  <c r="RV19" i="18"/>
  <c r="DA19" i="18"/>
  <c r="XB20" i="18"/>
  <c r="WD20" i="18"/>
  <c r="VF20" i="18"/>
  <c r="UH20" i="18"/>
  <c r="TJ20" i="18"/>
  <c r="SL20" i="18"/>
  <c r="RN20" i="18"/>
  <c r="QP20" i="18"/>
  <c r="PR20" i="18"/>
  <c r="OT20" i="18"/>
  <c r="NV20" i="18"/>
  <c r="MX20" i="18"/>
  <c r="LZ20" i="18"/>
  <c r="MB20" i="18" s="1"/>
  <c r="LB20" i="18"/>
  <c r="KD20" i="18"/>
  <c r="JF20" i="18"/>
  <c r="IH20" i="18"/>
  <c r="IJ20" i="18" s="1"/>
  <c r="HJ20" i="18"/>
  <c r="HL20" i="18" s="1"/>
  <c r="GL20" i="18"/>
  <c r="FN20" i="18"/>
  <c r="EP20" i="18"/>
  <c r="DR20" i="18"/>
  <c r="DU20" i="18" s="1"/>
  <c r="CT20" i="18"/>
  <c r="BV20" i="18"/>
  <c r="AX20" i="18"/>
  <c r="BA20" i="18" s="1"/>
  <c r="XH20" i="18"/>
  <c r="WJ20" i="18"/>
  <c r="VL20" i="18"/>
  <c r="UN20" i="18"/>
  <c r="TP20" i="18"/>
  <c r="SR20" i="18"/>
  <c r="RT20" i="18"/>
  <c r="QV20" i="18"/>
  <c r="PX20" i="18"/>
  <c r="OZ20" i="18"/>
  <c r="OB20" i="18"/>
  <c r="ND20" i="18"/>
  <c r="MF20" i="18"/>
  <c r="LH20" i="18"/>
  <c r="KJ20" i="18"/>
  <c r="JL20" i="18"/>
  <c r="IN20" i="18"/>
  <c r="HP20" i="18"/>
  <c r="GR20" i="18"/>
  <c r="FT20" i="18"/>
  <c r="EV20" i="18"/>
  <c r="DX20" i="18"/>
  <c r="CZ20" i="18"/>
  <c r="CB20" i="18"/>
  <c r="BD20" i="18"/>
  <c r="BF20" i="18" s="1"/>
  <c r="VX20" i="18"/>
  <c r="UB20" i="18"/>
  <c r="SF20" i="18"/>
  <c r="QJ20" i="18"/>
  <c r="ON20" i="18"/>
  <c r="MR20" i="18"/>
  <c r="KV20" i="18"/>
  <c r="KY20" i="18" s="1"/>
  <c r="IZ20" i="18"/>
  <c r="HD20" i="18"/>
  <c r="FH20" i="18"/>
  <c r="DL20" i="18"/>
  <c r="BP20" i="18"/>
  <c r="VR20" i="18"/>
  <c r="TV20" i="18"/>
  <c r="RZ20" i="18"/>
  <c r="QD20" i="18"/>
  <c r="OH20" i="18"/>
  <c r="ML20" i="18"/>
  <c r="KP20" i="18"/>
  <c r="IT20" i="18"/>
  <c r="GX20" i="18"/>
  <c r="FB20" i="18"/>
  <c r="DF20" i="18"/>
  <c r="BJ20" i="18"/>
  <c r="WV20" i="18"/>
  <c r="UZ20" i="18"/>
  <c r="TD20" i="18"/>
  <c r="RH20" i="18"/>
  <c r="PL20" i="18"/>
  <c r="NP20" i="18"/>
  <c r="LT20" i="18"/>
  <c r="JX20" i="18"/>
  <c r="IB20" i="18"/>
  <c r="GF20" i="18"/>
  <c r="EJ20" i="18"/>
  <c r="CN20" i="18"/>
  <c r="CQ20" i="18" s="1"/>
  <c r="AR20" i="18"/>
  <c r="UT20" i="18"/>
  <c r="NJ20" i="18"/>
  <c r="FZ20" i="18"/>
  <c r="WP20" i="18"/>
  <c r="PF20" i="18"/>
  <c r="HV20" i="18"/>
  <c r="AL20" i="18"/>
  <c r="AM20" i="18" s="1"/>
  <c r="RB20" i="18"/>
  <c r="JR20" i="18"/>
  <c r="CH20" i="18"/>
  <c r="CK20" i="18" s="1"/>
  <c r="SX20" i="18"/>
  <c r="LN20" i="18"/>
  <c r="ED20" i="18"/>
  <c r="DT19" i="18"/>
  <c r="HK20" i="18"/>
  <c r="RD19" i="18"/>
  <c r="CJ19" i="18"/>
  <c r="OW19" i="18"/>
  <c r="HL19" i="18"/>
  <c r="IQ19" i="18"/>
  <c r="BF19" i="18"/>
  <c r="QG19" i="18"/>
  <c r="VB19" i="18"/>
  <c r="KA19" i="18"/>
  <c r="GH19" i="18"/>
  <c r="FQ19" i="18"/>
  <c r="VN19" i="18"/>
  <c r="HA19" i="18"/>
  <c r="KM19" i="18"/>
  <c r="WR19" i="18"/>
  <c r="LQ19" i="18"/>
  <c r="HX19" i="18"/>
  <c r="BR19" i="18"/>
  <c r="EA19" i="18"/>
  <c r="SN19" i="18"/>
  <c r="TS19" i="18"/>
  <c r="MH19" i="18"/>
  <c r="GO19" i="18"/>
  <c r="IJ19" i="18"/>
  <c r="SB19" i="18"/>
  <c r="TG19" i="18"/>
  <c r="LV19" i="18"/>
  <c r="CE19" i="18"/>
  <c r="JH19" i="18"/>
  <c r="ES19" i="18"/>
  <c r="WN21" i="18"/>
  <c r="VP21" i="18"/>
  <c r="UR21" i="18"/>
  <c r="TT21" i="18"/>
  <c r="SV21" i="18"/>
  <c r="RX21" i="18"/>
  <c r="QZ21" i="18"/>
  <c r="QB21" i="18"/>
  <c r="PD21" i="18"/>
  <c r="OF21" i="18"/>
  <c r="NH21" i="18"/>
  <c r="MJ21" i="18"/>
  <c r="LL21" i="18"/>
  <c r="KN21" i="18"/>
  <c r="JP21" i="18"/>
  <c r="IR21" i="18"/>
  <c r="HT21" i="18"/>
  <c r="GV21" i="18"/>
  <c r="FX21" i="18"/>
  <c r="EZ21" i="18"/>
  <c r="EB21" i="18"/>
  <c r="DD21" i="18"/>
  <c r="CF21" i="18"/>
  <c r="BH21" i="18"/>
  <c r="AJ21" i="18"/>
  <c r="WT21" i="18"/>
  <c r="VV21" i="18"/>
  <c r="UX21" i="18"/>
  <c r="TZ21" i="18"/>
  <c r="TB21" i="18"/>
  <c r="SD21" i="18"/>
  <c r="RF21" i="18"/>
  <c r="QH21" i="18"/>
  <c r="PJ21" i="18"/>
  <c r="OL21" i="18"/>
  <c r="NN21" i="18"/>
  <c r="MP21" i="18"/>
  <c r="LR21" i="18"/>
  <c r="KT21" i="18"/>
  <c r="JV21" i="18"/>
  <c r="IX21" i="18"/>
  <c r="HZ21" i="18"/>
  <c r="HB21" i="18"/>
  <c r="GD21" i="18"/>
  <c r="FF21" i="18"/>
  <c r="EH21" i="18"/>
  <c r="DJ21" i="18"/>
  <c r="CL21" i="18"/>
  <c r="BN21" i="18"/>
  <c r="AP21" i="18"/>
  <c r="WH21" i="18"/>
  <c r="UL21" i="18"/>
  <c r="SP21" i="18"/>
  <c r="QT21" i="18"/>
  <c r="OX21" i="18"/>
  <c r="NB21" i="18"/>
  <c r="LF21" i="18"/>
  <c r="JJ21" i="18"/>
  <c r="HN21" i="18"/>
  <c r="FR21" i="18"/>
  <c r="DV21" i="18"/>
  <c r="BZ21" i="18"/>
  <c r="WB21" i="18"/>
  <c r="UF21" i="18"/>
  <c r="SJ21" i="18"/>
  <c r="QN21" i="18"/>
  <c r="OR21" i="18"/>
  <c r="MV21" i="18"/>
  <c r="KZ21" i="18"/>
  <c r="JD21" i="18"/>
  <c r="HH21" i="18"/>
  <c r="FL21" i="18"/>
  <c r="DP21" i="18"/>
  <c r="BT21" i="18"/>
  <c r="XF21" i="18"/>
  <c r="VJ21" i="18"/>
  <c r="TN21" i="18"/>
  <c r="RR21" i="18"/>
  <c r="PV21" i="18"/>
  <c r="NZ21" i="18"/>
  <c r="MD21" i="18"/>
  <c r="KH21" i="18"/>
  <c r="IL21" i="18"/>
  <c r="GP21" i="18"/>
  <c r="ET21" i="18"/>
  <c r="CX21" i="18"/>
  <c r="BB21" i="18"/>
  <c r="RL21" i="18"/>
  <c r="KB21" i="18"/>
  <c r="CR21" i="18"/>
  <c r="TH21" i="18"/>
  <c r="LX21" i="18"/>
  <c r="EN21" i="18"/>
  <c r="VD21" i="18"/>
  <c r="NT21" i="18"/>
  <c r="GJ21" i="18"/>
  <c r="WZ21" i="18"/>
  <c r="PP21" i="18"/>
  <c r="IF21" i="18"/>
  <c r="AV21" i="18"/>
  <c r="S16" i="18"/>
  <c r="U16" i="18" s="1"/>
  <c r="B39" i="1"/>
  <c r="B39" i="9"/>
  <c r="B39" i="7"/>
  <c r="AD36" i="5"/>
  <c r="AE36" i="5" s="1"/>
  <c r="AI36" i="5" s="1"/>
  <c r="B38" i="5"/>
  <c r="R36" i="5"/>
  <c r="AG36" i="5" s="1"/>
  <c r="K36" i="5"/>
  <c r="B41" i="5"/>
  <c r="R39" i="5"/>
  <c r="AG39" i="5" s="1"/>
  <c r="AE39" i="5"/>
  <c r="K39" i="5"/>
  <c r="O21" i="18"/>
  <c r="N21" i="18"/>
  <c r="B22" i="18"/>
  <c r="R18" i="18"/>
  <c r="P18" i="18"/>
  <c r="Q18" i="18"/>
  <c r="R82" i="14"/>
  <c r="U83" i="14"/>
  <c r="T83" i="14"/>
  <c r="S83" i="14"/>
  <c r="Q82" i="14"/>
  <c r="B86" i="14"/>
  <c r="B38" i="1"/>
  <c r="N36" i="1"/>
  <c r="B38" i="7"/>
  <c r="B40" i="8"/>
  <c r="B21" i="15"/>
  <c r="B41" i="8"/>
  <c r="BQ35" i="1"/>
  <c r="O34" i="1"/>
  <c r="BP35" i="1"/>
  <c r="X35" i="7" s="1"/>
  <c r="O35" i="1"/>
  <c r="B38" i="9"/>
  <c r="Q37" i="5" l="1"/>
  <c r="U37" i="5" s="1"/>
  <c r="Q34" i="5"/>
  <c r="U34" i="5" s="1"/>
  <c r="R29" i="8"/>
  <c r="QF20" i="18"/>
  <c r="UJ20" i="18"/>
  <c r="B45" i="19"/>
  <c r="G45" i="19" s="1"/>
  <c r="F43" i="19"/>
  <c r="JY20" i="18"/>
  <c r="NW20" i="18"/>
  <c r="OW20" i="18"/>
  <c r="DG20" i="18"/>
  <c r="I37" i="9"/>
  <c r="I36" i="9"/>
  <c r="IW20" i="18"/>
  <c r="PA20" i="18"/>
  <c r="AJ34" i="5"/>
  <c r="AJ36" i="5" s="1"/>
  <c r="AL36" i="5" s="1"/>
  <c r="HA20" i="18"/>
  <c r="MZ20" i="18"/>
  <c r="KK20" i="18"/>
  <c r="L36" i="9"/>
  <c r="L37" i="9"/>
  <c r="M35" i="9"/>
  <c r="M34" i="9"/>
  <c r="J37" i="9"/>
  <c r="J36" i="9"/>
  <c r="H39" i="9"/>
  <c r="K39" i="9" s="1"/>
  <c r="H38" i="9"/>
  <c r="K38" i="9" s="1"/>
  <c r="F39" i="5"/>
  <c r="SM20" i="18"/>
  <c r="F40" i="8"/>
  <c r="G40" i="8"/>
  <c r="F41" i="8"/>
  <c r="G41" i="8"/>
  <c r="J39" i="7"/>
  <c r="I39" i="7"/>
  <c r="I38" i="7"/>
  <c r="J38" i="7"/>
  <c r="U21" i="15"/>
  <c r="Y21" i="18" s="1"/>
  <c r="D21" i="15"/>
  <c r="E21" i="15"/>
  <c r="D22" i="18"/>
  <c r="F22" i="18" s="1"/>
  <c r="E22" i="18"/>
  <c r="G22" i="18" s="1"/>
  <c r="I38" i="5"/>
  <c r="J38" i="5" s="1"/>
  <c r="I41" i="5"/>
  <c r="J41" i="5" s="1"/>
  <c r="H38" i="1"/>
  <c r="I38" i="1" s="1"/>
  <c r="H39" i="1"/>
  <c r="I39" i="1" s="1"/>
  <c r="VU20" i="18"/>
  <c r="GO20" i="18"/>
  <c r="KS20" i="18"/>
  <c r="WF20" i="18"/>
  <c r="RK20" i="18"/>
  <c r="FO20" i="18"/>
  <c r="TQ20" i="18"/>
  <c r="LD20" i="18"/>
  <c r="EE20" i="18"/>
  <c r="XD20" i="18"/>
  <c r="KF20" i="18"/>
  <c r="KE20" i="18"/>
  <c r="OI20" i="18"/>
  <c r="BL20" i="18"/>
  <c r="VH20" i="18"/>
  <c r="WK20" i="18"/>
  <c r="HS20" i="18"/>
  <c r="PT20" i="18"/>
  <c r="SA20" i="18"/>
  <c r="T21" i="15"/>
  <c r="TL20" i="18"/>
  <c r="GH20" i="18"/>
  <c r="AZ20" i="18"/>
  <c r="GU20" i="18"/>
  <c r="OO20" i="18"/>
  <c r="VY20" i="18"/>
  <c r="EA20" i="18"/>
  <c r="PU20" i="18"/>
  <c r="FD20" i="18"/>
  <c r="MO20" i="18"/>
  <c r="BW20" i="18"/>
  <c r="PB20" i="18"/>
  <c r="CU20" i="18"/>
  <c r="VI20" i="18"/>
  <c r="UV20" i="18"/>
  <c r="NQ20" i="18"/>
  <c r="VC20" i="18"/>
  <c r="FK20" i="18"/>
  <c r="UC20" i="18"/>
  <c r="OD20" i="18"/>
  <c r="FE20" i="18"/>
  <c r="MM20" i="18"/>
  <c r="TW20" i="18"/>
  <c r="BX20" i="18"/>
  <c r="JH20" i="18"/>
  <c r="MY20" i="18"/>
  <c r="QQ20" i="18"/>
  <c r="UK20" i="18"/>
  <c r="TY20" i="18"/>
  <c r="MN20" i="18"/>
  <c r="FC20" i="18"/>
  <c r="UI20" i="18"/>
  <c r="QS20" i="18"/>
  <c r="JI20" i="18"/>
  <c r="LO20" i="18"/>
  <c r="AU20" i="18"/>
  <c r="IC20" i="18"/>
  <c r="PO20" i="18"/>
  <c r="WW20" i="18"/>
  <c r="TX20" i="18"/>
  <c r="BY20" i="18"/>
  <c r="QR20" i="18"/>
  <c r="JG20" i="18"/>
  <c r="NA20" i="18"/>
  <c r="SZ20" i="18"/>
  <c r="EY20" i="18"/>
  <c r="PY20" i="18"/>
  <c r="EK20" i="18"/>
  <c r="LV20" i="18"/>
  <c r="TE20" i="18"/>
  <c r="FU20" i="18"/>
  <c r="NG20" i="18"/>
  <c r="UP20" i="18"/>
  <c r="EF20" i="18"/>
  <c r="EG20" i="18"/>
  <c r="VN20" i="18"/>
  <c r="JO20" i="18"/>
  <c r="PG20" i="18"/>
  <c r="GG20" i="18"/>
  <c r="NS20" i="18"/>
  <c r="VB20" i="18"/>
  <c r="VA20" i="18"/>
  <c r="NR20" i="18"/>
  <c r="VO20" i="18"/>
  <c r="GI20" i="18"/>
  <c r="PH20" i="18"/>
  <c r="WR20" i="18"/>
  <c r="AN20" i="18"/>
  <c r="VM20" i="18"/>
  <c r="QW20" i="18"/>
  <c r="PI20" i="18"/>
  <c r="SO20" i="18"/>
  <c r="OE20" i="18"/>
  <c r="HR20" i="18"/>
  <c r="WL20" i="18"/>
  <c r="UU20" i="18"/>
  <c r="CV20" i="18"/>
  <c r="GM20" i="18"/>
  <c r="NX20" i="18"/>
  <c r="VG20" i="18"/>
  <c r="FJ20" i="18"/>
  <c r="MS20" i="18"/>
  <c r="UD20" i="18"/>
  <c r="QL20" i="18"/>
  <c r="OC20" i="18"/>
  <c r="MU20" i="18"/>
  <c r="GB20" i="18"/>
  <c r="BR20" i="18"/>
  <c r="XJ20" i="18"/>
  <c r="UW20" i="18"/>
  <c r="CW20" i="18"/>
  <c r="UE20" i="18"/>
  <c r="MT20" i="18"/>
  <c r="FI20" i="18"/>
  <c r="NY20" i="18"/>
  <c r="GN20" i="18"/>
  <c r="HQ20" i="18"/>
  <c r="HX20" i="18"/>
  <c r="NK20" i="18"/>
  <c r="CD20" i="18"/>
  <c r="JM20" i="18"/>
  <c r="QY20" i="18"/>
  <c r="GS20" i="18"/>
  <c r="JB20" i="18"/>
  <c r="MG20" i="18"/>
  <c r="EX20" i="18"/>
  <c r="WE20" i="18"/>
  <c r="JN20" i="18"/>
  <c r="MI20" i="18"/>
  <c r="PC20" i="18"/>
  <c r="RV20" i="18"/>
  <c r="CC20" i="18"/>
  <c r="QE20" i="18"/>
  <c r="IU20" i="18"/>
  <c r="BK20" i="18"/>
  <c r="RJ20" i="18"/>
  <c r="JZ20" i="18"/>
  <c r="CP20" i="18"/>
  <c r="AO20" i="18"/>
  <c r="WM20" i="18"/>
  <c r="KG20" i="18"/>
  <c r="KW20" i="18"/>
  <c r="HW20" i="18"/>
  <c r="WQ20" i="18"/>
  <c r="LQ20" i="18"/>
  <c r="DY20" i="18"/>
  <c r="LJ20" i="18"/>
  <c r="DN20" i="18"/>
  <c r="HY20" i="18"/>
  <c r="QX20" i="18"/>
  <c r="CE20" i="18"/>
  <c r="WS20" i="18"/>
  <c r="LP20" i="18"/>
  <c r="NM20" i="18"/>
  <c r="DC20" i="18"/>
  <c r="GC20" i="18"/>
  <c r="BG20" i="18"/>
  <c r="QK20" i="18"/>
  <c r="JC20" i="18"/>
  <c r="BQ20" i="18"/>
  <c r="TG20" i="18"/>
  <c r="AT20" i="18"/>
  <c r="FQ20" i="18"/>
  <c r="QA20" i="18"/>
  <c r="PN20" i="18"/>
  <c r="RU20" i="18"/>
  <c r="UQ20" i="18"/>
  <c r="RP20" i="18"/>
  <c r="VT20" i="18"/>
  <c r="GZ20" i="18"/>
  <c r="LU20" i="18"/>
  <c r="NE20" i="18"/>
  <c r="DS20" i="18"/>
  <c r="RO20" i="18"/>
  <c r="VS20" i="18"/>
  <c r="EM20" i="18"/>
  <c r="FV20" i="18"/>
  <c r="GT20" i="18"/>
  <c r="DA20" i="18"/>
  <c r="IP20" i="18"/>
  <c r="DH20" i="18"/>
  <c r="KR20" i="18"/>
  <c r="SB20" i="18"/>
  <c r="DZ20" i="18"/>
  <c r="LK20" i="18"/>
  <c r="SS20" i="18"/>
  <c r="CJ20" i="18"/>
  <c r="JT20" i="18"/>
  <c r="RE20" i="18"/>
  <c r="AY20" i="18"/>
  <c r="EQ20" i="18"/>
  <c r="II20" i="18"/>
  <c r="MA20" i="18"/>
  <c r="PS20" i="18"/>
  <c r="TM20" i="18"/>
  <c r="XE20" i="18"/>
  <c r="DM20" i="18"/>
  <c r="HF20" i="18"/>
  <c r="KX20" i="18"/>
  <c r="OQ20" i="18"/>
  <c r="SH20" i="18"/>
  <c r="WA20" i="18"/>
  <c r="WN22" i="18"/>
  <c r="VP22" i="18"/>
  <c r="UR22" i="18"/>
  <c r="TT22" i="18"/>
  <c r="SV22" i="18"/>
  <c r="RX22" i="18"/>
  <c r="QZ22" i="18"/>
  <c r="QB22" i="18"/>
  <c r="PD22" i="18"/>
  <c r="OF22" i="18"/>
  <c r="NH22" i="18"/>
  <c r="MJ22" i="18"/>
  <c r="LL22" i="18"/>
  <c r="KN22" i="18"/>
  <c r="JP22" i="18"/>
  <c r="IR22" i="18"/>
  <c r="HT22" i="18"/>
  <c r="GV22" i="18"/>
  <c r="FX22" i="18"/>
  <c r="EZ22" i="18"/>
  <c r="EB22" i="18"/>
  <c r="DD22" i="18"/>
  <c r="CF22" i="18"/>
  <c r="BH22" i="18"/>
  <c r="AJ22" i="18"/>
  <c r="WT22" i="18"/>
  <c r="VV22" i="18"/>
  <c r="UX22" i="18"/>
  <c r="TZ22" i="18"/>
  <c r="TB22" i="18"/>
  <c r="SD22" i="18"/>
  <c r="RF22" i="18"/>
  <c r="QH22" i="18"/>
  <c r="PJ22" i="18"/>
  <c r="OL22" i="18"/>
  <c r="NN22" i="18"/>
  <c r="MP22" i="18"/>
  <c r="LR22" i="18"/>
  <c r="KT22" i="18"/>
  <c r="JV22" i="18"/>
  <c r="IX22" i="18"/>
  <c r="HZ22" i="18"/>
  <c r="HB22" i="18"/>
  <c r="GD22" i="18"/>
  <c r="FF22" i="18"/>
  <c r="EH22" i="18"/>
  <c r="DJ22" i="18"/>
  <c r="CL22" i="18"/>
  <c r="BN22" i="18"/>
  <c r="AP22" i="18"/>
  <c r="XF22" i="18"/>
  <c r="VJ22" i="18"/>
  <c r="TN22" i="18"/>
  <c r="RR22" i="18"/>
  <c r="PV22" i="18"/>
  <c r="NZ22" i="18"/>
  <c r="MD22" i="18"/>
  <c r="KH22" i="18"/>
  <c r="IL22" i="18"/>
  <c r="GP22" i="18"/>
  <c r="ET22" i="18"/>
  <c r="CX22" i="18"/>
  <c r="BB22" i="18"/>
  <c r="WZ22" i="18"/>
  <c r="VD22" i="18"/>
  <c r="TH22" i="18"/>
  <c r="RL22" i="18"/>
  <c r="PP22" i="18"/>
  <c r="NT22" i="18"/>
  <c r="LX22" i="18"/>
  <c r="KB22" i="18"/>
  <c r="IF22" i="18"/>
  <c r="GJ22" i="18"/>
  <c r="EN22" i="18"/>
  <c r="CR22" i="18"/>
  <c r="AV22" i="18"/>
  <c r="WH22" i="18"/>
  <c r="UL22" i="18"/>
  <c r="SP22" i="18"/>
  <c r="QT22" i="18"/>
  <c r="OX22" i="18"/>
  <c r="NB22" i="18"/>
  <c r="LF22" i="18"/>
  <c r="JJ22" i="18"/>
  <c r="HN22" i="18"/>
  <c r="FR22" i="18"/>
  <c r="DV22" i="18"/>
  <c r="BZ22" i="18"/>
  <c r="QN22" i="18"/>
  <c r="JD22" i="18"/>
  <c r="BT22" i="18"/>
  <c r="SJ22" i="18"/>
  <c r="KZ22" i="18"/>
  <c r="DP22" i="18"/>
  <c r="UF22" i="18"/>
  <c r="MV22" i="18"/>
  <c r="FL22" i="18"/>
  <c r="WB22" i="18"/>
  <c r="OR22" i="18"/>
  <c r="HH22" i="18"/>
  <c r="OV20" i="18"/>
  <c r="RC20" i="18"/>
  <c r="JS20" i="18"/>
  <c r="HG20" i="18"/>
  <c r="XB21" i="18"/>
  <c r="WD21" i="18"/>
  <c r="VF21" i="18"/>
  <c r="UH21" i="18"/>
  <c r="TJ21" i="18"/>
  <c r="SL21" i="18"/>
  <c r="RN21" i="18"/>
  <c r="QP21" i="18"/>
  <c r="PR21" i="18"/>
  <c r="OT21" i="18"/>
  <c r="NV21" i="18"/>
  <c r="MX21" i="18"/>
  <c r="LZ21" i="18"/>
  <c r="LB21" i="18"/>
  <c r="KD21" i="18"/>
  <c r="JF21" i="18"/>
  <c r="IH21" i="18"/>
  <c r="HJ21" i="18"/>
  <c r="GL21" i="18"/>
  <c r="FN21" i="18"/>
  <c r="EP21" i="18"/>
  <c r="DR21" i="18"/>
  <c r="CT21" i="18"/>
  <c r="BV21" i="18"/>
  <c r="AX21" i="18"/>
  <c r="XH21" i="18"/>
  <c r="WJ21" i="18"/>
  <c r="VL21" i="18"/>
  <c r="UN21" i="18"/>
  <c r="TP21" i="18"/>
  <c r="SR21" i="18"/>
  <c r="RT21" i="18"/>
  <c r="QV21" i="18"/>
  <c r="PX21" i="18"/>
  <c r="OZ21" i="18"/>
  <c r="OB21" i="18"/>
  <c r="ND21" i="18"/>
  <c r="MF21" i="18"/>
  <c r="LH21" i="18"/>
  <c r="KJ21" i="18"/>
  <c r="JL21" i="18"/>
  <c r="IN21" i="18"/>
  <c r="HP21" i="18"/>
  <c r="GR21" i="18"/>
  <c r="FT21" i="18"/>
  <c r="EV21" i="18"/>
  <c r="DX21" i="18"/>
  <c r="CZ21" i="18"/>
  <c r="CB21" i="18"/>
  <c r="BD21" i="18"/>
  <c r="WV21" i="18"/>
  <c r="UZ21" i="18"/>
  <c r="TD21" i="18"/>
  <c r="RH21" i="18"/>
  <c r="PL21" i="18"/>
  <c r="NP21" i="18"/>
  <c r="LT21" i="18"/>
  <c r="JX21" i="18"/>
  <c r="IB21" i="18"/>
  <c r="GF21" i="18"/>
  <c r="EJ21" i="18"/>
  <c r="CN21" i="18"/>
  <c r="AR21" i="18"/>
  <c r="WP21" i="18"/>
  <c r="UT21" i="18"/>
  <c r="SX21" i="18"/>
  <c r="RB21" i="18"/>
  <c r="PF21" i="18"/>
  <c r="NJ21" i="18"/>
  <c r="LN21" i="18"/>
  <c r="JR21" i="18"/>
  <c r="HV21" i="18"/>
  <c r="FZ21" i="18"/>
  <c r="ED21" i="18"/>
  <c r="CH21" i="18"/>
  <c r="AL21" i="18"/>
  <c r="VX21" i="18"/>
  <c r="UB21" i="18"/>
  <c r="SF21" i="18"/>
  <c r="QJ21" i="18"/>
  <c r="ON21" i="18"/>
  <c r="MR21" i="18"/>
  <c r="KV21" i="18"/>
  <c r="IZ21" i="18"/>
  <c r="HD21" i="18"/>
  <c r="FH21" i="18"/>
  <c r="DL21" i="18"/>
  <c r="BP21" i="18"/>
  <c r="TV21" i="18"/>
  <c r="ML21" i="18"/>
  <c r="FB21" i="18"/>
  <c r="VR21" i="18"/>
  <c r="OH21" i="18"/>
  <c r="GX21" i="18"/>
  <c r="QD21" i="18"/>
  <c r="IT21" i="18"/>
  <c r="BJ21" i="18"/>
  <c r="RZ21" i="18"/>
  <c r="KP21" i="18"/>
  <c r="DF21" i="18"/>
  <c r="QG20" i="18"/>
  <c r="IV20" i="18"/>
  <c r="BM20" i="18"/>
  <c r="RI20" i="18"/>
  <c r="KA20" i="18"/>
  <c r="CO20" i="18"/>
  <c r="XC20" i="18"/>
  <c r="IK20" i="18"/>
  <c r="GA20" i="18"/>
  <c r="VZ20" i="18"/>
  <c r="XK20" i="18"/>
  <c r="BE20" i="18"/>
  <c r="TA20" i="18"/>
  <c r="JA20" i="18"/>
  <c r="TS20" i="18"/>
  <c r="MH20" i="18"/>
  <c r="EW20" i="18"/>
  <c r="SN20" i="18"/>
  <c r="CI20" i="18"/>
  <c r="OP20" i="18"/>
  <c r="IQ20" i="18"/>
  <c r="LI20" i="18"/>
  <c r="OK20" i="18"/>
  <c r="KQ20" i="18"/>
  <c r="GY20" i="18"/>
  <c r="WY20" i="18"/>
  <c r="TF20" i="18"/>
  <c r="PM20" i="18"/>
  <c r="IE20" i="18"/>
  <c r="EL20" i="18"/>
  <c r="AS20" i="18"/>
  <c r="KM20" i="18"/>
  <c r="DB20" i="18"/>
  <c r="TK20" i="18"/>
  <c r="ES20" i="18"/>
  <c r="UO20" i="18"/>
  <c r="NF20" i="18"/>
  <c r="LE20" i="18"/>
  <c r="FP20" i="18"/>
  <c r="OU20" i="18"/>
  <c r="RD20" i="18"/>
  <c r="SI20" i="18"/>
  <c r="HE20" i="18"/>
  <c r="PZ20" i="18"/>
  <c r="SU20" i="18"/>
  <c r="DT20" i="18"/>
  <c r="BS20" i="18"/>
  <c r="TR20" i="18"/>
  <c r="WG20" i="18"/>
  <c r="NL20" i="18"/>
  <c r="DO20" i="18"/>
  <c r="IO20" i="18"/>
  <c r="HM20" i="18"/>
  <c r="SC20" i="18"/>
  <c r="OJ20" i="18"/>
  <c r="DI20" i="18"/>
  <c r="WX20" i="18"/>
  <c r="LW20" i="18"/>
  <c r="ID20" i="18"/>
  <c r="RW20" i="18"/>
  <c r="KL20" i="18"/>
  <c r="MC20" i="18"/>
  <c r="ER20" i="18"/>
  <c r="FW20" i="18"/>
  <c r="LC20" i="18"/>
  <c r="JU20" i="18"/>
  <c r="SG20" i="18"/>
  <c r="RQ20" i="18"/>
  <c r="ST20" i="18"/>
  <c r="WU21" i="18"/>
  <c r="VW21" i="18"/>
  <c r="UY21" i="18"/>
  <c r="UA21" i="18"/>
  <c r="TC21" i="18"/>
  <c r="SE21" i="18"/>
  <c r="RG21" i="18"/>
  <c r="QI21" i="18"/>
  <c r="PK21" i="18"/>
  <c r="OM21" i="18"/>
  <c r="NO21" i="18"/>
  <c r="MQ21" i="18"/>
  <c r="LS21" i="18"/>
  <c r="KU21" i="18"/>
  <c r="JW21" i="18"/>
  <c r="IY21" i="18"/>
  <c r="IA21" i="18"/>
  <c r="HC21" i="18"/>
  <c r="GE21" i="18"/>
  <c r="FG21" i="18"/>
  <c r="EI21" i="18"/>
  <c r="DK21" i="18"/>
  <c r="DM21" i="18" s="1"/>
  <c r="CM21" i="18"/>
  <c r="BO21" i="18"/>
  <c r="AQ21" i="18"/>
  <c r="XA21" i="18"/>
  <c r="WC21" i="18"/>
  <c r="VE21" i="18"/>
  <c r="UG21" i="18"/>
  <c r="TI21" i="18"/>
  <c r="SK21" i="18"/>
  <c r="RM21" i="18"/>
  <c r="QO21" i="18"/>
  <c r="PQ21" i="18"/>
  <c r="OS21" i="18"/>
  <c r="NU21" i="18"/>
  <c r="MW21" i="18"/>
  <c r="LY21" i="18"/>
  <c r="LA21" i="18"/>
  <c r="KC21" i="18"/>
  <c r="JE21" i="18"/>
  <c r="IG21" i="18"/>
  <c r="HI21" i="18"/>
  <c r="GK21" i="18"/>
  <c r="FM21" i="18"/>
  <c r="EO21" i="18"/>
  <c r="DQ21" i="18"/>
  <c r="CS21" i="18"/>
  <c r="BU21" i="18"/>
  <c r="AW21" i="18"/>
  <c r="VQ21" i="18"/>
  <c r="TU21" i="18"/>
  <c r="RY21" i="18"/>
  <c r="QC21" i="18"/>
  <c r="OG21" i="18"/>
  <c r="MK21" i="18"/>
  <c r="KO21" i="18"/>
  <c r="IS21" i="18"/>
  <c r="GW21" i="18"/>
  <c r="FA21" i="18"/>
  <c r="DE21" i="18"/>
  <c r="BI21" i="18"/>
  <c r="XG21" i="18"/>
  <c r="VK21" i="18"/>
  <c r="TO21" i="18"/>
  <c r="TQ21" i="18" s="1"/>
  <c r="RS21" i="18"/>
  <c r="PW21" i="18"/>
  <c r="OA21" i="18"/>
  <c r="ME21" i="18"/>
  <c r="KI21" i="18"/>
  <c r="IM21" i="18"/>
  <c r="GQ21" i="18"/>
  <c r="EU21" i="18"/>
  <c r="EX21" i="18" s="1"/>
  <c r="CY21" i="18"/>
  <c r="BC21" i="18"/>
  <c r="WO21" i="18"/>
  <c r="US21" i="18"/>
  <c r="SW21" i="18"/>
  <c r="RA21" i="18"/>
  <c r="PE21" i="18"/>
  <c r="NI21" i="18"/>
  <c r="LM21" i="18"/>
  <c r="JQ21" i="18"/>
  <c r="HU21" i="18"/>
  <c r="FY21" i="18"/>
  <c r="EC21" i="18"/>
  <c r="CG21" i="18"/>
  <c r="AK21" i="18"/>
  <c r="WI21" i="18"/>
  <c r="OY21" i="18"/>
  <c r="HO21" i="18"/>
  <c r="QU21" i="18"/>
  <c r="JK21" i="18"/>
  <c r="CA21" i="18"/>
  <c r="SQ21" i="18"/>
  <c r="LG21" i="18"/>
  <c r="DW21" i="18"/>
  <c r="UM21" i="18"/>
  <c r="NC21" i="18"/>
  <c r="FS21" i="18"/>
  <c r="XI20" i="18"/>
  <c r="SY20" i="18"/>
  <c r="QM20" i="18"/>
  <c r="B41" i="7"/>
  <c r="B41" i="9"/>
  <c r="B41" i="1"/>
  <c r="AD38" i="5"/>
  <c r="AE38" i="5" s="1"/>
  <c r="AI38" i="5" s="1"/>
  <c r="B43" i="5"/>
  <c r="R41" i="5"/>
  <c r="AG41" i="5" s="1"/>
  <c r="K41" i="5"/>
  <c r="AE41" i="5"/>
  <c r="B40" i="5"/>
  <c r="R38" i="5"/>
  <c r="AG38" i="5" s="1"/>
  <c r="K38" i="5"/>
  <c r="F36" i="5"/>
  <c r="N22" i="18"/>
  <c r="B23" i="18"/>
  <c r="O22" i="18"/>
  <c r="Q19" i="18"/>
  <c r="P19" i="18"/>
  <c r="T18" i="18" s="1"/>
  <c r="T17" i="18"/>
  <c r="S17" i="18"/>
  <c r="R19" i="18"/>
  <c r="B87" i="14"/>
  <c r="U84" i="14"/>
  <c r="S84" i="14"/>
  <c r="T84" i="14"/>
  <c r="Q83" i="14"/>
  <c r="R83" i="14"/>
  <c r="B43" i="8"/>
  <c r="B40" i="7"/>
  <c r="O36" i="1"/>
  <c r="BQ37" i="1"/>
  <c r="BP37" i="1"/>
  <c r="X37" i="7" s="1"/>
  <c r="O37" i="1"/>
  <c r="B40" i="9"/>
  <c r="B40" i="1"/>
  <c r="N38" i="1"/>
  <c r="B22" i="15"/>
  <c r="B42" i="8"/>
  <c r="Q36" i="5" l="1"/>
  <c r="U36" i="5" s="1"/>
  <c r="R31" i="8"/>
  <c r="Q39" i="5"/>
  <c r="U39" i="5" s="1"/>
  <c r="NR21" i="18"/>
  <c r="VA21" i="18"/>
  <c r="B47" i="19"/>
  <c r="G47" i="19" s="1"/>
  <c r="F45" i="19"/>
  <c r="PB21" i="18"/>
  <c r="I39" i="9"/>
  <c r="I38" i="9"/>
  <c r="AL34" i="5"/>
  <c r="AJ38" i="5"/>
  <c r="AL38" i="5" s="1"/>
  <c r="L38" i="9"/>
  <c r="L39" i="9"/>
  <c r="M37" i="9"/>
  <c r="M36" i="9"/>
  <c r="MH21" i="18"/>
  <c r="J38" i="9"/>
  <c r="J39" i="9"/>
  <c r="H41" i="9"/>
  <c r="K41" i="9" s="1"/>
  <c r="H40" i="9"/>
  <c r="K40" i="9" s="1"/>
  <c r="F41" i="5"/>
  <c r="SC21" i="18"/>
  <c r="F43" i="8"/>
  <c r="G43" i="8"/>
  <c r="F42" i="8"/>
  <c r="G42" i="8"/>
  <c r="J40" i="7"/>
  <c r="I40" i="7"/>
  <c r="J41" i="7"/>
  <c r="I41" i="7"/>
  <c r="U22" i="15"/>
  <c r="Y22" i="18" s="1"/>
  <c r="E22" i="15"/>
  <c r="D22" i="15"/>
  <c r="SI21" i="18"/>
  <c r="D23" i="18"/>
  <c r="F23" i="18" s="1"/>
  <c r="E23" i="18"/>
  <c r="G23" i="18" s="1"/>
  <c r="I40" i="5"/>
  <c r="J40" i="5" s="1"/>
  <c r="I43" i="5"/>
  <c r="J43" i="5" s="1"/>
  <c r="GH21" i="18"/>
  <c r="H40" i="1"/>
  <c r="I40" i="1" s="1"/>
  <c r="H41" i="1"/>
  <c r="I41" i="1" s="1"/>
  <c r="FU21" i="18"/>
  <c r="KX21" i="18"/>
  <c r="QE21" i="18"/>
  <c r="TW21" i="18"/>
  <c r="QX21" i="18"/>
  <c r="U17" i="18"/>
  <c r="T22" i="15"/>
  <c r="VT21" i="18"/>
  <c r="SH21" i="18"/>
  <c r="DN21" i="18"/>
  <c r="AU21" i="18"/>
  <c r="LK21" i="18"/>
  <c r="CV21" i="18"/>
  <c r="GO21" i="18"/>
  <c r="KG21" i="18"/>
  <c r="NW21" i="18"/>
  <c r="RP21" i="18"/>
  <c r="VH21" i="18"/>
  <c r="FC21" i="18"/>
  <c r="RU21" i="18"/>
  <c r="KL21" i="18"/>
  <c r="DB21" i="18"/>
  <c r="KK21" i="18"/>
  <c r="RW21" i="18"/>
  <c r="DH21" i="18"/>
  <c r="BX21" i="18"/>
  <c r="FP21" i="18"/>
  <c r="JI21" i="18"/>
  <c r="MZ21" i="18"/>
  <c r="QQ21" i="18"/>
  <c r="UK21" i="18"/>
  <c r="AO21" i="18"/>
  <c r="HW21" i="18"/>
  <c r="PI21" i="18"/>
  <c r="WQ21" i="18"/>
  <c r="GT21" i="18"/>
  <c r="OE21" i="18"/>
  <c r="VM21" i="18"/>
  <c r="BQ21" i="18"/>
  <c r="JC21" i="18"/>
  <c r="QK21" i="18"/>
  <c r="DA21" i="18"/>
  <c r="PC21" i="18"/>
  <c r="KY21" i="18"/>
  <c r="KM21" i="18"/>
  <c r="KW21" i="18"/>
  <c r="XK21" i="18"/>
  <c r="IW21" i="18"/>
  <c r="DI21" i="18"/>
  <c r="RV21" i="18"/>
  <c r="DC21" i="18"/>
  <c r="SG21" i="18"/>
  <c r="DO21" i="18"/>
  <c r="DY21" i="18"/>
  <c r="WL21" i="18"/>
  <c r="KQ21" i="18"/>
  <c r="AS21" i="18"/>
  <c r="ID21" i="18"/>
  <c r="PM21" i="18"/>
  <c r="WX21" i="18"/>
  <c r="GZ21" i="18"/>
  <c r="OU21" i="18"/>
  <c r="WG21" i="18"/>
  <c r="ST21" i="18"/>
  <c r="HR21" i="18"/>
  <c r="CI21" i="18"/>
  <c r="JS21" i="18"/>
  <c r="RC21" i="18"/>
  <c r="WW21" i="18"/>
  <c r="QS21" i="18"/>
  <c r="MM21" i="18"/>
  <c r="FI21" i="18"/>
  <c r="MT21" i="18"/>
  <c r="SB21" i="18"/>
  <c r="PO21" i="18"/>
  <c r="JH21" i="18"/>
  <c r="BE21" i="18"/>
  <c r="IP21" i="18"/>
  <c r="QA21" i="18"/>
  <c r="XJ21" i="18"/>
  <c r="HA21" i="18"/>
  <c r="DU21" i="18"/>
  <c r="HK21" i="18"/>
  <c r="LD21" i="18"/>
  <c r="OW21" i="18"/>
  <c r="SN21" i="18"/>
  <c r="WE21" i="18"/>
  <c r="CQ21" i="18"/>
  <c r="JZ21" i="18"/>
  <c r="RK21" i="18"/>
  <c r="IC21" i="18"/>
  <c r="BW21" i="18"/>
  <c r="EE21" i="18"/>
  <c r="LP21" i="18"/>
  <c r="SY21" i="18"/>
  <c r="PA21" i="18"/>
  <c r="JT21" i="18"/>
  <c r="GY21" i="18"/>
  <c r="HG21" i="18"/>
  <c r="OP21" i="18"/>
  <c r="WA21" i="18"/>
  <c r="LV21" i="18"/>
  <c r="II21" i="18"/>
  <c r="PU21" i="18"/>
  <c r="TM21" i="18"/>
  <c r="VI21" i="18"/>
  <c r="NE21" i="18"/>
  <c r="OJ21" i="18"/>
  <c r="VS21" i="18"/>
  <c r="WF21" i="18"/>
  <c r="XI21" i="18"/>
  <c r="OV21" i="18"/>
  <c r="NY21" i="18"/>
  <c r="CW21" i="18"/>
  <c r="VG21" i="18"/>
  <c r="NX21" i="18"/>
  <c r="VU21" i="18"/>
  <c r="CU21" i="18"/>
  <c r="HM21" i="18"/>
  <c r="PY21" i="18"/>
  <c r="UP21" i="18"/>
  <c r="BK21" i="18"/>
  <c r="AZ21" i="18"/>
  <c r="ER21" i="18"/>
  <c r="MB21" i="18"/>
  <c r="XC21" i="18"/>
  <c r="RE21" i="18"/>
  <c r="HL21" i="18"/>
  <c r="JN21" i="18"/>
  <c r="GA21" i="18"/>
  <c r="NL21" i="18"/>
  <c r="UU21" i="18"/>
  <c r="EK21" i="18"/>
  <c r="LW21" i="18"/>
  <c r="TE21" i="18"/>
  <c r="NM21" i="18"/>
  <c r="CJ21" i="18"/>
  <c r="HQ21" i="18"/>
  <c r="IO21" i="18"/>
  <c r="UV21" i="18"/>
  <c r="JU21" i="18"/>
  <c r="WK21" i="18"/>
  <c r="HS21" i="18"/>
  <c r="IQ21" i="18"/>
  <c r="UC21" i="18"/>
  <c r="RD21" i="18"/>
  <c r="GB21" i="18"/>
  <c r="PZ21" i="18"/>
  <c r="BF21" i="18"/>
  <c r="JM21" i="18"/>
  <c r="CK21" i="18"/>
  <c r="BG21" i="18"/>
  <c r="MO21" i="18"/>
  <c r="RI21" i="18"/>
  <c r="UO21" i="18"/>
  <c r="GS21" i="18"/>
  <c r="TA21" i="18"/>
  <c r="AM21" i="18"/>
  <c r="FJ21" i="18"/>
  <c r="DS21" i="18"/>
  <c r="IU21" i="18"/>
  <c r="NQ21" i="18"/>
  <c r="FW21" i="18"/>
  <c r="MC21" i="18"/>
  <c r="PG21" i="18"/>
  <c r="UD21" i="18"/>
  <c r="SU21" i="18"/>
  <c r="KF21" i="18"/>
  <c r="FD21" i="18"/>
  <c r="GI21" i="18"/>
  <c r="VO21" i="18"/>
  <c r="GM21" i="18"/>
  <c r="LO21" i="18"/>
  <c r="MU21" i="18"/>
  <c r="LI21" i="18"/>
  <c r="TX21" i="18"/>
  <c r="VC21" i="18"/>
  <c r="CP21" i="18"/>
  <c r="OD21" i="18"/>
  <c r="AY21" i="18"/>
  <c r="OI21" i="18"/>
  <c r="HF21" i="18"/>
  <c r="OO21" i="18"/>
  <c r="VZ21" i="18"/>
  <c r="CC21" i="18"/>
  <c r="QY21" i="18"/>
  <c r="EQ21" i="18"/>
  <c r="IJ21" i="18"/>
  <c r="PS21" i="18"/>
  <c r="TK21" i="18"/>
  <c r="EG21" i="18"/>
  <c r="JB21" i="18"/>
  <c r="LE21" i="18"/>
  <c r="UI21" i="18"/>
  <c r="DZ21" i="18"/>
  <c r="TR21" i="18"/>
  <c r="XB22" i="18"/>
  <c r="WD22" i="18"/>
  <c r="VF22" i="18"/>
  <c r="UH22" i="18"/>
  <c r="TJ22" i="18"/>
  <c r="SL22" i="18"/>
  <c r="RN22" i="18"/>
  <c r="QP22" i="18"/>
  <c r="PR22" i="18"/>
  <c r="OT22" i="18"/>
  <c r="NV22" i="18"/>
  <c r="MX22" i="18"/>
  <c r="LZ22" i="18"/>
  <c r="LB22" i="18"/>
  <c r="KD22" i="18"/>
  <c r="JF22" i="18"/>
  <c r="IH22" i="18"/>
  <c r="HJ22" i="18"/>
  <c r="GL22" i="18"/>
  <c r="FN22" i="18"/>
  <c r="EP22" i="18"/>
  <c r="DR22" i="18"/>
  <c r="CT22" i="18"/>
  <c r="BV22" i="18"/>
  <c r="AX22" i="18"/>
  <c r="XH22" i="18"/>
  <c r="WJ22" i="18"/>
  <c r="VL22" i="18"/>
  <c r="UN22" i="18"/>
  <c r="TP22" i="18"/>
  <c r="SR22" i="18"/>
  <c r="RT22" i="18"/>
  <c r="QV22" i="18"/>
  <c r="PX22" i="18"/>
  <c r="OZ22" i="18"/>
  <c r="OB22" i="18"/>
  <c r="ND22" i="18"/>
  <c r="MF22" i="18"/>
  <c r="LH22" i="18"/>
  <c r="KJ22" i="18"/>
  <c r="JL22" i="18"/>
  <c r="IN22" i="18"/>
  <c r="HP22" i="18"/>
  <c r="GR22" i="18"/>
  <c r="FT22" i="18"/>
  <c r="EV22" i="18"/>
  <c r="DX22" i="18"/>
  <c r="CZ22" i="18"/>
  <c r="CB22" i="18"/>
  <c r="BD22" i="18"/>
  <c r="VX22" i="18"/>
  <c r="UB22" i="18"/>
  <c r="SF22" i="18"/>
  <c r="QJ22" i="18"/>
  <c r="ON22" i="18"/>
  <c r="MR22" i="18"/>
  <c r="KV22" i="18"/>
  <c r="IZ22" i="18"/>
  <c r="HD22" i="18"/>
  <c r="FH22" i="18"/>
  <c r="DL22" i="18"/>
  <c r="BP22" i="18"/>
  <c r="VR22" i="18"/>
  <c r="TV22" i="18"/>
  <c r="RZ22" i="18"/>
  <c r="QD22" i="18"/>
  <c r="OH22" i="18"/>
  <c r="ML22" i="18"/>
  <c r="KP22" i="18"/>
  <c r="IT22" i="18"/>
  <c r="GX22" i="18"/>
  <c r="FB22" i="18"/>
  <c r="DF22" i="18"/>
  <c r="BJ22" i="18"/>
  <c r="WV22" i="18"/>
  <c r="UZ22" i="18"/>
  <c r="TD22" i="18"/>
  <c r="RH22" i="18"/>
  <c r="PL22" i="18"/>
  <c r="NP22" i="18"/>
  <c r="LT22" i="18"/>
  <c r="JX22" i="18"/>
  <c r="IB22" i="18"/>
  <c r="GF22" i="18"/>
  <c r="EJ22" i="18"/>
  <c r="CN22" i="18"/>
  <c r="AR22" i="18"/>
  <c r="SX22" i="18"/>
  <c r="LN22" i="18"/>
  <c r="ED22" i="18"/>
  <c r="RB22" i="18"/>
  <c r="UT22" i="18"/>
  <c r="NJ22" i="18"/>
  <c r="FZ22" i="18"/>
  <c r="WP22" i="18"/>
  <c r="PF22" i="18"/>
  <c r="HV22" i="18"/>
  <c r="AL22" i="18"/>
  <c r="JR22" i="18"/>
  <c r="CH22" i="18"/>
  <c r="SA21" i="18"/>
  <c r="KS21" i="18"/>
  <c r="DG21" i="18"/>
  <c r="TG21" i="18"/>
  <c r="PN21" i="18"/>
  <c r="LU21" i="18"/>
  <c r="EM21" i="18"/>
  <c r="AT21" i="18"/>
  <c r="QW21" i="18"/>
  <c r="CE21" i="18"/>
  <c r="QR21" i="18"/>
  <c r="JG21" i="18"/>
  <c r="PT21" i="18"/>
  <c r="NK21" i="18"/>
  <c r="VY21" i="18"/>
  <c r="HE21" i="18"/>
  <c r="TL21" i="18"/>
  <c r="QG21" i="18"/>
  <c r="MN21" i="18"/>
  <c r="IV21" i="18"/>
  <c r="BM21" i="18"/>
  <c r="VB21" i="18"/>
  <c r="RJ21" i="18"/>
  <c r="KA21" i="18"/>
  <c r="GG21" i="18"/>
  <c r="CO21" i="18"/>
  <c r="NG21" i="18"/>
  <c r="FV21" i="18"/>
  <c r="UJ21" i="18"/>
  <c r="FQ21" i="18"/>
  <c r="VN21" i="18"/>
  <c r="OC21" i="18"/>
  <c r="RQ21" i="18"/>
  <c r="MA21" i="18"/>
  <c r="GN21" i="18"/>
  <c r="WS21" i="18"/>
  <c r="SZ21" i="18"/>
  <c r="PH21" i="18"/>
  <c r="HY21" i="18"/>
  <c r="EF21" i="18"/>
  <c r="AN21" i="18"/>
  <c r="QM21" i="18"/>
  <c r="MS21" i="18"/>
  <c r="JA21" i="18"/>
  <c r="BS21" i="18"/>
  <c r="SS21" i="18"/>
  <c r="LJ21" i="18"/>
  <c r="SO21" i="18"/>
  <c r="LC21" i="18"/>
  <c r="DT21" i="18"/>
  <c r="MI21" i="18"/>
  <c r="EW21" i="18"/>
  <c r="KE21" i="18"/>
  <c r="XE21" i="18"/>
  <c r="MY21" i="18"/>
  <c r="EY21" i="18"/>
  <c r="WN23" i="18"/>
  <c r="VP23" i="18"/>
  <c r="UR23" i="18"/>
  <c r="TT23" i="18"/>
  <c r="SV23" i="18"/>
  <c r="RX23" i="18"/>
  <c r="QZ23" i="18"/>
  <c r="QB23" i="18"/>
  <c r="PD23" i="18"/>
  <c r="OF23" i="18"/>
  <c r="NH23" i="18"/>
  <c r="MJ23" i="18"/>
  <c r="LL23" i="18"/>
  <c r="KN23" i="18"/>
  <c r="JP23" i="18"/>
  <c r="IR23" i="18"/>
  <c r="HT23" i="18"/>
  <c r="GV23" i="18"/>
  <c r="FX23" i="18"/>
  <c r="EZ23" i="18"/>
  <c r="EB23" i="18"/>
  <c r="DD23" i="18"/>
  <c r="CF23" i="18"/>
  <c r="BH23" i="18"/>
  <c r="AJ23" i="18"/>
  <c r="WT23" i="18"/>
  <c r="VV23" i="18"/>
  <c r="UX23" i="18"/>
  <c r="TZ23" i="18"/>
  <c r="TB23" i="18"/>
  <c r="SD23" i="18"/>
  <c r="RF23" i="18"/>
  <c r="QH23" i="18"/>
  <c r="PJ23" i="18"/>
  <c r="OL23" i="18"/>
  <c r="NN23" i="18"/>
  <c r="MP23" i="18"/>
  <c r="LR23" i="18"/>
  <c r="KT23" i="18"/>
  <c r="JV23" i="18"/>
  <c r="IX23" i="18"/>
  <c r="HZ23" i="18"/>
  <c r="HB23" i="18"/>
  <c r="GD23" i="18"/>
  <c r="FF23" i="18"/>
  <c r="EH23" i="18"/>
  <c r="DJ23" i="18"/>
  <c r="CL23" i="18"/>
  <c r="BN23" i="18"/>
  <c r="AP23" i="18"/>
  <c r="WH23" i="18"/>
  <c r="UL23" i="18"/>
  <c r="SP23" i="18"/>
  <c r="QT23" i="18"/>
  <c r="OX23" i="18"/>
  <c r="NB23" i="18"/>
  <c r="LF23" i="18"/>
  <c r="JJ23" i="18"/>
  <c r="HN23" i="18"/>
  <c r="FR23" i="18"/>
  <c r="DV23" i="18"/>
  <c r="BZ23" i="18"/>
  <c r="WB23" i="18"/>
  <c r="UF23" i="18"/>
  <c r="SJ23" i="18"/>
  <c r="QN23" i="18"/>
  <c r="OR23" i="18"/>
  <c r="MV23" i="18"/>
  <c r="KZ23" i="18"/>
  <c r="JD23" i="18"/>
  <c r="HH23" i="18"/>
  <c r="FL23" i="18"/>
  <c r="DP23" i="18"/>
  <c r="BT23" i="18"/>
  <c r="XF23" i="18"/>
  <c r="VJ23" i="18"/>
  <c r="TN23" i="18"/>
  <c r="RR23" i="18"/>
  <c r="PV23" i="18"/>
  <c r="NZ23" i="18"/>
  <c r="MD23" i="18"/>
  <c r="KH23" i="18"/>
  <c r="IL23" i="18"/>
  <c r="GP23" i="18"/>
  <c r="ET23" i="18"/>
  <c r="CX23" i="18"/>
  <c r="BB23" i="18"/>
  <c r="WZ23" i="18"/>
  <c r="VD23" i="18"/>
  <c r="TH23" i="18"/>
  <c r="RL23" i="18"/>
  <c r="PP23" i="18"/>
  <c r="NT23" i="18"/>
  <c r="LX23" i="18"/>
  <c r="IF23" i="18"/>
  <c r="AV23" i="18"/>
  <c r="KB23" i="18"/>
  <c r="CR23" i="18"/>
  <c r="GJ23" i="18"/>
  <c r="EN23" i="18"/>
  <c r="WU22" i="18"/>
  <c r="VW22" i="18"/>
  <c r="UY22" i="18"/>
  <c r="UA22" i="18"/>
  <c r="TC22" i="18"/>
  <c r="TF22" i="18" s="1"/>
  <c r="SE22" i="18"/>
  <c r="RG22" i="18"/>
  <c r="QI22" i="18"/>
  <c r="PK22" i="18"/>
  <c r="OM22" i="18"/>
  <c r="NO22" i="18"/>
  <c r="MQ22" i="18"/>
  <c r="MT22" i="18" s="1"/>
  <c r="LS22" i="18"/>
  <c r="LW22" i="18" s="1"/>
  <c r="KU22" i="18"/>
  <c r="JW22" i="18"/>
  <c r="IY22" i="18"/>
  <c r="IA22" i="18"/>
  <c r="HC22" i="18"/>
  <c r="GE22" i="18"/>
  <c r="FG22" i="18"/>
  <c r="EI22" i="18"/>
  <c r="DK22" i="18"/>
  <c r="CM22" i="18"/>
  <c r="BO22" i="18"/>
  <c r="AQ22" i="18"/>
  <c r="XA22" i="18"/>
  <c r="WC22" i="18"/>
  <c r="VE22" i="18"/>
  <c r="UG22" i="18"/>
  <c r="TI22" i="18"/>
  <c r="SK22" i="18"/>
  <c r="RM22" i="18"/>
  <c r="QO22" i="18"/>
  <c r="PQ22" i="18"/>
  <c r="OS22" i="18"/>
  <c r="NU22" i="18"/>
  <c r="MW22" i="18"/>
  <c r="LY22" i="18"/>
  <c r="LA22" i="18"/>
  <c r="KC22" i="18"/>
  <c r="JE22" i="18"/>
  <c r="IG22" i="18"/>
  <c r="HI22" i="18"/>
  <c r="GK22" i="18"/>
  <c r="FM22" i="18"/>
  <c r="EO22" i="18"/>
  <c r="DQ22" i="18"/>
  <c r="CS22" i="18"/>
  <c r="BU22" i="18"/>
  <c r="AW22" i="18"/>
  <c r="WO22" i="18"/>
  <c r="US22" i="18"/>
  <c r="SW22" i="18"/>
  <c r="RA22" i="18"/>
  <c r="PE22" i="18"/>
  <c r="NI22" i="18"/>
  <c r="LM22" i="18"/>
  <c r="LO22" i="18" s="1"/>
  <c r="JQ22" i="18"/>
  <c r="HU22" i="18"/>
  <c r="FY22" i="18"/>
  <c r="EC22" i="18"/>
  <c r="CG22" i="18"/>
  <c r="AK22" i="18"/>
  <c r="WI22" i="18"/>
  <c r="UM22" i="18"/>
  <c r="UQ22" i="18" s="1"/>
  <c r="SQ22" i="18"/>
  <c r="QU22" i="18"/>
  <c r="OY22" i="18"/>
  <c r="NC22" i="18"/>
  <c r="LG22" i="18"/>
  <c r="JK22" i="18"/>
  <c r="HO22" i="18"/>
  <c r="FS22" i="18"/>
  <c r="FU22" i="18" s="1"/>
  <c r="DW22" i="18"/>
  <c r="CA22" i="18"/>
  <c r="VQ22" i="18"/>
  <c r="TU22" i="18"/>
  <c r="RY22" i="18"/>
  <c r="QC22" i="18"/>
  <c r="OG22" i="18"/>
  <c r="MK22" i="18"/>
  <c r="KO22" i="18"/>
  <c r="IS22" i="18"/>
  <c r="GW22" i="18"/>
  <c r="FA22" i="18"/>
  <c r="DE22" i="18"/>
  <c r="BI22" i="18"/>
  <c r="VK22" i="18"/>
  <c r="VM22" i="18" s="1"/>
  <c r="OA22" i="18"/>
  <c r="GQ22" i="18"/>
  <c r="XG22" i="18"/>
  <c r="PW22" i="18"/>
  <c r="IM22" i="18"/>
  <c r="BC22" i="18"/>
  <c r="BF22" i="18" s="1"/>
  <c r="RS22" i="18"/>
  <c r="KI22" i="18"/>
  <c r="KL22" i="18" s="1"/>
  <c r="CY22" i="18"/>
  <c r="TO22" i="18"/>
  <c r="ME22" i="18"/>
  <c r="EU22" i="18"/>
  <c r="OK21" i="18"/>
  <c r="KR21" i="18"/>
  <c r="WY21" i="18"/>
  <c r="TF21" i="18"/>
  <c r="IE21" i="18"/>
  <c r="EL21" i="18"/>
  <c r="JO21" i="18"/>
  <c r="CD21" i="18"/>
  <c r="BY21" i="18"/>
  <c r="UW21" i="18"/>
  <c r="GC21" i="18"/>
  <c r="OQ21" i="18"/>
  <c r="WM21" i="18"/>
  <c r="IK21" i="18"/>
  <c r="TY21" i="18"/>
  <c r="QF21" i="18"/>
  <c r="FE21" i="18"/>
  <c r="BL21" i="18"/>
  <c r="NS21" i="18"/>
  <c r="JY21" i="18"/>
  <c r="UQ21" i="18"/>
  <c r="NF21" i="18"/>
  <c r="NA21" i="18"/>
  <c r="FO21" i="18"/>
  <c r="GU21" i="18"/>
  <c r="RO21" i="18"/>
  <c r="BA21" i="18"/>
  <c r="WR21" i="18"/>
  <c r="LQ21" i="18"/>
  <c r="HX21" i="18"/>
  <c r="UE21" i="18"/>
  <c r="QL21" i="18"/>
  <c r="FK21" i="18"/>
  <c r="BR21" i="18"/>
  <c r="EA21" i="18"/>
  <c r="SM21" i="18"/>
  <c r="TS21" i="18"/>
  <c r="MG21" i="18"/>
  <c r="ES21" i="18"/>
  <c r="XD21" i="18"/>
  <c r="Q20" i="18"/>
  <c r="P20" i="18"/>
  <c r="S19" i="18" s="1"/>
  <c r="R20" i="18"/>
  <c r="B43" i="1"/>
  <c r="B43" i="9"/>
  <c r="B43" i="7"/>
  <c r="AD40" i="5"/>
  <c r="AE40" i="5" s="1"/>
  <c r="AI40" i="5" s="1"/>
  <c r="B42" i="5"/>
  <c r="R40" i="5"/>
  <c r="AG40" i="5" s="1"/>
  <c r="K40" i="5"/>
  <c r="B45" i="5"/>
  <c r="R43" i="5"/>
  <c r="AG43" i="5" s="1"/>
  <c r="K43" i="5"/>
  <c r="AE43" i="5"/>
  <c r="B24" i="18"/>
  <c r="O23" i="18"/>
  <c r="N23" i="18"/>
  <c r="S18" i="18"/>
  <c r="U18" i="18" s="1"/>
  <c r="R84" i="14"/>
  <c r="S85" i="14"/>
  <c r="U85" i="14"/>
  <c r="T85" i="14"/>
  <c r="Q84" i="14"/>
  <c r="B88" i="14"/>
  <c r="BQ39" i="1"/>
  <c r="O38" i="1"/>
  <c r="BP39" i="1"/>
  <c r="X39" i="7" s="1"/>
  <c r="O39" i="1"/>
  <c r="B42" i="1"/>
  <c r="N40" i="1"/>
  <c r="B23" i="15"/>
  <c r="B42" i="7"/>
  <c r="B44" i="8"/>
  <c r="B42" i="9"/>
  <c r="B45" i="8"/>
  <c r="Q41" i="5" l="1"/>
  <c r="U41" i="5" s="1"/>
  <c r="R33" i="8"/>
  <c r="TG22" i="18"/>
  <c r="NF22" i="18"/>
  <c r="B49" i="19"/>
  <c r="G49" i="19" s="1"/>
  <c r="F47" i="19"/>
  <c r="I41" i="9"/>
  <c r="I40" i="9"/>
  <c r="F38" i="5"/>
  <c r="TQ22" i="18"/>
  <c r="F40" i="5"/>
  <c r="M39" i="9"/>
  <c r="L40" i="9"/>
  <c r="L41" i="9"/>
  <c r="M38" i="9"/>
  <c r="J41" i="9"/>
  <c r="J40" i="9"/>
  <c r="H42" i="9"/>
  <c r="K42" i="9" s="1"/>
  <c r="H43" i="9"/>
  <c r="K43" i="9" s="1"/>
  <c r="WR22" i="18"/>
  <c r="F43" i="5"/>
  <c r="UC22" i="18"/>
  <c r="F44" i="8"/>
  <c r="G44" i="8"/>
  <c r="F45" i="8"/>
  <c r="G45" i="8"/>
  <c r="I42" i="7"/>
  <c r="J42" i="7"/>
  <c r="I43" i="7"/>
  <c r="J43" i="7"/>
  <c r="D23" i="15"/>
  <c r="E23" i="15"/>
  <c r="UV22" i="18"/>
  <c r="E24" i="18"/>
  <c r="G24" i="18" s="1"/>
  <c r="D24" i="18"/>
  <c r="F24" i="18" s="1"/>
  <c r="I45" i="5"/>
  <c r="J45" i="5" s="1"/>
  <c r="I42" i="5"/>
  <c r="J42" i="5" s="1"/>
  <c r="FJ22" i="18"/>
  <c r="H42" i="1"/>
  <c r="I42" i="1" s="1"/>
  <c r="H43" i="1"/>
  <c r="I43" i="1" s="1"/>
  <c r="EK22" i="18"/>
  <c r="TR22" i="18"/>
  <c r="T23" i="15"/>
  <c r="EX22" i="18"/>
  <c r="QA22" i="18"/>
  <c r="GA22" i="18"/>
  <c r="BQ22" i="18"/>
  <c r="JA22" i="18"/>
  <c r="QM22" i="18"/>
  <c r="MI22" i="18"/>
  <c r="XJ22" i="18"/>
  <c r="BL22" i="18"/>
  <c r="IV22" i="18"/>
  <c r="QF22" i="18"/>
  <c r="AO22" i="18"/>
  <c r="DS22" i="18"/>
  <c r="HK22" i="18"/>
  <c r="LE22" i="18"/>
  <c r="OU22" i="18"/>
  <c r="SO22" i="18"/>
  <c r="WE22" i="18"/>
  <c r="CP22" i="18"/>
  <c r="JY22" i="18"/>
  <c r="RK22" i="18"/>
  <c r="IO22" i="18"/>
  <c r="EF22" i="18"/>
  <c r="VI22" i="18"/>
  <c r="FK22" i="18"/>
  <c r="UD22" i="18"/>
  <c r="RW22" i="18"/>
  <c r="PI22" i="18"/>
  <c r="VH22" i="18"/>
  <c r="QK22" i="18"/>
  <c r="GU22" i="18"/>
  <c r="CK22" i="18"/>
  <c r="JC22" i="18"/>
  <c r="DC22" i="18"/>
  <c r="OC22" i="18"/>
  <c r="FC22" i="18"/>
  <c r="MN22" i="18"/>
  <c r="TY22" i="18"/>
  <c r="SZ22" i="18"/>
  <c r="BW22" i="18"/>
  <c r="FP22" i="18"/>
  <c r="JG22" i="18"/>
  <c r="NA22" i="18"/>
  <c r="QS22" i="18"/>
  <c r="UI22" i="18"/>
  <c r="PG22" i="18"/>
  <c r="OK22" i="18"/>
  <c r="PA22" i="18"/>
  <c r="WK22" i="18"/>
  <c r="CU22" i="18"/>
  <c r="GM22" i="18"/>
  <c r="KG22" i="18"/>
  <c r="NY22" i="18"/>
  <c r="RO22" i="18"/>
  <c r="VG22" i="18"/>
  <c r="AM22" i="18"/>
  <c r="QL22" i="18"/>
  <c r="BS22" i="18"/>
  <c r="GN22" i="18"/>
  <c r="WG22" i="18"/>
  <c r="SS22" i="18"/>
  <c r="UE22" i="18"/>
  <c r="MS22" i="18"/>
  <c r="WF22" i="18"/>
  <c r="ES22" i="18"/>
  <c r="TK22" i="18"/>
  <c r="WS22" i="18"/>
  <c r="LD22" i="18"/>
  <c r="MU22" i="18"/>
  <c r="JB22" i="18"/>
  <c r="BR22" i="18"/>
  <c r="NW22" i="18"/>
  <c r="HW22" i="18"/>
  <c r="NX22" i="18"/>
  <c r="OJ22" i="18"/>
  <c r="MH22" i="18"/>
  <c r="TS22" i="18"/>
  <c r="WQ22" i="18"/>
  <c r="PH22" i="18"/>
  <c r="AN22" i="18"/>
  <c r="LC22" i="18"/>
  <c r="RU22" i="18"/>
  <c r="DU22" i="18"/>
  <c r="EA22" i="18"/>
  <c r="LJ22" i="18"/>
  <c r="JT22" i="18"/>
  <c r="RE22" i="18"/>
  <c r="HE22" i="18"/>
  <c r="OP22" i="18"/>
  <c r="VY22" i="18"/>
  <c r="RV22" i="18"/>
  <c r="DT22" i="18"/>
  <c r="AS22" i="18"/>
  <c r="ID22" i="18"/>
  <c r="PM22" i="18"/>
  <c r="WW22" i="18"/>
  <c r="MG22" i="18"/>
  <c r="HA22" i="18"/>
  <c r="OI22" i="18"/>
  <c r="VT22" i="18"/>
  <c r="HS22" i="18"/>
  <c r="PB22" i="18"/>
  <c r="HY22" i="18"/>
  <c r="DH22" i="18"/>
  <c r="KQ22" i="18"/>
  <c r="SB22" i="18"/>
  <c r="EQ22" i="18"/>
  <c r="MA22" i="18"/>
  <c r="TL22" i="18"/>
  <c r="ER22" i="18"/>
  <c r="HX22" i="18"/>
  <c r="PN22" i="18"/>
  <c r="MC22" i="18"/>
  <c r="NK22" i="18"/>
  <c r="FI22" i="18"/>
  <c r="GO22" i="18"/>
  <c r="HQ22" i="18"/>
  <c r="IC22" i="18"/>
  <c r="TM22" i="18"/>
  <c r="MB22" i="18"/>
  <c r="CC22" i="18"/>
  <c r="JM22" i="18"/>
  <c r="QX22" i="18"/>
  <c r="SY22" i="18"/>
  <c r="EW22" i="18"/>
  <c r="QQ22" i="18"/>
  <c r="AT22" i="18"/>
  <c r="DI22" i="18"/>
  <c r="KR22" i="18"/>
  <c r="SC22" i="18"/>
  <c r="AZ22" i="18"/>
  <c r="II22" i="18"/>
  <c r="PS22" i="18"/>
  <c r="XE22" i="18"/>
  <c r="DN22" i="18"/>
  <c r="KK22" i="18"/>
  <c r="EE22" i="18"/>
  <c r="WL22" i="18"/>
  <c r="VS22" i="18"/>
  <c r="UP22" i="18"/>
  <c r="GH22" i="18"/>
  <c r="NR22" i="18"/>
  <c r="VC22" i="18"/>
  <c r="PC22" i="18"/>
  <c r="GY22" i="18"/>
  <c r="KM22" i="18"/>
  <c r="KY22" i="18"/>
  <c r="SH22" i="18"/>
  <c r="LP22" i="18"/>
  <c r="EG22" i="18"/>
  <c r="FO22" i="18"/>
  <c r="WY22" i="18"/>
  <c r="PO22" i="18"/>
  <c r="LU22" i="18"/>
  <c r="EL22" i="18"/>
  <c r="DB22" i="18"/>
  <c r="JI22" i="18"/>
  <c r="TA22" i="18"/>
  <c r="WX22" i="18"/>
  <c r="IE22" i="18"/>
  <c r="AU22" i="18"/>
  <c r="LQ22" i="18"/>
  <c r="QR22" i="18"/>
  <c r="FQ22" i="18"/>
  <c r="TE22" i="18"/>
  <c r="LV22" i="18"/>
  <c r="EM22" i="18"/>
  <c r="NE22" i="18"/>
  <c r="EY22" i="18"/>
  <c r="WM22" i="18"/>
  <c r="HR22" i="18"/>
  <c r="VU22" i="18"/>
  <c r="SA22" i="18"/>
  <c r="KS22" i="18"/>
  <c r="GZ22" i="18"/>
  <c r="DG22" i="18"/>
  <c r="DA22" i="18"/>
  <c r="UO22" i="18"/>
  <c r="FW22" i="18"/>
  <c r="JH22" i="18"/>
  <c r="NG22" i="18"/>
  <c r="FV22" i="18"/>
  <c r="TX22" i="18"/>
  <c r="MM22" i="18"/>
  <c r="BM22" i="18"/>
  <c r="RJ22" i="18"/>
  <c r="JZ22" i="18"/>
  <c r="OE22" i="18"/>
  <c r="XC22" i="18"/>
  <c r="IJ22" i="18"/>
  <c r="CE22" i="18"/>
  <c r="MY22" i="18"/>
  <c r="UW22" i="18"/>
  <c r="RD22" i="18"/>
  <c r="NL22" i="18"/>
  <c r="GC22" i="18"/>
  <c r="CJ22" i="18"/>
  <c r="VZ22" i="18"/>
  <c r="OQ22" i="18"/>
  <c r="KW22" i="18"/>
  <c r="HF22" i="18"/>
  <c r="XK22" i="18"/>
  <c r="PY22" i="18"/>
  <c r="IP22" i="18"/>
  <c r="RQ22" i="18"/>
  <c r="KF22" i="18"/>
  <c r="CV22" i="18"/>
  <c r="LK22" i="18"/>
  <c r="DY22" i="18"/>
  <c r="BX22" i="18"/>
  <c r="OW22" i="18"/>
  <c r="FE22" i="18"/>
  <c r="VB22" i="18"/>
  <c r="NQ22" i="18"/>
  <c r="VO22" i="18"/>
  <c r="GS22" i="18"/>
  <c r="PT22" i="18"/>
  <c r="JO22" i="18"/>
  <c r="SN22" i="18"/>
  <c r="HL22" i="18"/>
  <c r="TW22" i="18"/>
  <c r="IW22" i="18"/>
  <c r="BK22" i="18"/>
  <c r="RI22" i="18"/>
  <c r="CQ22" i="18"/>
  <c r="OD22" i="18"/>
  <c r="XD22" i="18"/>
  <c r="QY22" i="18"/>
  <c r="CD22" i="18"/>
  <c r="MZ22" i="18"/>
  <c r="UU22" i="18"/>
  <c r="RC22" i="18"/>
  <c r="JU22" i="18"/>
  <c r="GB22" i="18"/>
  <c r="CI22" i="18"/>
  <c r="SI22" i="18"/>
  <c r="OO22" i="18"/>
  <c r="KX22" i="18"/>
  <c r="DO22" i="18"/>
  <c r="XI22" i="18"/>
  <c r="PZ22" i="18"/>
  <c r="BG22" i="18"/>
  <c r="RP22" i="18"/>
  <c r="KE22" i="18"/>
  <c r="SU22" i="18"/>
  <c r="LI22" i="18"/>
  <c r="DZ22" i="18"/>
  <c r="UK22" i="18"/>
  <c r="OV22" i="18"/>
  <c r="QG22" i="18"/>
  <c r="FD22" i="18"/>
  <c r="VA22" i="18"/>
  <c r="GI22" i="18"/>
  <c r="VN22" i="18"/>
  <c r="GT22" i="18"/>
  <c r="BA22" i="18"/>
  <c r="JN22" i="18"/>
  <c r="SM22" i="18"/>
  <c r="MO22" i="18"/>
  <c r="IU22" i="18"/>
  <c r="KA22" i="18"/>
  <c r="CO22" i="18"/>
  <c r="IK22" i="18"/>
  <c r="QW22" i="18"/>
  <c r="NM22" i="18"/>
  <c r="JS22" i="18"/>
  <c r="WA22" i="18"/>
  <c r="SG22" i="18"/>
  <c r="HG22" i="18"/>
  <c r="DM22" i="18"/>
  <c r="IQ22" i="18"/>
  <c r="BE22" i="18"/>
  <c r="CW22" i="18"/>
  <c r="ST22" i="18"/>
  <c r="BY22" i="18"/>
  <c r="UJ22" i="18"/>
  <c r="QE22" i="18"/>
  <c r="NS22" i="18"/>
  <c r="GG22" i="18"/>
  <c r="PU22" i="18"/>
  <c r="AY22" i="18"/>
  <c r="HM22" i="18"/>
  <c r="WU23" i="18"/>
  <c r="VW23" i="18"/>
  <c r="UY23" i="18"/>
  <c r="UA23" i="18"/>
  <c r="TC23" i="18"/>
  <c r="SE23" i="18"/>
  <c r="RG23" i="18"/>
  <c r="QI23" i="18"/>
  <c r="PK23" i="18"/>
  <c r="OM23" i="18"/>
  <c r="NO23" i="18"/>
  <c r="MQ23" i="18"/>
  <c r="LS23" i="18"/>
  <c r="KU23" i="18"/>
  <c r="JW23" i="18"/>
  <c r="IY23" i="18"/>
  <c r="IA23" i="18"/>
  <c r="HC23" i="18"/>
  <c r="GE23" i="18"/>
  <c r="FG23" i="18"/>
  <c r="EI23" i="18"/>
  <c r="DK23" i="18"/>
  <c r="CM23" i="18"/>
  <c r="BO23" i="18"/>
  <c r="AQ23" i="18"/>
  <c r="XA23" i="18"/>
  <c r="WC23" i="18"/>
  <c r="VE23" i="18"/>
  <c r="UG23" i="18"/>
  <c r="TI23" i="18"/>
  <c r="SK23" i="18"/>
  <c r="RM23" i="18"/>
  <c r="QO23" i="18"/>
  <c r="PQ23" i="18"/>
  <c r="OS23" i="18"/>
  <c r="NU23" i="18"/>
  <c r="MW23" i="18"/>
  <c r="LY23" i="18"/>
  <c r="LA23" i="18"/>
  <c r="KC23" i="18"/>
  <c r="JE23" i="18"/>
  <c r="IG23" i="18"/>
  <c r="HI23" i="18"/>
  <c r="GK23" i="18"/>
  <c r="FM23" i="18"/>
  <c r="EO23" i="18"/>
  <c r="DQ23" i="18"/>
  <c r="CS23" i="18"/>
  <c r="BU23" i="18"/>
  <c r="AW23" i="18"/>
  <c r="VQ23" i="18"/>
  <c r="TU23" i="18"/>
  <c r="RY23" i="18"/>
  <c r="QC23" i="18"/>
  <c r="OG23" i="18"/>
  <c r="MK23" i="18"/>
  <c r="KO23" i="18"/>
  <c r="IS23" i="18"/>
  <c r="GW23" i="18"/>
  <c r="FA23" i="18"/>
  <c r="DE23" i="18"/>
  <c r="BI23" i="18"/>
  <c r="XG23" i="18"/>
  <c r="VK23" i="18"/>
  <c r="TO23" i="18"/>
  <c r="RS23" i="18"/>
  <c r="PW23" i="18"/>
  <c r="OA23" i="18"/>
  <c r="ME23" i="18"/>
  <c r="KI23" i="18"/>
  <c r="IM23" i="18"/>
  <c r="GQ23" i="18"/>
  <c r="EU23" i="18"/>
  <c r="CY23" i="18"/>
  <c r="BC23" i="18"/>
  <c r="WO23" i="18"/>
  <c r="US23" i="18"/>
  <c r="SW23" i="18"/>
  <c r="RA23" i="18"/>
  <c r="PE23" i="18"/>
  <c r="NI23" i="18"/>
  <c r="LM23" i="18"/>
  <c r="JQ23" i="18"/>
  <c r="HU23" i="18"/>
  <c r="FY23" i="18"/>
  <c r="EC23" i="18"/>
  <c r="CG23" i="18"/>
  <c r="AK23" i="18"/>
  <c r="WI23" i="18"/>
  <c r="UM23" i="18"/>
  <c r="SQ23" i="18"/>
  <c r="QU23" i="18"/>
  <c r="OY23" i="18"/>
  <c r="NC23" i="18"/>
  <c r="LG23" i="18"/>
  <c r="FS23" i="18"/>
  <c r="HO23" i="18"/>
  <c r="JK23" i="18"/>
  <c r="CA23" i="18"/>
  <c r="DW23" i="18"/>
  <c r="WN24" i="18"/>
  <c r="VP24" i="18"/>
  <c r="UR24" i="18"/>
  <c r="TT24" i="18"/>
  <c r="SV24" i="18"/>
  <c r="RX24" i="18"/>
  <c r="QZ24" i="18"/>
  <c r="QB24" i="18"/>
  <c r="PD24" i="18"/>
  <c r="OF24" i="18"/>
  <c r="NH24" i="18"/>
  <c r="MJ24" i="18"/>
  <c r="LL24" i="18"/>
  <c r="KN24" i="18"/>
  <c r="JP24" i="18"/>
  <c r="IR24" i="18"/>
  <c r="HT24" i="18"/>
  <c r="GV24" i="18"/>
  <c r="FX24" i="18"/>
  <c r="EZ24" i="18"/>
  <c r="EB24" i="18"/>
  <c r="DD24" i="18"/>
  <c r="CF24" i="18"/>
  <c r="BH24" i="18"/>
  <c r="AJ24" i="18"/>
  <c r="WT24" i="18"/>
  <c r="VV24" i="18"/>
  <c r="UX24" i="18"/>
  <c r="TZ24" i="18"/>
  <c r="TB24" i="18"/>
  <c r="SD24" i="18"/>
  <c r="RF24" i="18"/>
  <c r="QH24" i="18"/>
  <c r="PJ24" i="18"/>
  <c r="OL24" i="18"/>
  <c r="NN24" i="18"/>
  <c r="MP24" i="18"/>
  <c r="LR24" i="18"/>
  <c r="KT24" i="18"/>
  <c r="JV24" i="18"/>
  <c r="IX24" i="18"/>
  <c r="HZ24" i="18"/>
  <c r="HB24" i="18"/>
  <c r="GD24" i="18"/>
  <c r="FF24" i="18"/>
  <c r="EH24" i="18"/>
  <c r="DJ24" i="18"/>
  <c r="CL24" i="18"/>
  <c r="BN24" i="18"/>
  <c r="AP24" i="18"/>
  <c r="XF24" i="18"/>
  <c r="VJ24" i="18"/>
  <c r="TN24" i="18"/>
  <c r="RR24" i="18"/>
  <c r="PV24" i="18"/>
  <c r="NZ24" i="18"/>
  <c r="MD24" i="18"/>
  <c r="KH24" i="18"/>
  <c r="IL24" i="18"/>
  <c r="GP24" i="18"/>
  <c r="ET24" i="18"/>
  <c r="CX24" i="18"/>
  <c r="BB24" i="18"/>
  <c r="WZ24" i="18"/>
  <c r="VD24" i="18"/>
  <c r="TH24" i="18"/>
  <c r="RL24" i="18"/>
  <c r="PP24" i="18"/>
  <c r="NT24" i="18"/>
  <c r="LX24" i="18"/>
  <c r="KB24" i="18"/>
  <c r="IF24" i="18"/>
  <c r="GJ24" i="18"/>
  <c r="EN24" i="18"/>
  <c r="CR24" i="18"/>
  <c r="AV24" i="18"/>
  <c r="WH24" i="18"/>
  <c r="UL24" i="18"/>
  <c r="SP24" i="18"/>
  <c r="QT24" i="18"/>
  <c r="OX24" i="18"/>
  <c r="NB24" i="18"/>
  <c r="LF24" i="18"/>
  <c r="JJ24" i="18"/>
  <c r="HN24" i="18"/>
  <c r="FR24" i="18"/>
  <c r="DV24" i="18"/>
  <c r="BZ24" i="18"/>
  <c r="WB24" i="18"/>
  <c r="UF24" i="18"/>
  <c r="SJ24" i="18"/>
  <c r="QN24" i="18"/>
  <c r="OR24" i="18"/>
  <c r="MV24" i="18"/>
  <c r="KZ24" i="18"/>
  <c r="JD24" i="18"/>
  <c r="HH24" i="18"/>
  <c r="FL24" i="18"/>
  <c r="DP24" i="18"/>
  <c r="BT24" i="18"/>
  <c r="XB23" i="18"/>
  <c r="WD23" i="18"/>
  <c r="VF23" i="18"/>
  <c r="UH23" i="18"/>
  <c r="TJ23" i="18"/>
  <c r="SL23" i="18"/>
  <c r="RN23" i="18"/>
  <c r="QP23" i="18"/>
  <c r="PR23" i="18"/>
  <c r="OT23" i="18"/>
  <c r="NV23" i="18"/>
  <c r="MX23" i="18"/>
  <c r="LZ23" i="18"/>
  <c r="LB23" i="18"/>
  <c r="KD23" i="18"/>
  <c r="JF23" i="18"/>
  <c r="IH23" i="18"/>
  <c r="HJ23" i="18"/>
  <c r="GL23" i="18"/>
  <c r="FN23" i="18"/>
  <c r="EP23" i="18"/>
  <c r="DR23" i="18"/>
  <c r="CT23" i="18"/>
  <c r="BV23" i="18"/>
  <c r="AX23" i="18"/>
  <c r="XH23" i="18"/>
  <c r="WJ23" i="18"/>
  <c r="VL23" i="18"/>
  <c r="UN23" i="18"/>
  <c r="TP23" i="18"/>
  <c r="SR23" i="18"/>
  <c r="RT23" i="18"/>
  <c r="QV23" i="18"/>
  <c r="PX23" i="18"/>
  <c r="OZ23" i="18"/>
  <c r="OB23" i="18"/>
  <c r="OD23" i="18" s="1"/>
  <c r="ND23" i="18"/>
  <c r="MF23" i="18"/>
  <c r="LH23" i="18"/>
  <c r="KJ23" i="18"/>
  <c r="JL23" i="18"/>
  <c r="IN23" i="18"/>
  <c r="HP23" i="18"/>
  <c r="GR23" i="18"/>
  <c r="FT23" i="18"/>
  <c r="EV23" i="18"/>
  <c r="DX23" i="18"/>
  <c r="CZ23" i="18"/>
  <c r="CB23" i="18"/>
  <c r="BD23" i="18"/>
  <c r="WV23" i="18"/>
  <c r="UZ23" i="18"/>
  <c r="TD23" i="18"/>
  <c r="RH23" i="18"/>
  <c r="PL23" i="18"/>
  <c r="NP23" i="18"/>
  <c r="LT23" i="18"/>
  <c r="LV23" i="18" s="1"/>
  <c r="JX23" i="18"/>
  <c r="IB23" i="18"/>
  <c r="GF23" i="18"/>
  <c r="EJ23" i="18"/>
  <c r="EM23" i="18" s="1"/>
  <c r="CN23" i="18"/>
  <c r="AR23" i="18"/>
  <c r="WP23" i="18"/>
  <c r="UT23" i="18"/>
  <c r="SX23" i="18"/>
  <c r="RB23" i="18"/>
  <c r="PF23" i="18"/>
  <c r="NJ23" i="18"/>
  <c r="LN23" i="18"/>
  <c r="JR23" i="18"/>
  <c r="HV23" i="18"/>
  <c r="FZ23" i="18"/>
  <c r="GC23" i="18" s="1"/>
  <c r="ED23" i="18"/>
  <c r="CH23" i="18"/>
  <c r="AL23" i="18"/>
  <c r="AO23" i="18" s="1"/>
  <c r="VX23" i="18"/>
  <c r="UB23" i="18"/>
  <c r="SF23" i="18"/>
  <c r="QJ23" i="18"/>
  <c r="ON23" i="18"/>
  <c r="MR23" i="18"/>
  <c r="KV23" i="18"/>
  <c r="IZ23" i="18"/>
  <c r="HD23" i="18"/>
  <c r="FH23" i="18"/>
  <c r="DL23" i="18"/>
  <c r="BP23" i="18"/>
  <c r="VR23" i="18"/>
  <c r="TV23" i="18"/>
  <c r="RZ23" i="18"/>
  <c r="QD23" i="18"/>
  <c r="OH23" i="18"/>
  <c r="ML23" i="18"/>
  <c r="KP23" i="18"/>
  <c r="DF23" i="18"/>
  <c r="FB23" i="18"/>
  <c r="GX23" i="18"/>
  <c r="IT23" i="18"/>
  <c r="BJ23" i="18"/>
  <c r="T19" i="18"/>
  <c r="U19" i="18" s="1"/>
  <c r="P21" i="18"/>
  <c r="S20" i="18" s="1"/>
  <c r="R21" i="18"/>
  <c r="Q21" i="18"/>
  <c r="B45" i="9"/>
  <c r="B45" i="7"/>
  <c r="B45" i="1"/>
  <c r="AD42" i="5"/>
  <c r="AE42" i="5" s="1"/>
  <c r="AI42" i="5" s="1"/>
  <c r="AJ40" i="5"/>
  <c r="AL40" i="5" s="1"/>
  <c r="B47" i="5"/>
  <c r="R45" i="5"/>
  <c r="AG45" i="5" s="1"/>
  <c r="AE45" i="5"/>
  <c r="K45" i="5"/>
  <c r="B44" i="5"/>
  <c r="R42" i="5"/>
  <c r="AG42" i="5" s="1"/>
  <c r="K42" i="5"/>
  <c r="O24" i="18"/>
  <c r="B25" i="18"/>
  <c r="N24" i="18"/>
  <c r="B89" i="14"/>
  <c r="U86" i="14"/>
  <c r="S86" i="14"/>
  <c r="T86" i="14"/>
  <c r="Q85" i="14"/>
  <c r="R85" i="14"/>
  <c r="BQ41" i="1"/>
  <c r="BP41" i="1"/>
  <c r="X41" i="7" s="1"/>
  <c r="O40" i="1"/>
  <c r="O41" i="1"/>
  <c r="B44" i="1"/>
  <c r="N42" i="1"/>
  <c r="B47" i="8"/>
  <c r="B24" i="15"/>
  <c r="B44" i="9"/>
  <c r="B46" i="8"/>
  <c r="B44" i="7"/>
  <c r="Q40" i="5" l="1"/>
  <c r="U40" i="5" s="1"/>
  <c r="Q38" i="5"/>
  <c r="U38" i="5" s="1"/>
  <c r="Q43" i="5"/>
  <c r="U43" i="5" s="1"/>
  <c r="R35" i="8"/>
  <c r="JC23" i="18"/>
  <c r="UW23" i="18"/>
  <c r="B51" i="19"/>
  <c r="G51" i="19" s="1"/>
  <c r="F49" i="19"/>
  <c r="HX23" i="18"/>
  <c r="NL23" i="18"/>
  <c r="I43" i="9"/>
  <c r="I42" i="9"/>
  <c r="BR23" i="18"/>
  <c r="TG23" i="18"/>
  <c r="L43" i="9"/>
  <c r="L42" i="9"/>
  <c r="M40" i="9"/>
  <c r="M41" i="9"/>
  <c r="J43" i="9"/>
  <c r="J42" i="9"/>
  <c r="H44" i="9"/>
  <c r="K44" i="9" s="1"/>
  <c r="H45" i="9"/>
  <c r="K45" i="9" s="1"/>
  <c r="VM23" i="18"/>
  <c r="F45" i="5"/>
  <c r="F47" i="8"/>
  <c r="G47" i="8"/>
  <c r="F46" i="8"/>
  <c r="G46" i="8"/>
  <c r="I44" i="7"/>
  <c r="J44" i="7"/>
  <c r="I45" i="7"/>
  <c r="J45" i="7"/>
  <c r="E24" i="15"/>
  <c r="D24" i="15"/>
  <c r="D25" i="18"/>
  <c r="F25" i="18" s="1"/>
  <c r="E25" i="18"/>
  <c r="G25" i="18" s="1"/>
  <c r="I47" i="5"/>
  <c r="J47" i="5" s="1"/>
  <c r="I44" i="5"/>
  <c r="J44" i="5" s="1"/>
  <c r="H45" i="1"/>
  <c r="I45" i="1" s="1"/>
  <c r="H44" i="1"/>
  <c r="I44" i="1" s="1"/>
  <c r="GS23" i="18"/>
  <c r="WR23" i="18"/>
  <c r="QL23" i="18"/>
  <c r="PI23" i="18"/>
  <c r="FI23" i="18"/>
  <c r="T24" i="15"/>
  <c r="UC23" i="18"/>
  <c r="MN23" i="18"/>
  <c r="TY23" i="18"/>
  <c r="FC23" i="18"/>
  <c r="QE23" i="18"/>
  <c r="IV23" i="18"/>
  <c r="DN23" i="18"/>
  <c r="KY23" i="18"/>
  <c r="SH23" i="18"/>
  <c r="MZ23" i="18"/>
  <c r="UI23" i="18"/>
  <c r="VO23" i="18"/>
  <c r="FW23" i="18"/>
  <c r="VN23" i="18"/>
  <c r="GU23" i="18"/>
  <c r="QX23" i="18"/>
  <c r="JY23" i="18"/>
  <c r="NS23" i="18"/>
  <c r="EQ23" i="18"/>
  <c r="NF23" i="18"/>
  <c r="UQ23" i="18"/>
  <c r="BA23" i="18"/>
  <c r="ES23" i="18"/>
  <c r="PU23" i="18"/>
  <c r="XD23" i="18"/>
  <c r="FP23" i="18"/>
  <c r="MY23" i="18"/>
  <c r="UK23" i="18"/>
  <c r="BM23" i="18"/>
  <c r="QF23" i="18"/>
  <c r="GH23" i="18"/>
  <c r="VB23" i="18"/>
  <c r="GT23" i="18"/>
  <c r="OC23" i="18"/>
  <c r="TW23" i="18"/>
  <c r="FQ23" i="18"/>
  <c r="QQ23" i="18"/>
  <c r="UJ23" i="18"/>
  <c r="DH23" i="18"/>
  <c r="JH23" i="18"/>
  <c r="BL23" i="18"/>
  <c r="NA23" i="18"/>
  <c r="FO23" i="18"/>
  <c r="OE23" i="18"/>
  <c r="KS23" i="18"/>
  <c r="SB23" i="18"/>
  <c r="AS23" i="18"/>
  <c r="ID23" i="18"/>
  <c r="PM23" i="18"/>
  <c r="WX23" i="18"/>
  <c r="DY23" i="18"/>
  <c r="HR23" i="18"/>
  <c r="PA23" i="18"/>
  <c r="WM23" i="18"/>
  <c r="CU23" i="18"/>
  <c r="GO23" i="18"/>
  <c r="KF23" i="18"/>
  <c r="NW23" i="18"/>
  <c r="RP23" i="18"/>
  <c r="VI23" i="18"/>
  <c r="QG23" i="18"/>
  <c r="XE23" i="18"/>
  <c r="MM23" i="18"/>
  <c r="TX23" i="18"/>
  <c r="MH23" i="18"/>
  <c r="TQ23" i="18"/>
  <c r="BK23" i="18"/>
  <c r="UO23" i="18"/>
  <c r="PS23" i="18"/>
  <c r="FU23" i="18"/>
  <c r="FD23" i="18"/>
  <c r="NE23" i="18"/>
  <c r="FV23" i="18"/>
  <c r="XC23" i="18"/>
  <c r="PT23" i="18"/>
  <c r="HW23" i="18"/>
  <c r="MT23" i="18"/>
  <c r="FE23" i="18"/>
  <c r="EF23" i="18"/>
  <c r="SZ23" i="18"/>
  <c r="DA23" i="18"/>
  <c r="TL23" i="18"/>
  <c r="HE23" i="18"/>
  <c r="VY23" i="18"/>
  <c r="HS23" i="18"/>
  <c r="PB23" i="18"/>
  <c r="WL23" i="18"/>
  <c r="GB23" i="18"/>
  <c r="NM23" i="18"/>
  <c r="UV23" i="18"/>
  <c r="EW23" i="18"/>
  <c r="MI23" i="18"/>
  <c r="TR23" i="18"/>
  <c r="DI23" i="18"/>
  <c r="KR23" i="18"/>
  <c r="SC23" i="18"/>
  <c r="BW23" i="18"/>
  <c r="JI23" i="18"/>
  <c r="QR23" i="18"/>
  <c r="AT23" i="18"/>
  <c r="EL23" i="18"/>
  <c r="IC23" i="18"/>
  <c r="LW23" i="18"/>
  <c r="PN23" i="18"/>
  <c r="TF23" i="18"/>
  <c r="WW23" i="18"/>
  <c r="MG23" i="18"/>
  <c r="DG23" i="18"/>
  <c r="QS23" i="18"/>
  <c r="NK23" i="18"/>
  <c r="DZ23" i="18"/>
  <c r="QY23" i="18"/>
  <c r="AN23" i="18"/>
  <c r="HY23" i="18"/>
  <c r="PH23" i="18"/>
  <c r="WS23" i="18"/>
  <c r="CV23" i="18"/>
  <c r="GN23" i="18"/>
  <c r="KG23" i="18"/>
  <c r="NX23" i="18"/>
  <c r="RQ23" i="18"/>
  <c r="VH23" i="18"/>
  <c r="BS23" i="18"/>
  <c r="FJ23" i="18"/>
  <c r="JB23" i="18"/>
  <c r="MS23" i="18"/>
  <c r="QM23" i="18"/>
  <c r="UD23" i="18"/>
  <c r="WQ23" i="18"/>
  <c r="FK23" i="18"/>
  <c r="EX23" i="18"/>
  <c r="LU23" i="18"/>
  <c r="JG23" i="18"/>
  <c r="CD23" i="18"/>
  <c r="LJ23" i="18"/>
  <c r="SS23" i="18"/>
  <c r="CJ23" i="18"/>
  <c r="JS23" i="18"/>
  <c r="RD23" i="18"/>
  <c r="BF23" i="18"/>
  <c r="IP23" i="18"/>
  <c r="PY23" i="18"/>
  <c r="XK23" i="18"/>
  <c r="GZ23" i="18"/>
  <c r="OI23" i="18"/>
  <c r="VT23" i="18"/>
  <c r="DT23" i="18"/>
  <c r="HL23" i="18"/>
  <c r="LC23" i="18"/>
  <c r="OV23" i="18"/>
  <c r="SO23" i="18"/>
  <c r="WE23" i="18"/>
  <c r="CP23" i="18"/>
  <c r="GG23" i="18"/>
  <c r="KA23" i="18"/>
  <c r="NR23" i="18"/>
  <c r="RJ23" i="18"/>
  <c r="VA23" i="18"/>
  <c r="UE23" i="18"/>
  <c r="BQ23" i="18"/>
  <c r="QW23" i="18"/>
  <c r="BX23" i="18"/>
  <c r="JM23" i="18"/>
  <c r="NG23" i="18"/>
  <c r="UP23" i="18"/>
  <c r="EE23" i="18"/>
  <c r="LP23" i="18"/>
  <c r="SY23" i="18"/>
  <c r="DC23" i="18"/>
  <c r="KL23" i="18"/>
  <c r="RV23" i="18"/>
  <c r="AZ23" i="18"/>
  <c r="ER23" i="18"/>
  <c r="II23" i="18"/>
  <c r="MB23" i="18"/>
  <c r="TK23" i="18"/>
  <c r="DM23" i="18"/>
  <c r="HG23" i="18"/>
  <c r="KX23" i="18"/>
  <c r="OP23" i="18"/>
  <c r="SG23" i="18"/>
  <c r="WA23" i="18"/>
  <c r="LQ23" i="18"/>
  <c r="QK23" i="18"/>
  <c r="TS23" i="18"/>
  <c r="JN23" i="18"/>
  <c r="KM23" i="18"/>
  <c r="IJ23" i="18"/>
  <c r="ST23" i="18"/>
  <c r="EA23" i="18"/>
  <c r="SM23" i="18"/>
  <c r="LD23" i="18"/>
  <c r="NY23" i="18"/>
  <c r="KE23" i="18"/>
  <c r="VU23" i="18"/>
  <c r="SA23" i="18"/>
  <c r="OJ23" i="18"/>
  <c r="HA23" i="18"/>
  <c r="PO23" i="18"/>
  <c r="AU23" i="18"/>
  <c r="CW23" i="18"/>
  <c r="RE23" i="18"/>
  <c r="JT23" i="18"/>
  <c r="CK23" i="18"/>
  <c r="PC23" i="18"/>
  <c r="HQ23" i="18"/>
  <c r="WF23" i="18"/>
  <c r="HM23" i="18"/>
  <c r="XI23" i="18"/>
  <c r="PZ23" i="18"/>
  <c r="BG23" i="18"/>
  <c r="RO23" i="18"/>
  <c r="IW23" i="18"/>
  <c r="RK23" i="18"/>
  <c r="NQ23" i="18"/>
  <c r="JZ23" i="18"/>
  <c r="CQ23" i="18"/>
  <c r="LO23" i="18"/>
  <c r="LK23" i="18"/>
  <c r="SN23" i="18"/>
  <c r="DU23" i="18"/>
  <c r="VS23" i="18"/>
  <c r="GY23" i="18"/>
  <c r="CE23" i="18"/>
  <c r="RW23" i="18"/>
  <c r="KK23" i="18"/>
  <c r="DB23" i="18"/>
  <c r="MC23" i="18"/>
  <c r="RC23" i="18"/>
  <c r="CI23" i="18"/>
  <c r="VZ23" i="18"/>
  <c r="OQ23" i="18"/>
  <c r="KW23" i="18"/>
  <c r="HF23" i="18"/>
  <c r="OW23" i="18"/>
  <c r="HK23" i="18"/>
  <c r="XJ23" i="18"/>
  <c r="IQ23" i="18"/>
  <c r="BE23" i="18"/>
  <c r="WN25" i="18"/>
  <c r="VP25" i="18"/>
  <c r="UR25" i="18"/>
  <c r="TT25" i="18"/>
  <c r="SV25" i="18"/>
  <c r="RX25" i="18"/>
  <c r="QZ25" i="18"/>
  <c r="QB25" i="18"/>
  <c r="PD25" i="18"/>
  <c r="OF25" i="18"/>
  <c r="NH25" i="18"/>
  <c r="MJ25" i="18"/>
  <c r="LL25" i="18"/>
  <c r="KN25" i="18"/>
  <c r="JP25" i="18"/>
  <c r="IR25" i="18"/>
  <c r="HT25" i="18"/>
  <c r="GV25" i="18"/>
  <c r="FX25" i="18"/>
  <c r="EZ25" i="18"/>
  <c r="EB25" i="18"/>
  <c r="DD25" i="18"/>
  <c r="CF25" i="18"/>
  <c r="BH25" i="18"/>
  <c r="AJ25" i="18"/>
  <c r="WT25" i="18"/>
  <c r="VV25" i="18"/>
  <c r="UX25" i="18"/>
  <c r="TZ25" i="18"/>
  <c r="TB25" i="18"/>
  <c r="SD25" i="18"/>
  <c r="RF25" i="18"/>
  <c r="QH25" i="18"/>
  <c r="PJ25" i="18"/>
  <c r="OL25" i="18"/>
  <c r="NN25" i="18"/>
  <c r="MP25" i="18"/>
  <c r="LR25" i="18"/>
  <c r="KT25" i="18"/>
  <c r="JV25" i="18"/>
  <c r="IX25" i="18"/>
  <c r="HZ25" i="18"/>
  <c r="HB25" i="18"/>
  <c r="GD25" i="18"/>
  <c r="FF25" i="18"/>
  <c r="EH25" i="18"/>
  <c r="DJ25" i="18"/>
  <c r="CL25" i="18"/>
  <c r="BN25" i="18"/>
  <c r="AP25" i="18"/>
  <c r="WH25" i="18"/>
  <c r="UL25" i="18"/>
  <c r="SP25" i="18"/>
  <c r="QT25" i="18"/>
  <c r="OX25" i="18"/>
  <c r="NB25" i="18"/>
  <c r="LF25" i="18"/>
  <c r="JJ25" i="18"/>
  <c r="HN25" i="18"/>
  <c r="FR25" i="18"/>
  <c r="DV25" i="18"/>
  <c r="BZ25" i="18"/>
  <c r="WB25" i="18"/>
  <c r="UF25" i="18"/>
  <c r="SJ25" i="18"/>
  <c r="QN25" i="18"/>
  <c r="OR25" i="18"/>
  <c r="MV25" i="18"/>
  <c r="KZ25" i="18"/>
  <c r="JD25" i="18"/>
  <c r="HH25" i="18"/>
  <c r="FL25" i="18"/>
  <c r="DP25" i="18"/>
  <c r="BT25" i="18"/>
  <c r="XF25" i="18"/>
  <c r="VJ25" i="18"/>
  <c r="TN25" i="18"/>
  <c r="RR25" i="18"/>
  <c r="PV25" i="18"/>
  <c r="NZ25" i="18"/>
  <c r="MD25" i="18"/>
  <c r="KH25" i="18"/>
  <c r="IL25" i="18"/>
  <c r="GP25" i="18"/>
  <c r="ET25" i="18"/>
  <c r="CX25" i="18"/>
  <c r="BB25" i="18"/>
  <c r="WZ25" i="18"/>
  <c r="VD25" i="18"/>
  <c r="TH25" i="18"/>
  <c r="RL25" i="18"/>
  <c r="PP25" i="18"/>
  <c r="NT25" i="18"/>
  <c r="LX25" i="18"/>
  <c r="KB25" i="18"/>
  <c r="IF25" i="18"/>
  <c r="GJ25" i="18"/>
  <c r="EN25" i="18"/>
  <c r="CR25" i="18"/>
  <c r="AV25" i="18"/>
  <c r="XB24" i="18"/>
  <c r="WD24" i="18"/>
  <c r="VF24" i="18"/>
  <c r="UH24" i="18"/>
  <c r="TJ24" i="18"/>
  <c r="SL24" i="18"/>
  <c r="RN24" i="18"/>
  <c r="QP24" i="18"/>
  <c r="PR24" i="18"/>
  <c r="OT24" i="18"/>
  <c r="NV24" i="18"/>
  <c r="MX24" i="18"/>
  <c r="LZ24" i="18"/>
  <c r="LB24" i="18"/>
  <c r="KD24" i="18"/>
  <c r="JF24" i="18"/>
  <c r="IH24" i="18"/>
  <c r="HJ24" i="18"/>
  <c r="GL24" i="18"/>
  <c r="FN24" i="18"/>
  <c r="EP24" i="18"/>
  <c r="DR24" i="18"/>
  <c r="CT24" i="18"/>
  <c r="BV24" i="18"/>
  <c r="AX24" i="18"/>
  <c r="XH24" i="18"/>
  <c r="WJ24" i="18"/>
  <c r="VL24" i="18"/>
  <c r="UN24" i="18"/>
  <c r="TP24" i="18"/>
  <c r="SR24" i="18"/>
  <c r="RT24" i="18"/>
  <c r="QV24" i="18"/>
  <c r="PX24" i="18"/>
  <c r="OZ24" i="18"/>
  <c r="OB24" i="18"/>
  <c r="ND24" i="18"/>
  <c r="MF24" i="18"/>
  <c r="LH24" i="18"/>
  <c r="KJ24" i="18"/>
  <c r="JL24" i="18"/>
  <c r="IN24" i="18"/>
  <c r="HP24" i="18"/>
  <c r="GR24" i="18"/>
  <c r="FT24" i="18"/>
  <c r="EV24" i="18"/>
  <c r="DX24" i="18"/>
  <c r="CZ24" i="18"/>
  <c r="CB24" i="18"/>
  <c r="BD24" i="18"/>
  <c r="VX24" i="18"/>
  <c r="UB24" i="18"/>
  <c r="SF24" i="18"/>
  <c r="QJ24" i="18"/>
  <c r="ON24" i="18"/>
  <c r="MR24" i="18"/>
  <c r="KV24" i="18"/>
  <c r="IZ24" i="18"/>
  <c r="HD24" i="18"/>
  <c r="FH24" i="18"/>
  <c r="DL24" i="18"/>
  <c r="BP24" i="18"/>
  <c r="VR24" i="18"/>
  <c r="TV24" i="18"/>
  <c r="RZ24" i="18"/>
  <c r="QD24" i="18"/>
  <c r="OH24" i="18"/>
  <c r="ML24" i="18"/>
  <c r="KP24" i="18"/>
  <c r="IT24" i="18"/>
  <c r="GX24" i="18"/>
  <c r="FB24" i="18"/>
  <c r="DF24" i="18"/>
  <c r="BJ24" i="18"/>
  <c r="WV24" i="18"/>
  <c r="UZ24" i="18"/>
  <c r="TD24" i="18"/>
  <c r="RH24" i="18"/>
  <c r="PL24" i="18"/>
  <c r="NP24" i="18"/>
  <c r="LT24" i="18"/>
  <c r="JX24" i="18"/>
  <c r="IB24" i="18"/>
  <c r="GF24" i="18"/>
  <c r="EJ24" i="18"/>
  <c r="CN24" i="18"/>
  <c r="AR24" i="18"/>
  <c r="WP24" i="18"/>
  <c r="UT24" i="18"/>
  <c r="SX24" i="18"/>
  <c r="RB24" i="18"/>
  <c r="PF24" i="18"/>
  <c r="NJ24" i="18"/>
  <c r="LN24" i="18"/>
  <c r="JR24" i="18"/>
  <c r="HV24" i="18"/>
  <c r="FZ24" i="18"/>
  <c r="ED24" i="18"/>
  <c r="CH24" i="18"/>
  <c r="AL24" i="18"/>
  <c r="MO23" i="18"/>
  <c r="IU23" i="18"/>
  <c r="VC23" i="18"/>
  <c r="RI23" i="18"/>
  <c r="GI23" i="18"/>
  <c r="CO23" i="18"/>
  <c r="AY23" i="18"/>
  <c r="TA23" i="18"/>
  <c r="PG23" i="18"/>
  <c r="EG23" i="18"/>
  <c r="AM23" i="18"/>
  <c r="MU23" i="18"/>
  <c r="JA23" i="18"/>
  <c r="SU23" i="18"/>
  <c r="LI23" i="18"/>
  <c r="LE23" i="18"/>
  <c r="DS23" i="18"/>
  <c r="EY23" i="18"/>
  <c r="VG23" i="18"/>
  <c r="OK23" i="18"/>
  <c r="KQ23" i="18"/>
  <c r="WY23" i="18"/>
  <c r="TE23" i="18"/>
  <c r="IE23" i="18"/>
  <c r="EK23" i="18"/>
  <c r="JO23" i="18"/>
  <c r="CC23" i="18"/>
  <c r="BY23" i="18"/>
  <c r="RU23" i="18"/>
  <c r="TM23" i="18"/>
  <c r="MA23" i="18"/>
  <c r="UU23" i="18"/>
  <c r="JU23" i="18"/>
  <c r="GA23" i="18"/>
  <c r="SI23" i="18"/>
  <c r="OO23" i="18"/>
  <c r="DO23" i="18"/>
  <c r="WK23" i="18"/>
  <c r="WG23" i="18"/>
  <c r="OU23" i="18"/>
  <c r="QA23" i="18"/>
  <c r="IO23" i="18"/>
  <c r="IK23" i="18"/>
  <c r="GM23" i="18"/>
  <c r="WU24" i="18"/>
  <c r="VW24" i="18"/>
  <c r="UY24" i="18"/>
  <c r="UA24" i="18"/>
  <c r="TC24" i="18"/>
  <c r="SE24" i="18"/>
  <c r="RG24" i="18"/>
  <c r="QI24" i="18"/>
  <c r="PK24" i="18"/>
  <c r="OM24" i="18"/>
  <c r="NO24" i="18"/>
  <c r="MQ24" i="18"/>
  <c r="LS24" i="18"/>
  <c r="KU24" i="18"/>
  <c r="JW24" i="18"/>
  <c r="IY24" i="18"/>
  <c r="IA24" i="18"/>
  <c r="HC24" i="18"/>
  <c r="GE24" i="18"/>
  <c r="FG24" i="18"/>
  <c r="EI24" i="18"/>
  <c r="EL24" i="18" s="1"/>
  <c r="DK24" i="18"/>
  <c r="CM24" i="18"/>
  <c r="BO24" i="18"/>
  <c r="AQ24" i="18"/>
  <c r="XA24" i="18"/>
  <c r="WC24" i="18"/>
  <c r="VE24" i="18"/>
  <c r="UG24" i="18"/>
  <c r="TI24" i="18"/>
  <c r="SK24" i="18"/>
  <c r="RM24" i="18"/>
  <c r="QO24" i="18"/>
  <c r="PQ24" i="18"/>
  <c r="OS24" i="18"/>
  <c r="NU24" i="18"/>
  <c r="MW24" i="18"/>
  <c r="LY24" i="18"/>
  <c r="LA24" i="18"/>
  <c r="KC24" i="18"/>
  <c r="JE24" i="18"/>
  <c r="IG24" i="18"/>
  <c r="HI24" i="18"/>
  <c r="GK24" i="18"/>
  <c r="FM24" i="18"/>
  <c r="EO24" i="18"/>
  <c r="DQ24" i="18"/>
  <c r="CS24" i="18"/>
  <c r="BU24" i="18"/>
  <c r="AW24" i="18"/>
  <c r="WO24" i="18"/>
  <c r="US24" i="18"/>
  <c r="SW24" i="18"/>
  <c r="RA24" i="18"/>
  <c r="PE24" i="18"/>
  <c r="NI24" i="18"/>
  <c r="LM24" i="18"/>
  <c r="JQ24" i="18"/>
  <c r="HU24" i="18"/>
  <c r="FY24" i="18"/>
  <c r="EC24" i="18"/>
  <c r="CG24" i="18"/>
  <c r="AK24" i="18"/>
  <c r="WI24" i="18"/>
  <c r="UM24" i="18"/>
  <c r="SQ24" i="18"/>
  <c r="QU24" i="18"/>
  <c r="OY24" i="18"/>
  <c r="NC24" i="18"/>
  <c r="NE24" i="18" s="1"/>
  <c r="LG24" i="18"/>
  <c r="JK24" i="18"/>
  <c r="HO24" i="18"/>
  <c r="FS24" i="18"/>
  <c r="DW24" i="18"/>
  <c r="CA24" i="18"/>
  <c r="VQ24" i="18"/>
  <c r="TU24" i="18"/>
  <c r="RY24" i="18"/>
  <c r="QC24" i="18"/>
  <c r="OG24" i="18"/>
  <c r="MK24" i="18"/>
  <c r="KO24" i="18"/>
  <c r="IS24" i="18"/>
  <c r="GW24" i="18"/>
  <c r="FA24" i="18"/>
  <c r="DE24" i="18"/>
  <c r="BI24" i="18"/>
  <c r="XG24" i="18"/>
  <c r="VK24" i="18"/>
  <c r="TO24" i="18"/>
  <c r="RS24" i="18"/>
  <c r="PW24" i="18"/>
  <c r="OA24" i="18"/>
  <c r="ME24" i="18"/>
  <c r="KI24" i="18"/>
  <c r="IM24" i="18"/>
  <c r="GQ24" i="18"/>
  <c r="EU24" i="18"/>
  <c r="CY24" i="18"/>
  <c r="BC24" i="18"/>
  <c r="T20" i="18"/>
  <c r="U20" i="18" s="1"/>
  <c r="Q22" i="18"/>
  <c r="P22" i="18"/>
  <c r="S21" i="18" s="1"/>
  <c r="R22" i="18"/>
  <c r="B47" i="7"/>
  <c r="B47" i="9"/>
  <c r="B47" i="1"/>
  <c r="AD44" i="5"/>
  <c r="AE44" i="5" s="1"/>
  <c r="AI44" i="5" s="1"/>
  <c r="B49" i="5"/>
  <c r="R47" i="5"/>
  <c r="AG47" i="5" s="1"/>
  <c r="AE47" i="5"/>
  <c r="K47" i="5"/>
  <c r="B46" i="5"/>
  <c r="R44" i="5"/>
  <c r="AG44" i="5" s="1"/>
  <c r="K44" i="5"/>
  <c r="F42" i="5"/>
  <c r="AJ42" i="5"/>
  <c r="B26" i="18"/>
  <c r="O25" i="18"/>
  <c r="N25" i="18"/>
  <c r="R86" i="14"/>
  <c r="U87" i="14"/>
  <c r="T87" i="14"/>
  <c r="S87" i="14"/>
  <c r="Q86" i="14"/>
  <c r="B90" i="14"/>
  <c r="B46" i="7"/>
  <c r="B46" i="1"/>
  <c r="N44" i="1"/>
  <c r="B48" i="8"/>
  <c r="B49" i="8"/>
  <c r="B46" i="9"/>
  <c r="B25" i="15"/>
  <c r="BQ43" i="1"/>
  <c r="O43" i="1"/>
  <c r="O42" i="1"/>
  <c r="BP43" i="1"/>
  <c r="X43" i="7" s="1"/>
  <c r="Q45" i="5" l="1"/>
  <c r="U45" i="5" s="1"/>
  <c r="Q42" i="5"/>
  <c r="U42" i="5" s="1"/>
  <c r="R37" i="8"/>
  <c r="EX24" i="18"/>
  <c r="R46" i="5"/>
  <c r="AG46" i="5" s="1"/>
  <c r="FU24" i="18"/>
  <c r="B53" i="19"/>
  <c r="G53" i="19" s="1"/>
  <c r="F51" i="19"/>
  <c r="UP24" i="18"/>
  <c r="I45" i="9"/>
  <c r="I44" i="9"/>
  <c r="LU24" i="18"/>
  <c r="L45" i="9"/>
  <c r="L44" i="9"/>
  <c r="M42" i="9"/>
  <c r="M43" i="9"/>
  <c r="J45" i="9"/>
  <c r="M45" i="9" s="1"/>
  <c r="J44" i="9"/>
  <c r="H47" i="9"/>
  <c r="K47" i="9" s="1"/>
  <c r="H46" i="9"/>
  <c r="K46" i="9" s="1"/>
  <c r="TQ24" i="18"/>
  <c r="UD24" i="18"/>
  <c r="F49" i="8"/>
  <c r="G49" i="8"/>
  <c r="F48" i="8"/>
  <c r="G48" i="8"/>
  <c r="J46" i="7"/>
  <c r="I46" i="7"/>
  <c r="J47" i="7"/>
  <c r="I47" i="7"/>
  <c r="D25" i="15"/>
  <c r="E25" i="15"/>
  <c r="D26" i="18"/>
  <c r="F26" i="18" s="1"/>
  <c r="E26" i="18"/>
  <c r="G26" i="18" s="1"/>
  <c r="I46" i="5"/>
  <c r="J46" i="5" s="1"/>
  <c r="I49" i="5"/>
  <c r="J49" i="5" s="1"/>
  <c r="MI24" i="18"/>
  <c r="H47" i="1"/>
  <c r="I47" i="1" s="1"/>
  <c r="H46" i="1"/>
  <c r="I46" i="1" s="1"/>
  <c r="FJ24" i="18"/>
  <c r="TF24" i="18"/>
  <c r="MU24" i="18"/>
  <c r="T25" i="15"/>
  <c r="GY24" i="18"/>
  <c r="OK24" i="18"/>
  <c r="VS24" i="18"/>
  <c r="HQ24" i="18"/>
  <c r="PA24" i="18"/>
  <c r="WL24" i="18"/>
  <c r="CC24" i="18"/>
  <c r="JM24" i="18"/>
  <c r="QX24" i="18"/>
  <c r="BA24" i="18"/>
  <c r="QG24" i="18"/>
  <c r="RI24" i="18"/>
  <c r="QR24" i="18"/>
  <c r="GH24" i="18"/>
  <c r="VB24" i="18"/>
  <c r="DG24" i="18"/>
  <c r="KR24" i="18"/>
  <c r="SA24" i="18"/>
  <c r="DY24" i="18"/>
  <c r="LI24" i="18"/>
  <c r="SU24" i="18"/>
  <c r="AZ24" i="18"/>
  <c r="ES24" i="18"/>
  <c r="IK24" i="18"/>
  <c r="MA24" i="18"/>
  <c r="PT24" i="18"/>
  <c r="TK24" i="18"/>
  <c r="XC24" i="18"/>
  <c r="DN24" i="18"/>
  <c r="GB24" i="18"/>
  <c r="NM24" i="18"/>
  <c r="UU24" i="18"/>
  <c r="KA24" i="18"/>
  <c r="XD24" i="18"/>
  <c r="GG24" i="18"/>
  <c r="NS24" i="18"/>
  <c r="VA24" i="18"/>
  <c r="MM24" i="18"/>
  <c r="BW24" i="18"/>
  <c r="JG24" i="18"/>
  <c r="QS24" i="18"/>
  <c r="NR24" i="18"/>
  <c r="QQ24" i="18"/>
  <c r="QW24" i="18"/>
  <c r="JH24" i="18"/>
  <c r="CO24" i="18"/>
  <c r="JZ24" i="18"/>
  <c r="RJ24" i="18"/>
  <c r="BL24" i="18"/>
  <c r="BY24" i="18"/>
  <c r="UK24" i="18"/>
  <c r="IO24" i="18"/>
  <c r="BQ24" i="18"/>
  <c r="JC24" i="18"/>
  <c r="RK24" i="18"/>
  <c r="JY24" i="18"/>
  <c r="CQ24" i="18"/>
  <c r="PS24" i="18"/>
  <c r="BG24" i="18"/>
  <c r="QA24" i="18"/>
  <c r="XI24" i="18"/>
  <c r="VC24" i="18"/>
  <c r="NQ24" i="18"/>
  <c r="GI24" i="18"/>
  <c r="IJ24" i="18"/>
  <c r="DB24" i="18"/>
  <c r="KM24" i="18"/>
  <c r="RU24" i="18"/>
  <c r="BK24" i="18"/>
  <c r="IV24" i="18"/>
  <c r="QE24" i="18"/>
  <c r="AO24" i="18"/>
  <c r="HW24" i="18"/>
  <c r="PI24" i="18"/>
  <c r="WQ24" i="18"/>
  <c r="CP24" i="18"/>
  <c r="PU24" i="18"/>
  <c r="AY24" i="18"/>
  <c r="GU24" i="18"/>
  <c r="OD24" i="18"/>
  <c r="VM24" i="18"/>
  <c r="FD24" i="18"/>
  <c r="MN24" i="18"/>
  <c r="TW24" i="18"/>
  <c r="BX24" i="18"/>
  <c r="FO24" i="18"/>
  <c r="JI24" i="18"/>
  <c r="MZ24" i="18"/>
  <c r="MO24" i="18"/>
  <c r="CI24" i="18"/>
  <c r="JU24" i="18"/>
  <c r="RC24" i="18"/>
  <c r="HE24" i="18"/>
  <c r="AS24" i="18"/>
  <c r="IE24" i="18"/>
  <c r="PM24" i="18"/>
  <c r="WY24" i="18"/>
  <c r="FC24" i="18"/>
  <c r="OE24" i="18"/>
  <c r="CE24" i="18"/>
  <c r="CV24" i="18"/>
  <c r="GO24" i="18"/>
  <c r="KF24" i="18"/>
  <c r="NW24" i="18"/>
  <c r="RO24" i="18"/>
  <c r="VG24" i="18"/>
  <c r="TX24" i="18"/>
  <c r="FE24" i="18"/>
  <c r="VN24" i="18"/>
  <c r="GT24" i="18"/>
  <c r="XE24" i="18"/>
  <c r="II24" i="18"/>
  <c r="EE24" i="18"/>
  <c r="LP24" i="18"/>
  <c r="SY24" i="18"/>
  <c r="QK24" i="18"/>
  <c r="OC24" i="18"/>
  <c r="DS24" i="18"/>
  <c r="HK24" i="18"/>
  <c r="LC24" i="18"/>
  <c r="OV24" i="18"/>
  <c r="SN24" i="18"/>
  <c r="WG24" i="18"/>
  <c r="TY24" i="18"/>
  <c r="QF24" i="18"/>
  <c r="IU24" i="18"/>
  <c r="BM24" i="18"/>
  <c r="VO24" i="18"/>
  <c r="GS24" i="18"/>
  <c r="CD24" i="18"/>
  <c r="KW24" i="18"/>
  <c r="OQ24" i="18"/>
  <c r="SG24" i="18"/>
  <c r="VZ24" i="18"/>
  <c r="JO24" i="18"/>
  <c r="KY24" i="18"/>
  <c r="LO24" i="18"/>
  <c r="MH24" i="18"/>
  <c r="CK24" i="18"/>
  <c r="ID24" i="18"/>
  <c r="WX24" i="18"/>
  <c r="HG24" i="18"/>
  <c r="OP24" i="18"/>
  <c r="ST24" i="18"/>
  <c r="DI24" i="18"/>
  <c r="RW24" i="18"/>
  <c r="ER24" i="18"/>
  <c r="MY24" i="18"/>
  <c r="RE24" i="18"/>
  <c r="EG24" i="18"/>
  <c r="EW24" i="18"/>
  <c r="TE24" i="18"/>
  <c r="KL24" i="18"/>
  <c r="UO24" i="18"/>
  <c r="JT24" i="18"/>
  <c r="TA24" i="18"/>
  <c r="AN24" i="18"/>
  <c r="WF24" i="18"/>
  <c r="SC24" i="18"/>
  <c r="LW24" i="18"/>
  <c r="DA24" i="18"/>
  <c r="FW24" i="18"/>
  <c r="DM24" i="18"/>
  <c r="VY24" i="18"/>
  <c r="PH24" i="18"/>
  <c r="TS24" i="18"/>
  <c r="OU24" i="18"/>
  <c r="LE24" i="18"/>
  <c r="KQ24" i="18"/>
  <c r="EK24" i="18"/>
  <c r="MC24" i="18"/>
  <c r="UJ24" i="18"/>
  <c r="SM24" i="18"/>
  <c r="XB25" i="18"/>
  <c r="WD25" i="18"/>
  <c r="VF25" i="18"/>
  <c r="UH25" i="18"/>
  <c r="TJ25" i="18"/>
  <c r="SL25" i="18"/>
  <c r="RN25" i="18"/>
  <c r="QP25" i="18"/>
  <c r="PR25" i="18"/>
  <c r="OT25" i="18"/>
  <c r="NV25" i="18"/>
  <c r="MX25" i="18"/>
  <c r="LZ25" i="18"/>
  <c r="LB25" i="18"/>
  <c r="KD25" i="18"/>
  <c r="JF25" i="18"/>
  <c r="IH25" i="18"/>
  <c r="HJ25" i="18"/>
  <c r="GL25" i="18"/>
  <c r="FN25" i="18"/>
  <c r="EP25" i="18"/>
  <c r="DR25" i="18"/>
  <c r="CT25" i="18"/>
  <c r="BV25" i="18"/>
  <c r="AX25" i="18"/>
  <c r="XH25" i="18"/>
  <c r="WJ25" i="18"/>
  <c r="VL25" i="18"/>
  <c r="UN25" i="18"/>
  <c r="TP25" i="18"/>
  <c r="SR25" i="18"/>
  <c r="RT25" i="18"/>
  <c r="QV25" i="18"/>
  <c r="PX25" i="18"/>
  <c r="OZ25" i="18"/>
  <c r="OB25" i="18"/>
  <c r="ND25" i="18"/>
  <c r="MF25" i="18"/>
  <c r="LH25" i="18"/>
  <c r="KJ25" i="18"/>
  <c r="JL25" i="18"/>
  <c r="IN25" i="18"/>
  <c r="HP25" i="18"/>
  <c r="GR25" i="18"/>
  <c r="FT25" i="18"/>
  <c r="EV25" i="18"/>
  <c r="DX25" i="18"/>
  <c r="CZ25" i="18"/>
  <c r="CB25" i="18"/>
  <c r="BD25" i="18"/>
  <c r="WV25" i="18"/>
  <c r="UZ25" i="18"/>
  <c r="TD25" i="18"/>
  <c r="RH25" i="18"/>
  <c r="PL25" i="18"/>
  <c r="NP25" i="18"/>
  <c r="LT25" i="18"/>
  <c r="JX25" i="18"/>
  <c r="IB25" i="18"/>
  <c r="GF25" i="18"/>
  <c r="EJ25" i="18"/>
  <c r="CN25" i="18"/>
  <c r="AR25" i="18"/>
  <c r="WP25" i="18"/>
  <c r="UT25" i="18"/>
  <c r="SX25" i="18"/>
  <c r="RB25" i="18"/>
  <c r="PF25" i="18"/>
  <c r="NJ25" i="18"/>
  <c r="LN25" i="18"/>
  <c r="JR25" i="18"/>
  <c r="HV25" i="18"/>
  <c r="FZ25" i="18"/>
  <c r="ED25" i="18"/>
  <c r="CH25" i="18"/>
  <c r="AL25" i="18"/>
  <c r="VX25" i="18"/>
  <c r="UB25" i="18"/>
  <c r="SF25" i="18"/>
  <c r="QJ25" i="18"/>
  <c r="ON25" i="18"/>
  <c r="MR25" i="18"/>
  <c r="KV25" i="18"/>
  <c r="IZ25" i="18"/>
  <c r="HD25" i="18"/>
  <c r="FH25" i="18"/>
  <c r="DL25" i="18"/>
  <c r="BP25" i="18"/>
  <c r="VR25" i="18"/>
  <c r="TV25" i="18"/>
  <c r="RZ25" i="18"/>
  <c r="QD25" i="18"/>
  <c r="OH25" i="18"/>
  <c r="ML25" i="18"/>
  <c r="KP25" i="18"/>
  <c r="IT25" i="18"/>
  <c r="GX25" i="18"/>
  <c r="FB25" i="18"/>
  <c r="DF25" i="18"/>
  <c r="BJ25" i="18"/>
  <c r="BF24" i="18"/>
  <c r="UC24" i="18"/>
  <c r="JB24" i="18"/>
  <c r="NY24" i="18"/>
  <c r="GN24" i="18"/>
  <c r="HS24" i="18"/>
  <c r="NL24" i="18"/>
  <c r="GA24" i="18"/>
  <c r="PZ24" i="18"/>
  <c r="KE24" i="18"/>
  <c r="OJ24" i="18"/>
  <c r="RQ24" i="18"/>
  <c r="RD24" i="18"/>
  <c r="JS24" i="18"/>
  <c r="XJ24" i="18"/>
  <c r="BE24" i="18"/>
  <c r="EA24" i="18"/>
  <c r="WS24" i="18"/>
  <c r="SZ24" i="18"/>
  <c r="PG24" i="18"/>
  <c r="HY24" i="18"/>
  <c r="EF24" i="18"/>
  <c r="AM24" i="18"/>
  <c r="QM24" i="18"/>
  <c r="MT24" i="18"/>
  <c r="JA24" i="18"/>
  <c r="BS24" i="18"/>
  <c r="TR24" i="18"/>
  <c r="MG24" i="18"/>
  <c r="VI24" i="18"/>
  <c r="NX24" i="18"/>
  <c r="GM24" i="18"/>
  <c r="PC24" i="18"/>
  <c r="HR24" i="18"/>
  <c r="WE24" i="18"/>
  <c r="HM24" i="18"/>
  <c r="NK24" i="18"/>
  <c r="SI24" i="18"/>
  <c r="HF24" i="18"/>
  <c r="PY24" i="18"/>
  <c r="LK24" i="18"/>
  <c r="LD24" i="18"/>
  <c r="VU24" i="18"/>
  <c r="SB24" i="18"/>
  <c r="OI24" i="18"/>
  <c r="HA24" i="18"/>
  <c r="DH24" i="18"/>
  <c r="WW24" i="18"/>
  <c r="PO24" i="18"/>
  <c r="LV24" i="18"/>
  <c r="IC24" i="18"/>
  <c r="AU24" i="18"/>
  <c r="RV24" i="18"/>
  <c r="KK24" i="18"/>
  <c r="TM24" i="18"/>
  <c r="MB24" i="18"/>
  <c r="EQ24" i="18"/>
  <c r="NG24" i="18"/>
  <c r="FV24" i="18"/>
  <c r="UI24" i="18"/>
  <c r="FQ24" i="18"/>
  <c r="UW24" i="18"/>
  <c r="CJ24" i="18"/>
  <c r="OO24" i="18"/>
  <c r="IQ24" i="18"/>
  <c r="RP24" i="18"/>
  <c r="SS24" i="18"/>
  <c r="DU24" i="18"/>
  <c r="XK24" i="18"/>
  <c r="IW24" i="18"/>
  <c r="QY24" i="18"/>
  <c r="JN24" i="18"/>
  <c r="WA24" i="18"/>
  <c r="KX24" i="18"/>
  <c r="CW24" i="18"/>
  <c r="DZ24" i="18"/>
  <c r="WR24" i="18"/>
  <c r="LQ24" i="18"/>
  <c r="HX24" i="18"/>
  <c r="UE24" i="18"/>
  <c r="QL24" i="18"/>
  <c r="MS24" i="18"/>
  <c r="FK24" i="18"/>
  <c r="BR24" i="18"/>
  <c r="EY24" i="18"/>
  <c r="VH24" i="18"/>
  <c r="WM24" i="18"/>
  <c r="PB24" i="18"/>
  <c r="OW24" i="18"/>
  <c r="HL24" i="18"/>
  <c r="GC24" i="18"/>
  <c r="SH24" i="18"/>
  <c r="KG24" i="18"/>
  <c r="LJ24" i="18"/>
  <c r="VT24" i="18"/>
  <c r="KS24" i="18"/>
  <c r="GZ24" i="18"/>
  <c r="TG24" i="18"/>
  <c r="PN24" i="18"/>
  <c r="EM24" i="18"/>
  <c r="AT24" i="18"/>
  <c r="DC24" i="18"/>
  <c r="TL24" i="18"/>
  <c r="UQ24" i="18"/>
  <c r="NF24" i="18"/>
  <c r="NA24" i="18"/>
  <c r="FP24" i="18"/>
  <c r="UV24" i="18"/>
  <c r="DO24" i="18"/>
  <c r="IP24" i="18"/>
  <c r="SO24" i="18"/>
  <c r="DT24" i="18"/>
  <c r="WU25" i="18"/>
  <c r="VW25" i="18"/>
  <c r="UY25" i="18"/>
  <c r="UA25" i="18"/>
  <c r="TC25" i="18"/>
  <c r="SE25" i="18"/>
  <c r="RG25" i="18"/>
  <c r="QI25" i="18"/>
  <c r="PK25" i="18"/>
  <c r="OM25" i="18"/>
  <c r="NO25" i="18"/>
  <c r="MQ25" i="18"/>
  <c r="LS25" i="18"/>
  <c r="LW25" i="18" s="1"/>
  <c r="KU25" i="18"/>
  <c r="JW25" i="18"/>
  <c r="IY25" i="18"/>
  <c r="IA25" i="18"/>
  <c r="HC25" i="18"/>
  <c r="GE25" i="18"/>
  <c r="FG25" i="18"/>
  <c r="EI25" i="18"/>
  <c r="EL25" i="18" s="1"/>
  <c r="DK25" i="18"/>
  <c r="CM25" i="18"/>
  <c r="BO25" i="18"/>
  <c r="AQ25" i="18"/>
  <c r="XA25" i="18"/>
  <c r="WC25" i="18"/>
  <c r="VE25" i="18"/>
  <c r="UG25" i="18"/>
  <c r="TI25" i="18"/>
  <c r="SK25" i="18"/>
  <c r="RM25" i="18"/>
  <c r="QO25" i="18"/>
  <c r="PQ25" i="18"/>
  <c r="OS25" i="18"/>
  <c r="NU25" i="18"/>
  <c r="MW25" i="18"/>
  <c r="LY25" i="18"/>
  <c r="LA25" i="18"/>
  <c r="KC25" i="18"/>
  <c r="JE25" i="18"/>
  <c r="IG25" i="18"/>
  <c r="HI25" i="18"/>
  <c r="GK25" i="18"/>
  <c r="FM25" i="18"/>
  <c r="EO25" i="18"/>
  <c r="DQ25" i="18"/>
  <c r="CS25" i="18"/>
  <c r="BU25" i="18"/>
  <c r="AW25" i="18"/>
  <c r="VQ25" i="18"/>
  <c r="TU25" i="18"/>
  <c r="RY25" i="18"/>
  <c r="QC25" i="18"/>
  <c r="OG25" i="18"/>
  <c r="MK25" i="18"/>
  <c r="KO25" i="18"/>
  <c r="IS25" i="18"/>
  <c r="GW25" i="18"/>
  <c r="FA25" i="18"/>
  <c r="DE25" i="18"/>
  <c r="BI25" i="18"/>
  <c r="XG25" i="18"/>
  <c r="VK25" i="18"/>
  <c r="VN25" i="18" s="1"/>
  <c r="TO25" i="18"/>
  <c r="RS25" i="18"/>
  <c r="PW25" i="18"/>
  <c r="OA25" i="18"/>
  <c r="ME25" i="18"/>
  <c r="KI25" i="18"/>
  <c r="IM25" i="18"/>
  <c r="GQ25" i="18"/>
  <c r="EU25" i="18"/>
  <c r="CY25" i="18"/>
  <c r="BC25" i="18"/>
  <c r="WO25" i="18"/>
  <c r="WR25" i="18" s="1"/>
  <c r="US25" i="18"/>
  <c r="SW25" i="18"/>
  <c r="RA25" i="18"/>
  <c r="PE25" i="18"/>
  <c r="NI25" i="18"/>
  <c r="LM25" i="18"/>
  <c r="LO25" i="18" s="1"/>
  <c r="JQ25" i="18"/>
  <c r="HU25" i="18"/>
  <c r="HX25" i="18" s="1"/>
  <c r="FY25" i="18"/>
  <c r="GC25" i="18" s="1"/>
  <c r="EC25" i="18"/>
  <c r="EF25" i="18" s="1"/>
  <c r="CG25" i="18"/>
  <c r="AK25" i="18"/>
  <c r="WI25" i="18"/>
  <c r="UM25" i="18"/>
  <c r="SQ25" i="18"/>
  <c r="QU25" i="18"/>
  <c r="OY25" i="18"/>
  <c r="NC25" i="18"/>
  <c r="LG25" i="18"/>
  <c r="JK25" i="18"/>
  <c r="HO25" i="18"/>
  <c r="FS25" i="18"/>
  <c r="DW25" i="18"/>
  <c r="CA25" i="18"/>
  <c r="CU24" i="18"/>
  <c r="FI24" i="18"/>
  <c r="WK24" i="18"/>
  <c r="WN26" i="18"/>
  <c r="VP26" i="18"/>
  <c r="UR26" i="18"/>
  <c r="TT26" i="18"/>
  <c r="SV26" i="18"/>
  <c r="RX26" i="18"/>
  <c r="QZ26" i="18"/>
  <c r="QB26" i="18"/>
  <c r="PD26" i="18"/>
  <c r="OF26" i="18"/>
  <c r="NH26" i="18"/>
  <c r="MJ26" i="18"/>
  <c r="LL26" i="18"/>
  <c r="KN26" i="18"/>
  <c r="JP26" i="18"/>
  <c r="IR26" i="18"/>
  <c r="HT26" i="18"/>
  <c r="GV26" i="18"/>
  <c r="FX26" i="18"/>
  <c r="EZ26" i="18"/>
  <c r="EB26" i="18"/>
  <c r="DD26" i="18"/>
  <c r="CF26" i="18"/>
  <c r="BH26" i="18"/>
  <c r="AJ26" i="18"/>
  <c r="WT26" i="18"/>
  <c r="VV26" i="18"/>
  <c r="UX26" i="18"/>
  <c r="TZ26" i="18"/>
  <c r="TB26" i="18"/>
  <c r="SD26" i="18"/>
  <c r="RF26" i="18"/>
  <c r="QH26" i="18"/>
  <c r="PJ26" i="18"/>
  <c r="OL26" i="18"/>
  <c r="NN26" i="18"/>
  <c r="MP26" i="18"/>
  <c r="LR26" i="18"/>
  <c r="KT26" i="18"/>
  <c r="JV26" i="18"/>
  <c r="IX26" i="18"/>
  <c r="HZ26" i="18"/>
  <c r="HB26" i="18"/>
  <c r="GD26" i="18"/>
  <c r="FF26" i="18"/>
  <c r="EH26" i="18"/>
  <c r="DJ26" i="18"/>
  <c r="CL26" i="18"/>
  <c r="BN26" i="18"/>
  <c r="AP26" i="18"/>
  <c r="WZ26" i="18"/>
  <c r="WB26" i="18"/>
  <c r="VD26" i="18"/>
  <c r="UF26" i="18"/>
  <c r="TH26" i="18"/>
  <c r="SJ26" i="18"/>
  <c r="RL26" i="18"/>
  <c r="QN26" i="18"/>
  <c r="PP26" i="18"/>
  <c r="UL26" i="18"/>
  <c r="QT26" i="18"/>
  <c r="NZ26" i="18"/>
  <c r="MD26" i="18"/>
  <c r="KH26" i="18"/>
  <c r="IL26" i="18"/>
  <c r="GP26" i="18"/>
  <c r="ET26" i="18"/>
  <c r="CX26" i="18"/>
  <c r="BB26" i="18"/>
  <c r="VJ26" i="18"/>
  <c r="RR26" i="18"/>
  <c r="NT26" i="18"/>
  <c r="LX26" i="18"/>
  <c r="KB26" i="18"/>
  <c r="IF26" i="18"/>
  <c r="GJ26" i="18"/>
  <c r="EN26" i="18"/>
  <c r="CR26" i="18"/>
  <c r="AV26" i="18"/>
  <c r="WH26" i="18"/>
  <c r="SP26" i="18"/>
  <c r="OX26" i="18"/>
  <c r="NB26" i="18"/>
  <c r="LF26" i="18"/>
  <c r="JJ26" i="18"/>
  <c r="HN26" i="18"/>
  <c r="FR26" i="18"/>
  <c r="DV26" i="18"/>
  <c r="BZ26" i="18"/>
  <c r="XF26" i="18"/>
  <c r="TN26" i="18"/>
  <c r="PV26" i="18"/>
  <c r="OR26" i="18"/>
  <c r="MV26" i="18"/>
  <c r="KZ26" i="18"/>
  <c r="JD26" i="18"/>
  <c r="HH26" i="18"/>
  <c r="FL26" i="18"/>
  <c r="DP26" i="18"/>
  <c r="BT26" i="18"/>
  <c r="R23" i="18"/>
  <c r="Q23" i="18"/>
  <c r="T21" i="18"/>
  <c r="U21" i="18" s="1"/>
  <c r="P23" i="18"/>
  <c r="T22" i="18" s="1"/>
  <c r="F47" i="5"/>
  <c r="B49" i="7"/>
  <c r="B49" i="1"/>
  <c r="B49" i="9"/>
  <c r="AD46" i="5"/>
  <c r="AE46" i="5" s="1"/>
  <c r="AI46" i="5" s="1"/>
  <c r="O26" i="18"/>
  <c r="B27" i="18"/>
  <c r="N26" i="18"/>
  <c r="AJ44" i="5"/>
  <c r="AL44" i="5" s="1"/>
  <c r="B51" i="5"/>
  <c r="R49" i="5"/>
  <c r="AG49" i="5" s="1"/>
  <c r="AE49" i="5"/>
  <c r="K49" i="5"/>
  <c r="B48" i="5"/>
  <c r="K46" i="5"/>
  <c r="F44" i="5"/>
  <c r="AL42" i="5"/>
  <c r="B91" i="14"/>
  <c r="U88" i="14"/>
  <c r="S88" i="14"/>
  <c r="T88" i="14"/>
  <c r="Q87" i="14"/>
  <c r="R87" i="14"/>
  <c r="B48" i="7"/>
  <c r="B51" i="8"/>
  <c r="B48" i="9"/>
  <c r="BP45" i="1"/>
  <c r="X45" i="7" s="1"/>
  <c r="BQ45" i="1"/>
  <c r="O44" i="1"/>
  <c r="O45" i="1"/>
  <c r="B26" i="15"/>
  <c r="B48" i="1"/>
  <c r="N46" i="1"/>
  <c r="B50" i="8"/>
  <c r="Q47" i="5" l="1"/>
  <c r="U47" i="5" s="1"/>
  <c r="Q44" i="5"/>
  <c r="U44" i="5" s="1"/>
  <c r="R39" i="8"/>
  <c r="OD25" i="18"/>
  <c r="QL25" i="18"/>
  <c r="LK25" i="18"/>
  <c r="RC25" i="18"/>
  <c r="PI25" i="18"/>
  <c r="B55" i="19"/>
  <c r="G55" i="19" s="1"/>
  <c r="F53" i="19"/>
  <c r="I47" i="9"/>
  <c r="I46" i="9"/>
  <c r="JT25" i="18"/>
  <c r="NL25" i="18"/>
  <c r="CI25" i="18"/>
  <c r="AO25" i="18"/>
  <c r="BR25" i="18"/>
  <c r="L47" i="9"/>
  <c r="L46" i="9"/>
  <c r="M44" i="9"/>
  <c r="UW25" i="18"/>
  <c r="J47" i="9"/>
  <c r="J46" i="9"/>
  <c r="H49" i="9"/>
  <c r="K49" i="9" s="1"/>
  <c r="H48" i="9"/>
  <c r="K48" i="9" s="1"/>
  <c r="F49" i="5"/>
  <c r="F50" i="8"/>
  <c r="G50" i="8"/>
  <c r="F51" i="8"/>
  <c r="G51" i="8"/>
  <c r="J48" i="7"/>
  <c r="I48" i="7"/>
  <c r="J49" i="7"/>
  <c r="I49" i="7"/>
  <c r="E26" i="15"/>
  <c r="D26" i="15"/>
  <c r="E27" i="18"/>
  <c r="G27" i="18" s="1"/>
  <c r="D27" i="18"/>
  <c r="F27" i="18" s="1"/>
  <c r="I48" i="5"/>
  <c r="J48" i="5" s="1"/>
  <c r="I51" i="5"/>
  <c r="J51" i="5" s="1"/>
  <c r="H48" i="1"/>
  <c r="I48" i="1" s="1"/>
  <c r="H49" i="1"/>
  <c r="I49" i="1" s="1"/>
  <c r="ST25" i="18"/>
  <c r="GU25" i="18"/>
  <c r="JC25" i="18"/>
  <c r="DY25" i="18"/>
  <c r="SZ25" i="18"/>
  <c r="TF25" i="18"/>
  <c r="T26" i="15"/>
  <c r="HR25" i="18"/>
  <c r="PA25" i="18"/>
  <c r="WM25" i="18"/>
  <c r="AT25" i="18"/>
  <c r="DI25" i="18"/>
  <c r="KR25" i="18"/>
  <c r="SC25" i="18"/>
  <c r="CW25" i="18"/>
  <c r="GN25" i="18"/>
  <c r="KF25" i="18"/>
  <c r="NW25" i="18"/>
  <c r="RP25" i="18"/>
  <c r="VI25" i="18"/>
  <c r="XC25" i="18"/>
  <c r="CD25" i="18"/>
  <c r="JM25" i="18"/>
  <c r="QY25" i="18"/>
  <c r="FU25" i="18"/>
  <c r="NG25" i="18"/>
  <c r="UQ25" i="18"/>
  <c r="AZ25" i="18"/>
  <c r="IJ25" i="18"/>
  <c r="PS25" i="18"/>
  <c r="XE25" i="18"/>
  <c r="VC25" i="18"/>
  <c r="FP25" i="18"/>
  <c r="GI25" i="18"/>
  <c r="NS25" i="18"/>
  <c r="GH25" i="18"/>
  <c r="NR25" i="18"/>
  <c r="VB25" i="18"/>
  <c r="QF25" i="18"/>
  <c r="PT25" i="18"/>
  <c r="BA25" i="18"/>
  <c r="FC25" i="18"/>
  <c r="TW25" i="18"/>
  <c r="CQ25" i="18"/>
  <c r="JZ25" i="18"/>
  <c r="RK25" i="18"/>
  <c r="FV25" i="18"/>
  <c r="OE25" i="18"/>
  <c r="UO25" i="18"/>
  <c r="GS25" i="18"/>
  <c r="BL25" i="18"/>
  <c r="IW25" i="18"/>
  <c r="GG25" i="18"/>
  <c r="NQ25" i="18"/>
  <c r="VA25" i="18"/>
  <c r="MZ25" i="18"/>
  <c r="UK25" i="18"/>
  <c r="VO25" i="18"/>
  <c r="OC25" i="18"/>
  <c r="GT25" i="18"/>
  <c r="VM25" i="18"/>
  <c r="DC25" i="18"/>
  <c r="KL25" i="18"/>
  <c r="RV25" i="18"/>
  <c r="BK25" i="18"/>
  <c r="IV25" i="18"/>
  <c r="QE25" i="18"/>
  <c r="DN25" i="18"/>
  <c r="KW25" i="18"/>
  <c r="SH25" i="18"/>
  <c r="FE25" i="18"/>
  <c r="MN25" i="18"/>
  <c r="TY25" i="18"/>
  <c r="CP25" i="18"/>
  <c r="JY25" i="18"/>
  <c r="RJ25" i="18"/>
  <c r="BW25" i="18"/>
  <c r="FO25" i="18"/>
  <c r="JI25" i="18"/>
  <c r="NA25" i="18"/>
  <c r="QR25" i="18"/>
  <c r="UJ25" i="18"/>
  <c r="IC25" i="18"/>
  <c r="PN25" i="18"/>
  <c r="WW25" i="18"/>
  <c r="TX25" i="18"/>
  <c r="MO25" i="18"/>
  <c r="IU25" i="18"/>
  <c r="FD25" i="18"/>
  <c r="RI25" i="18"/>
  <c r="CO25" i="18"/>
  <c r="UP25" i="18"/>
  <c r="XD25" i="18"/>
  <c r="IK25" i="18"/>
  <c r="AY25" i="18"/>
  <c r="EX25" i="18"/>
  <c r="MH25" i="18"/>
  <c r="TQ25" i="18"/>
  <c r="QG25" i="18"/>
  <c r="MM25" i="18"/>
  <c r="BM25" i="18"/>
  <c r="KA25" i="18"/>
  <c r="NE25" i="18"/>
  <c r="UI25" i="18"/>
  <c r="PU25" i="18"/>
  <c r="II25" i="18"/>
  <c r="FI25" i="18"/>
  <c r="MT25" i="18"/>
  <c r="UC25" i="18"/>
  <c r="FW25" i="18"/>
  <c r="MY25" i="18"/>
  <c r="BE25" i="18"/>
  <c r="IQ25" i="18"/>
  <c r="PZ25" i="18"/>
  <c r="XJ25" i="18"/>
  <c r="DU25" i="18"/>
  <c r="HK25" i="18"/>
  <c r="LD25" i="18"/>
  <c r="OW25" i="18"/>
  <c r="SN25" i="18"/>
  <c r="WF25" i="18"/>
  <c r="NF25" i="18"/>
  <c r="FQ25" i="18"/>
  <c r="GZ25" i="18"/>
  <c r="OI25" i="18"/>
  <c r="VT25" i="18"/>
  <c r="ER25" i="18"/>
  <c r="MB25" i="18"/>
  <c r="TK25" i="18"/>
  <c r="HF25" i="18"/>
  <c r="OQ25" i="18"/>
  <c r="VZ25" i="18"/>
  <c r="TA25" i="18"/>
  <c r="PG25" i="18"/>
  <c r="LP25" i="18"/>
  <c r="EG25" i="18"/>
  <c r="AM25" i="18"/>
  <c r="UD25" i="18"/>
  <c r="MU25" i="18"/>
  <c r="JA25" i="18"/>
  <c r="FJ25" i="18"/>
  <c r="SU25" i="18"/>
  <c r="LI25" i="18"/>
  <c r="DZ25" i="18"/>
  <c r="LE25" i="18"/>
  <c r="DS25" i="18"/>
  <c r="TR25" i="18"/>
  <c r="EY25" i="18"/>
  <c r="VG25" i="18"/>
  <c r="NX25" i="18"/>
  <c r="VU25" i="18"/>
  <c r="SA25" i="18"/>
  <c r="OJ25" i="18"/>
  <c r="HA25" i="18"/>
  <c r="DG25" i="18"/>
  <c r="WX25" i="18"/>
  <c r="PO25" i="18"/>
  <c r="LU25" i="18"/>
  <c r="ID25" i="18"/>
  <c r="AU25" i="18"/>
  <c r="QW25" i="18"/>
  <c r="JN25" i="18"/>
  <c r="QS25" i="18"/>
  <c r="JG25" i="18"/>
  <c r="BX25" i="18"/>
  <c r="KM25" i="18"/>
  <c r="DA25" i="18"/>
  <c r="TL25" i="18"/>
  <c r="ES25" i="18"/>
  <c r="UU25" i="18"/>
  <c r="RD25" i="18"/>
  <c r="JU25" i="18"/>
  <c r="GA25" i="18"/>
  <c r="CJ25" i="18"/>
  <c r="SI25" i="18"/>
  <c r="OO25" i="18"/>
  <c r="KX25" i="18"/>
  <c r="DO25" i="18"/>
  <c r="WK25" i="18"/>
  <c r="PB25" i="18"/>
  <c r="WG25" i="18"/>
  <c r="OU25" i="18"/>
  <c r="HL25" i="18"/>
  <c r="QA25" i="18"/>
  <c r="IO25" i="18"/>
  <c r="BF25" i="18"/>
  <c r="KG25" i="18"/>
  <c r="CU25" i="18"/>
  <c r="WS25" i="18"/>
  <c r="SY25" i="18"/>
  <c r="PH25" i="18"/>
  <c r="HY25" i="18"/>
  <c r="EE25" i="18"/>
  <c r="AN25" i="18"/>
  <c r="QM25" i="18"/>
  <c r="MS25" i="18"/>
  <c r="JB25" i="18"/>
  <c r="BS25" i="18"/>
  <c r="SS25" i="18"/>
  <c r="LJ25" i="18"/>
  <c r="SO25" i="18"/>
  <c r="LC25" i="18"/>
  <c r="DT25" i="18"/>
  <c r="MI25" i="18"/>
  <c r="EW25" i="18"/>
  <c r="VH25" i="18"/>
  <c r="GO25" i="18"/>
  <c r="VS25" i="18"/>
  <c r="SB25" i="18"/>
  <c r="KS25" i="18"/>
  <c r="GY25" i="18"/>
  <c r="DH25" i="18"/>
  <c r="TG25" i="18"/>
  <c r="PM25" i="18"/>
  <c r="LV25" i="18"/>
  <c r="EM25" i="18"/>
  <c r="AS25" i="18"/>
  <c r="QX25" i="18"/>
  <c r="CE25" i="18"/>
  <c r="QQ25" i="18"/>
  <c r="JH25" i="18"/>
  <c r="RW25" i="18"/>
  <c r="KK25" i="18"/>
  <c r="DB25" i="18"/>
  <c r="MC25" i="18"/>
  <c r="EQ25" i="18"/>
  <c r="UV25" i="18"/>
  <c r="NM25" i="18"/>
  <c r="JS25" i="18"/>
  <c r="GB25" i="18"/>
  <c r="WA25" i="18"/>
  <c r="SG25" i="18"/>
  <c r="OP25" i="18"/>
  <c r="HG25" i="18"/>
  <c r="DM25" i="18"/>
  <c r="WL25" i="18"/>
  <c r="HS25" i="18"/>
  <c r="WE25" i="18"/>
  <c r="OV25" i="18"/>
  <c r="XK25" i="18"/>
  <c r="PY25" i="18"/>
  <c r="IP25" i="18"/>
  <c r="RQ25" i="18"/>
  <c r="KE25" i="18"/>
  <c r="CV25" i="18"/>
  <c r="WQ25" i="18"/>
  <c r="LQ25" i="18"/>
  <c r="HW25" i="18"/>
  <c r="UE25" i="18"/>
  <c r="QK25" i="18"/>
  <c r="FK25" i="18"/>
  <c r="BQ25" i="18"/>
  <c r="EA25" i="18"/>
  <c r="SM25" i="18"/>
  <c r="TS25" i="18"/>
  <c r="MG25" i="18"/>
  <c r="NY25" i="18"/>
  <c r="GM25" i="18"/>
  <c r="OK25" i="18"/>
  <c r="KQ25" i="18"/>
  <c r="WY25" i="18"/>
  <c r="TE25" i="18"/>
  <c r="IE25" i="18"/>
  <c r="EK25" i="18"/>
  <c r="JO25" i="18"/>
  <c r="CC25" i="18"/>
  <c r="BY25" i="18"/>
  <c r="RU25" i="18"/>
  <c r="TM25" i="18"/>
  <c r="MA25" i="18"/>
  <c r="RE25" i="18"/>
  <c r="NK25" i="18"/>
  <c r="CK25" i="18"/>
  <c r="VY25" i="18"/>
  <c r="KY25" i="18"/>
  <c r="HE25" i="18"/>
  <c r="PC25" i="18"/>
  <c r="HQ25" i="18"/>
  <c r="HM25" i="18"/>
  <c r="XI25" i="18"/>
  <c r="BG25" i="18"/>
  <c r="RO25" i="18"/>
  <c r="XB26" i="18"/>
  <c r="WD26" i="18"/>
  <c r="VF26" i="18"/>
  <c r="UH26" i="18"/>
  <c r="TJ26" i="18"/>
  <c r="SL26" i="18"/>
  <c r="RN26" i="18"/>
  <c r="QP26" i="18"/>
  <c r="PR26" i="18"/>
  <c r="OT26" i="18"/>
  <c r="NV26" i="18"/>
  <c r="MX26" i="18"/>
  <c r="LZ26" i="18"/>
  <c r="LB26" i="18"/>
  <c r="KD26" i="18"/>
  <c r="JF26" i="18"/>
  <c r="IH26" i="18"/>
  <c r="HJ26" i="18"/>
  <c r="GL26" i="18"/>
  <c r="FN26" i="18"/>
  <c r="EP26" i="18"/>
  <c r="DR26" i="18"/>
  <c r="CT26" i="18"/>
  <c r="BV26" i="18"/>
  <c r="AX26" i="18"/>
  <c r="XH26" i="18"/>
  <c r="WJ26" i="18"/>
  <c r="VL26" i="18"/>
  <c r="UN26" i="18"/>
  <c r="TP26" i="18"/>
  <c r="SR26" i="18"/>
  <c r="RT26" i="18"/>
  <c r="QV26" i="18"/>
  <c r="PX26" i="18"/>
  <c r="OZ26" i="18"/>
  <c r="OB26" i="18"/>
  <c r="ND26" i="18"/>
  <c r="MF26" i="18"/>
  <c r="LH26" i="18"/>
  <c r="KJ26" i="18"/>
  <c r="JL26" i="18"/>
  <c r="IN26" i="18"/>
  <c r="HP26" i="18"/>
  <c r="GR26" i="18"/>
  <c r="FT26" i="18"/>
  <c r="EV26" i="18"/>
  <c r="DX26" i="18"/>
  <c r="CZ26" i="18"/>
  <c r="CB26" i="18"/>
  <c r="BD26" i="18"/>
  <c r="WP26" i="18"/>
  <c r="VR26" i="18"/>
  <c r="UT26" i="18"/>
  <c r="TV26" i="18"/>
  <c r="SX26" i="18"/>
  <c r="RZ26" i="18"/>
  <c r="RB26" i="18"/>
  <c r="QD26" i="18"/>
  <c r="PF26" i="18"/>
  <c r="WV26" i="18"/>
  <c r="TD26" i="18"/>
  <c r="PL26" i="18"/>
  <c r="ON26" i="18"/>
  <c r="MR26" i="18"/>
  <c r="KV26" i="18"/>
  <c r="IZ26" i="18"/>
  <c r="HD26" i="18"/>
  <c r="FH26" i="18"/>
  <c r="DL26" i="18"/>
  <c r="BP26" i="18"/>
  <c r="UB26" i="18"/>
  <c r="QJ26" i="18"/>
  <c r="OH26" i="18"/>
  <c r="ML26" i="18"/>
  <c r="KP26" i="18"/>
  <c r="IT26" i="18"/>
  <c r="GX26" i="18"/>
  <c r="FB26" i="18"/>
  <c r="DF26" i="18"/>
  <c r="BJ26" i="18"/>
  <c r="UZ26" i="18"/>
  <c r="RH26" i="18"/>
  <c r="NP26" i="18"/>
  <c r="LT26" i="18"/>
  <c r="JX26" i="18"/>
  <c r="IB26" i="18"/>
  <c r="GF26" i="18"/>
  <c r="EJ26" i="18"/>
  <c r="CN26" i="18"/>
  <c r="AR26" i="18"/>
  <c r="VX26" i="18"/>
  <c r="SF26" i="18"/>
  <c r="NJ26" i="18"/>
  <c r="LN26" i="18"/>
  <c r="JR26" i="18"/>
  <c r="HV26" i="18"/>
  <c r="FZ26" i="18"/>
  <c r="ED26" i="18"/>
  <c r="CH26" i="18"/>
  <c r="AL26" i="18"/>
  <c r="WT27" i="18"/>
  <c r="VV27" i="18"/>
  <c r="UX27" i="18"/>
  <c r="TZ27" i="18"/>
  <c r="TB27" i="18"/>
  <c r="SD27" i="18"/>
  <c r="RF27" i="18"/>
  <c r="QH27" i="18"/>
  <c r="PJ27" i="18"/>
  <c r="OL27" i="18"/>
  <c r="NN27" i="18"/>
  <c r="MP27" i="18"/>
  <c r="LR27" i="18"/>
  <c r="KT27" i="18"/>
  <c r="JV27" i="18"/>
  <c r="IX27" i="18"/>
  <c r="HZ27" i="18"/>
  <c r="HB27" i="18"/>
  <c r="GD27" i="18"/>
  <c r="FF27" i="18"/>
  <c r="EH27" i="18"/>
  <c r="DJ27" i="18"/>
  <c r="CL27" i="18"/>
  <c r="XF27" i="18"/>
  <c r="WH27" i="18"/>
  <c r="VJ27" i="18"/>
  <c r="UL27" i="18"/>
  <c r="TN27" i="18"/>
  <c r="SP27" i="18"/>
  <c r="RR27" i="18"/>
  <c r="QT27" i="18"/>
  <c r="PV27" i="18"/>
  <c r="OX27" i="18"/>
  <c r="NZ27" i="18"/>
  <c r="NB27" i="18"/>
  <c r="MD27" i="18"/>
  <c r="LF27" i="18"/>
  <c r="KH27" i="18"/>
  <c r="JJ27" i="18"/>
  <c r="IL27" i="18"/>
  <c r="HN27" i="18"/>
  <c r="GP27" i="18"/>
  <c r="FR27" i="18"/>
  <c r="ET27" i="18"/>
  <c r="DV27" i="18"/>
  <c r="CX27" i="18"/>
  <c r="VP27" i="18"/>
  <c r="TT27" i="18"/>
  <c r="RX27" i="18"/>
  <c r="QB27" i="18"/>
  <c r="OF27" i="18"/>
  <c r="MJ27" i="18"/>
  <c r="KN27" i="18"/>
  <c r="IR27" i="18"/>
  <c r="GV27" i="18"/>
  <c r="EZ27" i="18"/>
  <c r="DD27" i="18"/>
  <c r="CF27" i="18"/>
  <c r="BH27" i="18"/>
  <c r="AJ27" i="18"/>
  <c r="WB27" i="18"/>
  <c r="UF27" i="18"/>
  <c r="SJ27" i="18"/>
  <c r="QN27" i="18"/>
  <c r="OR27" i="18"/>
  <c r="MV27" i="18"/>
  <c r="KZ27" i="18"/>
  <c r="JD27" i="18"/>
  <c r="HH27" i="18"/>
  <c r="FL27" i="18"/>
  <c r="DP27" i="18"/>
  <c r="BN27" i="18"/>
  <c r="AP27" i="18"/>
  <c r="WN27" i="18"/>
  <c r="UR27" i="18"/>
  <c r="SV27" i="18"/>
  <c r="QZ27" i="18"/>
  <c r="PD27" i="18"/>
  <c r="NH27" i="18"/>
  <c r="LL27" i="18"/>
  <c r="JP27" i="18"/>
  <c r="HT27" i="18"/>
  <c r="FX27" i="18"/>
  <c r="EB27" i="18"/>
  <c r="BT27" i="18"/>
  <c r="AV27" i="18"/>
  <c r="TH27" i="18"/>
  <c r="LX27" i="18"/>
  <c r="EN27" i="18"/>
  <c r="BB27" i="18"/>
  <c r="VD27" i="18"/>
  <c r="NT27" i="18"/>
  <c r="GJ27" i="18"/>
  <c r="BZ27" i="18"/>
  <c r="WZ27" i="18"/>
  <c r="PP27" i="18"/>
  <c r="IF27" i="18"/>
  <c r="RL27" i="18"/>
  <c r="KB27" i="18"/>
  <c r="CR27" i="18"/>
  <c r="WU26" i="18"/>
  <c r="VW26" i="18"/>
  <c r="UY26" i="18"/>
  <c r="UA26" i="18"/>
  <c r="TC26" i="18"/>
  <c r="SE26" i="18"/>
  <c r="RG26" i="18"/>
  <c r="QI26" i="18"/>
  <c r="QK26" i="18" s="1"/>
  <c r="PK26" i="18"/>
  <c r="OM26" i="18"/>
  <c r="NO26" i="18"/>
  <c r="MQ26" i="18"/>
  <c r="LS26" i="18"/>
  <c r="KU26" i="18"/>
  <c r="JW26" i="18"/>
  <c r="IY26" i="18"/>
  <c r="IA26" i="18"/>
  <c r="HC26" i="18"/>
  <c r="GE26" i="18"/>
  <c r="FG26" i="18"/>
  <c r="FJ26" i="18" s="1"/>
  <c r="EI26" i="18"/>
  <c r="DK26" i="18"/>
  <c r="CM26" i="18"/>
  <c r="BO26" i="18"/>
  <c r="AQ26" i="18"/>
  <c r="XA26" i="18"/>
  <c r="WC26" i="18"/>
  <c r="VE26" i="18"/>
  <c r="UG26" i="18"/>
  <c r="TI26" i="18"/>
  <c r="SK26" i="18"/>
  <c r="RM26" i="18"/>
  <c r="QO26" i="18"/>
  <c r="PQ26" i="18"/>
  <c r="OS26" i="18"/>
  <c r="NU26" i="18"/>
  <c r="MW26" i="18"/>
  <c r="LY26" i="18"/>
  <c r="LA26" i="18"/>
  <c r="KC26" i="18"/>
  <c r="JE26" i="18"/>
  <c r="IG26" i="18"/>
  <c r="HI26" i="18"/>
  <c r="GK26" i="18"/>
  <c r="FM26" i="18"/>
  <c r="EO26" i="18"/>
  <c r="DQ26" i="18"/>
  <c r="CS26" i="18"/>
  <c r="BU26" i="18"/>
  <c r="AW26" i="18"/>
  <c r="XG26" i="18"/>
  <c r="WI26" i="18"/>
  <c r="VK26" i="18"/>
  <c r="UM26" i="18"/>
  <c r="TO26" i="18"/>
  <c r="SQ26" i="18"/>
  <c r="RS26" i="18"/>
  <c r="QU26" i="18"/>
  <c r="PW26" i="18"/>
  <c r="OY26" i="18"/>
  <c r="VQ26" i="18"/>
  <c r="RY26" i="18"/>
  <c r="NI26" i="18"/>
  <c r="LM26" i="18"/>
  <c r="JQ26" i="18"/>
  <c r="HU26" i="18"/>
  <c r="FY26" i="18"/>
  <c r="EC26" i="18"/>
  <c r="CG26" i="18"/>
  <c r="AK26" i="18"/>
  <c r="WO26" i="18"/>
  <c r="SW26" i="18"/>
  <c r="PE26" i="18"/>
  <c r="NC26" i="18"/>
  <c r="LG26" i="18"/>
  <c r="JK26" i="18"/>
  <c r="HO26" i="18"/>
  <c r="FS26" i="18"/>
  <c r="DW26" i="18"/>
  <c r="DY26" i="18" s="1"/>
  <c r="CA26" i="18"/>
  <c r="TU26" i="18"/>
  <c r="QC26" i="18"/>
  <c r="OG26" i="18"/>
  <c r="MK26" i="18"/>
  <c r="KO26" i="18"/>
  <c r="IS26" i="18"/>
  <c r="GW26" i="18"/>
  <c r="FA26" i="18"/>
  <c r="DE26" i="18"/>
  <c r="BI26" i="18"/>
  <c r="US26" i="18"/>
  <c r="RA26" i="18"/>
  <c r="OA26" i="18"/>
  <c r="ME26" i="18"/>
  <c r="KI26" i="18"/>
  <c r="IM26" i="18"/>
  <c r="GQ26" i="18"/>
  <c r="EU26" i="18"/>
  <c r="EX26" i="18" s="1"/>
  <c r="CY26" i="18"/>
  <c r="BC26" i="18"/>
  <c r="Q24" i="18"/>
  <c r="S22" i="18"/>
  <c r="U22" i="18" s="1"/>
  <c r="R24" i="18"/>
  <c r="P24" i="18"/>
  <c r="S23" i="18" s="1"/>
  <c r="B51" i="1"/>
  <c r="B51" i="9"/>
  <c r="B51" i="7"/>
  <c r="AD48" i="5"/>
  <c r="AE48" i="5" s="1"/>
  <c r="AI48" i="5" s="1"/>
  <c r="O27" i="18"/>
  <c r="N27" i="18"/>
  <c r="B28" i="18"/>
  <c r="B50" i="5"/>
  <c r="R48" i="5"/>
  <c r="AG48" i="5" s="1"/>
  <c r="K48" i="5"/>
  <c r="B53" i="5"/>
  <c r="R51" i="5"/>
  <c r="AG51" i="5" s="1"/>
  <c r="AE51" i="5"/>
  <c r="K51" i="5"/>
  <c r="F46" i="5"/>
  <c r="AJ46" i="5"/>
  <c r="U89" i="14"/>
  <c r="T89" i="14"/>
  <c r="S89" i="14"/>
  <c r="Q88" i="14"/>
  <c r="R88" i="14"/>
  <c r="B92" i="14"/>
  <c r="BP47" i="1"/>
  <c r="X47" i="7" s="1"/>
  <c r="O47" i="1"/>
  <c r="BQ47" i="1"/>
  <c r="O46" i="1"/>
  <c r="B53" i="8"/>
  <c r="B52" i="8"/>
  <c r="B50" i="9"/>
  <c r="B50" i="1"/>
  <c r="N48" i="1"/>
  <c r="B27" i="15"/>
  <c r="B50" i="7"/>
  <c r="Q49" i="5" l="1"/>
  <c r="U49" i="5" s="1"/>
  <c r="R53" i="5"/>
  <c r="AG53" i="5" s="1"/>
  <c r="Q46" i="5"/>
  <c r="U46" i="5" s="1"/>
  <c r="R41" i="8"/>
  <c r="MI26" i="18"/>
  <c r="B57" i="19"/>
  <c r="G57" i="19" s="1"/>
  <c r="F55" i="19"/>
  <c r="I49" i="9"/>
  <c r="I48" i="9"/>
  <c r="LI26" i="18"/>
  <c r="MS26" i="18"/>
  <c r="L48" i="9"/>
  <c r="L49" i="9"/>
  <c r="M47" i="9"/>
  <c r="M46" i="9"/>
  <c r="J49" i="9"/>
  <c r="J48" i="9"/>
  <c r="H50" i="9"/>
  <c r="K50" i="9" s="1"/>
  <c r="H51" i="9"/>
  <c r="K51" i="9" s="1"/>
  <c r="F51" i="5"/>
  <c r="QE26" i="18"/>
  <c r="F52" i="8"/>
  <c r="G52" i="8"/>
  <c r="F53" i="8"/>
  <c r="G53" i="8"/>
  <c r="J50" i="7"/>
  <c r="I50" i="7"/>
  <c r="I51" i="7"/>
  <c r="J51" i="7"/>
  <c r="D27" i="15"/>
  <c r="E27" i="15"/>
  <c r="D28" i="18"/>
  <c r="F28" i="18" s="1"/>
  <c r="E28" i="18"/>
  <c r="G28" i="18" s="1"/>
  <c r="I50" i="5"/>
  <c r="J50" i="5" s="1"/>
  <c r="I53" i="5"/>
  <c r="J53" i="5" s="1"/>
  <c r="H51" i="1"/>
  <c r="I51" i="1" s="1"/>
  <c r="H50" i="1"/>
  <c r="I50" i="1" s="1"/>
  <c r="TG26" i="18"/>
  <c r="GI26" i="18"/>
  <c r="T27" i="15"/>
  <c r="NQ26" i="18"/>
  <c r="WQ26" i="18"/>
  <c r="UV26" i="18"/>
  <c r="GZ26" i="18"/>
  <c r="OI26" i="18"/>
  <c r="GB26" i="18"/>
  <c r="NK26" i="18"/>
  <c r="CP26" i="18"/>
  <c r="JY26" i="18"/>
  <c r="VC26" i="18"/>
  <c r="FU26" i="18"/>
  <c r="NF26" i="18"/>
  <c r="QY26" i="18"/>
  <c r="UQ26" i="18"/>
  <c r="BA26" i="18"/>
  <c r="EQ26" i="18"/>
  <c r="II26" i="18"/>
  <c r="MB26" i="18"/>
  <c r="PS26" i="18"/>
  <c r="TK26" i="18"/>
  <c r="XD26" i="18"/>
  <c r="DO26" i="18"/>
  <c r="KW26" i="18"/>
  <c r="PG26" i="18"/>
  <c r="JO26" i="18"/>
  <c r="LO26" i="18"/>
  <c r="QA26" i="18"/>
  <c r="TQ26" i="18"/>
  <c r="XI26" i="18"/>
  <c r="DT26" i="18"/>
  <c r="HK26" i="18"/>
  <c r="LE26" i="18"/>
  <c r="OU26" i="18"/>
  <c r="SM26" i="18"/>
  <c r="WE26" i="18"/>
  <c r="FI26" i="18"/>
  <c r="QX26" i="18"/>
  <c r="ES26" i="18"/>
  <c r="AN26" i="18"/>
  <c r="HX26" i="18"/>
  <c r="MU26" i="18"/>
  <c r="UC26" i="18"/>
  <c r="RP26" i="18"/>
  <c r="VI26" i="18"/>
  <c r="EG26" i="18"/>
  <c r="JB26" i="18"/>
  <c r="QW26" i="18"/>
  <c r="HM26" i="18"/>
  <c r="WS26" i="18"/>
  <c r="MA26" i="18"/>
  <c r="HE26" i="18"/>
  <c r="OP26" i="18"/>
  <c r="VY26" i="18"/>
  <c r="MC26" i="18"/>
  <c r="DG26" i="18"/>
  <c r="TW26" i="18"/>
  <c r="PH26" i="18"/>
  <c r="JU26" i="18"/>
  <c r="WR26" i="18"/>
  <c r="OW26" i="18"/>
  <c r="HL26" i="18"/>
  <c r="ER26" i="18"/>
  <c r="OV26" i="18"/>
  <c r="KS26" i="18"/>
  <c r="HQ26" i="18"/>
  <c r="CI26" i="18"/>
  <c r="AT26" i="18"/>
  <c r="IC26" i="18"/>
  <c r="PN26" i="18"/>
  <c r="PI26" i="18"/>
  <c r="BE26" i="18"/>
  <c r="IO26" i="18"/>
  <c r="RC26" i="18"/>
  <c r="FC26" i="18"/>
  <c r="MO26" i="18"/>
  <c r="CE26" i="18"/>
  <c r="JM26" i="18"/>
  <c r="SY26" i="18"/>
  <c r="EE26" i="18"/>
  <c r="LP26" i="18"/>
  <c r="PB26" i="18"/>
  <c r="SS26" i="18"/>
  <c r="WL26" i="18"/>
  <c r="CW26" i="18"/>
  <c r="GO26" i="18"/>
  <c r="KE26" i="18"/>
  <c r="NW26" i="18"/>
  <c r="RQ26" i="18"/>
  <c r="VG26" i="18"/>
  <c r="BQ26" i="18"/>
  <c r="JC26" i="18"/>
  <c r="UD26" i="18"/>
  <c r="BG26" i="18"/>
  <c r="CD26" i="18"/>
  <c r="AO26" i="18"/>
  <c r="HW26" i="18"/>
  <c r="TA26" i="18"/>
  <c r="HY26" i="18"/>
  <c r="EF26" i="18"/>
  <c r="AM26" i="18"/>
  <c r="QM26" i="18"/>
  <c r="MT26" i="18"/>
  <c r="JA26" i="18"/>
  <c r="BS26" i="18"/>
  <c r="VH26" i="18"/>
  <c r="RO26" i="18"/>
  <c r="IQ26" i="18"/>
  <c r="BF26" i="18"/>
  <c r="SU26" i="18"/>
  <c r="JN26" i="18"/>
  <c r="CC26" i="18"/>
  <c r="DA26" i="18"/>
  <c r="KL26" i="18"/>
  <c r="RJ26" i="18"/>
  <c r="SZ26" i="18"/>
  <c r="LQ26" i="18"/>
  <c r="UE26" i="18"/>
  <c r="QL26" i="18"/>
  <c r="FK26" i="18"/>
  <c r="BR26" i="18"/>
  <c r="IP26" i="18"/>
  <c r="ST26" i="18"/>
  <c r="BK26" i="18"/>
  <c r="IV26" i="18"/>
  <c r="SA26" i="18"/>
  <c r="SI26" i="18"/>
  <c r="GT26" i="18"/>
  <c r="OE26" i="18"/>
  <c r="VT26" i="18"/>
  <c r="RU26" i="18"/>
  <c r="VM26" i="18"/>
  <c r="BW26" i="18"/>
  <c r="FP26" i="18"/>
  <c r="JH26" i="18"/>
  <c r="NA26" i="18"/>
  <c r="QQ26" i="18"/>
  <c r="UI26" i="18"/>
  <c r="EM26" i="18"/>
  <c r="LU26" i="18"/>
  <c r="WW26" i="18"/>
  <c r="VS26" i="18"/>
  <c r="OK26" i="18"/>
  <c r="KR26" i="18"/>
  <c r="GY26" i="18"/>
  <c r="WY26" i="18"/>
  <c r="TF26" i="18"/>
  <c r="PM26" i="18"/>
  <c r="IE26" i="18"/>
  <c r="EL26" i="18"/>
  <c r="AS26" i="18"/>
  <c r="QS26" i="18"/>
  <c r="OD26" i="18"/>
  <c r="GS26" i="18"/>
  <c r="KG26" i="18"/>
  <c r="CV26" i="18"/>
  <c r="PA26" i="18"/>
  <c r="XK26" i="18"/>
  <c r="MZ26" i="18"/>
  <c r="FO26" i="18"/>
  <c r="UU26" i="18"/>
  <c r="NM26" i="18"/>
  <c r="JT26" i="18"/>
  <c r="GA26" i="18"/>
  <c r="WA26" i="18"/>
  <c r="SH26" i="18"/>
  <c r="OO26" i="18"/>
  <c r="HG26" i="18"/>
  <c r="DN26" i="18"/>
  <c r="XC26" i="18"/>
  <c r="PU26" i="18"/>
  <c r="MH26" i="18"/>
  <c r="EW26" i="18"/>
  <c r="IK26" i="18"/>
  <c r="AZ26" i="18"/>
  <c r="NE26" i="18"/>
  <c r="TS26" i="18"/>
  <c r="LD26" i="18"/>
  <c r="DS26" i="18"/>
  <c r="QG26" i="18"/>
  <c r="MN26" i="18"/>
  <c r="IU26" i="18"/>
  <c r="BM26" i="18"/>
  <c r="VB26" i="18"/>
  <c r="RI26" i="18"/>
  <c r="KA26" i="18"/>
  <c r="GH26" i="18"/>
  <c r="CO26" i="18"/>
  <c r="SO26" i="18"/>
  <c r="UP26" i="18"/>
  <c r="KK26" i="18"/>
  <c r="NY26" i="18"/>
  <c r="GN26" i="18"/>
  <c r="WK26" i="18"/>
  <c r="EA26" i="18"/>
  <c r="PZ26" i="18"/>
  <c r="JG26" i="18"/>
  <c r="XH27" i="18"/>
  <c r="WJ27" i="18"/>
  <c r="VL27" i="18"/>
  <c r="UN27" i="18"/>
  <c r="TP27" i="18"/>
  <c r="SR27" i="18"/>
  <c r="RT27" i="18"/>
  <c r="QV27" i="18"/>
  <c r="PX27" i="18"/>
  <c r="OZ27" i="18"/>
  <c r="OB27" i="18"/>
  <c r="ND27" i="18"/>
  <c r="MF27" i="18"/>
  <c r="LH27" i="18"/>
  <c r="KJ27" i="18"/>
  <c r="JL27" i="18"/>
  <c r="IN27" i="18"/>
  <c r="HP27" i="18"/>
  <c r="GR27" i="18"/>
  <c r="FT27" i="18"/>
  <c r="EV27" i="18"/>
  <c r="DX27" i="18"/>
  <c r="CZ27" i="18"/>
  <c r="WV27" i="18"/>
  <c r="VX27" i="18"/>
  <c r="UZ27" i="18"/>
  <c r="UB27" i="18"/>
  <c r="TD27" i="18"/>
  <c r="SF27" i="18"/>
  <c r="RH27" i="18"/>
  <c r="QJ27" i="18"/>
  <c r="PL27" i="18"/>
  <c r="ON27" i="18"/>
  <c r="NP27" i="18"/>
  <c r="MR27" i="18"/>
  <c r="LT27" i="18"/>
  <c r="KV27" i="18"/>
  <c r="JX27" i="18"/>
  <c r="IZ27" i="18"/>
  <c r="IB27" i="18"/>
  <c r="HD27" i="18"/>
  <c r="GF27" i="18"/>
  <c r="FH27" i="18"/>
  <c r="EJ27" i="18"/>
  <c r="DL27" i="18"/>
  <c r="WD27" i="18"/>
  <c r="UH27" i="18"/>
  <c r="SL27" i="18"/>
  <c r="QP27" i="18"/>
  <c r="OT27" i="18"/>
  <c r="MX27" i="18"/>
  <c r="LB27" i="18"/>
  <c r="JF27" i="18"/>
  <c r="HJ27" i="18"/>
  <c r="FN27" i="18"/>
  <c r="DR27" i="18"/>
  <c r="CN27" i="18"/>
  <c r="BV27" i="18"/>
  <c r="AX27" i="18"/>
  <c r="WP27" i="18"/>
  <c r="UT27" i="18"/>
  <c r="SX27" i="18"/>
  <c r="RB27" i="18"/>
  <c r="PF27" i="18"/>
  <c r="NJ27" i="18"/>
  <c r="LN27" i="18"/>
  <c r="JR27" i="18"/>
  <c r="HV27" i="18"/>
  <c r="FZ27" i="18"/>
  <c r="ED27" i="18"/>
  <c r="CB27" i="18"/>
  <c r="BD27" i="18"/>
  <c r="XB27" i="18"/>
  <c r="VF27" i="18"/>
  <c r="TJ27" i="18"/>
  <c r="RN27" i="18"/>
  <c r="PR27" i="18"/>
  <c r="NV27" i="18"/>
  <c r="LZ27" i="18"/>
  <c r="KD27" i="18"/>
  <c r="IH27" i="18"/>
  <c r="GL27" i="18"/>
  <c r="EP27" i="18"/>
  <c r="CT27" i="18"/>
  <c r="CH27" i="18"/>
  <c r="BJ27" i="18"/>
  <c r="AL27" i="18"/>
  <c r="VR27" i="18"/>
  <c r="OH27" i="18"/>
  <c r="GX27" i="18"/>
  <c r="QD27" i="18"/>
  <c r="IT27" i="18"/>
  <c r="AR27" i="18"/>
  <c r="RZ27" i="18"/>
  <c r="KP27" i="18"/>
  <c r="DF27" i="18"/>
  <c r="BP27" i="18"/>
  <c r="TV27" i="18"/>
  <c r="ML27" i="18"/>
  <c r="FB27" i="18"/>
  <c r="WT28" i="18"/>
  <c r="VV28" i="18"/>
  <c r="UX28" i="18"/>
  <c r="TZ28" i="18"/>
  <c r="TB28" i="18"/>
  <c r="SD28" i="18"/>
  <c r="RF28" i="18"/>
  <c r="QH28" i="18"/>
  <c r="PJ28" i="18"/>
  <c r="OL28" i="18"/>
  <c r="NN28" i="18"/>
  <c r="MP28" i="18"/>
  <c r="LR28" i="18"/>
  <c r="KT28" i="18"/>
  <c r="JV28" i="18"/>
  <c r="IX28" i="18"/>
  <c r="HZ28" i="18"/>
  <c r="HB28" i="18"/>
  <c r="GD28" i="18"/>
  <c r="FF28" i="18"/>
  <c r="EH28" i="18"/>
  <c r="DJ28" i="18"/>
  <c r="CL28" i="18"/>
  <c r="BN28" i="18"/>
  <c r="AP28" i="18"/>
  <c r="XF28" i="18"/>
  <c r="WH28" i="18"/>
  <c r="VJ28" i="18"/>
  <c r="UL28" i="18"/>
  <c r="TN28" i="18"/>
  <c r="SP28" i="18"/>
  <c r="RR28" i="18"/>
  <c r="QT28" i="18"/>
  <c r="PV28" i="18"/>
  <c r="OX28" i="18"/>
  <c r="NZ28" i="18"/>
  <c r="NB28" i="18"/>
  <c r="MD28" i="18"/>
  <c r="LF28" i="18"/>
  <c r="KH28" i="18"/>
  <c r="JJ28" i="18"/>
  <c r="IL28" i="18"/>
  <c r="HN28" i="18"/>
  <c r="GP28" i="18"/>
  <c r="FR28" i="18"/>
  <c r="ET28" i="18"/>
  <c r="DV28" i="18"/>
  <c r="CX28" i="18"/>
  <c r="BZ28" i="18"/>
  <c r="BB28" i="18"/>
  <c r="WN28" i="18"/>
  <c r="UR28" i="18"/>
  <c r="SV28" i="18"/>
  <c r="QZ28" i="18"/>
  <c r="PD28" i="18"/>
  <c r="NH28" i="18"/>
  <c r="LL28" i="18"/>
  <c r="JP28" i="18"/>
  <c r="HT28" i="18"/>
  <c r="FX28" i="18"/>
  <c r="EB28" i="18"/>
  <c r="CF28" i="18"/>
  <c r="AJ28" i="18"/>
  <c r="WZ28" i="18"/>
  <c r="VD28" i="18"/>
  <c r="TH28" i="18"/>
  <c r="RL28" i="18"/>
  <c r="PP28" i="18"/>
  <c r="NT28" i="18"/>
  <c r="LX28" i="18"/>
  <c r="KB28" i="18"/>
  <c r="IF28" i="18"/>
  <c r="GJ28" i="18"/>
  <c r="EN28" i="18"/>
  <c r="CR28" i="18"/>
  <c r="AV28" i="18"/>
  <c r="VP28" i="18"/>
  <c r="TT28" i="18"/>
  <c r="RX28" i="18"/>
  <c r="QB28" i="18"/>
  <c r="OF28" i="18"/>
  <c r="MJ28" i="18"/>
  <c r="KN28" i="18"/>
  <c r="IR28" i="18"/>
  <c r="GV28" i="18"/>
  <c r="EZ28" i="18"/>
  <c r="DD28" i="18"/>
  <c r="BH28" i="18"/>
  <c r="SJ28" i="18"/>
  <c r="KZ28" i="18"/>
  <c r="DP28" i="18"/>
  <c r="UF28" i="18"/>
  <c r="MV28" i="18"/>
  <c r="FL28" i="18"/>
  <c r="WB28" i="18"/>
  <c r="OR28" i="18"/>
  <c r="HH28" i="18"/>
  <c r="QN28" i="18"/>
  <c r="JD28" i="18"/>
  <c r="BT28" i="18"/>
  <c r="XA27" i="18"/>
  <c r="WC27" i="18"/>
  <c r="VE27" i="18"/>
  <c r="UG27" i="18"/>
  <c r="TI27" i="18"/>
  <c r="SK27" i="18"/>
  <c r="RM27" i="18"/>
  <c r="QO27" i="18"/>
  <c r="PQ27" i="18"/>
  <c r="OS27" i="18"/>
  <c r="OV27" i="18" s="1"/>
  <c r="NU27" i="18"/>
  <c r="MW27" i="18"/>
  <c r="LY27" i="18"/>
  <c r="LA27" i="18"/>
  <c r="KC27" i="18"/>
  <c r="JE27" i="18"/>
  <c r="IG27" i="18"/>
  <c r="HI27" i="18"/>
  <c r="HL27" i="18" s="1"/>
  <c r="GK27" i="18"/>
  <c r="FM27" i="18"/>
  <c r="EO27" i="18"/>
  <c r="DQ27" i="18"/>
  <c r="CS27" i="18"/>
  <c r="WO27" i="18"/>
  <c r="VQ27" i="18"/>
  <c r="US27" i="18"/>
  <c r="TU27" i="18"/>
  <c r="SW27" i="18"/>
  <c r="RY27" i="18"/>
  <c r="RA27" i="18"/>
  <c r="QC27" i="18"/>
  <c r="QE27" i="18" s="1"/>
  <c r="PE27" i="18"/>
  <c r="PI27" i="18" s="1"/>
  <c r="OG27" i="18"/>
  <c r="NI27" i="18"/>
  <c r="MK27" i="18"/>
  <c r="MO27" i="18" s="1"/>
  <c r="LM27" i="18"/>
  <c r="KO27" i="18"/>
  <c r="JQ27" i="18"/>
  <c r="IS27" i="18"/>
  <c r="HU27" i="18"/>
  <c r="GW27" i="18"/>
  <c r="FY27" i="18"/>
  <c r="FA27" i="18"/>
  <c r="EC27" i="18"/>
  <c r="DE27" i="18"/>
  <c r="WU27" i="18"/>
  <c r="UY27" i="18"/>
  <c r="TC27" i="18"/>
  <c r="RG27" i="18"/>
  <c r="PK27" i="18"/>
  <c r="NO27" i="18"/>
  <c r="LS27" i="18"/>
  <c r="JW27" i="18"/>
  <c r="IA27" i="18"/>
  <c r="GE27" i="18"/>
  <c r="EI27" i="18"/>
  <c r="BO27" i="18"/>
  <c r="BS27" i="18" s="1"/>
  <c r="AQ27" i="18"/>
  <c r="XG27" i="18"/>
  <c r="VK27" i="18"/>
  <c r="TO27" i="18"/>
  <c r="TR27" i="18" s="1"/>
  <c r="RS27" i="18"/>
  <c r="PW27" i="18"/>
  <c r="OA27" i="18"/>
  <c r="ME27" i="18"/>
  <c r="MG27" i="18" s="1"/>
  <c r="KI27" i="18"/>
  <c r="IM27" i="18"/>
  <c r="GQ27" i="18"/>
  <c r="EU27" i="18"/>
  <c r="EX27" i="18" s="1"/>
  <c r="CY27" i="18"/>
  <c r="CM27" i="18"/>
  <c r="BU27" i="18"/>
  <c r="AW27" i="18"/>
  <c r="VW27" i="18"/>
  <c r="UA27" i="18"/>
  <c r="SE27" i="18"/>
  <c r="QI27" i="18"/>
  <c r="OM27" i="18"/>
  <c r="MQ27" i="18"/>
  <c r="KU27" i="18"/>
  <c r="IY27" i="18"/>
  <c r="HC27" i="18"/>
  <c r="FG27" i="18"/>
  <c r="DK27" i="18"/>
  <c r="CA27" i="18"/>
  <c r="BC27" i="18"/>
  <c r="QU27" i="18"/>
  <c r="JK27" i="18"/>
  <c r="JO27" i="18" s="1"/>
  <c r="CG27" i="18"/>
  <c r="CJ27" i="18" s="1"/>
  <c r="SQ27" i="18"/>
  <c r="LG27" i="18"/>
  <c r="DW27" i="18"/>
  <c r="UM27" i="18"/>
  <c r="NC27" i="18"/>
  <c r="FS27" i="18"/>
  <c r="AK27" i="18"/>
  <c r="WI27" i="18"/>
  <c r="OY27" i="18"/>
  <c r="HO27" i="18"/>
  <c r="BI27" i="18"/>
  <c r="SC26" i="18"/>
  <c r="OJ26" i="18"/>
  <c r="KQ26" i="18"/>
  <c r="DI26" i="18"/>
  <c r="WX26" i="18"/>
  <c r="TE26" i="18"/>
  <c r="LW26" i="18"/>
  <c r="ID26" i="18"/>
  <c r="EK26" i="18"/>
  <c r="UK26" i="18"/>
  <c r="QR26" i="18"/>
  <c r="OC26" i="18"/>
  <c r="VO26" i="18"/>
  <c r="KF26" i="18"/>
  <c r="CU26" i="18"/>
  <c r="HS26" i="18"/>
  <c r="XJ26" i="18"/>
  <c r="MY26" i="18"/>
  <c r="RE26" i="18"/>
  <c r="NL26" i="18"/>
  <c r="JS26" i="18"/>
  <c r="CK26" i="18"/>
  <c r="VZ26" i="18"/>
  <c r="SG26" i="18"/>
  <c r="KY26" i="18"/>
  <c r="HF26" i="18"/>
  <c r="DM26" i="18"/>
  <c r="TM26" i="18"/>
  <c r="PT26" i="18"/>
  <c r="MG26" i="18"/>
  <c r="RW26" i="18"/>
  <c r="IJ26" i="18"/>
  <c r="AY26" i="18"/>
  <c r="FW26" i="18"/>
  <c r="TR26" i="18"/>
  <c r="LC26" i="18"/>
  <c r="TY26" i="18"/>
  <c r="QF26" i="18"/>
  <c r="MM26" i="18"/>
  <c r="FE26" i="18"/>
  <c r="BL26" i="18"/>
  <c r="VA26" i="18"/>
  <c r="NS26" i="18"/>
  <c r="JZ26" i="18"/>
  <c r="GG26" i="18"/>
  <c r="WG26" i="18"/>
  <c r="SN26" i="18"/>
  <c r="UO26" i="18"/>
  <c r="DC26" i="18"/>
  <c r="NX26" i="18"/>
  <c r="GM26" i="18"/>
  <c r="LK26" i="18"/>
  <c r="DZ26" i="18"/>
  <c r="PY26" i="18"/>
  <c r="BY26" i="18"/>
  <c r="VU26" i="18"/>
  <c r="SB26" i="18"/>
  <c r="HA26" i="18"/>
  <c r="DH26" i="18"/>
  <c r="PO26" i="18"/>
  <c r="LV26" i="18"/>
  <c r="AU26" i="18"/>
  <c r="UJ26" i="18"/>
  <c r="GU26" i="18"/>
  <c r="VN26" i="18"/>
  <c r="PC26" i="18"/>
  <c r="HR26" i="18"/>
  <c r="FQ26" i="18"/>
  <c r="UW26" i="18"/>
  <c r="RD26" i="18"/>
  <c r="GC26" i="18"/>
  <c r="CJ26" i="18"/>
  <c r="OQ26" i="18"/>
  <c r="KX26" i="18"/>
  <c r="XE26" i="18"/>
  <c r="TL26" i="18"/>
  <c r="EY26" i="18"/>
  <c r="RV26" i="18"/>
  <c r="NG26" i="18"/>
  <c r="FV26" i="18"/>
  <c r="DU26" i="18"/>
  <c r="TX26" i="18"/>
  <c r="IW26" i="18"/>
  <c r="FD26" i="18"/>
  <c r="RK26" i="18"/>
  <c r="NR26" i="18"/>
  <c r="CQ26" i="18"/>
  <c r="WF26" i="18"/>
  <c r="KM26" i="18"/>
  <c r="DB26" i="18"/>
  <c r="WM26" i="18"/>
  <c r="LJ26" i="18"/>
  <c r="JI26" i="18"/>
  <c r="BX26" i="18"/>
  <c r="T23" i="18"/>
  <c r="U23" i="18" s="1"/>
  <c r="B53" i="9"/>
  <c r="B53" i="1"/>
  <c r="B53" i="7"/>
  <c r="AD50" i="5"/>
  <c r="AE50" i="5" s="1"/>
  <c r="AI50" i="5" s="1"/>
  <c r="O28" i="18"/>
  <c r="N28" i="18"/>
  <c r="B29" i="18"/>
  <c r="AJ48" i="5"/>
  <c r="AL48" i="5" s="1"/>
  <c r="AL46" i="5"/>
  <c r="F48" i="5"/>
  <c r="B55" i="5"/>
  <c r="AE53" i="5"/>
  <c r="K53" i="5"/>
  <c r="B52" i="5"/>
  <c r="R50" i="5"/>
  <c r="AG50" i="5" s="1"/>
  <c r="K50" i="5"/>
  <c r="R25" i="18"/>
  <c r="P25" i="18"/>
  <c r="Q25" i="18"/>
  <c r="R89" i="14"/>
  <c r="B93" i="14"/>
  <c r="S90" i="14"/>
  <c r="U90" i="14"/>
  <c r="T90" i="14"/>
  <c r="Q89" i="14"/>
  <c r="B54" i="8"/>
  <c r="B55" i="8"/>
  <c r="B52" i="7"/>
  <c r="BP49" i="1"/>
  <c r="X49" i="7" s="1"/>
  <c r="BQ49" i="1"/>
  <c r="O48" i="1"/>
  <c r="O49" i="1"/>
  <c r="B52" i="1"/>
  <c r="N50" i="1"/>
  <c r="B28" i="15"/>
  <c r="B52" i="9"/>
  <c r="Q48" i="5" l="1"/>
  <c r="U48" i="5" s="1"/>
  <c r="R43" i="8"/>
  <c r="Q51" i="5"/>
  <c r="U51" i="5" s="1"/>
  <c r="R52" i="5"/>
  <c r="AG52" i="5" s="1"/>
  <c r="I51" i="9"/>
  <c r="FI27" i="18"/>
  <c r="B59" i="19"/>
  <c r="G59" i="19" s="1"/>
  <c r="F57" i="19"/>
  <c r="XE27" i="18"/>
  <c r="WF27" i="18"/>
  <c r="I50" i="9"/>
  <c r="PT27" i="18"/>
  <c r="PA27" i="18"/>
  <c r="TE27" i="18"/>
  <c r="L50" i="9"/>
  <c r="L51" i="9"/>
  <c r="M49" i="9"/>
  <c r="M48" i="9"/>
  <c r="J50" i="9"/>
  <c r="J51" i="9"/>
  <c r="H52" i="9"/>
  <c r="K52" i="9" s="1"/>
  <c r="H53" i="9"/>
  <c r="K53" i="9" s="1"/>
  <c r="F53" i="5"/>
  <c r="ST27" i="18"/>
  <c r="F55" i="8"/>
  <c r="G55" i="8"/>
  <c r="F54" i="8"/>
  <c r="G54" i="8"/>
  <c r="I53" i="7"/>
  <c r="J53" i="7"/>
  <c r="I52" i="7"/>
  <c r="J52" i="7"/>
  <c r="E28" i="15"/>
  <c r="D28" i="15"/>
  <c r="E29" i="18"/>
  <c r="G29" i="18" s="1"/>
  <c r="D29" i="18"/>
  <c r="F29" i="18" s="1"/>
  <c r="I52" i="5"/>
  <c r="J52" i="5" s="1"/>
  <c r="I55" i="5"/>
  <c r="J55" i="5" s="1"/>
  <c r="H52" i="1"/>
  <c r="I52" i="1" s="1"/>
  <c r="H53" i="1"/>
  <c r="I53" i="1" s="1"/>
  <c r="WR27" i="18"/>
  <c r="EK27" i="18"/>
  <c r="IJ27" i="18"/>
  <c r="UD27" i="18"/>
  <c r="HW27" i="18"/>
  <c r="OJ27" i="18"/>
  <c r="BE27" i="18"/>
  <c r="DT27" i="18"/>
  <c r="MT27" i="18"/>
  <c r="T28" i="15"/>
  <c r="LU27" i="18"/>
  <c r="IC27" i="18"/>
  <c r="FU27" i="18"/>
  <c r="IU27" i="18"/>
  <c r="WQ27" i="18"/>
  <c r="QX27" i="18"/>
  <c r="NE27" i="18"/>
  <c r="PO27" i="18"/>
  <c r="WW27" i="18"/>
  <c r="LD27" i="18"/>
  <c r="SM27" i="18"/>
  <c r="XC27" i="18"/>
  <c r="QA27" i="18"/>
  <c r="UC27" i="18"/>
  <c r="RP27" i="18"/>
  <c r="QG27" i="18"/>
  <c r="MN27" i="18"/>
  <c r="DB27" i="18"/>
  <c r="KK27" i="18"/>
  <c r="RV27" i="18"/>
  <c r="JS27" i="18"/>
  <c r="RD27" i="18"/>
  <c r="QF27" i="18"/>
  <c r="CC27" i="18"/>
  <c r="MM27" i="18"/>
  <c r="JB27" i="18"/>
  <c r="QM27" i="18"/>
  <c r="BA27" i="18"/>
  <c r="FW27" i="18"/>
  <c r="UI27" i="18"/>
  <c r="UE27" i="18"/>
  <c r="FC27" i="18"/>
  <c r="IV27" i="18"/>
  <c r="KE27" i="18"/>
  <c r="RQ27" i="18"/>
  <c r="RO27" i="18"/>
  <c r="QW27" i="18"/>
  <c r="IW27" i="18"/>
  <c r="FK27" i="18"/>
  <c r="KF27" i="18"/>
  <c r="AO27" i="18"/>
  <c r="KY27" i="18"/>
  <c r="SG27" i="18"/>
  <c r="GS27" i="18"/>
  <c r="OE27" i="18"/>
  <c r="VN27" i="18"/>
  <c r="FO27" i="18"/>
  <c r="MZ27" i="18"/>
  <c r="QR27" i="18"/>
  <c r="UK27" i="18"/>
  <c r="FP27" i="18"/>
  <c r="FD27" i="18"/>
  <c r="CW27" i="18"/>
  <c r="KG27" i="18"/>
  <c r="WS27" i="18"/>
  <c r="UP27" i="18"/>
  <c r="OC27" i="18"/>
  <c r="NA27" i="18"/>
  <c r="HY27" i="18"/>
  <c r="FV27" i="18"/>
  <c r="QY27" i="18"/>
  <c r="VO27" i="18"/>
  <c r="GT27" i="18"/>
  <c r="FE27" i="18"/>
  <c r="CU27" i="18"/>
  <c r="VM27" i="18"/>
  <c r="MY27" i="18"/>
  <c r="PG27" i="18"/>
  <c r="DI27" i="18"/>
  <c r="KQ27" i="18"/>
  <c r="VU27" i="18"/>
  <c r="ES27" i="18"/>
  <c r="MC27" i="18"/>
  <c r="TK27" i="18"/>
  <c r="GU27" i="18"/>
  <c r="HX27" i="18"/>
  <c r="JN27" i="18"/>
  <c r="CV27" i="18"/>
  <c r="VH27" i="18"/>
  <c r="CP27" i="18"/>
  <c r="JG27" i="18"/>
  <c r="DM27" i="18"/>
  <c r="KW27" i="18"/>
  <c r="IP27" i="18"/>
  <c r="XJ27" i="18"/>
  <c r="CQ27" i="18"/>
  <c r="TM27" i="18"/>
  <c r="DN27" i="18"/>
  <c r="KX27" i="18"/>
  <c r="SI27" i="18"/>
  <c r="JI27" i="18"/>
  <c r="XK27" i="18"/>
  <c r="MB27" i="18"/>
  <c r="XD27" i="18"/>
  <c r="SH27" i="18"/>
  <c r="DO27" i="18"/>
  <c r="OD27" i="18"/>
  <c r="UJ27" i="18"/>
  <c r="FQ27" i="18"/>
  <c r="PH27" i="18"/>
  <c r="JM27" i="18"/>
  <c r="RK27" i="18"/>
  <c r="HA27" i="18"/>
  <c r="FJ27" i="18"/>
  <c r="UQ27" i="18"/>
  <c r="MU27" i="18"/>
  <c r="JH27" i="18"/>
  <c r="QQ27" i="18"/>
  <c r="IO27" i="18"/>
  <c r="PZ27" i="18"/>
  <c r="XI27" i="18"/>
  <c r="CE27" i="18"/>
  <c r="VT27" i="18"/>
  <c r="TL27" i="18"/>
  <c r="MS27" i="18"/>
  <c r="QS27" i="18"/>
  <c r="PU27" i="18"/>
  <c r="CD27" i="18"/>
  <c r="VS27" i="18"/>
  <c r="QK27" i="18"/>
  <c r="JC27" i="18"/>
  <c r="TS27" i="18"/>
  <c r="MI27" i="18"/>
  <c r="EY27" i="18"/>
  <c r="IQ27" i="18"/>
  <c r="PY27" i="18"/>
  <c r="QL27" i="18"/>
  <c r="JA27" i="18"/>
  <c r="TQ27" i="18"/>
  <c r="MH27" i="18"/>
  <c r="BR27" i="18"/>
  <c r="HG27" i="18"/>
  <c r="OP27" i="18"/>
  <c r="WA27" i="18"/>
  <c r="AU27" i="18"/>
  <c r="GA27" i="18"/>
  <c r="NL27" i="18"/>
  <c r="UW27" i="18"/>
  <c r="AM27" i="18"/>
  <c r="AN27" i="18"/>
  <c r="HE27" i="18"/>
  <c r="UU27" i="18"/>
  <c r="TW27" i="18"/>
  <c r="GZ27" i="18"/>
  <c r="BM27" i="18"/>
  <c r="NW27" i="18"/>
  <c r="VI27" i="18"/>
  <c r="EG27" i="18"/>
  <c r="LP27" i="18"/>
  <c r="SZ27" i="18"/>
  <c r="GG27" i="18"/>
  <c r="JY27" i="18"/>
  <c r="NS27" i="18"/>
  <c r="RJ27" i="18"/>
  <c r="VA27" i="18"/>
  <c r="VY27" i="18"/>
  <c r="NK27" i="18"/>
  <c r="LQ27" i="18"/>
  <c r="KA27" i="18"/>
  <c r="RI27" i="18"/>
  <c r="GY27" i="18"/>
  <c r="CK27" i="18"/>
  <c r="AY27" i="18"/>
  <c r="JZ27" i="18"/>
  <c r="UO27" i="18"/>
  <c r="OK27" i="18"/>
  <c r="SN27" i="18"/>
  <c r="EW27" i="18"/>
  <c r="EE27" i="18"/>
  <c r="PS27" i="18"/>
  <c r="NR27" i="18"/>
  <c r="BL27" i="18"/>
  <c r="RW27" i="18"/>
  <c r="KL27" i="18"/>
  <c r="DC27" i="18"/>
  <c r="CI27" i="18"/>
  <c r="AZ27" i="18"/>
  <c r="OI27" i="18"/>
  <c r="DU27" i="18"/>
  <c r="TY27" i="18"/>
  <c r="BQ27" i="18"/>
  <c r="MA27" i="18"/>
  <c r="CO27" i="18"/>
  <c r="VZ27" i="18"/>
  <c r="OQ27" i="18"/>
  <c r="HF27" i="18"/>
  <c r="RU27" i="18"/>
  <c r="DA27" i="18"/>
  <c r="BG27" i="18"/>
  <c r="VC27" i="18"/>
  <c r="NQ27" i="18"/>
  <c r="GI27" i="18"/>
  <c r="NG27" i="18"/>
  <c r="BK27" i="18"/>
  <c r="LE27" i="18"/>
  <c r="DS27" i="18"/>
  <c r="UV27" i="18"/>
  <c r="GC27" i="18"/>
  <c r="VG27" i="18"/>
  <c r="TX27" i="18"/>
  <c r="TA27" i="18"/>
  <c r="LO27" i="18"/>
  <c r="EF27" i="18"/>
  <c r="NY27" i="18"/>
  <c r="WM27" i="18"/>
  <c r="SA27" i="18"/>
  <c r="OO27" i="18"/>
  <c r="KM27" i="18"/>
  <c r="BF27" i="18"/>
  <c r="VB27" i="18"/>
  <c r="GH27" i="18"/>
  <c r="NF27" i="18"/>
  <c r="SO27" i="18"/>
  <c r="LC27" i="18"/>
  <c r="NM27" i="18"/>
  <c r="GB27" i="18"/>
  <c r="SY27" i="18"/>
  <c r="NX27" i="18"/>
  <c r="DZ27" i="18"/>
  <c r="BW27" i="18"/>
  <c r="HS27" i="18"/>
  <c r="LI27" i="18"/>
  <c r="GN27" i="18"/>
  <c r="TG27" i="18"/>
  <c r="PN27" i="18"/>
  <c r="LV27" i="18"/>
  <c r="EM27" i="18"/>
  <c r="WL27" i="18"/>
  <c r="SS27" i="18"/>
  <c r="LK27" i="18"/>
  <c r="HR27" i="18"/>
  <c r="DY27" i="18"/>
  <c r="KS27" i="18"/>
  <c r="DH27" i="18"/>
  <c r="WE27" i="18"/>
  <c r="HM27" i="18"/>
  <c r="AT27" i="18"/>
  <c r="RC27" i="18"/>
  <c r="BY27" i="18"/>
  <c r="EQ27" i="18"/>
  <c r="GM27" i="18"/>
  <c r="XH28" i="18"/>
  <c r="WJ28" i="18"/>
  <c r="VL28" i="18"/>
  <c r="UN28" i="18"/>
  <c r="TP28" i="18"/>
  <c r="SR28" i="18"/>
  <c r="RT28" i="18"/>
  <c r="QV28" i="18"/>
  <c r="PX28" i="18"/>
  <c r="OZ28" i="18"/>
  <c r="OB28" i="18"/>
  <c r="ND28" i="18"/>
  <c r="MF28" i="18"/>
  <c r="LH28" i="18"/>
  <c r="KJ28" i="18"/>
  <c r="JL28" i="18"/>
  <c r="IN28" i="18"/>
  <c r="HP28" i="18"/>
  <c r="GR28" i="18"/>
  <c r="FT28" i="18"/>
  <c r="EV28" i="18"/>
  <c r="DX28" i="18"/>
  <c r="CZ28" i="18"/>
  <c r="CB28" i="18"/>
  <c r="BD28" i="18"/>
  <c r="WV28" i="18"/>
  <c r="VX28" i="18"/>
  <c r="UZ28" i="18"/>
  <c r="UB28" i="18"/>
  <c r="TD28" i="18"/>
  <c r="SF28" i="18"/>
  <c r="RH28" i="18"/>
  <c r="QJ28" i="18"/>
  <c r="PL28" i="18"/>
  <c r="ON28" i="18"/>
  <c r="NP28" i="18"/>
  <c r="MR28" i="18"/>
  <c r="LT28" i="18"/>
  <c r="KV28" i="18"/>
  <c r="JX28" i="18"/>
  <c r="IZ28" i="18"/>
  <c r="IB28" i="18"/>
  <c r="HD28" i="18"/>
  <c r="GF28" i="18"/>
  <c r="FH28" i="18"/>
  <c r="EJ28" i="18"/>
  <c r="DL28" i="18"/>
  <c r="CN28" i="18"/>
  <c r="BP28" i="18"/>
  <c r="AR28" i="18"/>
  <c r="XB28" i="18"/>
  <c r="VF28" i="18"/>
  <c r="TJ28" i="18"/>
  <c r="RN28" i="18"/>
  <c r="PR28" i="18"/>
  <c r="NV28" i="18"/>
  <c r="LZ28" i="18"/>
  <c r="KD28" i="18"/>
  <c r="IH28" i="18"/>
  <c r="GL28" i="18"/>
  <c r="EP28" i="18"/>
  <c r="CT28" i="18"/>
  <c r="AX28" i="18"/>
  <c r="VR28" i="18"/>
  <c r="TV28" i="18"/>
  <c r="RZ28" i="18"/>
  <c r="QD28" i="18"/>
  <c r="OH28" i="18"/>
  <c r="ML28" i="18"/>
  <c r="KP28" i="18"/>
  <c r="IT28" i="18"/>
  <c r="GX28" i="18"/>
  <c r="FB28" i="18"/>
  <c r="DF28" i="18"/>
  <c r="BJ28" i="18"/>
  <c r="WD28" i="18"/>
  <c r="UH28" i="18"/>
  <c r="SL28" i="18"/>
  <c r="QP28" i="18"/>
  <c r="OT28" i="18"/>
  <c r="MX28" i="18"/>
  <c r="LB28" i="18"/>
  <c r="JF28" i="18"/>
  <c r="HJ28" i="18"/>
  <c r="FN28" i="18"/>
  <c r="DR28" i="18"/>
  <c r="BV28" i="18"/>
  <c r="UT28" i="18"/>
  <c r="NJ28" i="18"/>
  <c r="FZ28" i="18"/>
  <c r="WP28" i="18"/>
  <c r="PF28" i="18"/>
  <c r="HV28" i="18"/>
  <c r="AL28" i="18"/>
  <c r="RB28" i="18"/>
  <c r="JR28" i="18"/>
  <c r="CH28" i="18"/>
  <c r="SX28" i="18"/>
  <c r="LN28" i="18"/>
  <c r="ED28" i="18"/>
  <c r="WY27" i="18"/>
  <c r="TF27" i="18"/>
  <c r="PM27" i="18"/>
  <c r="IE27" i="18"/>
  <c r="EL27" i="18"/>
  <c r="WK27" i="18"/>
  <c r="PC27" i="18"/>
  <c r="LJ27" i="18"/>
  <c r="HQ27" i="18"/>
  <c r="SC27" i="18"/>
  <c r="KR27" i="18"/>
  <c r="DG27" i="18"/>
  <c r="OW27" i="18"/>
  <c r="HK27" i="18"/>
  <c r="AS27" i="18"/>
  <c r="JU27" i="18"/>
  <c r="BX27" i="18"/>
  <c r="ER27" i="18"/>
  <c r="IK27" i="18"/>
  <c r="XA28" i="18"/>
  <c r="WC28" i="18"/>
  <c r="VE28" i="18"/>
  <c r="UG28" i="18"/>
  <c r="TI28" i="18"/>
  <c r="SK28" i="18"/>
  <c r="RM28" i="18"/>
  <c r="QO28" i="18"/>
  <c r="QR28" i="18" s="1"/>
  <c r="PQ28" i="18"/>
  <c r="OS28" i="18"/>
  <c r="NU28" i="18"/>
  <c r="MW28" i="18"/>
  <c r="LY28" i="18"/>
  <c r="LA28" i="18"/>
  <c r="KC28" i="18"/>
  <c r="JE28" i="18"/>
  <c r="JG28" i="18" s="1"/>
  <c r="IG28" i="18"/>
  <c r="HI28" i="18"/>
  <c r="GK28" i="18"/>
  <c r="FM28" i="18"/>
  <c r="EO28" i="18"/>
  <c r="DQ28" i="18"/>
  <c r="CS28" i="18"/>
  <c r="CV28" i="18" s="1"/>
  <c r="BU28" i="18"/>
  <c r="BX28" i="18" s="1"/>
  <c r="AW28" i="18"/>
  <c r="WO28" i="18"/>
  <c r="VQ28" i="18"/>
  <c r="US28" i="18"/>
  <c r="TU28" i="18"/>
  <c r="SW28" i="18"/>
  <c r="RY28" i="18"/>
  <c r="RA28" i="18"/>
  <c r="RD28" i="18" s="1"/>
  <c r="QC28" i="18"/>
  <c r="PE28" i="18"/>
  <c r="OG28" i="18"/>
  <c r="NI28" i="18"/>
  <c r="MK28" i="18"/>
  <c r="LM28" i="18"/>
  <c r="KO28" i="18"/>
  <c r="JQ28" i="18"/>
  <c r="IS28" i="18"/>
  <c r="HU28" i="18"/>
  <c r="GW28" i="18"/>
  <c r="FY28" i="18"/>
  <c r="FA28" i="18"/>
  <c r="EC28" i="18"/>
  <c r="DE28" i="18"/>
  <c r="DI28" i="18" s="1"/>
  <c r="CG28" i="18"/>
  <c r="BI28" i="18"/>
  <c r="AK28" i="18"/>
  <c r="VW28" i="18"/>
  <c r="UA28" i="18"/>
  <c r="SE28" i="18"/>
  <c r="QI28" i="18"/>
  <c r="QM28" i="18" s="1"/>
  <c r="OM28" i="18"/>
  <c r="MQ28" i="18"/>
  <c r="KU28" i="18"/>
  <c r="IY28" i="18"/>
  <c r="HC28" i="18"/>
  <c r="FG28" i="18"/>
  <c r="DK28" i="18"/>
  <c r="BO28" i="18"/>
  <c r="BS28" i="18" s="1"/>
  <c r="WI28" i="18"/>
  <c r="UM28" i="18"/>
  <c r="SQ28" i="18"/>
  <c r="QU28" i="18"/>
  <c r="OY28" i="18"/>
  <c r="PA28" i="18" s="1"/>
  <c r="NC28" i="18"/>
  <c r="LG28" i="18"/>
  <c r="JK28" i="18"/>
  <c r="HO28" i="18"/>
  <c r="FS28" i="18"/>
  <c r="DW28" i="18"/>
  <c r="CA28" i="18"/>
  <c r="WU28" i="18"/>
  <c r="UY28" i="18"/>
  <c r="TC28" i="18"/>
  <c r="RG28" i="18"/>
  <c r="PK28" i="18"/>
  <c r="NO28" i="18"/>
  <c r="LS28" i="18"/>
  <c r="JW28" i="18"/>
  <c r="IA28" i="18"/>
  <c r="ID28" i="18" s="1"/>
  <c r="GE28" i="18"/>
  <c r="EI28" i="18"/>
  <c r="CM28" i="18"/>
  <c r="AQ28" i="18"/>
  <c r="XG28" i="18"/>
  <c r="PW28" i="18"/>
  <c r="IM28" i="18"/>
  <c r="BC28" i="18"/>
  <c r="RS28" i="18"/>
  <c r="KI28" i="18"/>
  <c r="CY28" i="18"/>
  <c r="TO28" i="18"/>
  <c r="ME28" i="18"/>
  <c r="EU28" i="18"/>
  <c r="VK28" i="18"/>
  <c r="OA28" i="18"/>
  <c r="GQ28" i="18"/>
  <c r="WX27" i="18"/>
  <c r="LW27" i="18"/>
  <c r="ID27" i="18"/>
  <c r="SU27" i="18"/>
  <c r="PB27" i="18"/>
  <c r="EA27" i="18"/>
  <c r="SB27" i="18"/>
  <c r="WG27" i="18"/>
  <c r="OU27" i="18"/>
  <c r="RE27" i="18"/>
  <c r="JT27" i="18"/>
  <c r="GO27" i="18"/>
  <c r="II27" i="18"/>
  <c r="WT29" i="18"/>
  <c r="VV29" i="18"/>
  <c r="UX29" i="18"/>
  <c r="TZ29" i="18"/>
  <c r="TB29" i="18"/>
  <c r="SD29" i="18"/>
  <c r="RF29" i="18"/>
  <c r="QH29" i="18"/>
  <c r="PJ29" i="18"/>
  <c r="OL29" i="18"/>
  <c r="NN29" i="18"/>
  <c r="MP29" i="18"/>
  <c r="LR29" i="18"/>
  <c r="KT29" i="18"/>
  <c r="JV29" i="18"/>
  <c r="IX29" i="18"/>
  <c r="HZ29" i="18"/>
  <c r="HB29" i="18"/>
  <c r="GD29" i="18"/>
  <c r="WH29" i="18"/>
  <c r="UR29" i="18"/>
  <c r="UF29" i="18"/>
  <c r="SP29" i="18"/>
  <c r="QZ29" i="18"/>
  <c r="QN29" i="18"/>
  <c r="OX29" i="18"/>
  <c r="NH29" i="18"/>
  <c r="MV29" i="18"/>
  <c r="LF29" i="18"/>
  <c r="JP29" i="18"/>
  <c r="JD29" i="18"/>
  <c r="HN29" i="18"/>
  <c r="FX29" i="18"/>
  <c r="FF29" i="18"/>
  <c r="EH29" i="18"/>
  <c r="DJ29" i="18"/>
  <c r="CL29" i="18"/>
  <c r="BN29" i="18"/>
  <c r="AP29" i="18"/>
  <c r="WN29" i="18"/>
  <c r="WB29" i="18"/>
  <c r="UL29" i="18"/>
  <c r="SV29" i="18"/>
  <c r="SJ29" i="18"/>
  <c r="QT29" i="18"/>
  <c r="PD29" i="18"/>
  <c r="OR29" i="18"/>
  <c r="NB29" i="18"/>
  <c r="LL29" i="18"/>
  <c r="KZ29" i="18"/>
  <c r="JJ29" i="18"/>
  <c r="HT29" i="18"/>
  <c r="HH29" i="18"/>
  <c r="FR29" i="18"/>
  <c r="ET29" i="18"/>
  <c r="DV29" i="18"/>
  <c r="CX29" i="18"/>
  <c r="BZ29" i="18"/>
  <c r="BB29" i="18"/>
  <c r="VD29" i="18"/>
  <c r="TN29" i="18"/>
  <c r="RX29" i="18"/>
  <c r="NT29" i="18"/>
  <c r="MD29" i="18"/>
  <c r="KN29" i="18"/>
  <c r="GJ29" i="18"/>
  <c r="EZ29" i="18"/>
  <c r="DD29" i="18"/>
  <c r="BH29" i="18"/>
  <c r="TH29" i="18"/>
  <c r="RR29" i="18"/>
  <c r="QB29" i="18"/>
  <c r="LX29" i="18"/>
  <c r="KH29" i="18"/>
  <c r="IR29" i="18"/>
  <c r="FL29" i="18"/>
  <c r="DP29" i="18"/>
  <c r="BT29" i="18"/>
  <c r="XF29" i="18"/>
  <c r="VP29" i="18"/>
  <c r="RL29" i="18"/>
  <c r="PV29" i="18"/>
  <c r="OF29" i="18"/>
  <c r="KB29" i="18"/>
  <c r="IL29" i="18"/>
  <c r="GV29" i="18"/>
  <c r="EB29" i="18"/>
  <c r="CF29" i="18"/>
  <c r="AJ29" i="18"/>
  <c r="VJ29" i="18"/>
  <c r="IF29" i="18"/>
  <c r="CR29" i="18"/>
  <c r="NZ29" i="18"/>
  <c r="EN29" i="18"/>
  <c r="WZ29" i="18"/>
  <c r="TT29" i="18"/>
  <c r="GP29" i="18"/>
  <c r="PP29" i="18"/>
  <c r="MJ29" i="18"/>
  <c r="AV29" i="18"/>
  <c r="R26" i="18"/>
  <c r="Q26" i="18"/>
  <c r="P26" i="18"/>
  <c r="T25" i="18" s="1"/>
  <c r="B55" i="7"/>
  <c r="B55" i="1"/>
  <c r="B55" i="9"/>
  <c r="AD52" i="5"/>
  <c r="AE52" i="5" s="1"/>
  <c r="AI52" i="5" s="1"/>
  <c r="B30" i="18"/>
  <c r="O29" i="18"/>
  <c r="N29" i="18"/>
  <c r="B54" i="5"/>
  <c r="K52" i="5"/>
  <c r="F50" i="5"/>
  <c r="B57" i="5"/>
  <c r="R55" i="5"/>
  <c r="AG55" i="5" s="1"/>
  <c r="AE55" i="5"/>
  <c r="K55" i="5"/>
  <c r="AJ50" i="5"/>
  <c r="T24" i="18"/>
  <c r="S24" i="18"/>
  <c r="B94" i="14"/>
  <c r="U91" i="14"/>
  <c r="T91" i="14"/>
  <c r="S91" i="14"/>
  <c r="Q90" i="14"/>
  <c r="R90" i="14"/>
  <c r="B54" i="9"/>
  <c r="B54" i="1"/>
  <c r="N52" i="1"/>
  <c r="B54" i="7"/>
  <c r="B29" i="15"/>
  <c r="B57" i="8"/>
  <c r="B56" i="8"/>
  <c r="O50" i="1"/>
  <c r="BP51" i="1"/>
  <c r="X51" i="7" s="1"/>
  <c r="BQ51" i="1"/>
  <c r="O51" i="1"/>
  <c r="Q50" i="5" l="1"/>
  <c r="U50" i="5" s="1"/>
  <c r="R45" i="8"/>
  <c r="Q53" i="5"/>
  <c r="U53" i="5" s="1"/>
  <c r="IO28" i="18"/>
  <c r="RV28" i="18"/>
  <c r="AU28" i="18"/>
  <c r="I53" i="9"/>
  <c r="B61" i="19"/>
  <c r="G61" i="19" s="1"/>
  <c r="F59" i="19"/>
  <c r="KQ28" i="18"/>
  <c r="I52" i="9"/>
  <c r="KF28" i="18"/>
  <c r="M51" i="9"/>
  <c r="L53" i="9"/>
  <c r="L52" i="9"/>
  <c r="M50" i="9"/>
  <c r="WK28" i="18"/>
  <c r="J53" i="9"/>
  <c r="J52" i="9"/>
  <c r="H54" i="9"/>
  <c r="K54" i="9" s="1"/>
  <c r="H55" i="9"/>
  <c r="K55" i="9" s="1"/>
  <c r="RO28" i="18"/>
  <c r="F55" i="5"/>
  <c r="JB28" i="18"/>
  <c r="WX28" i="18"/>
  <c r="F56" i="8"/>
  <c r="G56" i="8"/>
  <c r="F57" i="8"/>
  <c r="G57" i="8"/>
  <c r="I54" i="7"/>
  <c r="J54" i="7"/>
  <c r="J55" i="7"/>
  <c r="I55" i="7"/>
  <c r="D29" i="15"/>
  <c r="E29" i="15"/>
  <c r="D30" i="18"/>
  <c r="F30" i="18" s="1"/>
  <c r="E30" i="18"/>
  <c r="G30" i="18" s="1"/>
  <c r="I57" i="5"/>
  <c r="J57" i="5" s="1"/>
  <c r="I54" i="5"/>
  <c r="J54" i="5" s="1"/>
  <c r="H55" i="1"/>
  <c r="I55" i="1" s="1"/>
  <c r="H54" i="1"/>
  <c r="I54" i="1" s="1"/>
  <c r="HQ28" i="18"/>
  <c r="SC28" i="18"/>
  <c r="HW28" i="18"/>
  <c r="U24" i="18"/>
  <c r="PO28" i="18"/>
  <c r="GS28" i="18"/>
  <c r="T29" i="15"/>
  <c r="EW28" i="18"/>
  <c r="HY28" i="18"/>
  <c r="RP28" i="18"/>
  <c r="TW28" i="18"/>
  <c r="TL28" i="18"/>
  <c r="MN28" i="18"/>
  <c r="ES28" i="18"/>
  <c r="MG28" i="18"/>
  <c r="XJ28" i="18"/>
  <c r="FJ28" i="18"/>
  <c r="MS28" i="18"/>
  <c r="UD28" i="18"/>
  <c r="CK28" i="18"/>
  <c r="NM28" i="18"/>
  <c r="FP28" i="18"/>
  <c r="MY28" i="18"/>
  <c r="IQ28" i="18"/>
  <c r="TQ28" i="18"/>
  <c r="CJ28" i="18"/>
  <c r="WA28" i="18"/>
  <c r="UI28" i="18"/>
  <c r="CP28" i="18"/>
  <c r="DT28" i="18"/>
  <c r="SA28" i="18"/>
  <c r="HR28" i="18"/>
  <c r="SS28" i="18"/>
  <c r="CW28" i="18"/>
  <c r="GH28" i="18"/>
  <c r="NS28" i="18"/>
  <c r="VB28" i="18"/>
  <c r="FU28" i="18"/>
  <c r="NF28" i="18"/>
  <c r="UO28" i="18"/>
  <c r="JT28" i="18"/>
  <c r="UV28" i="18"/>
  <c r="WR28" i="18"/>
  <c r="HE28" i="18"/>
  <c r="OO28" i="18"/>
  <c r="GZ28" i="18"/>
  <c r="OJ28" i="18"/>
  <c r="VS28" i="18"/>
  <c r="GO28" i="18"/>
  <c r="NX28" i="18"/>
  <c r="VH28" i="18"/>
  <c r="KR28" i="18"/>
  <c r="CO28" i="18"/>
  <c r="JY28" i="18"/>
  <c r="RI28" i="18"/>
  <c r="CD28" i="18"/>
  <c r="JO28" i="18"/>
  <c r="QX28" i="18"/>
  <c r="AM28" i="18"/>
  <c r="EE28" i="18"/>
  <c r="PI28" i="18"/>
  <c r="HL28" i="18"/>
  <c r="WG28" i="18"/>
  <c r="WS28" i="18"/>
  <c r="WQ28" i="18"/>
  <c r="RE28" i="18"/>
  <c r="RK28" i="18"/>
  <c r="PG28" i="18"/>
  <c r="WE28" i="18"/>
  <c r="IP28" i="18"/>
  <c r="QS28" i="18"/>
  <c r="HX28" i="18"/>
  <c r="JU28" i="18"/>
  <c r="FQ28" i="18"/>
  <c r="QQ28" i="18"/>
  <c r="JZ28" i="18"/>
  <c r="PH28" i="18"/>
  <c r="WF28" i="18"/>
  <c r="OD28" i="18"/>
  <c r="TS28" i="18"/>
  <c r="BF28" i="18"/>
  <c r="HG28" i="18"/>
  <c r="OQ28" i="18"/>
  <c r="VZ28" i="18"/>
  <c r="JS28" i="18"/>
  <c r="JI28" i="18"/>
  <c r="VM28" i="18"/>
  <c r="DB28" i="18"/>
  <c r="FO28" i="18"/>
  <c r="CI28" i="18"/>
  <c r="JH28" i="18"/>
  <c r="EX28" i="18"/>
  <c r="KM28" i="18"/>
  <c r="PY28" i="18"/>
  <c r="DO28" i="18"/>
  <c r="KX28" i="18"/>
  <c r="SI28" i="18"/>
  <c r="BM28" i="18"/>
  <c r="FE28" i="18"/>
  <c r="IV28" i="18"/>
  <c r="MM28" i="18"/>
  <c r="QF28" i="18"/>
  <c r="TX28" i="18"/>
  <c r="AY28" i="18"/>
  <c r="EQ28" i="18"/>
  <c r="IK28" i="18"/>
  <c r="MC28" i="18"/>
  <c r="TK28" i="18"/>
  <c r="RJ28" i="18"/>
  <c r="MH28" i="18"/>
  <c r="CQ28" i="18"/>
  <c r="OV28" i="18"/>
  <c r="PZ28" i="18"/>
  <c r="MI28" i="18"/>
  <c r="KA28" i="18"/>
  <c r="KW28" i="18"/>
  <c r="AO28" i="18"/>
  <c r="DS28" i="18"/>
  <c r="LD28" i="18"/>
  <c r="DY28" i="18"/>
  <c r="VY28" i="18"/>
  <c r="OP28" i="18"/>
  <c r="HF28" i="18"/>
  <c r="TR28" i="18"/>
  <c r="BG28" i="18"/>
  <c r="RC28" i="18"/>
  <c r="LE28" i="18"/>
  <c r="NQ28" i="18"/>
  <c r="PC28" i="18"/>
  <c r="AN28" i="18"/>
  <c r="KG28" i="18"/>
  <c r="CU28" i="18"/>
  <c r="SB28" i="18"/>
  <c r="DG28" i="18"/>
  <c r="LQ28" i="18"/>
  <c r="SZ28" i="18"/>
  <c r="SO28" i="18"/>
  <c r="XI28" i="18"/>
  <c r="BE28" i="18"/>
  <c r="LC28" i="18"/>
  <c r="WM28" i="18"/>
  <c r="PB28" i="18"/>
  <c r="RQ28" i="18"/>
  <c r="KE28" i="18"/>
  <c r="KS28" i="18"/>
  <c r="DU28" i="18"/>
  <c r="EL28" i="18"/>
  <c r="LU28" i="18"/>
  <c r="TF28" i="18"/>
  <c r="DZ28" i="18"/>
  <c r="LK28" i="18"/>
  <c r="ST28" i="18"/>
  <c r="PT28" i="18"/>
  <c r="XD28" i="18"/>
  <c r="WL28" i="18"/>
  <c r="HS28" i="18"/>
  <c r="GA28" i="18"/>
  <c r="XK28" i="18"/>
  <c r="VC28" i="18"/>
  <c r="NR28" i="18"/>
  <c r="GI28" i="18"/>
  <c r="VA28" i="18"/>
  <c r="GG28" i="18"/>
  <c r="SG28" i="18"/>
  <c r="DM28" i="18"/>
  <c r="QA28" i="18"/>
  <c r="TM28" i="18"/>
  <c r="MA28" i="18"/>
  <c r="ER28" i="18"/>
  <c r="MO28" i="18"/>
  <c r="FC28" i="18"/>
  <c r="LI28" i="18"/>
  <c r="SH28" i="18"/>
  <c r="KY28" i="18"/>
  <c r="DN28" i="18"/>
  <c r="EY28" i="18"/>
  <c r="MB28" i="18"/>
  <c r="TY28" i="18"/>
  <c r="FD28" i="18"/>
  <c r="SU28" i="18"/>
  <c r="LJ28" i="18"/>
  <c r="EA28" i="18"/>
  <c r="DH28" i="18"/>
  <c r="UE28" i="18"/>
  <c r="QK28" i="18"/>
  <c r="MT28" i="18"/>
  <c r="FK28" i="18"/>
  <c r="BQ28" i="18"/>
  <c r="VN28" i="18"/>
  <c r="OE28" i="18"/>
  <c r="KK28" i="18"/>
  <c r="GT28" i="18"/>
  <c r="UW28" i="18"/>
  <c r="NK28" i="18"/>
  <c r="GB28" i="18"/>
  <c r="PU28" i="18"/>
  <c r="II28" i="18"/>
  <c r="AZ28" i="18"/>
  <c r="IW28" i="18"/>
  <c r="BK28" i="18"/>
  <c r="UJ28" i="18"/>
  <c r="BY28" i="18"/>
  <c r="TG28" i="18"/>
  <c r="PM28" i="18"/>
  <c r="LV28" i="18"/>
  <c r="EM28" i="18"/>
  <c r="AS28" i="18"/>
  <c r="UP28" i="18"/>
  <c r="NG28" i="18"/>
  <c r="JM28" i="18"/>
  <c r="FV28" i="18"/>
  <c r="TA28" i="18"/>
  <c r="LO28" i="18"/>
  <c r="EF28" i="18"/>
  <c r="NY28" i="18"/>
  <c r="GM28" i="18"/>
  <c r="VT28" i="18"/>
  <c r="HA28" i="18"/>
  <c r="SM28" i="18"/>
  <c r="MZ28" i="18"/>
  <c r="WT30" i="18"/>
  <c r="VV30" i="18"/>
  <c r="UX30" i="18"/>
  <c r="TZ30" i="18"/>
  <c r="TB30" i="18"/>
  <c r="SD30" i="18"/>
  <c r="RF30" i="18"/>
  <c r="QH30" i="18"/>
  <c r="PJ30" i="18"/>
  <c r="OL30" i="18"/>
  <c r="NN30" i="18"/>
  <c r="MP30" i="18"/>
  <c r="LR30" i="18"/>
  <c r="KT30" i="18"/>
  <c r="JV30" i="18"/>
  <c r="IX30" i="18"/>
  <c r="HZ30" i="18"/>
  <c r="HB30" i="18"/>
  <c r="GD30" i="18"/>
  <c r="FF30" i="18"/>
  <c r="EH30" i="18"/>
  <c r="DJ30" i="18"/>
  <c r="CL30" i="18"/>
  <c r="BN30" i="18"/>
  <c r="AP30" i="18"/>
  <c r="WZ30" i="18"/>
  <c r="VJ30" i="18"/>
  <c r="TT30" i="18"/>
  <c r="TH30" i="18"/>
  <c r="RR30" i="18"/>
  <c r="QB30" i="18"/>
  <c r="PP30" i="18"/>
  <c r="NZ30" i="18"/>
  <c r="MJ30" i="18"/>
  <c r="LX30" i="18"/>
  <c r="KH30" i="18"/>
  <c r="IR30" i="18"/>
  <c r="IF30" i="18"/>
  <c r="GP30" i="18"/>
  <c r="EZ30" i="18"/>
  <c r="EN30" i="18"/>
  <c r="CX30" i="18"/>
  <c r="BH30" i="18"/>
  <c r="AV30" i="18"/>
  <c r="XF30" i="18"/>
  <c r="VP30" i="18"/>
  <c r="VD30" i="18"/>
  <c r="TN30" i="18"/>
  <c r="RX30" i="18"/>
  <c r="RL30" i="18"/>
  <c r="PV30" i="18"/>
  <c r="OF30" i="18"/>
  <c r="NT30" i="18"/>
  <c r="MD30" i="18"/>
  <c r="KN30" i="18"/>
  <c r="KB30" i="18"/>
  <c r="IL30" i="18"/>
  <c r="GV30" i="18"/>
  <c r="GJ30" i="18"/>
  <c r="ET30" i="18"/>
  <c r="DD30" i="18"/>
  <c r="CR30" i="18"/>
  <c r="BB30" i="18"/>
  <c r="UF30" i="18"/>
  <c r="SP30" i="18"/>
  <c r="QZ30" i="18"/>
  <c r="MV30" i="18"/>
  <c r="LF30" i="18"/>
  <c r="JP30" i="18"/>
  <c r="FL30" i="18"/>
  <c r="DV30" i="18"/>
  <c r="CF30" i="18"/>
  <c r="WN30" i="18"/>
  <c r="SJ30" i="18"/>
  <c r="QT30" i="18"/>
  <c r="PD30" i="18"/>
  <c r="KZ30" i="18"/>
  <c r="JJ30" i="18"/>
  <c r="HT30" i="18"/>
  <c r="DP30" i="18"/>
  <c r="BZ30" i="18"/>
  <c r="AJ30" i="18"/>
  <c r="WH30" i="18"/>
  <c r="UR30" i="18"/>
  <c r="QN30" i="18"/>
  <c r="OX30" i="18"/>
  <c r="NH30" i="18"/>
  <c r="JD30" i="18"/>
  <c r="HN30" i="18"/>
  <c r="FX30" i="18"/>
  <c r="BT30" i="18"/>
  <c r="OR30" i="18"/>
  <c r="LL30" i="18"/>
  <c r="UL30" i="18"/>
  <c r="HH30" i="18"/>
  <c r="EB30" i="18"/>
  <c r="NB30" i="18"/>
  <c r="WB30" i="18"/>
  <c r="SV30" i="18"/>
  <c r="FR30" i="18"/>
  <c r="XH29" i="18"/>
  <c r="WJ29" i="18"/>
  <c r="VL29" i="18"/>
  <c r="UN29" i="18"/>
  <c r="TP29" i="18"/>
  <c r="SR29" i="18"/>
  <c r="RT29" i="18"/>
  <c r="QV29" i="18"/>
  <c r="PX29" i="18"/>
  <c r="OZ29" i="18"/>
  <c r="OB29" i="18"/>
  <c r="ND29" i="18"/>
  <c r="MF29" i="18"/>
  <c r="LH29" i="18"/>
  <c r="KJ29" i="18"/>
  <c r="JL29" i="18"/>
  <c r="IN29" i="18"/>
  <c r="HP29" i="18"/>
  <c r="GR29" i="18"/>
  <c r="FT29" i="18"/>
  <c r="XB29" i="18"/>
  <c r="WP29" i="18"/>
  <c r="UZ29" i="18"/>
  <c r="TJ29" i="18"/>
  <c r="SX29" i="18"/>
  <c r="RH29" i="18"/>
  <c r="PR29" i="18"/>
  <c r="PF29" i="18"/>
  <c r="NP29" i="18"/>
  <c r="LZ29" i="18"/>
  <c r="LN29" i="18"/>
  <c r="JX29" i="18"/>
  <c r="IH29" i="18"/>
  <c r="HV29" i="18"/>
  <c r="GF29" i="18"/>
  <c r="EV29" i="18"/>
  <c r="DX29" i="18"/>
  <c r="CZ29" i="18"/>
  <c r="CB29" i="18"/>
  <c r="BD29" i="18"/>
  <c r="WV29" i="18"/>
  <c r="VF29" i="18"/>
  <c r="UT29" i="18"/>
  <c r="TD29" i="18"/>
  <c r="RN29" i="18"/>
  <c r="RB29" i="18"/>
  <c r="PL29" i="18"/>
  <c r="NV29" i="18"/>
  <c r="NJ29" i="18"/>
  <c r="LT29" i="18"/>
  <c r="KD29" i="18"/>
  <c r="JR29" i="18"/>
  <c r="IB29" i="18"/>
  <c r="GL29" i="18"/>
  <c r="FZ29" i="18"/>
  <c r="FH29" i="18"/>
  <c r="EJ29" i="18"/>
  <c r="DL29" i="18"/>
  <c r="CN29" i="18"/>
  <c r="BP29" i="18"/>
  <c r="AR29" i="18"/>
  <c r="VX29" i="18"/>
  <c r="UH29" i="18"/>
  <c r="QD29" i="18"/>
  <c r="ON29" i="18"/>
  <c r="MX29" i="18"/>
  <c r="IT29" i="18"/>
  <c r="HD29" i="18"/>
  <c r="FN29" i="18"/>
  <c r="DR29" i="18"/>
  <c r="BV29" i="18"/>
  <c r="VR29" i="18"/>
  <c r="UB29" i="18"/>
  <c r="SL29" i="18"/>
  <c r="OH29" i="18"/>
  <c r="MR29" i="18"/>
  <c r="LB29" i="18"/>
  <c r="GX29" i="18"/>
  <c r="ED29" i="18"/>
  <c r="CH29" i="18"/>
  <c r="AL29" i="18"/>
  <c r="TV29" i="18"/>
  <c r="SF29" i="18"/>
  <c r="QP29" i="18"/>
  <c r="ML29" i="18"/>
  <c r="KV29" i="18"/>
  <c r="JF29" i="18"/>
  <c r="EP29" i="18"/>
  <c r="CT29" i="18"/>
  <c r="AX29" i="18"/>
  <c r="RZ29" i="18"/>
  <c r="OT29" i="18"/>
  <c r="FB29" i="18"/>
  <c r="KP29" i="18"/>
  <c r="HJ29" i="18"/>
  <c r="QJ29" i="18"/>
  <c r="BJ29" i="18"/>
  <c r="WD29" i="18"/>
  <c r="IZ29" i="18"/>
  <c r="DF29" i="18"/>
  <c r="XA29" i="18"/>
  <c r="WC29" i="18"/>
  <c r="VE29" i="18"/>
  <c r="UG29" i="18"/>
  <c r="TI29" i="18"/>
  <c r="SK29" i="18"/>
  <c r="SM29" i="18" s="1"/>
  <c r="RM29" i="18"/>
  <c r="QO29" i="18"/>
  <c r="PQ29" i="18"/>
  <c r="OS29" i="18"/>
  <c r="NU29" i="18"/>
  <c r="MW29" i="18"/>
  <c r="LY29" i="18"/>
  <c r="LA29" i="18"/>
  <c r="KC29" i="18"/>
  <c r="JE29" i="18"/>
  <c r="IG29" i="18"/>
  <c r="HI29" i="18"/>
  <c r="GK29" i="18"/>
  <c r="VW29" i="18"/>
  <c r="VK29" i="18"/>
  <c r="TU29" i="18"/>
  <c r="SE29" i="18"/>
  <c r="RS29" i="18"/>
  <c r="QC29" i="18"/>
  <c r="OM29" i="18"/>
  <c r="OA29" i="18"/>
  <c r="MK29" i="18"/>
  <c r="KU29" i="18"/>
  <c r="KI29" i="18"/>
  <c r="IS29" i="18"/>
  <c r="IW29" i="18" s="1"/>
  <c r="HC29" i="18"/>
  <c r="GQ29" i="18"/>
  <c r="FM29" i="18"/>
  <c r="EO29" i="18"/>
  <c r="DQ29" i="18"/>
  <c r="CS29" i="18"/>
  <c r="CU29" i="18" s="1"/>
  <c r="BU29" i="18"/>
  <c r="AW29" i="18"/>
  <c r="XG29" i="18"/>
  <c r="VQ29" i="18"/>
  <c r="UA29" i="18"/>
  <c r="TO29" i="18"/>
  <c r="RY29" i="18"/>
  <c r="QI29" i="18"/>
  <c r="PW29" i="18"/>
  <c r="OG29" i="18"/>
  <c r="MQ29" i="18"/>
  <c r="ME29" i="18"/>
  <c r="MI29" i="18" s="1"/>
  <c r="KO29" i="18"/>
  <c r="IY29" i="18"/>
  <c r="IM29" i="18"/>
  <c r="GW29" i="18"/>
  <c r="FA29" i="18"/>
  <c r="EC29" i="18"/>
  <c r="DE29" i="18"/>
  <c r="CG29" i="18"/>
  <c r="BI29" i="18"/>
  <c r="AK29" i="18"/>
  <c r="WU29" i="18"/>
  <c r="SQ29" i="18"/>
  <c r="RA29" i="18"/>
  <c r="PK29" i="18"/>
  <c r="LG29" i="18"/>
  <c r="JQ29" i="18"/>
  <c r="IA29" i="18"/>
  <c r="EI29" i="18"/>
  <c r="CM29" i="18"/>
  <c r="AQ29" i="18"/>
  <c r="WO29" i="18"/>
  <c r="UY29" i="18"/>
  <c r="QU29" i="18"/>
  <c r="PE29" i="18"/>
  <c r="NO29" i="18"/>
  <c r="JK29" i="18"/>
  <c r="HU29" i="18"/>
  <c r="GE29" i="18"/>
  <c r="EU29" i="18"/>
  <c r="CY29" i="18"/>
  <c r="BC29" i="18"/>
  <c r="WI29" i="18"/>
  <c r="US29" i="18"/>
  <c r="TC29" i="18"/>
  <c r="OY29" i="18"/>
  <c r="NI29" i="18"/>
  <c r="LS29" i="18"/>
  <c r="LV29" i="18" s="1"/>
  <c r="HO29" i="18"/>
  <c r="FY29" i="18"/>
  <c r="FG29" i="18"/>
  <c r="DK29" i="18"/>
  <c r="DN29" i="18" s="1"/>
  <c r="BO29" i="18"/>
  <c r="LM29" i="18"/>
  <c r="UM29" i="18"/>
  <c r="RG29" i="18"/>
  <c r="RJ29" i="18" s="1"/>
  <c r="CA29" i="18"/>
  <c r="CD29" i="18" s="1"/>
  <c r="NC29" i="18"/>
  <c r="JW29" i="18"/>
  <c r="DW29" i="18"/>
  <c r="SW29" i="18"/>
  <c r="FS29" i="18"/>
  <c r="UC28" i="18"/>
  <c r="QL28" i="18"/>
  <c r="JC28" i="18"/>
  <c r="FI28" i="18"/>
  <c r="BR28" i="18"/>
  <c r="RW28" i="18"/>
  <c r="OC28" i="18"/>
  <c r="KL28" i="18"/>
  <c r="DC28" i="18"/>
  <c r="UU28" i="18"/>
  <c r="NL28" i="18"/>
  <c r="XE28" i="18"/>
  <c r="PS28" i="18"/>
  <c r="IJ28" i="18"/>
  <c r="QG28" i="18"/>
  <c r="IU28" i="18"/>
  <c r="BL28" i="18"/>
  <c r="OW28" i="18"/>
  <c r="BW28" i="18"/>
  <c r="WY28" i="18"/>
  <c r="TE28" i="18"/>
  <c r="PN28" i="18"/>
  <c r="IE28" i="18"/>
  <c r="EK28" i="18"/>
  <c r="AT28" i="18"/>
  <c r="QY28" i="18"/>
  <c r="NE28" i="18"/>
  <c r="JN28" i="18"/>
  <c r="CE28" i="18"/>
  <c r="SY28" i="18"/>
  <c r="LP28" i="18"/>
  <c r="VI28" i="18"/>
  <c r="NW28" i="18"/>
  <c r="GN28" i="18"/>
  <c r="OK28" i="18"/>
  <c r="GY28" i="18"/>
  <c r="SN28" i="18"/>
  <c r="HM28" i="18"/>
  <c r="MU28" i="18"/>
  <c r="JA28" i="18"/>
  <c r="VO28" i="18"/>
  <c r="RU28" i="18"/>
  <c r="GU28" i="18"/>
  <c r="DA28" i="18"/>
  <c r="GC28" i="18"/>
  <c r="XC28" i="18"/>
  <c r="BA28" i="18"/>
  <c r="QE28" i="18"/>
  <c r="UK28" i="18"/>
  <c r="OU28" i="18"/>
  <c r="WW28" i="18"/>
  <c r="LW28" i="18"/>
  <c r="IC28" i="18"/>
  <c r="UQ28" i="18"/>
  <c r="QW28" i="18"/>
  <c r="FW28" i="18"/>
  <c r="CC28" i="18"/>
  <c r="EG28" i="18"/>
  <c r="VG28" i="18"/>
  <c r="VU28" i="18"/>
  <c r="OI28" i="18"/>
  <c r="NA28" i="18"/>
  <c r="HK28" i="18"/>
  <c r="Q27" i="18"/>
  <c r="B31" i="18"/>
  <c r="S25" i="18"/>
  <c r="U25" i="18" s="1"/>
  <c r="P27" i="18"/>
  <c r="S26" i="18" s="1"/>
  <c r="R27" i="18"/>
  <c r="B57" i="9"/>
  <c r="B57" i="7"/>
  <c r="B57" i="1"/>
  <c r="O30" i="18"/>
  <c r="N30" i="18"/>
  <c r="AD54" i="5"/>
  <c r="AE54" i="5" s="1"/>
  <c r="AI54" i="5" s="1"/>
  <c r="AJ52" i="5"/>
  <c r="AL52" i="5" s="1"/>
  <c r="F52" i="5"/>
  <c r="B59" i="5"/>
  <c r="R57" i="5"/>
  <c r="AG57" i="5" s="1"/>
  <c r="AE57" i="5"/>
  <c r="K57" i="5"/>
  <c r="B56" i="5"/>
  <c r="R54" i="5"/>
  <c r="AG54" i="5" s="1"/>
  <c r="K54" i="5"/>
  <c r="AL50" i="5"/>
  <c r="S92" i="14"/>
  <c r="U92" i="14"/>
  <c r="T92" i="14"/>
  <c r="Q91" i="14"/>
  <c r="R91" i="14"/>
  <c r="B95" i="14"/>
  <c r="B56" i="1"/>
  <c r="N54" i="1"/>
  <c r="B58" i="8"/>
  <c r="B30" i="15"/>
  <c r="B56" i="9"/>
  <c r="B59" i="8"/>
  <c r="B56" i="7"/>
  <c r="BQ53" i="1"/>
  <c r="O52" i="1"/>
  <c r="O53" i="1"/>
  <c r="BP53" i="1"/>
  <c r="X53" i="7" s="1"/>
  <c r="Q52" i="5" l="1"/>
  <c r="U52" i="5" s="1"/>
  <c r="R47" i="8"/>
  <c r="Q55" i="5"/>
  <c r="U55" i="5" s="1"/>
  <c r="NL29" i="18"/>
  <c r="XE29" i="18"/>
  <c r="I55" i="9"/>
  <c r="B63" i="19"/>
  <c r="G63" i="19" s="1"/>
  <c r="F61" i="19"/>
  <c r="RD29" i="18"/>
  <c r="FU29" i="18"/>
  <c r="QS29" i="18"/>
  <c r="NF29" i="18"/>
  <c r="I54" i="9"/>
  <c r="PO29" i="18"/>
  <c r="BG29" i="18"/>
  <c r="VB29" i="18"/>
  <c r="EE29" i="18"/>
  <c r="AS29" i="18"/>
  <c r="JB29" i="18"/>
  <c r="DG29" i="18"/>
  <c r="KF29" i="18"/>
  <c r="L54" i="9"/>
  <c r="L55" i="9"/>
  <c r="M52" i="9"/>
  <c r="M53" i="9"/>
  <c r="J54" i="9"/>
  <c r="J55" i="9"/>
  <c r="H56" i="9"/>
  <c r="K56" i="9" s="1"/>
  <c r="H57" i="9"/>
  <c r="K57" i="9" s="1"/>
  <c r="OJ29" i="18"/>
  <c r="QX29" i="18"/>
  <c r="F57" i="5"/>
  <c r="F59" i="8"/>
  <c r="G59" i="8"/>
  <c r="F58" i="8"/>
  <c r="G58" i="8"/>
  <c r="J57" i="7"/>
  <c r="I57" i="7"/>
  <c r="J56" i="7"/>
  <c r="I56" i="7"/>
  <c r="U30" i="15"/>
  <c r="E30" i="15"/>
  <c r="D30" i="15"/>
  <c r="O31" i="18"/>
  <c r="E31" i="18"/>
  <c r="G31" i="18" s="1"/>
  <c r="D31" i="18"/>
  <c r="F31" i="18" s="1"/>
  <c r="I56" i="5"/>
  <c r="J56" i="5" s="1"/>
  <c r="I59" i="5"/>
  <c r="J59" i="5" s="1"/>
  <c r="H56" i="1"/>
  <c r="I56" i="1" s="1"/>
  <c r="H57" i="1"/>
  <c r="I57" i="1" s="1"/>
  <c r="HF29" i="18"/>
  <c r="WQ29" i="18"/>
  <c r="MT29" i="18"/>
  <c r="SG29" i="18"/>
  <c r="KQ29" i="18"/>
  <c r="II29" i="18"/>
  <c r="OD29" i="18"/>
  <c r="WG29" i="18"/>
  <c r="T30" i="15"/>
  <c r="TX29" i="18"/>
  <c r="KE29" i="18"/>
  <c r="EM29" i="18"/>
  <c r="VY29" i="18"/>
  <c r="ES29" i="18"/>
  <c r="EY29" i="18"/>
  <c r="IK29" i="18"/>
  <c r="SY29" i="18"/>
  <c r="OU29" i="18"/>
  <c r="UO29" i="18"/>
  <c r="IV29" i="18"/>
  <c r="JA29" i="18"/>
  <c r="OQ29" i="18"/>
  <c r="GM29" i="18"/>
  <c r="RE29" i="18"/>
  <c r="TW29" i="18"/>
  <c r="FI29" i="18"/>
  <c r="SN29" i="18"/>
  <c r="PA29" i="18"/>
  <c r="HW29" i="18"/>
  <c r="LJ29" i="18"/>
  <c r="MS29" i="18"/>
  <c r="HX29" i="18"/>
  <c r="AZ29" i="18"/>
  <c r="GO29" i="18"/>
  <c r="NY29" i="18"/>
  <c r="VH29" i="18"/>
  <c r="WR29" i="18"/>
  <c r="BX29" i="18"/>
  <c r="KL29" i="18"/>
  <c r="SI29" i="18"/>
  <c r="IU29" i="18"/>
  <c r="UU29" i="18"/>
  <c r="UD29" i="18"/>
  <c r="BY29" i="18"/>
  <c r="KK29" i="18"/>
  <c r="LE29" i="18"/>
  <c r="AY29" i="18"/>
  <c r="GN29" i="18"/>
  <c r="VG29" i="18"/>
  <c r="SH29" i="18"/>
  <c r="VC29" i="18"/>
  <c r="OK29" i="18"/>
  <c r="KG29" i="18"/>
  <c r="GG29" i="18"/>
  <c r="GS29" i="18"/>
  <c r="VM29" i="18"/>
  <c r="PT29" i="18"/>
  <c r="CC29" i="18"/>
  <c r="VO29" i="18"/>
  <c r="GI29" i="18"/>
  <c r="EF29" i="18"/>
  <c r="LO29" i="18"/>
  <c r="GA29" i="18"/>
  <c r="CO29" i="18"/>
  <c r="SB29" i="18"/>
  <c r="RV29" i="18"/>
  <c r="JH29" i="18"/>
  <c r="UJ29" i="18"/>
  <c r="DT29" i="18"/>
  <c r="VZ29" i="18"/>
  <c r="MY29" i="18"/>
  <c r="HE29" i="18"/>
  <c r="SA29" i="18"/>
  <c r="KM29" i="18"/>
  <c r="BW29" i="18"/>
  <c r="EW29" i="18"/>
  <c r="SO29" i="18"/>
  <c r="VI29" i="18"/>
  <c r="BA29" i="18"/>
  <c r="HR29" i="18"/>
  <c r="DC29" i="18"/>
  <c r="RC29" i="18"/>
  <c r="TY29" i="18"/>
  <c r="WK29" i="18"/>
  <c r="SU29" i="18"/>
  <c r="GY29" i="18"/>
  <c r="KX29" i="18"/>
  <c r="MC29" i="18"/>
  <c r="RK29" i="18"/>
  <c r="OW29" i="18"/>
  <c r="EQ29" i="18"/>
  <c r="NW29" i="18"/>
  <c r="WA29" i="18"/>
  <c r="FW29" i="18"/>
  <c r="PC29" i="18"/>
  <c r="RU29" i="18"/>
  <c r="EX29" i="18"/>
  <c r="HG29" i="18"/>
  <c r="SC29" i="18"/>
  <c r="RI29" i="18"/>
  <c r="BF29" i="18"/>
  <c r="FQ29" i="18"/>
  <c r="PY29" i="18"/>
  <c r="XJ29" i="18"/>
  <c r="ST29" i="18"/>
  <c r="XD29" i="18"/>
  <c r="HQ29" i="18"/>
  <c r="MM29" i="18"/>
  <c r="NK29" i="18"/>
  <c r="MH29" i="18"/>
  <c r="PS29" i="18"/>
  <c r="CW29" i="18"/>
  <c r="NQ29" i="18"/>
  <c r="FC29" i="18"/>
  <c r="JI29" i="18"/>
  <c r="UI29" i="18"/>
  <c r="HK29" i="18"/>
  <c r="QK29" i="18"/>
  <c r="OV29" i="18"/>
  <c r="ER29" i="18"/>
  <c r="VT29" i="18"/>
  <c r="BR29" i="18"/>
  <c r="JT29" i="18"/>
  <c r="NX29" i="18"/>
  <c r="JO29" i="18"/>
  <c r="UK29" i="18"/>
  <c r="PB29" i="18"/>
  <c r="FV29" i="18"/>
  <c r="JG29" i="18"/>
  <c r="BE29" i="18"/>
  <c r="NA29" i="18"/>
  <c r="WS29" i="18"/>
  <c r="DI29" i="18"/>
  <c r="BQ29" i="18"/>
  <c r="TE29" i="18"/>
  <c r="JN29" i="18"/>
  <c r="RW29" i="18"/>
  <c r="MU29" i="18"/>
  <c r="MZ29" i="18"/>
  <c r="DH29" i="18"/>
  <c r="NE29" i="18"/>
  <c r="JY29" i="18"/>
  <c r="UP29" i="18"/>
  <c r="FJ29" i="18"/>
  <c r="PG29" i="18"/>
  <c r="JU29" i="18"/>
  <c r="CI29" i="18"/>
  <c r="QL29" i="18"/>
  <c r="VU29" i="18"/>
  <c r="KY29" i="18"/>
  <c r="QE29" i="18"/>
  <c r="TK29" i="18"/>
  <c r="FD29" i="18"/>
  <c r="MN29" i="18"/>
  <c r="LC29" i="18"/>
  <c r="UE29" i="18"/>
  <c r="FO29" i="18"/>
  <c r="OO29" i="18"/>
  <c r="DY29" i="18"/>
  <c r="NR29" i="18"/>
  <c r="PZ29" i="18"/>
  <c r="XK29" i="18"/>
  <c r="OP29" i="18"/>
  <c r="KW29" i="18"/>
  <c r="JS29" i="18"/>
  <c r="PI29" i="18"/>
  <c r="LD29" i="18"/>
  <c r="TM29" i="18"/>
  <c r="HA29" i="18"/>
  <c r="VN29" i="18"/>
  <c r="KA29" i="18"/>
  <c r="GH29" i="18"/>
  <c r="SS29" i="18"/>
  <c r="AU29" i="18"/>
  <c r="XI29" i="18"/>
  <c r="IJ29" i="18"/>
  <c r="XC29" i="18"/>
  <c r="UC29" i="18"/>
  <c r="WM29" i="18"/>
  <c r="MG29" i="18"/>
  <c r="QG29" i="18"/>
  <c r="FP29" i="18"/>
  <c r="VS29" i="18"/>
  <c r="CK29" i="18"/>
  <c r="CV29" i="18"/>
  <c r="WW29" i="18"/>
  <c r="IO29" i="18"/>
  <c r="FK29" i="18"/>
  <c r="UQ29" i="18"/>
  <c r="PH29" i="18"/>
  <c r="TL29" i="18"/>
  <c r="QA29" i="18"/>
  <c r="GZ29" i="18"/>
  <c r="PU29" i="18"/>
  <c r="NS29" i="18"/>
  <c r="JZ29" i="18"/>
  <c r="NM29" i="18"/>
  <c r="AT29" i="18"/>
  <c r="FE29" i="18"/>
  <c r="MO29" i="18"/>
  <c r="QM29" i="18"/>
  <c r="WL29" i="18"/>
  <c r="QF29" i="18"/>
  <c r="CJ29" i="18"/>
  <c r="SZ29" i="18"/>
  <c r="EL29" i="18"/>
  <c r="AO29" i="18"/>
  <c r="TR29" i="18"/>
  <c r="RO29" i="18"/>
  <c r="DZ29" i="18"/>
  <c r="IC29" i="18"/>
  <c r="BK29" i="18"/>
  <c r="EA29" i="18"/>
  <c r="DO29" i="18"/>
  <c r="HY29" i="18"/>
  <c r="DM29" i="18"/>
  <c r="NG29" i="18"/>
  <c r="CE29" i="18"/>
  <c r="VA29" i="18"/>
  <c r="EK29" i="18"/>
  <c r="TA29" i="18"/>
  <c r="JM29" i="18"/>
  <c r="OI29" i="18"/>
  <c r="JC29" i="18"/>
  <c r="HS29" i="18"/>
  <c r="BS29" i="18"/>
  <c r="EG29" i="18"/>
  <c r="XA30" i="18"/>
  <c r="WC30" i="18"/>
  <c r="VE30" i="18"/>
  <c r="UG30" i="18"/>
  <c r="TI30" i="18"/>
  <c r="SK30" i="18"/>
  <c r="RM30" i="18"/>
  <c r="QO30" i="18"/>
  <c r="PQ30" i="18"/>
  <c r="OS30" i="18"/>
  <c r="NU30" i="18"/>
  <c r="MW30" i="18"/>
  <c r="LY30" i="18"/>
  <c r="LA30" i="18"/>
  <c r="KC30" i="18"/>
  <c r="JE30" i="18"/>
  <c r="IG30" i="18"/>
  <c r="HI30" i="18"/>
  <c r="GK30" i="18"/>
  <c r="FM30" i="18"/>
  <c r="EO30" i="18"/>
  <c r="DQ30" i="18"/>
  <c r="CS30" i="18"/>
  <c r="BU30" i="18"/>
  <c r="AW30" i="18"/>
  <c r="WO30" i="18"/>
  <c r="UY30" i="18"/>
  <c r="UM30" i="18"/>
  <c r="SW30" i="18"/>
  <c r="RG30" i="18"/>
  <c r="QU30" i="18"/>
  <c r="PE30" i="18"/>
  <c r="NO30" i="18"/>
  <c r="NC30" i="18"/>
  <c r="LM30" i="18"/>
  <c r="JW30" i="18"/>
  <c r="JK30" i="18"/>
  <c r="HU30" i="18"/>
  <c r="GE30" i="18"/>
  <c r="FS30" i="18"/>
  <c r="EC30" i="18"/>
  <c r="CM30" i="18"/>
  <c r="CA30" i="18"/>
  <c r="AK30" i="18"/>
  <c r="WU30" i="18"/>
  <c r="WI30" i="18"/>
  <c r="US30" i="18"/>
  <c r="TC30" i="18"/>
  <c r="SQ30" i="18"/>
  <c r="RA30" i="18"/>
  <c r="PK30" i="18"/>
  <c r="OY30" i="18"/>
  <c r="NI30" i="18"/>
  <c r="LS30" i="18"/>
  <c r="LG30" i="18"/>
  <c r="JQ30" i="18"/>
  <c r="IA30" i="18"/>
  <c r="HO30" i="18"/>
  <c r="FY30" i="18"/>
  <c r="EI30" i="18"/>
  <c r="DW30" i="18"/>
  <c r="CG30" i="18"/>
  <c r="AQ30" i="18"/>
  <c r="VW30" i="18"/>
  <c r="RS30" i="18"/>
  <c r="QC30" i="18"/>
  <c r="OM30" i="18"/>
  <c r="KI30" i="18"/>
  <c r="IS30" i="18"/>
  <c r="HC30" i="18"/>
  <c r="CY30" i="18"/>
  <c r="BI30" i="18"/>
  <c r="XG30" i="18"/>
  <c r="VQ30" i="18"/>
  <c r="UA30" i="18"/>
  <c r="PW30" i="18"/>
  <c r="OG30" i="18"/>
  <c r="MQ30" i="18"/>
  <c r="IM30" i="18"/>
  <c r="GW30" i="18"/>
  <c r="FG30" i="18"/>
  <c r="BC30" i="18"/>
  <c r="VK30" i="18"/>
  <c r="TU30" i="18"/>
  <c r="SE30" i="18"/>
  <c r="OA30" i="18"/>
  <c r="MK30" i="18"/>
  <c r="KU30" i="18"/>
  <c r="GQ30" i="18"/>
  <c r="FA30" i="18"/>
  <c r="DK30" i="18"/>
  <c r="RY30" i="18"/>
  <c r="EU30" i="18"/>
  <c r="BO30" i="18"/>
  <c r="KO30" i="18"/>
  <c r="TO30" i="18"/>
  <c r="QI30" i="18"/>
  <c r="DE30" i="18"/>
  <c r="ME30" i="18"/>
  <c r="IY30" i="18"/>
  <c r="TG29" i="18"/>
  <c r="PN29" i="18"/>
  <c r="LU29" i="18"/>
  <c r="UW29" i="18"/>
  <c r="QR29" i="18"/>
  <c r="LI29" i="18"/>
  <c r="CQ29" i="18"/>
  <c r="WF29" i="18"/>
  <c r="QW29" i="18"/>
  <c r="HM29" i="18"/>
  <c r="DB29" i="18"/>
  <c r="TQ29" i="18"/>
  <c r="BM29" i="18"/>
  <c r="MB29" i="18"/>
  <c r="DS29" i="18"/>
  <c r="IQ29" i="18"/>
  <c r="AN29" i="18"/>
  <c r="OC29" i="18"/>
  <c r="WT31" i="18"/>
  <c r="VV31" i="18"/>
  <c r="UX31" i="18"/>
  <c r="TZ31" i="18"/>
  <c r="TB31" i="18"/>
  <c r="SD31" i="18"/>
  <c r="RF31" i="18"/>
  <c r="QH31" i="18"/>
  <c r="PJ31" i="18"/>
  <c r="OL31" i="18"/>
  <c r="NN31" i="18"/>
  <c r="MP31" i="18"/>
  <c r="LR31" i="18"/>
  <c r="KT31" i="18"/>
  <c r="JV31" i="18"/>
  <c r="IX31" i="18"/>
  <c r="HZ31" i="18"/>
  <c r="HB31" i="18"/>
  <c r="GD31" i="18"/>
  <c r="FF31" i="18"/>
  <c r="EH31" i="18"/>
  <c r="DJ31" i="18"/>
  <c r="WZ31" i="18"/>
  <c r="VJ31" i="18"/>
  <c r="TT31" i="18"/>
  <c r="TH31" i="18"/>
  <c r="RR31" i="18"/>
  <c r="QB31" i="18"/>
  <c r="PP31" i="18"/>
  <c r="NZ31" i="18"/>
  <c r="MJ31" i="18"/>
  <c r="LX31" i="18"/>
  <c r="KH31" i="18"/>
  <c r="IR31" i="18"/>
  <c r="IF31" i="18"/>
  <c r="GP31" i="18"/>
  <c r="EZ31" i="18"/>
  <c r="EN31" i="18"/>
  <c r="CX31" i="18"/>
  <c r="BZ31" i="18"/>
  <c r="WH31" i="18"/>
  <c r="VD31" i="18"/>
  <c r="UR31" i="18"/>
  <c r="TN31" i="18"/>
  <c r="SJ31" i="18"/>
  <c r="RX31" i="18"/>
  <c r="QT31" i="18"/>
  <c r="PD31" i="18"/>
  <c r="JD31" i="18"/>
  <c r="HN31" i="18"/>
  <c r="GJ31" i="18"/>
  <c r="FX31" i="18"/>
  <c r="ET31" i="18"/>
  <c r="DP31" i="18"/>
  <c r="DD31" i="18"/>
  <c r="CR31" i="18"/>
  <c r="CF31" i="18"/>
  <c r="BN31" i="18"/>
  <c r="AP31" i="18"/>
  <c r="WB31" i="18"/>
  <c r="SP31" i="18"/>
  <c r="OX31" i="18"/>
  <c r="OF31" i="18"/>
  <c r="LF31" i="18"/>
  <c r="KN31" i="18"/>
  <c r="GV31" i="18"/>
  <c r="FL31" i="18"/>
  <c r="AJ31" i="18"/>
  <c r="XF31" i="18"/>
  <c r="WN31" i="18"/>
  <c r="SV31" i="18"/>
  <c r="RL31" i="18"/>
  <c r="NT31" i="18"/>
  <c r="NB31" i="18"/>
  <c r="KB31" i="18"/>
  <c r="JJ31" i="18"/>
  <c r="FR31" i="18"/>
  <c r="BT31" i="18"/>
  <c r="QN31" i="18"/>
  <c r="MD31" i="18"/>
  <c r="HT31" i="18"/>
  <c r="BH31" i="18"/>
  <c r="UL31" i="18"/>
  <c r="OR31" i="18"/>
  <c r="NH31" i="18"/>
  <c r="HH31" i="18"/>
  <c r="BB31" i="18"/>
  <c r="VP31" i="18"/>
  <c r="UF31" i="18"/>
  <c r="PV31" i="18"/>
  <c r="MV31" i="18"/>
  <c r="LL31" i="18"/>
  <c r="IL31" i="18"/>
  <c r="EB31" i="18"/>
  <c r="AV31" i="18"/>
  <c r="QZ31" i="18"/>
  <c r="KZ31" i="18"/>
  <c r="JP31" i="18"/>
  <c r="DV31" i="18"/>
  <c r="CL31" i="18"/>
  <c r="WY29" i="18"/>
  <c r="TF29" i="18"/>
  <c r="PM29" i="18"/>
  <c r="IE29" i="18"/>
  <c r="UV29" i="18"/>
  <c r="QQ29" i="18"/>
  <c r="GC29" i="18"/>
  <c r="CP29" i="18"/>
  <c r="WE29" i="18"/>
  <c r="LQ29" i="18"/>
  <c r="HL29" i="18"/>
  <c r="DA29" i="18"/>
  <c r="KS29" i="18"/>
  <c r="BL29" i="18"/>
  <c r="MA29" i="18"/>
  <c r="RQ29" i="18"/>
  <c r="IP29" i="18"/>
  <c r="AM29" i="18"/>
  <c r="GU29" i="18"/>
  <c r="WX29" i="18"/>
  <c r="LW29" i="18"/>
  <c r="ID29" i="18"/>
  <c r="LK29" i="18"/>
  <c r="GB29" i="18"/>
  <c r="QY29" i="18"/>
  <c r="LP29" i="18"/>
  <c r="TS29" i="18"/>
  <c r="KR29" i="18"/>
  <c r="DU29" i="18"/>
  <c r="RP29" i="18"/>
  <c r="OE29" i="18"/>
  <c r="GT29" i="18"/>
  <c r="XH30" i="18"/>
  <c r="WJ30" i="18"/>
  <c r="VL30" i="18"/>
  <c r="UN30" i="18"/>
  <c r="TP30" i="18"/>
  <c r="SR30" i="18"/>
  <c r="RT30" i="18"/>
  <c r="QV30" i="18"/>
  <c r="PX30" i="18"/>
  <c r="OZ30" i="18"/>
  <c r="OB30" i="18"/>
  <c r="ND30" i="18"/>
  <c r="MF30" i="18"/>
  <c r="LH30" i="18"/>
  <c r="KJ30" i="18"/>
  <c r="JL30" i="18"/>
  <c r="IN30" i="18"/>
  <c r="HP30" i="18"/>
  <c r="GR30" i="18"/>
  <c r="FT30" i="18"/>
  <c r="EV30" i="18"/>
  <c r="DX30" i="18"/>
  <c r="CZ30" i="18"/>
  <c r="CB30" i="18"/>
  <c r="BD30" i="18"/>
  <c r="WD30" i="18"/>
  <c r="VR30" i="18"/>
  <c r="UB30" i="18"/>
  <c r="SL30" i="18"/>
  <c r="RZ30" i="18"/>
  <c r="QJ30" i="18"/>
  <c r="OT30" i="18"/>
  <c r="OH30" i="18"/>
  <c r="MR30" i="18"/>
  <c r="LB30" i="18"/>
  <c r="KP30" i="18"/>
  <c r="IZ30" i="18"/>
  <c r="HJ30" i="18"/>
  <c r="GX30" i="18"/>
  <c r="FH30" i="18"/>
  <c r="DR30" i="18"/>
  <c r="DF30" i="18"/>
  <c r="BP30" i="18"/>
  <c r="VX30" i="18"/>
  <c r="UH30" i="18"/>
  <c r="TV30" i="18"/>
  <c r="SF30" i="18"/>
  <c r="QP30" i="18"/>
  <c r="QD30" i="18"/>
  <c r="ON30" i="18"/>
  <c r="MX30" i="18"/>
  <c r="ML30" i="18"/>
  <c r="KV30" i="18"/>
  <c r="JF30" i="18"/>
  <c r="IT30" i="18"/>
  <c r="HD30" i="18"/>
  <c r="FN30" i="18"/>
  <c r="FB30" i="18"/>
  <c r="DL30" i="18"/>
  <c r="BV30" i="18"/>
  <c r="BJ30" i="18"/>
  <c r="WP30" i="18"/>
  <c r="UZ30" i="18"/>
  <c r="TJ30" i="18"/>
  <c r="PF30" i="18"/>
  <c r="NP30" i="18"/>
  <c r="LZ30" i="18"/>
  <c r="HV30" i="18"/>
  <c r="GF30" i="18"/>
  <c r="EP30" i="18"/>
  <c r="AL30" i="18"/>
  <c r="UT30" i="18"/>
  <c r="TD30" i="18"/>
  <c r="RN30" i="18"/>
  <c r="NJ30" i="18"/>
  <c r="LT30" i="18"/>
  <c r="KD30" i="18"/>
  <c r="FZ30" i="18"/>
  <c r="EJ30" i="18"/>
  <c r="CT30" i="18"/>
  <c r="XB30" i="18"/>
  <c r="SX30" i="18"/>
  <c r="RH30" i="18"/>
  <c r="PR30" i="18"/>
  <c r="LN30" i="18"/>
  <c r="JX30" i="18"/>
  <c r="IH30" i="18"/>
  <c r="ED30" i="18"/>
  <c r="CN30" i="18"/>
  <c r="AX30" i="18"/>
  <c r="VF30" i="18"/>
  <c r="IB30" i="18"/>
  <c r="RB30" i="18"/>
  <c r="NV30" i="18"/>
  <c r="AR30" i="18"/>
  <c r="WV30" i="18"/>
  <c r="JR30" i="18"/>
  <c r="GL30" i="18"/>
  <c r="PL30" i="18"/>
  <c r="CH30" i="18"/>
  <c r="B32" i="18"/>
  <c r="N31" i="18"/>
  <c r="R28" i="18"/>
  <c r="Q28" i="18"/>
  <c r="P28" i="18"/>
  <c r="S27" i="18" s="1"/>
  <c r="T26" i="18"/>
  <c r="U26" i="18" s="1"/>
  <c r="B59" i="9"/>
  <c r="B59" i="1"/>
  <c r="B59" i="7"/>
  <c r="AD56" i="5"/>
  <c r="AE56" i="5" s="1"/>
  <c r="AI56" i="5" s="1"/>
  <c r="B58" i="5"/>
  <c r="R56" i="5"/>
  <c r="AG56" i="5" s="1"/>
  <c r="K56" i="5"/>
  <c r="F54" i="5"/>
  <c r="B61" i="5"/>
  <c r="R59" i="5"/>
  <c r="AG59" i="5" s="1"/>
  <c r="AE59" i="5"/>
  <c r="K59" i="5"/>
  <c r="AJ54" i="5"/>
  <c r="R92" i="14"/>
  <c r="B96" i="14"/>
  <c r="U93" i="14"/>
  <c r="S93" i="14"/>
  <c r="T93" i="14"/>
  <c r="Q92" i="14"/>
  <c r="B60" i="8"/>
  <c r="B58" i="7"/>
  <c r="B31" i="15"/>
  <c r="B61" i="8"/>
  <c r="O54" i="1"/>
  <c r="BP55" i="1"/>
  <c r="X55" i="7" s="1"/>
  <c r="BQ55" i="1"/>
  <c r="O55" i="1"/>
  <c r="B58" i="9"/>
  <c r="B58" i="1"/>
  <c r="N56" i="1"/>
  <c r="Q57" i="5" l="1"/>
  <c r="U57" i="5" s="1"/>
  <c r="R49" i="8"/>
  <c r="Q54" i="5"/>
  <c r="U54" i="5" s="1"/>
  <c r="I57" i="9"/>
  <c r="B65" i="19"/>
  <c r="G65" i="19" s="1"/>
  <c r="F63" i="19"/>
  <c r="I56" i="9"/>
  <c r="L57" i="9"/>
  <c r="L56" i="9"/>
  <c r="M54" i="9"/>
  <c r="M55" i="9"/>
  <c r="J57" i="9"/>
  <c r="J56" i="9"/>
  <c r="H58" i="9"/>
  <c r="K58" i="9" s="1"/>
  <c r="H59" i="9"/>
  <c r="K59" i="9" s="1"/>
  <c r="F59" i="5"/>
  <c r="F61" i="8"/>
  <c r="G61" i="8"/>
  <c r="F60" i="8"/>
  <c r="G60" i="8"/>
  <c r="I59" i="7"/>
  <c r="J59" i="7"/>
  <c r="I58" i="7"/>
  <c r="J58" i="7"/>
  <c r="D31" i="15"/>
  <c r="E31" i="15"/>
  <c r="DX31" i="18"/>
  <c r="VL31" i="18"/>
  <c r="EJ31" i="18"/>
  <c r="D32" i="18"/>
  <c r="E32" i="18"/>
  <c r="G32" i="18" s="1"/>
  <c r="I61" i="5"/>
  <c r="J61" i="5" s="1"/>
  <c r="I58" i="5"/>
  <c r="J58" i="5" s="1"/>
  <c r="HD31" i="18"/>
  <c r="SR31" i="18"/>
  <c r="TV31" i="18"/>
  <c r="FH31" i="18"/>
  <c r="H58" i="1"/>
  <c r="I58" i="1" s="1"/>
  <c r="H59" i="1"/>
  <c r="I59" i="1" s="1"/>
  <c r="KF30" i="18"/>
  <c r="GH30" i="18"/>
  <c r="MH30" i="18"/>
  <c r="CJ30" i="18"/>
  <c r="VF31" i="18"/>
  <c r="CB31" i="18"/>
  <c r="PF31" i="18"/>
  <c r="KD31" i="18"/>
  <c r="KP31" i="18"/>
  <c r="HP31" i="18"/>
  <c r="WJ31" i="18"/>
  <c r="ML31" i="18"/>
  <c r="TJ31" i="18"/>
  <c r="AR31" i="18"/>
  <c r="ON31" i="18"/>
  <c r="OT31" i="18"/>
  <c r="LH31" i="18"/>
  <c r="JX31" i="18"/>
  <c r="CH31" i="18"/>
  <c r="JR31" i="18"/>
  <c r="SX31" i="18"/>
  <c r="UB31" i="18"/>
  <c r="OZ31" i="18"/>
  <c r="LV30" i="18"/>
  <c r="OW30" i="18"/>
  <c r="NF30" i="18"/>
  <c r="IJ30" i="18"/>
  <c r="NM30" i="18"/>
  <c r="MB30" i="18"/>
  <c r="IW30" i="18"/>
  <c r="SH30" i="18"/>
  <c r="QL30" i="18"/>
  <c r="GU30" i="18"/>
  <c r="RW30" i="18"/>
  <c r="JZ30" i="18"/>
  <c r="JH30" i="18"/>
  <c r="TY30" i="18"/>
  <c r="SC30" i="18"/>
  <c r="PB30" i="18"/>
  <c r="FB31" i="18"/>
  <c r="SF31" i="18"/>
  <c r="RB31" i="18"/>
  <c r="IT31" i="18"/>
  <c r="GF31" i="18"/>
  <c r="UT31" i="18"/>
  <c r="CT31" i="18"/>
  <c r="HV31" i="18"/>
  <c r="QP31" i="18"/>
  <c r="EP31" i="18"/>
  <c r="LZ31" i="18"/>
  <c r="WV31" i="18"/>
  <c r="LT31" i="18"/>
  <c r="PR31" i="18"/>
  <c r="CN31" i="18"/>
  <c r="GX31" i="18"/>
  <c r="LB31" i="18"/>
  <c r="QJ31" i="18"/>
  <c r="VR31" i="18"/>
  <c r="EV31" i="18"/>
  <c r="IN31" i="18"/>
  <c r="MF31" i="18"/>
  <c r="PX31" i="18"/>
  <c r="TP31" i="18"/>
  <c r="XH31" i="18"/>
  <c r="IB31" i="18"/>
  <c r="WP31" i="18"/>
  <c r="BP31" i="18"/>
  <c r="XB31" i="18"/>
  <c r="RN31" i="18"/>
  <c r="JF31" i="18"/>
  <c r="AL31" i="18"/>
  <c r="DL31" i="18"/>
  <c r="KV31" i="18"/>
  <c r="UH31" i="18"/>
  <c r="FZ31" i="18"/>
  <c r="PL31" i="18"/>
  <c r="BD31" i="18"/>
  <c r="MX31" i="18"/>
  <c r="QD31" i="18"/>
  <c r="DF31" i="18"/>
  <c r="HJ31" i="18"/>
  <c r="MR31" i="18"/>
  <c r="RZ31" i="18"/>
  <c r="WD31" i="18"/>
  <c r="FT31" i="18"/>
  <c r="JL31" i="18"/>
  <c r="ND31" i="18"/>
  <c r="QV31" i="18"/>
  <c r="UN31" i="18"/>
  <c r="NV31" i="18"/>
  <c r="BJ31" i="18"/>
  <c r="FN31" i="18"/>
  <c r="BV31" i="18"/>
  <c r="VX31" i="18"/>
  <c r="NP31" i="18"/>
  <c r="AX31" i="18"/>
  <c r="GL31" i="18"/>
  <c r="LN31" i="18"/>
  <c r="UZ31" i="18"/>
  <c r="IH31" i="18"/>
  <c r="TD31" i="18"/>
  <c r="ED31" i="18"/>
  <c r="NJ31" i="18"/>
  <c r="RH31" i="18"/>
  <c r="DR31" i="18"/>
  <c r="IZ31" i="18"/>
  <c r="OH31" i="18"/>
  <c r="SL31" i="18"/>
  <c r="CZ31" i="18"/>
  <c r="GR31" i="18"/>
  <c r="KJ31" i="18"/>
  <c r="OB31" i="18"/>
  <c r="RT31" i="18"/>
  <c r="LQ30" i="18"/>
  <c r="LO30" i="18"/>
  <c r="HX30" i="18"/>
  <c r="HE30" i="18"/>
  <c r="T31" i="15"/>
  <c r="B33" i="18"/>
  <c r="N32" i="18"/>
  <c r="O32" i="18"/>
  <c r="ST30" i="18"/>
  <c r="BA30" i="18"/>
  <c r="SZ30" i="18"/>
  <c r="ER30" i="18"/>
  <c r="NQ30" i="18"/>
  <c r="SS30" i="18"/>
  <c r="XD30" i="18"/>
  <c r="WY30" i="18"/>
  <c r="IE30" i="18"/>
  <c r="EE30" i="18"/>
  <c r="PT30" i="18"/>
  <c r="TL30" i="18"/>
  <c r="FJ30" i="18"/>
  <c r="JO30" i="18"/>
  <c r="OC30" i="18"/>
  <c r="IP30" i="18"/>
  <c r="PN30" i="18"/>
  <c r="AT30" i="18"/>
  <c r="LE30" i="18"/>
  <c r="JT30" i="18"/>
  <c r="TF30" i="18"/>
  <c r="PI30" i="18"/>
  <c r="BK30" i="18"/>
  <c r="FP30" i="18"/>
  <c r="KY30" i="18"/>
  <c r="UI30" i="18"/>
  <c r="JA30" i="18"/>
  <c r="PZ30" i="18"/>
  <c r="TQ30" i="18"/>
  <c r="BW30" i="18"/>
  <c r="QQ30" i="18"/>
  <c r="VY30" i="18"/>
  <c r="FV30" i="18"/>
  <c r="UQ30" i="18"/>
  <c r="EL30" i="18"/>
  <c r="AM30" i="18"/>
  <c r="MZ30" i="18"/>
  <c r="GY30" i="18"/>
  <c r="KL30" i="18"/>
  <c r="SA30" i="18"/>
  <c r="SU30" i="18"/>
  <c r="EK30" i="18"/>
  <c r="OE30" i="18"/>
  <c r="HR30" i="18"/>
  <c r="LD30" i="18"/>
  <c r="XI30" i="18"/>
  <c r="OD30" i="18"/>
  <c r="RK30" i="18"/>
  <c r="TM30" i="18"/>
  <c r="IU30" i="18"/>
  <c r="WR30" i="18"/>
  <c r="FD30" i="18"/>
  <c r="DH30" i="18"/>
  <c r="HK30" i="18"/>
  <c r="MU30" i="18"/>
  <c r="WF30" i="18"/>
  <c r="EA30" i="18"/>
  <c r="HQ30" i="18"/>
  <c r="WK30" i="18"/>
  <c r="LC30" i="18"/>
  <c r="IC30" i="18"/>
  <c r="RC30" i="18"/>
  <c r="CQ30" i="18"/>
  <c r="QF30" i="18"/>
  <c r="DS30" i="18"/>
  <c r="OJ30" i="18"/>
  <c r="SN30" i="18"/>
  <c r="EY30" i="18"/>
  <c r="XJ30" i="18"/>
  <c r="IO30" i="18"/>
  <c r="AU30" i="18"/>
  <c r="PO30" i="18"/>
  <c r="CC30" i="18"/>
  <c r="CW30" i="18"/>
  <c r="UV30" i="18"/>
  <c r="MM30" i="18"/>
  <c r="KS30" i="18"/>
  <c r="UD30" i="18"/>
  <c r="CE30" i="18"/>
  <c r="QW30" i="18"/>
  <c r="TE30" i="18"/>
  <c r="XK30" i="18"/>
  <c r="IQ30" i="18"/>
  <c r="PM30" i="18"/>
  <c r="AS30" i="18"/>
  <c r="VG30" i="18"/>
  <c r="VB30" i="18"/>
  <c r="DN30" i="18"/>
  <c r="DB30" i="18"/>
  <c r="VN30" i="18"/>
  <c r="JS30" i="18"/>
  <c r="GM30" i="18"/>
  <c r="NW30" i="18"/>
  <c r="GB30" i="18"/>
  <c r="RO30" i="18"/>
  <c r="OP30" i="18"/>
  <c r="LJ30" i="18"/>
  <c r="EQ30" i="18"/>
  <c r="DG30" i="18"/>
  <c r="WQ30" i="18"/>
  <c r="QR30" i="18"/>
  <c r="WW30" i="18"/>
  <c r="LW30" i="18"/>
  <c r="TG30" i="18"/>
  <c r="EM30" i="18"/>
  <c r="IV30" i="18"/>
  <c r="JU30" i="18"/>
  <c r="WX30" i="18"/>
  <c r="LU30" i="18"/>
  <c r="ID30" i="18"/>
  <c r="TK30" i="18"/>
  <c r="ES30" i="18"/>
  <c r="SB30" i="18"/>
  <c r="DI30" i="18"/>
  <c r="WS30" i="18"/>
  <c r="CD30" i="18"/>
  <c r="HS30" i="18"/>
  <c r="NG30" i="18"/>
  <c r="BR30" i="18"/>
  <c r="VU30" i="18"/>
  <c r="QS30" i="18"/>
  <c r="NE30" i="18"/>
  <c r="BF30" i="18"/>
  <c r="NY30" i="18"/>
  <c r="NX30" i="18"/>
  <c r="LP30" i="18"/>
  <c r="VZ30" i="18"/>
  <c r="OQ30" i="18"/>
  <c r="KW30" i="18"/>
  <c r="HF30" i="18"/>
  <c r="XE30" i="18"/>
  <c r="RU30" i="18"/>
  <c r="MN30" i="18"/>
  <c r="DC30" i="18"/>
  <c r="VT30" i="18"/>
  <c r="RP30" i="18"/>
  <c r="HA30" i="18"/>
  <c r="CU30" i="18"/>
  <c r="RD30" i="18"/>
  <c r="SO30" i="18"/>
  <c r="JN30" i="18"/>
  <c r="AN30" i="18"/>
  <c r="GC30" i="18"/>
  <c r="UO30" i="18"/>
  <c r="WE30" i="18"/>
  <c r="VC30" i="18"/>
  <c r="RI30" i="18"/>
  <c r="NR30" i="18"/>
  <c r="GI30" i="18"/>
  <c r="CO30" i="18"/>
  <c r="VM30" i="18"/>
  <c r="MC30" i="18"/>
  <c r="GT30" i="18"/>
  <c r="BL30" i="18"/>
  <c r="QA30" i="18"/>
  <c r="KQ30" i="18"/>
  <c r="GN30" i="18"/>
  <c r="NA30" i="18"/>
  <c r="DY30" i="18"/>
  <c r="QX30" i="18"/>
  <c r="WM30" i="18"/>
  <c r="NK30" i="18"/>
  <c r="BX30" i="18"/>
  <c r="TA30" i="18"/>
  <c r="QM30" i="18"/>
  <c r="MS30" i="18"/>
  <c r="JB30" i="18"/>
  <c r="BS30" i="18"/>
  <c r="TW30" i="18"/>
  <c r="PS30" i="18"/>
  <c r="FE30" i="18"/>
  <c r="AY30" i="18"/>
  <c r="TR30" i="18"/>
  <c r="KG30" i="18"/>
  <c r="EW30" i="18"/>
  <c r="UJ30" i="18"/>
  <c r="CK30" i="18"/>
  <c r="PG30" i="18"/>
  <c r="DT30" i="18"/>
  <c r="JI30" i="18"/>
  <c r="OU30" i="18"/>
  <c r="EF30" i="18"/>
  <c r="XA31" i="18"/>
  <c r="WC31" i="18"/>
  <c r="VE31" i="18"/>
  <c r="UG31" i="18"/>
  <c r="TI31" i="18"/>
  <c r="SK31" i="18"/>
  <c r="RM31" i="18"/>
  <c r="QO31" i="18"/>
  <c r="PQ31" i="18"/>
  <c r="OS31" i="18"/>
  <c r="NU31" i="18"/>
  <c r="MW31" i="18"/>
  <c r="LY31" i="18"/>
  <c r="LA31" i="18"/>
  <c r="KC31" i="18"/>
  <c r="JE31" i="18"/>
  <c r="IG31" i="18"/>
  <c r="HI31" i="18"/>
  <c r="GK31" i="18"/>
  <c r="FM31" i="18"/>
  <c r="EO31" i="18"/>
  <c r="DQ31" i="18"/>
  <c r="WO31" i="18"/>
  <c r="UY31" i="18"/>
  <c r="UM31" i="18"/>
  <c r="SW31" i="18"/>
  <c r="RG31" i="18"/>
  <c r="QU31" i="18"/>
  <c r="PE31" i="18"/>
  <c r="NO31" i="18"/>
  <c r="NC31" i="18"/>
  <c r="LM31" i="18"/>
  <c r="JW31" i="18"/>
  <c r="JK31" i="18"/>
  <c r="HU31" i="18"/>
  <c r="GE31" i="18"/>
  <c r="FS31" i="18"/>
  <c r="EC31" i="18"/>
  <c r="CG31" i="18"/>
  <c r="XG31" i="18"/>
  <c r="WU31" i="18"/>
  <c r="VQ31" i="18"/>
  <c r="UA31" i="18"/>
  <c r="OA31" i="18"/>
  <c r="MK31" i="18"/>
  <c r="LG31" i="18"/>
  <c r="KU31" i="18"/>
  <c r="JQ31" i="18"/>
  <c r="IM31" i="18"/>
  <c r="IA31" i="18"/>
  <c r="GW31" i="18"/>
  <c r="FG31" i="18"/>
  <c r="BU31" i="18"/>
  <c r="AW31" i="18"/>
  <c r="VK31" i="18"/>
  <c r="US31" i="18"/>
  <c r="RS31" i="18"/>
  <c r="RA31" i="18"/>
  <c r="QI31" i="18"/>
  <c r="NI31" i="18"/>
  <c r="MQ31" i="18"/>
  <c r="IY31" i="18"/>
  <c r="HO31" i="18"/>
  <c r="DW31" i="18"/>
  <c r="DE31" i="18"/>
  <c r="CM31" i="18"/>
  <c r="CA31" i="18"/>
  <c r="BO31" i="18"/>
  <c r="BC31" i="18"/>
  <c r="VW31" i="18"/>
  <c r="TO31" i="18"/>
  <c r="SE31" i="18"/>
  <c r="PW31" i="18"/>
  <c r="OM31" i="18"/>
  <c r="ME31" i="18"/>
  <c r="IS31" i="18"/>
  <c r="FA31" i="18"/>
  <c r="EI31" i="18"/>
  <c r="BI31" i="18"/>
  <c r="WI31" i="18"/>
  <c r="RY31" i="18"/>
  <c r="OY31" i="18"/>
  <c r="KO31" i="18"/>
  <c r="EU31" i="18"/>
  <c r="DK31" i="18"/>
  <c r="AK31" i="18"/>
  <c r="TC31" i="18"/>
  <c r="QC31" i="18"/>
  <c r="LS31" i="18"/>
  <c r="KI31" i="18"/>
  <c r="FY31" i="18"/>
  <c r="CY31" i="18"/>
  <c r="SQ31" i="18"/>
  <c r="OG31" i="18"/>
  <c r="HC31" i="18"/>
  <c r="CS31" i="18"/>
  <c r="GQ31" i="18"/>
  <c r="AQ31" i="18"/>
  <c r="PK31" i="18"/>
  <c r="TU31" i="18"/>
  <c r="SI30" i="18"/>
  <c r="OO30" i="18"/>
  <c r="KX30" i="18"/>
  <c r="DO30" i="18"/>
  <c r="XC30" i="18"/>
  <c r="RV30" i="18"/>
  <c r="IK30" i="18"/>
  <c r="DA30" i="18"/>
  <c r="VS30" i="18"/>
  <c r="MI30" i="18"/>
  <c r="GZ30" i="18"/>
  <c r="CV30" i="18"/>
  <c r="FQ30" i="18"/>
  <c r="SM30" i="18"/>
  <c r="JM30" i="18"/>
  <c r="PC30" i="18"/>
  <c r="GA30" i="18"/>
  <c r="UP30" i="18"/>
  <c r="VA30" i="18"/>
  <c r="RJ30" i="18"/>
  <c r="KA30" i="18"/>
  <c r="GG30" i="18"/>
  <c r="CP30" i="18"/>
  <c r="QG30" i="18"/>
  <c r="MA30" i="18"/>
  <c r="GS30" i="18"/>
  <c r="VI30" i="18"/>
  <c r="PY30" i="18"/>
  <c r="KR30" i="18"/>
  <c r="BG30" i="18"/>
  <c r="MY30" i="18"/>
  <c r="DZ30" i="18"/>
  <c r="HY30" i="18"/>
  <c r="WL30" i="18"/>
  <c r="NL30" i="18"/>
  <c r="HM30" i="18"/>
  <c r="SY30" i="18"/>
  <c r="UE30" i="18"/>
  <c r="QK30" i="18"/>
  <c r="MT30" i="18"/>
  <c r="FK30" i="18"/>
  <c r="BQ30" i="18"/>
  <c r="TX30" i="18"/>
  <c r="KM30" i="18"/>
  <c r="FC30" i="18"/>
  <c r="AZ30" i="18"/>
  <c r="OK30" i="18"/>
  <c r="KE30" i="18"/>
  <c r="EX30" i="18"/>
  <c r="LK30" i="18"/>
  <c r="CI30" i="18"/>
  <c r="PH30" i="18"/>
  <c r="UW30" i="18"/>
  <c r="JG30" i="18"/>
  <c r="OV30" i="18"/>
  <c r="FW30" i="18"/>
  <c r="WA30" i="18"/>
  <c r="SG30" i="18"/>
  <c r="HG30" i="18"/>
  <c r="DM30" i="18"/>
  <c r="MO30" i="18"/>
  <c r="II30" i="18"/>
  <c r="RQ30" i="18"/>
  <c r="MG30" i="18"/>
  <c r="RE30" i="18"/>
  <c r="FO30" i="18"/>
  <c r="AO30" i="18"/>
  <c r="PA30" i="18"/>
  <c r="WG30" i="18"/>
  <c r="NS30" i="18"/>
  <c r="JY30" i="18"/>
  <c r="VO30" i="18"/>
  <c r="QE30" i="18"/>
  <c r="BM30" i="18"/>
  <c r="VH30" i="18"/>
  <c r="GO30" i="18"/>
  <c r="BE30" i="18"/>
  <c r="QY30" i="18"/>
  <c r="HW30" i="18"/>
  <c r="BY30" i="18"/>
  <c r="HL30" i="18"/>
  <c r="UC30" i="18"/>
  <c r="JC30" i="18"/>
  <c r="FI30" i="18"/>
  <c r="PU30" i="18"/>
  <c r="KK30" i="18"/>
  <c r="TS30" i="18"/>
  <c r="OI30" i="18"/>
  <c r="UK30" i="18"/>
  <c r="LI30" i="18"/>
  <c r="DU30" i="18"/>
  <c r="UU30" i="18"/>
  <c r="EG30" i="18"/>
  <c r="FU30" i="18"/>
  <c r="WT32" i="18"/>
  <c r="VV32" i="18"/>
  <c r="UX32" i="18"/>
  <c r="TZ32" i="18"/>
  <c r="TB32" i="18"/>
  <c r="SD32" i="18"/>
  <c r="RF32" i="18"/>
  <c r="QH32" i="18"/>
  <c r="PJ32" i="18"/>
  <c r="OL32" i="18"/>
  <c r="NN32" i="18"/>
  <c r="MP32" i="18"/>
  <c r="LR32" i="18"/>
  <c r="KT32" i="18"/>
  <c r="JV32" i="18"/>
  <c r="IX32" i="18"/>
  <c r="HZ32" i="18"/>
  <c r="HB32" i="18"/>
  <c r="GD32" i="18"/>
  <c r="FF32" i="18"/>
  <c r="EH32" i="18"/>
  <c r="DJ32" i="18"/>
  <c r="CL32" i="18"/>
  <c r="BN32" i="18"/>
  <c r="AP32" i="18"/>
  <c r="WN32" i="18"/>
  <c r="WB32" i="18"/>
  <c r="UL32" i="18"/>
  <c r="SV32" i="18"/>
  <c r="SJ32" i="18"/>
  <c r="QT32" i="18"/>
  <c r="PD32" i="18"/>
  <c r="OR32" i="18"/>
  <c r="NB32" i="18"/>
  <c r="LL32" i="18"/>
  <c r="KZ32" i="18"/>
  <c r="JJ32" i="18"/>
  <c r="HT32" i="18"/>
  <c r="HH32" i="18"/>
  <c r="FR32" i="18"/>
  <c r="EB32" i="18"/>
  <c r="DP32" i="18"/>
  <c r="BZ32" i="18"/>
  <c r="AJ32" i="18"/>
  <c r="XF32" i="18"/>
  <c r="VP32" i="18"/>
  <c r="PP32" i="18"/>
  <c r="NZ32" i="18"/>
  <c r="MV32" i="18"/>
  <c r="MJ32" i="18"/>
  <c r="LF32" i="18"/>
  <c r="KB32" i="18"/>
  <c r="JP32" i="18"/>
  <c r="IL32" i="18"/>
  <c r="GV32" i="18"/>
  <c r="AV32" i="18"/>
  <c r="UF32" i="18"/>
  <c r="TN32" i="18"/>
  <c r="QN32" i="18"/>
  <c r="PV32" i="18"/>
  <c r="MD32" i="18"/>
  <c r="IR32" i="18"/>
  <c r="GJ32" i="18"/>
  <c r="EZ32" i="18"/>
  <c r="CR32" i="18"/>
  <c r="BH32" i="18"/>
  <c r="VJ32" i="18"/>
  <c r="UR32" i="18"/>
  <c r="RR32" i="18"/>
  <c r="QZ32" i="18"/>
  <c r="NH32" i="18"/>
  <c r="LX32" i="18"/>
  <c r="IF32" i="18"/>
  <c r="HN32" i="18"/>
  <c r="EN32" i="18"/>
  <c r="DV32" i="18"/>
  <c r="DD32" i="18"/>
  <c r="VD32" i="18"/>
  <c r="TT32" i="18"/>
  <c r="NT32" i="18"/>
  <c r="GP32" i="18"/>
  <c r="CF32" i="18"/>
  <c r="WH32" i="18"/>
  <c r="TH32" i="18"/>
  <c r="RX32" i="18"/>
  <c r="OX32" i="18"/>
  <c r="KN32" i="18"/>
  <c r="JD32" i="18"/>
  <c r="ET32" i="18"/>
  <c r="BT32" i="18"/>
  <c r="RL32" i="18"/>
  <c r="QB32" i="18"/>
  <c r="KH32" i="18"/>
  <c r="FX32" i="18"/>
  <c r="CX32" i="18"/>
  <c r="SP32" i="18"/>
  <c r="BB32" i="18"/>
  <c r="WZ32" i="18"/>
  <c r="FL32" i="18"/>
  <c r="OF32" i="18"/>
  <c r="T27" i="18"/>
  <c r="U27" i="18" s="1"/>
  <c r="P29" i="18"/>
  <c r="S28" i="18" s="1"/>
  <c r="Q29" i="18"/>
  <c r="R29" i="18"/>
  <c r="B61" i="1"/>
  <c r="B61" i="7"/>
  <c r="B61" i="9"/>
  <c r="AD58" i="5"/>
  <c r="AE58" i="5" s="1"/>
  <c r="AI58" i="5" s="1"/>
  <c r="AJ56" i="5"/>
  <c r="AL56" i="5" s="1"/>
  <c r="B63" i="5"/>
  <c r="R61" i="5"/>
  <c r="AG61" i="5" s="1"/>
  <c r="K61" i="5"/>
  <c r="AE61" i="5"/>
  <c r="B60" i="5"/>
  <c r="R58" i="5"/>
  <c r="AG58" i="5" s="1"/>
  <c r="K58" i="5"/>
  <c r="AL54" i="5"/>
  <c r="F56" i="5"/>
  <c r="B97" i="14"/>
  <c r="S94" i="14"/>
  <c r="U94" i="14"/>
  <c r="T94" i="14"/>
  <c r="Q93" i="14"/>
  <c r="R93" i="14"/>
  <c r="B32" i="15"/>
  <c r="B60" i="7"/>
  <c r="B60" i="9"/>
  <c r="B62" i="8"/>
  <c r="B63" i="8"/>
  <c r="BQ57" i="1"/>
  <c r="O56" i="1"/>
  <c r="O57" i="1"/>
  <c r="BP57" i="1"/>
  <c r="X57" i="7" s="1"/>
  <c r="B60" i="1"/>
  <c r="N58" i="1"/>
  <c r="Q56" i="5" l="1"/>
  <c r="U56" i="5" s="1"/>
  <c r="R51" i="8"/>
  <c r="Q59" i="5"/>
  <c r="U59" i="5" s="1"/>
  <c r="F32" i="18"/>
  <c r="UG32" i="18" s="1"/>
  <c r="I59" i="9"/>
  <c r="B67" i="19"/>
  <c r="G67" i="19" s="1"/>
  <c r="F65" i="19"/>
  <c r="I58" i="9"/>
  <c r="VL32" i="18"/>
  <c r="FJ31" i="18"/>
  <c r="WX31" i="18"/>
  <c r="PH31" i="18"/>
  <c r="EK31" i="18"/>
  <c r="EA31" i="18"/>
  <c r="CD31" i="18"/>
  <c r="L59" i="9"/>
  <c r="L58" i="9"/>
  <c r="M56" i="9"/>
  <c r="M57" i="9"/>
  <c r="HS31" i="18"/>
  <c r="J58" i="9"/>
  <c r="J59" i="9"/>
  <c r="H60" i="9"/>
  <c r="K60" i="9" s="1"/>
  <c r="H61" i="9"/>
  <c r="K61" i="9" s="1"/>
  <c r="F61" i="5"/>
  <c r="NW31" i="18"/>
  <c r="F63" i="8"/>
  <c r="G63" i="8"/>
  <c r="F62" i="8"/>
  <c r="G62" i="8"/>
  <c r="J60" i="7"/>
  <c r="I60" i="7"/>
  <c r="I61" i="7"/>
  <c r="J61" i="7"/>
  <c r="U32" i="15"/>
  <c r="E32" i="15"/>
  <c r="D32" i="15"/>
  <c r="UD31" i="18"/>
  <c r="WQ31" i="18"/>
  <c r="VO31" i="18"/>
  <c r="UX33" i="18"/>
  <c r="D33" i="18"/>
  <c r="E33" i="18"/>
  <c r="G33" i="18" s="1"/>
  <c r="AQ32" i="18"/>
  <c r="EU32" i="18"/>
  <c r="JE32" i="18"/>
  <c r="TX31" i="18"/>
  <c r="QE31" i="18"/>
  <c r="EX31" i="18"/>
  <c r="WL31" i="18"/>
  <c r="IU31" i="18"/>
  <c r="BQ31" i="18"/>
  <c r="NK31" i="18"/>
  <c r="VC31" i="18"/>
  <c r="AO31" i="18"/>
  <c r="PB31" i="18"/>
  <c r="OO31" i="18"/>
  <c r="IC31" i="18"/>
  <c r="LJ31" i="18"/>
  <c r="SY31" i="18"/>
  <c r="DU31" i="18"/>
  <c r="HM31" i="18"/>
  <c r="I63" i="5"/>
  <c r="J63" i="5" s="1"/>
  <c r="I60" i="5"/>
  <c r="J60" i="5" s="1"/>
  <c r="ST31" i="18"/>
  <c r="LV31" i="18"/>
  <c r="DM31" i="18"/>
  <c r="FE31" i="18"/>
  <c r="DG31" i="18"/>
  <c r="IO31" i="18"/>
  <c r="MM31" i="18"/>
  <c r="IK31" i="18"/>
  <c r="XC31" i="18"/>
  <c r="HG31" i="18"/>
  <c r="GA31" i="18"/>
  <c r="BM31" i="18"/>
  <c r="TR31" i="18"/>
  <c r="HA31" i="18"/>
  <c r="CI31" i="18"/>
  <c r="HX31" i="18"/>
  <c r="H60" i="1"/>
  <c r="I60" i="1" s="1"/>
  <c r="H61" i="1"/>
  <c r="I61" i="1" s="1"/>
  <c r="SA31" i="18"/>
  <c r="NR31" i="18"/>
  <c r="NF31" i="18"/>
  <c r="OI31" i="18"/>
  <c r="KM31" i="18"/>
  <c r="AT31" i="18"/>
  <c r="PZ31" i="18"/>
  <c r="JZ31" i="18"/>
  <c r="CV31" i="18"/>
  <c r="JS31" i="18"/>
  <c r="KF31" i="18"/>
  <c r="TK31" i="18"/>
  <c r="CO31" i="18"/>
  <c r="RE31" i="18"/>
  <c r="VS31" i="18"/>
  <c r="OV31" i="18"/>
  <c r="GS31" i="18"/>
  <c r="MT31" i="18"/>
  <c r="JH31" i="18"/>
  <c r="MZ31" i="18"/>
  <c r="UI31" i="18"/>
  <c r="BE31" i="18"/>
  <c r="RU31" i="18"/>
  <c r="BW31" i="18"/>
  <c r="FV31" i="18"/>
  <c r="UQ31" i="18"/>
  <c r="ES31" i="18"/>
  <c r="PT31" i="18"/>
  <c r="DB31" i="18"/>
  <c r="SH31" i="18"/>
  <c r="UV31" i="18"/>
  <c r="TG31" i="18"/>
  <c r="KR31" i="18"/>
  <c r="MH31" i="18"/>
  <c r="QL31" i="18"/>
  <c r="KX31" i="18"/>
  <c r="GO31" i="18"/>
  <c r="RP31" i="18"/>
  <c r="VH31" i="18"/>
  <c r="EF31" i="18"/>
  <c r="LP31" i="18"/>
  <c r="VY31" i="18"/>
  <c r="OE31" i="18"/>
  <c r="XI31" i="18"/>
  <c r="GI31" i="18"/>
  <c r="QX31" i="18"/>
  <c r="FQ31" i="18"/>
  <c r="QR31" i="18"/>
  <c r="PM31" i="18"/>
  <c r="RI31" i="18"/>
  <c r="AZ31" i="18"/>
  <c r="LE31" i="18"/>
  <c r="SN31" i="18"/>
  <c r="WF31" i="18"/>
  <c r="JA31" i="18"/>
  <c r="EE31" i="18"/>
  <c r="JN31" i="18"/>
  <c r="MA31" i="18"/>
  <c r="PP33" i="18"/>
  <c r="DJ33" i="18"/>
  <c r="HH33" i="18"/>
  <c r="PD33" i="18"/>
  <c r="UL33" i="18"/>
  <c r="KT33" i="18"/>
  <c r="CF33" i="18"/>
  <c r="IL33" i="18"/>
  <c r="SD33" i="18"/>
  <c r="O33" i="18"/>
  <c r="N33" i="18"/>
  <c r="DP33" i="18"/>
  <c r="SJ33" i="18"/>
  <c r="RX33" i="18"/>
  <c r="B34" i="18"/>
  <c r="IR33" i="18"/>
  <c r="JJ33" i="18"/>
  <c r="BZ33" i="18"/>
  <c r="WH33" i="18"/>
  <c r="GP33" i="18"/>
  <c r="BH33" i="18"/>
  <c r="OX33" i="18"/>
  <c r="BB33" i="18"/>
  <c r="KN33" i="18"/>
  <c r="VD33" i="18"/>
  <c r="FF33" i="18"/>
  <c r="MP33" i="18"/>
  <c r="TZ33" i="18"/>
  <c r="AJ33" i="18"/>
  <c r="UR33" i="18"/>
  <c r="HT33" i="18"/>
  <c r="QT33" i="18"/>
  <c r="KH33" i="18"/>
  <c r="CX33" i="18"/>
  <c r="QN33" i="18"/>
  <c r="DD33" i="18"/>
  <c r="NT33" i="18"/>
  <c r="XF33" i="18"/>
  <c r="HB33" i="18"/>
  <c r="OL33" i="18"/>
  <c r="VV33" i="18"/>
  <c r="LX33" i="18"/>
  <c r="IF33" i="18"/>
  <c r="LL33" i="18"/>
  <c r="WN33" i="18"/>
  <c r="NZ33" i="18"/>
  <c r="EN33" i="18"/>
  <c r="SV33" i="18"/>
  <c r="GJ33" i="18"/>
  <c r="PV33" i="18"/>
  <c r="BN33" i="18"/>
  <c r="IX33" i="18"/>
  <c r="QH33" i="18"/>
  <c r="HN33" i="18"/>
  <c r="EZ33" i="18"/>
  <c r="DV33" i="18"/>
  <c r="VJ33" i="18"/>
  <c r="JD33" i="18"/>
  <c r="SP33" i="18"/>
  <c r="UF33" i="18"/>
  <c r="FX33" i="18"/>
  <c r="KZ33" i="18"/>
  <c r="TT33" i="18"/>
  <c r="EB33" i="18"/>
  <c r="NH33" i="18"/>
  <c r="RR33" i="18"/>
  <c r="WB33" i="18"/>
  <c r="ET33" i="18"/>
  <c r="KB33" i="18"/>
  <c r="OF33" i="18"/>
  <c r="TN33" i="18"/>
  <c r="AP33" i="18"/>
  <c r="EH33" i="18"/>
  <c r="HZ33" i="18"/>
  <c r="LR33" i="18"/>
  <c r="PJ33" i="18"/>
  <c r="TB33" i="18"/>
  <c r="WT33" i="18"/>
  <c r="NB33" i="18"/>
  <c r="QZ33" i="18"/>
  <c r="MJ33" i="18"/>
  <c r="LF33" i="18"/>
  <c r="FL33" i="18"/>
  <c r="MV33" i="18"/>
  <c r="WZ33" i="18"/>
  <c r="AV33" i="18"/>
  <c r="JP33" i="18"/>
  <c r="OR33" i="18"/>
  <c r="BT33" i="18"/>
  <c r="FR33" i="18"/>
  <c r="QB33" i="18"/>
  <c r="TH33" i="18"/>
  <c r="CR33" i="18"/>
  <c r="GV33" i="18"/>
  <c r="MD33" i="18"/>
  <c r="RL33" i="18"/>
  <c r="VP33" i="18"/>
  <c r="CL33" i="18"/>
  <c r="GD33" i="18"/>
  <c r="JV33" i="18"/>
  <c r="NN33" i="18"/>
  <c r="RF33" i="18"/>
  <c r="T32" i="15"/>
  <c r="OC31" i="18"/>
  <c r="TM31" i="18"/>
  <c r="LD31" i="18"/>
  <c r="OW31" i="18"/>
  <c r="RD31" i="18"/>
  <c r="WG31" i="18"/>
  <c r="LI31" i="18"/>
  <c r="EM31" i="18"/>
  <c r="DS31" i="18"/>
  <c r="JC31" i="18"/>
  <c r="AM31" i="18"/>
  <c r="VU31" i="18"/>
  <c r="CP31" i="18"/>
  <c r="SO31" i="18"/>
  <c r="OP31" i="18"/>
  <c r="DT31" i="18"/>
  <c r="AN31" i="18"/>
  <c r="VT31" i="18"/>
  <c r="SM31" i="18"/>
  <c r="HK31" i="18"/>
  <c r="LK31" i="18"/>
  <c r="JM31" i="18"/>
  <c r="RC31" i="18"/>
  <c r="ID31" i="18"/>
  <c r="LC31" i="18"/>
  <c r="HL31" i="18"/>
  <c r="JB31" i="18"/>
  <c r="WE31" i="18"/>
  <c r="JO31" i="18"/>
  <c r="OU31" i="18"/>
  <c r="CQ31" i="18"/>
  <c r="IE31" i="18"/>
  <c r="EL31" i="18"/>
  <c r="VZ31" i="18"/>
  <c r="PA31" i="18"/>
  <c r="EG31" i="18"/>
  <c r="KK31" i="18"/>
  <c r="OQ31" i="18"/>
  <c r="PI31" i="18"/>
  <c r="NY31" i="18"/>
  <c r="KL31" i="18"/>
  <c r="WA31" i="18"/>
  <c r="MS31" i="18"/>
  <c r="MC31" i="18"/>
  <c r="MB31" i="18"/>
  <c r="MU31" i="18"/>
  <c r="GT31" i="18"/>
  <c r="PG31" i="18"/>
  <c r="PS31" i="18"/>
  <c r="LU31" i="18"/>
  <c r="IP31" i="18"/>
  <c r="GU31" i="18"/>
  <c r="WW31" i="18"/>
  <c r="FW31" i="18"/>
  <c r="TQ31" i="18"/>
  <c r="GC31" i="18"/>
  <c r="VN31" i="18"/>
  <c r="SB31" i="18"/>
  <c r="QF31" i="18"/>
  <c r="CW31" i="18"/>
  <c r="LO31" i="18"/>
  <c r="WM31" i="18"/>
  <c r="JI31" i="18"/>
  <c r="IV31" i="18"/>
  <c r="FK31" i="18"/>
  <c r="JG31" i="18"/>
  <c r="UK31" i="18"/>
  <c r="BR31" i="18"/>
  <c r="JU31" i="18"/>
  <c r="QM31" i="18"/>
  <c r="FI31" i="18"/>
  <c r="CE31" i="18"/>
  <c r="RQ31" i="18"/>
  <c r="XJ31" i="18"/>
  <c r="UJ31" i="18"/>
  <c r="SG31" i="18"/>
  <c r="UE31" i="18"/>
  <c r="QK31" i="18"/>
  <c r="VM31" i="18"/>
  <c r="CC31" i="18"/>
  <c r="GB31" i="18"/>
  <c r="RO31" i="18"/>
  <c r="CJ31" i="18"/>
  <c r="NX31" i="18"/>
  <c r="KY31" i="18"/>
  <c r="GY31" i="18"/>
  <c r="UC31" i="18"/>
  <c r="TS31" i="18"/>
  <c r="MG31" i="18"/>
  <c r="TF31" i="18"/>
  <c r="KS31" i="18"/>
  <c r="HF31" i="18"/>
  <c r="WR31" i="18"/>
  <c r="PN31" i="18"/>
  <c r="HY31" i="18"/>
  <c r="HR31" i="18"/>
  <c r="CU31" i="18"/>
  <c r="LQ31" i="18"/>
  <c r="TY31" i="18"/>
  <c r="WK31" i="18"/>
  <c r="EY31" i="18"/>
  <c r="NM31" i="18"/>
  <c r="OD31" i="18"/>
  <c r="PC31" i="18"/>
  <c r="JT31" i="18"/>
  <c r="QG31" i="18"/>
  <c r="TW31" i="18"/>
  <c r="EW31" i="18"/>
  <c r="XK31" i="18"/>
  <c r="NL31" i="18"/>
  <c r="SI31" i="18"/>
  <c r="IW31" i="18"/>
  <c r="BS31" i="18"/>
  <c r="WY31" i="18"/>
  <c r="FC31" i="18"/>
  <c r="FU31" i="18"/>
  <c r="IQ31" i="18"/>
  <c r="TL31" i="18"/>
  <c r="EQ31" i="18"/>
  <c r="BX31" i="18"/>
  <c r="LW31" i="18"/>
  <c r="PU31" i="18"/>
  <c r="FD31" i="18"/>
  <c r="DN31" i="18"/>
  <c r="ER31" i="18"/>
  <c r="SS31" i="18"/>
  <c r="BY31" i="18"/>
  <c r="DO31" i="18"/>
  <c r="SC31" i="18"/>
  <c r="BK31" i="18"/>
  <c r="PY31" i="18"/>
  <c r="MI31" i="18"/>
  <c r="TE31" i="18"/>
  <c r="SU31" i="18"/>
  <c r="KQ31" i="18"/>
  <c r="HW31" i="18"/>
  <c r="KW31" i="18"/>
  <c r="HE31" i="18"/>
  <c r="VI31" i="18"/>
  <c r="HQ31" i="18"/>
  <c r="GZ31" i="18"/>
  <c r="NG31" i="18"/>
  <c r="BL31" i="18"/>
  <c r="QA31" i="18"/>
  <c r="PO31" i="18"/>
  <c r="CK31" i="18"/>
  <c r="VG31" i="18"/>
  <c r="WS31" i="18"/>
  <c r="NE31" i="18"/>
  <c r="VA31" i="18"/>
  <c r="RJ31" i="18"/>
  <c r="KA31" i="18"/>
  <c r="GG31" i="18"/>
  <c r="XD31" i="18"/>
  <c r="MO31" i="18"/>
  <c r="II31" i="18"/>
  <c r="DA31" i="18"/>
  <c r="QY31" i="18"/>
  <c r="GM31" i="18"/>
  <c r="DH31" i="18"/>
  <c r="OK31" i="18"/>
  <c r="FP31" i="18"/>
  <c r="SZ31" i="18"/>
  <c r="QS31" i="18"/>
  <c r="UP31" i="18"/>
  <c r="BF31" i="18"/>
  <c r="BA31" i="18"/>
  <c r="DY31" i="18"/>
  <c r="VB31" i="18"/>
  <c r="NS31" i="18"/>
  <c r="JY31" i="18"/>
  <c r="GH31" i="18"/>
  <c r="RW31" i="18"/>
  <c r="MN31" i="18"/>
  <c r="IJ31" i="18"/>
  <c r="UW31" i="18"/>
  <c r="QW31" i="18"/>
  <c r="GN31" i="18"/>
  <c r="AU31" i="18"/>
  <c r="OJ31" i="18"/>
  <c r="FO31" i="18"/>
  <c r="KG31" i="18"/>
  <c r="QQ31" i="18"/>
  <c r="UO31" i="18"/>
  <c r="NA31" i="18"/>
  <c r="AY31" i="18"/>
  <c r="DZ31" i="18"/>
  <c r="RK31" i="18"/>
  <c r="NQ31" i="18"/>
  <c r="XE31" i="18"/>
  <c r="RV31" i="18"/>
  <c r="DC31" i="18"/>
  <c r="UU31" i="18"/>
  <c r="DI31" i="18"/>
  <c r="AS31" i="18"/>
  <c r="TA31" i="18"/>
  <c r="KE31" i="18"/>
  <c r="BG31" i="18"/>
  <c r="MY31" i="18"/>
  <c r="T28" i="18"/>
  <c r="U28" i="18" s="1"/>
  <c r="R30" i="18"/>
  <c r="P30" i="18"/>
  <c r="S29" i="18" s="1"/>
  <c r="Q30" i="18"/>
  <c r="B63" i="9"/>
  <c r="B63" i="1"/>
  <c r="B63" i="7"/>
  <c r="AD60" i="5"/>
  <c r="AE60" i="5" s="1"/>
  <c r="AI60" i="5" s="1"/>
  <c r="AJ58" i="5"/>
  <c r="AL58" i="5" s="1"/>
  <c r="B65" i="5"/>
  <c r="R63" i="5"/>
  <c r="AG63" i="5" s="1"/>
  <c r="K63" i="5"/>
  <c r="AE63" i="5"/>
  <c r="B62" i="5"/>
  <c r="R60" i="5"/>
  <c r="AG60" i="5" s="1"/>
  <c r="K60" i="5"/>
  <c r="F58" i="5"/>
  <c r="U95" i="14"/>
  <c r="T95" i="14"/>
  <c r="S95" i="14"/>
  <c r="Q94" i="14"/>
  <c r="R94" i="14"/>
  <c r="B98" i="14"/>
  <c r="O58" i="1"/>
  <c r="BQ59" i="1"/>
  <c r="O59" i="1"/>
  <c r="BP59" i="1"/>
  <c r="X59" i="7" s="1"/>
  <c r="B62" i="7"/>
  <c r="B62" i="1"/>
  <c r="N60" i="1"/>
  <c r="B33" i="15"/>
  <c r="B65" i="8"/>
  <c r="B64" i="8"/>
  <c r="B62" i="9"/>
  <c r="PW32" i="18" l="1"/>
  <c r="CM32" i="18"/>
  <c r="SE32" i="18"/>
  <c r="SK32" i="18"/>
  <c r="RA32" i="18"/>
  <c r="DQ32" i="18"/>
  <c r="R65" i="5"/>
  <c r="AG65" i="5" s="1"/>
  <c r="R53" i="8"/>
  <c r="TU32" i="18"/>
  <c r="RG32" i="18"/>
  <c r="PQ32" i="18"/>
  <c r="OA32" i="18"/>
  <c r="IM32" i="18"/>
  <c r="KU32" i="18"/>
  <c r="AW32" i="18"/>
  <c r="HO32" i="18"/>
  <c r="FS32" i="18"/>
  <c r="RS32" i="18"/>
  <c r="FM32" i="18"/>
  <c r="KO32" i="18"/>
  <c r="NI32" i="18"/>
  <c r="CA32" i="18"/>
  <c r="IA32" i="18"/>
  <c r="DW32" i="18"/>
  <c r="LY32" i="18"/>
  <c r="TO32" i="18"/>
  <c r="UM32" i="18"/>
  <c r="SQ32" i="18"/>
  <c r="FY32" i="18"/>
  <c r="NC32" i="18"/>
  <c r="OS32" i="18"/>
  <c r="XG32" i="18"/>
  <c r="DE32" i="18"/>
  <c r="BI32" i="18"/>
  <c r="KI32" i="18"/>
  <c r="GE32" i="18"/>
  <c r="RM32" i="18"/>
  <c r="QO32" i="18"/>
  <c r="BU32" i="18"/>
  <c r="FG32" i="18"/>
  <c r="CY32" i="18"/>
  <c r="PK32" i="18"/>
  <c r="NO32" i="18"/>
  <c r="XA32" i="18"/>
  <c r="IG32" i="18"/>
  <c r="OG32" i="18"/>
  <c r="QC32" i="18"/>
  <c r="HU32" i="18"/>
  <c r="QU32" i="18"/>
  <c r="LG32" i="18"/>
  <c r="LA32" i="18"/>
  <c r="RY32" i="18"/>
  <c r="SW32" i="18"/>
  <c r="PE32" i="18"/>
  <c r="CG32" i="18"/>
  <c r="IS32" i="18"/>
  <c r="GW32" i="18"/>
  <c r="OM32" i="18"/>
  <c r="MW32" i="18"/>
  <c r="UA32" i="18"/>
  <c r="BC32" i="18"/>
  <c r="UY32" i="18"/>
  <c r="GQ32" i="18"/>
  <c r="VW32" i="18"/>
  <c r="TI32" i="18"/>
  <c r="EO32" i="18"/>
  <c r="IY32" i="18"/>
  <c r="LS32" i="18"/>
  <c r="WU32" i="18"/>
  <c r="FA32" i="18"/>
  <c r="WC32" i="18"/>
  <c r="HI32" i="18"/>
  <c r="MQ32" i="18"/>
  <c r="OY32" i="18"/>
  <c r="HC32" i="18"/>
  <c r="MK32" i="18"/>
  <c r="VK32" i="18"/>
  <c r="VN32" i="18" s="1"/>
  <c r="NU32" i="18"/>
  <c r="BO32" i="18"/>
  <c r="JQ32" i="18"/>
  <c r="TC32" i="18"/>
  <c r="KC32" i="18"/>
  <c r="WO32" i="18"/>
  <c r="JK32" i="18"/>
  <c r="EC32" i="18"/>
  <c r="VQ32" i="18"/>
  <c r="AK32" i="18"/>
  <c r="LM32" i="18"/>
  <c r="GK32" i="18"/>
  <c r="DK32" i="18"/>
  <c r="CS32" i="18"/>
  <c r="US32" i="18"/>
  <c r="WI32" i="18"/>
  <c r="QI32" i="18"/>
  <c r="EI32" i="18"/>
  <c r="ME32" i="18"/>
  <c r="Q58" i="5"/>
  <c r="U58" i="5" s="1"/>
  <c r="JW32" i="18"/>
  <c r="VE32" i="18"/>
  <c r="F33" i="18"/>
  <c r="WC33" i="18" s="1"/>
  <c r="Q61" i="5"/>
  <c r="U61" i="5" s="1"/>
  <c r="I61" i="9"/>
  <c r="B69" i="19"/>
  <c r="G69" i="19" s="1"/>
  <c r="F67" i="19"/>
  <c r="I60" i="9"/>
  <c r="TJ32" i="18"/>
  <c r="DL32" i="18"/>
  <c r="CB32" i="18"/>
  <c r="DF32" i="18"/>
  <c r="DH32" i="18" s="1"/>
  <c r="WV32" i="18"/>
  <c r="CH32" i="18"/>
  <c r="CJ32" i="18" s="1"/>
  <c r="QV32" i="18"/>
  <c r="AL32" i="18"/>
  <c r="NV32" i="18"/>
  <c r="NW32" i="18" s="1"/>
  <c r="PR32" i="18"/>
  <c r="PU32" i="18" s="1"/>
  <c r="LH32" i="18"/>
  <c r="OB32" i="18"/>
  <c r="QD32" i="18"/>
  <c r="FZ32" i="18"/>
  <c r="XH32" i="18"/>
  <c r="XI32" i="18" s="1"/>
  <c r="OH32" i="18"/>
  <c r="SR32" i="18"/>
  <c r="VF32" i="18"/>
  <c r="ON32" i="18"/>
  <c r="GF32" i="18"/>
  <c r="IN32" i="18"/>
  <c r="BP32" i="18"/>
  <c r="BQ32" i="18" s="1"/>
  <c r="HP32" i="18"/>
  <c r="HS32" i="18" s="1"/>
  <c r="HV32" i="18"/>
  <c r="LB32" i="18"/>
  <c r="RT32" i="18"/>
  <c r="CZ32" i="18"/>
  <c r="GL32" i="18"/>
  <c r="GM32" i="18" s="1"/>
  <c r="HJ32" i="18"/>
  <c r="ED32" i="18"/>
  <c r="LZ32" i="18"/>
  <c r="UN32" i="18"/>
  <c r="FT32" i="18"/>
  <c r="FU32" i="18" s="1"/>
  <c r="KD32" i="18"/>
  <c r="KP32" i="18"/>
  <c r="KS32" i="18" s="1"/>
  <c r="JX32" i="18"/>
  <c r="KV32" i="18"/>
  <c r="KW32" i="18" s="1"/>
  <c r="CN32" i="18"/>
  <c r="CP32" i="18" s="1"/>
  <c r="MF32" i="18"/>
  <c r="MH32" i="18" s="1"/>
  <c r="TD32" i="18"/>
  <c r="TF32" i="18" s="1"/>
  <c r="WP32" i="18"/>
  <c r="XB32" i="18"/>
  <c r="ML32" i="18"/>
  <c r="MM32" i="18" s="1"/>
  <c r="HD32" i="18"/>
  <c r="WJ32" i="18"/>
  <c r="NP32" i="18"/>
  <c r="NQ32" i="18" s="1"/>
  <c r="VR32" i="18"/>
  <c r="UB32" i="18"/>
  <c r="QJ32" i="18"/>
  <c r="SX32" i="18"/>
  <c r="SL32" i="18"/>
  <c r="SN32" i="18" s="1"/>
  <c r="DX32" i="18"/>
  <c r="KJ32" i="18"/>
  <c r="RB32" i="18"/>
  <c r="UZ32" i="18"/>
  <c r="RZ32" i="18"/>
  <c r="IT32" i="18"/>
  <c r="MR32" i="18"/>
  <c r="ND32" i="18"/>
  <c r="UT32" i="18"/>
  <c r="AR32" i="18"/>
  <c r="AS32" i="18" s="1"/>
  <c r="BV32" i="18"/>
  <c r="BY32" i="18" s="1"/>
  <c r="OT32" i="18"/>
  <c r="LN32" i="18"/>
  <c r="TP32" i="18"/>
  <c r="TQ32" i="18" s="1"/>
  <c r="EV32" i="18"/>
  <c r="EW32" i="18" s="1"/>
  <c r="JR32" i="18"/>
  <c r="JS32" i="18" s="1"/>
  <c r="IZ32" i="18"/>
  <c r="JF32" i="18"/>
  <c r="JH32" i="18" s="1"/>
  <c r="DR32" i="18"/>
  <c r="DS32" i="18" s="1"/>
  <c r="NJ32" i="18"/>
  <c r="RN32" i="18"/>
  <c r="RP32" i="18" s="1"/>
  <c r="EP32" i="18"/>
  <c r="EQ32" i="18" s="1"/>
  <c r="IB32" i="18"/>
  <c r="IE32" i="18" s="1"/>
  <c r="BJ32" i="18"/>
  <c r="OZ32" i="18"/>
  <c r="GR32" i="18"/>
  <c r="LT32" i="18"/>
  <c r="QP32" i="18"/>
  <c r="MX32" i="18"/>
  <c r="PF32" i="18"/>
  <c r="PI32" i="18" s="1"/>
  <c r="IH32" i="18"/>
  <c r="JL32" i="18"/>
  <c r="JO32" i="18" s="1"/>
  <c r="PL32" i="18"/>
  <c r="TV32" i="18"/>
  <c r="RH32" i="18"/>
  <c r="FH32" i="18"/>
  <c r="FJ32" i="18" s="1"/>
  <c r="GX32" i="18"/>
  <c r="HA32" i="18" s="1"/>
  <c r="PX32" i="18"/>
  <c r="BD32" i="18"/>
  <c r="EJ32" i="18"/>
  <c r="FB32" i="18"/>
  <c r="VX32" i="18"/>
  <c r="UH32" i="18"/>
  <c r="UI32" i="18" s="1"/>
  <c r="SF32" i="18"/>
  <c r="SH32" i="18" s="1"/>
  <c r="WD32" i="18"/>
  <c r="AX32" i="18"/>
  <c r="FN32" i="18"/>
  <c r="FQ32" i="18" s="1"/>
  <c r="CT32" i="18"/>
  <c r="VM32" i="18"/>
  <c r="L60" i="9"/>
  <c r="L61" i="9"/>
  <c r="M58" i="9"/>
  <c r="M59" i="9"/>
  <c r="J61" i="9"/>
  <c r="J60" i="9"/>
  <c r="H62" i="9"/>
  <c r="K62" i="9" s="1"/>
  <c r="H63" i="9"/>
  <c r="K63" i="9" s="1"/>
  <c r="F63" i="5"/>
  <c r="F64" i="8"/>
  <c r="G64" i="8"/>
  <c r="F65" i="8"/>
  <c r="G65" i="8"/>
  <c r="J63" i="7"/>
  <c r="I63" i="7"/>
  <c r="J62" i="7"/>
  <c r="I62" i="7"/>
  <c r="D33" i="15"/>
  <c r="E33" i="15"/>
  <c r="XH33" i="18"/>
  <c r="QV33" i="18"/>
  <c r="CB33" i="18"/>
  <c r="FB33" i="18"/>
  <c r="WP33" i="18"/>
  <c r="TJ33" i="18"/>
  <c r="AL33" i="18"/>
  <c r="ND33" i="18"/>
  <c r="TV33" i="18"/>
  <c r="XB33" i="18"/>
  <c r="PF33" i="18"/>
  <c r="KP33" i="18"/>
  <c r="IZ33" i="18"/>
  <c r="JL33" i="18"/>
  <c r="ON33" i="18"/>
  <c r="NV33" i="18"/>
  <c r="EJ33" i="18"/>
  <c r="CN33" i="18"/>
  <c r="WD33" i="18"/>
  <c r="UN33" i="18"/>
  <c r="FT33" i="18"/>
  <c r="JF33" i="18"/>
  <c r="JX33" i="18"/>
  <c r="RZ33" i="18"/>
  <c r="AX33" i="18"/>
  <c r="CT33" i="18"/>
  <c r="WN34" i="18"/>
  <c r="E34" i="18"/>
  <c r="G34" i="18" s="1"/>
  <c r="D34" i="18"/>
  <c r="I62" i="5"/>
  <c r="J62" i="5" s="1"/>
  <c r="I65" i="5"/>
  <c r="J65" i="5" s="1"/>
  <c r="H63" i="1"/>
  <c r="I63" i="1" s="1"/>
  <c r="H62" i="1"/>
  <c r="I62" i="1" s="1"/>
  <c r="ED33" i="18"/>
  <c r="BP33" i="18"/>
  <c r="NJ33" i="18"/>
  <c r="GL33" i="18"/>
  <c r="FH33" i="18"/>
  <c r="DF33" i="18"/>
  <c r="LZ33" i="18"/>
  <c r="UB33" i="18"/>
  <c r="UZ33" i="18"/>
  <c r="HJ33" i="18"/>
  <c r="RN33" i="18"/>
  <c r="AR33" i="18"/>
  <c r="LB33" i="18"/>
  <c r="OH33" i="18"/>
  <c r="BJ33" i="18"/>
  <c r="FN33" i="18"/>
  <c r="KV33" i="18"/>
  <c r="QD33" i="18"/>
  <c r="UH33" i="18"/>
  <c r="CZ33" i="18"/>
  <c r="GR33" i="18"/>
  <c r="KJ33" i="18"/>
  <c r="OB33" i="18"/>
  <c r="RT33" i="18"/>
  <c r="VL33" i="18"/>
  <c r="KD33" i="18"/>
  <c r="EP33" i="18"/>
  <c r="OT33" i="18"/>
  <c r="HV33" i="18"/>
  <c r="JR33" i="18"/>
  <c r="GF33" i="18"/>
  <c r="PR33" i="18"/>
  <c r="UT33" i="18"/>
  <c r="VR33" i="18"/>
  <c r="IB33" i="18"/>
  <c r="SX33" i="18"/>
  <c r="CH33" i="18"/>
  <c r="LN33" i="18"/>
  <c r="PL33" i="18"/>
  <c r="BV33" i="18"/>
  <c r="HD33" i="18"/>
  <c r="ML33" i="18"/>
  <c r="QP33" i="18"/>
  <c r="VX33" i="18"/>
  <c r="DX33" i="18"/>
  <c r="HP33" i="18"/>
  <c r="LH33" i="18"/>
  <c r="OZ33" i="18"/>
  <c r="SR33" i="18"/>
  <c r="WJ33" i="18"/>
  <c r="TD33" i="18"/>
  <c r="FZ33" i="18"/>
  <c r="WV33" i="18"/>
  <c r="NP33" i="18"/>
  <c r="SL33" i="18"/>
  <c r="GX33" i="18"/>
  <c r="QJ33" i="18"/>
  <c r="RH33" i="18"/>
  <c r="DR33" i="18"/>
  <c r="LT33" i="18"/>
  <c r="VF33" i="18"/>
  <c r="IH33" i="18"/>
  <c r="MR33" i="18"/>
  <c r="RB33" i="18"/>
  <c r="DL33" i="18"/>
  <c r="IT33" i="18"/>
  <c r="MX33" i="18"/>
  <c r="SF33" i="18"/>
  <c r="BD33" i="18"/>
  <c r="EV33" i="18"/>
  <c r="IN33" i="18"/>
  <c r="MF33" i="18"/>
  <c r="PX33" i="18"/>
  <c r="TP33" i="18"/>
  <c r="KI33" i="18"/>
  <c r="O34" i="18"/>
  <c r="OR34" i="18"/>
  <c r="PJ34" i="18"/>
  <c r="MV34" i="18"/>
  <c r="KB34" i="18"/>
  <c r="MJ34" i="18"/>
  <c r="GD34" i="18"/>
  <c r="VD34" i="18"/>
  <c r="DD34" i="18"/>
  <c r="NZ34" i="18"/>
  <c r="KH34" i="18"/>
  <c r="HN34" i="18"/>
  <c r="IR34" i="18"/>
  <c r="LR34" i="18"/>
  <c r="AJ34" i="18"/>
  <c r="PP34" i="18"/>
  <c r="TB34" i="18"/>
  <c r="SD34" i="18"/>
  <c r="QB34" i="18"/>
  <c r="BZ34" i="18"/>
  <c r="TN34" i="18"/>
  <c r="GJ34" i="18"/>
  <c r="BT34" i="18"/>
  <c r="DJ34" i="18"/>
  <c r="WH34" i="18"/>
  <c r="TT34" i="18"/>
  <c r="CR34" i="18"/>
  <c r="GP34" i="18"/>
  <c r="XF34" i="18"/>
  <c r="MP34" i="18"/>
  <c r="UL34" i="18"/>
  <c r="EN34" i="18"/>
  <c r="KZ34" i="18"/>
  <c r="BB34" i="18"/>
  <c r="HH34" i="18"/>
  <c r="UX34" i="18"/>
  <c r="IL34" i="18"/>
  <c r="TH34" i="18"/>
  <c r="CF34" i="18"/>
  <c r="LX34" i="18"/>
  <c r="PV34" i="18"/>
  <c r="AP34" i="18"/>
  <c r="EH34" i="18"/>
  <c r="JD34" i="18"/>
  <c r="OL34" i="18"/>
  <c r="SP34" i="18"/>
  <c r="FX34" i="18"/>
  <c r="JP34" i="18"/>
  <c r="NH34" i="18"/>
  <c r="QZ34" i="18"/>
  <c r="UR34" i="18"/>
  <c r="FR34" i="18"/>
  <c r="WB34" i="18"/>
  <c r="CX34" i="18"/>
  <c r="NT34" i="18"/>
  <c r="VJ34" i="18"/>
  <c r="HZ34" i="18"/>
  <c r="QT34" i="18"/>
  <c r="EB34" i="18"/>
  <c r="IF34" i="18"/>
  <c r="WT34" i="18"/>
  <c r="JV34" i="18"/>
  <c r="TZ34" i="18"/>
  <c r="DV34" i="18"/>
  <c r="NB34" i="18"/>
  <c r="QH34" i="18"/>
  <c r="BN34" i="18"/>
  <c r="FF34" i="18"/>
  <c r="KT34" i="18"/>
  <c r="OX34" i="18"/>
  <c r="UF34" i="18"/>
  <c r="GV34" i="18"/>
  <c r="KN34" i="18"/>
  <c r="OF34" i="18"/>
  <c r="RX34" i="18"/>
  <c r="VP34" i="18"/>
  <c r="B35" i="18"/>
  <c r="N34" i="18"/>
  <c r="RF34" i="18"/>
  <c r="BH34" i="18"/>
  <c r="DP34" i="18"/>
  <c r="SJ34" i="18"/>
  <c r="AV34" i="18"/>
  <c r="IX34" i="18"/>
  <c r="RR34" i="18"/>
  <c r="ET34" i="18"/>
  <c r="JJ34" i="18"/>
  <c r="EZ34" i="18"/>
  <c r="MD34" i="18"/>
  <c r="WZ34" i="18"/>
  <c r="FL34" i="18"/>
  <c r="NN34" i="18"/>
  <c r="RL34" i="18"/>
  <c r="CL34" i="18"/>
  <c r="HB34" i="18"/>
  <c r="LF34" i="18"/>
  <c r="QN34" i="18"/>
  <c r="VV34" i="18"/>
  <c r="HT34" i="18"/>
  <c r="LL34" i="18"/>
  <c r="PD34" i="18"/>
  <c r="SV34" i="18"/>
  <c r="T33" i="15"/>
  <c r="P31" i="18"/>
  <c r="T30" i="18" s="1"/>
  <c r="Q31" i="18"/>
  <c r="R31" i="18"/>
  <c r="T29" i="18"/>
  <c r="U29" i="18" s="1"/>
  <c r="B65" i="7"/>
  <c r="B65" i="1"/>
  <c r="B65" i="9"/>
  <c r="AD62" i="5"/>
  <c r="AE62" i="5" s="1"/>
  <c r="AI62" i="5" s="1"/>
  <c r="B67" i="5"/>
  <c r="AE65" i="5"/>
  <c r="K65" i="5"/>
  <c r="B64" i="5"/>
  <c r="R62" i="5"/>
  <c r="AG62" i="5" s="1"/>
  <c r="K62" i="5"/>
  <c r="F60" i="5"/>
  <c r="AJ60" i="5"/>
  <c r="R95" i="14"/>
  <c r="B99" i="14"/>
  <c r="S96" i="14"/>
  <c r="U96" i="14"/>
  <c r="T96" i="14"/>
  <c r="Q95" i="14"/>
  <c r="B66" i="8"/>
  <c r="B64" i="7"/>
  <c r="BQ61" i="1"/>
  <c r="O60" i="1"/>
  <c r="O61" i="1"/>
  <c r="BP61" i="1"/>
  <c r="X61" i="7" s="1"/>
  <c r="B64" i="9"/>
  <c r="B67" i="8"/>
  <c r="B34" i="15"/>
  <c r="B64" i="1"/>
  <c r="N62" i="1"/>
  <c r="RD32" i="18" l="1"/>
  <c r="PY32" i="18"/>
  <c r="QL32" i="18"/>
  <c r="TY32" i="18"/>
  <c r="R55" i="8"/>
  <c r="BM32" i="18"/>
  <c r="FC32" i="18"/>
  <c r="CD32" i="18"/>
  <c r="RI32" i="18"/>
  <c r="RU32" i="18"/>
  <c r="R67" i="5"/>
  <c r="AG67" i="5" s="1"/>
  <c r="IO32" i="18"/>
  <c r="CA33" i="18"/>
  <c r="CE33" i="18" s="1"/>
  <c r="AZ32" i="18"/>
  <c r="GE33" i="18"/>
  <c r="GG33" i="18" s="1"/>
  <c r="QC33" i="18"/>
  <c r="QE33" i="18" s="1"/>
  <c r="WI33" i="18"/>
  <c r="WK33" i="18" s="1"/>
  <c r="DY32" i="18"/>
  <c r="GH32" i="18"/>
  <c r="OE32" i="18"/>
  <c r="SU32" i="18"/>
  <c r="VK33" i="18"/>
  <c r="VM33" i="18" s="1"/>
  <c r="NU33" i="18"/>
  <c r="NX33" i="18" s="1"/>
  <c r="RG33" i="18"/>
  <c r="RJ33" i="18" s="1"/>
  <c r="FY33" i="18"/>
  <c r="GA33" i="18" s="1"/>
  <c r="EC33" i="18"/>
  <c r="EG33" i="18" s="1"/>
  <c r="SA32" i="18"/>
  <c r="UD32" i="18"/>
  <c r="HX32" i="18"/>
  <c r="LA33" i="18"/>
  <c r="LC33" i="18" s="1"/>
  <c r="JW33" i="18"/>
  <c r="JY33" i="18" s="1"/>
  <c r="CG33" i="18"/>
  <c r="CJ33" i="18" s="1"/>
  <c r="QO33" i="18"/>
  <c r="QQ33" i="18" s="1"/>
  <c r="PW33" i="18"/>
  <c r="QA33" i="18" s="1"/>
  <c r="EO33" i="18"/>
  <c r="EQ33" i="18" s="1"/>
  <c r="AW33" i="18"/>
  <c r="BA33" i="18" s="1"/>
  <c r="LU32" i="18"/>
  <c r="XE32" i="18"/>
  <c r="SQ33" i="18"/>
  <c r="SU33" i="18" s="1"/>
  <c r="DE33" i="18"/>
  <c r="DH33" i="18" s="1"/>
  <c r="VW33" i="18"/>
  <c r="VZ33" i="18" s="1"/>
  <c r="BU33" i="18"/>
  <c r="BY33" i="18" s="1"/>
  <c r="RS33" i="18"/>
  <c r="RU33" i="18" s="1"/>
  <c r="IG33" i="18"/>
  <c r="IK33" i="18" s="1"/>
  <c r="MQ33" i="18"/>
  <c r="MU33" i="18" s="1"/>
  <c r="PE33" i="18"/>
  <c r="PG33" i="18" s="1"/>
  <c r="LY33" i="18"/>
  <c r="MA33" i="18" s="1"/>
  <c r="VY32" i="18"/>
  <c r="IU32" i="18"/>
  <c r="HL32" i="18"/>
  <c r="Q60" i="5"/>
  <c r="U60" i="5" s="1"/>
  <c r="KE32" i="18"/>
  <c r="LI32" i="18"/>
  <c r="GT32" i="18"/>
  <c r="KM32" i="18"/>
  <c r="WS32" i="18"/>
  <c r="LE32" i="18"/>
  <c r="QG32" i="18"/>
  <c r="WF32" i="18"/>
  <c r="MY32" i="18"/>
  <c r="JB32" i="18"/>
  <c r="HG32" i="18"/>
  <c r="UQ32" i="18"/>
  <c r="OV32" i="18"/>
  <c r="DB32" i="18"/>
  <c r="VO32" i="18"/>
  <c r="BE32" i="18"/>
  <c r="II32" i="18"/>
  <c r="EE32" i="18"/>
  <c r="GB32" i="18"/>
  <c r="NK32" i="18"/>
  <c r="MA32" i="18"/>
  <c r="QX32" i="18"/>
  <c r="MT32" i="18"/>
  <c r="SY32" i="18"/>
  <c r="WM32" i="18"/>
  <c r="WW32" i="18"/>
  <c r="TM32" i="18"/>
  <c r="PO32" i="18"/>
  <c r="PC32" i="18"/>
  <c r="OJ32" i="18"/>
  <c r="QQ32" i="18"/>
  <c r="NG32" i="18"/>
  <c r="VB32" i="18"/>
  <c r="OQ32" i="18"/>
  <c r="JY32" i="18"/>
  <c r="VT32" i="18"/>
  <c r="HI33" i="18"/>
  <c r="HL33" i="18" s="1"/>
  <c r="NI33" i="18"/>
  <c r="NL33" i="18" s="1"/>
  <c r="ME33" i="18"/>
  <c r="MI33" i="18" s="1"/>
  <c r="FG33" i="18"/>
  <c r="FK33" i="18" s="1"/>
  <c r="BC33" i="18"/>
  <c r="BG33" i="18" s="1"/>
  <c r="BI33" i="18"/>
  <c r="BL33" i="18" s="1"/>
  <c r="KC33" i="18"/>
  <c r="KE33" i="18" s="1"/>
  <c r="RA33" i="18"/>
  <c r="RE33" i="18" s="1"/>
  <c r="UY33" i="18"/>
  <c r="VB33" i="18" s="1"/>
  <c r="NC33" i="18"/>
  <c r="NE33" i="18" s="1"/>
  <c r="IM33" i="18"/>
  <c r="IQ33" i="18" s="1"/>
  <c r="QI33" i="18"/>
  <c r="QM33" i="18" s="1"/>
  <c r="MW33" i="18"/>
  <c r="MZ33" i="18" s="1"/>
  <c r="US33" i="18"/>
  <c r="UW33" i="18" s="1"/>
  <c r="AQ33" i="18"/>
  <c r="AS33" i="18" s="1"/>
  <c r="UM33" i="18"/>
  <c r="UO33" i="18" s="1"/>
  <c r="OG33" i="18"/>
  <c r="OK33" i="18" s="1"/>
  <c r="UA33" i="18"/>
  <c r="UD33" i="18" s="1"/>
  <c r="OY33" i="18"/>
  <c r="PA33" i="18" s="1"/>
  <c r="HC33" i="18"/>
  <c r="HG33" i="18" s="1"/>
  <c r="JQ33" i="18"/>
  <c r="JT33" i="18" s="1"/>
  <c r="EI33" i="18"/>
  <c r="EM33" i="18" s="1"/>
  <c r="NO33" i="18"/>
  <c r="NS33" i="18" s="1"/>
  <c r="WO33" i="18"/>
  <c r="WR33" i="18" s="1"/>
  <c r="SK33" i="18"/>
  <c r="SM33" i="18" s="1"/>
  <c r="DQ33" i="18"/>
  <c r="DU33" i="18" s="1"/>
  <c r="IA33" i="18"/>
  <c r="ID33" i="18" s="1"/>
  <c r="HU33" i="18"/>
  <c r="HW33" i="18" s="1"/>
  <c r="TO33" i="18"/>
  <c r="TQ33" i="18" s="1"/>
  <c r="GW33" i="18"/>
  <c r="GZ33" i="18" s="1"/>
  <c r="VE33" i="18"/>
  <c r="VI33" i="18" s="1"/>
  <c r="GK33" i="18"/>
  <c r="GN33" i="18" s="1"/>
  <c r="LS33" i="18"/>
  <c r="LV33" i="18" s="1"/>
  <c r="KO33" i="18"/>
  <c r="KQ33" i="18" s="1"/>
  <c r="CY33" i="18"/>
  <c r="DB33" i="18" s="1"/>
  <c r="AK33" i="18"/>
  <c r="AN33" i="18" s="1"/>
  <c r="LM33" i="18"/>
  <c r="LP33" i="18" s="1"/>
  <c r="JE33" i="18"/>
  <c r="JG33" i="18" s="1"/>
  <c r="PK33" i="18"/>
  <c r="PO33" i="18" s="1"/>
  <c r="TU33" i="18"/>
  <c r="TY33" i="18" s="1"/>
  <c r="MK33" i="18"/>
  <c r="MN33" i="18" s="1"/>
  <c r="EU33" i="18"/>
  <c r="EW33" i="18" s="1"/>
  <c r="OM33" i="18"/>
  <c r="OQ33" i="18" s="1"/>
  <c r="SE33" i="18"/>
  <c r="SH33" i="18" s="1"/>
  <c r="IY33" i="18"/>
  <c r="JB33" i="18" s="1"/>
  <c r="FA33" i="18"/>
  <c r="FD33" i="18" s="1"/>
  <c r="QU33" i="18"/>
  <c r="QY33" i="18" s="1"/>
  <c r="OS33" i="18"/>
  <c r="OV33" i="18" s="1"/>
  <c r="WU33" i="18"/>
  <c r="WY33" i="18" s="1"/>
  <c r="DW33" i="18"/>
  <c r="DZ33" i="18" s="1"/>
  <c r="DK33" i="18"/>
  <c r="DO33" i="18" s="1"/>
  <c r="RY33" i="18"/>
  <c r="SB33" i="18" s="1"/>
  <c r="KU33" i="18"/>
  <c r="KY33" i="18" s="1"/>
  <c r="RM33" i="18"/>
  <c r="RP33" i="18" s="1"/>
  <c r="CS33" i="18"/>
  <c r="CW33" i="18" s="1"/>
  <c r="HO33" i="18"/>
  <c r="HS33" i="18" s="1"/>
  <c r="GQ33" i="18"/>
  <c r="GS33" i="18" s="1"/>
  <c r="SW33" i="18"/>
  <c r="SY33" i="18" s="1"/>
  <c r="CM33" i="18"/>
  <c r="CO33" i="18" s="1"/>
  <c r="UG33" i="18"/>
  <c r="UJ33" i="18" s="1"/>
  <c r="FM33" i="18"/>
  <c r="FQ33" i="18" s="1"/>
  <c r="LG33" i="18"/>
  <c r="LI33" i="18" s="1"/>
  <c r="JK33" i="18"/>
  <c r="JN33" i="18" s="1"/>
  <c r="BO33" i="18"/>
  <c r="BQ33" i="18" s="1"/>
  <c r="OA33" i="18"/>
  <c r="OD33" i="18" s="1"/>
  <c r="FS33" i="18"/>
  <c r="FV33" i="18" s="1"/>
  <c r="XA33" i="18"/>
  <c r="XC33" i="18" s="1"/>
  <c r="IS33" i="18"/>
  <c r="IW33" i="18" s="1"/>
  <c r="TI33" i="18"/>
  <c r="TM33" i="18" s="1"/>
  <c r="XG33" i="18"/>
  <c r="XJ33" i="18" s="1"/>
  <c r="PQ33" i="18"/>
  <c r="PU33" i="18" s="1"/>
  <c r="VQ33" i="18"/>
  <c r="VS33" i="18" s="1"/>
  <c r="TC33" i="18"/>
  <c r="TG33" i="18" s="1"/>
  <c r="Q63" i="5"/>
  <c r="U63" i="5" s="1"/>
  <c r="CV32" i="18"/>
  <c r="EL32" i="18"/>
  <c r="AO32" i="18"/>
  <c r="DO32" i="18"/>
  <c r="LP32" i="18"/>
  <c r="UV32" i="18"/>
  <c r="WF33" i="18"/>
  <c r="VH32" i="18"/>
  <c r="F34" i="18"/>
  <c r="UA34" i="18" s="1"/>
  <c r="I63" i="9"/>
  <c r="B71" i="19"/>
  <c r="G71" i="19" s="1"/>
  <c r="F69" i="19"/>
  <c r="DM32" i="18"/>
  <c r="TL32" i="18"/>
  <c r="I62" i="9"/>
  <c r="TK32" i="18"/>
  <c r="OP32" i="18"/>
  <c r="OO32" i="18"/>
  <c r="CC32" i="18"/>
  <c r="LJ32" i="18"/>
  <c r="DA32" i="18"/>
  <c r="LK32" i="18"/>
  <c r="QY32" i="18"/>
  <c r="QW32" i="18"/>
  <c r="CE32" i="18"/>
  <c r="GI32" i="18"/>
  <c r="GG32" i="18"/>
  <c r="OC32" i="18"/>
  <c r="DI32" i="18"/>
  <c r="KQ32" i="18"/>
  <c r="KF32" i="18"/>
  <c r="DN32" i="18"/>
  <c r="HW32" i="18"/>
  <c r="AN32" i="18"/>
  <c r="AM32" i="18"/>
  <c r="DG32" i="18"/>
  <c r="OW32" i="18"/>
  <c r="JN32" i="18"/>
  <c r="XK32" i="18"/>
  <c r="XJ32" i="18"/>
  <c r="OD32" i="18"/>
  <c r="WX32" i="18"/>
  <c r="WY32" i="18"/>
  <c r="OI32" i="18"/>
  <c r="OK32" i="18"/>
  <c r="HE32" i="18"/>
  <c r="HY32" i="18"/>
  <c r="NF32" i="18"/>
  <c r="MN32" i="18"/>
  <c r="VU32" i="18"/>
  <c r="MG32" i="18"/>
  <c r="NE32" i="18"/>
  <c r="MI32" i="18"/>
  <c r="KR32" i="18"/>
  <c r="CW32" i="18"/>
  <c r="NL32" i="18"/>
  <c r="SO32" i="18"/>
  <c r="HQ32" i="18"/>
  <c r="VC32" i="18"/>
  <c r="MC32" i="18"/>
  <c r="VS32" i="18"/>
  <c r="VA32" i="18"/>
  <c r="EM32" i="18"/>
  <c r="MB32" i="18"/>
  <c r="MO32" i="18"/>
  <c r="EK32" i="18"/>
  <c r="HR32" i="18"/>
  <c r="DC32" i="18"/>
  <c r="RV32" i="18"/>
  <c r="CI32" i="18"/>
  <c r="VI32" i="18"/>
  <c r="NS32" i="18"/>
  <c r="EX32" i="18"/>
  <c r="EY32" i="18"/>
  <c r="FK32" i="18"/>
  <c r="FI32" i="18"/>
  <c r="SI32" i="18"/>
  <c r="NM32" i="18"/>
  <c r="OU32" i="18"/>
  <c r="JM32" i="18"/>
  <c r="QS32" i="18"/>
  <c r="BL32" i="18"/>
  <c r="SM32" i="18"/>
  <c r="JT32" i="18"/>
  <c r="JU32" i="18"/>
  <c r="QR32" i="18"/>
  <c r="BK32" i="18"/>
  <c r="MU32" i="18"/>
  <c r="VG32" i="18"/>
  <c r="RK32" i="18"/>
  <c r="XD32" i="18"/>
  <c r="EF32" i="18"/>
  <c r="BS32" i="18"/>
  <c r="NR32" i="18"/>
  <c r="CQ32" i="18"/>
  <c r="RC32" i="18"/>
  <c r="PS32" i="18"/>
  <c r="GA32" i="18"/>
  <c r="KG32" i="18"/>
  <c r="RW32" i="18"/>
  <c r="CK32" i="18"/>
  <c r="TA32" i="18"/>
  <c r="RE32" i="18"/>
  <c r="MS32" i="18"/>
  <c r="GC32" i="18"/>
  <c r="PT32" i="18"/>
  <c r="XC32" i="18"/>
  <c r="EG32" i="18"/>
  <c r="BR32" i="18"/>
  <c r="UE32" i="18"/>
  <c r="SZ32" i="18"/>
  <c r="CO32" i="18"/>
  <c r="NY32" i="18"/>
  <c r="QE32" i="18"/>
  <c r="SS32" i="18"/>
  <c r="GZ32" i="18"/>
  <c r="NA32" i="18"/>
  <c r="BX32" i="18"/>
  <c r="LD32" i="18"/>
  <c r="QF32" i="18"/>
  <c r="LC32" i="18"/>
  <c r="IP32" i="18"/>
  <c r="ST32" i="18"/>
  <c r="NX32" i="18"/>
  <c r="IQ32" i="18"/>
  <c r="UJ32" i="18"/>
  <c r="IK32" i="18"/>
  <c r="RJ32" i="18"/>
  <c r="BF32" i="18"/>
  <c r="ID32" i="18"/>
  <c r="IJ32" i="18"/>
  <c r="LV32" i="18"/>
  <c r="LW32" i="18"/>
  <c r="FO32" i="18"/>
  <c r="SB32" i="18"/>
  <c r="LQ32" i="18"/>
  <c r="SC32" i="18"/>
  <c r="FD32" i="18"/>
  <c r="UP32" i="18"/>
  <c r="TG32" i="18"/>
  <c r="GO32" i="18"/>
  <c r="UC32" i="18"/>
  <c r="RQ32" i="18"/>
  <c r="UO32" i="18"/>
  <c r="TE32" i="18"/>
  <c r="JC32" i="18"/>
  <c r="UW32" i="18"/>
  <c r="MZ32" i="18"/>
  <c r="GN32" i="18"/>
  <c r="RO32" i="18"/>
  <c r="LO32" i="18"/>
  <c r="FE32" i="18"/>
  <c r="WG32" i="18"/>
  <c r="IC32" i="18"/>
  <c r="SG32" i="18"/>
  <c r="FV32" i="18"/>
  <c r="CU32" i="18"/>
  <c r="JZ33" i="18"/>
  <c r="DG33" i="18"/>
  <c r="CC33" i="18"/>
  <c r="GY32" i="18"/>
  <c r="UK32" i="18"/>
  <c r="BG32" i="18"/>
  <c r="DU32" i="18"/>
  <c r="DT32" i="18"/>
  <c r="BW32" i="18"/>
  <c r="FP32" i="18"/>
  <c r="UU32" i="18"/>
  <c r="PN32" i="18"/>
  <c r="JZ32" i="18"/>
  <c r="KA32" i="18"/>
  <c r="WE32" i="18"/>
  <c r="DZ32" i="18"/>
  <c r="PM32" i="18"/>
  <c r="HF32" i="18"/>
  <c r="JA32" i="18"/>
  <c r="PB32" i="18"/>
  <c r="EA32" i="18"/>
  <c r="PA32" i="18"/>
  <c r="TS32" i="18"/>
  <c r="PH32" i="18"/>
  <c r="GS32" i="18"/>
  <c r="ES32" i="18"/>
  <c r="KK32" i="18"/>
  <c r="JG32" i="18"/>
  <c r="PG32" i="18"/>
  <c r="VZ32" i="18"/>
  <c r="FW32" i="18"/>
  <c r="BA32" i="18"/>
  <c r="KL32" i="18"/>
  <c r="IW32" i="18"/>
  <c r="TW32" i="18"/>
  <c r="WQ32" i="18"/>
  <c r="WL32" i="18"/>
  <c r="WR32" i="18"/>
  <c r="JI32" i="18"/>
  <c r="HK32" i="18"/>
  <c r="QM32" i="18"/>
  <c r="AU32" i="18"/>
  <c r="AY32" i="18"/>
  <c r="TR32" i="18"/>
  <c r="IV32" i="18"/>
  <c r="GU32" i="18"/>
  <c r="PZ32" i="18"/>
  <c r="WA32" i="18"/>
  <c r="QA32" i="18"/>
  <c r="HM32" i="18"/>
  <c r="KX32" i="18"/>
  <c r="KY32" i="18"/>
  <c r="TX32" i="18"/>
  <c r="WK32" i="18"/>
  <c r="AT32" i="18"/>
  <c r="QK32" i="18"/>
  <c r="ER32" i="18"/>
  <c r="UH34" i="18"/>
  <c r="L63" i="9"/>
  <c r="L62" i="9"/>
  <c r="M61" i="9"/>
  <c r="M60" i="9"/>
  <c r="J62" i="9"/>
  <c r="J63" i="9"/>
  <c r="H65" i="9"/>
  <c r="K65" i="9" s="1"/>
  <c r="H64" i="9"/>
  <c r="K64" i="9" s="1"/>
  <c r="F65" i="5"/>
  <c r="PI33" i="18"/>
  <c r="NY33" i="18"/>
  <c r="II33" i="18"/>
  <c r="KM33" i="18"/>
  <c r="F67" i="8"/>
  <c r="G67" i="8"/>
  <c r="F66" i="8"/>
  <c r="G66" i="8"/>
  <c r="I64" i="7"/>
  <c r="J64" i="7"/>
  <c r="J65" i="7"/>
  <c r="I65" i="7"/>
  <c r="WG33" i="18"/>
  <c r="E34" i="15"/>
  <c r="D34" i="15"/>
  <c r="WE33" i="18"/>
  <c r="TT35" i="18"/>
  <c r="E35" i="18"/>
  <c r="G35" i="18" s="1"/>
  <c r="D35" i="18"/>
  <c r="I67" i="5"/>
  <c r="J67" i="5" s="1"/>
  <c r="I64" i="5"/>
  <c r="J64" i="5" s="1"/>
  <c r="PY33" i="18"/>
  <c r="H64" i="1"/>
  <c r="I64" i="1" s="1"/>
  <c r="H65" i="1"/>
  <c r="I65" i="1" s="1"/>
  <c r="KK33" i="18"/>
  <c r="KL33" i="18"/>
  <c r="EE33" i="18"/>
  <c r="OY34" i="18"/>
  <c r="PZ33" i="18"/>
  <c r="LD33" i="18"/>
  <c r="CD33" i="18"/>
  <c r="HN35" i="18"/>
  <c r="LX35" i="18"/>
  <c r="MP35" i="18"/>
  <c r="NH35" i="18"/>
  <c r="QH35" i="18"/>
  <c r="N35" i="18"/>
  <c r="EH35" i="18"/>
  <c r="QT35" i="18"/>
  <c r="QZ35" i="18"/>
  <c r="KZ35" i="18"/>
  <c r="VJ35" i="18"/>
  <c r="BN35" i="18"/>
  <c r="NB35" i="18"/>
  <c r="CL35" i="18"/>
  <c r="CF35" i="18"/>
  <c r="UR35" i="18"/>
  <c r="LF35" i="18"/>
  <c r="DP35" i="18"/>
  <c r="GP35" i="18"/>
  <c r="FX35" i="18"/>
  <c r="SP35" i="18"/>
  <c r="CR35" i="18"/>
  <c r="SD35" i="18"/>
  <c r="VD35" i="18"/>
  <c r="RF35" i="18"/>
  <c r="JP35" i="18"/>
  <c r="QN35" i="18"/>
  <c r="LR35" i="18"/>
  <c r="MV35" i="18"/>
  <c r="DJ35" i="18"/>
  <c r="MD35" i="18"/>
  <c r="DV35" i="18"/>
  <c r="UF35" i="18"/>
  <c r="FR35" i="18"/>
  <c r="NT35" i="18"/>
  <c r="VV35" i="18"/>
  <c r="ET35" i="18"/>
  <c r="HZ35" i="18"/>
  <c r="SJ35" i="18"/>
  <c r="WH35" i="18"/>
  <c r="CX35" i="18"/>
  <c r="IF35" i="18"/>
  <c r="NN35" i="18"/>
  <c r="RR35" i="18"/>
  <c r="WZ35" i="18"/>
  <c r="DD35" i="18"/>
  <c r="GV35" i="18"/>
  <c r="KN35" i="18"/>
  <c r="OF35" i="18"/>
  <c r="RX35" i="18"/>
  <c r="VP35" i="18"/>
  <c r="O35" i="18"/>
  <c r="UL35" i="18"/>
  <c r="HB35" i="18"/>
  <c r="OX35" i="18"/>
  <c r="FL35" i="18"/>
  <c r="TB35" i="18"/>
  <c r="IL35" i="18"/>
  <c r="WB35" i="18"/>
  <c r="JJ35" i="18"/>
  <c r="OL35" i="18"/>
  <c r="XF35" i="18"/>
  <c r="FF35" i="18"/>
  <c r="JD35" i="18"/>
  <c r="TN35" i="18"/>
  <c r="WT35" i="18"/>
  <c r="EN35" i="18"/>
  <c r="JV35" i="18"/>
  <c r="NZ35" i="18"/>
  <c r="TH35" i="18"/>
  <c r="AJ35" i="18"/>
  <c r="EB35" i="18"/>
  <c r="HT35" i="18"/>
  <c r="LL35" i="18"/>
  <c r="PD35" i="18"/>
  <c r="SV35" i="18"/>
  <c r="WN35" i="18"/>
  <c r="B36" i="18"/>
  <c r="BB35" i="18"/>
  <c r="OR35" i="18"/>
  <c r="IX35" i="18"/>
  <c r="PV35" i="18"/>
  <c r="HH35" i="18"/>
  <c r="BT35" i="18"/>
  <c r="PJ35" i="18"/>
  <c r="AP35" i="18"/>
  <c r="KB35" i="18"/>
  <c r="RL35" i="18"/>
  <c r="BZ35" i="18"/>
  <c r="GJ35" i="18"/>
  <c r="KT35" i="18"/>
  <c r="TZ35" i="18"/>
  <c r="AV35" i="18"/>
  <c r="GD35" i="18"/>
  <c r="KH35" i="18"/>
  <c r="PP35" i="18"/>
  <c r="UX35" i="18"/>
  <c r="BH35" i="18"/>
  <c r="EZ35" i="18"/>
  <c r="IR35" i="18"/>
  <c r="MJ35" i="18"/>
  <c r="QB35" i="18"/>
  <c r="T34" i="15"/>
  <c r="S30" i="18"/>
  <c r="U30" i="18" s="1"/>
  <c r="B67" i="1"/>
  <c r="B67" i="9"/>
  <c r="B67" i="7"/>
  <c r="AD64" i="5"/>
  <c r="AE64" i="5" s="1"/>
  <c r="AI64" i="5" s="1"/>
  <c r="AJ62" i="5"/>
  <c r="AL62" i="5" s="1"/>
  <c r="F62" i="5"/>
  <c r="B66" i="5"/>
  <c r="R64" i="5"/>
  <c r="AG64" i="5" s="1"/>
  <c r="K64" i="5"/>
  <c r="B69" i="5"/>
  <c r="AE67" i="5"/>
  <c r="K67" i="5"/>
  <c r="AL60" i="5"/>
  <c r="B100" i="14"/>
  <c r="U97" i="14"/>
  <c r="S97" i="14"/>
  <c r="T97" i="14"/>
  <c r="Q96" i="14"/>
  <c r="R96" i="14"/>
  <c r="B66" i="7"/>
  <c r="O63" i="1"/>
  <c r="BP63" i="1"/>
  <c r="X63" i="7" s="1"/>
  <c r="BQ63" i="1"/>
  <c r="O62" i="1"/>
  <c r="B68" i="8"/>
  <c r="B69" i="8"/>
  <c r="B66" i="1"/>
  <c r="N64" i="1"/>
  <c r="B66" i="9"/>
  <c r="B35" i="15"/>
  <c r="Q65" i="5" l="1"/>
  <c r="U65" i="5" s="1"/>
  <c r="LE33" i="18"/>
  <c r="BW33" i="18"/>
  <c r="PH33" i="18"/>
  <c r="VO33" i="18"/>
  <c r="BX33" i="18"/>
  <c r="VN33" i="18"/>
  <c r="EF33" i="18"/>
  <c r="KA33" i="18"/>
  <c r="NW33" i="18"/>
  <c r="SS33" i="18"/>
  <c r="R57" i="8"/>
  <c r="VY33" i="18"/>
  <c r="MS33" i="18"/>
  <c r="QS33" i="18"/>
  <c r="QR33" i="18"/>
  <c r="DY33" i="18"/>
  <c r="GC33" i="18"/>
  <c r="FE33" i="18"/>
  <c r="MT33" i="18"/>
  <c r="RV33" i="18"/>
  <c r="GI33" i="18"/>
  <c r="ES33" i="18"/>
  <c r="ER33" i="18"/>
  <c r="CK33" i="18"/>
  <c r="QF33" i="18"/>
  <c r="DI33" i="18"/>
  <c r="RI33" i="18"/>
  <c r="BF33" i="18"/>
  <c r="QG33" i="18"/>
  <c r="IJ33" i="18"/>
  <c r="GH33" i="18"/>
  <c r="RW33" i="18"/>
  <c r="WA33" i="18"/>
  <c r="GB33" i="18"/>
  <c r="WM33" i="18"/>
  <c r="WL33" i="18"/>
  <c r="DT33" i="18"/>
  <c r="EX33" i="18"/>
  <c r="FU33" i="18"/>
  <c r="ST33" i="18"/>
  <c r="MC33" i="18"/>
  <c r="MB33" i="18"/>
  <c r="RK33" i="18"/>
  <c r="CI33" i="18"/>
  <c r="AY33" i="18"/>
  <c r="BE33" i="18"/>
  <c r="AZ33" i="18"/>
  <c r="GU33" i="18"/>
  <c r="XA34" i="18"/>
  <c r="VK34" i="18"/>
  <c r="VU33" i="18"/>
  <c r="XG34" i="18"/>
  <c r="RM34" i="18"/>
  <c r="CU33" i="18"/>
  <c r="OP33" i="18"/>
  <c r="DA33" i="18"/>
  <c r="DC33" i="18"/>
  <c r="IO33" i="18"/>
  <c r="DN33" i="18"/>
  <c r="AT33" i="18"/>
  <c r="VA33" i="18"/>
  <c r="TR33" i="18"/>
  <c r="IV33" i="18"/>
  <c r="OE33" i="18"/>
  <c r="FO33" i="18"/>
  <c r="JA33" i="18"/>
  <c r="KX33" i="18"/>
  <c r="GT33" i="18"/>
  <c r="KW33" i="18"/>
  <c r="HK33" i="18"/>
  <c r="JS33" i="18"/>
  <c r="JU33" i="18"/>
  <c r="TL33" i="18"/>
  <c r="HM33" i="18"/>
  <c r="TK33" i="18"/>
  <c r="FP33" i="18"/>
  <c r="NA33" i="18"/>
  <c r="JC33" i="18"/>
  <c r="LO33" i="18"/>
  <c r="JO33" i="18"/>
  <c r="PM33" i="18"/>
  <c r="NQ33" i="18"/>
  <c r="MG33" i="18"/>
  <c r="JM33" i="18"/>
  <c r="FI33" i="18"/>
  <c r="OW33" i="18"/>
  <c r="AM33" i="18"/>
  <c r="BR33" i="18"/>
  <c r="HQ33" i="18"/>
  <c r="MO33" i="18"/>
  <c r="OC33" i="18"/>
  <c r="SO33" i="18"/>
  <c r="LU33" i="18"/>
  <c r="TS33" i="18"/>
  <c r="OJ33" i="18"/>
  <c r="MY33" i="18"/>
  <c r="MM33" i="18"/>
  <c r="WW33" i="18"/>
  <c r="SN33" i="18"/>
  <c r="VC33" i="18"/>
  <c r="LQ33" i="18"/>
  <c r="LW33" i="18"/>
  <c r="TF33" i="18"/>
  <c r="WX33" i="18"/>
  <c r="OI33" i="18"/>
  <c r="TE33" i="18"/>
  <c r="QX33" i="18"/>
  <c r="TW33" i="18"/>
  <c r="UP33" i="18"/>
  <c r="DQ34" i="18"/>
  <c r="EU34" i="18"/>
  <c r="CS34" i="18"/>
  <c r="SE34" i="18"/>
  <c r="FG34" i="18"/>
  <c r="OG34" i="18"/>
  <c r="FA34" i="18"/>
  <c r="PW34" i="18"/>
  <c r="DK34" i="18"/>
  <c r="TU34" i="18"/>
  <c r="TX33" i="18"/>
  <c r="WS33" i="18"/>
  <c r="JW34" i="18"/>
  <c r="GE34" i="18"/>
  <c r="BO34" i="18"/>
  <c r="QL33" i="18"/>
  <c r="RA34" i="18"/>
  <c r="TC34" i="18"/>
  <c r="NC34" i="18"/>
  <c r="BU34" i="18"/>
  <c r="WQ33" i="18"/>
  <c r="OS34" i="18"/>
  <c r="EO34" i="18"/>
  <c r="BI34" i="18"/>
  <c r="NG33" i="18"/>
  <c r="JH33" i="18"/>
  <c r="NK33" i="18"/>
  <c r="HR33" i="18"/>
  <c r="NM33" i="18"/>
  <c r="KR33" i="18"/>
  <c r="DS33" i="18"/>
  <c r="TA33" i="18"/>
  <c r="LJ33" i="18"/>
  <c r="OO33" i="18"/>
  <c r="CQ33" i="18"/>
  <c r="DM33" i="18"/>
  <c r="IP33" i="18"/>
  <c r="KG33" i="18"/>
  <c r="VH33" i="18"/>
  <c r="VG33" i="18"/>
  <c r="PS33" i="18"/>
  <c r="PB33" i="18"/>
  <c r="QW33" i="18"/>
  <c r="PT33" i="18"/>
  <c r="MH33" i="18"/>
  <c r="KF33" i="18"/>
  <c r="CP33" i="18"/>
  <c r="CV33" i="18"/>
  <c r="IC33" i="18"/>
  <c r="AU33" i="18"/>
  <c r="PN33" i="18"/>
  <c r="XD33" i="18"/>
  <c r="PC33" i="18"/>
  <c r="NR33" i="18"/>
  <c r="IE33" i="18"/>
  <c r="XE33" i="18"/>
  <c r="EY33" i="18"/>
  <c r="EL33" i="18"/>
  <c r="RO33" i="18"/>
  <c r="SZ33" i="18"/>
  <c r="FW33" i="18"/>
  <c r="BM33" i="18"/>
  <c r="NF33" i="18"/>
  <c r="UU33" i="18"/>
  <c r="UC33" i="18"/>
  <c r="EK33" i="18"/>
  <c r="UE33" i="18"/>
  <c r="GY33" i="18"/>
  <c r="UV33" i="18"/>
  <c r="KS33" i="18"/>
  <c r="RQ33" i="18"/>
  <c r="EA33" i="18"/>
  <c r="JI33" i="18"/>
  <c r="BK33" i="18"/>
  <c r="HA33" i="18"/>
  <c r="XK33" i="18"/>
  <c r="XI33" i="18"/>
  <c r="LK33" i="18"/>
  <c r="FC33" i="18"/>
  <c r="OU33" i="18"/>
  <c r="SA33" i="18"/>
  <c r="SC33" i="18"/>
  <c r="UI33" i="18"/>
  <c r="UK33" i="18"/>
  <c r="HX33" i="18"/>
  <c r="RD33" i="18"/>
  <c r="QK33" i="18"/>
  <c r="FJ33" i="18"/>
  <c r="AO33" i="18"/>
  <c r="GO33" i="18"/>
  <c r="QI34" i="18"/>
  <c r="RS34" i="18"/>
  <c r="WI34" i="18"/>
  <c r="WC34" i="18"/>
  <c r="KC34" i="18"/>
  <c r="HU34" i="18"/>
  <c r="VW34" i="18"/>
  <c r="QO34" i="18"/>
  <c r="PK34" i="18"/>
  <c r="QC34" i="18"/>
  <c r="VE34" i="18"/>
  <c r="SQ34" i="18"/>
  <c r="DE34" i="18"/>
  <c r="FS34" i="18"/>
  <c r="OM34" i="18"/>
  <c r="PQ34" i="18"/>
  <c r="US34" i="18"/>
  <c r="GW34" i="18"/>
  <c r="EI34" i="18"/>
  <c r="SG33" i="18"/>
  <c r="GM33" i="18"/>
  <c r="HE33" i="18"/>
  <c r="NO34" i="18"/>
  <c r="WO34" i="18"/>
  <c r="IS34" i="18"/>
  <c r="AK34" i="18"/>
  <c r="SW34" i="18"/>
  <c r="RG34" i="18"/>
  <c r="LA34" i="18"/>
  <c r="BS33" i="18"/>
  <c r="UQ33" i="18"/>
  <c r="MQ34" i="18"/>
  <c r="MK34" i="18"/>
  <c r="SK34" i="18"/>
  <c r="LG34" i="18"/>
  <c r="VQ34" i="18"/>
  <c r="LM34" i="18"/>
  <c r="CY34" i="18"/>
  <c r="EC34" i="18"/>
  <c r="LS34" i="18"/>
  <c r="LY34" i="18"/>
  <c r="RY34" i="18"/>
  <c r="KO34" i="18"/>
  <c r="UM34" i="18"/>
  <c r="HI34" i="18"/>
  <c r="KU34" i="18"/>
  <c r="KI34" i="18"/>
  <c r="QU34" i="18"/>
  <c r="ME34" i="18"/>
  <c r="UG34" i="18"/>
  <c r="UI34" i="18" s="1"/>
  <c r="IU33" i="18"/>
  <c r="VT33" i="18"/>
  <c r="HF33" i="18"/>
  <c r="HY33" i="18"/>
  <c r="RC33" i="18"/>
  <c r="OA34" i="18"/>
  <c r="CA34" i="18"/>
  <c r="PE34" i="18"/>
  <c r="IM34" i="18"/>
  <c r="FY34" i="18"/>
  <c r="TI34" i="18"/>
  <c r="IY34" i="18"/>
  <c r="IG34" i="18"/>
  <c r="JE34" i="18"/>
  <c r="CG34" i="18"/>
  <c r="NU34" i="18"/>
  <c r="NI34" i="18"/>
  <c r="AQ34" i="18"/>
  <c r="WU34" i="18"/>
  <c r="IA34" i="18"/>
  <c r="GQ34" i="18"/>
  <c r="HO34" i="18"/>
  <c r="BC34" i="18"/>
  <c r="MW34" i="18"/>
  <c r="JK34" i="18"/>
  <c r="HC34" i="18"/>
  <c r="FM34" i="18"/>
  <c r="GK34" i="18"/>
  <c r="CM34" i="18"/>
  <c r="SI33" i="18"/>
  <c r="TO34" i="18"/>
  <c r="DW34" i="18"/>
  <c r="UY34" i="18"/>
  <c r="JQ34" i="18"/>
  <c r="AW34" i="18"/>
  <c r="F35" i="18"/>
  <c r="WU35" i="18" s="1"/>
  <c r="I65" i="9"/>
  <c r="B73" i="19"/>
  <c r="G73" i="19" s="1"/>
  <c r="F71" i="19"/>
  <c r="I64" i="9"/>
  <c r="JX34" i="18"/>
  <c r="XH34" i="18"/>
  <c r="XI34" i="18" s="1"/>
  <c r="TD34" i="18"/>
  <c r="XB34" i="18"/>
  <c r="HP34" i="18"/>
  <c r="GX34" i="18"/>
  <c r="R32" i="18"/>
  <c r="P32" i="18"/>
  <c r="S31" i="18" s="1"/>
  <c r="Q32" i="18"/>
  <c r="RH34" i="18"/>
  <c r="KP34" i="18"/>
  <c r="IN34" i="18"/>
  <c r="LB34" i="18"/>
  <c r="TP34" i="18"/>
  <c r="SF34" i="18"/>
  <c r="SI34" i="18" s="1"/>
  <c r="UB34" i="18"/>
  <c r="UD34" i="18" s="1"/>
  <c r="AL34" i="18"/>
  <c r="IH34" i="18"/>
  <c r="HD34" i="18"/>
  <c r="LH34" i="18"/>
  <c r="RN34" i="18"/>
  <c r="QP34" i="18"/>
  <c r="TV34" i="18"/>
  <c r="GF34" i="18"/>
  <c r="KJ34" i="18"/>
  <c r="NJ34" i="18"/>
  <c r="JL34" i="18"/>
  <c r="VX34" i="18"/>
  <c r="WP34" i="18"/>
  <c r="DX34" i="18"/>
  <c r="EP34" i="18"/>
  <c r="DF34" i="18"/>
  <c r="CH34" i="18"/>
  <c r="MF34" i="18"/>
  <c r="MH34" i="18" s="1"/>
  <c r="LZ34" i="18"/>
  <c r="LN34" i="18"/>
  <c r="ML34" i="18"/>
  <c r="QJ34" i="18"/>
  <c r="QM34" i="18" s="1"/>
  <c r="BV34" i="18"/>
  <c r="BW34" i="18" s="1"/>
  <c r="AR34" i="18"/>
  <c r="OT34" i="18"/>
  <c r="OU34" i="18" s="1"/>
  <c r="PF34" i="18"/>
  <c r="VR34" i="18"/>
  <c r="UT34" i="18"/>
  <c r="PX34" i="18"/>
  <c r="GR34" i="18"/>
  <c r="KD34" i="18"/>
  <c r="SR34" i="18"/>
  <c r="EV34" i="18"/>
  <c r="EY34" i="18" s="1"/>
  <c r="QD34" i="18"/>
  <c r="AX34" i="18"/>
  <c r="NP34" i="18"/>
  <c r="FB34" i="18"/>
  <c r="MX34" i="18"/>
  <c r="ND34" i="18"/>
  <c r="OB34" i="18"/>
  <c r="RB34" i="18"/>
  <c r="FH34" i="18"/>
  <c r="BJ34" i="18"/>
  <c r="BM34" i="18" s="1"/>
  <c r="TJ34" i="18"/>
  <c r="UZ34" i="18"/>
  <c r="CZ34" i="18"/>
  <c r="ED34" i="18"/>
  <c r="CT34" i="18"/>
  <c r="WJ34" i="18"/>
  <c r="WD34" i="18"/>
  <c r="HJ34" i="18"/>
  <c r="FT34" i="18"/>
  <c r="IB34" i="18"/>
  <c r="FN34" i="18"/>
  <c r="FO34" i="18" s="1"/>
  <c r="FZ34" i="18"/>
  <c r="DL34" i="18"/>
  <c r="KV34" i="18"/>
  <c r="VF34" i="18"/>
  <c r="EJ34" i="18"/>
  <c r="SX34" i="18"/>
  <c r="ON34" i="18"/>
  <c r="RT34" i="18"/>
  <c r="JF34" i="18"/>
  <c r="HV34" i="18"/>
  <c r="JR34" i="18"/>
  <c r="IZ34" i="18"/>
  <c r="LT34" i="18"/>
  <c r="OH34" i="18"/>
  <c r="PR34" i="18"/>
  <c r="PS34" i="18" s="1"/>
  <c r="QV34" i="18"/>
  <c r="WV34" i="18"/>
  <c r="VL34" i="18"/>
  <c r="VN34" i="18" s="1"/>
  <c r="RZ34" i="18"/>
  <c r="IT34" i="18"/>
  <c r="IV34" i="18" s="1"/>
  <c r="SL34" i="18"/>
  <c r="SO34" i="18" s="1"/>
  <c r="UN34" i="18"/>
  <c r="CB34" i="18"/>
  <c r="CN34" i="18"/>
  <c r="BP34" i="18"/>
  <c r="PL34" i="18"/>
  <c r="MR34" i="18"/>
  <c r="MT34" i="18" s="1"/>
  <c r="GL34" i="18"/>
  <c r="DR34" i="18"/>
  <c r="DU34" i="18" s="1"/>
  <c r="BD34" i="18"/>
  <c r="NV34" i="18"/>
  <c r="OZ34" i="18"/>
  <c r="PA34" i="18" s="1"/>
  <c r="Q62" i="5"/>
  <c r="U62" i="5" s="1"/>
  <c r="L65" i="9"/>
  <c r="L64" i="9"/>
  <c r="M62" i="9"/>
  <c r="M63" i="9"/>
  <c r="J64" i="9"/>
  <c r="J65" i="9"/>
  <c r="H66" i="9"/>
  <c r="K66" i="9" s="1"/>
  <c r="H67" i="9"/>
  <c r="K67" i="9" s="1"/>
  <c r="F67" i="5"/>
  <c r="F68" i="8"/>
  <c r="G68" i="8"/>
  <c r="F69" i="8"/>
  <c r="G69" i="8"/>
  <c r="I66" i="7"/>
  <c r="J66" i="7"/>
  <c r="I67" i="7"/>
  <c r="J67" i="7"/>
  <c r="U35" i="15"/>
  <c r="Y35" i="18" s="1"/>
  <c r="D35" i="15"/>
  <c r="E35" i="15"/>
  <c r="VF35" i="18"/>
  <c r="RN35" i="18"/>
  <c r="NV35" i="18"/>
  <c r="KD35" i="18"/>
  <c r="GL35" i="18"/>
  <c r="CT35" i="18"/>
  <c r="VR35" i="18"/>
  <c r="QJ35" i="18"/>
  <c r="MF35" i="18"/>
  <c r="GX35" i="18"/>
  <c r="BP35" i="18"/>
  <c r="RT35" i="18"/>
  <c r="ON35" i="18"/>
  <c r="ED35" i="18"/>
  <c r="WJ35" i="18"/>
  <c r="LN35" i="18"/>
  <c r="DL35" i="18"/>
  <c r="RB35" i="18"/>
  <c r="JL35" i="18"/>
  <c r="UT35" i="18"/>
  <c r="GF35" i="18"/>
  <c r="WP35" i="18"/>
  <c r="IB35" i="18"/>
  <c r="PL35" i="18"/>
  <c r="JR35" i="18"/>
  <c r="UH35" i="18"/>
  <c r="QP35" i="18"/>
  <c r="MX35" i="18"/>
  <c r="JF35" i="18"/>
  <c r="FN35" i="18"/>
  <c r="BV35" i="18"/>
  <c r="UB35" i="18"/>
  <c r="PX35" i="18"/>
  <c r="KP35" i="18"/>
  <c r="FH35" i="18"/>
  <c r="BD35" i="18"/>
  <c r="RH35" i="18"/>
  <c r="NJ35" i="18"/>
  <c r="CZ35" i="18"/>
  <c r="UZ35" i="18"/>
  <c r="KV35" i="18"/>
  <c r="CB35" i="18"/>
  <c r="ML35" i="18"/>
  <c r="AR35" i="18"/>
  <c r="TV35" i="18"/>
  <c r="EJ35" i="18"/>
  <c r="VL35" i="18"/>
  <c r="FZ35" i="18"/>
  <c r="HP35" i="18"/>
  <c r="IT35" i="18"/>
  <c r="XB35" i="18"/>
  <c r="TJ35" i="18"/>
  <c r="PR35" i="18"/>
  <c r="LZ35" i="18"/>
  <c r="IH35" i="18"/>
  <c r="EP35" i="18"/>
  <c r="AX35" i="18"/>
  <c r="TP35" i="18"/>
  <c r="OH35" i="18"/>
  <c r="IZ35" i="18"/>
  <c r="EV35" i="18"/>
  <c r="UN35" i="18"/>
  <c r="QD35" i="18"/>
  <c r="LT35" i="18"/>
  <c r="CN35" i="18"/>
  <c r="SR35" i="18"/>
  <c r="HV35" i="18"/>
  <c r="TD35" i="18"/>
  <c r="LH35" i="18"/>
  <c r="WV35" i="18"/>
  <c r="OB35" i="18"/>
  <c r="CH35" i="18"/>
  <c r="QV35" i="18"/>
  <c r="FB35" i="18"/>
  <c r="GR35" i="18"/>
  <c r="WD35" i="18"/>
  <c r="SL35" i="18"/>
  <c r="OT35" i="18"/>
  <c r="LB35" i="18"/>
  <c r="HJ35" i="18"/>
  <c r="DR35" i="18"/>
  <c r="XH35" i="18"/>
  <c r="RZ35" i="18"/>
  <c r="MR35" i="18"/>
  <c r="IN35" i="18"/>
  <c r="DF35" i="18"/>
  <c r="SX35" i="18"/>
  <c r="OZ35" i="18"/>
  <c r="FT35" i="18"/>
  <c r="BJ35" i="18"/>
  <c r="PF35" i="18"/>
  <c r="HD35" i="18"/>
  <c r="SF35" i="18"/>
  <c r="KJ35" i="18"/>
  <c r="VX35" i="18"/>
  <c r="ND35" i="18"/>
  <c r="AL35" i="18"/>
  <c r="JX35" i="18"/>
  <c r="DX35" i="18"/>
  <c r="NP35" i="18"/>
  <c r="TT36" i="18"/>
  <c r="E36" i="18"/>
  <c r="G36" i="18" s="1"/>
  <c r="D36" i="18"/>
  <c r="I69" i="5"/>
  <c r="J69" i="5" s="1"/>
  <c r="I66" i="5"/>
  <c r="J66" i="5" s="1"/>
  <c r="H67" i="1"/>
  <c r="I67" i="1" s="1"/>
  <c r="H66" i="1"/>
  <c r="I66" i="1" s="1"/>
  <c r="UA35" i="18"/>
  <c r="GQ35" i="18"/>
  <c r="IY35" i="18"/>
  <c r="PE35" i="18"/>
  <c r="JE35" i="18"/>
  <c r="KC35" i="18"/>
  <c r="FS35" i="18"/>
  <c r="FG35" i="18"/>
  <c r="BN36" i="18"/>
  <c r="FL36" i="18"/>
  <c r="UL36" i="18"/>
  <c r="N36" i="18"/>
  <c r="VD36" i="18"/>
  <c r="NH36" i="18"/>
  <c r="RR36" i="18"/>
  <c r="B37" i="18"/>
  <c r="HZ36" i="18"/>
  <c r="NN36" i="18"/>
  <c r="HN36" i="18"/>
  <c r="OL36" i="18"/>
  <c r="QH36" i="18"/>
  <c r="JP36" i="18"/>
  <c r="UX36" i="18"/>
  <c r="JV36" i="18"/>
  <c r="AV36" i="18"/>
  <c r="FR36" i="18"/>
  <c r="CF36" i="18"/>
  <c r="QZ36" i="18"/>
  <c r="GD36" i="18"/>
  <c r="BT36" i="18"/>
  <c r="SP36" i="18"/>
  <c r="LF36" i="18"/>
  <c r="KZ36" i="18"/>
  <c r="FX36" i="18"/>
  <c r="UR36" i="18"/>
  <c r="DW35" i="18"/>
  <c r="UM35" i="18"/>
  <c r="BU35" i="18"/>
  <c r="TU35" i="18"/>
  <c r="KI35" i="18"/>
  <c r="GK35" i="18"/>
  <c r="QO35" i="18"/>
  <c r="CA35" i="18"/>
  <c r="LM35" i="18"/>
  <c r="GE35" i="18"/>
  <c r="JW35" i="18"/>
  <c r="FY35" i="18"/>
  <c r="KO35" i="18"/>
  <c r="OY35" i="18"/>
  <c r="NI35" i="18"/>
  <c r="IM35" i="18"/>
  <c r="MK35" i="18"/>
  <c r="NC35" i="18"/>
  <c r="SK35" i="18"/>
  <c r="KU35" i="18"/>
  <c r="SE35" i="18"/>
  <c r="CG35" i="18"/>
  <c r="RS35" i="18"/>
  <c r="OG35" i="18"/>
  <c r="CS35" i="18"/>
  <c r="MW35" i="18"/>
  <c r="EC35" i="18"/>
  <c r="AQ35" i="18"/>
  <c r="EI35" i="18"/>
  <c r="TC35" i="18"/>
  <c r="O36" i="18"/>
  <c r="NT36" i="18"/>
  <c r="PV36" i="18"/>
  <c r="GJ36" i="18"/>
  <c r="VV36" i="18"/>
  <c r="CR36" i="18"/>
  <c r="SD36" i="18"/>
  <c r="WH36" i="18"/>
  <c r="KT36" i="18"/>
  <c r="TN36" i="18"/>
  <c r="IF36" i="18"/>
  <c r="TB36" i="18"/>
  <c r="CL36" i="18"/>
  <c r="LR36" i="18"/>
  <c r="PP36" i="18"/>
  <c r="BZ36" i="18"/>
  <c r="HH36" i="18"/>
  <c r="MP36" i="18"/>
  <c r="QT36" i="18"/>
  <c r="WB36" i="18"/>
  <c r="DD36" i="18"/>
  <c r="GV36" i="18"/>
  <c r="KN36" i="18"/>
  <c r="OF36" i="18"/>
  <c r="RX36" i="18"/>
  <c r="VP36" i="18"/>
  <c r="HB36" i="18"/>
  <c r="DJ36" i="18"/>
  <c r="KH36" i="18"/>
  <c r="WZ36" i="18"/>
  <c r="ET36" i="18"/>
  <c r="TH36" i="18"/>
  <c r="BB36" i="18"/>
  <c r="QN36" i="18"/>
  <c r="DV36" i="18"/>
  <c r="LX36" i="18"/>
  <c r="VJ36" i="18"/>
  <c r="IL36" i="18"/>
  <c r="MV36" i="18"/>
  <c r="RF36" i="18"/>
  <c r="DP36" i="18"/>
  <c r="IX36" i="18"/>
  <c r="NB36" i="18"/>
  <c r="SJ36" i="18"/>
  <c r="AJ36" i="18"/>
  <c r="EB36" i="18"/>
  <c r="HT36" i="18"/>
  <c r="LL36" i="18"/>
  <c r="PD36" i="18"/>
  <c r="SV36" i="18"/>
  <c r="WN36" i="18"/>
  <c r="JD36" i="18"/>
  <c r="OX36" i="18"/>
  <c r="EH36" i="18"/>
  <c r="MD36" i="18"/>
  <c r="AP36" i="18"/>
  <c r="GP36" i="18"/>
  <c r="UF36" i="18"/>
  <c r="CX36" i="18"/>
  <c r="RL36" i="18"/>
  <c r="EN36" i="18"/>
  <c r="PJ36" i="18"/>
  <c r="WT36" i="18"/>
  <c r="KB36" i="18"/>
  <c r="NZ36" i="18"/>
  <c r="XF36" i="18"/>
  <c r="FF36" i="18"/>
  <c r="JJ36" i="18"/>
  <c r="OR36" i="18"/>
  <c r="TZ36" i="18"/>
  <c r="BH36" i="18"/>
  <c r="EZ36" i="18"/>
  <c r="IR36" i="18"/>
  <c r="MJ36" i="18"/>
  <c r="QB36" i="18"/>
  <c r="T35" i="15"/>
  <c r="B69" i="7"/>
  <c r="B69" i="1"/>
  <c r="B69" i="9"/>
  <c r="AD66" i="5"/>
  <c r="AE66" i="5" s="1"/>
  <c r="AI66" i="5" s="1"/>
  <c r="B71" i="5"/>
  <c r="R69" i="5"/>
  <c r="AG69" i="5" s="1"/>
  <c r="AE69" i="5"/>
  <c r="K69" i="5"/>
  <c r="B68" i="5"/>
  <c r="R66" i="5"/>
  <c r="AG66" i="5" s="1"/>
  <c r="K66" i="5"/>
  <c r="F64" i="5"/>
  <c r="AJ64" i="5"/>
  <c r="R97" i="14"/>
  <c r="T98" i="14"/>
  <c r="S98" i="14"/>
  <c r="U98" i="14"/>
  <c r="Q97" i="14"/>
  <c r="B101" i="14"/>
  <c r="B68" i="1"/>
  <c r="N66" i="1"/>
  <c r="B71" i="8"/>
  <c r="B36" i="15"/>
  <c r="B68" i="9"/>
  <c r="O64" i="1"/>
  <c r="BQ65" i="1"/>
  <c r="BP65" i="1"/>
  <c r="X65" i="7" s="1"/>
  <c r="O65" i="1"/>
  <c r="B68" i="7"/>
  <c r="B70" i="8"/>
  <c r="JT34" i="18" l="1"/>
  <c r="WQ34" i="18"/>
  <c r="SY34" i="18"/>
  <c r="DN34" i="18"/>
  <c r="NQ34" i="18"/>
  <c r="WA34" i="18"/>
  <c r="LI34" i="18"/>
  <c r="IP34" i="18"/>
  <c r="TR34" i="18"/>
  <c r="HQ34" i="18"/>
  <c r="PK35" i="18"/>
  <c r="JQ35" i="18"/>
  <c r="HC35" i="18"/>
  <c r="OS35" i="18"/>
  <c r="OW35" i="18" s="1"/>
  <c r="FM35" i="18"/>
  <c r="RM35" i="18"/>
  <c r="HU35" i="18"/>
  <c r="IS35" i="18"/>
  <c r="IU35" i="18" s="1"/>
  <c r="US35" i="18"/>
  <c r="UY35" i="18"/>
  <c r="WC35" i="18"/>
  <c r="PQ35" i="18"/>
  <c r="PS35" i="18" s="1"/>
  <c r="XA35" i="18"/>
  <c r="TI35" i="18"/>
  <c r="AK35" i="18"/>
  <c r="FA35" i="18"/>
  <c r="FD35" i="18" s="1"/>
  <c r="OA35" i="18"/>
  <c r="AW35" i="18"/>
  <c r="LA35" i="18"/>
  <c r="IA35" i="18"/>
  <c r="IC35" i="18" s="1"/>
  <c r="JK35" i="18"/>
  <c r="UG35" i="18"/>
  <c r="IG35" i="18"/>
  <c r="VW35" i="18"/>
  <c r="VZ35" i="18" s="1"/>
  <c r="DK35" i="18"/>
  <c r="VQ35" i="18"/>
  <c r="BI35" i="18"/>
  <c r="NU35" i="18"/>
  <c r="NY35" i="18" s="1"/>
  <c r="NO35" i="18"/>
  <c r="QU35" i="18"/>
  <c r="LG35" i="18"/>
  <c r="RY35" i="18"/>
  <c r="SB35" i="18" s="1"/>
  <c r="CY35" i="18"/>
  <c r="PW35" i="18"/>
  <c r="BO35" i="18"/>
  <c r="DE35" i="18"/>
  <c r="DI35" i="18" s="1"/>
  <c r="VK35" i="18"/>
  <c r="R59" i="8"/>
  <c r="EL34" i="18"/>
  <c r="EF34" i="18"/>
  <c r="CU34" i="18"/>
  <c r="FC34" i="18"/>
  <c r="BR34" i="18"/>
  <c r="NE34" i="18"/>
  <c r="ES34" i="18"/>
  <c r="BF34" i="18"/>
  <c r="WX34" i="18"/>
  <c r="HK34" i="18"/>
  <c r="BA34" i="18"/>
  <c r="KE34" i="18"/>
  <c r="MB34" i="18"/>
  <c r="CC34" i="18"/>
  <c r="MN34" i="18"/>
  <c r="CK34" i="18"/>
  <c r="LC34" i="18"/>
  <c r="PM34" i="18"/>
  <c r="TK34" i="18"/>
  <c r="UW34" i="18"/>
  <c r="LO34" i="18"/>
  <c r="DH34" i="18"/>
  <c r="RO34" i="18"/>
  <c r="AM34" i="18"/>
  <c r="XC34" i="18"/>
  <c r="LS35" i="18"/>
  <c r="LV35" i="18" s="1"/>
  <c r="SW35" i="18"/>
  <c r="SY35" i="18" s="1"/>
  <c r="XG35" i="18"/>
  <c r="XK35" i="18" s="1"/>
  <c r="ME35" i="18"/>
  <c r="MH35" i="18" s="1"/>
  <c r="QC35" i="18"/>
  <c r="QG35" i="18" s="1"/>
  <c r="WI35" i="18"/>
  <c r="OM35" i="18"/>
  <c r="OP35" i="18" s="1"/>
  <c r="WO35" i="18"/>
  <c r="WS35" i="18" s="1"/>
  <c r="DQ35" i="18"/>
  <c r="DS35" i="18" s="1"/>
  <c r="TO35" i="18"/>
  <c r="TR35" i="18" s="1"/>
  <c r="EO35" i="18"/>
  <c r="ER35" i="18" s="1"/>
  <c r="BC35" i="18"/>
  <c r="BG35" i="18" s="1"/>
  <c r="RG35" i="18"/>
  <c r="RJ35" i="18" s="1"/>
  <c r="CM35" i="18"/>
  <c r="CO35" i="18" s="1"/>
  <c r="HI35" i="18"/>
  <c r="HK35" i="18" s="1"/>
  <c r="GW35" i="18"/>
  <c r="HA35" i="18" s="1"/>
  <c r="HO35" i="18"/>
  <c r="HQ35" i="18" s="1"/>
  <c r="LY35" i="18"/>
  <c r="MB35" i="18" s="1"/>
  <c r="MQ35" i="18"/>
  <c r="MT35" i="18" s="1"/>
  <c r="RA35" i="18"/>
  <c r="RE35" i="18" s="1"/>
  <c r="SQ35" i="18"/>
  <c r="ST35" i="18" s="1"/>
  <c r="QI35" i="18"/>
  <c r="QL35" i="18" s="1"/>
  <c r="VE35" i="18"/>
  <c r="VI35" i="18" s="1"/>
  <c r="EU35" i="18"/>
  <c r="EY35" i="18" s="1"/>
  <c r="CQ34" i="18"/>
  <c r="GI34" i="18"/>
  <c r="DC34" i="18"/>
  <c r="JN34" i="18"/>
  <c r="KS34" i="18"/>
  <c r="VI34" i="18"/>
  <c r="FJ34" i="18"/>
  <c r="GU34" i="18"/>
  <c r="OO34" i="18"/>
  <c r="WM34" i="18"/>
  <c r="VB34" i="18"/>
  <c r="RE34" i="18"/>
  <c r="KK34" i="18"/>
  <c r="JY34" i="18"/>
  <c r="GO34" i="18"/>
  <c r="HA34" i="18"/>
  <c r="UJ34" i="18"/>
  <c r="NW34" i="18"/>
  <c r="SA34" i="18"/>
  <c r="KY34" i="18"/>
  <c r="IC34" i="18"/>
  <c r="PZ34" i="18"/>
  <c r="UK34" i="18"/>
  <c r="HY34" i="18"/>
  <c r="FV34" i="18"/>
  <c r="NM34" i="18"/>
  <c r="IJ34" i="18"/>
  <c r="OJ34" i="18"/>
  <c r="TY34" i="18"/>
  <c r="TF34" i="18"/>
  <c r="JB34" i="18"/>
  <c r="RV34" i="18"/>
  <c r="QG34" i="18"/>
  <c r="MY34" i="18"/>
  <c r="PG34" i="18"/>
  <c r="R33" i="18"/>
  <c r="P33" i="18"/>
  <c r="T32" i="18" s="1"/>
  <c r="UQ34" i="18"/>
  <c r="OC34" i="18"/>
  <c r="SS34" i="18"/>
  <c r="AU34" i="18"/>
  <c r="LW34" i="18"/>
  <c r="JH34" i="18"/>
  <c r="VU34" i="18"/>
  <c r="HF34" i="18"/>
  <c r="Q33" i="18"/>
  <c r="GB34" i="18"/>
  <c r="QX34" i="18"/>
  <c r="WF34" i="18"/>
  <c r="QR34" i="18"/>
  <c r="RI34" i="18"/>
  <c r="Q64" i="5"/>
  <c r="U64" i="5" s="1"/>
  <c r="DZ34" i="18"/>
  <c r="Q67" i="5"/>
  <c r="U67" i="5" s="1"/>
  <c r="WW35" i="18"/>
  <c r="F36" i="18"/>
  <c r="WU36" i="18" s="1"/>
  <c r="I67" i="9"/>
  <c r="B75" i="19"/>
  <c r="G75" i="19" s="1"/>
  <c r="F73" i="19"/>
  <c r="GY34" i="18"/>
  <c r="TE34" i="18"/>
  <c r="TG34" i="18"/>
  <c r="XK34" i="18"/>
  <c r="I66" i="9"/>
  <c r="XJ34" i="18"/>
  <c r="GZ34" i="18"/>
  <c r="GH34" i="18"/>
  <c r="HS34" i="18"/>
  <c r="KA34" i="18"/>
  <c r="JZ34" i="18"/>
  <c r="XE34" i="18"/>
  <c r="XD34" i="18"/>
  <c r="HR34" i="18"/>
  <c r="T31" i="18"/>
  <c r="U31" i="18" s="1"/>
  <c r="HE34" i="18"/>
  <c r="KQ34" i="18"/>
  <c r="KR34" i="18"/>
  <c r="II34" i="18"/>
  <c r="QQ34" i="18"/>
  <c r="TQ34" i="18"/>
  <c r="SH34" i="18"/>
  <c r="SG34" i="18"/>
  <c r="JO34" i="18"/>
  <c r="HG34" i="18"/>
  <c r="TW34" i="18"/>
  <c r="UC34" i="18"/>
  <c r="GG34" i="18"/>
  <c r="IQ34" i="18"/>
  <c r="RP34" i="18"/>
  <c r="KM34" i="18"/>
  <c r="NL34" i="18"/>
  <c r="IK34" i="18"/>
  <c r="TS34" i="18"/>
  <c r="NK34" i="18"/>
  <c r="CI34" i="18"/>
  <c r="QS34" i="18"/>
  <c r="MO34" i="18"/>
  <c r="RJ34" i="18"/>
  <c r="RK34" i="18"/>
  <c r="MM34" i="18"/>
  <c r="LJ34" i="18"/>
  <c r="UE34" i="18"/>
  <c r="VZ34" i="18"/>
  <c r="VY34" i="18"/>
  <c r="IO34" i="18"/>
  <c r="LK34" i="18"/>
  <c r="RQ34" i="18"/>
  <c r="AO34" i="18"/>
  <c r="KL34" i="18"/>
  <c r="AN34" i="18"/>
  <c r="TX34" i="18"/>
  <c r="JM34" i="18"/>
  <c r="LE34" i="18"/>
  <c r="LD34" i="18"/>
  <c r="DS34" i="18"/>
  <c r="KG34" i="18"/>
  <c r="WS34" i="18"/>
  <c r="BW35" i="18"/>
  <c r="NY34" i="18"/>
  <c r="CJ34" i="18"/>
  <c r="RD34" i="18"/>
  <c r="EX34" i="18"/>
  <c r="KX34" i="18"/>
  <c r="SC34" i="18"/>
  <c r="WR34" i="18"/>
  <c r="QE34" i="18"/>
  <c r="ID34" i="18"/>
  <c r="IE34" i="18"/>
  <c r="RC34" i="18"/>
  <c r="MS34" i="18"/>
  <c r="SB34" i="18"/>
  <c r="VA34" i="18"/>
  <c r="QA34" i="18"/>
  <c r="WL34" i="18"/>
  <c r="FD34" i="18"/>
  <c r="EW34" i="18"/>
  <c r="OP34" i="18"/>
  <c r="OQ34" i="18"/>
  <c r="PY34" i="18"/>
  <c r="WK34" i="18"/>
  <c r="VC34" i="18"/>
  <c r="NX34" i="18"/>
  <c r="FE34" i="18"/>
  <c r="PT34" i="18"/>
  <c r="KW34" i="18"/>
  <c r="OV34" i="18"/>
  <c r="OW34" i="18"/>
  <c r="WW34" i="18"/>
  <c r="MC34" i="18"/>
  <c r="BY34" i="18"/>
  <c r="VG34" i="18"/>
  <c r="VH34" i="18"/>
  <c r="EA34" i="18"/>
  <c r="PB34" i="18"/>
  <c r="MG34" i="18"/>
  <c r="PI34" i="18"/>
  <c r="DY34" i="18"/>
  <c r="RU34" i="18"/>
  <c r="PH34" i="18"/>
  <c r="JC34" i="18"/>
  <c r="PC34" i="18"/>
  <c r="NA34" i="18"/>
  <c r="JA34" i="18"/>
  <c r="CO34" i="18"/>
  <c r="GN34" i="18"/>
  <c r="QL34" i="18"/>
  <c r="RW34" i="18"/>
  <c r="QF34" i="18"/>
  <c r="QK34" i="18"/>
  <c r="QW34" i="18"/>
  <c r="MI34" i="18"/>
  <c r="DA34" i="18"/>
  <c r="FK34" i="18"/>
  <c r="IW34" i="18"/>
  <c r="GS34" i="18"/>
  <c r="MZ34" i="18"/>
  <c r="CP34" i="18"/>
  <c r="GT34" i="18"/>
  <c r="FQ34" i="18"/>
  <c r="FI34" i="18"/>
  <c r="WG34" i="18"/>
  <c r="WE34" i="18"/>
  <c r="FP34" i="18"/>
  <c r="IU34" i="18"/>
  <c r="HG35" i="18"/>
  <c r="NE35" i="18"/>
  <c r="GC35" i="18"/>
  <c r="GM34" i="18"/>
  <c r="QY34" i="18"/>
  <c r="DB34" i="18"/>
  <c r="WY34" i="18"/>
  <c r="BX34" i="18"/>
  <c r="NF34" i="18"/>
  <c r="VS34" i="18"/>
  <c r="MA34" i="18"/>
  <c r="NG34" i="18"/>
  <c r="LV34" i="18"/>
  <c r="SM34" i="18"/>
  <c r="VT34" i="18"/>
  <c r="ER34" i="18"/>
  <c r="SN34" i="18"/>
  <c r="HM34" i="18"/>
  <c r="LU34" i="18"/>
  <c r="EQ34" i="18"/>
  <c r="JG34" i="18"/>
  <c r="JI34" i="18"/>
  <c r="DT34" i="18"/>
  <c r="KF34" i="18"/>
  <c r="EE34" i="18"/>
  <c r="EG34" i="18"/>
  <c r="EK34" i="18"/>
  <c r="BS34" i="18"/>
  <c r="EM34" i="18"/>
  <c r="HL34" i="18"/>
  <c r="AT34" i="18"/>
  <c r="CV34" i="18"/>
  <c r="FU34" i="18"/>
  <c r="BE34" i="18"/>
  <c r="VM34" i="18"/>
  <c r="HY35" i="18"/>
  <c r="BQ34" i="18"/>
  <c r="GC34" i="18"/>
  <c r="BK34" i="18"/>
  <c r="GA34" i="18"/>
  <c r="BL34" i="18"/>
  <c r="CE34" i="18"/>
  <c r="TA34" i="18"/>
  <c r="PU34" i="18"/>
  <c r="JS34" i="18"/>
  <c r="UU34" i="18"/>
  <c r="MU34" i="18"/>
  <c r="PN34" i="18"/>
  <c r="UV34" i="18"/>
  <c r="JU34" i="18"/>
  <c r="CD34" i="18"/>
  <c r="PO34" i="18"/>
  <c r="OK34" i="18"/>
  <c r="VO34" i="18"/>
  <c r="SZ34" i="18"/>
  <c r="NR34" i="18"/>
  <c r="AZ34" i="18"/>
  <c r="AY34" i="18"/>
  <c r="DO34" i="18"/>
  <c r="CW34" i="18"/>
  <c r="FW34" i="18"/>
  <c r="HW34" i="18"/>
  <c r="LQ34" i="18"/>
  <c r="ST34" i="18"/>
  <c r="TM34" i="18"/>
  <c r="TL34" i="18"/>
  <c r="DM34" i="18"/>
  <c r="OI34" i="18"/>
  <c r="NS34" i="18"/>
  <c r="BG34" i="18"/>
  <c r="LP34" i="18"/>
  <c r="HX34" i="18"/>
  <c r="DG34" i="18"/>
  <c r="DI34" i="18"/>
  <c r="UP34" i="18"/>
  <c r="OD34" i="18"/>
  <c r="AS34" i="18"/>
  <c r="SU34" i="18"/>
  <c r="UO34" i="18"/>
  <c r="OE34" i="18"/>
  <c r="PI35" i="18"/>
  <c r="DC35" i="18"/>
  <c r="DY35" i="18"/>
  <c r="BF35" i="18"/>
  <c r="CU35" i="18"/>
  <c r="CE35" i="18"/>
  <c r="EK35" i="18"/>
  <c r="BM35" i="18"/>
  <c r="FU35" i="18"/>
  <c r="AS35" i="18"/>
  <c r="CJ35" i="18"/>
  <c r="EG35" i="18"/>
  <c r="AN35" i="18"/>
  <c r="DO35" i="18"/>
  <c r="AZ35" i="18"/>
  <c r="L67" i="9"/>
  <c r="L66" i="9"/>
  <c r="M64" i="9"/>
  <c r="M65" i="9"/>
  <c r="IV35" i="18"/>
  <c r="KQ35" i="18"/>
  <c r="JO35" i="18"/>
  <c r="IJ35" i="18"/>
  <c r="JY35" i="18"/>
  <c r="KM35" i="18"/>
  <c r="JU35" i="18"/>
  <c r="GM35" i="18"/>
  <c r="MZ35" i="18"/>
  <c r="JG35" i="18"/>
  <c r="IP35" i="18"/>
  <c r="GG35" i="18"/>
  <c r="JC35" i="18"/>
  <c r="J67" i="9"/>
  <c r="J66" i="9"/>
  <c r="H69" i="9"/>
  <c r="K69" i="9" s="1"/>
  <c r="H68" i="9"/>
  <c r="K68" i="9" s="1"/>
  <c r="F69" i="5"/>
  <c r="WL35" i="18"/>
  <c r="PN35" i="18"/>
  <c r="VB35" i="18"/>
  <c r="LQ35" i="18"/>
  <c r="FQ35" i="18"/>
  <c r="FC35" i="18"/>
  <c r="JH35" i="18"/>
  <c r="LD35" i="18"/>
  <c r="LI35" i="18"/>
  <c r="KX35" i="18"/>
  <c r="MM35" i="18"/>
  <c r="FK35" i="18"/>
  <c r="BS35" i="18"/>
  <c r="KF35" i="18"/>
  <c r="GS35" i="18"/>
  <c r="LC35" i="18"/>
  <c r="GI35" i="18"/>
  <c r="F71" i="8"/>
  <c r="G71" i="8"/>
  <c r="G70" i="8"/>
  <c r="F70" i="8"/>
  <c r="XC35" i="18"/>
  <c r="J68" i="7"/>
  <c r="I68" i="7"/>
  <c r="I69" i="7"/>
  <c r="J69" i="7"/>
  <c r="VS35" i="18"/>
  <c r="QS35" i="18"/>
  <c r="OI35" i="18"/>
  <c r="VO35" i="18"/>
  <c r="E36" i="15"/>
  <c r="D36" i="15"/>
  <c r="PC35" i="18"/>
  <c r="UD35" i="18"/>
  <c r="SI35" i="18"/>
  <c r="TY35" i="18"/>
  <c r="PA35" i="18"/>
  <c r="NS35" i="18"/>
  <c r="WE35" i="18"/>
  <c r="TK35" i="18"/>
  <c r="UC35" i="18"/>
  <c r="TF35" i="18"/>
  <c r="RV35" i="18"/>
  <c r="UW35" i="18"/>
  <c r="OD35" i="18"/>
  <c r="SO35" i="18"/>
  <c r="QA35" i="18"/>
  <c r="QW35" i="18"/>
  <c r="WY35" i="18"/>
  <c r="UI35" i="18"/>
  <c r="NM35" i="18"/>
  <c r="UP35" i="18"/>
  <c r="WX35" i="18"/>
  <c r="OV35" i="18"/>
  <c r="RQ35" i="18"/>
  <c r="LB36" i="18"/>
  <c r="SR36" i="18"/>
  <c r="VL36" i="18"/>
  <c r="QD36" i="18"/>
  <c r="QJ36" i="18"/>
  <c r="KV36" i="18"/>
  <c r="WD36" i="18"/>
  <c r="HJ36" i="18"/>
  <c r="NJ36" i="18"/>
  <c r="MF36" i="18"/>
  <c r="FH36" i="18"/>
  <c r="IN36" i="18"/>
  <c r="JX36" i="18"/>
  <c r="SL36" i="18"/>
  <c r="DR36" i="18"/>
  <c r="IB36" i="18"/>
  <c r="HV36" i="18"/>
  <c r="ON36" i="18"/>
  <c r="PX36" i="18"/>
  <c r="VF36" i="18"/>
  <c r="OT36" i="18"/>
  <c r="WV36" i="18"/>
  <c r="DX36" i="18"/>
  <c r="DL36" i="18"/>
  <c r="GX36" i="18"/>
  <c r="BJ36" i="18"/>
  <c r="UR37" i="18"/>
  <c r="D37" i="18"/>
  <c r="E37" i="18"/>
  <c r="G37" i="18" s="1"/>
  <c r="ED36" i="18"/>
  <c r="RZ36" i="18"/>
  <c r="LN36" i="18"/>
  <c r="IT36" i="18"/>
  <c r="FB36" i="18"/>
  <c r="SF36" i="18"/>
  <c r="JR36" i="18"/>
  <c r="TD36" i="18"/>
  <c r="IH36" i="18"/>
  <c r="PR36" i="18"/>
  <c r="XB36" i="18"/>
  <c r="RT36" i="18"/>
  <c r="CN36" i="18"/>
  <c r="KJ36" i="18"/>
  <c r="RH36" i="18"/>
  <c r="XH36" i="18"/>
  <c r="QV36" i="18"/>
  <c r="IZ36" i="18"/>
  <c r="WP36" i="18"/>
  <c r="EJ36" i="18"/>
  <c r="OZ36" i="18"/>
  <c r="AX36" i="18"/>
  <c r="EP36" i="18"/>
  <c r="LZ36" i="18"/>
  <c r="TJ36" i="18"/>
  <c r="BD36" i="18"/>
  <c r="VR36" i="18"/>
  <c r="TP36" i="18"/>
  <c r="HD36" i="18"/>
  <c r="SX36" i="18"/>
  <c r="OH36" i="18"/>
  <c r="EV36" i="18"/>
  <c r="MR36" i="18"/>
  <c r="BP36" i="18"/>
  <c r="ML36" i="18"/>
  <c r="UN36" i="18"/>
  <c r="GF36" i="18"/>
  <c r="JL36" i="18"/>
  <c r="TV36" i="18"/>
  <c r="AR36" i="18"/>
  <c r="FZ36" i="18"/>
  <c r="LH36" i="18"/>
  <c r="PL36" i="18"/>
  <c r="UT36" i="18"/>
  <c r="BV36" i="18"/>
  <c r="FN36" i="18"/>
  <c r="JF36" i="18"/>
  <c r="MX36" i="18"/>
  <c r="QP36" i="18"/>
  <c r="UH36" i="18"/>
  <c r="CB36" i="18"/>
  <c r="DF36" i="18"/>
  <c r="AL36" i="18"/>
  <c r="OB36" i="18"/>
  <c r="UB36" i="18"/>
  <c r="PF36" i="18"/>
  <c r="FT36" i="18"/>
  <c r="NP36" i="18"/>
  <c r="CZ36" i="18"/>
  <c r="ND36" i="18"/>
  <c r="VX36" i="18"/>
  <c r="GR36" i="18"/>
  <c r="KP36" i="18"/>
  <c r="UZ36" i="18"/>
  <c r="CH36" i="18"/>
  <c r="HP36" i="18"/>
  <c r="LT36" i="18"/>
  <c r="RB36" i="18"/>
  <c r="WJ36" i="18"/>
  <c r="CT36" i="18"/>
  <c r="GL36" i="18"/>
  <c r="KD36" i="18"/>
  <c r="NV36" i="18"/>
  <c r="RN36" i="18"/>
  <c r="I71" i="5"/>
  <c r="J71" i="5" s="1"/>
  <c r="I68" i="5"/>
  <c r="J68" i="5" s="1"/>
  <c r="H69" i="1"/>
  <c r="I69" i="1" s="1"/>
  <c r="H68" i="1"/>
  <c r="I68" i="1" s="1"/>
  <c r="UE35" i="18"/>
  <c r="JI35" i="18"/>
  <c r="GT35" i="18"/>
  <c r="GU35" i="18"/>
  <c r="LE35" i="18"/>
  <c r="EW35" i="18"/>
  <c r="VN35" i="18"/>
  <c r="VM35" i="18"/>
  <c r="DG35" i="18"/>
  <c r="BA35" i="18"/>
  <c r="AY35" i="18"/>
  <c r="OE35" i="18"/>
  <c r="BR35" i="18"/>
  <c r="OC35" i="18"/>
  <c r="JB35" i="18"/>
  <c r="JA35" i="18"/>
  <c r="PG35" i="18"/>
  <c r="PH35" i="18"/>
  <c r="QK35" i="18"/>
  <c r="FW35" i="18"/>
  <c r="BQ35" i="18"/>
  <c r="KE35" i="18"/>
  <c r="KG35" i="18"/>
  <c r="FV35" i="18"/>
  <c r="FJ35" i="18"/>
  <c r="FI35" i="18"/>
  <c r="B38" i="18"/>
  <c r="N37" i="18"/>
  <c r="O37" i="18"/>
  <c r="TT37" i="18"/>
  <c r="LF37" i="18"/>
  <c r="OR37" i="18"/>
  <c r="CX37" i="18"/>
  <c r="WB37" i="18"/>
  <c r="DV37" i="18"/>
  <c r="PJ37" i="18"/>
  <c r="RF37" i="18"/>
  <c r="XF37" i="18"/>
  <c r="HT37" i="18"/>
  <c r="JD37" i="18"/>
  <c r="BB37" i="18"/>
  <c r="IR37" i="18"/>
  <c r="KH37" i="18"/>
  <c r="PP37" i="18"/>
  <c r="OX37" i="18"/>
  <c r="PV37" i="18"/>
  <c r="PD37" i="18"/>
  <c r="GP37" i="18"/>
  <c r="NB37" i="18"/>
  <c r="IX37" i="18"/>
  <c r="ET37" i="18"/>
  <c r="DD37" i="18"/>
  <c r="SV37" i="18"/>
  <c r="GH35" i="18"/>
  <c r="UO35" i="18"/>
  <c r="DZ35" i="18"/>
  <c r="II35" i="18"/>
  <c r="HN37" i="18"/>
  <c r="LX37" i="18"/>
  <c r="WZ37" i="18"/>
  <c r="QN37" i="18"/>
  <c r="KB37" i="18"/>
  <c r="AJ37" i="18"/>
  <c r="MJ37" i="18"/>
  <c r="CW35" i="18"/>
  <c r="BL35" i="18"/>
  <c r="CV35" i="18"/>
  <c r="CD35" i="18"/>
  <c r="BY35" i="18"/>
  <c r="DM35" i="18"/>
  <c r="HW35" i="18"/>
  <c r="CI35" i="18"/>
  <c r="DN35" i="18"/>
  <c r="VV37" i="18"/>
  <c r="SJ37" i="18"/>
  <c r="HB37" i="18"/>
  <c r="JV37" i="18"/>
  <c r="EN37" i="18"/>
  <c r="UL37" i="18"/>
  <c r="IL37" i="18"/>
  <c r="TB37" i="18"/>
  <c r="EZ37" i="18"/>
  <c r="OF37" i="18"/>
  <c r="WN37" i="18"/>
  <c r="EM35" i="18"/>
  <c r="CP35" i="18"/>
  <c r="PY35" i="18"/>
  <c r="AT35" i="18"/>
  <c r="FP35" i="18"/>
  <c r="AU35" i="18"/>
  <c r="CK35" i="18"/>
  <c r="CQ35" i="18"/>
  <c r="FO35" i="18"/>
  <c r="BX35" i="18"/>
  <c r="EE35" i="18"/>
  <c r="EF35" i="18"/>
  <c r="TW35" i="18"/>
  <c r="HX35" i="18"/>
  <c r="LP35" i="18"/>
  <c r="IO35" i="18"/>
  <c r="IQ35" i="18"/>
  <c r="IK35" i="18"/>
  <c r="BN37" i="18"/>
  <c r="TZ37" i="18"/>
  <c r="UF37" i="18"/>
  <c r="VJ37" i="18"/>
  <c r="FL37" i="18"/>
  <c r="SP37" i="18"/>
  <c r="FR37" i="18"/>
  <c r="TH37" i="18"/>
  <c r="EH37" i="18"/>
  <c r="LR37" i="18"/>
  <c r="VD37" i="18"/>
  <c r="EB37" i="18"/>
  <c r="KN37" i="18"/>
  <c r="RX37" i="18"/>
  <c r="ID35" i="18"/>
  <c r="CC35" i="18"/>
  <c r="VT35" i="18"/>
  <c r="CL37" i="18"/>
  <c r="IF37" i="18"/>
  <c r="OL37" i="18"/>
  <c r="MP37" i="18"/>
  <c r="FF37" i="18"/>
  <c r="NZ37" i="18"/>
  <c r="NN37" i="18"/>
  <c r="BT37" i="18"/>
  <c r="GD37" i="18"/>
  <c r="SD37" i="18"/>
  <c r="AP37" i="18"/>
  <c r="GJ37" i="18"/>
  <c r="NT37" i="18"/>
  <c r="TN37" i="18"/>
  <c r="BH37" i="18"/>
  <c r="GV37" i="18"/>
  <c r="LL37" i="18"/>
  <c r="QB37" i="18"/>
  <c r="VP37" i="18"/>
  <c r="EA35" i="18"/>
  <c r="UQ35" i="18"/>
  <c r="JJ37" i="18"/>
  <c r="DP37" i="18"/>
  <c r="AV37" i="18"/>
  <c r="QH37" i="18"/>
  <c r="KT37" i="18"/>
  <c r="QT37" i="18"/>
  <c r="KZ37" i="18"/>
  <c r="BZ37" i="18"/>
  <c r="MV37" i="18"/>
  <c r="WH37" i="18"/>
  <c r="DJ37" i="18"/>
  <c r="HH37" i="18"/>
  <c r="RR37" i="18"/>
  <c r="UX37" i="18"/>
  <c r="CR37" i="18"/>
  <c r="HZ37" i="18"/>
  <c r="MD37" i="18"/>
  <c r="RL37" i="18"/>
  <c r="WT37" i="18"/>
  <c r="CF37" i="18"/>
  <c r="FX37" i="18"/>
  <c r="JP37" i="18"/>
  <c r="NH37" i="18"/>
  <c r="QZ37" i="18"/>
  <c r="GN35" i="18"/>
  <c r="GB35" i="18"/>
  <c r="EL35" i="18"/>
  <c r="GA35" i="18"/>
  <c r="AO35" i="18"/>
  <c r="AM35" i="18"/>
  <c r="HE35" i="18"/>
  <c r="GO35" i="18"/>
  <c r="BK35" i="18"/>
  <c r="DB35" i="18"/>
  <c r="HF35" i="18"/>
  <c r="DA35" i="18"/>
  <c r="XE35" i="18"/>
  <c r="OK35" i="18"/>
  <c r="UV35" i="18"/>
  <c r="MO35" i="18"/>
  <c r="NG35" i="18"/>
  <c r="PZ35" i="18"/>
  <c r="MN35" i="18"/>
  <c r="TX35" i="18"/>
  <c r="NX35" i="18"/>
  <c r="KL35" i="18"/>
  <c r="QY35" i="18"/>
  <c r="RU35" i="18"/>
  <c r="KK35" i="18"/>
  <c r="NF35" i="18"/>
  <c r="UU35" i="18"/>
  <c r="JT35" i="18"/>
  <c r="JN35" i="18"/>
  <c r="PM35" i="18"/>
  <c r="TE35" i="18"/>
  <c r="NQ35" i="18"/>
  <c r="QR35" i="18"/>
  <c r="QQ35" i="18"/>
  <c r="RW35" i="18"/>
  <c r="QX35" i="18"/>
  <c r="JM35" i="18"/>
  <c r="JZ35" i="18"/>
  <c r="TG35" i="18"/>
  <c r="VY35" i="18"/>
  <c r="JS35" i="18"/>
  <c r="KA35" i="18"/>
  <c r="PT35" i="18"/>
  <c r="OJ35" i="18"/>
  <c r="NK35" i="18"/>
  <c r="KS35" i="18"/>
  <c r="MY35" i="18"/>
  <c r="NA35" i="18"/>
  <c r="IW35" i="18"/>
  <c r="XD35" i="18"/>
  <c r="NL35" i="18"/>
  <c r="PO35" i="18"/>
  <c r="UJ35" i="18"/>
  <c r="VA35" i="18"/>
  <c r="LO35" i="18"/>
  <c r="VC35" i="18"/>
  <c r="LK35" i="18"/>
  <c r="UK35" i="18"/>
  <c r="SH35" i="18"/>
  <c r="LJ35" i="18"/>
  <c r="SG35" i="18"/>
  <c r="KW35" i="18"/>
  <c r="MG35" i="18"/>
  <c r="VU35" i="18"/>
  <c r="NR35" i="18"/>
  <c r="KR35" i="18"/>
  <c r="WG35" i="18"/>
  <c r="MA35" i="18"/>
  <c r="WF35" i="18"/>
  <c r="KY35" i="18"/>
  <c r="TM35" i="18"/>
  <c r="RP35" i="18"/>
  <c r="TL35" i="18"/>
  <c r="TS35" i="18"/>
  <c r="WK35" i="18"/>
  <c r="SM35" i="18"/>
  <c r="PB35" i="18"/>
  <c r="SC35" i="18"/>
  <c r="TQ35" i="18"/>
  <c r="TA35" i="18"/>
  <c r="SN35" i="18"/>
  <c r="OU35" i="18"/>
  <c r="RO35" i="18"/>
  <c r="MC35" i="18"/>
  <c r="WM35" i="18"/>
  <c r="SZ35" i="18"/>
  <c r="T36" i="15"/>
  <c r="B71" i="9"/>
  <c r="B71" i="1"/>
  <c r="B71" i="7"/>
  <c r="AD68" i="5"/>
  <c r="AE68" i="5" s="1"/>
  <c r="AI68" i="5" s="1"/>
  <c r="AJ66" i="5"/>
  <c r="AL66" i="5" s="1"/>
  <c r="F66" i="5"/>
  <c r="B73" i="5"/>
  <c r="R71" i="5"/>
  <c r="AG71" i="5" s="1"/>
  <c r="AE71" i="5"/>
  <c r="K71" i="5"/>
  <c r="AL64" i="5"/>
  <c r="B70" i="5"/>
  <c r="R68" i="5"/>
  <c r="AG68" i="5" s="1"/>
  <c r="K68" i="5"/>
  <c r="B102" i="14"/>
  <c r="S99" i="14"/>
  <c r="U99" i="14"/>
  <c r="T99" i="14"/>
  <c r="Q98" i="14"/>
  <c r="R98" i="14"/>
  <c r="BP67" i="1"/>
  <c r="X67" i="7" s="1"/>
  <c r="O66" i="1"/>
  <c r="BQ67" i="1"/>
  <c r="O67" i="1"/>
  <c r="B70" i="7"/>
  <c r="B70" i="1"/>
  <c r="N68" i="1"/>
  <c r="B73" i="8"/>
  <c r="B72" i="8"/>
  <c r="B70" i="9"/>
  <c r="B37" i="15"/>
  <c r="SA35" i="18" l="1"/>
  <c r="NW35" i="18"/>
  <c r="Q66" i="5"/>
  <c r="U66" i="5" s="1"/>
  <c r="R73" i="5"/>
  <c r="AG73" i="5" s="1"/>
  <c r="WA35" i="18"/>
  <c r="IE35" i="18"/>
  <c r="DH35" i="18"/>
  <c r="FE35" i="18"/>
  <c r="PU35" i="18"/>
  <c r="QM35" i="18"/>
  <c r="R61" i="8"/>
  <c r="GZ35" i="18"/>
  <c r="XI35" i="18"/>
  <c r="BE35" i="18"/>
  <c r="RC35" i="18"/>
  <c r="EX35" i="18"/>
  <c r="MI35" i="18"/>
  <c r="MU35" i="18"/>
  <c r="HM35" i="18"/>
  <c r="VH35" i="18"/>
  <c r="RK35" i="18"/>
  <c r="QF35" i="18"/>
  <c r="HR35" i="18"/>
  <c r="QE35" i="18"/>
  <c r="RI35" i="18"/>
  <c r="SU35" i="18"/>
  <c r="GY35" i="18"/>
  <c r="SS35" i="18"/>
  <c r="LU35" i="18"/>
  <c r="HS35" i="18"/>
  <c r="DT35" i="18"/>
  <c r="DU35" i="18"/>
  <c r="LW35" i="18"/>
  <c r="WR35" i="18"/>
  <c r="WQ35" i="18"/>
  <c r="RD35" i="18"/>
  <c r="XJ35" i="18"/>
  <c r="OQ35" i="18"/>
  <c r="OO35" i="18"/>
  <c r="MS35" i="18"/>
  <c r="ES35" i="18"/>
  <c r="HL35" i="18"/>
  <c r="VG35" i="18"/>
  <c r="EQ35" i="18"/>
  <c r="PE36" i="18"/>
  <c r="PI36" i="18" s="1"/>
  <c r="PW36" i="18"/>
  <c r="PZ36" i="18" s="1"/>
  <c r="WC36" i="18"/>
  <c r="WF36" i="18" s="1"/>
  <c r="QC36" i="18"/>
  <c r="QG36" i="18" s="1"/>
  <c r="NU36" i="18"/>
  <c r="NW36" i="18" s="1"/>
  <c r="LM36" i="18"/>
  <c r="LO36" i="18" s="1"/>
  <c r="RS36" i="18"/>
  <c r="RW36" i="18" s="1"/>
  <c r="CS36" i="18"/>
  <c r="CV36" i="18" s="1"/>
  <c r="BU36" i="18"/>
  <c r="BX36" i="18" s="1"/>
  <c r="FG36" i="18"/>
  <c r="FJ36" i="18" s="1"/>
  <c r="US36" i="18"/>
  <c r="UW36" i="18" s="1"/>
  <c r="IM36" i="18"/>
  <c r="IO36" i="18" s="1"/>
  <c r="FA36" i="18"/>
  <c r="FC36" i="18" s="1"/>
  <c r="HU36" i="18"/>
  <c r="HX36" i="18" s="1"/>
  <c r="KU36" i="18"/>
  <c r="KY36" i="18" s="1"/>
  <c r="DQ36" i="18"/>
  <c r="DT36" i="18" s="1"/>
  <c r="BI36" i="18"/>
  <c r="BL36" i="18" s="1"/>
  <c r="EI36" i="18"/>
  <c r="EK36" i="18" s="1"/>
  <c r="FM36" i="18"/>
  <c r="FP36" i="18" s="1"/>
  <c r="MW36" i="18"/>
  <c r="MZ36" i="18" s="1"/>
  <c r="KI36" i="18"/>
  <c r="KK36" i="18" s="1"/>
  <c r="OS36" i="18"/>
  <c r="OV36" i="18" s="1"/>
  <c r="QI36" i="18"/>
  <c r="QK36" i="18" s="1"/>
  <c r="LS36" i="18"/>
  <c r="LV36" i="18" s="1"/>
  <c r="NI36" i="18"/>
  <c r="NK36" i="18" s="1"/>
  <c r="VQ36" i="18"/>
  <c r="VT36" i="18" s="1"/>
  <c r="VW36" i="18"/>
  <c r="VY36" i="18" s="1"/>
  <c r="HI36" i="18"/>
  <c r="HL36" i="18" s="1"/>
  <c r="GE36" i="18"/>
  <c r="GH36" i="18" s="1"/>
  <c r="KO36" i="18"/>
  <c r="KQ36" i="18" s="1"/>
  <c r="IY36" i="18"/>
  <c r="JC36" i="18" s="1"/>
  <c r="TO36" i="18"/>
  <c r="TS36" i="18" s="1"/>
  <c r="FY36" i="18"/>
  <c r="GC36" i="18" s="1"/>
  <c r="CM36" i="18"/>
  <c r="CP36" i="18" s="1"/>
  <c r="AW36" i="18"/>
  <c r="AY36" i="18" s="1"/>
  <c r="DK36" i="18"/>
  <c r="DN36" i="18" s="1"/>
  <c r="SK36" i="18"/>
  <c r="SN36" i="18" s="1"/>
  <c r="QU36" i="18"/>
  <c r="QY36" i="18" s="1"/>
  <c r="UA36" i="18"/>
  <c r="UC36" i="18" s="1"/>
  <c r="VE36" i="18"/>
  <c r="VI36" i="18" s="1"/>
  <c r="SW36" i="18"/>
  <c r="SY36" i="18" s="1"/>
  <c r="TC36" i="18"/>
  <c r="TG36" i="18" s="1"/>
  <c r="OG36" i="18"/>
  <c r="OI36" i="18" s="1"/>
  <c r="LA36" i="18"/>
  <c r="LC36" i="18" s="1"/>
  <c r="LY36" i="18"/>
  <c r="MB36" i="18" s="1"/>
  <c r="ME36" i="18"/>
  <c r="MH36" i="18" s="1"/>
  <c r="RA36" i="18"/>
  <c r="RE36" i="18" s="1"/>
  <c r="HC36" i="18"/>
  <c r="HE36" i="18" s="1"/>
  <c r="UM36" i="18"/>
  <c r="UO36" i="18" s="1"/>
  <c r="DW36" i="18"/>
  <c r="EA36" i="18" s="1"/>
  <c r="UY36" i="18"/>
  <c r="VB36" i="18" s="1"/>
  <c r="PQ36" i="18"/>
  <c r="PT36" i="18" s="1"/>
  <c r="HO36" i="18"/>
  <c r="HQ36" i="18" s="1"/>
  <c r="IG36" i="18"/>
  <c r="IJ36" i="18" s="1"/>
  <c r="XA36" i="18"/>
  <c r="XC36" i="18" s="1"/>
  <c r="IA36" i="18"/>
  <c r="IC36" i="18" s="1"/>
  <c r="KC36" i="18"/>
  <c r="KG36" i="18" s="1"/>
  <c r="TU36" i="18"/>
  <c r="TY36" i="18" s="1"/>
  <c r="MK36" i="18"/>
  <c r="MM36" i="18" s="1"/>
  <c r="RG36" i="18"/>
  <c r="RJ36" i="18" s="1"/>
  <c r="TI36" i="18"/>
  <c r="TM36" i="18" s="1"/>
  <c r="CA36" i="18"/>
  <c r="CE36" i="18" s="1"/>
  <c r="SE36" i="18"/>
  <c r="SH36" i="18" s="1"/>
  <c r="RY36" i="18"/>
  <c r="SB36" i="18" s="1"/>
  <c r="QO36" i="18"/>
  <c r="QS36" i="18" s="1"/>
  <c r="CG36" i="18"/>
  <c r="CI36" i="18" s="1"/>
  <c r="AK36" i="18"/>
  <c r="AN36" i="18" s="1"/>
  <c r="RM36" i="18"/>
  <c r="RO36" i="18" s="1"/>
  <c r="JK36" i="18"/>
  <c r="JM36" i="18" s="1"/>
  <c r="GQ36" i="18"/>
  <c r="GU36" i="18" s="1"/>
  <c r="BC36" i="18"/>
  <c r="BE36" i="18" s="1"/>
  <c r="GK36" i="18"/>
  <c r="GO36" i="18" s="1"/>
  <c r="EO36" i="18"/>
  <c r="ER36" i="18" s="1"/>
  <c r="S32" i="18"/>
  <c r="U32" i="18" s="1"/>
  <c r="PK36" i="18"/>
  <c r="PO36" i="18" s="1"/>
  <c r="AQ36" i="18"/>
  <c r="AU36" i="18" s="1"/>
  <c r="EU36" i="18"/>
  <c r="EW36" i="18" s="1"/>
  <c r="EC36" i="18"/>
  <c r="EF36" i="18" s="1"/>
  <c r="VK36" i="18"/>
  <c r="VM36" i="18" s="1"/>
  <c r="NC36" i="18"/>
  <c r="NE36" i="18" s="1"/>
  <c r="JW36" i="18"/>
  <c r="JY36" i="18" s="1"/>
  <c r="GW36" i="18"/>
  <c r="GZ36" i="18" s="1"/>
  <c r="JQ36" i="18"/>
  <c r="JU36" i="18" s="1"/>
  <c r="JE36" i="18"/>
  <c r="JH36" i="18" s="1"/>
  <c r="OM36" i="18"/>
  <c r="OP36" i="18" s="1"/>
  <c r="XG36" i="18"/>
  <c r="XI36" i="18" s="1"/>
  <c r="DE36" i="18"/>
  <c r="DG36" i="18" s="1"/>
  <c r="CY36" i="18"/>
  <c r="DC36" i="18" s="1"/>
  <c r="UG36" i="18"/>
  <c r="UJ36" i="18" s="1"/>
  <c r="LG36" i="18"/>
  <c r="LI36" i="18" s="1"/>
  <c r="NO36" i="18"/>
  <c r="NR36" i="18" s="1"/>
  <c r="FS36" i="18"/>
  <c r="FU36" i="18" s="1"/>
  <c r="WO36" i="18"/>
  <c r="WS36" i="18" s="1"/>
  <c r="OY36" i="18"/>
  <c r="PC36" i="18" s="1"/>
  <c r="MQ36" i="18"/>
  <c r="MT36" i="18" s="1"/>
  <c r="IS36" i="18"/>
  <c r="IV36" i="18" s="1"/>
  <c r="WI36" i="18"/>
  <c r="WL36" i="18" s="1"/>
  <c r="BO36" i="18"/>
  <c r="BS36" i="18" s="1"/>
  <c r="SQ36" i="18"/>
  <c r="SU36" i="18" s="1"/>
  <c r="OA36" i="18"/>
  <c r="OC36" i="18" s="1"/>
  <c r="Q69" i="5"/>
  <c r="U69" i="5" s="1"/>
  <c r="WW36" i="18"/>
  <c r="F37" i="18"/>
  <c r="WU37" i="18" s="1"/>
  <c r="I69" i="9"/>
  <c r="B77" i="19"/>
  <c r="G77" i="19" s="1"/>
  <c r="F75" i="19"/>
  <c r="I68" i="9"/>
  <c r="P34" i="18"/>
  <c r="S33" i="18" s="1"/>
  <c r="U33" i="18" s="1"/>
  <c r="R34" i="18"/>
  <c r="Q34" i="18"/>
  <c r="AZ36" i="18"/>
  <c r="AT36" i="18"/>
  <c r="AS36" i="18"/>
  <c r="DS36" i="18"/>
  <c r="L68" i="9"/>
  <c r="L69" i="9"/>
  <c r="M66" i="9"/>
  <c r="M67" i="9"/>
  <c r="J69" i="9"/>
  <c r="J68" i="9"/>
  <c r="H71" i="9"/>
  <c r="K71" i="9" s="1"/>
  <c r="H70" i="9"/>
  <c r="K70" i="9" s="1"/>
  <c r="F71" i="5"/>
  <c r="F72" i="8"/>
  <c r="G72" i="8"/>
  <c r="F73" i="8"/>
  <c r="G73" i="8"/>
  <c r="J70" i="7"/>
  <c r="I70" i="7"/>
  <c r="J71" i="7"/>
  <c r="I71" i="7"/>
  <c r="WY36" i="18"/>
  <c r="U37" i="15"/>
  <c r="Y37" i="18" s="1"/>
  <c r="D37" i="15"/>
  <c r="E37" i="15"/>
  <c r="WX36" i="18"/>
  <c r="SL37" i="18"/>
  <c r="CH37" i="18"/>
  <c r="UH37" i="18"/>
  <c r="NV37" i="18"/>
  <c r="BJ37" i="18"/>
  <c r="ED37" i="18"/>
  <c r="VL37" i="18"/>
  <c r="QJ37" i="18"/>
  <c r="BP37" i="18"/>
  <c r="HD37" i="18"/>
  <c r="UN37" i="18"/>
  <c r="DR37" i="18"/>
  <c r="RH37" i="18"/>
  <c r="VP38" i="18"/>
  <c r="D38" i="18"/>
  <c r="F38" i="18" s="1"/>
  <c r="E38" i="18"/>
  <c r="G38" i="18" s="1"/>
  <c r="CN37" i="18"/>
  <c r="QV37" i="18"/>
  <c r="FT37" i="18"/>
  <c r="LN37" i="18"/>
  <c r="KV37" i="18"/>
  <c r="GL37" i="18"/>
  <c r="VF37" i="18"/>
  <c r="AL37" i="18"/>
  <c r="WJ37" i="18"/>
  <c r="KP37" i="18"/>
  <c r="PX37" i="18"/>
  <c r="RT37" i="18"/>
  <c r="LB37" i="18"/>
  <c r="IN37" i="18"/>
  <c r="DF37" i="18"/>
  <c r="MR37" i="18"/>
  <c r="ML37" i="18"/>
  <c r="HJ37" i="18"/>
  <c r="UZ37" i="18"/>
  <c r="HV37" i="18"/>
  <c r="FZ37" i="18"/>
  <c r="UB37" i="18"/>
  <c r="CZ37" i="18"/>
  <c r="VX37" i="18"/>
  <c r="OT37" i="18"/>
  <c r="WD37" i="18"/>
  <c r="WV37" i="18"/>
  <c r="PF37" i="18"/>
  <c r="NP37" i="18"/>
  <c r="TP37" i="18"/>
  <c r="HP37" i="18"/>
  <c r="BD37" i="18"/>
  <c r="PL37" i="18"/>
  <c r="GR37" i="18"/>
  <c r="QD37" i="18"/>
  <c r="CT37" i="18"/>
  <c r="KD37" i="18"/>
  <c r="RN37" i="18"/>
  <c r="I70" i="5"/>
  <c r="J70" i="5" s="1"/>
  <c r="I73" i="5"/>
  <c r="J73" i="5" s="1"/>
  <c r="H71" i="1"/>
  <c r="I71" i="1" s="1"/>
  <c r="H70" i="1"/>
  <c r="I70" i="1" s="1"/>
  <c r="EJ37" i="18"/>
  <c r="JR37" i="18"/>
  <c r="IB37" i="18"/>
  <c r="LH37" i="18"/>
  <c r="ND37" i="18"/>
  <c r="IT37" i="18"/>
  <c r="SF37" i="18"/>
  <c r="IH37" i="18"/>
  <c r="XB37" i="18"/>
  <c r="RZ37" i="18"/>
  <c r="JL37" i="18"/>
  <c r="TD37" i="18"/>
  <c r="XH37" i="18"/>
  <c r="VR37" i="18"/>
  <c r="GF37" i="18"/>
  <c r="UT37" i="18"/>
  <c r="DX37" i="18"/>
  <c r="RB37" i="18"/>
  <c r="DL37" i="18"/>
  <c r="OB37" i="18"/>
  <c r="AX37" i="18"/>
  <c r="EP37" i="18"/>
  <c r="LZ37" i="18"/>
  <c r="PR37" i="18"/>
  <c r="TJ37" i="18"/>
  <c r="FH37" i="18"/>
  <c r="SX37" i="18"/>
  <c r="MF37" i="18"/>
  <c r="NJ37" i="18"/>
  <c r="EV37" i="18"/>
  <c r="LT37" i="18"/>
  <c r="CB37" i="18"/>
  <c r="IZ37" i="18"/>
  <c r="WP37" i="18"/>
  <c r="GX37" i="18"/>
  <c r="OZ37" i="18"/>
  <c r="AR37" i="18"/>
  <c r="JX37" i="18"/>
  <c r="OH37" i="18"/>
  <c r="SR37" i="18"/>
  <c r="FB37" i="18"/>
  <c r="KJ37" i="18"/>
  <c r="ON37" i="18"/>
  <c r="TV37" i="18"/>
  <c r="BV37" i="18"/>
  <c r="FN37" i="18"/>
  <c r="JF37" i="18"/>
  <c r="MX37" i="18"/>
  <c r="QP37" i="18"/>
  <c r="DP38" i="18"/>
  <c r="WN38" i="18"/>
  <c r="FS37" i="18"/>
  <c r="MD38" i="18"/>
  <c r="B39" i="18"/>
  <c r="SJ38" i="18"/>
  <c r="OL38" i="18"/>
  <c r="KB38" i="18"/>
  <c r="HT38" i="18"/>
  <c r="ET38" i="18"/>
  <c r="WT38" i="18"/>
  <c r="LR38" i="18"/>
  <c r="VJ38" i="18"/>
  <c r="SP38" i="18"/>
  <c r="LL38" i="18"/>
  <c r="IX38" i="18"/>
  <c r="GJ38" i="18"/>
  <c r="UL38" i="18"/>
  <c r="DV38" i="18"/>
  <c r="AJ38" i="18"/>
  <c r="PD38" i="18"/>
  <c r="RR38" i="18"/>
  <c r="TZ38" i="18"/>
  <c r="IF38" i="18"/>
  <c r="JD38" i="18"/>
  <c r="EB38" i="18"/>
  <c r="SV38" i="18"/>
  <c r="TH38" i="18"/>
  <c r="NN38" i="18"/>
  <c r="LX38" i="18"/>
  <c r="IL38" i="18"/>
  <c r="EH38" i="18"/>
  <c r="VD38" i="18"/>
  <c r="MP38" i="18"/>
  <c r="FL38" i="18"/>
  <c r="OX38" i="18"/>
  <c r="BH38" i="18"/>
  <c r="IR38" i="18"/>
  <c r="MJ38" i="18"/>
  <c r="TT38" i="18"/>
  <c r="O38" i="18"/>
  <c r="BB38" i="18"/>
  <c r="KH38" i="18"/>
  <c r="BT38" i="18"/>
  <c r="JP38" i="18"/>
  <c r="FR38" i="18"/>
  <c r="QH38" i="18"/>
  <c r="TN38" i="18"/>
  <c r="BN38" i="18"/>
  <c r="UX38" i="18"/>
  <c r="NB38" i="18"/>
  <c r="JJ38" i="18"/>
  <c r="WZ38" i="18"/>
  <c r="KT38" i="18"/>
  <c r="UF38" i="18"/>
  <c r="EZ38" i="18"/>
  <c r="QB38" i="18"/>
  <c r="RF38" i="18"/>
  <c r="XF38" i="18"/>
  <c r="OR38" i="18"/>
  <c r="FF38" i="18"/>
  <c r="NZ38" i="18"/>
  <c r="CL38" i="18"/>
  <c r="WB38" i="18"/>
  <c r="HH38" i="18"/>
  <c r="QT38" i="18"/>
  <c r="AP38" i="18"/>
  <c r="JV38" i="18"/>
  <c r="NT38" i="18"/>
  <c r="HB38" i="18"/>
  <c r="LF38" i="18"/>
  <c r="QN38" i="18"/>
  <c r="VV38" i="18"/>
  <c r="CF38" i="18"/>
  <c r="FX38" i="18"/>
  <c r="NH38" i="18"/>
  <c r="QZ38" i="18"/>
  <c r="UR38" i="18"/>
  <c r="N38" i="18"/>
  <c r="CR38" i="18"/>
  <c r="AV38" i="18"/>
  <c r="BZ38" i="18"/>
  <c r="PP38" i="18"/>
  <c r="GD38" i="18"/>
  <c r="PV38" i="18"/>
  <c r="EN38" i="18"/>
  <c r="TB38" i="18"/>
  <c r="CX38" i="18"/>
  <c r="HZ38" i="18"/>
  <c r="RL38" i="18"/>
  <c r="GP38" i="18"/>
  <c r="KZ38" i="18"/>
  <c r="PJ38" i="18"/>
  <c r="DJ38" i="18"/>
  <c r="HN38" i="18"/>
  <c r="MV38" i="18"/>
  <c r="SD38" i="18"/>
  <c r="WH38" i="18"/>
  <c r="DD38" i="18"/>
  <c r="GV38" i="18"/>
  <c r="KN38" i="18"/>
  <c r="OF38" i="18"/>
  <c r="RX38" i="18"/>
  <c r="T37" i="15"/>
  <c r="B73" i="1"/>
  <c r="B73" i="7"/>
  <c r="B73" i="9"/>
  <c r="AD70" i="5"/>
  <c r="AE70" i="5" s="1"/>
  <c r="AI70" i="5" s="1"/>
  <c r="AJ68" i="5"/>
  <c r="AL68" i="5" s="1"/>
  <c r="B75" i="5"/>
  <c r="AE73" i="5"/>
  <c r="K73" i="5"/>
  <c r="B72" i="5"/>
  <c r="R70" i="5"/>
  <c r="AG70" i="5" s="1"/>
  <c r="K70" i="5"/>
  <c r="F68" i="5"/>
  <c r="R99" i="14"/>
  <c r="T100" i="14"/>
  <c r="S100" i="14"/>
  <c r="U100" i="14"/>
  <c r="Q99" i="14"/>
  <c r="B103" i="14"/>
  <c r="B75" i="8"/>
  <c r="B72" i="1"/>
  <c r="N70" i="1"/>
  <c r="B72" i="7"/>
  <c r="B72" i="9"/>
  <c r="B74" i="8"/>
  <c r="BP69" i="1"/>
  <c r="X69" i="7" s="1"/>
  <c r="O68" i="1"/>
  <c r="BQ69" i="1"/>
  <c r="O69" i="1"/>
  <c r="B38" i="15"/>
  <c r="Q71" i="5" l="1"/>
  <c r="U71" i="5" s="1"/>
  <c r="OG37" i="18"/>
  <c r="US37" i="18"/>
  <c r="DE37" i="18"/>
  <c r="R63" i="8"/>
  <c r="HR36" i="18"/>
  <c r="BK36" i="18"/>
  <c r="SO36" i="18"/>
  <c r="CW36" i="18"/>
  <c r="DU36" i="18"/>
  <c r="WG36" i="18"/>
  <c r="FO36" i="18"/>
  <c r="DH36" i="18"/>
  <c r="AO36" i="18"/>
  <c r="PM36" i="18"/>
  <c r="BF36" i="18"/>
  <c r="Q35" i="18"/>
  <c r="CD36" i="18"/>
  <c r="R35" i="18"/>
  <c r="XK36" i="18"/>
  <c r="GT36" i="18"/>
  <c r="QA36" i="18"/>
  <c r="OU36" i="18"/>
  <c r="LQ36" i="18"/>
  <c r="FI36" i="18"/>
  <c r="DY36" i="18"/>
  <c r="HY36" i="18"/>
  <c r="CO36" i="18"/>
  <c r="EE36" i="18"/>
  <c r="WE36" i="18"/>
  <c r="FQ36" i="18"/>
  <c r="BA36" i="18"/>
  <c r="QM36" i="18"/>
  <c r="BG36" i="18"/>
  <c r="AM36" i="18"/>
  <c r="IP36" i="18"/>
  <c r="DO36" i="18"/>
  <c r="P35" i="18"/>
  <c r="T34" i="18" s="1"/>
  <c r="UQ36" i="18"/>
  <c r="SM36" i="18"/>
  <c r="PG36" i="18"/>
  <c r="GI36" i="18"/>
  <c r="GB36" i="18"/>
  <c r="MA36" i="18"/>
  <c r="LJ36" i="18"/>
  <c r="PY36" i="18"/>
  <c r="QR36" i="18"/>
  <c r="QQ36" i="18"/>
  <c r="EQ36" i="18"/>
  <c r="JI36" i="18"/>
  <c r="TA36" i="18"/>
  <c r="NX36" i="18"/>
  <c r="TK36" i="18"/>
  <c r="WR36" i="18"/>
  <c r="TL36" i="18"/>
  <c r="NY36" i="18"/>
  <c r="KM36" i="18"/>
  <c r="KF36" i="18"/>
  <c r="GG36" i="18"/>
  <c r="JO36" i="18"/>
  <c r="HS36" i="18"/>
  <c r="BM36" i="18"/>
  <c r="FE36" i="18"/>
  <c r="KL36" i="18"/>
  <c r="BW36" i="18"/>
  <c r="PH36" i="18"/>
  <c r="UI36" i="18"/>
  <c r="WQ36" i="18"/>
  <c r="KA36" i="18"/>
  <c r="KE36" i="18"/>
  <c r="BY36" i="18"/>
  <c r="FD36" i="18"/>
  <c r="UP36" i="18"/>
  <c r="UK36" i="18"/>
  <c r="NM36" i="18"/>
  <c r="NL36" i="18"/>
  <c r="MC36" i="18"/>
  <c r="JZ36" i="18"/>
  <c r="GA36" i="18"/>
  <c r="FA37" i="18"/>
  <c r="FD37" i="18" s="1"/>
  <c r="SA36" i="18"/>
  <c r="DB36" i="18"/>
  <c r="CU36" i="18"/>
  <c r="DA36" i="18"/>
  <c r="DM36" i="18"/>
  <c r="DI36" i="18"/>
  <c r="QW36" i="18"/>
  <c r="PB36" i="18"/>
  <c r="MG36" i="18"/>
  <c r="HW36" i="18"/>
  <c r="EM36" i="18"/>
  <c r="HA36" i="18"/>
  <c r="GS36" i="18"/>
  <c r="CJ36" i="18"/>
  <c r="GY36" i="18"/>
  <c r="BR36" i="18"/>
  <c r="DZ36" i="18"/>
  <c r="TF36" i="18"/>
  <c r="TX36" i="18"/>
  <c r="OW36" i="18"/>
  <c r="VS36" i="18"/>
  <c r="KR36" i="18"/>
  <c r="II36" i="18"/>
  <c r="CC36" i="18"/>
  <c r="CQ36" i="18"/>
  <c r="FK36" i="18"/>
  <c r="CK36" i="18"/>
  <c r="EG36" i="18"/>
  <c r="BQ36" i="18"/>
  <c r="PA36" i="18"/>
  <c r="MI36" i="18"/>
  <c r="LP36" i="18"/>
  <c r="EL36" i="18"/>
  <c r="IE36" i="18"/>
  <c r="ID36" i="18"/>
  <c r="LU36" i="18"/>
  <c r="HK36" i="18"/>
  <c r="FW36" i="18"/>
  <c r="JG36" i="18"/>
  <c r="IQ36" i="18"/>
  <c r="PS36" i="18"/>
  <c r="IU36" i="18"/>
  <c r="FV36" i="18"/>
  <c r="HF36" i="18"/>
  <c r="GM36" i="18"/>
  <c r="NG36" i="18"/>
  <c r="VG36" i="18"/>
  <c r="IW36" i="18"/>
  <c r="HM36" i="18"/>
  <c r="HG36" i="18"/>
  <c r="GN36" i="18"/>
  <c r="NF36" i="18"/>
  <c r="QF36" i="18"/>
  <c r="SZ36" i="18"/>
  <c r="OQ36" i="18"/>
  <c r="EX36" i="18"/>
  <c r="ES36" i="18"/>
  <c r="EY36" i="18"/>
  <c r="OO36" i="18"/>
  <c r="WK36" i="18"/>
  <c r="WM36" i="18"/>
  <c r="JN36" i="18"/>
  <c r="VZ36" i="18"/>
  <c r="ST36" i="18"/>
  <c r="TR36" i="18"/>
  <c r="SC36" i="18"/>
  <c r="OD36" i="18"/>
  <c r="VH36" i="18"/>
  <c r="QE36" i="18"/>
  <c r="MY36" i="18"/>
  <c r="LE36" i="18"/>
  <c r="LW36" i="18"/>
  <c r="TQ36" i="18"/>
  <c r="OE36" i="18"/>
  <c r="RK36" i="18"/>
  <c r="RQ36" i="18"/>
  <c r="RI36" i="18"/>
  <c r="LD36" i="18"/>
  <c r="RP36" i="18"/>
  <c r="PU36" i="18"/>
  <c r="NA36" i="18"/>
  <c r="UV36" i="18"/>
  <c r="TE36" i="18"/>
  <c r="RU36" i="18"/>
  <c r="QX36" i="18"/>
  <c r="VU36" i="18"/>
  <c r="QL36" i="18"/>
  <c r="KS36" i="18"/>
  <c r="IK36" i="18"/>
  <c r="UU36" i="18"/>
  <c r="MS36" i="18"/>
  <c r="XJ36" i="18"/>
  <c r="NQ36" i="18"/>
  <c r="TW36" i="18"/>
  <c r="RD36" i="18"/>
  <c r="LK36" i="18"/>
  <c r="RC36" i="18"/>
  <c r="RV36" i="18"/>
  <c r="VC36" i="18"/>
  <c r="SG36" i="18"/>
  <c r="SI36" i="18"/>
  <c r="SS36" i="18"/>
  <c r="UE36" i="18"/>
  <c r="KW36" i="18"/>
  <c r="MU36" i="18"/>
  <c r="MN36" i="18"/>
  <c r="JA36" i="18"/>
  <c r="JB36" i="18"/>
  <c r="VA36" i="18"/>
  <c r="UD36" i="18"/>
  <c r="VO36" i="18"/>
  <c r="XE36" i="18"/>
  <c r="KX36" i="18"/>
  <c r="JS36" i="18"/>
  <c r="JT36" i="18"/>
  <c r="WA36" i="18"/>
  <c r="OJ36" i="18"/>
  <c r="PN36" i="18"/>
  <c r="MO36" i="18"/>
  <c r="NS36" i="18"/>
  <c r="XD36" i="18"/>
  <c r="OK36" i="18"/>
  <c r="VN36" i="18"/>
  <c r="LS37" i="18"/>
  <c r="LU37" i="18" s="1"/>
  <c r="TO37" i="18"/>
  <c r="TR37" i="18" s="1"/>
  <c r="BU37" i="18"/>
  <c r="BX37" i="18" s="1"/>
  <c r="QI37" i="18"/>
  <c r="QK37" i="18" s="1"/>
  <c r="OS37" i="18"/>
  <c r="OV37" i="18" s="1"/>
  <c r="VK37" i="18"/>
  <c r="VO37" i="18" s="1"/>
  <c r="TI37" i="18"/>
  <c r="TM37" i="18" s="1"/>
  <c r="SQ37" i="18"/>
  <c r="SU37" i="18" s="1"/>
  <c r="DQ37" i="18"/>
  <c r="DS37" i="18" s="1"/>
  <c r="RY37" i="18"/>
  <c r="SA37" i="18" s="1"/>
  <c r="BO37" i="18"/>
  <c r="BS37" i="18" s="1"/>
  <c r="MK37" i="18"/>
  <c r="MO37" i="18" s="1"/>
  <c r="SE37" i="18"/>
  <c r="SI37" i="18" s="1"/>
  <c r="VW37" i="18"/>
  <c r="WA37" i="18" s="1"/>
  <c r="WO37" i="18"/>
  <c r="WR37" i="18" s="1"/>
  <c r="NO37" i="18"/>
  <c r="NQ37" i="18" s="1"/>
  <c r="BI37" i="18"/>
  <c r="BK37" i="18" s="1"/>
  <c r="FM37" i="18"/>
  <c r="FQ37" i="18" s="1"/>
  <c r="QU37" i="18"/>
  <c r="QX37" i="18" s="1"/>
  <c r="IA37" i="18"/>
  <c r="ID37" i="18" s="1"/>
  <c r="NI37" i="18"/>
  <c r="NM37" i="18" s="1"/>
  <c r="ME37" i="18"/>
  <c r="MI37" i="18" s="1"/>
  <c r="EC37" i="18"/>
  <c r="EG37" i="18" s="1"/>
  <c r="GW37" i="18"/>
  <c r="HA37" i="18" s="1"/>
  <c r="HI37" i="18"/>
  <c r="HM37" i="18" s="1"/>
  <c r="JW37" i="18"/>
  <c r="JZ37" i="18" s="1"/>
  <c r="QO37" i="18"/>
  <c r="QR37" i="18" s="1"/>
  <c r="TU37" i="18"/>
  <c r="TX37" i="18" s="1"/>
  <c r="IM37" i="18"/>
  <c r="IP37" i="18" s="1"/>
  <c r="RM37" i="18"/>
  <c r="RP37" i="18" s="1"/>
  <c r="QC37" i="18"/>
  <c r="QF37" i="18" s="1"/>
  <c r="MQ37" i="18"/>
  <c r="MU37" i="18" s="1"/>
  <c r="UG37" i="18"/>
  <c r="UJ37" i="18" s="1"/>
  <c r="XA37" i="18"/>
  <c r="XD37" i="18" s="1"/>
  <c r="PQ37" i="18"/>
  <c r="PS37" i="18" s="1"/>
  <c r="UM37" i="18"/>
  <c r="UP37" i="18" s="1"/>
  <c r="EO37" i="18"/>
  <c r="EQ37" i="18" s="1"/>
  <c r="LY37" i="18"/>
  <c r="MA37" i="18" s="1"/>
  <c r="DK37" i="18"/>
  <c r="DN37" i="18" s="1"/>
  <c r="WC37" i="18"/>
  <c r="WG37" i="18" s="1"/>
  <c r="MW37" i="18"/>
  <c r="MY37" i="18" s="1"/>
  <c r="OA37" i="18"/>
  <c r="OE37" i="18" s="1"/>
  <c r="LA37" i="18"/>
  <c r="LD37" i="18" s="1"/>
  <c r="TC37" i="18"/>
  <c r="TE37" i="18" s="1"/>
  <c r="EI37" i="18"/>
  <c r="EK37" i="18" s="1"/>
  <c r="JE37" i="18"/>
  <c r="JI37" i="18" s="1"/>
  <c r="IG37" i="18"/>
  <c r="IK37" i="18" s="1"/>
  <c r="RS37" i="18"/>
  <c r="RV37" i="18" s="1"/>
  <c r="XG37" i="18"/>
  <c r="XK37" i="18" s="1"/>
  <c r="UY37" i="18"/>
  <c r="VC37" i="18" s="1"/>
  <c r="GE37" i="18"/>
  <c r="GG37" i="18" s="1"/>
  <c r="LG37" i="18"/>
  <c r="LJ37" i="18" s="1"/>
  <c r="KO37" i="18"/>
  <c r="KQ37" i="18" s="1"/>
  <c r="AK37" i="18"/>
  <c r="AN37" i="18" s="1"/>
  <c r="CA37" i="18"/>
  <c r="CE37" i="18" s="1"/>
  <c r="GK37" i="18"/>
  <c r="GM37" i="18" s="1"/>
  <c r="IY37" i="18"/>
  <c r="JC37" i="18" s="1"/>
  <c r="OY37" i="18"/>
  <c r="PB37" i="18" s="1"/>
  <c r="NU37" i="18"/>
  <c r="NX37" i="18" s="1"/>
  <c r="EU37" i="18"/>
  <c r="EX37" i="18" s="1"/>
  <c r="IS37" i="18"/>
  <c r="IV37" i="18" s="1"/>
  <c r="PE37" i="18"/>
  <c r="PH37" i="18" s="1"/>
  <c r="KU37" i="18"/>
  <c r="KW37" i="18" s="1"/>
  <c r="SK37" i="18"/>
  <c r="SN37" i="18" s="1"/>
  <c r="HO37" i="18"/>
  <c r="HS37" i="18" s="1"/>
  <c r="OM37" i="18"/>
  <c r="OP37" i="18" s="1"/>
  <c r="CY37" i="18"/>
  <c r="DB37" i="18" s="1"/>
  <c r="BC37" i="18"/>
  <c r="BF37" i="18" s="1"/>
  <c r="KI37" i="18"/>
  <c r="KL37" i="18" s="1"/>
  <c r="PK37" i="18"/>
  <c r="PN37" i="18" s="1"/>
  <c r="AQ37" i="18"/>
  <c r="AT37" i="18" s="1"/>
  <c r="DW37" i="18"/>
  <c r="EA37" i="18" s="1"/>
  <c r="VQ37" i="18"/>
  <c r="VU37" i="18" s="1"/>
  <c r="KC37" i="18"/>
  <c r="KG37" i="18" s="1"/>
  <c r="LM37" i="18"/>
  <c r="LP37" i="18" s="1"/>
  <c r="RG37" i="18"/>
  <c r="RK37" i="18" s="1"/>
  <c r="CM37" i="18"/>
  <c r="CQ37" i="18" s="1"/>
  <c r="FY37" i="18"/>
  <c r="GC37" i="18" s="1"/>
  <c r="GQ37" i="18"/>
  <c r="GT37" i="18" s="1"/>
  <c r="PW37" i="18"/>
  <c r="QA37" i="18" s="1"/>
  <c r="VE37" i="18"/>
  <c r="VI37" i="18" s="1"/>
  <c r="UA37" i="18"/>
  <c r="UD37" i="18" s="1"/>
  <c r="FG37" i="18"/>
  <c r="FI37" i="18" s="1"/>
  <c r="JQ37" i="18"/>
  <c r="JU37" i="18" s="1"/>
  <c r="JK37" i="18"/>
  <c r="JN37" i="18" s="1"/>
  <c r="SW37" i="18"/>
  <c r="SZ37" i="18" s="1"/>
  <c r="AW37" i="18"/>
  <c r="AZ37" i="18" s="1"/>
  <c r="NC37" i="18"/>
  <c r="NF37" i="18" s="1"/>
  <c r="RA37" i="18"/>
  <c r="RC37" i="18" s="1"/>
  <c r="CS37" i="18"/>
  <c r="CV37" i="18" s="1"/>
  <c r="HU37" i="18"/>
  <c r="HX37" i="18" s="1"/>
  <c r="CG37" i="18"/>
  <c r="CI37" i="18" s="1"/>
  <c r="HC37" i="18"/>
  <c r="HE37" i="18" s="1"/>
  <c r="WI37" i="18"/>
  <c r="WM37" i="18" s="1"/>
  <c r="Q68" i="5"/>
  <c r="U68" i="5" s="1"/>
  <c r="WY37" i="18"/>
  <c r="SE38" i="18"/>
  <c r="I71" i="9"/>
  <c r="B79" i="19"/>
  <c r="G79" i="19" s="1"/>
  <c r="F77" i="19"/>
  <c r="I70" i="9"/>
  <c r="DH37" i="18"/>
  <c r="T33" i="18"/>
  <c r="B40" i="18"/>
  <c r="JJ40" i="18" s="1"/>
  <c r="L70" i="9"/>
  <c r="L71" i="9"/>
  <c r="M69" i="9"/>
  <c r="M68" i="9"/>
  <c r="FW37" i="18"/>
  <c r="J71" i="9"/>
  <c r="J70" i="9"/>
  <c r="H73" i="9"/>
  <c r="K73" i="9" s="1"/>
  <c r="H72" i="9"/>
  <c r="K72" i="9" s="1"/>
  <c r="JK38" i="18"/>
  <c r="HC38" i="18"/>
  <c r="F73" i="5"/>
  <c r="VE38" i="18"/>
  <c r="OS38" i="18"/>
  <c r="OM38" i="18"/>
  <c r="LA38" i="18"/>
  <c r="CY38" i="18"/>
  <c r="VW38" i="18"/>
  <c r="JE38" i="18"/>
  <c r="MK38" i="18"/>
  <c r="GW38" i="18"/>
  <c r="BC38" i="18"/>
  <c r="XA38" i="18"/>
  <c r="HO38" i="18"/>
  <c r="US38" i="18"/>
  <c r="SW38" i="18"/>
  <c r="SQ38" i="18"/>
  <c r="RS38" i="18"/>
  <c r="KU38" i="18"/>
  <c r="WW37" i="18"/>
  <c r="UY38" i="18"/>
  <c r="UM38" i="18"/>
  <c r="RY38" i="18"/>
  <c r="FM38" i="18"/>
  <c r="IG38" i="18"/>
  <c r="DK38" i="18"/>
  <c r="G75" i="8"/>
  <c r="F75" i="8"/>
  <c r="F74" i="8"/>
  <c r="G74" i="8"/>
  <c r="J72" i="7"/>
  <c r="I72" i="7"/>
  <c r="J73" i="7"/>
  <c r="I73" i="7"/>
  <c r="WX37" i="18"/>
  <c r="E38" i="15"/>
  <c r="D38" i="15"/>
  <c r="OI37" i="18"/>
  <c r="XB38" i="18"/>
  <c r="ON38" i="18"/>
  <c r="TT39" i="18"/>
  <c r="D39" i="18"/>
  <c r="E39" i="18"/>
  <c r="G39" i="18" s="1"/>
  <c r="KO38" i="18"/>
  <c r="IM38" i="18"/>
  <c r="HU38" i="18"/>
  <c r="WI38" i="18"/>
  <c r="MW38" i="18"/>
  <c r="VQ38" i="18"/>
  <c r="LG38" i="18"/>
  <c r="CA38" i="18"/>
  <c r="KC38" i="18"/>
  <c r="TO38" i="18"/>
  <c r="CG38" i="18"/>
  <c r="LM38" i="18"/>
  <c r="PW38" i="18"/>
  <c r="UG38" i="18"/>
  <c r="EO38" i="18"/>
  <c r="IS38" i="18"/>
  <c r="OA38" i="18"/>
  <c r="TI38" i="18"/>
  <c r="AQ38" i="18"/>
  <c r="EI38" i="18"/>
  <c r="IA38" i="18"/>
  <c r="LS38" i="18"/>
  <c r="PK38" i="18"/>
  <c r="TC38" i="18"/>
  <c r="WU38" i="18"/>
  <c r="TP38" i="18"/>
  <c r="BU38" i="18"/>
  <c r="WC38" i="18"/>
  <c r="EU38" i="18"/>
  <c r="QO38" i="18"/>
  <c r="DE38" i="18"/>
  <c r="OY38" i="18"/>
  <c r="AK38" i="18"/>
  <c r="ME38" i="18"/>
  <c r="FS38" i="18"/>
  <c r="NU38" i="18"/>
  <c r="WO38" i="18"/>
  <c r="CS38" i="18"/>
  <c r="NC38" i="18"/>
  <c r="RA38" i="18"/>
  <c r="AW38" i="18"/>
  <c r="FA38" i="18"/>
  <c r="KI38" i="18"/>
  <c r="PQ38" i="18"/>
  <c r="TU38" i="18"/>
  <c r="BO38" i="18"/>
  <c r="FG38" i="18"/>
  <c r="IY38" i="18"/>
  <c r="MQ38" i="18"/>
  <c r="QI38" i="18"/>
  <c r="UA38" i="18"/>
  <c r="PL38" i="18"/>
  <c r="PF38" i="18"/>
  <c r="JQ38" i="18"/>
  <c r="DQ38" i="18"/>
  <c r="FY38" i="18"/>
  <c r="SK38" i="18"/>
  <c r="EC38" i="18"/>
  <c r="QU38" i="18"/>
  <c r="HI38" i="18"/>
  <c r="NI38" i="18"/>
  <c r="GK38" i="18"/>
  <c r="PE38" i="18"/>
  <c r="XG38" i="18"/>
  <c r="DW38" i="18"/>
  <c r="OG38" i="18"/>
  <c r="RM38" i="18"/>
  <c r="BI38" i="18"/>
  <c r="GQ38" i="18"/>
  <c r="LY38" i="18"/>
  <c r="QC38" i="18"/>
  <c r="VK38" i="18"/>
  <c r="CM38" i="18"/>
  <c r="GE38" i="18"/>
  <c r="JW38" i="18"/>
  <c r="NO38" i="18"/>
  <c r="RG38" i="18"/>
  <c r="RT38" i="18"/>
  <c r="JF38" i="18"/>
  <c r="I72" i="5"/>
  <c r="J72" i="5" s="1"/>
  <c r="I75" i="5"/>
  <c r="J75" i="5" s="1"/>
  <c r="H72" i="1"/>
  <c r="I72" i="1" s="1"/>
  <c r="H73" i="1"/>
  <c r="I73" i="1" s="1"/>
  <c r="IX39" i="18"/>
  <c r="UV37" i="18"/>
  <c r="PV39" i="18"/>
  <c r="FX39" i="18"/>
  <c r="IL39" i="18"/>
  <c r="UR39" i="18"/>
  <c r="DX38" i="18"/>
  <c r="FH38" i="18"/>
  <c r="BP38" i="18"/>
  <c r="AL38" i="18"/>
  <c r="UN38" i="18"/>
  <c r="MX38" i="18"/>
  <c r="MR38" i="18"/>
  <c r="RB38" i="18"/>
  <c r="FZ38" i="18"/>
  <c r="FT38" i="18"/>
  <c r="BV38" i="18"/>
  <c r="QP38" i="18"/>
  <c r="NJ38" i="18"/>
  <c r="CH38" i="18"/>
  <c r="FB38" i="18"/>
  <c r="KJ38" i="18"/>
  <c r="JX38" i="18"/>
  <c r="FN38" i="18"/>
  <c r="UH38" i="18"/>
  <c r="GR38" i="18"/>
  <c r="ML38" i="18"/>
  <c r="JR38" i="18"/>
  <c r="VL38" i="18"/>
  <c r="GX38" i="18"/>
  <c r="SR38" i="18"/>
  <c r="OB38" i="18"/>
  <c r="WV38" i="18"/>
  <c r="IN38" i="18"/>
  <c r="PX38" i="18"/>
  <c r="DF38" i="18"/>
  <c r="HD38" i="18"/>
  <c r="QJ38" i="18"/>
  <c r="UT38" i="18"/>
  <c r="CB38" i="18"/>
  <c r="GF38" i="18"/>
  <c r="LN38" i="18"/>
  <c r="QV38" i="18"/>
  <c r="UZ38" i="18"/>
  <c r="CT38" i="18"/>
  <c r="GL38" i="18"/>
  <c r="KD38" i="18"/>
  <c r="NV38" i="18"/>
  <c r="RN38" i="18"/>
  <c r="VF38" i="18"/>
  <c r="OH38" i="18"/>
  <c r="UB38" i="18"/>
  <c r="KP38" i="18"/>
  <c r="XH38" i="18"/>
  <c r="IB38" i="18"/>
  <c r="TV38" i="18"/>
  <c r="OZ38" i="18"/>
  <c r="AR38" i="18"/>
  <c r="KV38" i="18"/>
  <c r="SF38" i="18"/>
  <c r="EJ38" i="18"/>
  <c r="HP38" i="18"/>
  <c r="RZ38" i="18"/>
  <c r="VX38" i="18"/>
  <c r="CN38" i="18"/>
  <c r="HV38" i="18"/>
  <c r="ND38" i="18"/>
  <c r="RH38" i="18"/>
  <c r="WP38" i="18"/>
  <c r="DR38" i="18"/>
  <c r="HJ38" i="18"/>
  <c r="LB38" i="18"/>
  <c r="OT38" i="18"/>
  <c r="SL38" i="18"/>
  <c r="WD38" i="18"/>
  <c r="LH38" i="18"/>
  <c r="CZ38" i="18"/>
  <c r="LT38" i="18"/>
  <c r="BD38" i="18"/>
  <c r="IZ38" i="18"/>
  <c r="DL38" i="18"/>
  <c r="QD38" i="18"/>
  <c r="BJ38" i="18"/>
  <c r="MF38" i="18"/>
  <c r="VR38" i="18"/>
  <c r="EV38" i="18"/>
  <c r="IT38" i="18"/>
  <c r="TD38" i="18"/>
  <c r="WJ38" i="18"/>
  <c r="ED38" i="18"/>
  <c r="JL38" i="18"/>
  <c r="NP38" i="18"/>
  <c r="SX38" i="18"/>
  <c r="AX38" i="18"/>
  <c r="EP38" i="18"/>
  <c r="IH38" i="18"/>
  <c r="LZ38" i="18"/>
  <c r="PR38" i="18"/>
  <c r="TJ38" i="18"/>
  <c r="NT39" i="18"/>
  <c r="LX39" i="18"/>
  <c r="DI37" i="18"/>
  <c r="DG37" i="18"/>
  <c r="MV39" i="18"/>
  <c r="DP39" i="18"/>
  <c r="SJ39" i="18"/>
  <c r="TB39" i="18"/>
  <c r="RF39" i="18"/>
  <c r="JP39" i="18"/>
  <c r="JD39" i="18"/>
  <c r="PJ39" i="18"/>
  <c r="BN39" i="18"/>
  <c r="CL39" i="18"/>
  <c r="VJ39" i="18"/>
  <c r="NH39" i="18"/>
  <c r="QT39" i="18"/>
  <c r="XF39" i="18"/>
  <c r="FL39" i="18"/>
  <c r="GP39" i="18"/>
  <c r="CF39" i="18"/>
  <c r="QZ39" i="18"/>
  <c r="KT39" i="18"/>
  <c r="KB39" i="18"/>
  <c r="JJ39" i="18"/>
  <c r="QN39" i="18"/>
  <c r="LF39" i="18"/>
  <c r="CR39" i="18"/>
  <c r="QH39" i="18"/>
  <c r="CX39" i="18"/>
  <c r="NN39" i="18"/>
  <c r="WZ39" i="18"/>
  <c r="GV39" i="18"/>
  <c r="VP39" i="18"/>
  <c r="LR39" i="18"/>
  <c r="GJ39" i="18"/>
  <c r="FF39" i="18"/>
  <c r="RL39" i="18"/>
  <c r="HT39" i="18"/>
  <c r="UL39" i="18"/>
  <c r="AP39" i="18"/>
  <c r="ET39" i="18"/>
  <c r="BT39" i="18"/>
  <c r="WB39" i="18"/>
  <c r="HB39" i="18"/>
  <c r="UF39" i="18"/>
  <c r="IF39" i="18"/>
  <c r="RR39" i="18"/>
  <c r="DD39" i="18"/>
  <c r="KN39" i="18"/>
  <c r="OF39" i="18"/>
  <c r="RX39" i="18"/>
  <c r="O39" i="18"/>
  <c r="DJ39" i="18"/>
  <c r="KZ39" i="18"/>
  <c r="SD39" i="18"/>
  <c r="FR39" i="18"/>
  <c r="VD39" i="18"/>
  <c r="MP39" i="18"/>
  <c r="WT39" i="18"/>
  <c r="DV39" i="18"/>
  <c r="NB39" i="18"/>
  <c r="VV39" i="18"/>
  <c r="EN39" i="18"/>
  <c r="JV39" i="18"/>
  <c r="NZ39" i="18"/>
  <c r="TH39" i="18"/>
  <c r="AJ39" i="18"/>
  <c r="EB39" i="18"/>
  <c r="LL39" i="18"/>
  <c r="PD39" i="18"/>
  <c r="SV39" i="18"/>
  <c r="WN39" i="18"/>
  <c r="N39" i="18"/>
  <c r="BZ39" i="18"/>
  <c r="TN39" i="18"/>
  <c r="HZ39" i="18"/>
  <c r="MD39" i="18"/>
  <c r="HH39" i="18"/>
  <c r="TZ39" i="18"/>
  <c r="OL39" i="18"/>
  <c r="WH39" i="18"/>
  <c r="HN39" i="18"/>
  <c r="OX39" i="18"/>
  <c r="BB39" i="18"/>
  <c r="EH39" i="18"/>
  <c r="OR39" i="18"/>
  <c r="SP39" i="18"/>
  <c r="AV39" i="18"/>
  <c r="GD39" i="18"/>
  <c r="KH39" i="18"/>
  <c r="PP39" i="18"/>
  <c r="UX39" i="18"/>
  <c r="BH39" i="18"/>
  <c r="EZ39" i="18"/>
  <c r="IR39" i="18"/>
  <c r="MJ39" i="18"/>
  <c r="QB39" i="18"/>
  <c r="OJ37" i="18"/>
  <c r="FU37" i="18"/>
  <c r="UU37" i="18"/>
  <c r="UW37" i="18"/>
  <c r="OK37" i="18"/>
  <c r="FV37" i="18"/>
  <c r="T38" i="15"/>
  <c r="B75" i="9"/>
  <c r="B75" i="1"/>
  <c r="B75" i="7"/>
  <c r="AD72" i="5"/>
  <c r="AE72" i="5" s="1"/>
  <c r="AI72" i="5" s="1"/>
  <c r="F70" i="5"/>
  <c r="B77" i="5"/>
  <c r="R75" i="5"/>
  <c r="AG75" i="5" s="1"/>
  <c r="K75" i="5"/>
  <c r="AE75" i="5"/>
  <c r="B74" i="5"/>
  <c r="R72" i="5"/>
  <c r="AG72" i="5" s="1"/>
  <c r="K72" i="5"/>
  <c r="AJ70" i="5"/>
  <c r="B104" i="14"/>
  <c r="U101" i="14"/>
  <c r="S101" i="14"/>
  <c r="T101" i="14"/>
  <c r="Q100" i="14"/>
  <c r="R100" i="14"/>
  <c r="B39" i="15"/>
  <c r="B76" i="8"/>
  <c r="B77" i="8"/>
  <c r="B74" i="9"/>
  <c r="BQ71" i="1"/>
  <c r="BP71" i="1"/>
  <c r="X71" i="7" s="1"/>
  <c r="O70" i="1"/>
  <c r="O71" i="1"/>
  <c r="B74" i="7"/>
  <c r="B74" i="1"/>
  <c r="N72" i="1"/>
  <c r="R65" i="8" l="1"/>
  <c r="CO37" i="18"/>
  <c r="QS37" i="18"/>
  <c r="GS37" i="18"/>
  <c r="WQ37" i="18"/>
  <c r="CD37" i="18"/>
  <c r="IJ37" i="18"/>
  <c r="QW37" i="18"/>
  <c r="S34" i="18"/>
  <c r="U34" i="18" s="1"/>
  <c r="TQ37" i="18"/>
  <c r="GY37" i="18"/>
  <c r="DY37" i="18"/>
  <c r="WF37" i="18"/>
  <c r="TY37" i="18"/>
  <c r="DU37" i="18"/>
  <c r="DZ37" i="18"/>
  <c r="NG37" i="18"/>
  <c r="FC37" i="18"/>
  <c r="ES37" i="18"/>
  <c r="BL37" i="18"/>
  <c r="DT37" i="18"/>
  <c r="BM37" i="18"/>
  <c r="FE37" i="18"/>
  <c r="CP37" i="18"/>
  <c r="UI37" i="18"/>
  <c r="TF37" i="18"/>
  <c r="QL37" i="18"/>
  <c r="TW37" i="18"/>
  <c r="EY37" i="18"/>
  <c r="GO37" i="18"/>
  <c r="ST37" i="18"/>
  <c r="GN37" i="18"/>
  <c r="NE37" i="18"/>
  <c r="NR37" i="18"/>
  <c r="MM37" i="18"/>
  <c r="IE37" i="18"/>
  <c r="WE37" i="18"/>
  <c r="EW37" i="18"/>
  <c r="AY37" i="18"/>
  <c r="KY37" i="18"/>
  <c r="DC37" i="18"/>
  <c r="TK37" i="18"/>
  <c r="GU37" i="18"/>
  <c r="JG37" i="18"/>
  <c r="FO37" i="18"/>
  <c r="MB37" i="18"/>
  <c r="OQ37" i="18"/>
  <c r="II37" i="18"/>
  <c r="GI37" i="18"/>
  <c r="BQ37" i="18"/>
  <c r="BR37" i="18"/>
  <c r="EF37" i="18"/>
  <c r="PT37" i="18"/>
  <c r="EE37" i="18"/>
  <c r="AS37" i="18"/>
  <c r="TL37" i="18"/>
  <c r="FJ37" i="18"/>
  <c r="DM37" i="18"/>
  <c r="PU37" i="18"/>
  <c r="GH37" i="18"/>
  <c r="BW37" i="18"/>
  <c r="BY37" i="18"/>
  <c r="QE37" i="18"/>
  <c r="NW37" i="18"/>
  <c r="LQ37" i="18"/>
  <c r="QY37" i="18"/>
  <c r="AU37" i="18"/>
  <c r="QQ37" i="18"/>
  <c r="LE37" i="18"/>
  <c r="CC37" i="18"/>
  <c r="BA37" i="18"/>
  <c r="WS37" i="18"/>
  <c r="NY37" i="18"/>
  <c r="QG37" i="18"/>
  <c r="FK37" i="18"/>
  <c r="LO37" i="18"/>
  <c r="DO37" i="18"/>
  <c r="HY37" i="18"/>
  <c r="LC37" i="18"/>
  <c r="RO37" i="18"/>
  <c r="GJ40" i="18"/>
  <c r="FP37" i="18"/>
  <c r="PM37" i="18"/>
  <c r="CU37" i="18"/>
  <c r="PC37" i="18"/>
  <c r="XE37" i="18"/>
  <c r="RQ37" i="18"/>
  <c r="VM37" i="18"/>
  <c r="LW37" i="18"/>
  <c r="OW37" i="18"/>
  <c r="IQ37" i="18"/>
  <c r="HK37" i="18"/>
  <c r="HF37" i="18"/>
  <c r="UK37" i="18"/>
  <c r="IO37" i="18"/>
  <c r="EM37" i="18"/>
  <c r="OU37" i="18"/>
  <c r="ER37" i="18"/>
  <c r="JM37" i="18"/>
  <c r="SY37" i="18"/>
  <c r="JU38" i="18"/>
  <c r="DA37" i="18"/>
  <c r="WL37" i="18"/>
  <c r="CJ38" i="18"/>
  <c r="GB37" i="18"/>
  <c r="PJ40" i="18"/>
  <c r="IR40" i="18"/>
  <c r="VB37" i="18"/>
  <c r="AO37" i="18"/>
  <c r="PA37" i="18"/>
  <c r="TA37" i="18"/>
  <c r="UE37" i="18"/>
  <c r="KE37" i="18"/>
  <c r="GA37" i="18"/>
  <c r="VZ37" i="18"/>
  <c r="CW37" i="18"/>
  <c r="JH37" i="18"/>
  <c r="WK37" i="18"/>
  <c r="PO37" i="18"/>
  <c r="PI37" i="18"/>
  <c r="KF37" i="18"/>
  <c r="AM37" i="18"/>
  <c r="SD40" i="18"/>
  <c r="NN40" i="18"/>
  <c r="SB37" i="18"/>
  <c r="SC37" i="18"/>
  <c r="TS37" i="18"/>
  <c r="JY37" i="18"/>
  <c r="XC37" i="18"/>
  <c r="KA37" i="18"/>
  <c r="UC37" i="18"/>
  <c r="VN37" i="18"/>
  <c r="MC37" i="18"/>
  <c r="OO37" i="18"/>
  <c r="OD37" i="18"/>
  <c r="VY37" i="18"/>
  <c r="TB40" i="18"/>
  <c r="PG37" i="18"/>
  <c r="VA37" i="18"/>
  <c r="MH37" i="18"/>
  <c r="OC37" i="18"/>
  <c r="MG37" i="18"/>
  <c r="SH37" i="18"/>
  <c r="KX37" i="18"/>
  <c r="Q36" i="18"/>
  <c r="NK37" i="18"/>
  <c r="NL37" i="18"/>
  <c r="RE37" i="18"/>
  <c r="KS37" i="18"/>
  <c r="SG37" i="18"/>
  <c r="P36" i="18"/>
  <c r="S35" i="18" s="1"/>
  <c r="U35" i="18" s="1"/>
  <c r="R36" i="18"/>
  <c r="VS37" i="18"/>
  <c r="VP40" i="18"/>
  <c r="VG37" i="18"/>
  <c r="VT37" i="18"/>
  <c r="JB37" i="18"/>
  <c r="IU37" i="18"/>
  <c r="XI37" i="18"/>
  <c r="JO37" i="18"/>
  <c r="KK37" i="18"/>
  <c r="XJ37" i="18"/>
  <c r="RD37" i="18"/>
  <c r="KM37" i="18"/>
  <c r="MZ37" i="18"/>
  <c r="IW37" i="18"/>
  <c r="NA37" i="18"/>
  <c r="CK37" i="18"/>
  <c r="HW37" i="18"/>
  <c r="IL40" i="18"/>
  <c r="DD40" i="18"/>
  <c r="QM37" i="18"/>
  <c r="SS37" i="18"/>
  <c r="RJ37" i="18"/>
  <c r="CJ37" i="18"/>
  <c r="GZ37" i="18"/>
  <c r="HG37" i="18"/>
  <c r="D40" i="18"/>
  <c r="F40" i="18" s="1"/>
  <c r="UQ37" i="18"/>
  <c r="MN37" i="18"/>
  <c r="VH37" i="18"/>
  <c r="JA37" i="18"/>
  <c r="HL37" i="18"/>
  <c r="KR37" i="18"/>
  <c r="EL37" i="18"/>
  <c r="LV37" i="18"/>
  <c r="HR37" i="18"/>
  <c r="HQ37" i="18"/>
  <c r="LI37" i="18"/>
  <c r="MS37" i="18"/>
  <c r="MT37" i="18"/>
  <c r="IC37" i="18"/>
  <c r="RU37" i="18"/>
  <c r="JS37" i="18"/>
  <c r="JT37" i="18"/>
  <c r="PZ37" i="18"/>
  <c r="BG37" i="18"/>
  <c r="BE37" i="18"/>
  <c r="LK37" i="18"/>
  <c r="NS37" i="18"/>
  <c r="UO37" i="18"/>
  <c r="TG37" i="18"/>
  <c r="RW37" i="18"/>
  <c r="PY37" i="18"/>
  <c r="RI37" i="18"/>
  <c r="SO37" i="18"/>
  <c r="SM37" i="18"/>
  <c r="Q70" i="5"/>
  <c r="U70" i="5" s="1"/>
  <c r="Q73" i="5"/>
  <c r="U73" i="5" s="1"/>
  <c r="SG38" i="18"/>
  <c r="DJ40" i="18"/>
  <c r="HH40" i="18"/>
  <c r="MJ40" i="18"/>
  <c r="NZ40" i="18"/>
  <c r="BB40" i="18"/>
  <c r="KT40" i="18"/>
  <c r="TZ40" i="18"/>
  <c r="WN40" i="18"/>
  <c r="F39" i="18"/>
  <c r="WU39" i="18" s="1"/>
  <c r="I73" i="9"/>
  <c r="B81" i="19"/>
  <c r="G81" i="19" s="1"/>
  <c r="F79" i="19"/>
  <c r="CL40" i="18"/>
  <c r="VJ40" i="18"/>
  <c r="RF40" i="18"/>
  <c r="BZ40" i="18"/>
  <c r="UL40" i="18"/>
  <c r="OF40" i="18"/>
  <c r="N40" i="18"/>
  <c r="EH40" i="18"/>
  <c r="AV40" i="18"/>
  <c r="PP40" i="18"/>
  <c r="UF40" i="18"/>
  <c r="WT40" i="18"/>
  <c r="QH40" i="18"/>
  <c r="EZ40" i="18"/>
  <c r="QZ40" i="18"/>
  <c r="GD40" i="18"/>
  <c r="EN40" i="18"/>
  <c r="OL40" i="18"/>
  <c r="NT40" i="18"/>
  <c r="MD40" i="18"/>
  <c r="JD40" i="18"/>
  <c r="BN40" i="18"/>
  <c r="MP40" i="18"/>
  <c r="CF40" i="18"/>
  <c r="JP40" i="18"/>
  <c r="RX40" i="18"/>
  <c r="I72" i="9"/>
  <c r="OX40" i="18"/>
  <c r="FL40" i="18"/>
  <c r="CX40" i="18"/>
  <c r="XF40" i="18"/>
  <c r="SP40" i="18"/>
  <c r="QN40" i="18"/>
  <c r="HN40" i="18"/>
  <c r="TN40" i="18"/>
  <c r="FR40" i="18"/>
  <c r="OR40" i="18"/>
  <c r="WB40" i="18"/>
  <c r="GV40" i="18"/>
  <c r="NH40" i="18"/>
  <c r="TT40" i="18"/>
  <c r="B41" i="18"/>
  <c r="KB40" i="18"/>
  <c r="IF40" i="18"/>
  <c r="LF40" i="18"/>
  <c r="BT40" i="18"/>
  <c r="RL40" i="18"/>
  <c r="LR40" i="18"/>
  <c r="CR40" i="18"/>
  <c r="MV40" i="18"/>
  <c r="ET40" i="18"/>
  <c r="KH40" i="18"/>
  <c r="VD40" i="18"/>
  <c r="FF40" i="18"/>
  <c r="KZ40" i="18"/>
  <c r="QT40" i="18"/>
  <c r="BH40" i="18"/>
  <c r="FX40" i="18"/>
  <c r="KN40" i="18"/>
  <c r="QB40" i="18"/>
  <c r="UR40" i="18"/>
  <c r="JG38" i="18"/>
  <c r="E40" i="18"/>
  <c r="O40" i="18"/>
  <c r="VV40" i="18"/>
  <c r="AP40" i="18"/>
  <c r="GP40" i="18"/>
  <c r="WZ40" i="18"/>
  <c r="DV40" i="18"/>
  <c r="TH40" i="18"/>
  <c r="JV40" i="18"/>
  <c r="RR40" i="18"/>
  <c r="HB40" i="18"/>
  <c r="PV40" i="18"/>
  <c r="UX40" i="18"/>
  <c r="HZ40" i="18"/>
  <c r="LX40" i="18"/>
  <c r="WH40" i="18"/>
  <c r="DP40" i="18"/>
  <c r="IX40" i="18"/>
  <c r="NB40" i="18"/>
  <c r="SJ40" i="18"/>
  <c r="AJ40" i="18"/>
  <c r="EB40" i="18"/>
  <c r="HT40" i="18"/>
  <c r="LL40" i="18"/>
  <c r="PD40" i="18"/>
  <c r="SV40" i="18"/>
  <c r="BG38" i="18"/>
  <c r="FO38" i="18"/>
  <c r="AY38" i="18"/>
  <c r="EX38" i="18"/>
  <c r="LW38" i="18"/>
  <c r="HR38" i="18"/>
  <c r="VG38" i="18"/>
  <c r="IQ38" i="18"/>
  <c r="GS38" i="18"/>
  <c r="AN38" i="18"/>
  <c r="DO38" i="18"/>
  <c r="DC38" i="18"/>
  <c r="KR38" i="18"/>
  <c r="HF38" i="18"/>
  <c r="CC38" i="18"/>
  <c r="DH38" i="18"/>
  <c r="FW38" i="18"/>
  <c r="FI38" i="18"/>
  <c r="EF38" i="18"/>
  <c r="HW38" i="18"/>
  <c r="AU38" i="18"/>
  <c r="GN38" i="18"/>
  <c r="HA38" i="18"/>
  <c r="CU38" i="18"/>
  <c r="GH38" i="18"/>
  <c r="FC38" i="18"/>
  <c r="BQ38" i="18"/>
  <c r="ES38" i="18"/>
  <c r="KW38" i="18"/>
  <c r="BL38" i="18"/>
  <c r="DZ38" i="18"/>
  <c r="L72" i="9"/>
  <c r="L73" i="9"/>
  <c r="M70" i="9"/>
  <c r="M71" i="9"/>
  <c r="JO38" i="18"/>
  <c r="J72" i="9"/>
  <c r="J73" i="9"/>
  <c r="H75" i="9"/>
  <c r="K75" i="9" s="1"/>
  <c r="H74" i="9"/>
  <c r="K74" i="9" s="1"/>
  <c r="OU38" i="18"/>
  <c r="F75" i="5"/>
  <c r="LE38" i="18"/>
  <c r="VB38" i="18"/>
  <c r="IK38" i="18"/>
  <c r="JB38" i="18"/>
  <c r="HK38" i="18"/>
  <c r="IE38" i="18"/>
  <c r="MO38" i="18"/>
  <c r="GA38" i="18"/>
  <c r="DT38" i="18"/>
  <c r="FE38" i="18"/>
  <c r="IV38" i="18"/>
  <c r="KG38" i="18"/>
  <c r="MB38" i="18"/>
  <c r="MI38" i="18"/>
  <c r="LI38" i="18"/>
  <c r="VY38" i="18"/>
  <c r="LO38" i="18"/>
  <c r="KL38" i="18"/>
  <c r="JY38" i="18"/>
  <c r="OQ38" i="18"/>
  <c r="SY38" i="18"/>
  <c r="XD38" i="18"/>
  <c r="UQ38" i="18"/>
  <c r="RV38" i="18"/>
  <c r="SC38" i="18"/>
  <c r="UW38" i="18"/>
  <c r="SS38" i="18"/>
  <c r="JH38" i="18"/>
  <c r="JZ38" i="18"/>
  <c r="JI38" i="18"/>
  <c r="CQ38" i="18"/>
  <c r="EM38" i="18"/>
  <c r="BY38" i="18"/>
  <c r="F76" i="8"/>
  <c r="G76" i="8"/>
  <c r="F77" i="8"/>
  <c r="G77" i="8"/>
  <c r="I74" i="7"/>
  <c r="J74" i="7"/>
  <c r="I75" i="7"/>
  <c r="J75" i="7"/>
  <c r="TM38" i="18"/>
  <c r="NL38" i="18"/>
  <c r="XE38" i="18"/>
  <c r="XC38" i="18"/>
  <c r="OP38" i="18"/>
  <c r="U39" i="15"/>
  <c r="Y39" i="18" s="1"/>
  <c r="D39" i="15"/>
  <c r="E39" i="15"/>
  <c r="XI38" i="18"/>
  <c r="RC38" i="18"/>
  <c r="PS38" i="18"/>
  <c r="OO38" i="18"/>
  <c r="WK38" i="18"/>
  <c r="RQ38" i="18"/>
  <c r="OB39" i="18"/>
  <c r="ND39" i="18"/>
  <c r="WD39" i="18"/>
  <c r="OT39" i="18"/>
  <c r="HJ39" i="18"/>
  <c r="DF39" i="18"/>
  <c r="ML39" i="18"/>
  <c r="CZ39" i="18"/>
  <c r="GF39" i="18"/>
  <c r="XH39" i="18"/>
  <c r="TV39" i="18"/>
  <c r="DL39" i="18"/>
  <c r="XB39" i="18"/>
  <c r="UH39" i="18"/>
  <c r="MX39" i="18"/>
  <c r="FN39" i="18"/>
  <c r="UB39" i="18"/>
  <c r="KP39" i="18"/>
  <c r="BD39" i="18"/>
  <c r="KV39" i="18"/>
  <c r="QD39" i="18"/>
  <c r="SF39" i="18"/>
  <c r="UZ39" i="18"/>
  <c r="BJ39" i="18"/>
  <c r="ED39" i="18"/>
  <c r="FT39" i="18"/>
  <c r="RZ39" i="18"/>
  <c r="QV39" i="18"/>
  <c r="NJ39" i="18"/>
  <c r="UT39" i="18"/>
  <c r="JF39" i="18"/>
  <c r="PX39" i="18"/>
  <c r="AL39" i="18"/>
  <c r="JL39" i="18"/>
  <c r="WJ39" i="18"/>
  <c r="SL39" i="18"/>
  <c r="LB39" i="18"/>
  <c r="DR39" i="18"/>
  <c r="IN39" i="18"/>
  <c r="IB39" i="18"/>
  <c r="LT39" i="18"/>
  <c r="RB39" i="18"/>
  <c r="HV39" i="18"/>
  <c r="QP39" i="18"/>
  <c r="BV39" i="18"/>
  <c r="FH39" i="18"/>
  <c r="GR39" i="18"/>
  <c r="RT39" i="18"/>
  <c r="MR39" i="18"/>
  <c r="AR39" i="18"/>
  <c r="VL39" i="18"/>
  <c r="PN38" i="18"/>
  <c r="WX38" i="18"/>
  <c r="VO38" i="18"/>
  <c r="PC38" i="18"/>
  <c r="WE38" i="18"/>
  <c r="PY38" i="18"/>
  <c r="NQ38" i="18"/>
  <c r="NX38" i="18"/>
  <c r="OE38" i="18"/>
  <c r="MY38" i="18"/>
  <c r="TS38" i="18"/>
  <c r="TQ38" i="18"/>
  <c r="SN38" i="18"/>
  <c r="TR38" i="18"/>
  <c r="VU38" i="18"/>
  <c r="WR38" i="18"/>
  <c r="UK38" i="18"/>
  <c r="MT38" i="18"/>
  <c r="PH38" i="18"/>
  <c r="RK38" i="18"/>
  <c r="TW38" i="18"/>
  <c r="PM38" i="18"/>
  <c r="RW38" i="18"/>
  <c r="QS38" i="18"/>
  <c r="PO38" i="18"/>
  <c r="JX39" i="18"/>
  <c r="DX39" i="18"/>
  <c r="FB39" i="18"/>
  <c r="SR39" i="18"/>
  <c r="CN39" i="18"/>
  <c r="OZ39" i="18"/>
  <c r="VX39" i="18"/>
  <c r="LN39" i="18"/>
  <c r="CH39" i="18"/>
  <c r="KJ39" i="18"/>
  <c r="TD39" i="18"/>
  <c r="CB39" i="18"/>
  <c r="LH39" i="18"/>
  <c r="PF39" i="18"/>
  <c r="BP39" i="18"/>
  <c r="GX39" i="18"/>
  <c r="MF39" i="18"/>
  <c r="QJ39" i="18"/>
  <c r="VR39" i="18"/>
  <c r="CT39" i="18"/>
  <c r="GL39" i="18"/>
  <c r="KD39" i="18"/>
  <c r="NV39" i="18"/>
  <c r="RN39" i="18"/>
  <c r="VF39" i="18"/>
  <c r="RU38" i="18"/>
  <c r="OK38" i="18"/>
  <c r="QL38" i="18"/>
  <c r="ON39" i="18"/>
  <c r="IT39" i="18"/>
  <c r="HD39" i="18"/>
  <c r="WP39" i="18"/>
  <c r="EJ39" i="18"/>
  <c r="SX39" i="18"/>
  <c r="HP39" i="18"/>
  <c r="RH39" i="18"/>
  <c r="FZ39" i="18"/>
  <c r="PL39" i="18"/>
  <c r="UN39" i="18"/>
  <c r="JR39" i="18"/>
  <c r="NP39" i="18"/>
  <c r="WV39" i="18"/>
  <c r="EV39" i="18"/>
  <c r="IZ39" i="18"/>
  <c r="OH39" i="18"/>
  <c r="TP39" i="18"/>
  <c r="AX39" i="18"/>
  <c r="EP39" i="18"/>
  <c r="IH39" i="18"/>
  <c r="LZ39" i="18"/>
  <c r="PR39" i="18"/>
  <c r="TJ39" i="18"/>
  <c r="PG38" i="18"/>
  <c r="TF38" i="18"/>
  <c r="UD38" i="18"/>
  <c r="PI38" i="18"/>
  <c r="NE38" i="18"/>
  <c r="QX38" i="18"/>
  <c r="QE38" i="18"/>
  <c r="I74" i="5"/>
  <c r="J74" i="5" s="1"/>
  <c r="I77" i="5"/>
  <c r="J77" i="5" s="1"/>
  <c r="RG39" i="18"/>
  <c r="H74" i="1"/>
  <c r="I74" i="1" s="1"/>
  <c r="DW39" i="18"/>
  <c r="H75" i="1"/>
  <c r="I75" i="1" s="1"/>
  <c r="PQ39" i="18"/>
  <c r="HG38" i="18"/>
  <c r="FD38" i="18"/>
  <c r="BW38" i="18"/>
  <c r="AO38" i="18"/>
  <c r="AM38" i="18"/>
  <c r="RP38" i="18"/>
  <c r="CV38" i="18"/>
  <c r="UI38" i="18"/>
  <c r="UJ38" i="18"/>
  <c r="WL38" i="18"/>
  <c r="OW38" i="18"/>
  <c r="CO38" i="18"/>
  <c r="BX38" i="18"/>
  <c r="UP38" i="18"/>
  <c r="WM38" i="18"/>
  <c r="DM38" i="18"/>
  <c r="DA38" i="18"/>
  <c r="KS38" i="18"/>
  <c r="PB38" i="18"/>
  <c r="KQ38" i="18"/>
  <c r="MC38" i="18"/>
  <c r="VS38" i="18"/>
  <c r="TA38" i="18"/>
  <c r="MA38" i="18"/>
  <c r="AZ38" i="18"/>
  <c r="BR38" i="18"/>
  <c r="BS38" i="18"/>
  <c r="GY38" i="18"/>
  <c r="IW38" i="18"/>
  <c r="GM38" i="18"/>
  <c r="KE38" i="18"/>
  <c r="GZ38" i="18"/>
  <c r="BA38" i="18"/>
  <c r="HY38" i="18"/>
  <c r="EE38" i="18"/>
  <c r="BK38" i="18"/>
  <c r="NM38" i="18"/>
  <c r="FJ38" i="18"/>
  <c r="EQ38" i="18"/>
  <c r="UV38" i="18"/>
  <c r="DU38" i="18"/>
  <c r="JM38" i="18"/>
  <c r="OI38" i="18"/>
  <c r="QY38" i="18"/>
  <c r="HM38" i="18"/>
  <c r="ID38" i="18"/>
  <c r="MZ38" i="18"/>
  <c r="HL38" i="18"/>
  <c r="NF38" i="18"/>
  <c r="IU38" i="18"/>
  <c r="IC38" i="18"/>
  <c r="KA38" i="18"/>
  <c r="SA38" i="18"/>
  <c r="KX38" i="18"/>
  <c r="GB38" i="18"/>
  <c r="FK38" i="18"/>
  <c r="NK38" i="18"/>
  <c r="BF38" i="18"/>
  <c r="BM38" i="18"/>
  <c r="KY38" i="18"/>
  <c r="JN38" i="18"/>
  <c r="KF38" i="18"/>
  <c r="CI38" i="18"/>
  <c r="JC38" i="18"/>
  <c r="RJ38" i="18"/>
  <c r="CD38" i="18"/>
  <c r="CK38" i="18"/>
  <c r="NR38" i="18"/>
  <c r="ER38" i="18"/>
  <c r="OJ38" i="18"/>
  <c r="WG38" i="18"/>
  <c r="CE38" i="18"/>
  <c r="JS38" i="18"/>
  <c r="QA38" i="18"/>
  <c r="DG38" i="18"/>
  <c r="WA38" i="18"/>
  <c r="SU38" i="18"/>
  <c r="FP38" i="18"/>
  <c r="FU38" i="18"/>
  <c r="NA38" i="18"/>
  <c r="FQ38" i="18"/>
  <c r="JT38" i="18"/>
  <c r="TL38" i="18"/>
  <c r="MM38" i="18"/>
  <c r="DI38" i="18"/>
  <c r="VA38" i="18"/>
  <c r="WF38" i="18"/>
  <c r="BE38" i="18"/>
  <c r="QW38" i="18"/>
  <c r="GC38" i="18"/>
  <c r="SB38" i="18"/>
  <c r="FV38" i="18"/>
  <c r="NG38" i="18"/>
  <c r="ST38" i="18"/>
  <c r="EG38" i="18"/>
  <c r="SM38" i="18"/>
  <c r="EY38" i="18"/>
  <c r="AT38" i="18"/>
  <c r="KM38" i="18"/>
  <c r="HQ38" i="18"/>
  <c r="EA38" i="18"/>
  <c r="GO38" i="18"/>
  <c r="XJ38" i="18"/>
  <c r="EW38" i="18"/>
  <c r="QM38" i="18"/>
  <c r="KK38" i="18"/>
  <c r="QF38" i="18"/>
  <c r="DY38" i="18"/>
  <c r="HX38" i="18"/>
  <c r="XK38" i="18"/>
  <c r="GU38" i="18"/>
  <c r="QQ38" i="18"/>
  <c r="RE38" i="18"/>
  <c r="IP38" i="18"/>
  <c r="DS38" i="18"/>
  <c r="UO38" i="18"/>
  <c r="QR38" i="18"/>
  <c r="GT38" i="18"/>
  <c r="QK38" i="18"/>
  <c r="IO38" i="18"/>
  <c r="AS38" i="18"/>
  <c r="VH38" i="18"/>
  <c r="HS38" i="18"/>
  <c r="RD38" i="18"/>
  <c r="LU38" i="18"/>
  <c r="LP38" i="18"/>
  <c r="PT38" i="18"/>
  <c r="OC38" i="18"/>
  <c r="LD38" i="18"/>
  <c r="SI38" i="18"/>
  <c r="TY38" i="18"/>
  <c r="LJ38" i="18"/>
  <c r="RI38" i="18"/>
  <c r="MS38" i="18"/>
  <c r="LK38" i="18"/>
  <c r="NW38" i="18"/>
  <c r="VZ38" i="18"/>
  <c r="MU38" i="18"/>
  <c r="PZ38" i="18"/>
  <c r="LC38" i="18"/>
  <c r="MN38" i="18"/>
  <c r="UE38" i="18"/>
  <c r="MH38" i="18"/>
  <c r="TK38" i="18"/>
  <c r="UC38" i="18"/>
  <c r="VC38" i="18"/>
  <c r="OD38" i="18"/>
  <c r="UU38" i="18"/>
  <c r="SH38" i="18"/>
  <c r="TE38" i="18"/>
  <c r="NY38" i="18"/>
  <c r="TG38" i="18"/>
  <c r="TX38" i="18"/>
  <c r="MG38" i="18"/>
  <c r="PU38" i="18"/>
  <c r="LV38" i="18"/>
  <c r="VI38" i="18"/>
  <c r="LQ38" i="18"/>
  <c r="QG38" i="18"/>
  <c r="SO38" i="18"/>
  <c r="WW38" i="18"/>
  <c r="EK38" i="18"/>
  <c r="SZ38" i="18"/>
  <c r="RO38" i="18"/>
  <c r="HE38" i="18"/>
  <c r="DN38" i="18"/>
  <c r="OV38" i="18"/>
  <c r="GG38" i="18"/>
  <c r="CP38" i="18"/>
  <c r="DB38" i="18"/>
  <c r="VT38" i="18"/>
  <c r="VM38" i="18"/>
  <c r="VN38" i="18"/>
  <c r="WS38" i="18"/>
  <c r="PA38" i="18"/>
  <c r="II38" i="18"/>
  <c r="WQ38" i="18"/>
  <c r="GI38" i="18"/>
  <c r="CW38" i="18"/>
  <c r="WY38" i="18"/>
  <c r="NS38" i="18"/>
  <c r="IJ38" i="18"/>
  <c r="EL38" i="18"/>
  <c r="JA38" i="18"/>
  <c r="T39" i="15"/>
  <c r="B77" i="1"/>
  <c r="B77" i="9"/>
  <c r="B77" i="7"/>
  <c r="AD74" i="5"/>
  <c r="AE74" i="5" s="1"/>
  <c r="AI74" i="5" s="1"/>
  <c r="AJ72" i="5"/>
  <c r="AL72" i="5" s="1"/>
  <c r="F72" i="5"/>
  <c r="AL70" i="5"/>
  <c r="B79" i="5"/>
  <c r="R77" i="5"/>
  <c r="AG77" i="5" s="1"/>
  <c r="AE77" i="5"/>
  <c r="K77" i="5"/>
  <c r="B76" i="5"/>
  <c r="R74" i="5"/>
  <c r="AG74" i="5" s="1"/>
  <c r="K74" i="5"/>
  <c r="S102" i="14"/>
  <c r="U102" i="14"/>
  <c r="T102" i="14"/>
  <c r="Q101" i="14"/>
  <c r="B105" i="14"/>
  <c r="R101" i="14"/>
  <c r="B76" i="1"/>
  <c r="N74" i="1"/>
  <c r="B40" i="15"/>
  <c r="B76" i="7"/>
  <c r="B76" i="9"/>
  <c r="B79" i="8"/>
  <c r="BQ73" i="1"/>
  <c r="BP73" i="1"/>
  <c r="X73" i="7" s="1"/>
  <c r="O72" i="1"/>
  <c r="O73" i="1"/>
  <c r="B78" i="8"/>
  <c r="R67" i="8" l="1"/>
  <c r="OS39" i="18"/>
  <c r="OU39" i="18" s="1"/>
  <c r="IY39" i="18"/>
  <c r="PE39" i="18"/>
  <c r="SQ39" i="18"/>
  <c r="ST39" i="18" s="1"/>
  <c r="LY39" i="18"/>
  <c r="MC39" i="18" s="1"/>
  <c r="DK39" i="18"/>
  <c r="RY39" i="18"/>
  <c r="ME39" i="18"/>
  <c r="MG39" i="18" s="1"/>
  <c r="LM39" i="18"/>
  <c r="LO39" i="18" s="1"/>
  <c r="HO39" i="18"/>
  <c r="IG39" i="18"/>
  <c r="JQ39" i="18"/>
  <c r="JS39" i="18" s="1"/>
  <c r="KC39" i="18"/>
  <c r="KE39" i="18" s="1"/>
  <c r="CY39" i="18"/>
  <c r="PW39" i="18"/>
  <c r="QA39" i="18" s="1"/>
  <c r="IA39" i="18"/>
  <c r="IE39" i="18" s="1"/>
  <c r="LG39" i="18"/>
  <c r="LJ39" i="18" s="1"/>
  <c r="TO39" i="18"/>
  <c r="HC39" i="18"/>
  <c r="HE39" i="18" s="1"/>
  <c r="UY39" i="18"/>
  <c r="VC39" i="18" s="1"/>
  <c r="OG39" i="18"/>
  <c r="OJ39" i="18" s="1"/>
  <c r="T35" i="18"/>
  <c r="UA40" i="18"/>
  <c r="PQ40" i="18"/>
  <c r="TU40" i="18"/>
  <c r="UY40" i="18"/>
  <c r="GE40" i="18"/>
  <c r="ME40" i="18"/>
  <c r="MK40" i="18"/>
  <c r="EC40" i="18"/>
  <c r="GQ40" i="18"/>
  <c r="RS40" i="18"/>
  <c r="RM40" i="18"/>
  <c r="UG40" i="18"/>
  <c r="RG40" i="18"/>
  <c r="CM40" i="18"/>
  <c r="GW40" i="18"/>
  <c r="CA40" i="18"/>
  <c r="UM40" i="18"/>
  <c r="QC40" i="18"/>
  <c r="NO40" i="18"/>
  <c r="VQ40" i="18"/>
  <c r="CS40" i="18"/>
  <c r="WI40" i="18"/>
  <c r="FA40" i="18"/>
  <c r="HI40" i="18"/>
  <c r="JW40" i="18"/>
  <c r="LM40" i="18"/>
  <c r="G40" i="18"/>
  <c r="UH40" i="18" s="1"/>
  <c r="TC39" i="18"/>
  <c r="EI39" i="18"/>
  <c r="EM39" i="18" s="1"/>
  <c r="JK39" i="18"/>
  <c r="JM39" i="18" s="1"/>
  <c r="IS39" i="18"/>
  <c r="IV39" i="18" s="1"/>
  <c r="UG39" i="18"/>
  <c r="UI39" i="18" s="1"/>
  <c r="TU39" i="18"/>
  <c r="UA39" i="18"/>
  <c r="UD39" i="18" s="1"/>
  <c r="FG39" i="18"/>
  <c r="FK39" i="18" s="1"/>
  <c r="LA39" i="18"/>
  <c r="JE39" i="18"/>
  <c r="JG39" i="18" s="1"/>
  <c r="AW39" i="18"/>
  <c r="BA39" i="18" s="1"/>
  <c r="VQ39" i="18"/>
  <c r="VU39" i="18" s="1"/>
  <c r="RM39" i="18"/>
  <c r="RO39" i="18" s="1"/>
  <c r="WO39" i="18"/>
  <c r="WS39" i="18" s="1"/>
  <c r="DE39" i="18"/>
  <c r="DI39" i="18" s="1"/>
  <c r="CG39" i="18"/>
  <c r="CI39" i="18" s="1"/>
  <c r="NO39" i="18"/>
  <c r="CA39" i="18"/>
  <c r="CD39" i="18" s="1"/>
  <c r="CS39" i="18"/>
  <c r="CU39" i="18" s="1"/>
  <c r="SK39" i="18"/>
  <c r="SO39" i="18" s="1"/>
  <c r="OA39" i="18"/>
  <c r="OE39" i="18" s="1"/>
  <c r="BC39" i="18"/>
  <c r="BE39" i="18" s="1"/>
  <c r="CM39" i="18"/>
  <c r="CO39" i="18" s="1"/>
  <c r="HI39" i="18"/>
  <c r="HM39" i="18" s="1"/>
  <c r="XG39" i="18"/>
  <c r="XI39" i="18" s="1"/>
  <c r="PK39" i="18"/>
  <c r="PN39" i="18" s="1"/>
  <c r="AQ39" i="18"/>
  <c r="AT39" i="18" s="1"/>
  <c r="EC39" i="18"/>
  <c r="EE39" i="18" s="1"/>
  <c r="EU39" i="18"/>
  <c r="IM39" i="18"/>
  <c r="IQ39" i="18" s="1"/>
  <c r="MW39" i="18"/>
  <c r="NA39" i="18" s="1"/>
  <c r="QI39" i="18"/>
  <c r="QK39" i="18" s="1"/>
  <c r="BO39" i="18"/>
  <c r="BR39" i="18" s="1"/>
  <c r="FS39" i="18"/>
  <c r="FV39" i="18" s="1"/>
  <c r="FY39" i="18"/>
  <c r="GB39" i="18" s="1"/>
  <c r="KO39" i="18"/>
  <c r="KQ39" i="18" s="1"/>
  <c r="NU39" i="18"/>
  <c r="NX39" i="18" s="1"/>
  <c r="VW39" i="18"/>
  <c r="WA39" i="18" s="1"/>
  <c r="NC39" i="18"/>
  <c r="NF39" i="18" s="1"/>
  <c r="EO39" i="18"/>
  <c r="ER39" i="18" s="1"/>
  <c r="GW39" i="18"/>
  <c r="GE39" i="18"/>
  <c r="GG39" i="18" s="1"/>
  <c r="KI39" i="18"/>
  <c r="KL39" i="18" s="1"/>
  <c r="FM39" i="18"/>
  <c r="FO39" i="18" s="1"/>
  <c r="SE39" i="18"/>
  <c r="SG39" i="18" s="1"/>
  <c r="HU39" i="18"/>
  <c r="HX39" i="18" s="1"/>
  <c r="TI39" i="18"/>
  <c r="TK39" i="18" s="1"/>
  <c r="JW39" i="18"/>
  <c r="JY39" i="18" s="1"/>
  <c r="GK39" i="18"/>
  <c r="GN39" i="18" s="1"/>
  <c r="MK39" i="18"/>
  <c r="MN39" i="18" s="1"/>
  <c r="QU39" i="18"/>
  <c r="QY39" i="18" s="1"/>
  <c r="LS39" i="18"/>
  <c r="LV39" i="18" s="1"/>
  <c r="SW39" i="18"/>
  <c r="WI39" i="18"/>
  <c r="WM39" i="18" s="1"/>
  <c r="RA39" i="18"/>
  <c r="RE39" i="18" s="1"/>
  <c r="XA39" i="18"/>
  <c r="XC39" i="18" s="1"/>
  <c r="FA39" i="18"/>
  <c r="FE39" i="18" s="1"/>
  <c r="MQ39" i="18"/>
  <c r="MS39" i="18" s="1"/>
  <c r="UM39" i="18"/>
  <c r="UP39" i="18" s="1"/>
  <c r="AK39" i="18"/>
  <c r="AO39" i="18" s="1"/>
  <c r="RS39" i="18"/>
  <c r="RW39" i="18" s="1"/>
  <c r="BU39" i="18"/>
  <c r="BW39" i="18" s="1"/>
  <c r="QO39" i="18"/>
  <c r="QQ39" i="18" s="1"/>
  <c r="OM39" i="18"/>
  <c r="OO39" i="18" s="1"/>
  <c r="DQ39" i="18"/>
  <c r="GQ39" i="18"/>
  <c r="GT39" i="18" s="1"/>
  <c r="WC39" i="18"/>
  <c r="WG39" i="18" s="1"/>
  <c r="VK39" i="18"/>
  <c r="VN39" i="18" s="1"/>
  <c r="BI39" i="18"/>
  <c r="BM39" i="18" s="1"/>
  <c r="KU39" i="18"/>
  <c r="KX39" i="18" s="1"/>
  <c r="VE39" i="18"/>
  <c r="VH39" i="18" s="1"/>
  <c r="QC39" i="18"/>
  <c r="QE39" i="18" s="1"/>
  <c r="US39" i="18"/>
  <c r="OY39" i="18"/>
  <c r="PA39" i="18" s="1"/>
  <c r="NI39" i="18"/>
  <c r="NM39" i="18" s="1"/>
  <c r="P37" i="18"/>
  <c r="S36" i="18" s="1"/>
  <c r="R37" i="18"/>
  <c r="Q37" i="18"/>
  <c r="LA40" i="18"/>
  <c r="BI40" i="18"/>
  <c r="IG40" i="18"/>
  <c r="RA40" i="18"/>
  <c r="HO40" i="18"/>
  <c r="WC40" i="18"/>
  <c r="FY40" i="18"/>
  <c r="VK40" i="18"/>
  <c r="FM40" i="18"/>
  <c r="OY40" i="18"/>
  <c r="XA40" i="18"/>
  <c r="DQ40" i="18"/>
  <c r="MW40" i="18"/>
  <c r="QU40" i="18"/>
  <c r="DE40" i="18"/>
  <c r="IM40" i="18"/>
  <c r="NU40" i="18"/>
  <c r="RY40" i="18"/>
  <c r="XG40" i="18"/>
  <c r="DK40" i="18"/>
  <c r="HC40" i="18"/>
  <c r="KU40" i="18"/>
  <c r="OM40" i="18"/>
  <c r="SE40" i="18"/>
  <c r="VW40" i="18"/>
  <c r="SW40" i="18"/>
  <c r="NC40" i="18"/>
  <c r="JK40" i="18"/>
  <c r="EO40" i="18"/>
  <c r="IS40" i="18"/>
  <c r="CY40" i="18"/>
  <c r="OS40" i="18"/>
  <c r="WO40" i="18"/>
  <c r="HU40" i="18"/>
  <c r="SQ40" i="18"/>
  <c r="AK40" i="18"/>
  <c r="JQ40" i="18"/>
  <c r="OA40" i="18"/>
  <c r="SK40" i="18"/>
  <c r="EU40" i="18"/>
  <c r="KC40" i="18"/>
  <c r="OG40" i="18"/>
  <c r="TO40" i="18"/>
  <c r="AQ40" i="18"/>
  <c r="EI40" i="18"/>
  <c r="IA40" i="18"/>
  <c r="LS40" i="18"/>
  <c r="PK40" i="18"/>
  <c r="TC40" i="18"/>
  <c r="WU40" i="18"/>
  <c r="CG40" i="18"/>
  <c r="LY40" i="18"/>
  <c r="US40" i="18"/>
  <c r="KI40" i="18"/>
  <c r="FS40" i="18"/>
  <c r="NI40" i="18"/>
  <c r="DW40" i="18"/>
  <c r="QO40" i="18"/>
  <c r="BU40" i="18"/>
  <c r="JE40" i="18"/>
  <c r="TI40" i="18"/>
  <c r="AW40" i="18"/>
  <c r="LG40" i="18"/>
  <c r="PE40" i="18"/>
  <c r="BC40" i="18"/>
  <c r="GK40" i="18"/>
  <c r="KO40" i="18"/>
  <c r="PW40" i="18"/>
  <c r="VE40" i="18"/>
  <c r="BO40" i="18"/>
  <c r="FG40" i="18"/>
  <c r="IY40" i="18"/>
  <c r="MQ40" i="18"/>
  <c r="QI40" i="18"/>
  <c r="UR41" i="18"/>
  <c r="WX39" i="18"/>
  <c r="Q75" i="5"/>
  <c r="U75" i="5" s="1"/>
  <c r="Q72" i="5"/>
  <c r="U72" i="5" s="1"/>
  <c r="D41" i="18"/>
  <c r="I75" i="9"/>
  <c r="GA39" i="18"/>
  <c r="B83" i="19"/>
  <c r="G83" i="19" s="1"/>
  <c r="F81" i="19"/>
  <c r="SD41" i="18"/>
  <c r="JJ41" i="18"/>
  <c r="TB41" i="18"/>
  <c r="JV41" i="18"/>
  <c r="LF41" i="18"/>
  <c r="DD41" i="18"/>
  <c r="JD41" i="18"/>
  <c r="TZ41" i="18"/>
  <c r="KN41" i="18"/>
  <c r="O41" i="18"/>
  <c r="UX41" i="18"/>
  <c r="IL41" i="18"/>
  <c r="RX41" i="18"/>
  <c r="B42" i="18"/>
  <c r="BT41" i="18"/>
  <c r="KT41" i="18"/>
  <c r="BN41" i="18"/>
  <c r="MV41" i="18"/>
  <c r="AP41" i="18"/>
  <c r="TN41" i="18"/>
  <c r="EB41" i="18"/>
  <c r="LL41" i="18"/>
  <c r="SV41" i="18"/>
  <c r="NB41" i="18"/>
  <c r="UL41" i="18"/>
  <c r="KB41" i="18"/>
  <c r="HN41" i="18"/>
  <c r="MP41" i="18"/>
  <c r="WZ41" i="18"/>
  <c r="RR41" i="18"/>
  <c r="HH41" i="18"/>
  <c r="BZ41" i="18"/>
  <c r="PP41" i="18"/>
  <c r="EH41" i="18"/>
  <c r="NT41" i="18"/>
  <c r="XF41" i="18"/>
  <c r="GV41" i="18"/>
  <c r="OF41" i="18"/>
  <c r="VP41" i="18"/>
  <c r="EN41" i="18"/>
  <c r="NN41" i="18"/>
  <c r="GD41" i="18"/>
  <c r="WB41" i="18"/>
  <c r="KH41" i="18"/>
  <c r="CL41" i="18"/>
  <c r="QT41" i="18"/>
  <c r="ET41" i="18"/>
  <c r="PJ41" i="18"/>
  <c r="AJ41" i="18"/>
  <c r="HT41" i="18"/>
  <c r="PD41" i="18"/>
  <c r="WN41" i="18"/>
  <c r="CH40" i="18"/>
  <c r="GL40" i="18"/>
  <c r="NV40" i="18"/>
  <c r="KJ40" i="18"/>
  <c r="IT40" i="18"/>
  <c r="FQ39" i="18"/>
  <c r="RH40" i="18"/>
  <c r="RK40" i="18" s="1"/>
  <c r="LE39" i="18"/>
  <c r="E41" i="18"/>
  <c r="G41" i="18" s="1"/>
  <c r="I74" i="9"/>
  <c r="TH41" i="18"/>
  <c r="WH41" i="18"/>
  <c r="DV41" i="18"/>
  <c r="VJ41" i="18"/>
  <c r="LX41" i="18"/>
  <c r="HB41" i="18"/>
  <c r="OX41" i="18"/>
  <c r="QN41" i="18"/>
  <c r="CX41" i="18"/>
  <c r="KZ41" i="18"/>
  <c r="VV41" i="18"/>
  <c r="DP41" i="18"/>
  <c r="NZ41" i="18"/>
  <c r="RF41" i="18"/>
  <c r="BB41" i="18"/>
  <c r="GJ41" i="18"/>
  <c r="LR41" i="18"/>
  <c r="PV41" i="18"/>
  <c r="VD41" i="18"/>
  <c r="BH41" i="18"/>
  <c r="EZ41" i="18"/>
  <c r="IR41" i="18"/>
  <c r="MJ41" i="18"/>
  <c r="QB41" i="18"/>
  <c r="TT41" i="18"/>
  <c r="HD40" i="18"/>
  <c r="JX40" i="18"/>
  <c r="KA40" i="18" s="1"/>
  <c r="LT40" i="18"/>
  <c r="VF40" i="18"/>
  <c r="N41" i="18"/>
  <c r="DJ41" i="18"/>
  <c r="FL41" i="18"/>
  <c r="FR41" i="18"/>
  <c r="IX41" i="18"/>
  <c r="SP41" i="18"/>
  <c r="IF41" i="18"/>
  <c r="QH41" i="18"/>
  <c r="UF41" i="18"/>
  <c r="GP41" i="18"/>
  <c r="OR41" i="18"/>
  <c r="AV41" i="18"/>
  <c r="FF41" i="18"/>
  <c r="OL41" i="18"/>
  <c r="SJ41" i="18"/>
  <c r="CR41" i="18"/>
  <c r="HZ41" i="18"/>
  <c r="MD41" i="18"/>
  <c r="RL41" i="18"/>
  <c r="WT41" i="18"/>
  <c r="CF41" i="18"/>
  <c r="FX41" i="18"/>
  <c r="JP41" i="18"/>
  <c r="NH41" i="18"/>
  <c r="QZ41" i="18"/>
  <c r="MF40" i="18"/>
  <c r="CZ40" i="18"/>
  <c r="WJ40" i="18"/>
  <c r="WP40" i="18"/>
  <c r="LN40" i="18"/>
  <c r="KV40" i="18"/>
  <c r="KP40" i="18"/>
  <c r="ED40" i="18"/>
  <c r="RT40" i="18"/>
  <c r="DX40" i="18"/>
  <c r="NJ40" i="18"/>
  <c r="WV40" i="18"/>
  <c r="HJ40" i="18"/>
  <c r="HL40" i="18" s="1"/>
  <c r="OT40" i="18"/>
  <c r="WD40" i="18"/>
  <c r="ND40" i="18"/>
  <c r="IZ40" i="18"/>
  <c r="TV40" i="18"/>
  <c r="SF40" i="18"/>
  <c r="AL40" i="18"/>
  <c r="RZ40" i="18"/>
  <c r="GX40" i="18"/>
  <c r="UN40" i="18"/>
  <c r="UQ40" i="18" s="1"/>
  <c r="HP40" i="18"/>
  <c r="RB40" i="18"/>
  <c r="CT40" i="18"/>
  <c r="KD40" i="18"/>
  <c r="RN40" i="18"/>
  <c r="QV40" i="18"/>
  <c r="UZ40" i="18"/>
  <c r="VC40" i="18" s="1"/>
  <c r="CB40" i="18"/>
  <c r="CE40" i="18" s="1"/>
  <c r="BD40" i="18"/>
  <c r="VL40" i="18"/>
  <c r="IN40" i="18"/>
  <c r="VR40" i="18"/>
  <c r="VT40" i="18" s="1"/>
  <c r="IB40" i="18"/>
  <c r="SR40" i="18"/>
  <c r="DR40" i="18"/>
  <c r="LB40" i="18"/>
  <c r="SL40" i="18"/>
  <c r="PX40" i="18"/>
  <c r="BP40" i="18"/>
  <c r="OB40" i="18"/>
  <c r="VX40" i="18"/>
  <c r="ML40" i="18"/>
  <c r="GR40" i="18"/>
  <c r="MR40" i="18"/>
  <c r="EV40" i="18"/>
  <c r="NP40" i="18"/>
  <c r="BJ40" i="18"/>
  <c r="FH40" i="18"/>
  <c r="ON40" i="18"/>
  <c r="SX40" i="18"/>
  <c r="XH40" i="18"/>
  <c r="EJ40" i="18"/>
  <c r="JR40" i="18"/>
  <c r="OZ40" i="18"/>
  <c r="TD40" i="18"/>
  <c r="AX40" i="18"/>
  <c r="EP40" i="18"/>
  <c r="IH40" i="18"/>
  <c r="LZ40" i="18"/>
  <c r="PR40" i="18"/>
  <c r="TJ40" i="18"/>
  <c r="XB40" i="18"/>
  <c r="DF40" i="18"/>
  <c r="FB40" i="18"/>
  <c r="DL40" i="18"/>
  <c r="PF40" i="18"/>
  <c r="JL40" i="18"/>
  <c r="QJ40" i="18"/>
  <c r="HV40" i="18"/>
  <c r="TP40" i="18"/>
  <c r="GF40" i="18"/>
  <c r="OH40" i="18"/>
  <c r="CN40" i="18"/>
  <c r="FT40" i="18"/>
  <c r="QD40" i="18"/>
  <c r="UB40" i="18"/>
  <c r="UC40" i="18" s="1"/>
  <c r="AR40" i="18"/>
  <c r="FZ40" i="18"/>
  <c r="LH40" i="18"/>
  <c r="PL40" i="18"/>
  <c r="UT40" i="18"/>
  <c r="BV40" i="18"/>
  <c r="FN40" i="18"/>
  <c r="JF40" i="18"/>
  <c r="MX40" i="18"/>
  <c r="QP40" i="18"/>
  <c r="HQ39" i="18"/>
  <c r="CE39" i="18"/>
  <c r="BL39" i="18"/>
  <c r="DC39" i="18"/>
  <c r="DB39" i="18"/>
  <c r="L74" i="9"/>
  <c r="L75" i="9"/>
  <c r="M72" i="9"/>
  <c r="M73" i="9"/>
  <c r="HS39" i="18"/>
  <c r="IP39" i="18"/>
  <c r="J75" i="9"/>
  <c r="J74" i="9"/>
  <c r="H76" i="9"/>
  <c r="K76" i="9" s="1"/>
  <c r="H77" i="9"/>
  <c r="K77" i="9" s="1"/>
  <c r="F77" i="5"/>
  <c r="JB39" i="18"/>
  <c r="EA39" i="18"/>
  <c r="GY39" i="18"/>
  <c r="EW39" i="18"/>
  <c r="DS39" i="18"/>
  <c r="HA39" i="18"/>
  <c r="DN39" i="18"/>
  <c r="IJ39" i="18"/>
  <c r="DA39" i="18"/>
  <c r="DO39" i="18"/>
  <c r="KY39" i="18"/>
  <c r="PS39" i="18"/>
  <c r="OC39" i="18"/>
  <c r="SB39" i="18"/>
  <c r="GI39" i="18"/>
  <c r="DY39" i="18"/>
  <c r="F78" i="8"/>
  <c r="G78" i="8"/>
  <c r="F79" i="8"/>
  <c r="G79" i="8"/>
  <c r="J76" i="7"/>
  <c r="I76" i="7"/>
  <c r="I77" i="7"/>
  <c r="J77" i="7"/>
  <c r="U40" i="15"/>
  <c r="Y40" i="18" s="1"/>
  <c r="E40" i="15"/>
  <c r="D40" i="15"/>
  <c r="SC39" i="18"/>
  <c r="TY39" i="18"/>
  <c r="UJ39" i="18"/>
  <c r="SH39" i="18"/>
  <c r="PZ39" i="18"/>
  <c r="XK39" i="18"/>
  <c r="UU39" i="18"/>
  <c r="WY39" i="18"/>
  <c r="WW39" i="18"/>
  <c r="TE39" i="18"/>
  <c r="NR39" i="18"/>
  <c r="NQ39" i="18"/>
  <c r="PO39" i="18"/>
  <c r="TA39" i="18"/>
  <c r="PH39" i="18"/>
  <c r="TR39" i="18"/>
  <c r="RI39" i="18"/>
  <c r="RQ39" i="18"/>
  <c r="TF39" i="18"/>
  <c r="PG39" i="18"/>
  <c r="XJ39" i="18"/>
  <c r="TX39" i="18"/>
  <c r="NS39" i="18"/>
  <c r="RP39" i="18"/>
  <c r="TW39" i="18"/>
  <c r="LC39" i="18"/>
  <c r="UK39" i="18"/>
  <c r="TG39" i="18"/>
  <c r="DM39" i="18"/>
  <c r="I76" i="5"/>
  <c r="J76" i="5" s="1"/>
  <c r="I79" i="5"/>
  <c r="J79" i="5" s="1"/>
  <c r="MM39" i="18"/>
  <c r="GZ39" i="18"/>
  <c r="GO39" i="18"/>
  <c r="VZ39" i="18"/>
  <c r="EQ39" i="18"/>
  <c r="DZ39" i="18"/>
  <c r="RK39" i="18"/>
  <c r="PY39" i="18"/>
  <c r="II39" i="18"/>
  <c r="QG39" i="18"/>
  <c r="HR39" i="18"/>
  <c r="JC39" i="18"/>
  <c r="RJ39" i="18"/>
  <c r="RU39" i="18"/>
  <c r="DU39" i="18"/>
  <c r="BY39" i="18"/>
  <c r="UW39" i="18"/>
  <c r="WK39" i="18"/>
  <c r="UV39" i="18"/>
  <c r="DT39" i="18"/>
  <c r="H77" i="1"/>
  <c r="I77" i="1" s="1"/>
  <c r="HG39" i="18"/>
  <c r="TS39" i="18"/>
  <c r="PT39" i="18"/>
  <c r="PI39" i="18"/>
  <c r="BK39" i="18"/>
  <c r="HF39" i="18"/>
  <c r="PU39" i="18"/>
  <c r="H76" i="1"/>
  <c r="I76" i="1" s="1"/>
  <c r="SI39" i="18"/>
  <c r="IK39" i="18"/>
  <c r="JA39" i="18"/>
  <c r="TQ39" i="18"/>
  <c r="RV39" i="18"/>
  <c r="SZ39" i="18"/>
  <c r="SA39" i="18"/>
  <c r="SY39" i="18"/>
  <c r="LD39" i="18"/>
  <c r="EY39" i="18"/>
  <c r="EX39" i="18"/>
  <c r="NY39" i="18"/>
  <c r="PM39" i="18"/>
  <c r="NW39" i="18"/>
  <c r="P38" i="18"/>
  <c r="Q38" i="18"/>
  <c r="R38" i="18"/>
  <c r="T40" i="15"/>
  <c r="B79" i="7"/>
  <c r="B79" i="1"/>
  <c r="B79" i="9"/>
  <c r="AD76" i="5"/>
  <c r="AE76" i="5" s="1"/>
  <c r="AI76" i="5" s="1"/>
  <c r="F74" i="5"/>
  <c r="B81" i="5"/>
  <c r="R79" i="5"/>
  <c r="AG79" i="5" s="1"/>
  <c r="K79" i="5"/>
  <c r="AE79" i="5"/>
  <c r="B78" i="5"/>
  <c r="R76" i="5"/>
  <c r="AG76" i="5" s="1"/>
  <c r="K76" i="5"/>
  <c r="AJ74" i="5"/>
  <c r="B106" i="14"/>
  <c r="U103" i="14"/>
  <c r="T103" i="14"/>
  <c r="S103" i="14"/>
  <c r="Q102" i="14"/>
  <c r="R102" i="14"/>
  <c r="BQ75" i="1"/>
  <c r="O75" i="1"/>
  <c r="BP75" i="1"/>
  <c r="X75" i="7" s="1"/>
  <c r="O74" i="1"/>
  <c r="B81" i="8"/>
  <c r="B78" i="7"/>
  <c r="B78" i="1"/>
  <c r="N76" i="1"/>
  <c r="B80" i="8"/>
  <c r="B78" i="9"/>
  <c r="B41" i="15"/>
  <c r="GN40" i="18" l="1"/>
  <c r="BS39" i="18"/>
  <c r="BQ39" i="18"/>
  <c r="FD39" i="18"/>
  <c r="PB39" i="18"/>
  <c r="FC39" i="18"/>
  <c r="GM39" i="18"/>
  <c r="OD39" i="18"/>
  <c r="CC39" i="18"/>
  <c r="EF40" i="18"/>
  <c r="AM39" i="18"/>
  <c r="KF39" i="18"/>
  <c r="R69" i="8"/>
  <c r="FW39" i="18"/>
  <c r="GH39" i="18"/>
  <c r="WR39" i="18"/>
  <c r="WQ39" i="18"/>
  <c r="MT39" i="18"/>
  <c r="WL39" i="18"/>
  <c r="HW39" i="18"/>
  <c r="GS39" i="18"/>
  <c r="MU39" i="18"/>
  <c r="EK39" i="18"/>
  <c r="VY39" i="18"/>
  <c r="EL39" i="18"/>
  <c r="GU39" i="18"/>
  <c r="HY39" i="18"/>
  <c r="BX39" i="18"/>
  <c r="MO39" i="18"/>
  <c r="BF39" i="18"/>
  <c r="PC39" i="18"/>
  <c r="BG39" i="18"/>
  <c r="MA39" i="18"/>
  <c r="VM39" i="18"/>
  <c r="AN39" i="18"/>
  <c r="OW39" i="18"/>
  <c r="CJ39" i="18"/>
  <c r="CK39" i="18"/>
  <c r="EG39" i="18"/>
  <c r="KR39" i="18"/>
  <c r="OI39" i="18"/>
  <c r="LI39" i="18"/>
  <c r="SM39" i="18"/>
  <c r="EF39" i="18"/>
  <c r="KA39" i="18"/>
  <c r="LQ39" i="18"/>
  <c r="GZ40" i="18"/>
  <c r="TY40" i="18"/>
  <c r="IO39" i="18"/>
  <c r="FU39" i="18"/>
  <c r="KW39" i="18"/>
  <c r="JI39" i="18"/>
  <c r="JH39" i="18"/>
  <c r="GH40" i="18"/>
  <c r="GT40" i="18"/>
  <c r="CV40" i="18"/>
  <c r="VG39" i="18"/>
  <c r="UO39" i="18"/>
  <c r="MI39" i="18"/>
  <c r="AU39" i="18"/>
  <c r="T37" i="18"/>
  <c r="AT40" i="18"/>
  <c r="DN40" i="18"/>
  <c r="EW40" i="18"/>
  <c r="AM40" i="18"/>
  <c r="RD39" i="18"/>
  <c r="GC39" i="18"/>
  <c r="MY39" i="18"/>
  <c r="TM39" i="18"/>
  <c r="QS39" i="18"/>
  <c r="NG39" i="18"/>
  <c r="QW39" i="18"/>
  <c r="VA39" i="18"/>
  <c r="KM39" i="18"/>
  <c r="JO39" i="18"/>
  <c r="JU39" i="18"/>
  <c r="WF39" i="18"/>
  <c r="ID39" i="18"/>
  <c r="JT39" i="18"/>
  <c r="VB39" i="18"/>
  <c r="SU39" i="18"/>
  <c r="AY39" i="18"/>
  <c r="QX39" i="18"/>
  <c r="DH39" i="18"/>
  <c r="PU40" i="18"/>
  <c r="WK40" i="18"/>
  <c r="AS39" i="18"/>
  <c r="WE39" i="18"/>
  <c r="MH39" i="18"/>
  <c r="JN39" i="18"/>
  <c r="CQ39" i="18"/>
  <c r="QR39" i="18"/>
  <c r="TL39" i="18"/>
  <c r="KK39" i="18"/>
  <c r="NK39" i="18"/>
  <c r="UQ39" i="18"/>
  <c r="DG39" i="18"/>
  <c r="AZ39" i="18"/>
  <c r="CP39" i="18"/>
  <c r="QE40" i="18"/>
  <c r="UC39" i="18"/>
  <c r="UE39" i="18"/>
  <c r="RC39" i="18"/>
  <c r="CW39" i="18"/>
  <c r="MZ39" i="18"/>
  <c r="IC39" i="18"/>
  <c r="SS39" i="18"/>
  <c r="VI39" i="18"/>
  <c r="NE39" i="18"/>
  <c r="NL39" i="18"/>
  <c r="CV39" i="18"/>
  <c r="RW40" i="18"/>
  <c r="LP40" i="18"/>
  <c r="MH40" i="18"/>
  <c r="CP40" i="18"/>
  <c r="BM40" i="18"/>
  <c r="BS40" i="18"/>
  <c r="KW40" i="18"/>
  <c r="FK40" i="18"/>
  <c r="KS40" i="18"/>
  <c r="XD39" i="18"/>
  <c r="KS39" i="18"/>
  <c r="LW39" i="18"/>
  <c r="OV39" i="18"/>
  <c r="LP39" i="18"/>
  <c r="OQ39" i="18"/>
  <c r="OP39" i="18"/>
  <c r="IW39" i="18"/>
  <c r="SN39" i="18"/>
  <c r="KG39" i="18"/>
  <c r="LU39" i="18"/>
  <c r="FI39" i="18"/>
  <c r="ES39" i="18"/>
  <c r="NR40" i="18"/>
  <c r="MM40" i="18"/>
  <c r="QM39" i="18"/>
  <c r="QL39" i="18"/>
  <c r="VO39" i="18"/>
  <c r="XE39" i="18"/>
  <c r="LK39" i="18"/>
  <c r="QF39" i="18"/>
  <c r="FP39" i="18"/>
  <c r="OK39" i="18"/>
  <c r="FJ39" i="18"/>
  <c r="IU39" i="18"/>
  <c r="MB39" i="18"/>
  <c r="JZ39" i="18"/>
  <c r="HL39" i="18"/>
  <c r="RP40" i="18"/>
  <c r="VT39" i="18"/>
  <c r="VS39" i="18"/>
  <c r="HK39" i="18"/>
  <c r="FD40" i="18"/>
  <c r="AY40" i="18"/>
  <c r="UI40" i="18"/>
  <c r="UJ40" i="18"/>
  <c r="UK40" i="18"/>
  <c r="UH41" i="18"/>
  <c r="Q74" i="5"/>
  <c r="U74" i="5" s="1"/>
  <c r="HX40" i="18"/>
  <c r="ID40" i="18"/>
  <c r="OI40" i="18"/>
  <c r="QL40" i="18"/>
  <c r="OD40" i="18"/>
  <c r="WG40" i="18"/>
  <c r="T36" i="18"/>
  <c r="U36" i="18" s="1"/>
  <c r="QS40" i="18"/>
  <c r="PB40" i="18"/>
  <c r="SZ40" i="18"/>
  <c r="QX40" i="18"/>
  <c r="SA40" i="18"/>
  <c r="LI40" i="18"/>
  <c r="DG40" i="18"/>
  <c r="XJ40" i="18"/>
  <c r="DA40" i="18"/>
  <c r="LU40" i="18"/>
  <c r="BW40" i="18"/>
  <c r="GB40" i="18"/>
  <c r="FV40" i="18"/>
  <c r="TR40" i="18"/>
  <c r="XC40" i="18"/>
  <c r="IJ40" i="18"/>
  <c r="SU40" i="18"/>
  <c r="OP40" i="18"/>
  <c r="SM40" i="18"/>
  <c r="NF40" i="18"/>
  <c r="CK40" i="18"/>
  <c r="FQ40" i="18"/>
  <c r="TE40" i="18"/>
  <c r="DY40" i="18"/>
  <c r="MY40" i="18"/>
  <c r="UV40" i="18"/>
  <c r="TK40" i="18"/>
  <c r="ES40" i="18"/>
  <c r="JU40" i="18"/>
  <c r="VY40" i="18"/>
  <c r="BF40" i="18"/>
  <c r="HR40" i="18"/>
  <c r="WS40" i="18"/>
  <c r="HG40" i="18"/>
  <c r="EL40" i="18"/>
  <c r="MT40" i="18"/>
  <c r="LE40" i="18"/>
  <c r="KG40" i="18"/>
  <c r="VI40" i="18"/>
  <c r="NY40" i="18"/>
  <c r="IV40" i="18"/>
  <c r="WY40" i="18"/>
  <c r="KL40" i="18"/>
  <c r="JI40" i="18"/>
  <c r="PM40" i="18"/>
  <c r="SH40" i="18"/>
  <c r="NL40" i="18"/>
  <c r="JO40" i="18"/>
  <c r="MC40" i="18"/>
  <c r="DS40" i="18"/>
  <c r="IO40" i="18"/>
  <c r="OV40" i="18"/>
  <c r="PI40" i="18"/>
  <c r="PZ40" i="18"/>
  <c r="VM40" i="18"/>
  <c r="RE40" i="18"/>
  <c r="JA40" i="18"/>
  <c r="Q77" i="5"/>
  <c r="U77" i="5" s="1"/>
  <c r="D42" i="18"/>
  <c r="F42" i="18" s="1"/>
  <c r="SE42" i="18" s="1"/>
  <c r="F41" i="18"/>
  <c r="UA41" i="18" s="1"/>
  <c r="CJ40" i="18"/>
  <c r="E42" i="18"/>
  <c r="I77" i="9"/>
  <c r="B85" i="19"/>
  <c r="G85" i="19" s="1"/>
  <c r="F83" i="19"/>
  <c r="E11" i="19"/>
  <c r="E9" i="19" s="1"/>
  <c r="D10" i="19"/>
  <c r="E11" i="8"/>
  <c r="E9" i="8" s="1"/>
  <c r="I9" i="8" s="1"/>
  <c r="D10" i="8"/>
  <c r="R10" i="8" s="1"/>
  <c r="Q7" i="15"/>
  <c r="P7" i="15"/>
  <c r="G7" i="15"/>
  <c r="K10" i="7"/>
  <c r="L10" i="7"/>
  <c r="N10" i="7"/>
  <c r="N11" i="7"/>
  <c r="K11" i="7"/>
  <c r="L11" i="7"/>
  <c r="TT42" i="18"/>
  <c r="FP40" i="18"/>
  <c r="GO40" i="18"/>
  <c r="BB42" i="18"/>
  <c r="BJ41" i="18"/>
  <c r="IX42" i="18"/>
  <c r="O42" i="18"/>
  <c r="HZ42" i="18"/>
  <c r="KT42" i="18"/>
  <c r="GJ42" i="18"/>
  <c r="EZ42" i="18"/>
  <c r="CI40" i="18"/>
  <c r="NV41" i="18"/>
  <c r="VD42" i="18"/>
  <c r="AV42" i="18"/>
  <c r="LX42" i="18"/>
  <c r="TH42" i="18"/>
  <c r="OX42" i="18"/>
  <c r="IR42" i="18"/>
  <c r="JV42" i="18"/>
  <c r="KH42" i="18"/>
  <c r="TZ42" i="18"/>
  <c r="XF42" i="18"/>
  <c r="UF42" i="18"/>
  <c r="MJ42" i="18"/>
  <c r="ED41" i="18"/>
  <c r="EH42" i="18"/>
  <c r="PJ42" i="18"/>
  <c r="FR42" i="18"/>
  <c r="FL42" i="18"/>
  <c r="BH42" i="18"/>
  <c r="QB42" i="18"/>
  <c r="LH41" i="18"/>
  <c r="KV41" i="18"/>
  <c r="NT42" i="18"/>
  <c r="PV42" i="18"/>
  <c r="MD42" i="18"/>
  <c r="SJ42" i="18"/>
  <c r="MP42" i="18"/>
  <c r="GD42" i="18"/>
  <c r="BT42" i="18"/>
  <c r="QN42" i="18"/>
  <c r="JP42" i="18"/>
  <c r="JR41" i="18"/>
  <c r="PF41" i="18"/>
  <c r="VL41" i="18"/>
  <c r="DP42" i="18"/>
  <c r="AP42" i="18"/>
  <c r="RF42" i="18"/>
  <c r="RL42" i="18"/>
  <c r="NN42" i="18"/>
  <c r="FF42" i="18"/>
  <c r="NZ42" i="18"/>
  <c r="TB42" i="18"/>
  <c r="ET42" i="18"/>
  <c r="PP42" i="18"/>
  <c r="CX42" i="18"/>
  <c r="HH42" i="18"/>
  <c r="LR42" i="18"/>
  <c r="UX42" i="18"/>
  <c r="DJ42" i="18"/>
  <c r="HN42" i="18"/>
  <c r="MV42" i="18"/>
  <c r="SD42" i="18"/>
  <c r="WH42" i="18"/>
  <c r="DD42" i="18"/>
  <c r="GV42" i="18"/>
  <c r="KN42" i="18"/>
  <c r="OF42" i="18"/>
  <c r="RX42" i="18"/>
  <c r="VP42" i="18"/>
  <c r="N42" i="18"/>
  <c r="VR41" i="18"/>
  <c r="VF41" i="18"/>
  <c r="QT42" i="18"/>
  <c r="NB42" i="18"/>
  <c r="BN42" i="18"/>
  <c r="KZ42" i="18"/>
  <c r="CL42" i="18"/>
  <c r="VJ42" i="18"/>
  <c r="KB42" i="18"/>
  <c r="UL42" i="18"/>
  <c r="HB42" i="18"/>
  <c r="LF42" i="18"/>
  <c r="VV42" i="18"/>
  <c r="CF42" i="18"/>
  <c r="FX42" i="18"/>
  <c r="NH42" i="18"/>
  <c r="QZ42" i="18"/>
  <c r="UR42" i="18"/>
  <c r="B43" i="18"/>
  <c r="GX41" i="18"/>
  <c r="JL41" i="18"/>
  <c r="GL41" i="18"/>
  <c r="JJ42" i="18"/>
  <c r="CR42" i="18"/>
  <c r="WZ42" i="18"/>
  <c r="BZ42" i="18"/>
  <c r="TN42" i="18"/>
  <c r="GP42" i="18"/>
  <c r="OR42" i="18"/>
  <c r="WT42" i="18"/>
  <c r="IF42" i="18"/>
  <c r="QH42" i="18"/>
  <c r="EN42" i="18"/>
  <c r="IL42" i="18"/>
  <c r="RR42" i="18"/>
  <c r="WB42" i="18"/>
  <c r="DV42" i="18"/>
  <c r="JD42" i="18"/>
  <c r="OL42" i="18"/>
  <c r="SP42" i="18"/>
  <c r="AJ42" i="18"/>
  <c r="EB42" i="18"/>
  <c r="HT42" i="18"/>
  <c r="LL42" i="18"/>
  <c r="PD42" i="18"/>
  <c r="SV42" i="18"/>
  <c r="WN42" i="18"/>
  <c r="WV41" i="18"/>
  <c r="UN41" i="18"/>
  <c r="XH41" i="18"/>
  <c r="GR41" i="18"/>
  <c r="CT41" i="18"/>
  <c r="RN41" i="18"/>
  <c r="BP41" i="18"/>
  <c r="UB41" i="18"/>
  <c r="EJ41" i="18"/>
  <c r="NJ41" i="18"/>
  <c r="QD41" i="18"/>
  <c r="KD41" i="18"/>
  <c r="GM40" i="18"/>
  <c r="NX40" i="18"/>
  <c r="NW40" i="18"/>
  <c r="RI40" i="18"/>
  <c r="KK40" i="18"/>
  <c r="KM40" i="18"/>
  <c r="IU40" i="18"/>
  <c r="IW40" i="18"/>
  <c r="HE40" i="18"/>
  <c r="UT41" i="18"/>
  <c r="ND41" i="18"/>
  <c r="OH41" i="18"/>
  <c r="DX41" i="18"/>
  <c r="MR41" i="18"/>
  <c r="BD41" i="18"/>
  <c r="FH41" i="18"/>
  <c r="RH41" i="18"/>
  <c r="WJ41" i="18"/>
  <c r="FT41" i="18"/>
  <c r="PX41" i="18"/>
  <c r="GF41" i="18"/>
  <c r="KP41" i="18"/>
  <c r="OZ41" i="18"/>
  <c r="CZ41" i="18"/>
  <c r="HD41" i="18"/>
  <c r="ML41" i="18"/>
  <c r="RT41" i="18"/>
  <c r="VX41" i="18"/>
  <c r="DR41" i="18"/>
  <c r="HJ41" i="18"/>
  <c r="LB41" i="18"/>
  <c r="OT41" i="18"/>
  <c r="SL41" i="18"/>
  <c r="WD41" i="18"/>
  <c r="AL41" i="18"/>
  <c r="HP41" i="18"/>
  <c r="PL41" i="18"/>
  <c r="EV41" i="18"/>
  <c r="NP41" i="18"/>
  <c r="CH41" i="18"/>
  <c r="JX41" i="18"/>
  <c r="RZ41" i="18"/>
  <c r="AR41" i="18"/>
  <c r="IB41" i="18"/>
  <c r="SX41" i="18"/>
  <c r="HV41" i="18"/>
  <c r="LT41" i="18"/>
  <c r="UZ41" i="18"/>
  <c r="DL41" i="18"/>
  <c r="IT41" i="18"/>
  <c r="OB41" i="18"/>
  <c r="SF41" i="18"/>
  <c r="AX41" i="18"/>
  <c r="EP41" i="18"/>
  <c r="IH41" i="18"/>
  <c r="LZ41" i="18"/>
  <c r="PR41" i="18"/>
  <c r="TJ41" i="18"/>
  <c r="XB41" i="18"/>
  <c r="CN41" i="18"/>
  <c r="QJ41" i="18"/>
  <c r="IN41" i="18"/>
  <c r="QV41" i="18"/>
  <c r="FZ41" i="18"/>
  <c r="RB41" i="18"/>
  <c r="DF41" i="18"/>
  <c r="TD41" i="18"/>
  <c r="SR41" i="18"/>
  <c r="CB41" i="18"/>
  <c r="LN41" i="18"/>
  <c r="TP41" i="18"/>
  <c r="IZ41" i="18"/>
  <c r="MF41" i="18"/>
  <c r="WP41" i="18"/>
  <c r="FB41" i="18"/>
  <c r="KJ41" i="18"/>
  <c r="ON41" i="18"/>
  <c r="TV41" i="18"/>
  <c r="BV41" i="18"/>
  <c r="FN41" i="18"/>
  <c r="JF41" i="18"/>
  <c r="MX41" i="18"/>
  <c r="QP41" i="18"/>
  <c r="RJ40" i="18"/>
  <c r="I76" i="9"/>
  <c r="VG40" i="18"/>
  <c r="WL40" i="18"/>
  <c r="VH40" i="18"/>
  <c r="DC40" i="18"/>
  <c r="LW40" i="18"/>
  <c r="RQ40" i="18"/>
  <c r="HQ40" i="18"/>
  <c r="JZ40" i="18"/>
  <c r="BE40" i="18"/>
  <c r="AZ40" i="18"/>
  <c r="WM40" i="18"/>
  <c r="HF40" i="18"/>
  <c r="LV40" i="18"/>
  <c r="JY40" i="18"/>
  <c r="MI40" i="18"/>
  <c r="KF40" i="18"/>
  <c r="WE40" i="18"/>
  <c r="MG40" i="18"/>
  <c r="DB40" i="18"/>
  <c r="FO40" i="18"/>
  <c r="NG40" i="18"/>
  <c r="GS40" i="18"/>
  <c r="BQ40" i="18"/>
  <c r="AN40" i="18"/>
  <c r="RO40" i="18"/>
  <c r="WW40" i="18"/>
  <c r="XI40" i="18"/>
  <c r="HS40" i="18"/>
  <c r="AO40" i="18"/>
  <c r="GC40" i="18"/>
  <c r="KY40" i="18"/>
  <c r="NE40" i="18"/>
  <c r="BR40" i="18"/>
  <c r="BG40" i="18"/>
  <c r="IE40" i="18"/>
  <c r="EG40" i="18"/>
  <c r="WQ40" i="18"/>
  <c r="BL40" i="18"/>
  <c r="BK40" i="18"/>
  <c r="DH40" i="18"/>
  <c r="SO40" i="18"/>
  <c r="EE40" i="18"/>
  <c r="IC40" i="18"/>
  <c r="WX40" i="18"/>
  <c r="WR40" i="18"/>
  <c r="DI40" i="18"/>
  <c r="SN40" i="18"/>
  <c r="BA40" i="18"/>
  <c r="PO40" i="18"/>
  <c r="OJ40" i="18"/>
  <c r="PS40" i="18"/>
  <c r="LQ40" i="18"/>
  <c r="RV40" i="18"/>
  <c r="RD40" i="18"/>
  <c r="SS40" i="18"/>
  <c r="DU40" i="18"/>
  <c r="HA40" i="18"/>
  <c r="DT40" i="18"/>
  <c r="OE40" i="18"/>
  <c r="MU40" i="18"/>
  <c r="RU40" i="18"/>
  <c r="JB40" i="18"/>
  <c r="PT40" i="18"/>
  <c r="RC40" i="18"/>
  <c r="HM40" i="18"/>
  <c r="QK40" i="18"/>
  <c r="OK40" i="18"/>
  <c r="HK40" i="18"/>
  <c r="SB40" i="18"/>
  <c r="QW40" i="18"/>
  <c r="SC40" i="18"/>
  <c r="EK40" i="18"/>
  <c r="VN40" i="18"/>
  <c r="LO40" i="18"/>
  <c r="MS40" i="18"/>
  <c r="FI40" i="18"/>
  <c r="FC40" i="18"/>
  <c r="JH40" i="18"/>
  <c r="PN40" i="18"/>
  <c r="UD40" i="18"/>
  <c r="JC40" i="18"/>
  <c r="ST40" i="18"/>
  <c r="FJ40" i="18"/>
  <c r="FE40" i="18"/>
  <c r="QY40" i="18"/>
  <c r="OC40" i="18"/>
  <c r="EM40" i="18"/>
  <c r="QM40" i="18"/>
  <c r="VO40" i="18"/>
  <c r="OW40" i="18"/>
  <c r="OU40" i="18"/>
  <c r="KE40" i="18"/>
  <c r="FU40" i="18"/>
  <c r="LC40" i="18"/>
  <c r="VU40" i="18"/>
  <c r="BY40" i="18"/>
  <c r="UP40" i="18"/>
  <c r="II40" i="18"/>
  <c r="KQ40" i="18"/>
  <c r="KR40" i="18"/>
  <c r="QG40" i="18"/>
  <c r="CW40" i="18"/>
  <c r="TW40" i="18"/>
  <c r="EA40" i="18"/>
  <c r="VB40" i="18"/>
  <c r="KX40" i="18"/>
  <c r="GY40" i="18"/>
  <c r="DZ40" i="18"/>
  <c r="VA40" i="18"/>
  <c r="IQ40" i="18"/>
  <c r="CU40" i="18"/>
  <c r="TX40" i="18"/>
  <c r="IP40" i="18"/>
  <c r="JS40" i="18"/>
  <c r="EX40" i="18"/>
  <c r="CD40" i="18"/>
  <c r="NM40" i="18"/>
  <c r="SG40" i="18"/>
  <c r="CC40" i="18"/>
  <c r="NK40" i="18"/>
  <c r="WF40" i="18"/>
  <c r="VS40" i="18"/>
  <c r="LD40" i="18"/>
  <c r="SI40" i="18"/>
  <c r="UO40" i="18"/>
  <c r="TL40" i="18"/>
  <c r="NA40" i="18"/>
  <c r="VZ40" i="18"/>
  <c r="JT40" i="18"/>
  <c r="TM40" i="18"/>
  <c r="UW40" i="18"/>
  <c r="ER40" i="18"/>
  <c r="CQ40" i="18"/>
  <c r="HW40" i="18"/>
  <c r="UU40" i="18"/>
  <c r="DO40" i="18"/>
  <c r="HY40" i="18"/>
  <c r="OQ40" i="18"/>
  <c r="EY40" i="18"/>
  <c r="CO40" i="18"/>
  <c r="TG40" i="18"/>
  <c r="LK40" i="18"/>
  <c r="JM40" i="18"/>
  <c r="QF40" i="18"/>
  <c r="GU40" i="18"/>
  <c r="MA40" i="18"/>
  <c r="JN40" i="18"/>
  <c r="XK40" i="18"/>
  <c r="GG40" i="18"/>
  <c r="TF40" i="18"/>
  <c r="MB40" i="18"/>
  <c r="GI40" i="18"/>
  <c r="LJ40" i="18"/>
  <c r="JG40" i="18"/>
  <c r="UE40" i="18"/>
  <c r="XD40" i="18"/>
  <c r="IK40" i="18"/>
  <c r="FW40" i="18"/>
  <c r="PY40" i="18"/>
  <c r="QQ40" i="18"/>
  <c r="XE40" i="18"/>
  <c r="AU40" i="18"/>
  <c r="EQ40" i="18"/>
  <c r="MZ40" i="18"/>
  <c r="WA40" i="18"/>
  <c r="DM40" i="18"/>
  <c r="OO40" i="18"/>
  <c r="GA40" i="18"/>
  <c r="AS40" i="18"/>
  <c r="MN40" i="18"/>
  <c r="BX40" i="18"/>
  <c r="TS40" i="18"/>
  <c r="QA40" i="18"/>
  <c r="MO40" i="18"/>
  <c r="NS40" i="18"/>
  <c r="TQ40" i="18"/>
  <c r="PG40" i="18"/>
  <c r="PH40" i="18"/>
  <c r="PC40" i="18"/>
  <c r="NQ40" i="18"/>
  <c r="SY40" i="18"/>
  <c r="TA40" i="18"/>
  <c r="QR40" i="18"/>
  <c r="PA40" i="18"/>
  <c r="L76" i="9"/>
  <c r="L77" i="9"/>
  <c r="M74" i="9"/>
  <c r="M75" i="9"/>
  <c r="J77" i="9"/>
  <c r="J76" i="9"/>
  <c r="H79" i="9"/>
  <c r="K79" i="9" s="1"/>
  <c r="H78" i="9"/>
  <c r="K78" i="9" s="1"/>
  <c r="F79" i="5"/>
  <c r="F80" i="8"/>
  <c r="G80" i="8"/>
  <c r="F81" i="8"/>
  <c r="G81" i="8"/>
  <c r="J78" i="7"/>
  <c r="I78" i="7"/>
  <c r="J79" i="7"/>
  <c r="I79" i="7"/>
  <c r="U41" i="15"/>
  <c r="Y41" i="18" s="1"/>
  <c r="D41" i="15"/>
  <c r="E41" i="15"/>
  <c r="E43" i="18"/>
  <c r="I81" i="5"/>
  <c r="J81" i="5" s="1"/>
  <c r="F81" i="5" s="1"/>
  <c r="I78" i="5"/>
  <c r="J78" i="5" s="1"/>
  <c r="H78" i="1"/>
  <c r="I78" i="1" s="1"/>
  <c r="H79" i="1"/>
  <c r="I79" i="1" s="1"/>
  <c r="S37" i="18"/>
  <c r="U37" i="18" s="1"/>
  <c r="T41" i="15"/>
  <c r="XA42" i="18"/>
  <c r="SK42" i="18"/>
  <c r="KC42" i="18"/>
  <c r="B81" i="9"/>
  <c r="B81" i="7"/>
  <c r="B81" i="1"/>
  <c r="AD78" i="5"/>
  <c r="AE78" i="5" s="1"/>
  <c r="AI78" i="5" s="1"/>
  <c r="F76" i="5"/>
  <c r="AJ76" i="5"/>
  <c r="AL76" i="5" s="1"/>
  <c r="B83" i="5"/>
  <c r="R81" i="5"/>
  <c r="AG81" i="5" s="1"/>
  <c r="K81" i="5"/>
  <c r="AE81" i="5"/>
  <c r="AL74" i="5"/>
  <c r="B80" i="5"/>
  <c r="R78" i="5"/>
  <c r="AG78" i="5" s="1"/>
  <c r="K78" i="5"/>
  <c r="R103" i="14"/>
  <c r="S104" i="14"/>
  <c r="U104" i="14"/>
  <c r="T104" i="14"/>
  <c r="Q103" i="14"/>
  <c r="B107" i="14"/>
  <c r="B80" i="7"/>
  <c r="B42" i="15"/>
  <c r="B80" i="9"/>
  <c r="BQ77" i="1"/>
  <c r="BP77" i="1"/>
  <c r="X77" i="7" s="1"/>
  <c r="O77" i="1"/>
  <c r="O76" i="1"/>
  <c r="B80" i="1"/>
  <c r="N78" i="1"/>
  <c r="B83" i="8"/>
  <c r="B82" i="8"/>
  <c r="R71" i="8" l="1"/>
  <c r="Q39" i="18"/>
  <c r="P39" i="18"/>
  <c r="S38" i="18" s="1"/>
  <c r="U38" i="18" s="1"/>
  <c r="R39" i="18"/>
  <c r="G43" i="18"/>
  <c r="VF43" i="18" s="1"/>
  <c r="G42" i="18"/>
  <c r="JR42" i="18" s="1"/>
  <c r="PE42" i="18"/>
  <c r="UG42" i="18"/>
  <c r="ME42" i="18"/>
  <c r="HC42" i="18"/>
  <c r="FM42" i="18"/>
  <c r="DQ42" i="18"/>
  <c r="CY42" i="18"/>
  <c r="OM42" i="18"/>
  <c r="SQ42" i="18"/>
  <c r="VE42" i="18"/>
  <c r="MK42" i="18"/>
  <c r="VW42" i="18"/>
  <c r="QI41" i="18"/>
  <c r="QM41" i="18" s="1"/>
  <c r="IY41" i="18"/>
  <c r="JB41" i="18" s="1"/>
  <c r="BO41" i="18"/>
  <c r="BR41" i="18" s="1"/>
  <c r="LM41" i="18"/>
  <c r="LP41" i="18" s="1"/>
  <c r="TI41" i="18"/>
  <c r="TL41" i="18" s="1"/>
  <c r="FS41" i="18"/>
  <c r="FU41" i="18" s="1"/>
  <c r="WI41" i="18"/>
  <c r="WL41" i="18" s="1"/>
  <c r="PQ41" i="18"/>
  <c r="PU41" i="18" s="1"/>
  <c r="IS41" i="18"/>
  <c r="IW41" i="18" s="1"/>
  <c r="JW41" i="18"/>
  <c r="JZ41" i="18" s="1"/>
  <c r="EC41" i="18"/>
  <c r="EG41" i="18" s="1"/>
  <c r="OY41" i="18"/>
  <c r="PA41" i="18" s="1"/>
  <c r="QU41" i="18"/>
  <c r="QX41" i="18" s="1"/>
  <c r="IG41" i="18"/>
  <c r="IJ41" i="18" s="1"/>
  <c r="JE41" i="18"/>
  <c r="JI41" i="18" s="1"/>
  <c r="VK41" i="18"/>
  <c r="VM41" i="18" s="1"/>
  <c r="FM41" i="18"/>
  <c r="FO41" i="18" s="1"/>
  <c r="XA41" i="18"/>
  <c r="XC41" i="18" s="1"/>
  <c r="TC41" i="18"/>
  <c r="TF41" i="18" s="1"/>
  <c r="UM41" i="18"/>
  <c r="UO41" i="18" s="1"/>
  <c r="GQ41" i="18"/>
  <c r="GU41" i="18" s="1"/>
  <c r="UE41" i="18"/>
  <c r="MQ41" i="18"/>
  <c r="MS41" i="18" s="1"/>
  <c r="UG41" i="18"/>
  <c r="XG41" i="18"/>
  <c r="XI41" i="18" s="1"/>
  <c r="BI41" i="18"/>
  <c r="BM41" i="18" s="1"/>
  <c r="LY41" i="18"/>
  <c r="MA41" i="18" s="1"/>
  <c r="CS41" i="18"/>
  <c r="CV41" i="18" s="1"/>
  <c r="OM41" i="18"/>
  <c r="OQ41" i="18" s="1"/>
  <c r="QO41" i="18"/>
  <c r="QQ41" i="18" s="1"/>
  <c r="IM41" i="18"/>
  <c r="IP41" i="18" s="1"/>
  <c r="PW41" i="18"/>
  <c r="PY41" i="18" s="1"/>
  <c r="ME41" i="18"/>
  <c r="MH41" i="18" s="1"/>
  <c r="FG41" i="18"/>
  <c r="FI41" i="18" s="1"/>
  <c r="JQ41" i="18"/>
  <c r="JS41" i="18" s="1"/>
  <c r="KC41" i="18"/>
  <c r="KF41" i="18" s="1"/>
  <c r="JK41" i="18"/>
  <c r="JO41" i="18" s="1"/>
  <c r="CA41" i="18"/>
  <c r="CD41" i="18" s="1"/>
  <c r="GK41" i="18"/>
  <c r="GO41" i="18" s="1"/>
  <c r="EI41" i="18"/>
  <c r="EL41" i="18" s="1"/>
  <c r="CG41" i="18"/>
  <c r="CI41" i="18" s="1"/>
  <c r="RM41" i="18"/>
  <c r="RP41" i="18" s="1"/>
  <c r="BC41" i="18"/>
  <c r="BF41" i="18" s="1"/>
  <c r="GK42" i="18"/>
  <c r="VQ42" i="18"/>
  <c r="JE42" i="18"/>
  <c r="HO42" i="18"/>
  <c r="QO42" i="18"/>
  <c r="RS42" i="18"/>
  <c r="KU42" i="18"/>
  <c r="IM42" i="18"/>
  <c r="LM42" i="18"/>
  <c r="NC42" i="18"/>
  <c r="HU42" i="18"/>
  <c r="IG42" i="18"/>
  <c r="DK42" i="18"/>
  <c r="UY42" i="18"/>
  <c r="RG42" i="18"/>
  <c r="NO42" i="18"/>
  <c r="JW42" i="18"/>
  <c r="GE42" i="18"/>
  <c r="CM42" i="18"/>
  <c r="VK42" i="18"/>
  <c r="QC42" i="18"/>
  <c r="LY42" i="18"/>
  <c r="GQ42" i="18"/>
  <c r="BI42" i="18"/>
  <c r="OY42" i="18"/>
  <c r="LA42" i="18"/>
  <c r="BU42" i="18"/>
  <c r="RA42" i="18"/>
  <c r="GW42" i="18"/>
  <c r="UM42" i="18"/>
  <c r="JQ42" i="18"/>
  <c r="CG42" i="18"/>
  <c r="EU42" i="18"/>
  <c r="SW42" i="18"/>
  <c r="FS42" i="18"/>
  <c r="OG42" i="18"/>
  <c r="EC42" i="18"/>
  <c r="TO42" i="18"/>
  <c r="UA42" i="18"/>
  <c r="QI42" i="18"/>
  <c r="MQ42" i="18"/>
  <c r="IY42" i="18"/>
  <c r="FG42" i="18"/>
  <c r="BO42" i="18"/>
  <c r="TU42" i="18"/>
  <c r="PQ42" i="18"/>
  <c r="KI42" i="18"/>
  <c r="FA42" i="18"/>
  <c r="AW42" i="18"/>
  <c r="NU42" i="18"/>
  <c r="KO42" i="18"/>
  <c r="WC42" i="18"/>
  <c r="OS42" i="18"/>
  <c r="DW42" i="18"/>
  <c r="RM42" i="18"/>
  <c r="HI42" i="18"/>
  <c r="WI42" i="18"/>
  <c r="AK42" i="18"/>
  <c r="PW42" i="18"/>
  <c r="CS42" i="18"/>
  <c r="MW42" i="18"/>
  <c r="BC42" i="18"/>
  <c r="CA42" i="18"/>
  <c r="WU42" i="18"/>
  <c r="TC42" i="18"/>
  <c r="PK42" i="18"/>
  <c r="LS42" i="18"/>
  <c r="IA42" i="18"/>
  <c r="EI42" i="18"/>
  <c r="AQ42" i="18"/>
  <c r="TI42" i="18"/>
  <c r="OA42" i="18"/>
  <c r="IS42" i="18"/>
  <c r="EO42" i="18"/>
  <c r="WO42" i="18"/>
  <c r="NI42" i="18"/>
  <c r="JK42" i="18"/>
  <c r="US42" i="18"/>
  <c r="LG42" i="18"/>
  <c r="DE42" i="18"/>
  <c r="QU42" i="18"/>
  <c r="FY42" i="18"/>
  <c r="RY42" i="18"/>
  <c r="XG42" i="18"/>
  <c r="SE41" i="18"/>
  <c r="SI41" i="18" s="1"/>
  <c r="LS41" i="18"/>
  <c r="LU41" i="18" s="1"/>
  <c r="GE41" i="18"/>
  <c r="GI41" i="18" s="1"/>
  <c r="US41" i="18"/>
  <c r="UU41" i="18" s="1"/>
  <c r="MW41" i="18"/>
  <c r="MZ41" i="18" s="1"/>
  <c r="DW41" i="18"/>
  <c r="DZ41" i="18" s="1"/>
  <c r="SW41" i="18"/>
  <c r="TA41" i="18" s="1"/>
  <c r="GW41" i="18"/>
  <c r="HA41" i="18" s="1"/>
  <c r="VE41" i="18"/>
  <c r="VI41" i="18" s="1"/>
  <c r="FA41" i="18"/>
  <c r="FC41" i="18" s="1"/>
  <c r="LA41" i="18"/>
  <c r="LC41" i="18" s="1"/>
  <c r="DE41" i="18"/>
  <c r="DH41" i="18" s="1"/>
  <c r="EU41" i="18"/>
  <c r="EY41" i="18" s="1"/>
  <c r="OG41" i="18"/>
  <c r="OI41" i="18" s="1"/>
  <c r="WU41" i="18"/>
  <c r="WY41" i="18" s="1"/>
  <c r="RG41" i="18"/>
  <c r="RJ41" i="18" s="1"/>
  <c r="KU41" i="18"/>
  <c r="KY41" i="18" s="1"/>
  <c r="DK41" i="18"/>
  <c r="DN41" i="18" s="1"/>
  <c r="SQ41" i="18"/>
  <c r="SS41" i="18" s="1"/>
  <c r="LG41" i="18"/>
  <c r="LI41" i="18" s="1"/>
  <c r="BU41" i="18"/>
  <c r="BX41" i="18" s="1"/>
  <c r="RS41" i="18"/>
  <c r="RU41" i="18" s="1"/>
  <c r="EO41" i="18"/>
  <c r="ER41" i="18" s="1"/>
  <c r="NU41" i="18"/>
  <c r="NY41" i="18" s="1"/>
  <c r="DQ41" i="18"/>
  <c r="DT41" i="18" s="1"/>
  <c r="AK41" i="18"/>
  <c r="AO41" i="18" s="1"/>
  <c r="TU41" i="18"/>
  <c r="TX41" i="18" s="1"/>
  <c r="AW41" i="18"/>
  <c r="BA41" i="18" s="1"/>
  <c r="KI41" i="18"/>
  <c r="KM41" i="18" s="1"/>
  <c r="VW41" i="18"/>
  <c r="WA41" i="18" s="1"/>
  <c r="PK41" i="18"/>
  <c r="PM41" i="18" s="1"/>
  <c r="IA41" i="18"/>
  <c r="IE41" i="18" s="1"/>
  <c r="CM41" i="18"/>
  <c r="CO41" i="18" s="1"/>
  <c r="RA41" i="18"/>
  <c r="RE41" i="18" s="1"/>
  <c r="HO41" i="18"/>
  <c r="HR41" i="18" s="1"/>
  <c r="WC41" i="18"/>
  <c r="WE41" i="18" s="1"/>
  <c r="QC41" i="18"/>
  <c r="QG41" i="18" s="1"/>
  <c r="CY41" i="18"/>
  <c r="DA41" i="18" s="1"/>
  <c r="NC41" i="18"/>
  <c r="NG41" i="18" s="1"/>
  <c r="TO41" i="18"/>
  <c r="TQ41" i="18" s="1"/>
  <c r="OS41" i="18"/>
  <c r="OV41" i="18" s="1"/>
  <c r="SK41" i="18"/>
  <c r="SO41" i="18" s="1"/>
  <c r="RY41" i="18"/>
  <c r="SA41" i="18" s="1"/>
  <c r="UY41" i="18"/>
  <c r="VC41" i="18" s="1"/>
  <c r="NO41" i="18"/>
  <c r="NS41" i="18" s="1"/>
  <c r="HC41" i="18"/>
  <c r="HG41" i="18" s="1"/>
  <c r="AQ41" i="18"/>
  <c r="AT41" i="18" s="1"/>
  <c r="NI41" i="18"/>
  <c r="NL41" i="18" s="1"/>
  <c r="FY41" i="18"/>
  <c r="GC41" i="18" s="1"/>
  <c r="VQ41" i="18"/>
  <c r="VT41" i="18" s="1"/>
  <c r="HI41" i="18"/>
  <c r="HK41" i="18" s="1"/>
  <c r="WO41" i="18"/>
  <c r="WS41" i="18" s="1"/>
  <c r="MK41" i="18"/>
  <c r="MN41" i="18" s="1"/>
  <c r="OA41" i="18"/>
  <c r="OD41" i="18" s="1"/>
  <c r="HU41" i="18"/>
  <c r="HX41" i="18" s="1"/>
  <c r="KO41" i="18"/>
  <c r="KR41" i="18" s="1"/>
  <c r="PE41" i="18"/>
  <c r="PG41" i="18" s="1"/>
  <c r="DM41" i="18"/>
  <c r="UR43" i="18"/>
  <c r="Q79" i="5"/>
  <c r="U79" i="5" s="1"/>
  <c r="HP42" i="18"/>
  <c r="D8" i="8"/>
  <c r="D8" i="19"/>
  <c r="I79" i="9"/>
  <c r="B87" i="19"/>
  <c r="G87" i="19" s="1"/>
  <c r="F85" i="19"/>
  <c r="D12" i="19"/>
  <c r="E13" i="19"/>
  <c r="P8" i="15"/>
  <c r="E13" i="8"/>
  <c r="G8" i="15"/>
  <c r="D12" i="8"/>
  <c r="R12" i="8" s="1"/>
  <c r="Q8" i="15"/>
  <c r="S7" i="15"/>
  <c r="W7" i="15" s="1"/>
  <c r="K12" i="7"/>
  <c r="K13" i="7"/>
  <c r="N12" i="7"/>
  <c r="L12" i="7"/>
  <c r="L13" i="7"/>
  <c r="N13" i="7"/>
  <c r="DP43" i="18"/>
  <c r="MP43" i="18"/>
  <c r="GV43" i="18"/>
  <c r="JD43" i="18"/>
  <c r="B44" i="18"/>
  <c r="LF43" i="18"/>
  <c r="FR43" i="18"/>
  <c r="NN43" i="18"/>
  <c r="VP43" i="18"/>
  <c r="UL43" i="18"/>
  <c r="UF43" i="18"/>
  <c r="WZ43" i="18"/>
  <c r="OF43" i="18"/>
  <c r="CX43" i="18"/>
  <c r="WT43" i="18"/>
  <c r="VV43" i="18"/>
  <c r="HZ43" i="18"/>
  <c r="MV43" i="18"/>
  <c r="GJ43" i="18"/>
  <c r="XF43" i="18"/>
  <c r="NT43" i="18"/>
  <c r="EN43" i="18"/>
  <c r="NZ43" i="18"/>
  <c r="AJ43" i="18"/>
  <c r="HT43" i="18"/>
  <c r="PD43" i="18"/>
  <c r="WN43" i="18"/>
  <c r="HH43" i="18"/>
  <c r="IX43" i="18"/>
  <c r="BB43" i="18"/>
  <c r="TZ43" i="18"/>
  <c r="KT43" i="18"/>
  <c r="DJ43" i="18"/>
  <c r="QN43" i="18"/>
  <c r="IF43" i="18"/>
  <c r="RR43" i="18"/>
  <c r="DD43" i="18"/>
  <c r="KN43" i="18"/>
  <c r="RX43" i="18"/>
  <c r="D43" i="18"/>
  <c r="F43" i="18" s="1"/>
  <c r="O43" i="18"/>
  <c r="LR43" i="18"/>
  <c r="OR43" i="18"/>
  <c r="ET43" i="18"/>
  <c r="WH43" i="18"/>
  <c r="OL43" i="18"/>
  <c r="JJ43" i="18"/>
  <c r="SD43" i="18"/>
  <c r="JV43" i="18"/>
  <c r="TH43" i="18"/>
  <c r="EB43" i="18"/>
  <c r="LL43" i="18"/>
  <c r="SV43" i="18"/>
  <c r="Q81" i="5"/>
  <c r="U81" i="5" s="1"/>
  <c r="DV43" i="18"/>
  <c r="NB43" i="18"/>
  <c r="BN43" i="18"/>
  <c r="QT43" i="18"/>
  <c r="FL43" i="18"/>
  <c r="QH43" i="18"/>
  <c r="BZ43" i="18"/>
  <c r="HB43" i="18"/>
  <c r="PV43" i="18"/>
  <c r="AP43" i="18"/>
  <c r="KZ43" i="18"/>
  <c r="OX43" i="18"/>
  <c r="AV43" i="18"/>
  <c r="GD43" i="18"/>
  <c r="KH43" i="18"/>
  <c r="PP43" i="18"/>
  <c r="UX43" i="18"/>
  <c r="BH43" i="18"/>
  <c r="EZ43" i="18"/>
  <c r="IR43" i="18"/>
  <c r="MJ43" i="18"/>
  <c r="QB43" i="18"/>
  <c r="TT43" i="18"/>
  <c r="SJ43" i="18"/>
  <c r="TB43" i="18"/>
  <c r="N43" i="18"/>
  <c r="FF43" i="18"/>
  <c r="EH43" i="18"/>
  <c r="RL43" i="18"/>
  <c r="HN43" i="18"/>
  <c r="WB43" i="18"/>
  <c r="VD43" i="18"/>
  <c r="IL43" i="18"/>
  <c r="SP43" i="18"/>
  <c r="CR43" i="18"/>
  <c r="KB43" i="18"/>
  <c r="TN43" i="18"/>
  <c r="BT43" i="18"/>
  <c r="MD43" i="18"/>
  <c r="PJ43" i="18"/>
  <c r="CL43" i="18"/>
  <c r="GP43" i="18"/>
  <c r="LX43" i="18"/>
  <c r="RF43" i="18"/>
  <c r="VJ43" i="18"/>
  <c r="CF43" i="18"/>
  <c r="FX43" i="18"/>
  <c r="JP43" i="18"/>
  <c r="NH43" i="18"/>
  <c r="QZ43" i="18"/>
  <c r="UC41" i="18"/>
  <c r="UD41" i="18"/>
  <c r="Q76" i="5"/>
  <c r="U76" i="5" s="1"/>
  <c r="I78" i="9"/>
  <c r="R40" i="18"/>
  <c r="Q40" i="18"/>
  <c r="P40" i="18"/>
  <c r="L79" i="9"/>
  <c r="L78" i="9"/>
  <c r="M76" i="9"/>
  <c r="M77" i="9"/>
  <c r="J79" i="9"/>
  <c r="J78" i="9"/>
  <c r="H80" i="9"/>
  <c r="K80" i="9" s="1"/>
  <c r="H81" i="9"/>
  <c r="K81" i="9" s="1"/>
  <c r="F82" i="8"/>
  <c r="G82" i="8"/>
  <c r="F83" i="8"/>
  <c r="G83" i="8"/>
  <c r="J81" i="7"/>
  <c r="I81" i="7"/>
  <c r="I80" i="7"/>
  <c r="J80" i="7"/>
  <c r="U42" i="15"/>
  <c r="Y42" i="18" s="1"/>
  <c r="E42" i="15"/>
  <c r="D42" i="15"/>
  <c r="T38" i="18"/>
  <c r="I83" i="5"/>
  <c r="I80" i="5"/>
  <c r="J80" i="5" s="1"/>
  <c r="H80" i="1"/>
  <c r="I80" i="1" s="1"/>
  <c r="H81" i="1"/>
  <c r="I81" i="1" s="1"/>
  <c r="T42" i="15"/>
  <c r="XB43" i="18"/>
  <c r="WD43" i="18"/>
  <c r="UH43" i="18"/>
  <c r="TJ43" i="18"/>
  <c r="SL43" i="18"/>
  <c r="QP43" i="18"/>
  <c r="PR43" i="18"/>
  <c r="OT43" i="18"/>
  <c r="MX43" i="18"/>
  <c r="LZ43" i="18"/>
  <c r="LB43" i="18"/>
  <c r="JF43" i="18"/>
  <c r="IH43" i="18"/>
  <c r="HJ43" i="18"/>
  <c r="FN43" i="18"/>
  <c r="EP43" i="18"/>
  <c r="DR43" i="18"/>
  <c r="BV43" i="18"/>
  <c r="AX43" i="18"/>
  <c r="XH43" i="18"/>
  <c r="UB43" i="18"/>
  <c r="TP43" i="18"/>
  <c r="RZ43" i="18"/>
  <c r="PX43" i="18"/>
  <c r="OH43" i="18"/>
  <c r="MR43" i="18"/>
  <c r="KP43" i="18"/>
  <c r="IZ43" i="18"/>
  <c r="IN43" i="18"/>
  <c r="FH43" i="18"/>
  <c r="EV43" i="18"/>
  <c r="DF43" i="18"/>
  <c r="BD43" i="18"/>
  <c r="WJ43" i="18"/>
  <c r="VX43" i="18"/>
  <c r="TD43" i="18"/>
  <c r="ND43" i="18"/>
  <c r="LN43" i="18"/>
  <c r="KJ43" i="18"/>
  <c r="JX43" i="18"/>
  <c r="IT43" i="18"/>
  <c r="HP43" i="18"/>
  <c r="HD43" i="18"/>
  <c r="FZ43" i="18"/>
  <c r="EJ43" i="18"/>
  <c r="UZ43" i="18"/>
  <c r="SR43" i="18"/>
  <c r="RH43" i="18"/>
  <c r="OZ43" i="18"/>
  <c r="NP43" i="18"/>
  <c r="LH43" i="18"/>
  <c r="HV43" i="18"/>
  <c r="ED43" i="18"/>
  <c r="DL43" i="18"/>
  <c r="AL43" i="18"/>
  <c r="WV43" i="18"/>
  <c r="VL43" i="18"/>
  <c r="RT43" i="18"/>
  <c r="RB43" i="18"/>
  <c r="OB43" i="18"/>
  <c r="NJ43" i="18"/>
  <c r="JR43" i="18"/>
  <c r="GF43" i="18"/>
  <c r="DX43" i="18"/>
  <c r="CN43" i="18"/>
  <c r="WP43" i="18"/>
  <c r="SF43" i="18"/>
  <c r="PF43" i="18"/>
  <c r="KV43" i="18"/>
  <c r="JL43" i="18"/>
  <c r="FB43" i="18"/>
  <c r="CB43" i="18"/>
  <c r="AR43" i="18"/>
  <c r="UN43" i="18"/>
  <c r="QD43" i="18"/>
  <c r="LT43" i="18"/>
  <c r="CZ43" i="18"/>
  <c r="SX43" i="18"/>
  <c r="ON43" i="18"/>
  <c r="FT43" i="18"/>
  <c r="BJ43" i="18"/>
  <c r="ML43" i="18"/>
  <c r="GR43" i="18"/>
  <c r="QV43" i="18"/>
  <c r="PL43" i="18"/>
  <c r="TV43" i="18"/>
  <c r="IB43" i="18"/>
  <c r="CH43" i="18"/>
  <c r="B83" i="7"/>
  <c r="B83" i="1"/>
  <c r="B83" i="9"/>
  <c r="AD80" i="5"/>
  <c r="AE80" i="5" s="1"/>
  <c r="AI80" i="5" s="1"/>
  <c r="B85" i="5"/>
  <c r="R83" i="5"/>
  <c r="AG83" i="5" s="1"/>
  <c r="K83" i="5"/>
  <c r="AE83" i="5"/>
  <c r="B82" i="5"/>
  <c r="R80" i="5"/>
  <c r="AG80" i="5" s="1"/>
  <c r="K80" i="5"/>
  <c r="F78" i="5"/>
  <c r="AJ78" i="5"/>
  <c r="B108" i="14"/>
  <c r="U105" i="14"/>
  <c r="S105" i="14"/>
  <c r="T105" i="14"/>
  <c r="Q104" i="14"/>
  <c r="R104" i="14"/>
  <c r="B43" i="15"/>
  <c r="B82" i="9"/>
  <c r="B82" i="7"/>
  <c r="B85" i="8"/>
  <c r="B84" i="8"/>
  <c r="O78" i="1"/>
  <c r="BQ79" i="1"/>
  <c r="BP79" i="1"/>
  <c r="X79" i="7" s="1"/>
  <c r="O79" i="1"/>
  <c r="B82" i="1"/>
  <c r="N80" i="1"/>
  <c r="R73" i="8" l="1"/>
  <c r="QR41" i="18"/>
  <c r="BP42" i="18"/>
  <c r="BR42" i="18" s="1"/>
  <c r="S39" i="18"/>
  <c r="U39" i="18" s="1"/>
  <c r="UT43" i="18"/>
  <c r="BP43" i="18"/>
  <c r="GX43" i="18"/>
  <c r="MF43" i="18"/>
  <c r="QJ43" i="18"/>
  <c r="VR43" i="18"/>
  <c r="CT43" i="18"/>
  <c r="GL43" i="18"/>
  <c r="KD43" i="18"/>
  <c r="NV43" i="18"/>
  <c r="RN43" i="18"/>
  <c r="JX42" i="18"/>
  <c r="JY42" i="18" s="1"/>
  <c r="EP42" i="18"/>
  <c r="ER42" i="18" s="1"/>
  <c r="UZ42" i="18"/>
  <c r="VB42" i="18" s="1"/>
  <c r="LN42" i="18"/>
  <c r="LO42" i="18" s="1"/>
  <c r="MT41" i="18"/>
  <c r="MC41" i="18"/>
  <c r="RQ41" i="18"/>
  <c r="AR42" i="18"/>
  <c r="AS42" i="18" s="1"/>
  <c r="UB42" i="18"/>
  <c r="UD42" i="18" s="1"/>
  <c r="FW41" i="18"/>
  <c r="CH42" i="18"/>
  <c r="CJ42" i="18" s="1"/>
  <c r="DF42" i="18"/>
  <c r="DG42" i="18" s="1"/>
  <c r="EV42" i="18"/>
  <c r="EW42" i="18" s="1"/>
  <c r="TD42" i="18"/>
  <c r="TE42" i="18" s="1"/>
  <c r="GF42" i="18"/>
  <c r="GI42" i="18" s="1"/>
  <c r="IZ42" i="18"/>
  <c r="JB42" i="18" s="1"/>
  <c r="SL42" i="18"/>
  <c r="SM42" i="18" s="1"/>
  <c r="VX42" i="18"/>
  <c r="VZ42" i="18" s="1"/>
  <c r="RH42" i="18"/>
  <c r="RK42" i="18" s="1"/>
  <c r="JF42" i="18"/>
  <c r="JI42" i="18" s="1"/>
  <c r="RZ42" i="18"/>
  <c r="SA42" i="18" s="1"/>
  <c r="TP42" i="18"/>
  <c r="TS42" i="18" s="1"/>
  <c r="QJ42" i="18"/>
  <c r="QL42" i="18" s="1"/>
  <c r="PX42" i="18"/>
  <c r="PZ42" i="18" s="1"/>
  <c r="CZ42" i="18"/>
  <c r="DA42" i="18" s="1"/>
  <c r="BY41" i="18"/>
  <c r="PF42" i="18"/>
  <c r="PI42" i="18" s="1"/>
  <c r="ML42" i="18"/>
  <c r="MO42" i="18" s="1"/>
  <c r="CN42" i="18"/>
  <c r="CQ42" i="18" s="1"/>
  <c r="LZ42" i="18"/>
  <c r="MA42" i="18" s="1"/>
  <c r="WJ42" i="18"/>
  <c r="WM42" i="18" s="1"/>
  <c r="HV42" i="18"/>
  <c r="HX42" i="18" s="1"/>
  <c r="KJ42" i="18"/>
  <c r="KK42" i="18" s="1"/>
  <c r="MF42" i="18"/>
  <c r="MG42" i="18" s="1"/>
  <c r="GH42" i="18"/>
  <c r="KA41" i="18"/>
  <c r="IK41" i="18"/>
  <c r="QL41" i="18"/>
  <c r="MX42" i="18"/>
  <c r="MY42" i="18" s="1"/>
  <c r="SF42" i="18"/>
  <c r="SI42" i="18" s="1"/>
  <c r="BJ42" i="18"/>
  <c r="BK42" i="18" s="1"/>
  <c r="QV42" i="18"/>
  <c r="QW42" i="18" s="1"/>
  <c r="IB42" i="18"/>
  <c r="IC42" i="18" s="1"/>
  <c r="FB42" i="18"/>
  <c r="FC42" i="18" s="1"/>
  <c r="AX42" i="18"/>
  <c r="AY42" i="18" s="1"/>
  <c r="BK41" i="18"/>
  <c r="LB42" i="18"/>
  <c r="LD42" i="18" s="1"/>
  <c r="DL42" i="18"/>
  <c r="DM42" i="18" s="1"/>
  <c r="HJ42" i="18"/>
  <c r="HK42" i="18" s="1"/>
  <c r="UN42" i="18"/>
  <c r="UO42" i="18" s="1"/>
  <c r="OH42" i="18"/>
  <c r="OJ42" i="18" s="1"/>
  <c r="EJ42" i="18"/>
  <c r="EK42" i="18" s="1"/>
  <c r="KD42" i="18"/>
  <c r="KF42" i="18" s="1"/>
  <c r="MR42" i="18"/>
  <c r="MT42" i="18" s="1"/>
  <c r="KP42" i="18"/>
  <c r="KQ42" i="18" s="1"/>
  <c r="ED42" i="18"/>
  <c r="EE42" i="18" s="1"/>
  <c r="HD42" i="18"/>
  <c r="HF42" i="18" s="1"/>
  <c r="GR42" i="18"/>
  <c r="GU42" i="18" s="1"/>
  <c r="CT42" i="18"/>
  <c r="CU42" i="18" s="1"/>
  <c r="KV42" i="18"/>
  <c r="KY42" i="18" s="1"/>
  <c r="IT42" i="18"/>
  <c r="IV42" i="18" s="1"/>
  <c r="BD42" i="18"/>
  <c r="BE42" i="18" s="1"/>
  <c r="DR42" i="18"/>
  <c r="DU42" i="18" s="1"/>
  <c r="CP41" i="18"/>
  <c r="OE41" i="18"/>
  <c r="JN41" i="18"/>
  <c r="DO41" i="18"/>
  <c r="RW41" i="18"/>
  <c r="DC41" i="18"/>
  <c r="HE41" i="18"/>
  <c r="JM41" i="18"/>
  <c r="CC41" i="18"/>
  <c r="BQ41" i="18"/>
  <c r="MU41" i="18"/>
  <c r="FV41" i="18"/>
  <c r="XE41" i="18"/>
  <c r="SN41" i="18"/>
  <c r="HF41" i="18"/>
  <c r="JY41" i="18"/>
  <c r="II41" i="18"/>
  <c r="OK41" i="18"/>
  <c r="LV41" i="18"/>
  <c r="RD41" i="18"/>
  <c r="VU41" i="18"/>
  <c r="FD41" i="18"/>
  <c r="QS41" i="18"/>
  <c r="JC41" i="18"/>
  <c r="JA41" i="18"/>
  <c r="AN41" i="18"/>
  <c r="SM41" i="18"/>
  <c r="CJ41" i="18"/>
  <c r="VS41" i="18"/>
  <c r="BL41" i="18"/>
  <c r="FN42" i="18"/>
  <c r="FQ42" i="18" s="1"/>
  <c r="AL42" i="18"/>
  <c r="AN42" i="18" s="1"/>
  <c r="OB42" i="18"/>
  <c r="OE42" i="18" s="1"/>
  <c r="OZ42" i="18"/>
  <c r="PA42" i="18" s="1"/>
  <c r="OT42" i="18"/>
  <c r="OW42" i="18" s="1"/>
  <c r="JL42" i="18"/>
  <c r="JM42" i="18" s="1"/>
  <c r="RT42" i="18"/>
  <c r="RV42" i="18" s="1"/>
  <c r="GX42" i="18"/>
  <c r="HA42" i="18" s="1"/>
  <c r="ND42" i="18"/>
  <c r="NF42" i="18" s="1"/>
  <c r="FH42" i="18"/>
  <c r="FI42" i="18" s="1"/>
  <c r="IH42" i="18"/>
  <c r="IK42" i="18" s="1"/>
  <c r="NJ42" i="18"/>
  <c r="NK42" i="18" s="1"/>
  <c r="XB42" i="18"/>
  <c r="XC42" i="18" s="1"/>
  <c r="QD42" i="18"/>
  <c r="QF42" i="18" s="1"/>
  <c r="SX42" i="18"/>
  <c r="TA42" i="18" s="1"/>
  <c r="ON42" i="18"/>
  <c r="OP42" i="18" s="1"/>
  <c r="NP42" i="18"/>
  <c r="NS42" i="18" s="1"/>
  <c r="XD41" i="18"/>
  <c r="TK41" i="18"/>
  <c r="FE41" i="18"/>
  <c r="BW41" i="18"/>
  <c r="VZ41" i="18"/>
  <c r="DB41" i="18"/>
  <c r="OC41" i="18"/>
  <c r="AM41" i="18"/>
  <c r="DY41" i="18"/>
  <c r="CK41" i="18"/>
  <c r="QP42" i="18"/>
  <c r="QS42" i="18" s="1"/>
  <c r="BV42" i="18"/>
  <c r="BW42" i="18" s="1"/>
  <c r="FT42" i="18"/>
  <c r="FU42" i="18" s="1"/>
  <c r="DX42" i="18"/>
  <c r="DY42" i="18" s="1"/>
  <c r="XH42" i="18"/>
  <c r="XJ42" i="18" s="1"/>
  <c r="VR42" i="18"/>
  <c r="VU42" i="18" s="1"/>
  <c r="TJ42" i="18"/>
  <c r="TL42" i="18" s="1"/>
  <c r="WP42" i="18"/>
  <c r="WQ42" i="18" s="1"/>
  <c r="SR42" i="18"/>
  <c r="SU42" i="18" s="1"/>
  <c r="FZ42" i="18"/>
  <c r="GB42" i="18" s="1"/>
  <c r="IN42" i="18"/>
  <c r="IO42" i="18" s="1"/>
  <c r="GL42" i="18"/>
  <c r="GN42" i="18" s="1"/>
  <c r="RB42" i="18"/>
  <c r="RE42" i="18" s="1"/>
  <c r="LT42" i="18"/>
  <c r="LV42" i="18" s="1"/>
  <c r="RN42" i="18"/>
  <c r="RP42" i="18" s="1"/>
  <c r="VL42" i="18"/>
  <c r="VN42" i="18" s="1"/>
  <c r="UT42" i="18"/>
  <c r="UV42" i="18" s="1"/>
  <c r="NV42" i="18"/>
  <c r="NX42" i="18" s="1"/>
  <c r="WV42" i="18"/>
  <c r="WX42" i="18" s="1"/>
  <c r="WD42" i="18"/>
  <c r="WF42" i="18" s="1"/>
  <c r="PL42" i="18"/>
  <c r="PN42" i="18" s="1"/>
  <c r="VF42" i="18"/>
  <c r="VI42" i="18" s="1"/>
  <c r="PR42" i="18"/>
  <c r="PT42" i="18" s="1"/>
  <c r="TV42" i="18"/>
  <c r="TX42" i="18" s="1"/>
  <c r="TM41" i="18"/>
  <c r="FK41" i="18"/>
  <c r="QY41" i="18"/>
  <c r="GS41" i="18"/>
  <c r="WM41" i="18"/>
  <c r="IQ41" i="18"/>
  <c r="FQ41" i="18"/>
  <c r="MI41" i="18"/>
  <c r="FJ41" i="18"/>
  <c r="TG41" i="18"/>
  <c r="HM41" i="18"/>
  <c r="FP41" i="18"/>
  <c r="QW41" i="18"/>
  <c r="MG41" i="18"/>
  <c r="GT41" i="18"/>
  <c r="QK41" i="18"/>
  <c r="EE41" i="18"/>
  <c r="EW41" i="18"/>
  <c r="NF41" i="18"/>
  <c r="WK41" i="18"/>
  <c r="MB41" i="18"/>
  <c r="JG41" i="18"/>
  <c r="JH41" i="18"/>
  <c r="XJ41" i="18"/>
  <c r="RO41" i="18"/>
  <c r="EF41" i="18"/>
  <c r="IU41" i="18"/>
  <c r="XK41" i="18"/>
  <c r="OP41" i="18"/>
  <c r="GB41" i="18"/>
  <c r="DU41" i="18"/>
  <c r="IV41" i="18"/>
  <c r="KK41" i="18"/>
  <c r="VG41" i="18"/>
  <c r="OJ41" i="18"/>
  <c r="EA41" i="18"/>
  <c r="CP42" i="18"/>
  <c r="OW41" i="18"/>
  <c r="SG41" i="18"/>
  <c r="PH41" i="18"/>
  <c r="SH41" i="18"/>
  <c r="CB42" i="18"/>
  <c r="LH42" i="18"/>
  <c r="LJ42" i="18" s="1"/>
  <c r="UH42" i="18"/>
  <c r="WG41" i="18"/>
  <c r="PZ41" i="18"/>
  <c r="UW41" i="18"/>
  <c r="BS42" i="18"/>
  <c r="NW41" i="18"/>
  <c r="TR41" i="18"/>
  <c r="DG41" i="18"/>
  <c r="PB41" i="18"/>
  <c r="PN41" i="18"/>
  <c r="LO41" i="18"/>
  <c r="BS41" i="18"/>
  <c r="AY41" i="18"/>
  <c r="UQ41" i="18"/>
  <c r="GM41" i="18"/>
  <c r="RV41" i="18"/>
  <c r="TE41" i="18"/>
  <c r="SB41" i="18"/>
  <c r="IO41" i="18"/>
  <c r="SU41" i="18"/>
  <c r="VB41" i="18"/>
  <c r="VA41" i="18"/>
  <c r="LW41" i="18"/>
  <c r="VY41" i="18"/>
  <c r="RC41" i="18"/>
  <c r="BE41" i="18"/>
  <c r="CE41" i="18"/>
  <c r="GG41" i="18"/>
  <c r="UP41" i="18"/>
  <c r="NK41" i="18"/>
  <c r="JU41" i="18"/>
  <c r="JT41" i="18"/>
  <c r="VO41" i="18"/>
  <c r="NX41" i="18"/>
  <c r="PC41" i="18"/>
  <c r="WR41" i="18"/>
  <c r="LQ41" i="18"/>
  <c r="TS41" i="18"/>
  <c r="NM41" i="18"/>
  <c r="GY41" i="18"/>
  <c r="BG41" i="18"/>
  <c r="UV41" i="18"/>
  <c r="KQ41" i="18"/>
  <c r="DI41" i="18"/>
  <c r="IC41" i="18"/>
  <c r="PS41" i="18"/>
  <c r="RK41" i="18"/>
  <c r="PT41" i="18"/>
  <c r="AZ41" i="18"/>
  <c r="RI41" i="18"/>
  <c r="GN41" i="18"/>
  <c r="LK41" i="18"/>
  <c r="CW41" i="18"/>
  <c r="CU41" i="18"/>
  <c r="WQ41" i="18"/>
  <c r="WF41" i="18"/>
  <c r="KS41" i="18"/>
  <c r="QA41" i="18"/>
  <c r="ID41" i="18"/>
  <c r="GZ41" i="18"/>
  <c r="VN41" i="18"/>
  <c r="LJ41" i="18"/>
  <c r="HQ42" i="18"/>
  <c r="EX41" i="18"/>
  <c r="LD41" i="18"/>
  <c r="AU41" i="18"/>
  <c r="ES41" i="18"/>
  <c r="HQ41" i="18"/>
  <c r="SZ41" i="18"/>
  <c r="GH41" i="18"/>
  <c r="AS41" i="18"/>
  <c r="TW41" i="18"/>
  <c r="HY41" i="18"/>
  <c r="ST41" i="18"/>
  <c r="SC41" i="18"/>
  <c r="SY41" i="18"/>
  <c r="WX41" i="18"/>
  <c r="NE41" i="18"/>
  <c r="LE41" i="18"/>
  <c r="EQ41" i="18"/>
  <c r="TY41" i="18"/>
  <c r="HW41" i="18"/>
  <c r="HL41" i="18"/>
  <c r="HS41" i="18"/>
  <c r="PO41" i="18"/>
  <c r="WW41" i="18"/>
  <c r="MO41" i="18"/>
  <c r="MM41" i="18"/>
  <c r="OU41" i="18"/>
  <c r="NQ41" i="18"/>
  <c r="OO41" i="18"/>
  <c r="QE41" i="18"/>
  <c r="CQ41" i="18"/>
  <c r="QF41" i="18"/>
  <c r="GA41" i="18"/>
  <c r="EM41" i="18"/>
  <c r="NA41" i="18"/>
  <c r="MY41" i="18"/>
  <c r="KL41" i="18"/>
  <c r="KX41" i="18"/>
  <c r="PI41" i="18"/>
  <c r="KW41" i="18"/>
  <c r="DS41" i="18"/>
  <c r="NR41" i="18"/>
  <c r="KG41" i="18"/>
  <c r="KE41" i="18"/>
  <c r="VH41" i="18"/>
  <c r="EK41" i="18"/>
  <c r="JT42" i="18"/>
  <c r="UJ41" i="18"/>
  <c r="UK41" i="18"/>
  <c r="UI41" i="18"/>
  <c r="UR44" i="18"/>
  <c r="UY43" i="18"/>
  <c r="VC43" i="18" s="1"/>
  <c r="JU42" i="18"/>
  <c r="JS42" i="18"/>
  <c r="HS42" i="18"/>
  <c r="HR42" i="18"/>
  <c r="E44" i="18"/>
  <c r="G44" i="18" s="1"/>
  <c r="WU43" i="18"/>
  <c r="WX43" i="18" s="1"/>
  <c r="AW43" i="18"/>
  <c r="AY43" i="18" s="1"/>
  <c r="O44" i="18"/>
  <c r="QO43" i="18"/>
  <c r="QS43" i="18" s="1"/>
  <c r="BZ44" i="18"/>
  <c r="OS43" i="18"/>
  <c r="OW43" i="18" s="1"/>
  <c r="P10" i="19"/>
  <c r="P11" i="19"/>
  <c r="I81" i="9"/>
  <c r="B89" i="19"/>
  <c r="G89" i="19" s="1"/>
  <c r="F87" i="19"/>
  <c r="ET44" i="18"/>
  <c r="WB44" i="18"/>
  <c r="NT44" i="18"/>
  <c r="OF44" i="18"/>
  <c r="DV44" i="18"/>
  <c r="KI43" i="18"/>
  <c r="KM43" i="18" s="1"/>
  <c r="FA43" i="18"/>
  <c r="FE43" i="18" s="1"/>
  <c r="AQ43" i="18"/>
  <c r="AS43" i="18" s="1"/>
  <c r="QN44" i="18"/>
  <c r="XF44" i="18"/>
  <c r="HB44" i="18"/>
  <c r="HH44" i="18"/>
  <c r="DD44" i="18"/>
  <c r="RX44" i="18"/>
  <c r="DE43" i="18"/>
  <c r="DG43" i="18" s="1"/>
  <c r="SQ43" i="18"/>
  <c r="SS43" i="18" s="1"/>
  <c r="IA43" i="18"/>
  <c r="IC43" i="18" s="1"/>
  <c r="MV44" i="18"/>
  <c r="LF44" i="18"/>
  <c r="KH44" i="18"/>
  <c r="RL44" i="18"/>
  <c r="MP44" i="18"/>
  <c r="GV44" i="18"/>
  <c r="VP44" i="18"/>
  <c r="TI43" i="18"/>
  <c r="TL43" i="18" s="1"/>
  <c r="EC43" i="18"/>
  <c r="EG43" i="18" s="1"/>
  <c r="PK43" i="18"/>
  <c r="PO43" i="18" s="1"/>
  <c r="LX44" i="18"/>
  <c r="CX44" i="18"/>
  <c r="RR44" i="18"/>
  <c r="VJ44" i="18"/>
  <c r="QT44" i="18"/>
  <c r="KN44" i="18"/>
  <c r="N15" i="7"/>
  <c r="K15" i="7"/>
  <c r="N14" i="7"/>
  <c r="K14" i="7"/>
  <c r="L14" i="7"/>
  <c r="L15" i="7"/>
  <c r="D14" i="19"/>
  <c r="E15" i="19"/>
  <c r="Q9" i="15"/>
  <c r="P9" i="15"/>
  <c r="E15" i="8"/>
  <c r="D14" i="8"/>
  <c r="R14" i="8" s="1"/>
  <c r="G9" i="15"/>
  <c r="N44" i="18"/>
  <c r="KC43" i="18"/>
  <c r="GK43" i="18"/>
  <c r="KO43" i="18"/>
  <c r="KS43" i="18" s="1"/>
  <c r="EU43" i="18"/>
  <c r="EX43" i="18" s="1"/>
  <c r="WI43" i="18"/>
  <c r="WM43" i="18" s="1"/>
  <c r="IG43" i="18"/>
  <c r="II43" i="18" s="1"/>
  <c r="VK43" i="18"/>
  <c r="VO43" i="18" s="1"/>
  <c r="HU43" i="18"/>
  <c r="HY43" i="18" s="1"/>
  <c r="SK43" i="18"/>
  <c r="SN43" i="18" s="1"/>
  <c r="DK43" i="18"/>
  <c r="DN43" i="18" s="1"/>
  <c r="KU43" i="18"/>
  <c r="KW43" i="18" s="1"/>
  <c r="SE43" i="18"/>
  <c r="SG43" i="18" s="1"/>
  <c r="BT44" i="18"/>
  <c r="OX44" i="18"/>
  <c r="JD44" i="18"/>
  <c r="UX44" i="18"/>
  <c r="PP44" i="18"/>
  <c r="GJ44" i="18"/>
  <c r="OL44" i="18"/>
  <c r="AV44" i="18"/>
  <c r="LR44" i="18"/>
  <c r="VD44" i="18"/>
  <c r="EH44" i="18"/>
  <c r="IF44" i="18"/>
  <c r="SP44" i="18"/>
  <c r="VV44" i="18"/>
  <c r="DP44" i="18"/>
  <c r="IX44" i="18"/>
  <c r="NB44" i="18"/>
  <c r="SJ44" i="18"/>
  <c r="AJ44" i="18"/>
  <c r="EB44" i="18"/>
  <c r="HT44" i="18"/>
  <c r="LL44" i="18"/>
  <c r="PD44" i="18"/>
  <c r="SV44" i="18"/>
  <c r="WN44" i="18"/>
  <c r="D44" i="18"/>
  <c r="QC43" i="18"/>
  <c r="QE43" i="18" s="1"/>
  <c r="MK43" i="18"/>
  <c r="MN43" i="18" s="1"/>
  <c r="LG43" i="18"/>
  <c r="LK43" i="18" s="1"/>
  <c r="IM43" i="18"/>
  <c r="IP43" i="18" s="1"/>
  <c r="BC43" i="18"/>
  <c r="BF43" i="18" s="1"/>
  <c r="OG43" i="18"/>
  <c r="OI43" i="18" s="1"/>
  <c r="XA43" i="18"/>
  <c r="XC43" i="18" s="1"/>
  <c r="JK43" i="18"/>
  <c r="JM43" i="18" s="1"/>
  <c r="SW43" i="18"/>
  <c r="SY43" i="18" s="1"/>
  <c r="EI43" i="18"/>
  <c r="EL43" i="18" s="1"/>
  <c r="LS43" i="18"/>
  <c r="LV43" i="18" s="1"/>
  <c r="TC43" i="18"/>
  <c r="TE43" i="18" s="1"/>
  <c r="IL44" i="18"/>
  <c r="GD44" i="18"/>
  <c r="TH44" i="18"/>
  <c r="MD44" i="18"/>
  <c r="WH44" i="18"/>
  <c r="WT44" i="18"/>
  <c r="KB44" i="18"/>
  <c r="SD44" i="18"/>
  <c r="EN44" i="18"/>
  <c r="NZ44" i="18"/>
  <c r="BB44" i="18"/>
  <c r="FL44" i="18"/>
  <c r="JV44" i="18"/>
  <c r="TB44" i="18"/>
  <c r="WZ44" i="18"/>
  <c r="FF44" i="18"/>
  <c r="JJ44" i="18"/>
  <c r="OR44" i="18"/>
  <c r="TZ44" i="18"/>
  <c r="BH44" i="18"/>
  <c r="EZ44" i="18"/>
  <c r="IR44" i="18"/>
  <c r="MJ44" i="18"/>
  <c r="QB44" i="18"/>
  <c r="TT44" i="18"/>
  <c r="B45" i="18"/>
  <c r="VE43" i="18"/>
  <c r="VG43" i="18" s="1"/>
  <c r="FY43" i="18"/>
  <c r="GB43" i="18" s="1"/>
  <c r="BU43" i="18"/>
  <c r="BW43" i="18" s="1"/>
  <c r="PQ43" i="18"/>
  <c r="PT43" i="18" s="1"/>
  <c r="MW43" i="18"/>
  <c r="NA43" i="18" s="1"/>
  <c r="DW43" i="18"/>
  <c r="DY43" i="18" s="1"/>
  <c r="RM43" i="18"/>
  <c r="DQ43" i="18"/>
  <c r="DT43" i="18" s="1"/>
  <c r="NC43" i="18"/>
  <c r="NF43" i="18" s="1"/>
  <c r="WO43" i="18"/>
  <c r="WQ43" i="18" s="1"/>
  <c r="HC43" i="18"/>
  <c r="HF43" i="18" s="1"/>
  <c r="OM43" i="18"/>
  <c r="OP43" i="18" s="1"/>
  <c r="VW43" i="18"/>
  <c r="VZ43" i="18" s="1"/>
  <c r="RF44" i="18"/>
  <c r="HN44" i="18"/>
  <c r="DJ44" i="18"/>
  <c r="NN44" i="18"/>
  <c r="CL44" i="18"/>
  <c r="AP44" i="18"/>
  <c r="KT44" i="18"/>
  <c r="TN44" i="18"/>
  <c r="HZ44" i="18"/>
  <c r="PJ44" i="18"/>
  <c r="CR44" i="18"/>
  <c r="GP44" i="18"/>
  <c r="PV44" i="18"/>
  <c r="UF44" i="18"/>
  <c r="BN44" i="18"/>
  <c r="FR44" i="18"/>
  <c r="KZ44" i="18"/>
  <c r="QH44" i="18"/>
  <c r="UL44" i="18"/>
  <c r="CF44" i="18"/>
  <c r="FX44" i="18"/>
  <c r="JP44" i="18"/>
  <c r="NH44" i="18"/>
  <c r="QZ44" i="18"/>
  <c r="DM43" i="18"/>
  <c r="OA43" i="18"/>
  <c r="OE43" i="18" s="1"/>
  <c r="CY43" i="18"/>
  <c r="DA43" i="18" s="1"/>
  <c r="XG43" i="18"/>
  <c r="XJ43" i="18" s="1"/>
  <c r="NI43" i="18"/>
  <c r="NM43" i="18" s="1"/>
  <c r="NU43" i="18"/>
  <c r="GW43" i="18"/>
  <c r="HA43" i="18" s="1"/>
  <c r="LY43" i="18"/>
  <c r="MA43" i="18" s="1"/>
  <c r="US43" i="18"/>
  <c r="JE43" i="18"/>
  <c r="JG43" i="18" s="1"/>
  <c r="RY43" i="18"/>
  <c r="SB43" i="18" s="1"/>
  <c r="CG43" i="18"/>
  <c r="CI43" i="18" s="1"/>
  <c r="FM43" i="18"/>
  <c r="FQ43" i="18" s="1"/>
  <c r="PW43" i="18"/>
  <c r="PZ43" i="18" s="1"/>
  <c r="TU43" i="18"/>
  <c r="TW43" i="18" s="1"/>
  <c r="AK43" i="18"/>
  <c r="AO43" i="18" s="1"/>
  <c r="FS43" i="18"/>
  <c r="FW43" i="18" s="1"/>
  <c r="LA43" i="18"/>
  <c r="LE43" i="18" s="1"/>
  <c r="PE43" i="18"/>
  <c r="PI43" i="18" s="1"/>
  <c r="UM43" i="18"/>
  <c r="UO43" i="18" s="1"/>
  <c r="BO43" i="18"/>
  <c r="FG43" i="18"/>
  <c r="FI43" i="18" s="1"/>
  <c r="IY43" i="18"/>
  <c r="JC43" i="18" s="1"/>
  <c r="MQ43" i="18"/>
  <c r="MU43" i="18" s="1"/>
  <c r="QI43" i="18"/>
  <c r="UA43" i="18"/>
  <c r="UD43" i="18" s="1"/>
  <c r="JQ43" i="18"/>
  <c r="JU43" i="18" s="1"/>
  <c r="IS43" i="18"/>
  <c r="IV43" i="18" s="1"/>
  <c r="EO43" i="18"/>
  <c r="ER43" i="18" s="1"/>
  <c r="RS43" i="18"/>
  <c r="RV43" i="18" s="1"/>
  <c r="TO43" i="18"/>
  <c r="TS43" i="18" s="1"/>
  <c r="HO43" i="18"/>
  <c r="HR43" i="18" s="1"/>
  <c r="OY43" i="18"/>
  <c r="PA43" i="18" s="1"/>
  <c r="BI43" i="18"/>
  <c r="BL43" i="18" s="1"/>
  <c r="ME43" i="18"/>
  <c r="VQ43" i="18"/>
  <c r="CS43" i="18"/>
  <c r="CW43" i="18" s="1"/>
  <c r="GQ43" i="18"/>
  <c r="GS43" i="18" s="1"/>
  <c r="RA43" i="18"/>
  <c r="RD43" i="18" s="1"/>
  <c r="UG43" i="18"/>
  <c r="UI43" i="18" s="1"/>
  <c r="CA43" i="18"/>
  <c r="CC43" i="18" s="1"/>
  <c r="HI43" i="18"/>
  <c r="HK43" i="18" s="1"/>
  <c r="LM43" i="18"/>
  <c r="LO43" i="18" s="1"/>
  <c r="QU43" i="18"/>
  <c r="QW43" i="18" s="1"/>
  <c r="WC43" i="18"/>
  <c r="WF43" i="18" s="1"/>
  <c r="CM43" i="18"/>
  <c r="CP43" i="18" s="1"/>
  <c r="GE43" i="18"/>
  <c r="GH43" i="18" s="1"/>
  <c r="JW43" i="18"/>
  <c r="JY43" i="18" s="1"/>
  <c r="NO43" i="18"/>
  <c r="NQ43" i="18" s="1"/>
  <c r="RG43" i="18"/>
  <c r="RK43" i="18" s="1"/>
  <c r="Q78" i="5"/>
  <c r="U78" i="5" s="1"/>
  <c r="I80" i="9"/>
  <c r="J83" i="5"/>
  <c r="F83" i="5" s="1"/>
  <c r="T39" i="18"/>
  <c r="L81" i="9"/>
  <c r="L80" i="9"/>
  <c r="M78" i="9"/>
  <c r="M79" i="9"/>
  <c r="J80" i="9"/>
  <c r="J81" i="9"/>
  <c r="H83" i="9"/>
  <c r="K83" i="9" s="1"/>
  <c r="H82" i="9"/>
  <c r="K82" i="9" s="1"/>
  <c r="F84" i="8"/>
  <c r="G84" i="8"/>
  <c r="F85" i="8"/>
  <c r="G85" i="8"/>
  <c r="I82" i="7"/>
  <c r="J82" i="7"/>
  <c r="I83" i="7"/>
  <c r="J83" i="7"/>
  <c r="U43" i="15"/>
  <c r="Y43" i="18" s="1"/>
  <c r="D43" i="15"/>
  <c r="E43" i="15"/>
  <c r="I85" i="5"/>
  <c r="I82" i="5"/>
  <c r="J82" i="5" s="1"/>
  <c r="H83" i="1"/>
  <c r="I83" i="1" s="1"/>
  <c r="H82" i="1"/>
  <c r="I82" i="1" s="1"/>
  <c r="T43" i="15"/>
  <c r="B85" i="1"/>
  <c r="B85" i="7"/>
  <c r="B85" i="9"/>
  <c r="AD82" i="5"/>
  <c r="AE82" i="5" s="1"/>
  <c r="AI82" i="5" s="1"/>
  <c r="AJ80" i="5"/>
  <c r="AL80" i="5" s="1"/>
  <c r="F80" i="5"/>
  <c r="B87" i="5"/>
  <c r="R85" i="5"/>
  <c r="AG85" i="5" s="1"/>
  <c r="AE85" i="5"/>
  <c r="K85" i="5"/>
  <c r="AL78" i="5"/>
  <c r="B84" i="5"/>
  <c r="R82" i="5"/>
  <c r="AG82" i="5" s="1"/>
  <c r="K82" i="5"/>
  <c r="R105" i="14"/>
  <c r="U106" i="14"/>
  <c r="T106" i="14"/>
  <c r="S106" i="14"/>
  <c r="Q105" i="14"/>
  <c r="B109" i="14"/>
  <c r="B84" i="1"/>
  <c r="N82" i="1"/>
  <c r="B84" i="9"/>
  <c r="B86" i="8"/>
  <c r="B44" i="15"/>
  <c r="BQ81" i="1"/>
  <c r="BP81" i="1"/>
  <c r="X81" i="7" s="1"/>
  <c r="O81" i="1"/>
  <c r="O80" i="1"/>
  <c r="B87" i="8"/>
  <c r="B84" i="7"/>
  <c r="JH42" i="18" l="1"/>
  <c r="AZ42" i="18"/>
  <c r="BL42" i="18"/>
  <c r="WE42" i="18"/>
  <c r="OD42" i="18"/>
  <c r="SB42" i="18"/>
  <c r="HG42" i="18"/>
  <c r="HE42" i="18"/>
  <c r="KL42" i="18"/>
  <c r="R75" i="8"/>
  <c r="BQ42" i="18"/>
  <c r="WR42" i="18"/>
  <c r="RO43" i="18"/>
  <c r="LQ42" i="18"/>
  <c r="PY42" i="18"/>
  <c r="HW42" i="18"/>
  <c r="LP42" i="18"/>
  <c r="RU42" i="18"/>
  <c r="EA42" i="18"/>
  <c r="II42" i="18"/>
  <c r="SN42" i="18"/>
  <c r="BA42" i="18"/>
  <c r="BM42" i="18"/>
  <c r="EY42" i="18"/>
  <c r="KA42" i="18"/>
  <c r="EX42" i="18"/>
  <c r="IW42" i="18"/>
  <c r="GM43" i="18"/>
  <c r="SC42" i="18"/>
  <c r="SO42" i="18"/>
  <c r="IU42" i="18"/>
  <c r="KG42" i="18"/>
  <c r="KE42" i="18"/>
  <c r="UE42" i="18"/>
  <c r="HM42" i="18"/>
  <c r="HL42" i="18"/>
  <c r="KM42" i="18"/>
  <c r="JZ42" i="18"/>
  <c r="MI43" i="18"/>
  <c r="CO42" i="18"/>
  <c r="UC42" i="18"/>
  <c r="XI42" i="18"/>
  <c r="OQ42" i="18"/>
  <c r="GY42" i="18"/>
  <c r="QR42" i="18"/>
  <c r="XK42" i="18"/>
  <c r="UU42" i="18"/>
  <c r="ST42" i="18"/>
  <c r="QQ42" i="18"/>
  <c r="NL42" i="18"/>
  <c r="GG42" i="18"/>
  <c r="PG42" i="18"/>
  <c r="QM43" i="18"/>
  <c r="UW43" i="18"/>
  <c r="KG43" i="18"/>
  <c r="TF42" i="18"/>
  <c r="TG42" i="18"/>
  <c r="ES42" i="18"/>
  <c r="TQ42" i="18"/>
  <c r="RW42" i="18"/>
  <c r="WS42" i="18"/>
  <c r="GM42" i="18"/>
  <c r="VM42" i="18"/>
  <c r="IJ42" i="18"/>
  <c r="OC42" i="18"/>
  <c r="TW42" i="18"/>
  <c r="TY42" i="18"/>
  <c r="DZ42" i="18"/>
  <c r="SY42" i="18"/>
  <c r="VO42" i="18"/>
  <c r="SZ42" i="18"/>
  <c r="GO42" i="18"/>
  <c r="WG42" i="18"/>
  <c r="TR42" i="18"/>
  <c r="UQ42" i="18"/>
  <c r="VY42" i="18"/>
  <c r="WA42" i="18"/>
  <c r="QY42" i="18"/>
  <c r="GT42" i="18"/>
  <c r="BG42" i="18"/>
  <c r="MC42" i="18"/>
  <c r="GS42" i="18"/>
  <c r="MH42" i="18"/>
  <c r="MS42" i="18"/>
  <c r="PB42" i="18"/>
  <c r="MU42" i="18"/>
  <c r="PC42" i="18"/>
  <c r="MB42" i="18"/>
  <c r="GZ42" i="18"/>
  <c r="QX42" i="18"/>
  <c r="NM42" i="18"/>
  <c r="UP42" i="18"/>
  <c r="PM42" i="18"/>
  <c r="BF42" i="18"/>
  <c r="MI42" i="18"/>
  <c r="OO42" i="18"/>
  <c r="EQ42" i="18"/>
  <c r="BQ43" i="18"/>
  <c r="VU43" i="18"/>
  <c r="DS42" i="18"/>
  <c r="SS42" i="18"/>
  <c r="PO42" i="18"/>
  <c r="UW42" i="18"/>
  <c r="RC42" i="18"/>
  <c r="RD42" i="18"/>
  <c r="PH42" i="18"/>
  <c r="VA42" i="18"/>
  <c r="NY43" i="18"/>
  <c r="OK42" i="18"/>
  <c r="KR42" i="18"/>
  <c r="OI42" i="18"/>
  <c r="MZ42" i="18"/>
  <c r="CK42" i="18"/>
  <c r="QK42" i="18"/>
  <c r="NA42" i="18"/>
  <c r="IE42" i="18"/>
  <c r="WK42" i="18"/>
  <c r="VC42" i="18"/>
  <c r="LE42" i="18"/>
  <c r="RJ42" i="18"/>
  <c r="ID42" i="18"/>
  <c r="KS42" i="18"/>
  <c r="CI42" i="18"/>
  <c r="RI42" i="18"/>
  <c r="WL42" i="18"/>
  <c r="CV42" i="18"/>
  <c r="QM42" i="18"/>
  <c r="CW42" i="18"/>
  <c r="LC42" i="18"/>
  <c r="DT42" i="18"/>
  <c r="TK42" i="18"/>
  <c r="JN42" i="18"/>
  <c r="AO42" i="18"/>
  <c r="IQ42" i="18"/>
  <c r="IP42" i="18"/>
  <c r="FK42" i="18"/>
  <c r="AM42" i="18"/>
  <c r="FV42" i="18"/>
  <c r="DB42" i="18"/>
  <c r="DC42" i="18"/>
  <c r="JG42" i="18"/>
  <c r="FD42" i="18"/>
  <c r="KX42" i="18"/>
  <c r="JC42" i="18"/>
  <c r="QA42" i="18"/>
  <c r="EG42" i="18"/>
  <c r="SH42" i="18"/>
  <c r="MN42" i="18"/>
  <c r="GA42" i="18"/>
  <c r="FE42" i="18"/>
  <c r="NQ42" i="18"/>
  <c r="XD42" i="18"/>
  <c r="OU42" i="18"/>
  <c r="DH42" i="18"/>
  <c r="MM42" i="18"/>
  <c r="AT42" i="18"/>
  <c r="JA42" i="18"/>
  <c r="FO42" i="18"/>
  <c r="EM42" i="18"/>
  <c r="EF42" i="18"/>
  <c r="DO42" i="18"/>
  <c r="HY42" i="18"/>
  <c r="DN42" i="18"/>
  <c r="EL42" i="18"/>
  <c r="KW42" i="18"/>
  <c r="SG42" i="18"/>
  <c r="NE42" i="18"/>
  <c r="NW42" i="18"/>
  <c r="AU42" i="18"/>
  <c r="DI42" i="18"/>
  <c r="NY42" i="18"/>
  <c r="NR42" i="18"/>
  <c r="VT42" i="18"/>
  <c r="LW42" i="18"/>
  <c r="LU42" i="18"/>
  <c r="NG42" i="18"/>
  <c r="BX42" i="18"/>
  <c r="OV42" i="18"/>
  <c r="VH42" i="18"/>
  <c r="BY42" i="18"/>
  <c r="GC42" i="18"/>
  <c r="FP42" i="18"/>
  <c r="VG42" i="18"/>
  <c r="VS42" i="18"/>
  <c r="XE42" i="18"/>
  <c r="RO42" i="18"/>
  <c r="PS42" i="18"/>
  <c r="JO42" i="18"/>
  <c r="TM42" i="18"/>
  <c r="WY42" i="18"/>
  <c r="WW42" i="18"/>
  <c r="RQ42" i="18"/>
  <c r="QE42" i="18"/>
  <c r="QG42" i="18"/>
  <c r="FJ42" i="18"/>
  <c r="FW42" i="18"/>
  <c r="PU42" i="18"/>
  <c r="CD42" i="18"/>
  <c r="CE42" i="18"/>
  <c r="CC42" i="18"/>
  <c r="BJ44" i="18"/>
  <c r="GX44" i="18"/>
  <c r="VF44" i="18"/>
  <c r="RN44" i="18"/>
  <c r="NV44" i="18"/>
  <c r="KD44" i="18"/>
  <c r="GL44" i="18"/>
  <c r="CT44" i="18"/>
  <c r="WJ44" i="18"/>
  <c r="RB44" i="18"/>
  <c r="LT44" i="18"/>
  <c r="HP44" i="18"/>
  <c r="CH44" i="18"/>
  <c r="QV44" i="18"/>
  <c r="NP44" i="18"/>
  <c r="DF44" i="18"/>
  <c r="XH44" i="18"/>
  <c r="SF44" i="18"/>
  <c r="IT44" i="18"/>
  <c r="VR44" i="18"/>
  <c r="MF44" i="18"/>
  <c r="HD44" i="18"/>
  <c r="MR44" i="18"/>
  <c r="KP44" i="18"/>
  <c r="KJ44" i="18"/>
  <c r="BD44" i="18"/>
  <c r="OH44" i="18"/>
  <c r="ML44" i="18"/>
  <c r="FT44" i="18"/>
  <c r="LN44" i="18"/>
  <c r="GR44" i="18"/>
  <c r="GF44" i="18"/>
  <c r="VL44" i="18"/>
  <c r="CN44" i="18"/>
  <c r="UH44" i="18"/>
  <c r="QP44" i="18"/>
  <c r="MX44" i="18"/>
  <c r="JF44" i="18"/>
  <c r="FN44" i="18"/>
  <c r="BV44" i="18"/>
  <c r="UT44" i="18"/>
  <c r="PL44" i="18"/>
  <c r="LH44" i="18"/>
  <c r="FZ44" i="18"/>
  <c r="AR44" i="18"/>
  <c r="QJ44" i="18"/>
  <c r="CB44" i="18"/>
  <c r="WP44" i="18"/>
  <c r="ON44" i="18"/>
  <c r="UZ44" i="18"/>
  <c r="ED44" i="18"/>
  <c r="IZ44" i="18"/>
  <c r="XB44" i="18"/>
  <c r="TJ44" i="18"/>
  <c r="PR44" i="18"/>
  <c r="LZ44" i="18"/>
  <c r="IH44" i="18"/>
  <c r="EP44" i="18"/>
  <c r="AX44" i="18"/>
  <c r="TD44" i="18"/>
  <c r="OZ44" i="18"/>
  <c r="JR44" i="18"/>
  <c r="EJ44" i="18"/>
  <c r="TP44" i="18"/>
  <c r="PF44" i="18"/>
  <c r="KV44" i="18"/>
  <c r="BP44" i="18"/>
  <c r="VX44" i="18"/>
  <c r="ND44" i="18"/>
  <c r="FB44" i="18"/>
  <c r="RH44" i="18"/>
  <c r="IN44" i="18"/>
  <c r="DL44" i="18"/>
  <c r="FH44" i="18"/>
  <c r="UN44" i="18"/>
  <c r="CZ44" i="18"/>
  <c r="JX44" i="18"/>
  <c r="WD44" i="18"/>
  <c r="SL44" i="18"/>
  <c r="OT44" i="18"/>
  <c r="LB44" i="18"/>
  <c r="HJ44" i="18"/>
  <c r="DR44" i="18"/>
  <c r="WV44" i="18"/>
  <c r="SR44" i="18"/>
  <c r="NJ44" i="18"/>
  <c r="IB44" i="18"/>
  <c r="DX44" i="18"/>
  <c r="RZ44" i="18"/>
  <c r="OB44" i="18"/>
  <c r="EV44" i="18"/>
  <c r="AL44" i="18"/>
  <c r="SX44" i="18"/>
  <c r="JL44" i="18"/>
  <c r="PX44" i="18"/>
  <c r="HV44" i="18"/>
  <c r="TV44" i="18"/>
  <c r="RT44" i="18"/>
  <c r="QD44" i="18"/>
  <c r="UB44" i="18"/>
  <c r="LK42" i="18"/>
  <c r="LI42" i="18"/>
  <c r="UJ42" i="18"/>
  <c r="UI42" i="18"/>
  <c r="UK42" i="18"/>
  <c r="WY43" i="18"/>
  <c r="VA43" i="18"/>
  <c r="VB43" i="18"/>
  <c r="Q41" i="18"/>
  <c r="P41" i="18"/>
  <c r="T40" i="18" s="1"/>
  <c r="R41" i="18"/>
  <c r="F44" i="18"/>
  <c r="LM44" i="18" s="1"/>
  <c r="TT45" i="18"/>
  <c r="OU43" i="18"/>
  <c r="WW43" i="18"/>
  <c r="E45" i="18"/>
  <c r="G45" i="18" s="1"/>
  <c r="QR43" i="18"/>
  <c r="NI44" i="18"/>
  <c r="NM44" i="18" s="1"/>
  <c r="CY44" i="18"/>
  <c r="QI44" i="18"/>
  <c r="QQ43" i="18"/>
  <c r="EC44" i="18"/>
  <c r="MW44" i="18"/>
  <c r="BC44" i="18"/>
  <c r="TI44" i="18"/>
  <c r="TU44" i="18"/>
  <c r="TO44" i="18"/>
  <c r="Q83" i="5"/>
  <c r="U83" i="5" s="1"/>
  <c r="OV43" i="18"/>
  <c r="AZ43" i="18"/>
  <c r="BA43" i="18"/>
  <c r="FM44" i="18"/>
  <c r="RS44" i="18"/>
  <c r="DW44" i="18"/>
  <c r="QO44" i="18"/>
  <c r="HI44" i="18"/>
  <c r="UM44" i="18"/>
  <c r="EU44" i="18"/>
  <c r="NU44" i="18"/>
  <c r="VE44" i="18"/>
  <c r="LS44" i="18"/>
  <c r="SE44" i="18"/>
  <c r="SI44" i="18" s="1"/>
  <c r="LG44" i="18"/>
  <c r="LK44" i="18" s="1"/>
  <c r="JQ44" i="18"/>
  <c r="CA44" i="18"/>
  <c r="UG44" i="18"/>
  <c r="HO44" i="18"/>
  <c r="US44" i="18"/>
  <c r="GK44" i="18"/>
  <c r="AQ44" i="18"/>
  <c r="HC44" i="18"/>
  <c r="MQ44" i="18"/>
  <c r="EO44" i="18"/>
  <c r="HU44" i="18"/>
  <c r="OA44" i="18"/>
  <c r="CG44" i="18"/>
  <c r="MK44" i="18"/>
  <c r="JE44" i="18"/>
  <c r="JI44" i="18" s="1"/>
  <c r="IM44" i="18"/>
  <c r="RY44" i="18"/>
  <c r="BO44" i="18"/>
  <c r="PK44" i="18"/>
  <c r="PM44" i="18" s="1"/>
  <c r="VW44" i="18"/>
  <c r="XA44" i="18"/>
  <c r="AW44" i="18"/>
  <c r="RA44" i="18"/>
  <c r="RD44" i="18" s="1"/>
  <c r="FS44" i="18"/>
  <c r="DQ44" i="18"/>
  <c r="QU44" i="18"/>
  <c r="IS44" i="18"/>
  <c r="NC44" i="18"/>
  <c r="DE44" i="18"/>
  <c r="DI44" i="18" s="1"/>
  <c r="KC44" i="18"/>
  <c r="PW44" i="18"/>
  <c r="XG44" i="18"/>
  <c r="EI44" i="18"/>
  <c r="IY44" i="18"/>
  <c r="OM44" i="18"/>
  <c r="TC44" i="18"/>
  <c r="AT43" i="18"/>
  <c r="FR45" i="18"/>
  <c r="AU43" i="18"/>
  <c r="SU43" i="18"/>
  <c r="ST43" i="18"/>
  <c r="EH45" i="18"/>
  <c r="ID43" i="18"/>
  <c r="XF45" i="18"/>
  <c r="B46" i="18"/>
  <c r="PN43" i="18"/>
  <c r="EE43" i="18"/>
  <c r="TZ45" i="18"/>
  <c r="IE43" i="18"/>
  <c r="DI43" i="18"/>
  <c r="GN43" i="18"/>
  <c r="DH43" i="18"/>
  <c r="PM43" i="18"/>
  <c r="DZ43" i="18"/>
  <c r="DO43" i="18"/>
  <c r="FC43" i="18"/>
  <c r="FD43" i="18"/>
  <c r="GO43" i="18"/>
  <c r="PQ44" i="18"/>
  <c r="SQ44" i="18"/>
  <c r="WC44" i="18"/>
  <c r="OY44" i="18"/>
  <c r="PA44" i="18" s="1"/>
  <c r="IG44" i="18"/>
  <c r="SK44" i="18"/>
  <c r="SN44" i="18" s="1"/>
  <c r="FA44" i="18"/>
  <c r="PE44" i="18"/>
  <c r="PH44" i="18" s="1"/>
  <c r="WO44" i="18"/>
  <c r="GQ44" i="18"/>
  <c r="GT44" i="18" s="1"/>
  <c r="QC44" i="18"/>
  <c r="FY44" i="18"/>
  <c r="KI44" i="18"/>
  <c r="OS44" i="18"/>
  <c r="CS44" i="18"/>
  <c r="CW44" i="18" s="1"/>
  <c r="GW44" i="18"/>
  <c r="ME44" i="18"/>
  <c r="RM44" i="18"/>
  <c r="VQ44" i="18"/>
  <c r="CM44" i="18"/>
  <c r="GE44" i="18"/>
  <c r="JW44" i="18"/>
  <c r="NO44" i="18"/>
  <c r="RG44" i="18"/>
  <c r="IJ43" i="18"/>
  <c r="TK43" i="18"/>
  <c r="I83" i="9"/>
  <c r="MP45" i="18"/>
  <c r="OF45" i="18"/>
  <c r="TM43" i="18"/>
  <c r="XE43" i="18"/>
  <c r="LI43" i="18"/>
  <c r="EK43" i="18"/>
  <c r="KK43" i="18"/>
  <c r="KL43" i="18"/>
  <c r="EF43" i="18"/>
  <c r="VH43" i="18"/>
  <c r="B91" i="19"/>
  <c r="G91" i="19" s="1"/>
  <c r="F89" i="19"/>
  <c r="KZ45" i="18"/>
  <c r="VJ45" i="18"/>
  <c r="JD45" i="18"/>
  <c r="IL45" i="18"/>
  <c r="DD45" i="18"/>
  <c r="RX45" i="18"/>
  <c r="BZ45" i="18"/>
  <c r="UL45" i="18"/>
  <c r="FL45" i="18"/>
  <c r="NB45" i="18"/>
  <c r="NT45" i="18"/>
  <c r="GV45" i="18"/>
  <c r="VP45" i="18"/>
  <c r="DP45" i="18"/>
  <c r="EN45" i="18"/>
  <c r="OX45" i="18"/>
  <c r="WH45" i="18"/>
  <c r="TB45" i="18"/>
  <c r="KN45" i="18"/>
  <c r="DU43" i="18"/>
  <c r="OQ43" i="18"/>
  <c r="L16" i="7"/>
  <c r="N17" i="7"/>
  <c r="N16" i="7"/>
  <c r="K17" i="7"/>
  <c r="K16" i="7"/>
  <c r="L17" i="7"/>
  <c r="E17" i="19"/>
  <c r="D16" i="19"/>
  <c r="P10" i="15"/>
  <c r="E17" i="8"/>
  <c r="G10" i="15"/>
  <c r="Q10" i="15"/>
  <c r="D16" i="8"/>
  <c r="R16" i="8" s="1"/>
  <c r="LW43" i="18"/>
  <c r="SM43" i="18"/>
  <c r="VI43" i="18"/>
  <c r="SO43" i="18"/>
  <c r="NE43" i="18"/>
  <c r="NG43" i="18"/>
  <c r="WR43" i="18"/>
  <c r="EA43" i="18"/>
  <c r="IO43" i="18"/>
  <c r="BR43" i="18"/>
  <c r="IK43" i="18"/>
  <c r="JN43" i="18"/>
  <c r="TF43" i="18"/>
  <c r="TG43" i="18"/>
  <c r="JO43" i="18"/>
  <c r="GA43" i="18"/>
  <c r="EY43" i="18"/>
  <c r="QY43" i="18"/>
  <c r="EW43" i="18"/>
  <c r="PS43" i="18"/>
  <c r="OO43" i="18"/>
  <c r="DS43" i="18"/>
  <c r="EM43" i="18"/>
  <c r="VN43" i="18"/>
  <c r="HG43" i="18"/>
  <c r="KF43" i="18"/>
  <c r="LJ43" i="18"/>
  <c r="WA43" i="18"/>
  <c r="TA43" i="18"/>
  <c r="KQ43" i="18"/>
  <c r="RQ43" i="18"/>
  <c r="WS43" i="18"/>
  <c r="GC43" i="18"/>
  <c r="IQ43" i="18"/>
  <c r="MZ43" i="18"/>
  <c r="LU43" i="18"/>
  <c r="MY43" i="18"/>
  <c r="KE43" i="18"/>
  <c r="WK43" i="18"/>
  <c r="XD43" i="18"/>
  <c r="VY43" i="18"/>
  <c r="WL43" i="18"/>
  <c r="N45" i="18"/>
  <c r="O45" i="18"/>
  <c r="HX43" i="18"/>
  <c r="PU43" i="18"/>
  <c r="QN45" i="18"/>
  <c r="UF45" i="18"/>
  <c r="UX45" i="18"/>
  <c r="HH45" i="18"/>
  <c r="SD45" i="18"/>
  <c r="DV45" i="18"/>
  <c r="IX45" i="18"/>
  <c r="SJ45" i="18"/>
  <c r="CL45" i="18"/>
  <c r="LF45" i="18"/>
  <c r="TH45" i="18"/>
  <c r="HN45" i="18"/>
  <c r="LX45" i="18"/>
  <c r="QH45" i="18"/>
  <c r="CR45" i="18"/>
  <c r="HZ45" i="18"/>
  <c r="MD45" i="18"/>
  <c r="RL45" i="18"/>
  <c r="WT45" i="18"/>
  <c r="CF45" i="18"/>
  <c r="FX45" i="18"/>
  <c r="JP45" i="18"/>
  <c r="NH45" i="18"/>
  <c r="QZ45" i="18"/>
  <c r="UR45" i="18"/>
  <c r="KA43" i="18"/>
  <c r="SC43" i="18"/>
  <c r="OK43" i="18"/>
  <c r="D45" i="18"/>
  <c r="F45" i="18" s="1"/>
  <c r="SI43" i="18"/>
  <c r="MM43" i="18"/>
  <c r="DJ45" i="18"/>
  <c r="GP45" i="18"/>
  <c r="HB45" i="18"/>
  <c r="OL45" i="18"/>
  <c r="VV45" i="18"/>
  <c r="FF45" i="18"/>
  <c r="NZ45" i="18"/>
  <c r="WB45" i="18"/>
  <c r="GD45" i="18"/>
  <c r="PP45" i="18"/>
  <c r="WZ45" i="18"/>
  <c r="KH45" i="18"/>
  <c r="NN45" i="18"/>
  <c r="AP45" i="18"/>
  <c r="ET45" i="18"/>
  <c r="KB45" i="18"/>
  <c r="PJ45" i="18"/>
  <c r="TN45" i="18"/>
  <c r="AJ45" i="18"/>
  <c r="EB45" i="18"/>
  <c r="HT45" i="18"/>
  <c r="LL45" i="18"/>
  <c r="PD45" i="18"/>
  <c r="SV45" i="18"/>
  <c r="WN45" i="18"/>
  <c r="SH43" i="18"/>
  <c r="MO43" i="18"/>
  <c r="HW43" i="18"/>
  <c r="OJ43" i="18"/>
  <c r="CX45" i="18"/>
  <c r="RF45" i="18"/>
  <c r="JJ45" i="18"/>
  <c r="MV45" i="18"/>
  <c r="QT45" i="18"/>
  <c r="AV45" i="18"/>
  <c r="IF45" i="18"/>
  <c r="RR45" i="18"/>
  <c r="BT45" i="18"/>
  <c r="JV45" i="18"/>
  <c r="SP45" i="18"/>
  <c r="BN45" i="18"/>
  <c r="KT45" i="18"/>
  <c r="OR45" i="18"/>
  <c r="BB45" i="18"/>
  <c r="GJ45" i="18"/>
  <c r="LR45" i="18"/>
  <c r="PV45" i="18"/>
  <c r="VD45" i="18"/>
  <c r="BH45" i="18"/>
  <c r="EZ45" i="18"/>
  <c r="IR45" i="18"/>
  <c r="MJ45" i="18"/>
  <c r="QB45" i="18"/>
  <c r="PH43" i="18"/>
  <c r="Q80" i="5"/>
  <c r="U80" i="5" s="1"/>
  <c r="BX43" i="18"/>
  <c r="KR43" i="18"/>
  <c r="BG43" i="18"/>
  <c r="SZ43" i="18"/>
  <c r="QF43" i="18"/>
  <c r="BY43" i="18"/>
  <c r="HE43" i="18"/>
  <c r="RP43" i="18"/>
  <c r="BE43" i="18"/>
  <c r="KX43" i="18"/>
  <c r="QG43" i="18"/>
  <c r="VM43" i="18"/>
  <c r="KY43" i="18"/>
  <c r="FU43" i="18"/>
  <c r="FO43" i="18"/>
  <c r="FP43" i="18"/>
  <c r="FJ43" i="18"/>
  <c r="JT43" i="18"/>
  <c r="BS43" i="18"/>
  <c r="BM43" i="18"/>
  <c r="UU43" i="18"/>
  <c r="FV43" i="18"/>
  <c r="JA43" i="18"/>
  <c r="GI43" i="18"/>
  <c r="FK43" i="18"/>
  <c r="NW43" i="18"/>
  <c r="MH43" i="18"/>
  <c r="GG43" i="18"/>
  <c r="RC43" i="18"/>
  <c r="CU43" i="18"/>
  <c r="IW43" i="18"/>
  <c r="DC43" i="18"/>
  <c r="SA43" i="18"/>
  <c r="CD43" i="18"/>
  <c r="EQ43" i="18"/>
  <c r="AM43" i="18"/>
  <c r="CK43" i="18"/>
  <c r="PC43" i="18"/>
  <c r="XI43" i="18"/>
  <c r="MB43" i="18"/>
  <c r="CV43" i="18"/>
  <c r="CE43" i="18"/>
  <c r="AN43" i="18"/>
  <c r="MC43" i="18"/>
  <c r="ES43" i="18"/>
  <c r="NR43" i="18"/>
  <c r="BK43" i="18"/>
  <c r="CQ43" i="18"/>
  <c r="CO43" i="18"/>
  <c r="UP43" i="18"/>
  <c r="PB43" i="18"/>
  <c r="NX43" i="18"/>
  <c r="LQ43" i="18"/>
  <c r="LD43" i="18"/>
  <c r="JS43" i="18"/>
  <c r="UE43" i="18"/>
  <c r="RE43" i="18"/>
  <c r="OC43" i="18"/>
  <c r="OD43" i="18"/>
  <c r="PY43" i="18"/>
  <c r="CJ43" i="18"/>
  <c r="WG43" i="18"/>
  <c r="XK43" i="18"/>
  <c r="PG43" i="18"/>
  <c r="QX43" i="18"/>
  <c r="VS43" i="18"/>
  <c r="UJ43" i="18"/>
  <c r="DB43" i="18"/>
  <c r="HQ43" i="18"/>
  <c r="HS43" i="18"/>
  <c r="VT43" i="18"/>
  <c r="UK43" i="18"/>
  <c r="GZ43" i="18"/>
  <c r="GY43" i="18"/>
  <c r="TX43" i="18"/>
  <c r="JZ43" i="18"/>
  <c r="TY43" i="18"/>
  <c r="IU43" i="18"/>
  <c r="JB43" i="18"/>
  <c r="HM43" i="18"/>
  <c r="UV43" i="18"/>
  <c r="TQ43" i="18"/>
  <c r="LC43" i="18"/>
  <c r="TR43" i="18"/>
  <c r="LP43" i="18"/>
  <c r="MG43" i="18"/>
  <c r="UC43" i="18"/>
  <c r="QA43" i="18"/>
  <c r="JI43" i="18"/>
  <c r="JH43" i="18"/>
  <c r="NK43" i="18"/>
  <c r="QK43" i="18"/>
  <c r="NL43" i="18"/>
  <c r="QL43" i="18"/>
  <c r="WE43" i="18"/>
  <c r="RJ43" i="18"/>
  <c r="MT43" i="18"/>
  <c r="RI43" i="18"/>
  <c r="MS43" i="18"/>
  <c r="HL43" i="18"/>
  <c r="RU43" i="18"/>
  <c r="GT43" i="18"/>
  <c r="GU43" i="18"/>
  <c r="UQ43" i="18"/>
  <c r="RW43" i="18"/>
  <c r="NS43" i="18"/>
  <c r="I82" i="9"/>
  <c r="J85" i="5"/>
  <c r="F85" i="5" s="1"/>
  <c r="L82" i="9"/>
  <c r="L83" i="9"/>
  <c r="M81" i="9"/>
  <c r="M80" i="9"/>
  <c r="J83" i="9"/>
  <c r="J82" i="9"/>
  <c r="H84" i="9"/>
  <c r="K84" i="9" s="1"/>
  <c r="H85" i="9"/>
  <c r="K85" i="9" s="1"/>
  <c r="F87" i="8"/>
  <c r="G87" i="8"/>
  <c r="F86" i="8"/>
  <c r="G86" i="8"/>
  <c r="I84" i="7"/>
  <c r="J84" i="7"/>
  <c r="I85" i="7"/>
  <c r="J85" i="7"/>
  <c r="U44" i="15"/>
  <c r="Y44" i="18" s="1"/>
  <c r="E44" i="15"/>
  <c r="D44" i="15"/>
  <c r="I84" i="5"/>
  <c r="J84" i="5" s="1"/>
  <c r="I87" i="5"/>
  <c r="J87" i="5" s="1"/>
  <c r="F87" i="5" s="1"/>
  <c r="H84" i="1"/>
  <c r="I84" i="1" s="1"/>
  <c r="H85" i="1"/>
  <c r="I85" i="1" s="1"/>
  <c r="T44" i="15"/>
  <c r="B87" i="9"/>
  <c r="B87" i="1"/>
  <c r="B87" i="7"/>
  <c r="AD84" i="5"/>
  <c r="AE84" i="5" s="1"/>
  <c r="AI84" i="5" s="1"/>
  <c r="B86" i="5"/>
  <c r="R84" i="5"/>
  <c r="AG84" i="5" s="1"/>
  <c r="K84" i="5"/>
  <c r="B89" i="5"/>
  <c r="R87" i="5"/>
  <c r="AG87" i="5" s="1"/>
  <c r="AE87" i="5"/>
  <c r="K87" i="5"/>
  <c r="F82" i="5"/>
  <c r="AJ82" i="5"/>
  <c r="B110" i="14"/>
  <c r="S107" i="14"/>
  <c r="U107" i="14"/>
  <c r="T107" i="14"/>
  <c r="Q106" i="14"/>
  <c r="R106" i="14"/>
  <c r="B88" i="8"/>
  <c r="B89" i="8"/>
  <c r="B86" i="1"/>
  <c r="N84" i="1"/>
  <c r="B86" i="9"/>
  <c r="B86" i="7"/>
  <c r="B45" i="15"/>
  <c r="O82" i="1"/>
  <c r="BP83" i="1"/>
  <c r="X83" i="7" s="1"/>
  <c r="BQ83" i="1"/>
  <c r="O83" i="1"/>
  <c r="GH44" i="18" l="1"/>
  <c r="DY44" i="18"/>
  <c r="JY44" i="18"/>
  <c r="ST44" i="18"/>
  <c r="XI44" i="18"/>
  <c r="NG44" i="18"/>
  <c r="FV44" i="18"/>
  <c r="NY44" i="18"/>
  <c r="NA44" i="18"/>
  <c r="HX44" i="18"/>
  <c r="R77" i="8"/>
  <c r="IP44" i="18"/>
  <c r="HS44" i="18"/>
  <c r="DA44" i="18"/>
  <c r="GB44" i="18"/>
  <c r="JA44" i="18"/>
  <c r="MN44" i="18"/>
  <c r="PU44" i="18"/>
  <c r="PY44" i="18"/>
  <c r="IV44" i="18"/>
  <c r="UK44" i="18"/>
  <c r="EX44" i="18"/>
  <c r="EE44" i="18"/>
  <c r="RJ44" i="18"/>
  <c r="CD44" i="18"/>
  <c r="UP44" i="18"/>
  <c r="AZ44" i="18"/>
  <c r="BS44" i="18"/>
  <c r="GM44" i="18"/>
  <c r="LW44" i="18"/>
  <c r="NQ44" i="18"/>
  <c r="MS44" i="18"/>
  <c r="VG44" i="18"/>
  <c r="QF44" i="18"/>
  <c r="EL44" i="18"/>
  <c r="DU44" i="18"/>
  <c r="FO44" i="18"/>
  <c r="BF44" i="18"/>
  <c r="MH44" i="18"/>
  <c r="KK44" i="18"/>
  <c r="IJ44" i="18"/>
  <c r="OQ44" i="18"/>
  <c r="AT44" i="18"/>
  <c r="TY44" i="18"/>
  <c r="CP44" i="18"/>
  <c r="HA44" i="18"/>
  <c r="ER44" i="18"/>
  <c r="FD44" i="18"/>
  <c r="HE44" i="18"/>
  <c r="HK44" i="18"/>
  <c r="XE44" i="18"/>
  <c r="SB44" i="18"/>
  <c r="CI44" i="18"/>
  <c r="UV44" i="18"/>
  <c r="KE44" i="18"/>
  <c r="QW44" i="18"/>
  <c r="RU44" i="18"/>
  <c r="TL44" i="18"/>
  <c r="WG44" i="18"/>
  <c r="JS44" i="18"/>
  <c r="QM44" i="18"/>
  <c r="LQ44" i="18"/>
  <c r="OE44" i="18"/>
  <c r="R42" i="18"/>
  <c r="Q42" i="18"/>
  <c r="VS44" i="18"/>
  <c r="RQ44" i="18"/>
  <c r="OV44" i="18"/>
  <c r="TF44" i="18"/>
  <c r="WA44" i="18"/>
  <c r="QS44" i="18"/>
  <c r="TQ44" i="18"/>
  <c r="P42" i="18"/>
  <c r="S41" i="18" s="1"/>
  <c r="U41" i="18" s="1"/>
  <c r="WR44" i="18"/>
  <c r="VF45" i="18"/>
  <c r="RN45" i="18"/>
  <c r="NV45" i="18"/>
  <c r="KD45" i="18"/>
  <c r="GL45" i="18"/>
  <c r="CT45" i="18"/>
  <c r="VL45" i="18"/>
  <c r="QD45" i="18"/>
  <c r="KV45" i="18"/>
  <c r="GR45" i="18"/>
  <c r="BJ45" i="18"/>
  <c r="UN45" i="18"/>
  <c r="LH45" i="18"/>
  <c r="GX45" i="18"/>
  <c r="CN45" i="18"/>
  <c r="NJ45" i="18"/>
  <c r="DX45" i="18"/>
  <c r="QV45" i="18"/>
  <c r="JL45" i="18"/>
  <c r="UZ45" i="18"/>
  <c r="MF45" i="18"/>
  <c r="JX45" i="18"/>
  <c r="CB45" i="18"/>
  <c r="EV45" i="18"/>
  <c r="WJ45" i="18"/>
  <c r="UH45" i="18"/>
  <c r="QP45" i="18"/>
  <c r="MX45" i="18"/>
  <c r="JF45" i="18"/>
  <c r="FN45" i="18"/>
  <c r="BV45" i="18"/>
  <c r="TV45" i="18"/>
  <c r="ON45" i="18"/>
  <c r="KJ45" i="18"/>
  <c r="XH45" i="18"/>
  <c r="UB45" i="18"/>
  <c r="JR45" i="18"/>
  <c r="FT45" i="18"/>
  <c r="UT45" i="18"/>
  <c r="MR45" i="18"/>
  <c r="PL45" i="18"/>
  <c r="FZ45" i="18"/>
  <c r="TP45" i="18"/>
  <c r="BD45" i="18"/>
  <c r="AR45" i="18"/>
  <c r="KP45" i="18"/>
  <c r="WV45" i="18"/>
  <c r="RB45" i="18"/>
  <c r="WP45" i="18"/>
  <c r="CH45" i="18"/>
  <c r="HV45" i="18"/>
  <c r="OH45" i="18"/>
  <c r="WD45" i="18"/>
  <c r="SL45" i="18"/>
  <c r="OT45" i="18"/>
  <c r="LB45" i="18"/>
  <c r="HJ45" i="18"/>
  <c r="DR45" i="18"/>
  <c r="RT45" i="18"/>
  <c r="ML45" i="18"/>
  <c r="CZ45" i="18"/>
  <c r="RH45" i="18"/>
  <c r="ED45" i="18"/>
  <c r="TD45" i="18"/>
  <c r="BP45" i="18"/>
  <c r="OZ45" i="18"/>
  <c r="FB45" i="18"/>
  <c r="DF45" i="18"/>
  <c r="LN45" i="18"/>
  <c r="AL45" i="18"/>
  <c r="IZ45" i="18"/>
  <c r="XB45" i="18"/>
  <c r="TJ45" i="18"/>
  <c r="PR45" i="18"/>
  <c r="LZ45" i="18"/>
  <c r="IH45" i="18"/>
  <c r="EP45" i="18"/>
  <c r="AX45" i="18"/>
  <c r="SF45" i="18"/>
  <c r="OB45" i="18"/>
  <c r="IT45" i="18"/>
  <c r="DL45" i="18"/>
  <c r="SX45" i="18"/>
  <c r="IN45" i="18"/>
  <c r="FH45" i="18"/>
  <c r="ND45" i="18"/>
  <c r="PX45" i="18"/>
  <c r="RZ45" i="18"/>
  <c r="NP45" i="18"/>
  <c r="HD45" i="18"/>
  <c r="IB45" i="18"/>
  <c r="HP45" i="18"/>
  <c r="LT45" i="18"/>
  <c r="SR45" i="18"/>
  <c r="GF45" i="18"/>
  <c r="VX45" i="18"/>
  <c r="VR45" i="18"/>
  <c r="QJ45" i="18"/>
  <c r="PF45" i="18"/>
  <c r="EJ45" i="18"/>
  <c r="S40" i="18"/>
  <c r="U40" i="18" s="1"/>
  <c r="SW44" i="18"/>
  <c r="SZ44" i="18" s="1"/>
  <c r="AK44" i="18"/>
  <c r="AN44" i="18" s="1"/>
  <c r="IA44" i="18"/>
  <c r="IC44" i="18" s="1"/>
  <c r="WI44" i="18"/>
  <c r="WL44" i="18" s="1"/>
  <c r="JK44" i="18"/>
  <c r="JO44" i="18" s="1"/>
  <c r="UA44" i="18"/>
  <c r="UE44" i="18" s="1"/>
  <c r="OG44" i="18"/>
  <c r="OK44" i="18" s="1"/>
  <c r="LA44" i="18"/>
  <c r="LD44" i="18" s="1"/>
  <c r="BU44" i="18"/>
  <c r="BX44" i="18" s="1"/>
  <c r="FG44" i="18"/>
  <c r="FK44" i="18" s="1"/>
  <c r="LY44" i="18"/>
  <c r="MB44" i="18" s="1"/>
  <c r="BI44" i="18"/>
  <c r="BL44" i="18" s="1"/>
  <c r="WU44" i="18"/>
  <c r="WW44" i="18" s="1"/>
  <c r="KU44" i="18"/>
  <c r="KY44" i="18" s="1"/>
  <c r="VK44" i="18"/>
  <c r="VO44" i="18" s="1"/>
  <c r="UY44" i="18"/>
  <c r="KO44" i="18"/>
  <c r="KQ44" i="18" s="1"/>
  <c r="DK44" i="18"/>
  <c r="DO44" i="18" s="1"/>
  <c r="UR46" i="18"/>
  <c r="VW45" i="18"/>
  <c r="BG44" i="18"/>
  <c r="LO44" i="18"/>
  <c r="MZ44" i="18"/>
  <c r="VH44" i="18"/>
  <c r="E46" i="18"/>
  <c r="LP44" i="18"/>
  <c r="CC44" i="18"/>
  <c r="EF44" i="18"/>
  <c r="BE44" i="18"/>
  <c r="EG44" i="18"/>
  <c r="TW44" i="18"/>
  <c r="DZ44" i="18"/>
  <c r="DB44" i="18"/>
  <c r="AU44" i="18"/>
  <c r="FP44" i="18"/>
  <c r="DC44" i="18"/>
  <c r="EA44" i="18"/>
  <c r="FW44" i="18"/>
  <c r="QL44" i="18"/>
  <c r="UI44" i="18"/>
  <c r="TX44" i="18"/>
  <c r="NX44" i="18"/>
  <c r="MY44" i="18"/>
  <c r="TM44" i="18"/>
  <c r="LI44" i="18"/>
  <c r="NK44" i="18"/>
  <c r="TK44" i="18"/>
  <c r="NL44" i="18"/>
  <c r="MU44" i="18"/>
  <c r="OC44" i="18"/>
  <c r="UO44" i="18"/>
  <c r="QK44" i="18"/>
  <c r="UQ44" i="18"/>
  <c r="VI44" i="18"/>
  <c r="OD44" i="18"/>
  <c r="UJ44" i="18"/>
  <c r="MT44" i="18"/>
  <c r="VY44" i="18"/>
  <c r="LJ44" i="18"/>
  <c r="TS44" i="18"/>
  <c r="RW44" i="18"/>
  <c r="TR44" i="18"/>
  <c r="HQ44" i="18"/>
  <c r="QQ44" i="18"/>
  <c r="LV44" i="18"/>
  <c r="IO44" i="18"/>
  <c r="EM44" i="18"/>
  <c r="PO44" i="18"/>
  <c r="MM44" i="18"/>
  <c r="MO44" i="18"/>
  <c r="HY44" i="18"/>
  <c r="RV44" i="18"/>
  <c r="SC44" i="18"/>
  <c r="EQ44" i="18"/>
  <c r="PN44" i="18"/>
  <c r="HR44" i="18"/>
  <c r="CK44" i="18"/>
  <c r="JT44" i="18"/>
  <c r="ES44" i="18"/>
  <c r="FQ44" i="18"/>
  <c r="QR44" i="18"/>
  <c r="DT44" i="18"/>
  <c r="CJ44" i="18"/>
  <c r="EY44" i="18"/>
  <c r="DH44" i="18"/>
  <c r="JU44" i="18"/>
  <c r="AS44" i="18"/>
  <c r="EW44" i="18"/>
  <c r="IQ44" i="18"/>
  <c r="DS44" i="18"/>
  <c r="LU44" i="18"/>
  <c r="KF44" i="18"/>
  <c r="SH44" i="18"/>
  <c r="HF44" i="18"/>
  <c r="SA44" i="18"/>
  <c r="HG44" i="18"/>
  <c r="NW44" i="18"/>
  <c r="CE44" i="18"/>
  <c r="SG44" i="18"/>
  <c r="KG44" i="18"/>
  <c r="UW44" i="18"/>
  <c r="UU44" i="18"/>
  <c r="VZ44" i="18"/>
  <c r="HL44" i="18"/>
  <c r="HW44" i="18"/>
  <c r="JC44" i="18"/>
  <c r="HM44" i="18"/>
  <c r="XD44" i="18"/>
  <c r="QA44" i="18"/>
  <c r="JH44" i="18"/>
  <c r="JG44" i="18"/>
  <c r="GN44" i="18"/>
  <c r="BR44" i="18"/>
  <c r="FU44" i="18"/>
  <c r="GO44" i="18"/>
  <c r="BQ44" i="18"/>
  <c r="KM44" i="18"/>
  <c r="JB44" i="18"/>
  <c r="D46" i="18"/>
  <c r="TE44" i="18"/>
  <c r="NE44" i="18"/>
  <c r="TG44" i="18"/>
  <c r="NF44" i="18"/>
  <c r="XJ44" i="18"/>
  <c r="PC44" i="18"/>
  <c r="XK44" i="18"/>
  <c r="RE44" i="18"/>
  <c r="RC44" i="18"/>
  <c r="QX44" i="18"/>
  <c r="QY44" i="18"/>
  <c r="IW44" i="18"/>
  <c r="IU44" i="18"/>
  <c r="OP44" i="18"/>
  <c r="PZ44" i="18"/>
  <c r="XC44" i="18"/>
  <c r="OO44" i="18"/>
  <c r="DG44" i="18"/>
  <c r="BA44" i="18"/>
  <c r="EK44" i="18"/>
  <c r="AY44" i="18"/>
  <c r="BN46" i="18"/>
  <c r="O46" i="18"/>
  <c r="JJ46" i="18"/>
  <c r="SP46" i="18"/>
  <c r="LX46" i="18"/>
  <c r="TB46" i="18"/>
  <c r="EB46" i="18"/>
  <c r="AP46" i="18"/>
  <c r="VJ46" i="18"/>
  <c r="LL46" i="18"/>
  <c r="AV46" i="18"/>
  <c r="JD46" i="18"/>
  <c r="SV46" i="18"/>
  <c r="HH46" i="18"/>
  <c r="BZ46" i="18"/>
  <c r="WZ46" i="18"/>
  <c r="MJ46" i="18"/>
  <c r="CR46" i="18"/>
  <c r="KZ46" i="18"/>
  <c r="KT46" i="18"/>
  <c r="EZ46" i="18"/>
  <c r="HT46" i="18"/>
  <c r="PD46" i="18"/>
  <c r="WN46" i="18"/>
  <c r="B47" i="18"/>
  <c r="FF47" i="18" s="1"/>
  <c r="VD46" i="18"/>
  <c r="EH46" i="18"/>
  <c r="NN46" i="18"/>
  <c r="UF46" i="18"/>
  <c r="TT46" i="18"/>
  <c r="WB46" i="18"/>
  <c r="IF46" i="18"/>
  <c r="LR46" i="18"/>
  <c r="NB46" i="18"/>
  <c r="ET46" i="18"/>
  <c r="SJ46" i="18"/>
  <c r="RF46" i="18"/>
  <c r="DV46" i="18"/>
  <c r="OL46" i="18"/>
  <c r="AJ46" i="18"/>
  <c r="GP46" i="18"/>
  <c r="NT46" i="18"/>
  <c r="TN46" i="18"/>
  <c r="PJ46" i="18"/>
  <c r="FF46" i="18"/>
  <c r="TZ46" i="18"/>
  <c r="RR46" i="18"/>
  <c r="FL46" i="18"/>
  <c r="OX46" i="18"/>
  <c r="BH46" i="18"/>
  <c r="IR46" i="18"/>
  <c r="QB46" i="18"/>
  <c r="WU45" i="18"/>
  <c r="CQ44" i="18"/>
  <c r="GC44" i="18"/>
  <c r="VU44" i="18"/>
  <c r="QG44" i="18"/>
  <c r="CO44" i="18"/>
  <c r="GY44" i="18"/>
  <c r="N46" i="18"/>
  <c r="IX46" i="18"/>
  <c r="XF46" i="18"/>
  <c r="EN46" i="18"/>
  <c r="PV46" i="18"/>
  <c r="IL46" i="18"/>
  <c r="WT46" i="18"/>
  <c r="MD46" i="18"/>
  <c r="RL46" i="18"/>
  <c r="DP46" i="18"/>
  <c r="HZ46" i="18"/>
  <c r="QT46" i="18"/>
  <c r="KH46" i="18"/>
  <c r="PP46" i="18"/>
  <c r="UX46" i="18"/>
  <c r="DJ46" i="18"/>
  <c r="HN46" i="18"/>
  <c r="MV46" i="18"/>
  <c r="SD46" i="18"/>
  <c r="WH46" i="18"/>
  <c r="DD46" i="18"/>
  <c r="GV46" i="18"/>
  <c r="KN46" i="18"/>
  <c r="OF46" i="18"/>
  <c r="RX46" i="18"/>
  <c r="VP46" i="18"/>
  <c r="CX46" i="18"/>
  <c r="KB46" i="18"/>
  <c r="BB46" i="18"/>
  <c r="OR46" i="18"/>
  <c r="GD46" i="18"/>
  <c r="UL46" i="18"/>
  <c r="FR46" i="18"/>
  <c r="QH46" i="18"/>
  <c r="CL46" i="18"/>
  <c r="GJ46" i="18"/>
  <c r="MP46" i="18"/>
  <c r="JV46" i="18"/>
  <c r="NZ46" i="18"/>
  <c r="TH46" i="18"/>
  <c r="BT46" i="18"/>
  <c r="HB46" i="18"/>
  <c r="LF46" i="18"/>
  <c r="QN46" i="18"/>
  <c r="VV46" i="18"/>
  <c r="CF46" i="18"/>
  <c r="FX46" i="18"/>
  <c r="JP46" i="18"/>
  <c r="NH46" i="18"/>
  <c r="QZ46" i="18"/>
  <c r="GA44" i="18"/>
  <c r="GZ44" i="18"/>
  <c r="PI44" i="18"/>
  <c r="PB44" i="18"/>
  <c r="PG44" i="18"/>
  <c r="OU44" i="18"/>
  <c r="WE44" i="18"/>
  <c r="RI44" i="18"/>
  <c r="RK44" i="18"/>
  <c r="KL44" i="18"/>
  <c r="PT44" i="18"/>
  <c r="IK44" i="18"/>
  <c r="PS44" i="18"/>
  <c r="MG44" i="18"/>
  <c r="MI44" i="18"/>
  <c r="GG44" i="18"/>
  <c r="GI44" i="18"/>
  <c r="WS44" i="18"/>
  <c r="WQ44" i="18"/>
  <c r="II44" i="18"/>
  <c r="SS44" i="18"/>
  <c r="SM44" i="18"/>
  <c r="SO44" i="18"/>
  <c r="RP44" i="18"/>
  <c r="JZ44" i="18"/>
  <c r="SU44" i="18"/>
  <c r="GS44" i="18"/>
  <c r="OW44" i="18"/>
  <c r="KA44" i="18"/>
  <c r="GU44" i="18"/>
  <c r="RO44" i="18"/>
  <c r="FC44" i="18"/>
  <c r="QE44" i="18"/>
  <c r="WF44" i="18"/>
  <c r="CU44" i="18"/>
  <c r="NR44" i="18"/>
  <c r="NS44" i="18"/>
  <c r="CV44" i="18"/>
  <c r="FE44" i="18"/>
  <c r="VT44" i="18"/>
  <c r="I85" i="9"/>
  <c r="TI45" i="18"/>
  <c r="KO45" i="18"/>
  <c r="NI45" i="18"/>
  <c r="KC45" i="18"/>
  <c r="GK45" i="18"/>
  <c r="EI45" i="18"/>
  <c r="SW45" i="18"/>
  <c r="IA45" i="18"/>
  <c r="PQ45" i="18"/>
  <c r="BC45" i="18"/>
  <c r="JE45" i="18"/>
  <c r="TC45" i="18"/>
  <c r="B93" i="19"/>
  <c r="G93" i="19" s="1"/>
  <c r="F91" i="19"/>
  <c r="D18" i="19"/>
  <c r="E19" i="19"/>
  <c r="P11" i="15"/>
  <c r="D18" i="8"/>
  <c r="R18" i="8" s="1"/>
  <c r="Q11" i="15"/>
  <c r="G11" i="15"/>
  <c r="E19" i="8"/>
  <c r="K18" i="7"/>
  <c r="L18" i="7"/>
  <c r="N19" i="7"/>
  <c r="L19" i="7"/>
  <c r="N18" i="7"/>
  <c r="K19" i="7"/>
  <c r="FA45" i="18"/>
  <c r="GQ45" i="18"/>
  <c r="VK45" i="18"/>
  <c r="TO45" i="18"/>
  <c r="SQ45" i="18"/>
  <c r="LS45" i="18"/>
  <c r="PW45" i="18"/>
  <c r="OS45" i="18"/>
  <c r="CA45" i="18"/>
  <c r="DW45" i="18"/>
  <c r="AQ45" i="18"/>
  <c r="AT45" i="18" s="1"/>
  <c r="PK45" i="18"/>
  <c r="FS45" i="18"/>
  <c r="IM45" i="18"/>
  <c r="IQ45" i="18" s="1"/>
  <c r="ME45" i="18"/>
  <c r="MH45" i="18" s="1"/>
  <c r="VQ45" i="18"/>
  <c r="NC45" i="18"/>
  <c r="WO45" i="18"/>
  <c r="HI45" i="18"/>
  <c r="HL45" i="18" s="1"/>
  <c r="QC45" i="18"/>
  <c r="EO45" i="18"/>
  <c r="LY45" i="18"/>
  <c r="WC45" i="18"/>
  <c r="WF45" i="18" s="1"/>
  <c r="DE45" i="18"/>
  <c r="MK45" i="18"/>
  <c r="QU45" i="18"/>
  <c r="VE45" i="18"/>
  <c r="VH45" i="18" s="1"/>
  <c r="FM45" i="18"/>
  <c r="JQ45" i="18"/>
  <c r="OY45" i="18"/>
  <c r="UG45" i="18"/>
  <c r="BO45" i="18"/>
  <c r="FG45" i="18"/>
  <c r="IY45" i="18"/>
  <c r="MQ45" i="18"/>
  <c r="QI45" i="18"/>
  <c r="UA45" i="18"/>
  <c r="BI45" i="18"/>
  <c r="LM45" i="18"/>
  <c r="LO45" i="18" s="1"/>
  <c r="CS45" i="18"/>
  <c r="IS45" i="18"/>
  <c r="NU45" i="18"/>
  <c r="XG45" i="18"/>
  <c r="KI45" i="18"/>
  <c r="TU45" i="18"/>
  <c r="GW45" i="18"/>
  <c r="OG45" i="18"/>
  <c r="AK45" i="18"/>
  <c r="DQ45" i="18"/>
  <c r="OA45" i="18"/>
  <c r="OE45" i="18" s="1"/>
  <c r="RY45" i="18"/>
  <c r="BU45" i="18"/>
  <c r="FY45" i="18"/>
  <c r="LG45" i="18"/>
  <c r="QO45" i="18"/>
  <c r="US45" i="18"/>
  <c r="CM45" i="18"/>
  <c r="GE45" i="18"/>
  <c r="JW45" i="18"/>
  <c r="NO45" i="18"/>
  <c r="RG45" i="18"/>
  <c r="UY45" i="18"/>
  <c r="VA45" i="18" s="1"/>
  <c r="HU45" i="18"/>
  <c r="XA45" i="18"/>
  <c r="EC45" i="18"/>
  <c r="JK45" i="18"/>
  <c r="RM45" i="18"/>
  <c r="CY45" i="18"/>
  <c r="LA45" i="18"/>
  <c r="UM45" i="18"/>
  <c r="UQ45" i="18" s="1"/>
  <c r="IG45" i="18"/>
  <c r="RS45" i="18"/>
  <c r="AW45" i="18"/>
  <c r="EU45" i="18"/>
  <c r="EX45" i="18" s="1"/>
  <c r="PE45" i="18"/>
  <c r="SK45" i="18"/>
  <c r="CG45" i="18"/>
  <c r="HO45" i="18"/>
  <c r="HR45" i="18" s="1"/>
  <c r="MW45" i="18"/>
  <c r="RA45" i="18"/>
  <c r="WI45" i="18"/>
  <c r="DK45" i="18"/>
  <c r="HC45" i="18"/>
  <c r="KU45" i="18"/>
  <c r="OM45" i="18"/>
  <c r="SE45" i="18"/>
  <c r="Q87" i="5"/>
  <c r="U87" i="5" s="1"/>
  <c r="Q85" i="5"/>
  <c r="U85" i="5" s="1"/>
  <c r="P43" i="18"/>
  <c r="R43" i="18"/>
  <c r="Q43" i="18"/>
  <c r="I84" i="9"/>
  <c r="L85" i="9"/>
  <c r="L84" i="9"/>
  <c r="M82" i="9"/>
  <c r="M83" i="9"/>
  <c r="J85" i="9"/>
  <c r="J84" i="9"/>
  <c r="H87" i="9"/>
  <c r="K87" i="9" s="1"/>
  <c r="H86" i="9"/>
  <c r="K86" i="9" s="1"/>
  <c r="F89" i="8"/>
  <c r="G89" i="8"/>
  <c r="F88" i="8"/>
  <c r="G88" i="8"/>
  <c r="J87" i="7"/>
  <c r="I87" i="7"/>
  <c r="I86" i="7"/>
  <c r="J86" i="7"/>
  <c r="U45" i="15"/>
  <c r="Y45" i="18" s="1"/>
  <c r="D45" i="15"/>
  <c r="E45" i="15"/>
  <c r="E47" i="18"/>
  <c r="I89" i="5"/>
  <c r="I86" i="5"/>
  <c r="J86" i="5" s="1"/>
  <c r="H87" i="1"/>
  <c r="I87" i="1" s="1"/>
  <c r="H86" i="1"/>
  <c r="I86" i="1" s="1"/>
  <c r="T45" i="15"/>
  <c r="B89" i="7"/>
  <c r="B89" i="1"/>
  <c r="B89" i="9"/>
  <c r="Q82" i="5"/>
  <c r="U82" i="5" s="1"/>
  <c r="AD86" i="5"/>
  <c r="AE86" i="5" s="1"/>
  <c r="AI86" i="5" s="1"/>
  <c r="AJ84" i="5"/>
  <c r="AL84" i="5" s="1"/>
  <c r="F84" i="5"/>
  <c r="B91" i="5"/>
  <c r="R89" i="5"/>
  <c r="AG89" i="5" s="1"/>
  <c r="K89" i="5"/>
  <c r="AE89" i="5"/>
  <c r="AL82" i="5"/>
  <c r="B88" i="5"/>
  <c r="R86" i="5"/>
  <c r="AG86" i="5" s="1"/>
  <c r="K86" i="5"/>
  <c r="R107" i="14"/>
  <c r="S108" i="14"/>
  <c r="U108" i="14"/>
  <c r="T108" i="14"/>
  <c r="Q107" i="14"/>
  <c r="B111" i="14"/>
  <c r="BQ85" i="1"/>
  <c r="O85" i="1"/>
  <c r="O84" i="1"/>
  <c r="BP85" i="1"/>
  <c r="X85" i="7" s="1"/>
  <c r="B88" i="1"/>
  <c r="N86" i="1"/>
  <c r="B91" i="8"/>
  <c r="B88" i="9"/>
  <c r="B90" i="8"/>
  <c r="B46" i="15"/>
  <c r="B88" i="7"/>
  <c r="R91" i="5" l="1"/>
  <c r="AG91" i="5" s="1"/>
  <c r="R79" i="8"/>
  <c r="WS45" i="18"/>
  <c r="EA45" i="18"/>
  <c r="LV45" i="18"/>
  <c r="GO45" i="18"/>
  <c r="TL45" i="18"/>
  <c r="WM45" i="18"/>
  <c r="JT45" i="18"/>
  <c r="EQ45" i="18"/>
  <c r="LI45" i="18"/>
  <c r="OQ45" i="18"/>
  <c r="IU45" i="18"/>
  <c r="FK45" i="18"/>
  <c r="KY45" i="18"/>
  <c r="DA45" i="18"/>
  <c r="NQ45" i="18"/>
  <c r="BR45" i="18"/>
  <c r="VT45" i="18"/>
  <c r="PO45" i="18"/>
  <c r="JG45" i="18"/>
  <c r="BG45" i="18"/>
  <c r="VY45" i="18"/>
  <c r="LD45" i="18"/>
  <c r="UD45" i="18"/>
  <c r="MO45" i="18"/>
  <c r="TE45" i="18"/>
  <c r="TX45" i="18"/>
  <c r="WA45" i="18"/>
  <c r="VZ45" i="18"/>
  <c r="RC45" i="18"/>
  <c r="XC45" i="18"/>
  <c r="DH45" i="18"/>
  <c r="QE45" i="18"/>
  <c r="NM45" i="18"/>
  <c r="KE45" i="18"/>
  <c r="MY45" i="18"/>
  <c r="II45" i="18"/>
  <c r="SA45" i="18"/>
  <c r="OJ45" i="18"/>
  <c r="MS45" i="18"/>
  <c r="EM45" i="18"/>
  <c r="DN45" i="18"/>
  <c r="GY45" i="18"/>
  <c r="QY45" i="18"/>
  <c r="GU45" i="18"/>
  <c r="HG45" i="18"/>
  <c r="HX45" i="18"/>
  <c r="GG45" i="18"/>
  <c r="BM45" i="18"/>
  <c r="BY45" i="18"/>
  <c r="AO45" i="18"/>
  <c r="CV45" i="18"/>
  <c r="FQ45" i="18"/>
  <c r="BW44" i="18"/>
  <c r="FI44" i="18"/>
  <c r="AM44" i="18"/>
  <c r="CI45" i="18"/>
  <c r="BA45" i="18"/>
  <c r="EG45" i="18"/>
  <c r="CO45" i="18"/>
  <c r="GB45" i="18"/>
  <c r="DS45" i="18"/>
  <c r="FV45" i="18"/>
  <c r="CD45" i="18"/>
  <c r="FE45" i="18"/>
  <c r="IE45" i="18"/>
  <c r="BY44" i="18"/>
  <c r="AO44" i="18"/>
  <c r="FJ44" i="18"/>
  <c r="RJ45" i="18"/>
  <c r="NE45" i="18"/>
  <c r="ST45" i="18"/>
  <c r="TA44" i="18"/>
  <c r="PA45" i="18"/>
  <c r="PU45" i="18"/>
  <c r="JM44" i="18"/>
  <c r="SN45" i="18"/>
  <c r="RW45" i="18"/>
  <c r="UV45" i="18"/>
  <c r="KL45" i="18"/>
  <c r="QK45" i="18"/>
  <c r="OU45" i="18"/>
  <c r="TS45" i="18"/>
  <c r="TA45" i="18"/>
  <c r="WY45" i="18"/>
  <c r="UC44" i="18"/>
  <c r="JN44" i="18"/>
  <c r="RQ45" i="18"/>
  <c r="KA45" i="18"/>
  <c r="UK45" i="18"/>
  <c r="KQ45" i="18"/>
  <c r="SY44" i="18"/>
  <c r="PI45" i="18"/>
  <c r="QQ45" i="18"/>
  <c r="XJ45" i="18"/>
  <c r="PY45" i="18"/>
  <c r="VM45" i="18"/>
  <c r="UD44" i="18"/>
  <c r="SH45" i="18"/>
  <c r="JO45" i="18"/>
  <c r="NW45" i="18"/>
  <c r="JB45" i="18"/>
  <c r="MA45" i="18"/>
  <c r="T41" i="18"/>
  <c r="S42" i="18"/>
  <c r="G47" i="18"/>
  <c r="G46" i="18"/>
  <c r="KJ46" i="18" s="1"/>
  <c r="MC44" i="18"/>
  <c r="OJ44" i="18"/>
  <c r="ID44" i="18"/>
  <c r="IE44" i="18"/>
  <c r="MA44" i="18"/>
  <c r="OI44" i="18"/>
  <c r="KW44" i="18"/>
  <c r="KS44" i="18"/>
  <c r="WX44" i="18"/>
  <c r="BK44" i="18"/>
  <c r="KX44" i="18"/>
  <c r="DM44" i="18"/>
  <c r="LE44" i="18"/>
  <c r="WM44" i="18"/>
  <c r="DN44" i="18"/>
  <c r="BM44" i="18"/>
  <c r="WK44" i="18"/>
  <c r="LC44" i="18"/>
  <c r="VM44" i="18"/>
  <c r="KR44" i="18"/>
  <c r="WY44" i="18"/>
  <c r="VN44" i="18"/>
  <c r="VB44" i="18"/>
  <c r="VC44" i="18"/>
  <c r="VA44" i="18"/>
  <c r="TT47" i="18"/>
  <c r="F46" i="18"/>
  <c r="UY46" i="18" s="1"/>
  <c r="WW45" i="18"/>
  <c r="TN47" i="18"/>
  <c r="VJ47" i="18"/>
  <c r="D47" i="18"/>
  <c r="QN47" i="18"/>
  <c r="NH47" i="18"/>
  <c r="CL47" i="18"/>
  <c r="BT47" i="18"/>
  <c r="CR47" i="18"/>
  <c r="JJ47" i="18"/>
  <c r="GP47" i="18"/>
  <c r="CF47" i="18"/>
  <c r="QZ47" i="18"/>
  <c r="DJ47" i="18"/>
  <c r="UF47" i="18"/>
  <c r="LR47" i="18"/>
  <c r="OR47" i="18"/>
  <c r="LX47" i="18"/>
  <c r="FX47" i="18"/>
  <c r="UR47" i="18"/>
  <c r="B48" i="18"/>
  <c r="ET47" i="18"/>
  <c r="HN47" i="18"/>
  <c r="XF47" i="18"/>
  <c r="TZ47" i="18"/>
  <c r="RF47" i="18"/>
  <c r="JP47" i="18"/>
  <c r="MD47" i="18"/>
  <c r="HB47" i="18"/>
  <c r="VD47" i="18"/>
  <c r="MV47" i="18"/>
  <c r="VV47" i="18"/>
  <c r="KT47" i="18"/>
  <c r="SD47" i="18"/>
  <c r="EH47" i="18"/>
  <c r="PV47" i="18"/>
  <c r="BN47" i="18"/>
  <c r="FR47" i="18"/>
  <c r="KZ47" i="18"/>
  <c r="QH47" i="18"/>
  <c r="UL47" i="18"/>
  <c r="CX47" i="18"/>
  <c r="IF47" i="18"/>
  <c r="NN47" i="18"/>
  <c r="RR47" i="18"/>
  <c r="WZ47" i="18"/>
  <c r="DD47" i="18"/>
  <c r="GV47" i="18"/>
  <c r="KN47" i="18"/>
  <c r="OF47" i="18"/>
  <c r="RX47" i="18"/>
  <c r="VP47" i="18"/>
  <c r="O47" i="18"/>
  <c r="HZ47" i="18"/>
  <c r="NT47" i="18"/>
  <c r="PJ47" i="18"/>
  <c r="IL47" i="18"/>
  <c r="BZ47" i="18"/>
  <c r="MP47" i="18"/>
  <c r="WB47" i="18"/>
  <c r="JV47" i="18"/>
  <c r="TH47" i="18"/>
  <c r="AJ47" i="18"/>
  <c r="HT47" i="18"/>
  <c r="LL47" i="18"/>
  <c r="PD47" i="18"/>
  <c r="SV47" i="18"/>
  <c r="WN47" i="18"/>
  <c r="OL47" i="18"/>
  <c r="WT47" i="18"/>
  <c r="FL47" i="18"/>
  <c r="WH47" i="18"/>
  <c r="RL47" i="18"/>
  <c r="HH47" i="18"/>
  <c r="QT47" i="18"/>
  <c r="EN47" i="18"/>
  <c r="NZ47" i="18"/>
  <c r="EB47" i="18"/>
  <c r="N47" i="18"/>
  <c r="LF47" i="18"/>
  <c r="DV47" i="18"/>
  <c r="JD47" i="18"/>
  <c r="AP47" i="18"/>
  <c r="SP47" i="18"/>
  <c r="GJ47" i="18"/>
  <c r="OX47" i="18"/>
  <c r="BB47" i="18"/>
  <c r="KB47" i="18"/>
  <c r="TB47" i="18"/>
  <c r="DP47" i="18"/>
  <c r="IX47" i="18"/>
  <c r="NB47" i="18"/>
  <c r="SJ47" i="18"/>
  <c r="AV47" i="18"/>
  <c r="GD47" i="18"/>
  <c r="KH47" i="18"/>
  <c r="PP47" i="18"/>
  <c r="UX47" i="18"/>
  <c r="BH47" i="18"/>
  <c r="EZ47" i="18"/>
  <c r="IR47" i="18"/>
  <c r="MJ47" i="18"/>
  <c r="QB47" i="18"/>
  <c r="WX45" i="18"/>
  <c r="GM45" i="18"/>
  <c r="EK45" i="18"/>
  <c r="BE45" i="18"/>
  <c r="BF45" i="18"/>
  <c r="HK45" i="18"/>
  <c r="EL45" i="18"/>
  <c r="KR45" i="18"/>
  <c r="KS45" i="18"/>
  <c r="TK45" i="18"/>
  <c r="TM45" i="18"/>
  <c r="PT45" i="18"/>
  <c r="PS45" i="18"/>
  <c r="GN45" i="18"/>
  <c r="NK45" i="18"/>
  <c r="XI45" i="18"/>
  <c r="I87" i="9"/>
  <c r="KF45" i="18"/>
  <c r="ID45" i="18"/>
  <c r="NL45" i="18"/>
  <c r="TG45" i="18"/>
  <c r="IC45" i="18"/>
  <c r="JH45" i="18"/>
  <c r="GZ45" i="18"/>
  <c r="TF45" i="18"/>
  <c r="KG45" i="18"/>
  <c r="JY45" i="18"/>
  <c r="SZ45" i="18"/>
  <c r="SY45" i="18"/>
  <c r="JI45" i="18"/>
  <c r="FW45" i="18"/>
  <c r="FU45" i="18"/>
  <c r="WL45" i="18"/>
  <c r="B95" i="19"/>
  <c r="G95" i="19" s="1"/>
  <c r="F93" i="19"/>
  <c r="MM45" i="18"/>
  <c r="JS45" i="18"/>
  <c r="CJ45" i="18"/>
  <c r="RK45" i="18"/>
  <c r="FI45" i="18"/>
  <c r="WK45" i="18"/>
  <c r="UJ45" i="18"/>
  <c r="AS45" i="18"/>
  <c r="HW45" i="18"/>
  <c r="HY45" i="18"/>
  <c r="QA45" i="18"/>
  <c r="MT45" i="18"/>
  <c r="HF45" i="18"/>
  <c r="OK45" i="18"/>
  <c r="GS45" i="18"/>
  <c r="LQ45" i="18"/>
  <c r="PZ45" i="18"/>
  <c r="UI45" i="18"/>
  <c r="RP45" i="18"/>
  <c r="WG45" i="18"/>
  <c r="LP45" i="18"/>
  <c r="VO45" i="18"/>
  <c r="IK45" i="18"/>
  <c r="VI45" i="18"/>
  <c r="MI45" i="18"/>
  <c r="WE45" i="18"/>
  <c r="HM45" i="18"/>
  <c r="PG45" i="18"/>
  <c r="MG45" i="18"/>
  <c r="AU45" i="18"/>
  <c r="JZ45" i="18"/>
  <c r="QS45" i="18"/>
  <c r="QR45" i="18"/>
  <c r="VG45" i="18"/>
  <c r="VN45" i="18"/>
  <c r="K21" i="7"/>
  <c r="N20" i="7"/>
  <c r="L21" i="7"/>
  <c r="K20" i="7"/>
  <c r="L20" i="7"/>
  <c r="N21" i="7"/>
  <c r="E21" i="19"/>
  <c r="D20" i="19"/>
  <c r="E21" i="8"/>
  <c r="Q12" i="15"/>
  <c r="G12" i="15"/>
  <c r="P12" i="15"/>
  <c r="D20" i="8"/>
  <c r="R20" i="8" s="1"/>
  <c r="GT45" i="18"/>
  <c r="LU45" i="18"/>
  <c r="DZ45" i="18"/>
  <c r="LW45" i="18"/>
  <c r="DY45" i="18"/>
  <c r="MZ45" i="18"/>
  <c r="IJ45" i="18"/>
  <c r="OI45" i="18"/>
  <c r="NA45" i="18"/>
  <c r="XK45" i="18"/>
  <c r="EE45" i="18"/>
  <c r="FC45" i="18"/>
  <c r="FJ45" i="18"/>
  <c r="ER45" i="18"/>
  <c r="ES45" i="18"/>
  <c r="SS45" i="18"/>
  <c r="FD45" i="18"/>
  <c r="UC45" i="18"/>
  <c r="UE45" i="18"/>
  <c r="JU45" i="18"/>
  <c r="SU45" i="18"/>
  <c r="IV45" i="18"/>
  <c r="IW45" i="18"/>
  <c r="AZ45" i="18"/>
  <c r="NF45" i="18"/>
  <c r="OP45" i="18"/>
  <c r="MN45" i="18"/>
  <c r="CE45" i="18"/>
  <c r="EF45" i="18"/>
  <c r="GA45" i="18"/>
  <c r="CC45" i="18"/>
  <c r="NG45" i="18"/>
  <c r="VC45" i="18"/>
  <c r="PB45" i="18"/>
  <c r="HA45" i="18"/>
  <c r="PH45" i="18"/>
  <c r="EY45" i="18"/>
  <c r="SC45" i="18"/>
  <c r="MU45" i="18"/>
  <c r="VB45" i="18"/>
  <c r="PC45" i="18"/>
  <c r="HE45" i="18"/>
  <c r="RO45" i="18"/>
  <c r="SB45" i="18"/>
  <c r="NS45" i="18"/>
  <c r="RI45" i="18"/>
  <c r="CQ45" i="18"/>
  <c r="GC45" i="18"/>
  <c r="TW45" i="18"/>
  <c r="LC45" i="18"/>
  <c r="AY45" i="18"/>
  <c r="CK45" i="18"/>
  <c r="TY45" i="18"/>
  <c r="DU45" i="18"/>
  <c r="DT45" i="18"/>
  <c r="LE45" i="18"/>
  <c r="OO45" i="18"/>
  <c r="CP45" i="18"/>
  <c r="TQ45" i="18"/>
  <c r="PM45" i="18"/>
  <c r="KW45" i="18"/>
  <c r="TR45" i="18"/>
  <c r="BQ45" i="18"/>
  <c r="PN45" i="18"/>
  <c r="OV45" i="18"/>
  <c r="OW45" i="18"/>
  <c r="CU45" i="18"/>
  <c r="QM45" i="18"/>
  <c r="XE45" i="18"/>
  <c r="RD45" i="18"/>
  <c r="DB45" i="18"/>
  <c r="RU45" i="18"/>
  <c r="SG45" i="18"/>
  <c r="UW45" i="18"/>
  <c r="BW45" i="18"/>
  <c r="NR45" i="18"/>
  <c r="BS45" i="18"/>
  <c r="BX45" i="18"/>
  <c r="SM45" i="18"/>
  <c r="XD45" i="18"/>
  <c r="KM45" i="18"/>
  <c r="AM45" i="18"/>
  <c r="CW45" i="18"/>
  <c r="DI45" i="18"/>
  <c r="SO45" i="18"/>
  <c r="DG45" i="18"/>
  <c r="KK45" i="18"/>
  <c r="AN45" i="18"/>
  <c r="QF45" i="18"/>
  <c r="QL45" i="18"/>
  <c r="RE45" i="18"/>
  <c r="DC45" i="18"/>
  <c r="QG45" i="18"/>
  <c r="KX45" i="18"/>
  <c r="VS45" i="18"/>
  <c r="FO45" i="18"/>
  <c r="VU45" i="18"/>
  <c r="FP45" i="18"/>
  <c r="SI45" i="18"/>
  <c r="MC45" i="18"/>
  <c r="BL45" i="18"/>
  <c r="EW45" i="18"/>
  <c r="BK45" i="18"/>
  <c r="WR45" i="18"/>
  <c r="QX45" i="18"/>
  <c r="JM45" i="18"/>
  <c r="NY45" i="18"/>
  <c r="IP45" i="18"/>
  <c r="DM45" i="18"/>
  <c r="GH45" i="18"/>
  <c r="WQ45" i="18"/>
  <c r="GI45" i="18"/>
  <c r="QW45" i="18"/>
  <c r="JA45" i="18"/>
  <c r="HS45" i="18"/>
  <c r="JN45" i="18"/>
  <c r="JC45" i="18"/>
  <c r="MB45" i="18"/>
  <c r="NX45" i="18"/>
  <c r="UO45" i="18"/>
  <c r="IO45" i="18"/>
  <c r="UP45" i="18"/>
  <c r="LK45" i="18"/>
  <c r="HQ45" i="18"/>
  <c r="DO45" i="18"/>
  <c r="OC45" i="18"/>
  <c r="LJ45" i="18"/>
  <c r="OD45" i="18"/>
  <c r="RV45" i="18"/>
  <c r="UU45" i="18"/>
  <c r="T42" i="18"/>
  <c r="I86" i="9"/>
  <c r="J89" i="5"/>
  <c r="F89" i="5" s="1"/>
  <c r="L86" i="9"/>
  <c r="L87" i="9"/>
  <c r="M84" i="9"/>
  <c r="M85" i="9"/>
  <c r="J86" i="9"/>
  <c r="J87" i="9"/>
  <c r="H89" i="9"/>
  <c r="K89" i="9" s="1"/>
  <c r="H88" i="9"/>
  <c r="K88" i="9" s="1"/>
  <c r="F90" i="8"/>
  <c r="G90" i="8"/>
  <c r="F91" i="8"/>
  <c r="G91" i="8"/>
  <c r="J88" i="7"/>
  <c r="I88" i="7"/>
  <c r="J89" i="7"/>
  <c r="I89" i="7"/>
  <c r="U46" i="15"/>
  <c r="Y46" i="18" s="1"/>
  <c r="E46" i="15"/>
  <c r="D46" i="15"/>
  <c r="I88" i="5"/>
  <c r="J88" i="5" s="1"/>
  <c r="I91" i="5"/>
  <c r="H89" i="1"/>
  <c r="I89" i="1" s="1"/>
  <c r="H88" i="1"/>
  <c r="I88" i="1" s="1"/>
  <c r="T46" i="15"/>
  <c r="XB47" i="18"/>
  <c r="WD47" i="18"/>
  <c r="VF47" i="18"/>
  <c r="UH47" i="18"/>
  <c r="TJ47" i="18"/>
  <c r="SL47" i="18"/>
  <c r="RN47" i="18"/>
  <c r="QP47" i="18"/>
  <c r="PR47" i="18"/>
  <c r="OT47" i="18"/>
  <c r="NV47" i="18"/>
  <c r="MX47" i="18"/>
  <c r="LZ47" i="18"/>
  <c r="LB47" i="18"/>
  <c r="KD47" i="18"/>
  <c r="JF47" i="18"/>
  <c r="IH47" i="18"/>
  <c r="HJ47" i="18"/>
  <c r="GL47" i="18"/>
  <c r="FN47" i="18"/>
  <c r="EP47" i="18"/>
  <c r="DR47" i="18"/>
  <c r="CT47" i="18"/>
  <c r="BV47" i="18"/>
  <c r="AX47" i="18"/>
  <c r="XH47" i="18"/>
  <c r="VR47" i="18"/>
  <c r="UB47" i="18"/>
  <c r="TP47" i="18"/>
  <c r="RZ47" i="18"/>
  <c r="QJ47" i="18"/>
  <c r="PX47" i="18"/>
  <c r="OH47" i="18"/>
  <c r="MR47" i="18"/>
  <c r="MF47" i="18"/>
  <c r="KP47" i="18"/>
  <c r="IZ47" i="18"/>
  <c r="IN47" i="18"/>
  <c r="GX47" i="18"/>
  <c r="FH47" i="18"/>
  <c r="EV47" i="18"/>
  <c r="DF47" i="18"/>
  <c r="BP47" i="18"/>
  <c r="BD47" i="18"/>
  <c r="WV47" i="18"/>
  <c r="WJ47" i="18"/>
  <c r="UT47" i="18"/>
  <c r="TD47" i="18"/>
  <c r="SR47" i="18"/>
  <c r="RB47" i="18"/>
  <c r="PL47" i="18"/>
  <c r="OZ47" i="18"/>
  <c r="NJ47" i="18"/>
  <c r="LT47" i="18"/>
  <c r="LH47" i="18"/>
  <c r="JR47" i="18"/>
  <c r="IB47" i="18"/>
  <c r="HP47" i="18"/>
  <c r="FZ47" i="18"/>
  <c r="EJ47" i="18"/>
  <c r="DX47" i="18"/>
  <c r="CH47" i="18"/>
  <c r="AR47" i="18"/>
  <c r="VL47" i="18"/>
  <c r="TV47" i="18"/>
  <c r="SF47" i="18"/>
  <c r="OB47" i="18"/>
  <c r="ML47" i="18"/>
  <c r="KV47" i="18"/>
  <c r="GR47" i="18"/>
  <c r="FB47" i="18"/>
  <c r="DL47" i="18"/>
  <c r="UN47" i="18"/>
  <c r="SX47" i="18"/>
  <c r="RH47" i="18"/>
  <c r="VX47" i="18"/>
  <c r="ED47" i="18"/>
  <c r="CZ47" i="18"/>
  <c r="CB47" i="18"/>
  <c r="QV47" i="18"/>
  <c r="PF47" i="18"/>
  <c r="LN47" i="18"/>
  <c r="KJ47" i="18"/>
  <c r="JL47" i="18"/>
  <c r="HD47" i="18"/>
  <c r="GF47" i="18"/>
  <c r="RT47" i="18"/>
  <c r="QD47" i="18"/>
  <c r="ON47" i="18"/>
  <c r="NP47" i="18"/>
  <c r="FT47" i="18"/>
  <c r="CN47" i="18"/>
  <c r="BJ47" i="18"/>
  <c r="AL47" i="18"/>
  <c r="UZ47" i="18"/>
  <c r="JX47" i="18"/>
  <c r="ND47" i="18"/>
  <c r="IT47" i="18"/>
  <c r="HV47" i="18"/>
  <c r="WP47" i="18"/>
  <c r="B91" i="1"/>
  <c r="B91" i="7"/>
  <c r="B91" i="9"/>
  <c r="AD88" i="5"/>
  <c r="AE88" i="5" s="1"/>
  <c r="AI88" i="5" s="1"/>
  <c r="B90" i="5"/>
  <c r="R88" i="5"/>
  <c r="AG88" i="5" s="1"/>
  <c r="K88" i="5"/>
  <c r="Q84" i="5"/>
  <c r="U84" i="5" s="1"/>
  <c r="F86" i="5"/>
  <c r="B93" i="5"/>
  <c r="AE91" i="5"/>
  <c r="K91" i="5"/>
  <c r="AJ86" i="5"/>
  <c r="B112" i="14"/>
  <c r="S109" i="14"/>
  <c r="T109" i="14"/>
  <c r="U109" i="14"/>
  <c r="Q108" i="14"/>
  <c r="R108" i="14"/>
  <c r="BQ87" i="1"/>
  <c r="O86" i="1"/>
  <c r="BP87" i="1"/>
  <c r="X87" i="7" s="1"/>
  <c r="O87" i="1"/>
  <c r="B90" i="1"/>
  <c r="N88" i="1"/>
  <c r="B90" i="7"/>
  <c r="B92" i="8"/>
  <c r="B90" i="9"/>
  <c r="B47" i="15"/>
  <c r="B93" i="8"/>
  <c r="R81" i="8" l="1"/>
  <c r="CT46" i="18"/>
  <c r="FN46" i="18"/>
  <c r="HP46" i="18"/>
  <c r="UT46" i="18"/>
  <c r="GL46" i="18"/>
  <c r="IB46" i="18"/>
  <c r="RH46" i="18"/>
  <c r="PX46" i="18"/>
  <c r="OB46" i="18"/>
  <c r="UZ46" i="18"/>
  <c r="VC46" i="18" s="1"/>
  <c r="BD46" i="18"/>
  <c r="BV46" i="18"/>
  <c r="FB46" i="18"/>
  <c r="CB46" i="18"/>
  <c r="BP46" i="18"/>
  <c r="JX46" i="18"/>
  <c r="ED46" i="18"/>
  <c r="RN46" i="18"/>
  <c r="GF46" i="18"/>
  <c r="IT46" i="18"/>
  <c r="UH46" i="18"/>
  <c r="IZ46" i="18"/>
  <c r="IH46" i="18"/>
  <c r="QJ46" i="18"/>
  <c r="EV46" i="18"/>
  <c r="NV46" i="18"/>
  <c r="LN46" i="18"/>
  <c r="KP46" i="18"/>
  <c r="DF46" i="18"/>
  <c r="JF46" i="18"/>
  <c r="TP46" i="18"/>
  <c r="FZ46" i="18"/>
  <c r="SX46" i="18"/>
  <c r="FH46" i="18"/>
  <c r="SL46" i="18"/>
  <c r="PR46" i="18"/>
  <c r="IN46" i="18"/>
  <c r="EJ46" i="18"/>
  <c r="U42" i="18"/>
  <c r="KD46" i="18"/>
  <c r="QV46" i="18"/>
  <c r="UB46" i="18"/>
  <c r="VX46" i="18"/>
  <c r="GR46" i="18"/>
  <c r="QP46" i="18"/>
  <c r="PF46" i="18"/>
  <c r="OH46" i="18"/>
  <c r="HD46" i="18"/>
  <c r="ON46" i="18"/>
  <c r="LZ46" i="18"/>
  <c r="NP46" i="18"/>
  <c r="BJ46" i="18"/>
  <c r="AR46" i="18"/>
  <c r="HJ46" i="18"/>
  <c r="JR46" i="18"/>
  <c r="FT46" i="18"/>
  <c r="CZ46" i="18"/>
  <c r="ML46" i="18"/>
  <c r="XB46" i="18"/>
  <c r="AX46" i="18"/>
  <c r="RZ46" i="18"/>
  <c r="GX46" i="18"/>
  <c r="NJ46" i="18"/>
  <c r="DX46" i="18"/>
  <c r="LT46" i="18"/>
  <c r="QD46" i="18"/>
  <c r="SR46" i="18"/>
  <c r="MX46" i="18"/>
  <c r="UN46" i="18"/>
  <c r="AL46" i="18"/>
  <c r="TD46" i="18"/>
  <c r="VL46" i="18"/>
  <c r="TV46" i="18"/>
  <c r="TJ46" i="18"/>
  <c r="EP46" i="18"/>
  <c r="JL46" i="18"/>
  <c r="MR46" i="18"/>
  <c r="KV46" i="18"/>
  <c r="LH46" i="18"/>
  <c r="LB46" i="18"/>
  <c r="RB46" i="18"/>
  <c r="ND46" i="18"/>
  <c r="RT46" i="18"/>
  <c r="HV46" i="18"/>
  <c r="XH46" i="18"/>
  <c r="OZ46" i="18"/>
  <c r="SF46" i="18"/>
  <c r="PL46" i="18"/>
  <c r="VR46" i="18"/>
  <c r="WD46" i="18"/>
  <c r="WV46" i="18"/>
  <c r="MF46" i="18"/>
  <c r="DR46" i="18"/>
  <c r="WJ46" i="18"/>
  <c r="OT46" i="18"/>
  <c r="DL46" i="18"/>
  <c r="WP46" i="18"/>
  <c r="CH46" i="18"/>
  <c r="CN46" i="18"/>
  <c r="VF46" i="18"/>
  <c r="PW46" i="18"/>
  <c r="P44" i="18"/>
  <c r="T43" i="18" s="1"/>
  <c r="QC46" i="18"/>
  <c r="WI46" i="18"/>
  <c r="DQ46" i="18"/>
  <c r="DU46" i="18" s="1"/>
  <c r="Q44" i="18"/>
  <c r="EI46" i="18"/>
  <c r="SQ46" i="18"/>
  <c r="IM46" i="18"/>
  <c r="IO46" i="18" s="1"/>
  <c r="TU46" i="18"/>
  <c r="TW46" i="18" s="1"/>
  <c r="DW46" i="18"/>
  <c r="NC46" i="18"/>
  <c r="CA46" i="18"/>
  <c r="CD46" i="18" s="1"/>
  <c r="VW46" i="18"/>
  <c r="JW46" i="18"/>
  <c r="JQ46" i="18"/>
  <c r="AW46" i="18"/>
  <c r="TC46" i="18"/>
  <c r="TO46" i="18"/>
  <c r="TS46" i="18" s="1"/>
  <c r="VE46" i="18"/>
  <c r="VG46" i="18" s="1"/>
  <c r="UM46" i="18"/>
  <c r="UQ46" i="18" s="1"/>
  <c r="MQ46" i="18"/>
  <c r="MT46" i="18" s="1"/>
  <c r="NU46" i="18"/>
  <c r="IS46" i="18"/>
  <c r="IW46" i="18" s="1"/>
  <c r="OM46" i="18"/>
  <c r="OQ46" i="18" s="1"/>
  <c r="HC46" i="18"/>
  <c r="MK46" i="18"/>
  <c r="RG46" i="18"/>
  <c r="CM46" i="18"/>
  <c r="GQ46" i="18"/>
  <c r="LA46" i="18"/>
  <c r="HU46" i="18"/>
  <c r="HX46" i="18" s="1"/>
  <c r="UG46" i="18"/>
  <c r="UI46" i="18" s="1"/>
  <c r="UA46" i="18"/>
  <c r="UE46" i="18" s="1"/>
  <c r="FG46" i="18"/>
  <c r="KI46" i="18"/>
  <c r="KM46" i="18" s="1"/>
  <c r="OS46" i="18"/>
  <c r="US46" i="18"/>
  <c r="AK46" i="18"/>
  <c r="ME46" i="18"/>
  <c r="MG46" i="18" s="1"/>
  <c r="LS46" i="18"/>
  <c r="LW46" i="18" s="1"/>
  <c r="TI46" i="18"/>
  <c r="TM46" i="18" s="1"/>
  <c r="WO46" i="18"/>
  <c r="OG46" i="18"/>
  <c r="MW46" i="18"/>
  <c r="DE46" i="18"/>
  <c r="DI46" i="18" s="1"/>
  <c r="CY46" i="18"/>
  <c r="KC46" i="18"/>
  <c r="KG46" i="18" s="1"/>
  <c r="WC46" i="18"/>
  <c r="RS46" i="18"/>
  <c r="KO46" i="18"/>
  <c r="LM46" i="18"/>
  <c r="NO46" i="18"/>
  <c r="VK46" i="18"/>
  <c r="BI46" i="18"/>
  <c r="RM46" i="18"/>
  <c r="OY46" i="18"/>
  <c r="HO46" i="18"/>
  <c r="QI46" i="18"/>
  <c r="BO46" i="18"/>
  <c r="FA46" i="18"/>
  <c r="FC46" i="18" s="1"/>
  <c r="JK46" i="18"/>
  <c r="GK46" i="18"/>
  <c r="RY46" i="18"/>
  <c r="WU46" i="18"/>
  <c r="IA46" i="18"/>
  <c r="ID46" i="18" s="1"/>
  <c r="OA46" i="18"/>
  <c r="SK46" i="18"/>
  <c r="GW46" i="18"/>
  <c r="EU46" i="18"/>
  <c r="EY46" i="18" s="1"/>
  <c r="FY46" i="18"/>
  <c r="VQ46" i="18"/>
  <c r="BU46" i="18"/>
  <c r="FS46" i="18"/>
  <c r="QU46" i="18"/>
  <c r="KU46" i="18"/>
  <c r="GE46" i="18"/>
  <c r="LY46" i="18"/>
  <c r="MA46" i="18" s="1"/>
  <c r="PE46" i="18"/>
  <c r="EC46" i="18"/>
  <c r="BC46" i="18"/>
  <c r="CG46" i="18"/>
  <c r="CI46" i="18" s="1"/>
  <c r="IY46" i="18"/>
  <c r="JB46" i="18" s="1"/>
  <c r="PQ46" i="18"/>
  <c r="PS46" i="18" s="1"/>
  <c r="SW46" i="18"/>
  <c r="TA46" i="18" s="1"/>
  <c r="HI46" i="18"/>
  <c r="HM46" i="18" s="1"/>
  <c r="FM46" i="18"/>
  <c r="FO46" i="18" s="1"/>
  <c r="NI46" i="18"/>
  <c r="PK46" i="18"/>
  <c r="AQ46" i="18"/>
  <c r="AU46" i="18" s="1"/>
  <c r="EO46" i="18"/>
  <c r="ES46" i="18" s="1"/>
  <c r="XG46" i="18"/>
  <c r="CS46" i="18"/>
  <c r="CU46" i="18" s="1"/>
  <c r="RA46" i="18"/>
  <c r="RD46" i="18" s="1"/>
  <c r="XA46" i="18"/>
  <c r="XC46" i="18" s="1"/>
  <c r="JE46" i="18"/>
  <c r="IG46" i="18"/>
  <c r="DK46" i="18"/>
  <c r="SE46" i="18"/>
  <c r="SG46" i="18" s="1"/>
  <c r="LG46" i="18"/>
  <c r="R44" i="18"/>
  <c r="BG46" i="18"/>
  <c r="QO46" i="18"/>
  <c r="F47" i="18"/>
  <c r="BI47" i="18" s="1"/>
  <c r="VP48" i="18"/>
  <c r="VB46" i="18"/>
  <c r="E48" i="18"/>
  <c r="IX48" i="18"/>
  <c r="SP48" i="18"/>
  <c r="EB48" i="18"/>
  <c r="JD48" i="18"/>
  <c r="SV48" i="18"/>
  <c r="DS46" i="18"/>
  <c r="MD48" i="18"/>
  <c r="CX48" i="18"/>
  <c r="CL48" i="18"/>
  <c r="RL48" i="18"/>
  <c r="NB48" i="18"/>
  <c r="HT48" i="18"/>
  <c r="WN48" i="18"/>
  <c r="SD48" i="18"/>
  <c r="O48" i="18"/>
  <c r="MV48" i="18"/>
  <c r="NZ48" i="18"/>
  <c r="CR48" i="18"/>
  <c r="WT48" i="18"/>
  <c r="SJ48" i="18"/>
  <c r="LL48" i="18"/>
  <c r="NN48" i="18"/>
  <c r="WZ48" i="18"/>
  <c r="HZ48" i="18"/>
  <c r="DP48" i="18"/>
  <c r="AJ48" i="18"/>
  <c r="PD48" i="18"/>
  <c r="XF48" i="18"/>
  <c r="B49" i="18"/>
  <c r="E49" i="18" s="1"/>
  <c r="EN48" i="18"/>
  <c r="DV48" i="18"/>
  <c r="GP48" i="18"/>
  <c r="BT48" i="18"/>
  <c r="WH48" i="18"/>
  <c r="IL48" i="18"/>
  <c r="TB48" i="18"/>
  <c r="JJ48" i="18"/>
  <c r="TZ48" i="18"/>
  <c r="EZ48" i="18"/>
  <c r="QB48" i="18"/>
  <c r="KH48" i="18"/>
  <c r="VV48" i="18"/>
  <c r="RF48" i="18"/>
  <c r="OX48" i="18"/>
  <c r="ET48" i="18"/>
  <c r="PJ48" i="18"/>
  <c r="BN48" i="18"/>
  <c r="KZ48" i="18"/>
  <c r="CF48" i="18"/>
  <c r="D48" i="18"/>
  <c r="F48" i="18" s="1"/>
  <c r="VE48" i="18" s="1"/>
  <c r="GD48" i="18"/>
  <c r="OL48" i="18"/>
  <c r="UF48" i="18"/>
  <c r="PP48" i="18"/>
  <c r="KT48" i="18"/>
  <c r="EH48" i="18"/>
  <c r="NT48" i="18"/>
  <c r="FF48" i="18"/>
  <c r="OR48" i="18"/>
  <c r="BH48" i="18"/>
  <c r="IR48" i="18"/>
  <c r="MJ48" i="18"/>
  <c r="TT48" i="18"/>
  <c r="TH48" i="18"/>
  <c r="RR48" i="18"/>
  <c r="FL48" i="18"/>
  <c r="IF48" i="18"/>
  <c r="DJ48" i="18"/>
  <c r="AP48" i="18"/>
  <c r="KB48" i="18"/>
  <c r="TN48" i="18"/>
  <c r="FR48" i="18"/>
  <c r="QH48" i="18"/>
  <c r="UL48" i="18"/>
  <c r="FX48" i="18"/>
  <c r="JP48" i="18"/>
  <c r="NH48" i="18"/>
  <c r="QZ48" i="18"/>
  <c r="UR48" i="18"/>
  <c r="N48" i="18"/>
  <c r="UX48" i="18"/>
  <c r="LF48" i="18"/>
  <c r="LX48" i="18"/>
  <c r="HB48" i="18"/>
  <c r="AV48" i="18"/>
  <c r="JV48" i="18"/>
  <c r="VJ48" i="18"/>
  <c r="HN48" i="18"/>
  <c r="QN48" i="18"/>
  <c r="BB48" i="18"/>
  <c r="GJ48" i="18"/>
  <c r="LR48" i="18"/>
  <c r="PV48" i="18"/>
  <c r="VD48" i="18"/>
  <c r="BZ48" i="18"/>
  <c r="HH48" i="18"/>
  <c r="MP48" i="18"/>
  <c r="QT48" i="18"/>
  <c r="WB48" i="18"/>
  <c r="DD48" i="18"/>
  <c r="GV48" i="18"/>
  <c r="KN48" i="18"/>
  <c r="OF48" i="18"/>
  <c r="RX48" i="18"/>
  <c r="Q89" i="5"/>
  <c r="U89" i="5" s="1"/>
  <c r="I89" i="9"/>
  <c r="B97" i="19"/>
  <c r="G97" i="19" s="1"/>
  <c r="F95" i="19"/>
  <c r="D22" i="19"/>
  <c r="E23" i="19"/>
  <c r="G13" i="15"/>
  <c r="Q13" i="15"/>
  <c r="P13" i="15"/>
  <c r="E23" i="8"/>
  <c r="D22" i="8"/>
  <c r="R22" i="8" s="1"/>
  <c r="N22" i="7"/>
  <c r="L23" i="7"/>
  <c r="K23" i="7"/>
  <c r="N23" i="7"/>
  <c r="L22" i="7"/>
  <c r="K22" i="7"/>
  <c r="P45" i="18"/>
  <c r="R45" i="18"/>
  <c r="Q45" i="18"/>
  <c r="I88" i="9"/>
  <c r="J91" i="5"/>
  <c r="F91" i="5" s="1"/>
  <c r="L88" i="9"/>
  <c r="L89" i="9"/>
  <c r="M86" i="9"/>
  <c r="M87" i="9"/>
  <c r="J89" i="9"/>
  <c r="J88" i="9"/>
  <c r="H90" i="9"/>
  <c r="K90" i="9" s="1"/>
  <c r="H91" i="9"/>
  <c r="K91" i="9" s="1"/>
  <c r="F93" i="8"/>
  <c r="G93" i="8"/>
  <c r="F92" i="8"/>
  <c r="G92" i="8"/>
  <c r="I91" i="7"/>
  <c r="J91" i="7"/>
  <c r="I90" i="7"/>
  <c r="J90" i="7"/>
  <c r="U47" i="15"/>
  <c r="Y47" i="18" s="1"/>
  <c r="D47" i="15"/>
  <c r="E47" i="15"/>
  <c r="I93" i="5"/>
  <c r="I90" i="5"/>
  <c r="J90" i="5" s="1"/>
  <c r="H90" i="1"/>
  <c r="I90" i="1" s="1"/>
  <c r="H91" i="1"/>
  <c r="I91" i="1" s="1"/>
  <c r="T47" i="15"/>
  <c r="B93" i="9"/>
  <c r="B93" i="7"/>
  <c r="B93" i="1"/>
  <c r="AD90" i="5"/>
  <c r="AE90" i="5" s="1"/>
  <c r="AI90" i="5" s="1"/>
  <c r="AJ88" i="5"/>
  <c r="AL88" i="5" s="1"/>
  <c r="B95" i="5"/>
  <c r="R93" i="5"/>
  <c r="AG93" i="5" s="1"/>
  <c r="K93" i="5"/>
  <c r="AE93" i="5"/>
  <c r="F88" i="5"/>
  <c r="Q86" i="5"/>
  <c r="U86" i="5" s="1"/>
  <c r="B92" i="5"/>
  <c r="R90" i="5"/>
  <c r="AG90" i="5" s="1"/>
  <c r="K90" i="5"/>
  <c r="AL86" i="5"/>
  <c r="S110" i="14"/>
  <c r="U110" i="14"/>
  <c r="T110" i="14"/>
  <c r="Q109" i="14"/>
  <c r="B113" i="14"/>
  <c r="R109" i="14"/>
  <c r="B92" i="9"/>
  <c r="B92" i="1"/>
  <c r="N90" i="1"/>
  <c r="B48" i="15"/>
  <c r="B94" i="8"/>
  <c r="B92" i="7"/>
  <c r="B95" i="8"/>
  <c r="O88" i="1"/>
  <c r="BQ89" i="1"/>
  <c r="BP89" i="1"/>
  <c r="X89" i="7" s="1"/>
  <c r="O89" i="1"/>
  <c r="IP46" i="18" l="1"/>
  <c r="UK46" i="18"/>
  <c r="R95" i="5"/>
  <c r="AG95" i="5" s="1"/>
  <c r="GZ46" i="18"/>
  <c r="VA46" i="18"/>
  <c r="JH46" i="18"/>
  <c r="KY46" i="18"/>
  <c r="RO46" i="18"/>
  <c r="HQ46" i="18"/>
  <c r="R83" i="8"/>
  <c r="PI46" i="18"/>
  <c r="DT46" i="18"/>
  <c r="FJ46" i="18"/>
  <c r="NY46" i="18"/>
  <c r="AN46" i="18"/>
  <c r="CO46" i="18"/>
  <c r="FD46" i="18"/>
  <c r="QE46" i="18"/>
  <c r="UO46" i="18"/>
  <c r="UP46" i="18"/>
  <c r="EG46" i="18"/>
  <c r="CE46" i="18"/>
  <c r="QQ46" i="18"/>
  <c r="QY46" i="18"/>
  <c r="OD46" i="18"/>
  <c r="GO46" i="18"/>
  <c r="DC46" i="18"/>
  <c r="BR46" i="18"/>
  <c r="RJ46" i="18"/>
  <c r="BF46" i="18"/>
  <c r="EK46" i="18"/>
  <c r="DN46" i="18"/>
  <c r="FV46" i="18"/>
  <c r="UV46" i="18"/>
  <c r="QA46" i="18"/>
  <c r="AO46" i="18"/>
  <c r="MN46" i="18"/>
  <c r="GY46" i="18"/>
  <c r="PC46" i="18"/>
  <c r="WF46" i="18"/>
  <c r="CV46" i="18"/>
  <c r="LU46" i="18"/>
  <c r="CC46" i="18"/>
  <c r="OO46" i="18"/>
  <c r="XK46" i="18"/>
  <c r="VS46" i="18"/>
  <c r="SC46" i="18"/>
  <c r="PA46" i="18"/>
  <c r="WQ46" i="18"/>
  <c r="NA46" i="18"/>
  <c r="BL46" i="18"/>
  <c r="QM46" i="18"/>
  <c r="PY46" i="18"/>
  <c r="BS46" i="18"/>
  <c r="PZ46" i="18"/>
  <c r="GC46" i="18"/>
  <c r="QL46" i="18"/>
  <c r="BK46" i="18"/>
  <c r="KR46" i="18"/>
  <c r="JY46" i="18"/>
  <c r="EA46" i="18"/>
  <c r="JN46" i="18"/>
  <c r="VO46" i="18"/>
  <c r="GS46" i="18"/>
  <c r="HG46" i="18"/>
  <c r="BX46" i="18"/>
  <c r="AY46" i="18"/>
  <c r="OI46" i="18"/>
  <c r="IK46" i="18"/>
  <c r="GH46" i="18"/>
  <c r="AM46" i="18"/>
  <c r="BM46" i="18"/>
  <c r="SO46" i="18"/>
  <c r="LQ46" i="18"/>
  <c r="LE46" i="18"/>
  <c r="QF46" i="18"/>
  <c r="WR46" i="18"/>
  <c r="KA46" i="18"/>
  <c r="JZ46" i="18"/>
  <c r="OC46" i="18"/>
  <c r="EL46" i="18"/>
  <c r="QK46" i="18"/>
  <c r="NG46" i="18"/>
  <c r="OV46" i="18"/>
  <c r="WX46" i="18"/>
  <c r="SU46" i="18"/>
  <c r="TR46" i="18"/>
  <c r="EM46" i="18"/>
  <c r="OE46" i="18"/>
  <c r="GA46" i="18"/>
  <c r="PH46" i="18"/>
  <c r="SH46" i="18"/>
  <c r="NX46" i="18"/>
  <c r="QX46" i="18"/>
  <c r="NW46" i="18"/>
  <c r="RW46" i="18"/>
  <c r="TG46" i="18"/>
  <c r="VY46" i="18"/>
  <c r="TQ46" i="18"/>
  <c r="OW46" i="18"/>
  <c r="FI46" i="18"/>
  <c r="GN46" i="18"/>
  <c r="DB46" i="18"/>
  <c r="ER46" i="18"/>
  <c r="MM46" i="18"/>
  <c r="QG46" i="18"/>
  <c r="JC46" i="18"/>
  <c r="PG46" i="18"/>
  <c r="DA46" i="18"/>
  <c r="QW46" i="18"/>
  <c r="MO46" i="18"/>
  <c r="WW46" i="18"/>
  <c r="NR46" i="18"/>
  <c r="SI46" i="18"/>
  <c r="EQ46" i="18"/>
  <c r="JA46" i="18"/>
  <c r="FK46" i="18"/>
  <c r="GB46" i="18"/>
  <c r="XD46" i="18"/>
  <c r="LJ46" i="18"/>
  <c r="NM46" i="18"/>
  <c r="LC46" i="18"/>
  <c r="DZ46" i="18"/>
  <c r="DY46" i="18"/>
  <c r="LD46" i="18"/>
  <c r="PM46" i="18"/>
  <c r="MZ46" i="18"/>
  <c r="XE46" i="18"/>
  <c r="IJ46" i="18"/>
  <c r="GM46" i="18"/>
  <c r="FP46" i="18"/>
  <c r="KQ46" i="18"/>
  <c r="KS46" i="18"/>
  <c r="OJ46" i="18"/>
  <c r="JT46" i="18"/>
  <c r="ST46" i="18"/>
  <c r="GI46" i="18"/>
  <c r="QS46" i="18"/>
  <c r="DM46" i="18"/>
  <c r="FQ46" i="18"/>
  <c r="OU46" i="18"/>
  <c r="CP46" i="18"/>
  <c r="HA46" i="18"/>
  <c r="PO46" i="18"/>
  <c r="WM46" i="18"/>
  <c r="WG46" i="18"/>
  <c r="WS46" i="18"/>
  <c r="G48" i="18"/>
  <c r="RT48" i="18" s="1"/>
  <c r="G49" i="18"/>
  <c r="VF49" i="18" s="1"/>
  <c r="S44" i="18"/>
  <c r="FE46" i="18"/>
  <c r="WY46" i="18"/>
  <c r="BW46" i="18"/>
  <c r="WL46" i="18"/>
  <c r="II46" i="18"/>
  <c r="PN46" i="18"/>
  <c r="IQ46" i="18"/>
  <c r="PB46" i="18"/>
  <c r="NS46" i="18"/>
  <c r="GG46" i="18"/>
  <c r="SZ46" i="18"/>
  <c r="UJ46" i="18"/>
  <c r="WE46" i="18"/>
  <c r="BE46" i="18"/>
  <c r="OP46" i="18"/>
  <c r="NQ46" i="18"/>
  <c r="BY46" i="18"/>
  <c r="BA46" i="18"/>
  <c r="SY46" i="18"/>
  <c r="CQ46" i="18"/>
  <c r="LV46" i="18"/>
  <c r="MY46" i="18"/>
  <c r="CW46" i="18"/>
  <c r="AZ46" i="18"/>
  <c r="AS46" i="18"/>
  <c r="PE47" i="18"/>
  <c r="PH47" i="18" s="1"/>
  <c r="S43" i="18"/>
  <c r="U43" i="18" s="1"/>
  <c r="IV46" i="18"/>
  <c r="JS46" i="18"/>
  <c r="WK46" i="18"/>
  <c r="HK46" i="18"/>
  <c r="UW46" i="18"/>
  <c r="UC46" i="18"/>
  <c r="DG46" i="18"/>
  <c r="VN46" i="18"/>
  <c r="FU46" i="18"/>
  <c r="TE46" i="18"/>
  <c r="RU46" i="18"/>
  <c r="CK46" i="18"/>
  <c r="PU46" i="18"/>
  <c r="MU46" i="18"/>
  <c r="UU46" i="18"/>
  <c r="GT46" i="18"/>
  <c r="IE46" i="18"/>
  <c r="TY46" i="18"/>
  <c r="EW46" i="18"/>
  <c r="RE46" i="18"/>
  <c r="MB46" i="18"/>
  <c r="GU46" i="18"/>
  <c r="RV46" i="18"/>
  <c r="MS46" i="18"/>
  <c r="VZ46" i="18"/>
  <c r="HF46" i="18"/>
  <c r="JO46" i="18"/>
  <c r="VM46" i="18"/>
  <c r="DO46" i="18"/>
  <c r="RC46" i="18"/>
  <c r="IC46" i="18"/>
  <c r="EX46" i="18"/>
  <c r="TX46" i="18"/>
  <c r="TL46" i="18"/>
  <c r="UD46" i="18"/>
  <c r="TK46" i="18"/>
  <c r="DH46" i="18"/>
  <c r="TF46" i="18"/>
  <c r="HR46" i="18"/>
  <c r="FW46" i="18"/>
  <c r="WA46" i="18"/>
  <c r="HE46" i="18"/>
  <c r="MC46" i="18"/>
  <c r="TU47" i="18"/>
  <c r="TY47" i="18" s="1"/>
  <c r="AT46" i="18"/>
  <c r="HS46" i="18"/>
  <c r="JM46" i="18"/>
  <c r="HL46" i="18"/>
  <c r="CJ46" i="18"/>
  <c r="LG47" i="18"/>
  <c r="LI47" i="18" s="1"/>
  <c r="RQ46" i="18"/>
  <c r="HY46" i="18"/>
  <c r="JI46" i="18"/>
  <c r="LI46" i="18"/>
  <c r="OK46" i="18"/>
  <c r="NO47" i="18"/>
  <c r="NQ47" i="18" s="1"/>
  <c r="RI46" i="18"/>
  <c r="EF46" i="18"/>
  <c r="IU46" i="18"/>
  <c r="SA46" i="18"/>
  <c r="SB46" i="18"/>
  <c r="WC47" i="18"/>
  <c r="WE47" i="18" s="1"/>
  <c r="NF46" i="18"/>
  <c r="JU46" i="18"/>
  <c r="RP46" i="18"/>
  <c r="NK46" i="18"/>
  <c r="PT46" i="18"/>
  <c r="XI46" i="18"/>
  <c r="MH46" i="18"/>
  <c r="RK46" i="18"/>
  <c r="MI46" i="18"/>
  <c r="LK46" i="18"/>
  <c r="JG46" i="18"/>
  <c r="VU46" i="18"/>
  <c r="KW46" i="18"/>
  <c r="KX46" i="18"/>
  <c r="VT46" i="18"/>
  <c r="CA47" i="18"/>
  <c r="CC47" i="18" s="1"/>
  <c r="KL46" i="18"/>
  <c r="NE46" i="18"/>
  <c r="LP46" i="18"/>
  <c r="AW47" i="18"/>
  <c r="HW46" i="18"/>
  <c r="SN46" i="18"/>
  <c r="NL46" i="18"/>
  <c r="EE46" i="18"/>
  <c r="KK46" i="18"/>
  <c r="KE46" i="18"/>
  <c r="SS46" i="18"/>
  <c r="BQ46" i="18"/>
  <c r="XJ46" i="18"/>
  <c r="GK47" i="18"/>
  <c r="GO47" i="18" s="1"/>
  <c r="LO46" i="18"/>
  <c r="KF46" i="18"/>
  <c r="SM46" i="18"/>
  <c r="VI46" i="18"/>
  <c r="VH46" i="18"/>
  <c r="JW47" i="18"/>
  <c r="JY47" i="18" s="1"/>
  <c r="QU47" i="18"/>
  <c r="QX47" i="18" s="1"/>
  <c r="VE47" i="18"/>
  <c r="VI47" i="18" s="1"/>
  <c r="BC47" i="18"/>
  <c r="BG47" i="18" s="1"/>
  <c r="RA47" i="18"/>
  <c r="RE47" i="18" s="1"/>
  <c r="TI47" i="18"/>
  <c r="TK47" i="18" s="1"/>
  <c r="DQ47" i="18"/>
  <c r="DU47" i="18" s="1"/>
  <c r="EO47" i="18"/>
  <c r="CS47" i="18"/>
  <c r="CU47" i="18" s="1"/>
  <c r="GE47" i="18"/>
  <c r="GG47" i="18" s="1"/>
  <c r="LM47" i="18"/>
  <c r="LP47" i="18" s="1"/>
  <c r="PW47" i="18"/>
  <c r="PZ47" i="18" s="1"/>
  <c r="OY47" i="18"/>
  <c r="PA47" i="18" s="1"/>
  <c r="JQ47" i="18"/>
  <c r="JS47" i="18" s="1"/>
  <c r="QC47" i="18"/>
  <c r="QE47" i="18" s="1"/>
  <c r="OM47" i="18"/>
  <c r="OQ47" i="18" s="1"/>
  <c r="GW47" i="18"/>
  <c r="HA47" i="18" s="1"/>
  <c r="RG47" i="18"/>
  <c r="RJ47" i="18" s="1"/>
  <c r="CM47" i="18"/>
  <c r="CQ47" i="18" s="1"/>
  <c r="HI47" i="18"/>
  <c r="HM47" i="18" s="1"/>
  <c r="KO47" i="18"/>
  <c r="KS47" i="18" s="1"/>
  <c r="FY47" i="18"/>
  <c r="GA47" i="18" s="1"/>
  <c r="FA47" i="18"/>
  <c r="FD47" i="18" s="1"/>
  <c r="IY47" i="18"/>
  <c r="JA47" i="18" s="1"/>
  <c r="WI47" i="18"/>
  <c r="KC47" i="18"/>
  <c r="KF47" i="18" s="1"/>
  <c r="JK47" i="18"/>
  <c r="JN47" i="18" s="1"/>
  <c r="VK47" i="18"/>
  <c r="VM47" i="18" s="1"/>
  <c r="PB47" i="18"/>
  <c r="JU47" i="18"/>
  <c r="QR46" i="18"/>
  <c r="ME47" i="18"/>
  <c r="MG47" i="18" s="1"/>
  <c r="CW47" i="18"/>
  <c r="EI47" i="18"/>
  <c r="EK47" i="18" s="1"/>
  <c r="NU47" i="18"/>
  <c r="NW47" i="18" s="1"/>
  <c r="OA47" i="18"/>
  <c r="OD47" i="18" s="1"/>
  <c r="PQ47" i="18"/>
  <c r="PS47" i="18" s="1"/>
  <c r="CG47" i="18"/>
  <c r="HC47" i="18"/>
  <c r="HF47" i="18" s="1"/>
  <c r="RS47" i="18"/>
  <c r="RW47" i="18" s="1"/>
  <c r="BO47" i="18"/>
  <c r="BS47" i="18" s="1"/>
  <c r="FS47" i="18"/>
  <c r="FU47" i="18" s="1"/>
  <c r="FG47" i="18"/>
  <c r="LS47" i="18"/>
  <c r="LU47" i="18" s="1"/>
  <c r="AQ47" i="18"/>
  <c r="AT47" i="18" s="1"/>
  <c r="NI47" i="18"/>
  <c r="NM47" i="18" s="1"/>
  <c r="SE47" i="18"/>
  <c r="SG47" i="18" s="1"/>
  <c r="HO47" i="18"/>
  <c r="HQ47" i="18" s="1"/>
  <c r="RY47" i="18"/>
  <c r="SC47" i="18" s="1"/>
  <c r="PK47" i="18"/>
  <c r="PO47" i="18" s="1"/>
  <c r="TC47" i="18"/>
  <c r="TF47" i="18" s="1"/>
  <c r="WO47" i="18"/>
  <c r="WS47" i="18" s="1"/>
  <c r="TO47" i="18"/>
  <c r="TQ47" i="18" s="1"/>
  <c r="JE47" i="18"/>
  <c r="JG47" i="18" s="1"/>
  <c r="MK47" i="18"/>
  <c r="MN47" i="18" s="1"/>
  <c r="MQ47" i="18"/>
  <c r="MT47" i="18" s="1"/>
  <c r="VQ47" i="18"/>
  <c r="VT47" i="18" s="1"/>
  <c r="LY47" i="18"/>
  <c r="EC47" i="18"/>
  <c r="UG47" i="18"/>
  <c r="OG47" i="18"/>
  <c r="QO47" i="18"/>
  <c r="BK47" i="18"/>
  <c r="BL47" i="18"/>
  <c r="BM47" i="18"/>
  <c r="MW47" i="18"/>
  <c r="UY47" i="18"/>
  <c r="UA47" i="18"/>
  <c r="UC47" i="18" s="1"/>
  <c r="OS47" i="18"/>
  <c r="OW47" i="18" s="1"/>
  <c r="DE47" i="18"/>
  <c r="CY47" i="18"/>
  <c r="UM47" i="18"/>
  <c r="UP47" i="18" s="1"/>
  <c r="IS47" i="18"/>
  <c r="NC47" i="18"/>
  <c r="NE47" i="18" s="1"/>
  <c r="KI47" i="18"/>
  <c r="KK47" i="18" s="1"/>
  <c r="HU47" i="18"/>
  <c r="WU48" i="18"/>
  <c r="KU47" i="18"/>
  <c r="SK47" i="18"/>
  <c r="RM47" i="18"/>
  <c r="BU47" i="18"/>
  <c r="DW47" i="18"/>
  <c r="WU47" i="18"/>
  <c r="IA47" i="18"/>
  <c r="LA47" i="18"/>
  <c r="IM47" i="18"/>
  <c r="XA47" i="18"/>
  <c r="FM47" i="18"/>
  <c r="EU47" i="18"/>
  <c r="GQ47" i="18"/>
  <c r="SW47" i="18"/>
  <c r="IG47" i="18"/>
  <c r="DK47" i="18"/>
  <c r="QI47" i="18"/>
  <c r="US47" i="18"/>
  <c r="VW47" i="18"/>
  <c r="AK47" i="18"/>
  <c r="SQ47" i="18"/>
  <c r="XG47" i="18"/>
  <c r="WN49" i="18"/>
  <c r="AW48" i="18"/>
  <c r="OZ48" i="18"/>
  <c r="CN48" i="18"/>
  <c r="UT48" i="18"/>
  <c r="VR48" i="18"/>
  <c r="AR48" i="18"/>
  <c r="XB48" i="18"/>
  <c r="DL48" i="18"/>
  <c r="IH48" i="18"/>
  <c r="VP49" i="18"/>
  <c r="VK48" i="18"/>
  <c r="BO48" i="18"/>
  <c r="RS48" i="18"/>
  <c r="SQ48" i="18"/>
  <c r="QI48" i="18"/>
  <c r="DQ48" i="18"/>
  <c r="BC48" i="18"/>
  <c r="FH48" i="18"/>
  <c r="BP48" i="18"/>
  <c r="FT48" i="18"/>
  <c r="FB48" i="18"/>
  <c r="SF48" i="18"/>
  <c r="JR48" i="18"/>
  <c r="WJ48" i="18"/>
  <c r="JF48" i="18"/>
  <c r="TJ48" i="18"/>
  <c r="FS48" i="18"/>
  <c r="DW48" i="18"/>
  <c r="GK48" i="18"/>
  <c r="IY48" i="18"/>
  <c r="HV48" i="18"/>
  <c r="CB48" i="18"/>
  <c r="RZ48" i="18"/>
  <c r="UN48" i="18"/>
  <c r="OB48" i="18"/>
  <c r="EJ48" i="18"/>
  <c r="RB48" i="18"/>
  <c r="FN48" i="18"/>
  <c r="PR48" i="18"/>
  <c r="BI48" i="18"/>
  <c r="OS48" i="18"/>
  <c r="JE48" i="18"/>
  <c r="PW48" i="18"/>
  <c r="MQ48" i="18"/>
  <c r="UZ48" i="18"/>
  <c r="NP48" i="18"/>
  <c r="TP48" i="18"/>
  <c r="CZ48" i="18"/>
  <c r="ON48" i="18"/>
  <c r="FZ48" i="18"/>
  <c r="TD48" i="18"/>
  <c r="GL48" i="18"/>
  <c r="QP48" i="18"/>
  <c r="HU48" i="18"/>
  <c r="IS48" i="18"/>
  <c r="MK48" i="18"/>
  <c r="NI48" i="18"/>
  <c r="KO48" i="18"/>
  <c r="FG48" i="18"/>
  <c r="UA48" i="18"/>
  <c r="JL48" i="18"/>
  <c r="XH48" i="18"/>
  <c r="EV48" i="18"/>
  <c r="ED48" i="18"/>
  <c r="BJ48" i="18"/>
  <c r="KV48" i="18"/>
  <c r="VL48" i="18"/>
  <c r="IB48" i="18"/>
  <c r="SR48" i="18"/>
  <c r="DR48" i="18"/>
  <c r="LB48" i="18"/>
  <c r="SL48" i="18"/>
  <c r="HB49" i="18"/>
  <c r="GD49" i="18"/>
  <c r="N49" i="18"/>
  <c r="IL49" i="18"/>
  <c r="SJ49" i="18"/>
  <c r="RL49" i="18"/>
  <c r="RF49" i="18"/>
  <c r="OF49" i="18"/>
  <c r="JK48" i="18"/>
  <c r="TI48" i="18"/>
  <c r="KI48" i="18"/>
  <c r="SW48" i="18"/>
  <c r="XA48" i="18"/>
  <c r="JQ48" i="18"/>
  <c r="UG48" i="18"/>
  <c r="GW48" i="18"/>
  <c r="ME48" i="18"/>
  <c r="VQ48" i="18"/>
  <c r="CM48" i="18"/>
  <c r="GE48" i="18"/>
  <c r="NO48" i="18"/>
  <c r="RG48" i="18"/>
  <c r="UY48" i="18"/>
  <c r="WO48" i="18"/>
  <c r="EO48" i="18"/>
  <c r="AK48" i="18"/>
  <c r="QU48" i="18"/>
  <c r="LY48" i="18"/>
  <c r="LM48" i="18"/>
  <c r="UM48" i="18"/>
  <c r="GQ48" i="18"/>
  <c r="PQ48" i="18"/>
  <c r="BU48" i="18"/>
  <c r="FY48" i="18"/>
  <c r="LG48" i="18"/>
  <c r="QO48" i="18"/>
  <c r="US48" i="18"/>
  <c r="DE48" i="18"/>
  <c r="IM48" i="18"/>
  <c r="NU48" i="18"/>
  <c r="RY48" i="18"/>
  <c r="XG48" i="18"/>
  <c r="DK48" i="18"/>
  <c r="HC48" i="18"/>
  <c r="KU48" i="18"/>
  <c r="OM48" i="18"/>
  <c r="SE48" i="18"/>
  <c r="VW48" i="18"/>
  <c r="HH49" i="18"/>
  <c r="OX49" i="18"/>
  <c r="CF49" i="18"/>
  <c r="CY48" i="18"/>
  <c r="PE48" i="18"/>
  <c r="HI48" i="18"/>
  <c r="FA48" i="18"/>
  <c r="OA48" i="18"/>
  <c r="FM48" i="18"/>
  <c r="OY48" i="18"/>
  <c r="CS48" i="18"/>
  <c r="RM48" i="18"/>
  <c r="JW48" i="18"/>
  <c r="LA48" i="18"/>
  <c r="QC48" i="18"/>
  <c r="CA48" i="18"/>
  <c r="SK48" i="18"/>
  <c r="EC48" i="18"/>
  <c r="NC48" i="18"/>
  <c r="WC48" i="18"/>
  <c r="IG48" i="18"/>
  <c r="TU48" i="18"/>
  <c r="CG48" i="18"/>
  <c r="HO48" i="18"/>
  <c r="MW48" i="18"/>
  <c r="RA48" i="18"/>
  <c r="WI48" i="18"/>
  <c r="EU48" i="18"/>
  <c r="KC48" i="18"/>
  <c r="OG48" i="18"/>
  <c r="TO48" i="18"/>
  <c r="AQ48" i="18"/>
  <c r="EI48" i="18"/>
  <c r="IA48" i="18"/>
  <c r="LS48" i="18"/>
  <c r="PK48" i="18"/>
  <c r="TC48" i="18"/>
  <c r="WB49" i="18"/>
  <c r="BB49" i="18"/>
  <c r="IR49" i="18"/>
  <c r="JJ49" i="18"/>
  <c r="UX49" i="18"/>
  <c r="TZ49" i="18"/>
  <c r="IX49" i="18"/>
  <c r="WZ49" i="18"/>
  <c r="HN49" i="18"/>
  <c r="SD49" i="18"/>
  <c r="LR49" i="18"/>
  <c r="VD49" i="18"/>
  <c r="DD49" i="18"/>
  <c r="JP49" i="18"/>
  <c r="QZ49" i="18"/>
  <c r="B50" i="18"/>
  <c r="GP49" i="18"/>
  <c r="MP49" i="18"/>
  <c r="BZ49" i="18"/>
  <c r="LX49" i="18"/>
  <c r="QH49" i="18"/>
  <c r="IF49" i="18"/>
  <c r="BT49" i="18"/>
  <c r="LF49" i="18"/>
  <c r="UF49" i="18"/>
  <c r="EH49" i="18"/>
  <c r="NT49" i="18"/>
  <c r="WT49" i="18"/>
  <c r="EZ49" i="18"/>
  <c r="MJ49" i="18"/>
  <c r="RX49" i="18"/>
  <c r="O49" i="18"/>
  <c r="EN49" i="18"/>
  <c r="DP49" i="18"/>
  <c r="BN49" i="18"/>
  <c r="UL49" i="18"/>
  <c r="NZ49" i="18"/>
  <c r="FL49" i="18"/>
  <c r="MV49" i="18"/>
  <c r="VV49" i="18"/>
  <c r="HZ49" i="18"/>
  <c r="PV49" i="18"/>
  <c r="XF49" i="18"/>
  <c r="GV49" i="18"/>
  <c r="NH49" i="18"/>
  <c r="TT49" i="18"/>
  <c r="CR49" i="18"/>
  <c r="KZ49" i="18"/>
  <c r="RR49" i="18"/>
  <c r="QT49" i="18"/>
  <c r="NN49" i="18"/>
  <c r="NB49" i="18"/>
  <c r="CL49" i="18"/>
  <c r="PP49" i="18"/>
  <c r="DJ49" i="18"/>
  <c r="KT49" i="18"/>
  <c r="QN49" i="18"/>
  <c r="WH49" i="18"/>
  <c r="GJ49" i="18"/>
  <c r="MD49" i="18"/>
  <c r="TB49" i="18"/>
  <c r="BH49" i="18"/>
  <c r="FX49" i="18"/>
  <c r="KN49" i="18"/>
  <c r="QB49" i="18"/>
  <c r="UR49" i="18"/>
  <c r="D49" i="18"/>
  <c r="CX49" i="18"/>
  <c r="TH49" i="18"/>
  <c r="FF49" i="18"/>
  <c r="KH49" i="18"/>
  <c r="FR49" i="18"/>
  <c r="OR49" i="18"/>
  <c r="AV49" i="18"/>
  <c r="JV49" i="18"/>
  <c r="VJ49" i="18"/>
  <c r="DV49" i="18"/>
  <c r="JD49" i="18"/>
  <c r="OL49" i="18"/>
  <c r="SP49" i="18"/>
  <c r="AP49" i="18"/>
  <c r="ET49" i="18"/>
  <c r="KB49" i="18"/>
  <c r="PJ49" i="18"/>
  <c r="TN49" i="18"/>
  <c r="AJ49" i="18"/>
  <c r="EB49" i="18"/>
  <c r="HT49" i="18"/>
  <c r="LL49" i="18"/>
  <c r="PD49" i="18"/>
  <c r="SV49" i="18"/>
  <c r="Q91" i="5"/>
  <c r="U91" i="5" s="1"/>
  <c r="Q88" i="5"/>
  <c r="U88" i="5" s="1"/>
  <c r="I91" i="9"/>
  <c r="B99" i="19"/>
  <c r="G99" i="19" s="1"/>
  <c r="F97" i="19"/>
  <c r="L24" i="7"/>
  <c r="N25" i="7"/>
  <c r="N24" i="7"/>
  <c r="K24" i="7"/>
  <c r="L25" i="7"/>
  <c r="K25" i="7"/>
  <c r="D24" i="19"/>
  <c r="E25" i="19"/>
  <c r="D24" i="8"/>
  <c r="R24" i="8" s="1"/>
  <c r="G14" i="15"/>
  <c r="Q14" i="15"/>
  <c r="E25" i="8"/>
  <c r="P14" i="15"/>
  <c r="T44" i="18"/>
  <c r="I90" i="9"/>
  <c r="J93" i="5"/>
  <c r="F93" i="5" s="1"/>
  <c r="L90" i="9"/>
  <c r="L91" i="9"/>
  <c r="M88" i="9"/>
  <c r="M89" i="9"/>
  <c r="J91" i="9"/>
  <c r="J90" i="9"/>
  <c r="H93" i="9"/>
  <c r="K93" i="9" s="1"/>
  <c r="H92" i="9"/>
  <c r="K92" i="9" s="1"/>
  <c r="F95" i="8"/>
  <c r="G95" i="8"/>
  <c r="F94" i="8"/>
  <c r="G94" i="8"/>
  <c r="J92" i="7"/>
  <c r="I92" i="7"/>
  <c r="I93" i="7"/>
  <c r="J93" i="7"/>
  <c r="U48" i="15"/>
  <c r="Y48" i="18" s="1"/>
  <c r="E48" i="15"/>
  <c r="D48" i="15"/>
  <c r="I95" i="5"/>
  <c r="I92" i="5"/>
  <c r="J92" i="5" s="1"/>
  <c r="H92" i="1"/>
  <c r="I92" i="1" s="1"/>
  <c r="H93" i="1"/>
  <c r="I93" i="1" s="1"/>
  <c r="T48" i="15"/>
  <c r="WD49" i="18"/>
  <c r="UH49" i="18"/>
  <c r="SL49" i="18"/>
  <c r="QP49" i="18"/>
  <c r="OT49" i="18"/>
  <c r="MX49" i="18"/>
  <c r="LB49" i="18"/>
  <c r="JF49" i="18"/>
  <c r="HJ49" i="18"/>
  <c r="FN49" i="18"/>
  <c r="DR49" i="18"/>
  <c r="BV49" i="18"/>
  <c r="VX49" i="18"/>
  <c r="TV49" i="18"/>
  <c r="RT49" i="18"/>
  <c r="ON49" i="18"/>
  <c r="ML49" i="18"/>
  <c r="KJ49" i="18"/>
  <c r="HD49" i="18"/>
  <c r="FB49" i="18"/>
  <c r="CZ49" i="18"/>
  <c r="WP49" i="18"/>
  <c r="UN49" i="18"/>
  <c r="RH49" i="18"/>
  <c r="PF49" i="18"/>
  <c r="ND49" i="18"/>
  <c r="JX49" i="18"/>
  <c r="HV49" i="18"/>
  <c r="FT49" i="18"/>
  <c r="CN49" i="18"/>
  <c r="AL49" i="18"/>
  <c r="RZ49" i="18"/>
  <c r="MF49" i="18"/>
  <c r="IZ49" i="18"/>
  <c r="DF49" i="18"/>
  <c r="WV49" i="18"/>
  <c r="RB49" i="18"/>
  <c r="LH49" i="18"/>
  <c r="IB49" i="18"/>
  <c r="CH49" i="18"/>
  <c r="XH49" i="18"/>
  <c r="UB49" i="18"/>
  <c r="GX49" i="18"/>
  <c r="OZ49" i="18"/>
  <c r="LT49" i="18"/>
  <c r="OH49" i="18"/>
  <c r="BD49" i="18"/>
  <c r="HP49" i="18"/>
  <c r="FZ49" i="18"/>
  <c r="WJ49" i="18"/>
  <c r="B95" i="1"/>
  <c r="B95" i="7"/>
  <c r="B95" i="9"/>
  <c r="AD92" i="5"/>
  <c r="AE92" i="5" s="1"/>
  <c r="AI92" i="5" s="1"/>
  <c r="B94" i="5"/>
  <c r="R92" i="5"/>
  <c r="AG92" i="5" s="1"/>
  <c r="K92" i="5"/>
  <c r="F90" i="5"/>
  <c r="AJ90" i="5"/>
  <c r="B97" i="5"/>
  <c r="AE95" i="5"/>
  <c r="K95" i="5"/>
  <c r="B114" i="14"/>
  <c r="U111" i="14"/>
  <c r="T111" i="14"/>
  <c r="S111" i="14"/>
  <c r="Q110" i="14"/>
  <c r="R110" i="14"/>
  <c r="B97" i="8"/>
  <c r="B94" i="9"/>
  <c r="B49" i="15"/>
  <c r="B94" i="7"/>
  <c r="B96" i="8"/>
  <c r="O90" i="1"/>
  <c r="O91" i="1"/>
  <c r="BP91" i="1"/>
  <c r="X91" i="7" s="1"/>
  <c r="BQ91" i="1"/>
  <c r="B94" i="1"/>
  <c r="N92" i="1"/>
  <c r="OT48" i="18" l="1"/>
  <c r="OU48" i="18" s="1"/>
  <c r="WV48" i="18"/>
  <c r="WX48" i="18" s="1"/>
  <c r="DX48" i="18"/>
  <c r="GR48" i="18"/>
  <c r="GT48" i="18" s="1"/>
  <c r="QJ48" i="18"/>
  <c r="QM48" i="18" s="1"/>
  <c r="GX48" i="18"/>
  <c r="LZ48" i="18"/>
  <c r="LT48" i="18"/>
  <c r="LV48" i="18" s="1"/>
  <c r="IT48" i="18"/>
  <c r="IV48" i="18" s="1"/>
  <c r="IZ48" i="18"/>
  <c r="BD48" i="18"/>
  <c r="KD48" i="18"/>
  <c r="KF48" i="18" s="1"/>
  <c r="LH48" i="18"/>
  <c r="LK48" i="18" s="1"/>
  <c r="HD48" i="18"/>
  <c r="DF48" i="18"/>
  <c r="MR48" i="18"/>
  <c r="MS48" i="18" s="1"/>
  <c r="EP48" i="18"/>
  <c r="CH48" i="18"/>
  <c r="SX48" i="18"/>
  <c r="AL48" i="18"/>
  <c r="AN48" i="18" s="1"/>
  <c r="HP48" i="18"/>
  <c r="HR48" i="18" s="1"/>
  <c r="CT48" i="18"/>
  <c r="RN48" i="18"/>
  <c r="WP48" i="18"/>
  <c r="WR48" i="18" s="1"/>
  <c r="HJ48" i="18"/>
  <c r="NJ48" i="18"/>
  <c r="NL48" i="18" s="1"/>
  <c r="QD48" i="18"/>
  <c r="ND48" i="18"/>
  <c r="NE48" i="18" s="1"/>
  <c r="PF48" i="18"/>
  <c r="OH48" i="18"/>
  <c r="OK48" i="18" s="1"/>
  <c r="VF48" i="18"/>
  <c r="VG48" i="18" s="1"/>
  <c r="BV48" i="18"/>
  <c r="BX48" i="18" s="1"/>
  <c r="VX48" i="18"/>
  <c r="LN48" i="18"/>
  <c r="LO48" i="18" s="1"/>
  <c r="UB48" i="18"/>
  <c r="UH48" i="18"/>
  <c r="UK48" i="18" s="1"/>
  <c r="AX48" i="18"/>
  <c r="TV48" i="18"/>
  <c r="TW48" i="18" s="1"/>
  <c r="JX48" i="18"/>
  <c r="IN48" i="18"/>
  <c r="IO48" i="18" s="1"/>
  <c r="NV48" i="18"/>
  <c r="PL48" i="18"/>
  <c r="PM48" i="18" s="1"/>
  <c r="ML48" i="18"/>
  <c r="MF48" i="18"/>
  <c r="MH48" i="18" s="1"/>
  <c r="GF48" i="18"/>
  <c r="QV48" i="18"/>
  <c r="QX48" i="18" s="1"/>
  <c r="RH48" i="18"/>
  <c r="R85" i="8"/>
  <c r="TM47" i="18"/>
  <c r="Q93" i="5"/>
  <c r="U93" i="5" s="1"/>
  <c r="QY47" i="18"/>
  <c r="U44" i="18"/>
  <c r="TD49" i="18"/>
  <c r="MR49" i="18"/>
  <c r="NJ49" i="18"/>
  <c r="IN49" i="18"/>
  <c r="AR49" i="18"/>
  <c r="JR49" i="18"/>
  <c r="SR49" i="18"/>
  <c r="EV49" i="18"/>
  <c r="QJ49" i="18"/>
  <c r="CB49" i="18"/>
  <c r="GF49" i="18"/>
  <c r="LN49" i="18"/>
  <c r="QV49" i="18"/>
  <c r="UZ49" i="18"/>
  <c r="DL49" i="18"/>
  <c r="IT49" i="18"/>
  <c r="OB49" i="18"/>
  <c r="SF49" i="18"/>
  <c r="AX49" i="18"/>
  <c r="EP49" i="18"/>
  <c r="IH49" i="18"/>
  <c r="LZ49" i="18"/>
  <c r="PR49" i="18"/>
  <c r="TJ49" i="18"/>
  <c r="XB49" i="18"/>
  <c r="EJ49" i="18"/>
  <c r="UT49" i="18"/>
  <c r="PX49" i="18"/>
  <c r="FH49" i="18"/>
  <c r="VR49" i="18"/>
  <c r="DX49" i="18"/>
  <c r="PL49" i="18"/>
  <c r="BP49" i="18"/>
  <c r="KP49" i="18"/>
  <c r="TP49" i="18"/>
  <c r="ED49" i="18"/>
  <c r="JL49" i="18"/>
  <c r="NP49" i="18"/>
  <c r="SX49" i="18"/>
  <c r="BJ49" i="18"/>
  <c r="GR49" i="18"/>
  <c r="KV49" i="18"/>
  <c r="QD49" i="18"/>
  <c r="VL49" i="18"/>
  <c r="CT49" i="18"/>
  <c r="GL49" i="18"/>
  <c r="KD49" i="18"/>
  <c r="NV49" i="18"/>
  <c r="RN49" i="18"/>
  <c r="JB47" i="18"/>
  <c r="PY47" i="18"/>
  <c r="NS47" i="18"/>
  <c r="EK48" i="18"/>
  <c r="P46" i="18"/>
  <c r="S45" i="18" s="1"/>
  <c r="U45" i="18" s="1"/>
  <c r="Q46" i="18"/>
  <c r="R46" i="18"/>
  <c r="RC47" i="18"/>
  <c r="CD47" i="18"/>
  <c r="CE47" i="18"/>
  <c r="TF48" i="18"/>
  <c r="PX48" i="18"/>
  <c r="PZ48" i="18" s="1"/>
  <c r="MX48" i="18"/>
  <c r="MY48" i="18" s="1"/>
  <c r="KJ48" i="18"/>
  <c r="KK48" i="18" s="1"/>
  <c r="KP48" i="18"/>
  <c r="KS48" i="18" s="1"/>
  <c r="WD48" i="18"/>
  <c r="WE48" i="18" s="1"/>
  <c r="Q90" i="5"/>
  <c r="U90" i="5" s="1"/>
  <c r="WF47" i="18"/>
  <c r="WG47" i="18"/>
  <c r="GZ47" i="18"/>
  <c r="KA47" i="18"/>
  <c r="RD47" i="18"/>
  <c r="LK47" i="18"/>
  <c r="OE48" i="18"/>
  <c r="PG47" i="18"/>
  <c r="GI47" i="18"/>
  <c r="LW47" i="18"/>
  <c r="UQ48" i="18"/>
  <c r="BF47" i="18"/>
  <c r="HL47" i="18"/>
  <c r="VN47" i="18"/>
  <c r="BE47" i="18"/>
  <c r="VN48" i="18"/>
  <c r="WQ47" i="18"/>
  <c r="OP47" i="18"/>
  <c r="JC47" i="18"/>
  <c r="OO47" i="18"/>
  <c r="OC47" i="18"/>
  <c r="AS48" i="18"/>
  <c r="LJ47" i="18"/>
  <c r="KR47" i="18"/>
  <c r="GY47" i="18"/>
  <c r="PC47" i="18"/>
  <c r="CJ48" i="18"/>
  <c r="JZ47" i="18"/>
  <c r="RK47" i="18"/>
  <c r="GS48" i="18"/>
  <c r="KQ47" i="18"/>
  <c r="SB47" i="18"/>
  <c r="RU47" i="18"/>
  <c r="HK47" i="18"/>
  <c r="QA47" i="18"/>
  <c r="VO47" i="18"/>
  <c r="MU47" i="18"/>
  <c r="MS47" i="18"/>
  <c r="LV47" i="18"/>
  <c r="PH48" i="18"/>
  <c r="VG47" i="18"/>
  <c r="TW47" i="18"/>
  <c r="FC47" i="18"/>
  <c r="DO48" i="18"/>
  <c r="JM47" i="18"/>
  <c r="SG48" i="18"/>
  <c r="FJ48" i="18"/>
  <c r="FW48" i="18"/>
  <c r="OQ48" i="18"/>
  <c r="TL47" i="18"/>
  <c r="QW47" i="18"/>
  <c r="PI47" i="18"/>
  <c r="GH47" i="18"/>
  <c r="JT47" i="18"/>
  <c r="RI47" i="18"/>
  <c r="DZ48" i="18"/>
  <c r="GB47" i="18"/>
  <c r="GC47" i="18"/>
  <c r="UQ47" i="18"/>
  <c r="GN47" i="18"/>
  <c r="NR47" i="18"/>
  <c r="CO47" i="18"/>
  <c r="QG47" i="18"/>
  <c r="JO47" i="18"/>
  <c r="GM47" i="18"/>
  <c r="VH47" i="18"/>
  <c r="TX47" i="18"/>
  <c r="FE47" i="18"/>
  <c r="CP47" i="18"/>
  <c r="QF47" i="18"/>
  <c r="CV47" i="18"/>
  <c r="AY47" i="18"/>
  <c r="BA47" i="18"/>
  <c r="AZ47" i="18"/>
  <c r="EQ47" i="18"/>
  <c r="ES47" i="18"/>
  <c r="ER47" i="18"/>
  <c r="LO47" i="18"/>
  <c r="LQ47" i="18"/>
  <c r="DS47" i="18"/>
  <c r="DT47" i="18"/>
  <c r="WK47" i="18"/>
  <c r="WM47" i="18"/>
  <c r="WL47" i="18"/>
  <c r="KE47" i="18"/>
  <c r="KG47" i="18"/>
  <c r="NX47" i="18"/>
  <c r="HG47" i="18"/>
  <c r="HE47" i="18"/>
  <c r="OU47" i="18"/>
  <c r="MM47" i="18"/>
  <c r="NY47" i="18"/>
  <c r="MO47" i="18"/>
  <c r="VS47" i="18"/>
  <c r="SI47" i="18"/>
  <c r="SH47" i="18"/>
  <c r="OV47" i="18"/>
  <c r="BG48" i="18"/>
  <c r="EL47" i="18"/>
  <c r="NK47" i="18"/>
  <c r="PC48" i="18"/>
  <c r="JI47" i="18"/>
  <c r="EM47" i="18"/>
  <c r="NL47" i="18"/>
  <c r="FW47" i="18"/>
  <c r="PN47" i="18"/>
  <c r="II48" i="18"/>
  <c r="ER48" i="18"/>
  <c r="JH47" i="18"/>
  <c r="FV47" i="18"/>
  <c r="PM47" i="18"/>
  <c r="MH47" i="18"/>
  <c r="MI47" i="18"/>
  <c r="BR47" i="18"/>
  <c r="BQ47" i="18"/>
  <c r="PT47" i="18"/>
  <c r="PU47" i="18"/>
  <c r="SA47" i="18"/>
  <c r="KM47" i="18"/>
  <c r="TS47" i="18"/>
  <c r="TR47" i="18"/>
  <c r="OE47" i="18"/>
  <c r="RV47" i="18"/>
  <c r="AU47" i="18"/>
  <c r="AS47" i="18"/>
  <c r="FJ47" i="18"/>
  <c r="FK47" i="18"/>
  <c r="FI47" i="18"/>
  <c r="BK48" i="18"/>
  <c r="WR47" i="18"/>
  <c r="VU47" i="18"/>
  <c r="CK47" i="18"/>
  <c r="CJ47" i="18"/>
  <c r="CI47" i="18"/>
  <c r="UI47" i="18"/>
  <c r="UJ47" i="18"/>
  <c r="UK47" i="18"/>
  <c r="HS47" i="18"/>
  <c r="HR47" i="18"/>
  <c r="EG47" i="18"/>
  <c r="EF47" i="18"/>
  <c r="EE47" i="18"/>
  <c r="TG47" i="18"/>
  <c r="TE47" i="18"/>
  <c r="QS47" i="18"/>
  <c r="QQ47" i="18"/>
  <c r="QR47" i="18"/>
  <c r="MA47" i="18"/>
  <c r="MB47" i="18"/>
  <c r="MC47" i="18"/>
  <c r="OJ47" i="18"/>
  <c r="OK47" i="18"/>
  <c r="OI47" i="18"/>
  <c r="UO47" i="18"/>
  <c r="KL47" i="18"/>
  <c r="NF47" i="18"/>
  <c r="NG47" i="18"/>
  <c r="DG47" i="18"/>
  <c r="DH47" i="18"/>
  <c r="DI47" i="18"/>
  <c r="MY47" i="18"/>
  <c r="NA47" i="18"/>
  <c r="MZ47" i="18"/>
  <c r="IU47" i="18"/>
  <c r="IV47" i="18"/>
  <c r="IW47" i="18"/>
  <c r="HW47" i="18"/>
  <c r="HY47" i="18"/>
  <c r="HX47" i="18"/>
  <c r="UE47" i="18"/>
  <c r="UD47" i="18"/>
  <c r="DA47" i="18"/>
  <c r="DB47" i="18"/>
  <c r="DC47" i="18"/>
  <c r="VB47" i="18"/>
  <c r="VA47" i="18"/>
  <c r="VC47" i="18"/>
  <c r="VZ47" i="18"/>
  <c r="VY47" i="18"/>
  <c r="WA47" i="18"/>
  <c r="II47" i="18"/>
  <c r="IK47" i="18"/>
  <c r="IJ47" i="18"/>
  <c r="FO47" i="18"/>
  <c r="FP47" i="18"/>
  <c r="FQ47" i="18"/>
  <c r="IE47" i="18"/>
  <c r="IC47" i="18"/>
  <c r="ID47" i="18"/>
  <c r="RQ47" i="18"/>
  <c r="RO47" i="18"/>
  <c r="RP47" i="18"/>
  <c r="XJ47" i="18"/>
  <c r="XK47" i="18"/>
  <c r="XI47" i="18"/>
  <c r="UV47" i="18"/>
  <c r="UU47" i="18"/>
  <c r="UW47" i="18"/>
  <c r="SZ47" i="18"/>
  <c r="SY47" i="18"/>
  <c r="TA47" i="18"/>
  <c r="XC47" i="18"/>
  <c r="XD47" i="18"/>
  <c r="XE47" i="18"/>
  <c r="WW47" i="18"/>
  <c r="WX47" i="18"/>
  <c r="WY47" i="18"/>
  <c r="SN47" i="18"/>
  <c r="SO47" i="18"/>
  <c r="SM47" i="18"/>
  <c r="VP50" i="18"/>
  <c r="SU47" i="18"/>
  <c r="ST47" i="18"/>
  <c r="SS47" i="18"/>
  <c r="QL47" i="18"/>
  <c r="QK47" i="18"/>
  <c r="QM47" i="18"/>
  <c r="GU47" i="18"/>
  <c r="GT47" i="18"/>
  <c r="GS47" i="18"/>
  <c r="IP47" i="18"/>
  <c r="IQ47" i="18"/>
  <c r="IO47" i="18"/>
  <c r="EA47" i="18"/>
  <c r="DZ47" i="18"/>
  <c r="DY47" i="18"/>
  <c r="KW47" i="18"/>
  <c r="KX47" i="18"/>
  <c r="KY47" i="18"/>
  <c r="F49" i="18"/>
  <c r="VW49" i="18" s="1"/>
  <c r="AN47" i="18"/>
  <c r="AO47" i="18"/>
  <c r="AM47" i="18"/>
  <c r="DO47" i="18"/>
  <c r="DM47" i="18"/>
  <c r="DN47" i="18"/>
  <c r="EW47" i="18"/>
  <c r="EY47" i="18"/>
  <c r="EX47" i="18"/>
  <c r="LD47" i="18"/>
  <c r="LC47" i="18"/>
  <c r="LE47" i="18"/>
  <c r="BX47" i="18"/>
  <c r="BY47" i="18"/>
  <c r="BW47" i="18"/>
  <c r="CV48" i="18"/>
  <c r="BS48" i="18"/>
  <c r="FI48" i="18"/>
  <c r="AY48" i="18"/>
  <c r="BQ48" i="18"/>
  <c r="CP48" i="18"/>
  <c r="FV48" i="18"/>
  <c r="VI48" i="18"/>
  <c r="FU48" i="18"/>
  <c r="UD48" i="18"/>
  <c r="WY48" i="18"/>
  <c r="VH48" i="18"/>
  <c r="RO48" i="18"/>
  <c r="VS48" i="18"/>
  <c r="XE48" i="18"/>
  <c r="VM48" i="18"/>
  <c r="HY48" i="18"/>
  <c r="UV48" i="18"/>
  <c r="QW48" i="18"/>
  <c r="RV48" i="18"/>
  <c r="RU48" i="18"/>
  <c r="RW48" i="18"/>
  <c r="RI48" i="18"/>
  <c r="AT48" i="18"/>
  <c r="BA48" i="18"/>
  <c r="ES48" i="18"/>
  <c r="DH48" i="18"/>
  <c r="TL48" i="18"/>
  <c r="BR48" i="18"/>
  <c r="WM48" i="18"/>
  <c r="VY48" i="18"/>
  <c r="HF48" i="18"/>
  <c r="DT48" i="18"/>
  <c r="HK48" i="18"/>
  <c r="JS48" i="18"/>
  <c r="SS48" i="18"/>
  <c r="BM48" i="18"/>
  <c r="JG48" i="18"/>
  <c r="UE48" i="18"/>
  <c r="JB48" i="18"/>
  <c r="MN48" i="18"/>
  <c r="CE48" i="18"/>
  <c r="FO48" i="18"/>
  <c r="ST48" i="18"/>
  <c r="JC48" i="18"/>
  <c r="JA48" i="18"/>
  <c r="TS48" i="18"/>
  <c r="NW48" i="18"/>
  <c r="QS48" i="18"/>
  <c r="GH48" i="18"/>
  <c r="MO48" i="18"/>
  <c r="DU48" i="18"/>
  <c r="MM48" i="18"/>
  <c r="UC48" i="18"/>
  <c r="GM48" i="18"/>
  <c r="BE48" i="18"/>
  <c r="EA48" i="18"/>
  <c r="ID48" i="18"/>
  <c r="RC48" i="18"/>
  <c r="XK48" i="18"/>
  <c r="GC48" i="18"/>
  <c r="BL48" i="18"/>
  <c r="HX48" i="18"/>
  <c r="SN48" i="18"/>
  <c r="DS48" i="18"/>
  <c r="GN48" i="18"/>
  <c r="KY48" i="18"/>
  <c r="SB48" i="18"/>
  <c r="EQ48" i="18"/>
  <c r="EE48" i="18"/>
  <c r="VB48" i="18"/>
  <c r="NR48" i="18"/>
  <c r="GO48" i="18"/>
  <c r="JI48" i="18"/>
  <c r="AZ48" i="18"/>
  <c r="BF48" i="18"/>
  <c r="JZ48" i="18"/>
  <c r="JH48" i="18"/>
  <c r="QF48" i="18"/>
  <c r="DA48" i="18"/>
  <c r="PU48" i="18"/>
  <c r="MB48" i="18"/>
  <c r="SY48" i="18"/>
  <c r="FC48" i="18"/>
  <c r="DY48" i="18"/>
  <c r="EW48" i="18"/>
  <c r="EY48" i="18"/>
  <c r="HW48" i="18"/>
  <c r="VO48" i="18"/>
  <c r="EX48" i="18"/>
  <c r="SU48" i="18"/>
  <c r="LC48" i="18"/>
  <c r="WW48" i="18"/>
  <c r="FK48" i="18"/>
  <c r="HA48" i="18"/>
  <c r="JN48" i="18"/>
  <c r="VA48" i="18"/>
  <c r="AM48" i="18"/>
  <c r="DI48" i="18"/>
  <c r="DG48" i="18"/>
  <c r="R97" i="5"/>
  <c r="AG97" i="5" s="1"/>
  <c r="GB48" i="18"/>
  <c r="CC48" i="18"/>
  <c r="JT48" i="18"/>
  <c r="RK48" i="18"/>
  <c r="HM48" i="18"/>
  <c r="PB48" i="18"/>
  <c r="PG48" i="18"/>
  <c r="O50" i="18"/>
  <c r="FD48" i="18"/>
  <c r="CQ48" i="18"/>
  <c r="DN48" i="18"/>
  <c r="DM48" i="18"/>
  <c r="GU48" i="18"/>
  <c r="CO48" i="18"/>
  <c r="SH48" i="18"/>
  <c r="EG48" i="18"/>
  <c r="RD48" i="18"/>
  <c r="FE48" i="18"/>
  <c r="LD48" i="18"/>
  <c r="LE48" i="18"/>
  <c r="EF48" i="18"/>
  <c r="CU48" i="18"/>
  <c r="CW48" i="18"/>
  <c r="XC48" i="18"/>
  <c r="BY48" i="18"/>
  <c r="CD48" i="18"/>
  <c r="FP48" i="18"/>
  <c r="JO48" i="18"/>
  <c r="NQ48" i="18"/>
  <c r="KX48" i="18"/>
  <c r="NS48" i="18"/>
  <c r="UW48" i="18"/>
  <c r="UU48" i="18"/>
  <c r="XD48" i="18"/>
  <c r="FQ48" i="18"/>
  <c r="SC48" i="18"/>
  <c r="SA48" i="18"/>
  <c r="KA48" i="18"/>
  <c r="PI48" i="18"/>
  <c r="JM48" i="18"/>
  <c r="JY48" i="18"/>
  <c r="KW48" i="18"/>
  <c r="E50" i="18"/>
  <c r="G50" i="18" s="1"/>
  <c r="AU48" i="18"/>
  <c r="B51" i="18"/>
  <c r="DB48" i="18"/>
  <c r="CK48" i="18"/>
  <c r="QE48" i="18"/>
  <c r="EM48" i="18"/>
  <c r="D50" i="18"/>
  <c r="CI48" i="18"/>
  <c r="DC48" i="18"/>
  <c r="EL48" i="18"/>
  <c r="TM48" i="18"/>
  <c r="OO48" i="18"/>
  <c r="JU48" i="18"/>
  <c r="XJ48" i="18"/>
  <c r="GA48" i="18"/>
  <c r="HL48" i="18"/>
  <c r="PA48" i="18"/>
  <c r="TG48" i="18"/>
  <c r="OP48" i="18"/>
  <c r="UO48" i="18"/>
  <c r="VT48" i="18"/>
  <c r="VU48" i="18"/>
  <c r="UP48" i="18"/>
  <c r="XI48" i="18"/>
  <c r="TK48" i="18"/>
  <c r="RJ48" i="18"/>
  <c r="NX48" i="18"/>
  <c r="IF50" i="18"/>
  <c r="IC48" i="18"/>
  <c r="PT48" i="18"/>
  <c r="MA48" i="18"/>
  <c r="VC48" i="18"/>
  <c r="IE48" i="18"/>
  <c r="QQ48" i="18"/>
  <c r="TA48" i="18"/>
  <c r="FF50" i="18"/>
  <c r="VV50" i="18"/>
  <c r="SO48" i="18"/>
  <c r="BB50" i="18"/>
  <c r="BT50" i="18"/>
  <c r="HH50" i="18"/>
  <c r="LL50" i="18"/>
  <c r="MD50" i="18"/>
  <c r="RR50" i="18"/>
  <c r="EB50" i="18"/>
  <c r="IL50" i="18"/>
  <c r="UL50" i="18"/>
  <c r="LF50" i="18"/>
  <c r="SV50" i="18"/>
  <c r="N50" i="18"/>
  <c r="EH50" i="18"/>
  <c r="ET50" i="18"/>
  <c r="NB50" i="18"/>
  <c r="LX50" i="18"/>
  <c r="JD50" i="18"/>
  <c r="BH50" i="18"/>
  <c r="NH50" i="18"/>
  <c r="XF50" i="18"/>
  <c r="PJ50" i="18"/>
  <c r="EN50" i="18"/>
  <c r="VJ50" i="18"/>
  <c r="OX50" i="18"/>
  <c r="IR50" i="18"/>
  <c r="UR50" i="18"/>
  <c r="KZ50" i="18"/>
  <c r="SJ50" i="18"/>
  <c r="WT50" i="18"/>
  <c r="CL50" i="18"/>
  <c r="NZ50" i="18"/>
  <c r="FL50" i="18"/>
  <c r="SP50" i="18"/>
  <c r="FX50" i="18"/>
  <c r="QB50" i="18"/>
  <c r="IJ48" i="18"/>
  <c r="TB50" i="18"/>
  <c r="RL50" i="18"/>
  <c r="LR50" i="18"/>
  <c r="QT50" i="18"/>
  <c r="GJ50" i="18"/>
  <c r="VD50" i="18"/>
  <c r="IX50" i="18"/>
  <c r="WB50" i="18"/>
  <c r="GP50" i="18"/>
  <c r="NN50" i="18"/>
  <c r="TH50" i="18"/>
  <c r="DV50" i="18"/>
  <c r="KT50" i="18"/>
  <c r="QN50" i="18"/>
  <c r="AJ50" i="18"/>
  <c r="EZ50" i="18"/>
  <c r="JP50" i="18"/>
  <c r="PD50" i="18"/>
  <c r="TT50" i="18"/>
  <c r="PV50" i="18"/>
  <c r="MP50" i="18"/>
  <c r="BZ50" i="18"/>
  <c r="AP50" i="18"/>
  <c r="NT50" i="18"/>
  <c r="BN50" i="18"/>
  <c r="QH50" i="18"/>
  <c r="CX50" i="18"/>
  <c r="JV50" i="18"/>
  <c r="RF50" i="18"/>
  <c r="WZ50" i="18"/>
  <c r="HB50" i="18"/>
  <c r="OL50" i="18"/>
  <c r="UF50" i="18"/>
  <c r="CF50" i="18"/>
  <c r="HT50" i="18"/>
  <c r="MJ50" i="18"/>
  <c r="QZ50" i="18"/>
  <c r="WN50" i="18"/>
  <c r="IK48" i="18"/>
  <c r="WA48" i="18"/>
  <c r="TE48" i="18"/>
  <c r="QG48" i="18"/>
  <c r="RQ48" i="18"/>
  <c r="SZ48" i="18"/>
  <c r="WK48" i="18"/>
  <c r="TR48" i="18"/>
  <c r="OC48" i="18"/>
  <c r="WL48" i="18"/>
  <c r="HG48" i="18"/>
  <c r="HE48" i="18"/>
  <c r="TQ48" i="18"/>
  <c r="GI48" i="18"/>
  <c r="QR48" i="18"/>
  <c r="GG48" i="18"/>
  <c r="MC48" i="18"/>
  <c r="GY48" i="18"/>
  <c r="WQ48" i="18"/>
  <c r="OD48" i="18"/>
  <c r="GZ48" i="18"/>
  <c r="NY48" i="18"/>
  <c r="RP48" i="18"/>
  <c r="RE48" i="18"/>
  <c r="SI48" i="18"/>
  <c r="CR50" i="18"/>
  <c r="JJ50" i="18"/>
  <c r="KB50" i="18"/>
  <c r="DP50" i="18"/>
  <c r="TZ50" i="18"/>
  <c r="HZ50" i="18"/>
  <c r="TN50" i="18"/>
  <c r="FR50" i="18"/>
  <c r="OR50" i="18"/>
  <c r="AV50" i="18"/>
  <c r="GD50" i="18"/>
  <c r="KH50" i="18"/>
  <c r="PP50" i="18"/>
  <c r="UX50" i="18"/>
  <c r="DJ50" i="18"/>
  <c r="HN50" i="18"/>
  <c r="MV50" i="18"/>
  <c r="SD50" i="18"/>
  <c r="WH50" i="18"/>
  <c r="DD50" i="18"/>
  <c r="GV50" i="18"/>
  <c r="KN50" i="18"/>
  <c r="OF50" i="18"/>
  <c r="RX50" i="18"/>
  <c r="SM48" i="18"/>
  <c r="UI48" i="18"/>
  <c r="PS48" i="18"/>
  <c r="VZ48" i="18"/>
  <c r="I93" i="9"/>
  <c r="B101" i="19"/>
  <c r="G101" i="19" s="1"/>
  <c r="F99" i="19"/>
  <c r="E27" i="19"/>
  <c r="D26" i="19"/>
  <c r="G15" i="15"/>
  <c r="Q15" i="15"/>
  <c r="D26" i="8"/>
  <c r="R26" i="8" s="1"/>
  <c r="E27" i="8"/>
  <c r="P15" i="15"/>
  <c r="N27" i="7"/>
  <c r="N26" i="7"/>
  <c r="K26" i="7"/>
  <c r="K27" i="7"/>
  <c r="L26" i="7"/>
  <c r="L27" i="7"/>
  <c r="I92" i="9"/>
  <c r="J95" i="5"/>
  <c r="F95" i="5" s="1"/>
  <c r="L93" i="9"/>
  <c r="L92" i="9"/>
  <c r="M90" i="9"/>
  <c r="M91" i="9"/>
  <c r="J93" i="9"/>
  <c r="J92" i="9"/>
  <c r="H95" i="9"/>
  <c r="K95" i="9" s="1"/>
  <c r="H94" i="9"/>
  <c r="K94" i="9" s="1"/>
  <c r="F97" i="8"/>
  <c r="G97" i="8"/>
  <c r="F96" i="8"/>
  <c r="G96" i="8"/>
  <c r="J94" i="7"/>
  <c r="I94" i="7"/>
  <c r="J95" i="7"/>
  <c r="I95" i="7"/>
  <c r="U49" i="15"/>
  <c r="Y49" i="18" s="1"/>
  <c r="D49" i="15"/>
  <c r="E49" i="15"/>
  <c r="I97" i="5"/>
  <c r="I94" i="5"/>
  <c r="J94" i="5" s="1"/>
  <c r="H94" i="1"/>
  <c r="I94" i="1" s="1"/>
  <c r="H95" i="1"/>
  <c r="I95" i="1" s="1"/>
  <c r="T49" i="15"/>
  <c r="B97" i="7"/>
  <c r="B97" i="1"/>
  <c r="B97" i="9"/>
  <c r="AD94" i="5"/>
  <c r="AE94" i="5" s="1"/>
  <c r="AI94" i="5" s="1"/>
  <c r="AJ92" i="5"/>
  <c r="AL92" i="5" s="1"/>
  <c r="AL90" i="5"/>
  <c r="B99" i="5"/>
  <c r="K97" i="5"/>
  <c r="AE97" i="5"/>
  <c r="F92" i="5"/>
  <c r="B96" i="5"/>
  <c r="R94" i="5"/>
  <c r="AG94" i="5" s="1"/>
  <c r="K94" i="5"/>
  <c r="R111" i="14"/>
  <c r="T112" i="14"/>
  <c r="S112" i="14"/>
  <c r="U112" i="14"/>
  <c r="Q111" i="14"/>
  <c r="B115" i="14"/>
  <c r="B50" i="15"/>
  <c r="O92" i="1"/>
  <c r="O93" i="1"/>
  <c r="BP93" i="1"/>
  <c r="X93" i="7" s="1"/>
  <c r="BQ93" i="1"/>
  <c r="B96" i="1"/>
  <c r="N94" i="1"/>
  <c r="B98" i="8"/>
  <c r="B96" i="9"/>
  <c r="B96" i="7"/>
  <c r="B99" i="8"/>
  <c r="AO48" i="18" l="1"/>
  <c r="LW48" i="18"/>
  <c r="BW48" i="18"/>
  <c r="LU48" i="18"/>
  <c r="IP48" i="18"/>
  <c r="Q95" i="5"/>
  <c r="U95" i="5" s="1"/>
  <c r="MI48" i="18"/>
  <c r="MT48" i="18"/>
  <c r="MG48" i="18"/>
  <c r="MU48" i="18"/>
  <c r="IQ48" i="18"/>
  <c r="NG48" i="18"/>
  <c r="NF48" i="18"/>
  <c r="KE48" i="18"/>
  <c r="WS48" i="18"/>
  <c r="UJ48" i="18"/>
  <c r="KG48" i="18"/>
  <c r="QY48" i="18"/>
  <c r="LJ48" i="18"/>
  <c r="LI48" i="18"/>
  <c r="OJ48" i="18"/>
  <c r="OW48" i="18"/>
  <c r="LQ48" i="18"/>
  <c r="HS48" i="18"/>
  <c r="OV48" i="18"/>
  <c r="IW48" i="18"/>
  <c r="IU48" i="18"/>
  <c r="HQ48" i="18"/>
  <c r="TY48" i="18"/>
  <c r="PO48" i="18"/>
  <c r="TX48" i="18"/>
  <c r="QK48" i="18"/>
  <c r="PN48" i="18"/>
  <c r="LP48" i="18"/>
  <c r="NK48" i="18"/>
  <c r="OI48" i="18"/>
  <c r="QL48" i="18"/>
  <c r="NM48" i="18"/>
  <c r="R87" i="8"/>
  <c r="VQ49" i="18"/>
  <c r="VU49" i="18" s="1"/>
  <c r="KR48" i="18"/>
  <c r="IA49" i="18"/>
  <c r="IC49" i="18" s="1"/>
  <c r="DQ49" i="18"/>
  <c r="DU49" i="18" s="1"/>
  <c r="KM48" i="18"/>
  <c r="DE49" i="18"/>
  <c r="DI49" i="18" s="1"/>
  <c r="SK49" i="18"/>
  <c r="SN49" i="18" s="1"/>
  <c r="LY49" i="18"/>
  <c r="MB49" i="18" s="1"/>
  <c r="MZ48" i="18"/>
  <c r="NA48" i="18"/>
  <c r="KQ48" i="18"/>
  <c r="CG49" i="18"/>
  <c r="CK49" i="18" s="1"/>
  <c r="IM49" i="18"/>
  <c r="IO49" i="18" s="1"/>
  <c r="CM49" i="18"/>
  <c r="CO49" i="18" s="1"/>
  <c r="T45" i="18"/>
  <c r="IS49" i="18"/>
  <c r="IW49" i="18" s="1"/>
  <c r="FA49" i="18"/>
  <c r="FE49" i="18" s="1"/>
  <c r="EC49" i="18"/>
  <c r="EF49" i="18" s="1"/>
  <c r="WI49" i="18"/>
  <c r="WM49" i="18" s="1"/>
  <c r="RG49" i="18"/>
  <c r="RJ49" i="18" s="1"/>
  <c r="XG49" i="18"/>
  <c r="XJ49" i="18" s="1"/>
  <c r="OM49" i="18"/>
  <c r="OQ49" i="18" s="1"/>
  <c r="RY49" i="18"/>
  <c r="SB49" i="18" s="1"/>
  <c r="FY49" i="18"/>
  <c r="GB49" i="18" s="1"/>
  <c r="UA49" i="18"/>
  <c r="UE49" i="18" s="1"/>
  <c r="KL48" i="18"/>
  <c r="WG48" i="18"/>
  <c r="QA48" i="18"/>
  <c r="WF48" i="18"/>
  <c r="PY48" i="18"/>
  <c r="MD51" i="18"/>
  <c r="WD50" i="18"/>
  <c r="QC49" i="18"/>
  <c r="QF49" i="18" s="1"/>
  <c r="VK49" i="18"/>
  <c r="VN49" i="18" s="1"/>
  <c r="UG49" i="18"/>
  <c r="UJ49" i="18" s="1"/>
  <c r="FM49" i="18"/>
  <c r="FO49" i="18" s="1"/>
  <c r="ME49" i="18"/>
  <c r="MG49" i="18" s="1"/>
  <c r="KU49" i="18"/>
  <c r="KY49" i="18" s="1"/>
  <c r="RA49" i="18"/>
  <c r="RD49" i="18" s="1"/>
  <c r="TU49" i="18"/>
  <c r="TW49" i="18" s="1"/>
  <c r="AW49" i="18"/>
  <c r="BA49" i="18" s="1"/>
  <c r="GK49" i="18"/>
  <c r="GO49" i="18" s="1"/>
  <c r="JK49" i="18"/>
  <c r="JO49" i="18" s="1"/>
  <c r="NO49" i="18"/>
  <c r="NR49" i="18" s="1"/>
  <c r="US49" i="18"/>
  <c r="UW49" i="18" s="1"/>
  <c r="BU49" i="18"/>
  <c r="BW49" i="18" s="1"/>
  <c r="EO49" i="18"/>
  <c r="EQ49" i="18" s="1"/>
  <c r="NU49" i="18"/>
  <c r="NY49" i="18" s="1"/>
  <c r="GW49" i="18"/>
  <c r="HA49" i="18" s="1"/>
  <c r="AQ49" i="18"/>
  <c r="AU49" i="18" s="1"/>
  <c r="GQ49" i="18"/>
  <c r="GU49" i="18" s="1"/>
  <c r="KC49" i="18"/>
  <c r="KG49" i="18" s="1"/>
  <c r="LS49" i="18"/>
  <c r="LV49" i="18" s="1"/>
  <c r="IG49" i="18"/>
  <c r="IJ49" i="18" s="1"/>
  <c r="PW49" i="18"/>
  <c r="QA49" i="18" s="1"/>
  <c r="RS49" i="18"/>
  <c r="RU49" i="18" s="1"/>
  <c r="JE49" i="18"/>
  <c r="JH49" i="18" s="1"/>
  <c r="QI49" i="18"/>
  <c r="QL49" i="18" s="1"/>
  <c r="MK49" i="18"/>
  <c r="MM49" i="18" s="1"/>
  <c r="LA49" i="18"/>
  <c r="LD49" i="18" s="1"/>
  <c r="OG49" i="18"/>
  <c r="OJ49" i="18" s="1"/>
  <c r="XA49" i="18"/>
  <c r="XD49" i="18" s="1"/>
  <c r="HC49" i="18"/>
  <c r="HG49" i="18" s="1"/>
  <c r="MW49" i="18"/>
  <c r="MZ49" i="18" s="1"/>
  <c r="PQ49" i="18"/>
  <c r="PU49" i="18" s="1"/>
  <c r="OS49" i="18"/>
  <c r="OU49" i="18" s="1"/>
  <c r="QU49" i="18"/>
  <c r="QW49" i="18" s="1"/>
  <c r="RM49" i="18"/>
  <c r="RO49" i="18" s="1"/>
  <c r="JW49" i="18"/>
  <c r="JZ49" i="18" s="1"/>
  <c r="QO49" i="18"/>
  <c r="QR49" i="18" s="1"/>
  <c r="TI49" i="18"/>
  <c r="TK49" i="18" s="1"/>
  <c r="WC49" i="18"/>
  <c r="WF49" i="18" s="1"/>
  <c r="EU49" i="18"/>
  <c r="EX49" i="18" s="1"/>
  <c r="HU49" i="18"/>
  <c r="HX49" i="18" s="1"/>
  <c r="WU49" i="18"/>
  <c r="WW49" i="18" s="1"/>
  <c r="NI49" i="18"/>
  <c r="NK49" i="18" s="1"/>
  <c r="SW49" i="18"/>
  <c r="TA49" i="18" s="1"/>
  <c r="BC49" i="18"/>
  <c r="BG49" i="18" s="1"/>
  <c r="BO49" i="18"/>
  <c r="BS49" i="18" s="1"/>
  <c r="LM49" i="18"/>
  <c r="LO49" i="18" s="1"/>
  <c r="TC49" i="18"/>
  <c r="TG49" i="18" s="1"/>
  <c r="CY49" i="18"/>
  <c r="DC49" i="18" s="1"/>
  <c r="WO49" i="18"/>
  <c r="WQ49" i="18" s="1"/>
  <c r="FG49" i="18"/>
  <c r="FJ49" i="18" s="1"/>
  <c r="BI49" i="18"/>
  <c r="BL49" i="18" s="1"/>
  <c r="EI49" i="18"/>
  <c r="EM49" i="18" s="1"/>
  <c r="CA49" i="18"/>
  <c r="CD49" i="18" s="1"/>
  <c r="SE49" i="18"/>
  <c r="SH49" i="18" s="1"/>
  <c r="DK49" i="18"/>
  <c r="DM49" i="18" s="1"/>
  <c r="HO49" i="18"/>
  <c r="HQ49" i="18" s="1"/>
  <c r="KI49" i="18"/>
  <c r="KL49" i="18" s="1"/>
  <c r="FS49" i="18"/>
  <c r="FV49" i="18" s="1"/>
  <c r="AK49" i="18"/>
  <c r="AO49" i="18" s="1"/>
  <c r="UY49" i="18"/>
  <c r="VC49" i="18" s="1"/>
  <c r="GE49" i="18"/>
  <c r="GG49" i="18" s="1"/>
  <c r="LG49" i="18"/>
  <c r="LK49" i="18" s="1"/>
  <c r="OA49" i="18"/>
  <c r="OC49" i="18" s="1"/>
  <c r="NC49" i="18"/>
  <c r="NF49" i="18" s="1"/>
  <c r="PE49" i="18"/>
  <c r="PI49" i="18" s="1"/>
  <c r="CS49" i="18"/>
  <c r="CU49" i="18" s="1"/>
  <c r="PK49" i="18"/>
  <c r="PN49" i="18" s="1"/>
  <c r="DW49" i="18"/>
  <c r="DY49" i="18" s="1"/>
  <c r="TO49" i="18"/>
  <c r="TQ49" i="18" s="1"/>
  <c r="JQ49" i="18"/>
  <c r="JS49" i="18" s="1"/>
  <c r="KO49" i="18"/>
  <c r="KQ49" i="18" s="1"/>
  <c r="IY49" i="18"/>
  <c r="JB49" i="18" s="1"/>
  <c r="HI49" i="18"/>
  <c r="HM49" i="18" s="1"/>
  <c r="SQ49" i="18"/>
  <c r="SS49" i="18" s="1"/>
  <c r="VE49" i="18"/>
  <c r="VG49" i="18" s="1"/>
  <c r="MQ49" i="18"/>
  <c r="MU49" i="18" s="1"/>
  <c r="UM49" i="18"/>
  <c r="UQ49" i="18" s="1"/>
  <c r="OY49" i="18"/>
  <c r="PB49" i="18" s="1"/>
  <c r="P47" i="18"/>
  <c r="S46" i="18" s="1"/>
  <c r="U46" i="18" s="1"/>
  <c r="VZ49" i="18"/>
  <c r="WA49" i="18"/>
  <c r="VY49" i="18"/>
  <c r="Q47" i="18"/>
  <c r="R47" i="18"/>
  <c r="F50" i="18"/>
  <c r="VW50" i="18" s="1"/>
  <c r="WN51" i="18"/>
  <c r="Q92" i="5"/>
  <c r="U92" i="5" s="1"/>
  <c r="KB51" i="18"/>
  <c r="TT51" i="18"/>
  <c r="NB51" i="18"/>
  <c r="PP51" i="18"/>
  <c r="BB51" i="18"/>
  <c r="KH51" i="18"/>
  <c r="WH51" i="18"/>
  <c r="VD51" i="18"/>
  <c r="EZ51" i="18"/>
  <c r="B52" i="18"/>
  <c r="TT52" i="18" s="1"/>
  <c r="FL51" i="18"/>
  <c r="SJ51" i="18"/>
  <c r="IR51" i="18"/>
  <c r="WV50" i="18"/>
  <c r="TP50" i="18"/>
  <c r="FZ50" i="18"/>
  <c r="PF50" i="18"/>
  <c r="HD50" i="18"/>
  <c r="JF50" i="18"/>
  <c r="WJ50" i="18"/>
  <c r="QD50" i="18"/>
  <c r="EV50" i="18"/>
  <c r="AL50" i="18"/>
  <c r="UN50" i="18"/>
  <c r="MX50" i="18"/>
  <c r="SF50" i="18"/>
  <c r="CH50" i="18"/>
  <c r="IZ50" i="18"/>
  <c r="FT50" i="18"/>
  <c r="BV50" i="18"/>
  <c r="QP50" i="18"/>
  <c r="ML50" i="18"/>
  <c r="NJ50" i="18"/>
  <c r="LH50" i="18"/>
  <c r="OH50" i="18"/>
  <c r="JX50" i="18"/>
  <c r="FN50" i="18"/>
  <c r="UH50" i="18"/>
  <c r="HP50" i="18"/>
  <c r="OZ50" i="18"/>
  <c r="RT50" i="18"/>
  <c r="PL50" i="18"/>
  <c r="FH50" i="18"/>
  <c r="UB50" i="18"/>
  <c r="GF50" i="18"/>
  <c r="CT50" i="18"/>
  <c r="EJ50" i="18"/>
  <c r="UT50" i="18"/>
  <c r="GR50" i="18"/>
  <c r="LT50" i="18"/>
  <c r="CZ50" i="18"/>
  <c r="ON50" i="18"/>
  <c r="AR50" i="18"/>
  <c r="JR50" i="18"/>
  <c r="SR50" i="18"/>
  <c r="DF50" i="18"/>
  <c r="IN50" i="18"/>
  <c r="MR50" i="18"/>
  <c r="RZ50" i="18"/>
  <c r="XH50" i="18"/>
  <c r="ED50" i="18"/>
  <c r="JL50" i="18"/>
  <c r="NP50" i="18"/>
  <c r="SX50" i="18"/>
  <c r="AX50" i="18"/>
  <c r="EP50" i="18"/>
  <c r="IH50" i="18"/>
  <c r="LZ50" i="18"/>
  <c r="PR50" i="18"/>
  <c r="TJ50" i="18"/>
  <c r="XB50" i="18"/>
  <c r="PX50" i="18"/>
  <c r="OB50" i="18"/>
  <c r="DL50" i="18"/>
  <c r="TV50" i="18"/>
  <c r="IT50" i="18"/>
  <c r="DX50" i="18"/>
  <c r="BD50" i="18"/>
  <c r="KP50" i="18"/>
  <c r="CB50" i="18"/>
  <c r="LN50" i="18"/>
  <c r="QV50" i="18"/>
  <c r="UZ50" i="18"/>
  <c r="GL50" i="18"/>
  <c r="KD50" i="18"/>
  <c r="NV50" i="18"/>
  <c r="RN50" i="18"/>
  <c r="VF50" i="18"/>
  <c r="KV50" i="18"/>
  <c r="TD50" i="18"/>
  <c r="FB50" i="18"/>
  <c r="VL50" i="18"/>
  <c r="BJ50" i="18"/>
  <c r="KJ50" i="18"/>
  <c r="VX50" i="18"/>
  <c r="IB50" i="18"/>
  <c r="RB50" i="18"/>
  <c r="BP50" i="18"/>
  <c r="GX50" i="18"/>
  <c r="MF50" i="18"/>
  <c r="QJ50" i="18"/>
  <c r="VR50" i="18"/>
  <c r="CN50" i="18"/>
  <c r="HV50" i="18"/>
  <c r="ND50" i="18"/>
  <c r="RH50" i="18"/>
  <c r="WP50" i="18"/>
  <c r="DR50" i="18"/>
  <c r="HJ50" i="18"/>
  <c r="LB50" i="18"/>
  <c r="OT50" i="18"/>
  <c r="SL50" i="18"/>
  <c r="PW50" i="18"/>
  <c r="BO50" i="18"/>
  <c r="OG50" i="18"/>
  <c r="LG50" i="18"/>
  <c r="LS50" i="18"/>
  <c r="VE50" i="18"/>
  <c r="BC50" i="18"/>
  <c r="CM50" i="18"/>
  <c r="WC50" i="18"/>
  <c r="RS50" i="18"/>
  <c r="DT49" i="18"/>
  <c r="RL51" i="18"/>
  <c r="OL51" i="18"/>
  <c r="DP51" i="18"/>
  <c r="AV51" i="18"/>
  <c r="UX51" i="18"/>
  <c r="MJ51" i="18"/>
  <c r="OX51" i="18"/>
  <c r="AP51" i="18"/>
  <c r="IX51" i="18"/>
  <c r="GD51" i="18"/>
  <c r="BH51" i="18"/>
  <c r="QB51" i="18"/>
  <c r="E51" i="18"/>
  <c r="JD51" i="18"/>
  <c r="CR51" i="18"/>
  <c r="TB51" i="18"/>
  <c r="QN51" i="18"/>
  <c r="LR51" i="18"/>
  <c r="HB51" i="18"/>
  <c r="SP51" i="18"/>
  <c r="ET51" i="18"/>
  <c r="NT51" i="18"/>
  <c r="WT51" i="18"/>
  <c r="FF51" i="18"/>
  <c r="JJ51" i="18"/>
  <c r="OR51" i="18"/>
  <c r="TZ51" i="18"/>
  <c r="CL51" i="18"/>
  <c r="GP51" i="18"/>
  <c r="LX51" i="18"/>
  <c r="RF51" i="18"/>
  <c r="VJ51" i="18"/>
  <c r="CF51" i="18"/>
  <c r="FX51" i="18"/>
  <c r="JP51" i="18"/>
  <c r="NH51" i="18"/>
  <c r="QZ51" i="18"/>
  <c r="UR51" i="18"/>
  <c r="D51" i="18"/>
  <c r="KT51" i="18"/>
  <c r="EH51" i="18"/>
  <c r="BT51" i="18"/>
  <c r="SD51" i="18"/>
  <c r="XF51" i="18"/>
  <c r="LF51" i="18"/>
  <c r="UF51" i="18"/>
  <c r="GJ51" i="18"/>
  <c r="PJ51" i="18"/>
  <c r="BN51" i="18"/>
  <c r="FR51" i="18"/>
  <c r="KZ51" i="18"/>
  <c r="QH51" i="18"/>
  <c r="UL51" i="18"/>
  <c r="CX51" i="18"/>
  <c r="IF51" i="18"/>
  <c r="NN51" i="18"/>
  <c r="RR51" i="18"/>
  <c r="WZ51" i="18"/>
  <c r="DD51" i="18"/>
  <c r="GV51" i="18"/>
  <c r="KN51" i="18"/>
  <c r="OF51" i="18"/>
  <c r="RX51" i="18"/>
  <c r="VP51" i="18"/>
  <c r="N51" i="18"/>
  <c r="O51" i="18"/>
  <c r="HN51" i="18"/>
  <c r="PV51" i="18"/>
  <c r="DJ51" i="18"/>
  <c r="IL51" i="18"/>
  <c r="DV51" i="18"/>
  <c r="MV51" i="18"/>
  <c r="VV51" i="18"/>
  <c r="HZ51" i="18"/>
  <c r="TN51" i="18"/>
  <c r="BZ51" i="18"/>
  <c r="HH51" i="18"/>
  <c r="MP51" i="18"/>
  <c r="QT51" i="18"/>
  <c r="WB51" i="18"/>
  <c r="EN51" i="18"/>
  <c r="JV51" i="18"/>
  <c r="NZ51" i="18"/>
  <c r="TH51" i="18"/>
  <c r="AJ51" i="18"/>
  <c r="EB51" i="18"/>
  <c r="HT51" i="18"/>
  <c r="LL51" i="18"/>
  <c r="PD51" i="18"/>
  <c r="SV51" i="18"/>
  <c r="IU49" i="18"/>
  <c r="I95" i="9"/>
  <c r="B103" i="19"/>
  <c r="G103" i="19" s="1"/>
  <c r="F101" i="19"/>
  <c r="K29" i="7"/>
  <c r="N28" i="7"/>
  <c r="L29" i="7"/>
  <c r="K28" i="7"/>
  <c r="N29" i="7"/>
  <c r="L28" i="7"/>
  <c r="D28" i="19"/>
  <c r="E29" i="19"/>
  <c r="D28" i="8"/>
  <c r="R28" i="8" s="1"/>
  <c r="P16" i="15"/>
  <c r="G16" i="15"/>
  <c r="Q16" i="15"/>
  <c r="E29" i="8"/>
  <c r="I94" i="9"/>
  <c r="J97" i="5"/>
  <c r="F97" i="5" s="1"/>
  <c r="M93" i="9"/>
  <c r="L94" i="9"/>
  <c r="L95" i="9"/>
  <c r="M92" i="9"/>
  <c r="J95" i="9"/>
  <c r="J94" i="9"/>
  <c r="H96" i="9"/>
  <c r="K96" i="9" s="1"/>
  <c r="H97" i="9"/>
  <c r="K97" i="9" s="1"/>
  <c r="F99" i="8"/>
  <c r="G99" i="8"/>
  <c r="F98" i="8"/>
  <c r="G98" i="8"/>
  <c r="J97" i="7"/>
  <c r="I97" i="7"/>
  <c r="I96" i="7"/>
  <c r="J96" i="7"/>
  <c r="U50" i="15"/>
  <c r="Y50" i="18" s="1"/>
  <c r="E50" i="15"/>
  <c r="D50" i="15"/>
  <c r="E52" i="18"/>
  <c r="G52" i="18" s="1"/>
  <c r="I99" i="5"/>
  <c r="I96" i="5"/>
  <c r="J96" i="5" s="1"/>
  <c r="H97" i="1"/>
  <c r="I97" i="1" s="1"/>
  <c r="H96" i="1"/>
  <c r="I96" i="1" s="1"/>
  <c r="T50" i="15"/>
  <c r="B99" i="9"/>
  <c r="B99" i="1"/>
  <c r="B99" i="7"/>
  <c r="AD96" i="5"/>
  <c r="AE96" i="5" s="1"/>
  <c r="AI96" i="5" s="1"/>
  <c r="F94" i="5"/>
  <c r="AJ94" i="5"/>
  <c r="AL94" i="5" s="1"/>
  <c r="B101" i="5"/>
  <c r="R99" i="5"/>
  <c r="AG99" i="5" s="1"/>
  <c r="AE99" i="5"/>
  <c r="K99" i="5"/>
  <c r="B98" i="5"/>
  <c r="R96" i="5"/>
  <c r="AG96" i="5" s="1"/>
  <c r="K96" i="5"/>
  <c r="B116" i="14"/>
  <c r="S113" i="14"/>
  <c r="T113" i="14"/>
  <c r="U113" i="14"/>
  <c r="Q112" i="14"/>
  <c r="R112" i="14"/>
  <c r="B100" i="8"/>
  <c r="B98" i="1"/>
  <c r="N96" i="1"/>
  <c r="B98" i="9"/>
  <c r="B98" i="7"/>
  <c r="B51" i="15"/>
  <c r="B101" i="8"/>
  <c r="BP95" i="1"/>
  <c r="X95" i="7" s="1"/>
  <c r="BQ95" i="1"/>
  <c r="O95" i="1"/>
  <c r="O94" i="1"/>
  <c r="R98" i="5" l="1"/>
  <c r="AG98" i="5" s="1"/>
  <c r="UI49" i="18"/>
  <c r="VS49" i="18"/>
  <c r="VT49" i="18"/>
  <c r="R89" i="8"/>
  <c r="KK49" i="18"/>
  <c r="JM49" i="18"/>
  <c r="CI49" i="18"/>
  <c r="MC49" i="18"/>
  <c r="TX49" i="18"/>
  <c r="RI49" i="18"/>
  <c r="RK49" i="18"/>
  <c r="NQ49" i="18"/>
  <c r="MA49" i="18"/>
  <c r="DS49" i="18"/>
  <c r="JQ50" i="18"/>
  <c r="JT50" i="18" s="1"/>
  <c r="TU50" i="18"/>
  <c r="TX50" i="18" s="1"/>
  <c r="TI50" i="18"/>
  <c r="LA50" i="18"/>
  <c r="LC50" i="18" s="1"/>
  <c r="NX49" i="18"/>
  <c r="IV49" i="18"/>
  <c r="FW49" i="18"/>
  <c r="KU50" i="18"/>
  <c r="KY50" i="18" s="1"/>
  <c r="CS50" i="18"/>
  <c r="CW50" i="18" s="1"/>
  <c r="EC50" i="18"/>
  <c r="EE50" i="18" s="1"/>
  <c r="DQ50" i="18"/>
  <c r="RM50" i="18"/>
  <c r="RP50" i="18" s="1"/>
  <c r="RP49" i="18"/>
  <c r="PG49" i="18"/>
  <c r="CA50" i="18"/>
  <c r="FS50" i="18"/>
  <c r="FU50" i="18" s="1"/>
  <c r="WI50" i="18"/>
  <c r="WK50" i="18" s="1"/>
  <c r="WO50" i="18"/>
  <c r="WQ50" i="18" s="1"/>
  <c r="GE50" i="18"/>
  <c r="JK50" i="18"/>
  <c r="JN50" i="18" s="1"/>
  <c r="GA49" i="18"/>
  <c r="GC49" i="18"/>
  <c r="CJ49" i="18"/>
  <c r="CP49" i="18"/>
  <c r="AT49" i="18"/>
  <c r="OO49" i="18"/>
  <c r="JN49" i="18"/>
  <c r="WL49" i="18"/>
  <c r="HF49" i="18"/>
  <c r="SM49" i="18"/>
  <c r="KM49" i="18"/>
  <c r="ER49" i="18"/>
  <c r="HC50" i="18"/>
  <c r="HG50" i="18" s="1"/>
  <c r="MK50" i="18"/>
  <c r="MM50" i="18" s="1"/>
  <c r="QU50" i="18"/>
  <c r="QX50" i="18" s="1"/>
  <c r="RY50" i="18"/>
  <c r="SC50" i="18" s="1"/>
  <c r="XG50" i="18"/>
  <c r="XJ50" i="18" s="1"/>
  <c r="US50" i="18"/>
  <c r="UW50" i="18" s="1"/>
  <c r="QC50" i="18"/>
  <c r="QE50" i="18" s="1"/>
  <c r="NU50" i="18"/>
  <c r="NY50" i="18" s="1"/>
  <c r="UA50" i="18"/>
  <c r="UE50" i="18" s="1"/>
  <c r="KI50" i="18"/>
  <c r="KL50" i="18" s="1"/>
  <c r="DE50" i="18"/>
  <c r="DH50" i="18" s="1"/>
  <c r="UY50" i="18"/>
  <c r="VA50" i="18" s="1"/>
  <c r="WU50" i="18"/>
  <c r="WY50" i="18" s="1"/>
  <c r="IA50" i="18"/>
  <c r="IE50" i="18" s="1"/>
  <c r="OA50" i="18"/>
  <c r="OD50" i="18" s="1"/>
  <c r="SK50" i="18"/>
  <c r="SM50" i="18" s="1"/>
  <c r="TO50" i="18"/>
  <c r="TS50" i="18" s="1"/>
  <c r="CG50" i="18"/>
  <c r="CI50" i="18" s="1"/>
  <c r="JE50" i="18"/>
  <c r="JI50" i="18" s="1"/>
  <c r="VK50" i="18"/>
  <c r="VN50" i="18" s="1"/>
  <c r="AK50" i="18"/>
  <c r="AM50" i="18" s="1"/>
  <c r="HO50" i="18"/>
  <c r="HS50" i="18" s="1"/>
  <c r="PQ50" i="18"/>
  <c r="PS50" i="18" s="1"/>
  <c r="ME50" i="18"/>
  <c r="MG50" i="18" s="1"/>
  <c r="FY50" i="18"/>
  <c r="GA50" i="18" s="1"/>
  <c r="RE49" i="18"/>
  <c r="SA49" i="18"/>
  <c r="WK49" i="18"/>
  <c r="SO49" i="18"/>
  <c r="GS49" i="18"/>
  <c r="ES49" i="18"/>
  <c r="MN49" i="18"/>
  <c r="ID49" i="18"/>
  <c r="SE50" i="18"/>
  <c r="SH50" i="18" s="1"/>
  <c r="DK50" i="18"/>
  <c r="DN50" i="18" s="1"/>
  <c r="IG50" i="18"/>
  <c r="II50" i="18" s="1"/>
  <c r="LM50" i="18"/>
  <c r="LO50" i="18" s="1"/>
  <c r="GK50" i="18"/>
  <c r="GM50" i="18" s="1"/>
  <c r="GW50" i="18"/>
  <c r="GZ50" i="18" s="1"/>
  <c r="RG50" i="18"/>
  <c r="RJ50" i="18" s="1"/>
  <c r="GQ50" i="18"/>
  <c r="GU50" i="18" s="1"/>
  <c r="RA50" i="18"/>
  <c r="RC50" i="18" s="1"/>
  <c r="MQ50" i="18"/>
  <c r="MU50" i="18" s="1"/>
  <c r="AW50" i="18"/>
  <c r="AZ50" i="18" s="1"/>
  <c r="DW50" i="18"/>
  <c r="DY50" i="18" s="1"/>
  <c r="BI50" i="18"/>
  <c r="BK50" i="18" s="1"/>
  <c r="TC50" i="18"/>
  <c r="EI50" i="18"/>
  <c r="EL50" i="18" s="1"/>
  <c r="IS50" i="18"/>
  <c r="IV50" i="18" s="1"/>
  <c r="NC50" i="18"/>
  <c r="NE50" i="18" s="1"/>
  <c r="KO50" i="18"/>
  <c r="KR50" i="18" s="1"/>
  <c r="IM50" i="18"/>
  <c r="IO50" i="18" s="1"/>
  <c r="BR49" i="18"/>
  <c r="LY50" i="18"/>
  <c r="MA50" i="18" s="1"/>
  <c r="EU50" i="18"/>
  <c r="EW50" i="18" s="1"/>
  <c r="QI50" i="18"/>
  <c r="QL50" i="18" s="1"/>
  <c r="FA50" i="18"/>
  <c r="FC50" i="18" s="1"/>
  <c r="MW50" i="18"/>
  <c r="MZ50" i="18" s="1"/>
  <c r="TR49" i="18"/>
  <c r="RC49" i="18"/>
  <c r="SC49" i="18"/>
  <c r="GI49" i="18"/>
  <c r="IE49" i="18"/>
  <c r="UP49" i="18"/>
  <c r="OM50" i="18"/>
  <c r="OP50" i="18" s="1"/>
  <c r="XA50" i="18"/>
  <c r="XC50" i="18" s="1"/>
  <c r="CY50" i="18"/>
  <c r="HI50" i="18"/>
  <c r="HL50" i="18" s="1"/>
  <c r="SQ50" i="18"/>
  <c r="ST50" i="18" s="1"/>
  <c r="BU50" i="18"/>
  <c r="BY50" i="18" s="1"/>
  <c r="JW50" i="18"/>
  <c r="KA50" i="18" s="1"/>
  <c r="PE50" i="18"/>
  <c r="PI50" i="18" s="1"/>
  <c r="QO50" i="18"/>
  <c r="QQ50" i="18" s="1"/>
  <c r="FG50" i="18"/>
  <c r="FK50" i="18" s="1"/>
  <c r="OS50" i="18"/>
  <c r="OU50" i="18" s="1"/>
  <c r="OY50" i="18"/>
  <c r="PA50" i="18" s="1"/>
  <c r="VQ50" i="18"/>
  <c r="VT50" i="18" s="1"/>
  <c r="PK50" i="18"/>
  <c r="PM50" i="18" s="1"/>
  <c r="AQ50" i="18"/>
  <c r="AU50" i="18" s="1"/>
  <c r="EO50" i="18"/>
  <c r="ES50" i="18" s="1"/>
  <c r="HU50" i="18"/>
  <c r="HY50" i="18" s="1"/>
  <c r="UG50" i="18"/>
  <c r="UJ50" i="18" s="1"/>
  <c r="NI50" i="18"/>
  <c r="NL50" i="18" s="1"/>
  <c r="NO50" i="18"/>
  <c r="NR50" i="18" s="1"/>
  <c r="UM50" i="18"/>
  <c r="UQ50" i="18" s="1"/>
  <c r="FM50" i="18"/>
  <c r="FP50" i="18" s="1"/>
  <c r="IY50" i="18"/>
  <c r="JA50" i="18" s="1"/>
  <c r="SW50" i="18"/>
  <c r="SY50" i="18" s="1"/>
  <c r="KC50" i="18"/>
  <c r="KE50" i="18" s="1"/>
  <c r="LC49" i="18"/>
  <c r="WE50" i="18"/>
  <c r="IP49" i="18"/>
  <c r="IQ49" i="18"/>
  <c r="FC49" i="18"/>
  <c r="CQ49" i="18"/>
  <c r="EE49" i="18"/>
  <c r="DH49" i="18"/>
  <c r="OP49" i="18"/>
  <c r="EG49" i="18"/>
  <c r="DG49" i="18"/>
  <c r="P48" i="18"/>
  <c r="S47" i="18" s="1"/>
  <c r="UD49" i="18"/>
  <c r="MS49" i="18"/>
  <c r="XI49" i="18"/>
  <c r="XK49" i="18"/>
  <c r="UC49" i="18"/>
  <c r="FD49" i="18"/>
  <c r="R48" i="18"/>
  <c r="TY49" i="18"/>
  <c r="NA49" i="18"/>
  <c r="LP49" i="18"/>
  <c r="LQ49" i="18"/>
  <c r="Q48" i="18"/>
  <c r="DB49" i="18"/>
  <c r="PS49" i="18"/>
  <c r="QE49" i="18"/>
  <c r="QG49" i="18"/>
  <c r="MI49" i="18"/>
  <c r="MH49" i="18"/>
  <c r="QX49" i="18"/>
  <c r="PZ49" i="18"/>
  <c r="WX49" i="18"/>
  <c r="TS49" i="18"/>
  <c r="G51" i="18"/>
  <c r="VF51" i="18" s="1"/>
  <c r="II49" i="18"/>
  <c r="KW49" i="18"/>
  <c r="HW49" i="18"/>
  <c r="NS49" i="18"/>
  <c r="WE49" i="18"/>
  <c r="LI49" i="18"/>
  <c r="CV49" i="18"/>
  <c r="RW49" i="18"/>
  <c r="WG49" i="18"/>
  <c r="RV49" i="18"/>
  <c r="SU49" i="18"/>
  <c r="FU49" i="18"/>
  <c r="NW49" i="18"/>
  <c r="HE49" i="18"/>
  <c r="RQ49" i="18"/>
  <c r="GH49" i="18"/>
  <c r="QY49" i="18"/>
  <c r="CW49" i="18"/>
  <c r="SI49" i="18"/>
  <c r="MY49" i="18"/>
  <c r="KF49" i="18"/>
  <c r="PY49" i="18"/>
  <c r="JU49" i="18"/>
  <c r="FQ49" i="18"/>
  <c r="UK49" i="18"/>
  <c r="LE49" i="18"/>
  <c r="HK49" i="18"/>
  <c r="PA49" i="18"/>
  <c r="WR49" i="18"/>
  <c r="WS49" i="18"/>
  <c r="FK49" i="18"/>
  <c r="FI49" i="18"/>
  <c r="FP49" i="18"/>
  <c r="LJ49" i="18"/>
  <c r="MO49" i="18"/>
  <c r="SG49" i="18"/>
  <c r="PH49" i="18"/>
  <c r="GT49" i="18"/>
  <c r="KE49" i="18"/>
  <c r="JT49" i="18"/>
  <c r="TM49" i="18"/>
  <c r="ST49" i="18"/>
  <c r="TL49" i="18"/>
  <c r="PC49" i="18"/>
  <c r="WY49" i="18"/>
  <c r="NM49" i="18"/>
  <c r="BQ49" i="18"/>
  <c r="HL49" i="18"/>
  <c r="NH52" i="18"/>
  <c r="KX49" i="18"/>
  <c r="QS49" i="18"/>
  <c r="HR49" i="18"/>
  <c r="VA49" i="18"/>
  <c r="BY49" i="18"/>
  <c r="VM49" i="18"/>
  <c r="HY49" i="18"/>
  <c r="VO49" i="18"/>
  <c r="AS49" i="18"/>
  <c r="EK49" i="18"/>
  <c r="XC49" i="18"/>
  <c r="DZ49" i="18"/>
  <c r="GM49" i="18"/>
  <c r="GN49" i="18"/>
  <c r="QQ49" i="18"/>
  <c r="NG49" i="18"/>
  <c r="QM49" i="18"/>
  <c r="VB49" i="18"/>
  <c r="OW49" i="18"/>
  <c r="JC49" i="18"/>
  <c r="IK49" i="18"/>
  <c r="DC50" i="18"/>
  <c r="HS49" i="18"/>
  <c r="OV49" i="18"/>
  <c r="NE49" i="18"/>
  <c r="QK49" i="18"/>
  <c r="BX49" i="18"/>
  <c r="BE49" i="18"/>
  <c r="UO49" i="18"/>
  <c r="DN49" i="18"/>
  <c r="AZ49" i="18"/>
  <c r="KS49" i="18"/>
  <c r="JA49" i="18"/>
  <c r="BF49" i="18"/>
  <c r="EL49" i="18"/>
  <c r="EA49" i="18"/>
  <c r="MT49" i="18"/>
  <c r="DA49" i="18"/>
  <c r="XE49" i="18"/>
  <c r="JS50" i="18"/>
  <c r="TK50" i="18"/>
  <c r="OE49" i="18"/>
  <c r="VI49" i="18"/>
  <c r="JY49" i="18"/>
  <c r="T46" i="18"/>
  <c r="CQ50" i="18"/>
  <c r="UV49" i="18"/>
  <c r="GZ49" i="18"/>
  <c r="LU49" i="18"/>
  <c r="VH49" i="18"/>
  <c r="OK49" i="18"/>
  <c r="JG49" i="18"/>
  <c r="SY49" i="18"/>
  <c r="LW50" i="18"/>
  <c r="TL50" i="18"/>
  <c r="PM49" i="18"/>
  <c r="UU49" i="18"/>
  <c r="AN49" i="18"/>
  <c r="DO49" i="18"/>
  <c r="JI49" i="18"/>
  <c r="MS50" i="18"/>
  <c r="SZ49" i="18"/>
  <c r="PT49" i="18"/>
  <c r="GY49" i="18"/>
  <c r="OD49" i="18"/>
  <c r="AY49" i="18"/>
  <c r="KA49" i="18"/>
  <c r="KR49" i="18"/>
  <c r="OI49" i="18"/>
  <c r="EY49" i="18"/>
  <c r="BM49" i="18"/>
  <c r="AM49" i="18"/>
  <c r="PO49" i="18"/>
  <c r="LW49" i="18"/>
  <c r="EW49" i="18"/>
  <c r="BK49" i="18"/>
  <c r="TE49" i="18"/>
  <c r="NL49" i="18"/>
  <c r="TF49" i="18"/>
  <c r="JD52" i="18"/>
  <c r="GP52" i="18"/>
  <c r="ET52" i="18"/>
  <c r="BN52" i="18"/>
  <c r="RR52" i="18"/>
  <c r="QT52" i="18"/>
  <c r="BB52" i="18"/>
  <c r="UL52" i="18"/>
  <c r="CC49" i="18"/>
  <c r="CE49" i="18"/>
  <c r="KH52" i="18"/>
  <c r="VD52" i="18"/>
  <c r="KN52" i="18"/>
  <c r="BT52" i="18"/>
  <c r="HB52" i="18"/>
  <c r="LR52" i="18"/>
  <c r="HH52" i="18"/>
  <c r="DD52" i="18"/>
  <c r="RX52" i="18"/>
  <c r="D52" i="18"/>
  <c r="F52" i="18" s="1"/>
  <c r="VW52" i="18" s="1"/>
  <c r="NZ52" i="18"/>
  <c r="QN52" i="18"/>
  <c r="OL52" i="18"/>
  <c r="PJ52" i="18"/>
  <c r="KZ52" i="18"/>
  <c r="FX52" i="18"/>
  <c r="UR52" i="18"/>
  <c r="VZ50" i="18"/>
  <c r="F51" i="18"/>
  <c r="GK51" i="18" s="1"/>
  <c r="B53" i="18"/>
  <c r="WN53" i="18" s="1"/>
  <c r="CL52" i="18"/>
  <c r="IF52" i="18"/>
  <c r="SD52" i="18"/>
  <c r="TH52" i="18"/>
  <c r="SP52" i="18"/>
  <c r="GJ52" i="18"/>
  <c r="PV52" i="18"/>
  <c r="BZ52" i="18"/>
  <c r="MP52" i="18"/>
  <c r="WB52" i="18"/>
  <c r="GV52" i="18"/>
  <c r="OF52" i="18"/>
  <c r="VP52" i="18"/>
  <c r="HN52" i="18"/>
  <c r="WZ52" i="18"/>
  <c r="GD52" i="18"/>
  <c r="FL52" i="18"/>
  <c r="AP52" i="18"/>
  <c r="KB52" i="18"/>
  <c r="TN52" i="18"/>
  <c r="FR52" i="18"/>
  <c r="QH52" i="18"/>
  <c r="CF52" i="18"/>
  <c r="JP52" i="18"/>
  <c r="QZ52" i="18"/>
  <c r="WF50" i="18"/>
  <c r="WG50" i="18"/>
  <c r="N52" i="18"/>
  <c r="PP52" i="18"/>
  <c r="KT52" i="18"/>
  <c r="JV52" i="18"/>
  <c r="DJ52" i="18"/>
  <c r="CX52" i="18"/>
  <c r="LX52" i="18"/>
  <c r="UX52" i="18"/>
  <c r="LF52" i="18"/>
  <c r="UF52" i="18"/>
  <c r="CR52" i="18"/>
  <c r="HZ52" i="18"/>
  <c r="MD52" i="18"/>
  <c r="RL52" i="18"/>
  <c r="WT52" i="18"/>
  <c r="DP52" i="18"/>
  <c r="IX52" i="18"/>
  <c r="NB52" i="18"/>
  <c r="SJ52" i="18"/>
  <c r="AJ52" i="18"/>
  <c r="EB52" i="18"/>
  <c r="HT52" i="18"/>
  <c r="LL52" i="18"/>
  <c r="PD52" i="18"/>
  <c r="SV52" i="18"/>
  <c r="WN52" i="18"/>
  <c r="O52" i="18"/>
  <c r="AV52" i="18"/>
  <c r="RF52" i="18"/>
  <c r="WH52" i="18"/>
  <c r="VJ52" i="18"/>
  <c r="OX52" i="18"/>
  <c r="EN52" i="18"/>
  <c r="NN52" i="18"/>
  <c r="DV52" i="18"/>
  <c r="MV52" i="18"/>
  <c r="VV52" i="18"/>
  <c r="EH52" i="18"/>
  <c r="IL52" i="18"/>
  <c r="NT52" i="18"/>
  <c r="TB52" i="18"/>
  <c r="XF52" i="18"/>
  <c r="FF52" i="18"/>
  <c r="JJ52" i="18"/>
  <c r="OR52" i="18"/>
  <c r="TZ52" i="18"/>
  <c r="BH52" i="18"/>
  <c r="EZ52" i="18"/>
  <c r="IR52" i="18"/>
  <c r="MJ52" i="18"/>
  <c r="QB52" i="18"/>
  <c r="EX50" i="18"/>
  <c r="LJ50" i="18"/>
  <c r="OI50" i="18"/>
  <c r="JH50" i="18"/>
  <c r="OK50" i="18"/>
  <c r="OJ50" i="18"/>
  <c r="BS50" i="18"/>
  <c r="DS50" i="18"/>
  <c r="PU50" i="18"/>
  <c r="LV50" i="18"/>
  <c r="DT50" i="18"/>
  <c r="CD50" i="18"/>
  <c r="BQ50" i="18"/>
  <c r="JM50" i="18"/>
  <c r="RV50" i="18"/>
  <c r="GG50" i="18"/>
  <c r="LI50" i="18"/>
  <c r="RU50" i="18"/>
  <c r="LU50" i="18"/>
  <c r="TM50" i="18"/>
  <c r="DU50" i="18"/>
  <c r="GH50" i="18"/>
  <c r="JC50" i="18"/>
  <c r="DO50" i="18"/>
  <c r="BE50" i="18"/>
  <c r="LK50" i="18"/>
  <c r="GY50" i="18"/>
  <c r="FV50" i="18"/>
  <c r="PZ50" i="18"/>
  <c r="TE50" i="18"/>
  <c r="RW50" i="18"/>
  <c r="OC50" i="18"/>
  <c r="OE50" i="18"/>
  <c r="JY50" i="18"/>
  <c r="Q97" i="5"/>
  <c r="U97" i="5" s="1"/>
  <c r="AT50" i="18"/>
  <c r="GI50" i="18"/>
  <c r="OV50" i="18"/>
  <c r="PY50" i="18"/>
  <c r="VI50" i="18"/>
  <c r="CE50" i="18"/>
  <c r="DM50" i="18"/>
  <c r="CC50" i="18"/>
  <c r="CP50" i="18"/>
  <c r="WA50" i="18"/>
  <c r="BR50" i="18"/>
  <c r="TF50" i="18"/>
  <c r="DI50" i="18"/>
  <c r="QA50" i="18"/>
  <c r="KQ50" i="18"/>
  <c r="BG50" i="18"/>
  <c r="BF50" i="18"/>
  <c r="CO50" i="18"/>
  <c r="EY50" i="18"/>
  <c r="VY50" i="18"/>
  <c r="HA50" i="18"/>
  <c r="QG50" i="18"/>
  <c r="TG50" i="18"/>
  <c r="VH50" i="18"/>
  <c r="QW50" i="18"/>
  <c r="OW50" i="18"/>
  <c r="AS50" i="18"/>
  <c r="DA50" i="18"/>
  <c r="DB50" i="18"/>
  <c r="VG50" i="18"/>
  <c r="QF50" i="18"/>
  <c r="I97" i="9"/>
  <c r="B105" i="19"/>
  <c r="G105" i="19" s="1"/>
  <c r="F103" i="19"/>
  <c r="E31" i="19"/>
  <c r="D30" i="19"/>
  <c r="Q17" i="15"/>
  <c r="D30" i="8"/>
  <c r="R30" i="8" s="1"/>
  <c r="G17" i="15"/>
  <c r="P17" i="15"/>
  <c r="E31" i="8"/>
  <c r="K30" i="7"/>
  <c r="L30" i="7"/>
  <c r="K31" i="7"/>
  <c r="N30" i="7"/>
  <c r="N31" i="7"/>
  <c r="L31" i="7"/>
  <c r="I96" i="9"/>
  <c r="J99" i="5"/>
  <c r="F99" i="5" s="1"/>
  <c r="L96" i="9"/>
  <c r="L97" i="9"/>
  <c r="M94" i="9"/>
  <c r="M95" i="9"/>
  <c r="J97" i="9"/>
  <c r="J96" i="9"/>
  <c r="H98" i="9"/>
  <c r="K98" i="9" s="1"/>
  <c r="H99" i="9"/>
  <c r="K99" i="9" s="1"/>
  <c r="F100" i="8"/>
  <c r="G100" i="8"/>
  <c r="F101" i="8"/>
  <c r="G101" i="8"/>
  <c r="J98" i="7"/>
  <c r="I98" i="7"/>
  <c r="I99" i="7"/>
  <c r="J99" i="7"/>
  <c r="U51" i="15"/>
  <c r="Y51" i="18" s="1"/>
  <c r="D51" i="15"/>
  <c r="E51" i="15"/>
  <c r="I98" i="5"/>
  <c r="J98" i="5" s="1"/>
  <c r="I101" i="5"/>
  <c r="H99" i="1"/>
  <c r="I99" i="1" s="1"/>
  <c r="H98" i="1"/>
  <c r="I98" i="1" s="1"/>
  <c r="T51" i="15"/>
  <c r="XB52" i="18"/>
  <c r="WD52" i="18"/>
  <c r="VF52" i="18"/>
  <c r="UH52" i="18"/>
  <c r="TJ52" i="18"/>
  <c r="SL52" i="18"/>
  <c r="RN52" i="18"/>
  <c r="QP52" i="18"/>
  <c r="PR52" i="18"/>
  <c r="OT52" i="18"/>
  <c r="NV52" i="18"/>
  <c r="MX52" i="18"/>
  <c r="LZ52" i="18"/>
  <c r="LB52" i="18"/>
  <c r="KD52" i="18"/>
  <c r="JF52" i="18"/>
  <c r="IH52" i="18"/>
  <c r="HJ52" i="18"/>
  <c r="GL52" i="18"/>
  <c r="FN52" i="18"/>
  <c r="EP52" i="18"/>
  <c r="DR52" i="18"/>
  <c r="CT52" i="18"/>
  <c r="BV52" i="18"/>
  <c r="AX52" i="18"/>
  <c r="WV52" i="18"/>
  <c r="WJ52" i="18"/>
  <c r="UT52" i="18"/>
  <c r="TD52" i="18"/>
  <c r="SR52" i="18"/>
  <c r="RB52" i="18"/>
  <c r="PL52" i="18"/>
  <c r="OZ52" i="18"/>
  <c r="NJ52" i="18"/>
  <c r="LT52" i="18"/>
  <c r="LH52" i="18"/>
  <c r="JR52" i="18"/>
  <c r="IB52" i="18"/>
  <c r="HP52" i="18"/>
  <c r="FZ52" i="18"/>
  <c r="EJ52" i="18"/>
  <c r="DX52" i="18"/>
  <c r="CH52" i="18"/>
  <c r="AR52" i="18"/>
  <c r="VX52" i="18"/>
  <c r="VL52" i="18"/>
  <c r="TV52" i="18"/>
  <c r="SF52" i="18"/>
  <c r="RT52" i="18"/>
  <c r="QD52" i="18"/>
  <c r="ON52" i="18"/>
  <c r="OB52" i="18"/>
  <c r="ML52" i="18"/>
  <c r="KV52" i="18"/>
  <c r="KJ52" i="18"/>
  <c r="IT52" i="18"/>
  <c r="HD52" i="18"/>
  <c r="GR52" i="18"/>
  <c r="FB52" i="18"/>
  <c r="DL52" i="18"/>
  <c r="CZ52" i="18"/>
  <c r="BJ52" i="18"/>
  <c r="WP52" i="18"/>
  <c r="UZ52" i="18"/>
  <c r="QV52" i="18"/>
  <c r="PF52" i="18"/>
  <c r="NP52" i="18"/>
  <c r="JL52" i="18"/>
  <c r="HV52" i="18"/>
  <c r="GF52" i="18"/>
  <c r="CB52" i="18"/>
  <c r="AL52" i="18"/>
  <c r="XH52" i="18"/>
  <c r="VR52" i="18"/>
  <c r="UB52" i="18"/>
  <c r="PX52" i="18"/>
  <c r="OH52" i="18"/>
  <c r="MR52" i="18"/>
  <c r="IN52" i="18"/>
  <c r="GX52" i="18"/>
  <c r="FH52" i="18"/>
  <c r="BD52" i="18"/>
  <c r="ND52" i="18"/>
  <c r="LN52" i="18"/>
  <c r="JX52" i="18"/>
  <c r="TP52" i="18"/>
  <c r="RZ52" i="18"/>
  <c r="QJ52" i="18"/>
  <c r="EV52" i="18"/>
  <c r="DF52" i="18"/>
  <c r="BP52" i="18"/>
  <c r="UN52" i="18"/>
  <c r="SX52" i="18"/>
  <c r="RH52" i="18"/>
  <c r="FT52" i="18"/>
  <c r="ED52" i="18"/>
  <c r="CN52" i="18"/>
  <c r="KP52" i="18"/>
  <c r="IZ52" i="18"/>
  <c r="MF52" i="18"/>
  <c r="B101" i="7"/>
  <c r="B101" i="9"/>
  <c r="B101" i="1"/>
  <c r="AD98" i="5"/>
  <c r="AE98" i="5" s="1"/>
  <c r="AI98" i="5" s="1"/>
  <c r="AJ96" i="5"/>
  <c r="AL96" i="5" s="1"/>
  <c r="B103" i="5"/>
  <c r="R101" i="5"/>
  <c r="AG101" i="5" s="1"/>
  <c r="K101" i="5"/>
  <c r="AE101" i="5"/>
  <c r="B100" i="5"/>
  <c r="K98" i="5"/>
  <c r="F96" i="5"/>
  <c r="Q94" i="5"/>
  <c r="U94" i="5" s="1"/>
  <c r="S114" i="14"/>
  <c r="U114" i="14"/>
  <c r="T114" i="14"/>
  <c r="Q113" i="14"/>
  <c r="B117" i="14"/>
  <c r="R113" i="14"/>
  <c r="O96" i="1"/>
  <c r="BP97" i="1"/>
  <c r="X97" i="7" s="1"/>
  <c r="O97" i="1"/>
  <c r="BQ97" i="1"/>
  <c r="B102" i="8"/>
  <c r="B100" i="9"/>
  <c r="B100" i="1"/>
  <c r="N98" i="1"/>
  <c r="B103" i="8"/>
  <c r="B100" i="7"/>
  <c r="B52" i="15"/>
  <c r="SA50" i="18" l="1"/>
  <c r="IU50" i="18"/>
  <c r="GB50" i="18"/>
  <c r="IP50" i="18"/>
  <c r="NK50" i="18"/>
  <c r="LD50" i="18"/>
  <c r="JO50" i="18"/>
  <c r="NW50" i="18"/>
  <c r="R91" i="8"/>
  <c r="KF50" i="18"/>
  <c r="HF50" i="18"/>
  <c r="CV50" i="18"/>
  <c r="CU50" i="18"/>
  <c r="OO50" i="18"/>
  <c r="JU50" i="18"/>
  <c r="WX50" i="18"/>
  <c r="BM50" i="18"/>
  <c r="WS50" i="18"/>
  <c r="KM50" i="18"/>
  <c r="HE50" i="18"/>
  <c r="OQ50" i="18"/>
  <c r="BX50" i="18"/>
  <c r="HR50" i="18"/>
  <c r="EG50" i="18"/>
  <c r="LP50" i="18"/>
  <c r="WL50" i="18"/>
  <c r="TW50" i="18"/>
  <c r="TY50" i="18"/>
  <c r="WW50" i="18"/>
  <c r="CK50" i="18"/>
  <c r="HX50" i="18"/>
  <c r="MO50" i="18"/>
  <c r="XK50" i="18"/>
  <c r="IJ50" i="18"/>
  <c r="FW50" i="18"/>
  <c r="EF50" i="18"/>
  <c r="GC50" i="18"/>
  <c r="NF50" i="18"/>
  <c r="WM50" i="18"/>
  <c r="QR50" i="18"/>
  <c r="RE50" i="18"/>
  <c r="LE50" i="18"/>
  <c r="XD50" i="18"/>
  <c r="PO50" i="18"/>
  <c r="XE50" i="18"/>
  <c r="MC50" i="18"/>
  <c r="BL50" i="18"/>
  <c r="MB50" i="18"/>
  <c r="MY50" i="18"/>
  <c r="GO50" i="18"/>
  <c r="KW50" i="18"/>
  <c r="FI50" i="18"/>
  <c r="RQ50" i="18"/>
  <c r="FQ50" i="18"/>
  <c r="PN50" i="18"/>
  <c r="KK50" i="18"/>
  <c r="CJ50" i="18"/>
  <c r="FO50" i="18"/>
  <c r="UK50" i="18"/>
  <c r="SI50" i="18"/>
  <c r="NG50" i="18"/>
  <c r="GN50" i="18"/>
  <c r="WR50" i="18"/>
  <c r="RD50" i="18"/>
  <c r="KX50" i="18"/>
  <c r="RO50" i="18"/>
  <c r="NA50" i="18"/>
  <c r="UI50" i="18"/>
  <c r="SG50" i="18"/>
  <c r="FJ50" i="18"/>
  <c r="IC50" i="18"/>
  <c r="VC50" i="18"/>
  <c r="NX50" i="18"/>
  <c r="MH50" i="18"/>
  <c r="QK50" i="18"/>
  <c r="IK50" i="18"/>
  <c r="SZ50" i="18"/>
  <c r="BW50" i="18"/>
  <c r="UC50" i="18"/>
  <c r="XI50" i="18"/>
  <c r="VU50" i="18"/>
  <c r="UO50" i="18"/>
  <c r="HW50" i="18"/>
  <c r="VS50" i="18"/>
  <c r="IW50" i="18"/>
  <c r="GT50" i="18"/>
  <c r="EA50" i="18"/>
  <c r="TQ50" i="18"/>
  <c r="SU50" i="18"/>
  <c r="TR50" i="18"/>
  <c r="SS50" i="18"/>
  <c r="FE50" i="18"/>
  <c r="UD50" i="18"/>
  <c r="QS50" i="18"/>
  <c r="KG50" i="18"/>
  <c r="LQ50" i="18"/>
  <c r="GS50" i="18"/>
  <c r="FD50" i="18"/>
  <c r="DZ50" i="18"/>
  <c r="UP50" i="18"/>
  <c r="AO50" i="18"/>
  <c r="AN50" i="18"/>
  <c r="NM50" i="18"/>
  <c r="DG50" i="18"/>
  <c r="KS50" i="18"/>
  <c r="MT50" i="18"/>
  <c r="JB50" i="18"/>
  <c r="JZ50" i="18"/>
  <c r="NI52" i="18"/>
  <c r="NK52" i="18" s="1"/>
  <c r="LS52" i="18"/>
  <c r="LV52" i="18" s="1"/>
  <c r="FS52" i="18"/>
  <c r="FW52" i="18" s="1"/>
  <c r="PK52" i="18"/>
  <c r="PN52" i="18" s="1"/>
  <c r="EC52" i="18"/>
  <c r="EE52" i="18" s="1"/>
  <c r="EQ50" i="18"/>
  <c r="ER50" i="18"/>
  <c r="RI50" i="18"/>
  <c r="NS50" i="18"/>
  <c r="PG50" i="18"/>
  <c r="SO50" i="18"/>
  <c r="SN50" i="18"/>
  <c r="MI50" i="18"/>
  <c r="VM50" i="18"/>
  <c r="SB50" i="18"/>
  <c r="HM50" i="18"/>
  <c r="TA50" i="18"/>
  <c r="PH50" i="18"/>
  <c r="VO50" i="18"/>
  <c r="HK50" i="18"/>
  <c r="PB50" i="18"/>
  <c r="PC50" i="18"/>
  <c r="VB50" i="18"/>
  <c r="AY50" i="18"/>
  <c r="QY50" i="18"/>
  <c r="PT50" i="18"/>
  <c r="JG50" i="18"/>
  <c r="JE52" i="18"/>
  <c r="JI52" i="18" s="1"/>
  <c r="SK52" i="18"/>
  <c r="SO52" i="18" s="1"/>
  <c r="RM52" i="18"/>
  <c r="RO52" i="18" s="1"/>
  <c r="JK52" i="18"/>
  <c r="JO52" i="18" s="1"/>
  <c r="ME52" i="18"/>
  <c r="MI52" i="18" s="1"/>
  <c r="NQ50" i="18"/>
  <c r="QM50" i="18"/>
  <c r="EK50" i="18"/>
  <c r="IQ50" i="18"/>
  <c r="EM50" i="18"/>
  <c r="UV50" i="18"/>
  <c r="BA50" i="18"/>
  <c r="RK50" i="18"/>
  <c r="ID50" i="18"/>
  <c r="MN50" i="18"/>
  <c r="UU50" i="18"/>
  <c r="HQ50" i="18"/>
  <c r="E53" i="18"/>
  <c r="G53" i="18" s="1"/>
  <c r="WD53" i="18" s="1"/>
  <c r="FF53" i="18"/>
  <c r="JP53" i="18"/>
  <c r="BT53" i="18"/>
  <c r="VV53" i="18"/>
  <c r="QJ51" i="18"/>
  <c r="AV53" i="18"/>
  <c r="RL53" i="18"/>
  <c r="RF53" i="18"/>
  <c r="CR53" i="18"/>
  <c r="IX53" i="18"/>
  <c r="VJ53" i="18"/>
  <c r="NN53" i="18"/>
  <c r="QN53" i="18"/>
  <c r="MD53" i="18"/>
  <c r="FX53" i="18"/>
  <c r="UR53" i="18"/>
  <c r="WT53" i="18"/>
  <c r="QT53" i="18"/>
  <c r="HB53" i="18"/>
  <c r="NH53" i="18"/>
  <c r="QH53" i="18"/>
  <c r="EN53" i="18"/>
  <c r="LF53" i="18"/>
  <c r="HZ53" i="18"/>
  <c r="CF53" i="18"/>
  <c r="QZ53" i="18"/>
  <c r="DF51" i="18"/>
  <c r="CL53" i="18"/>
  <c r="WZ53" i="18"/>
  <c r="SJ53" i="18"/>
  <c r="DJ53" i="18"/>
  <c r="SD53" i="18"/>
  <c r="IL53" i="18"/>
  <c r="TB53" i="18"/>
  <c r="DD53" i="18"/>
  <c r="KN53" i="18"/>
  <c r="RX53" i="18"/>
  <c r="B54" i="18"/>
  <c r="WB53" i="18"/>
  <c r="UL53" i="18"/>
  <c r="PP53" i="18"/>
  <c r="OR53" i="18"/>
  <c r="JV53" i="18"/>
  <c r="DP53" i="18"/>
  <c r="MP53" i="18"/>
  <c r="CX53" i="18"/>
  <c r="LX53" i="18"/>
  <c r="UX53" i="18"/>
  <c r="FL53" i="18"/>
  <c r="KT53" i="18"/>
  <c r="OX53" i="18"/>
  <c r="UF53" i="18"/>
  <c r="BB53" i="18"/>
  <c r="GJ53" i="18"/>
  <c r="LR53" i="18"/>
  <c r="PV53" i="18"/>
  <c r="VD53" i="18"/>
  <c r="BH53" i="18"/>
  <c r="EZ53" i="18"/>
  <c r="IR53" i="18"/>
  <c r="MJ53" i="18"/>
  <c r="QB53" i="18"/>
  <c r="TT53" i="18"/>
  <c r="D53" i="18"/>
  <c r="F53" i="18" s="1"/>
  <c r="VW53" i="18" s="1"/>
  <c r="XH51" i="18"/>
  <c r="GR51" i="18"/>
  <c r="BN53" i="18"/>
  <c r="JJ53" i="18"/>
  <c r="RR53" i="18"/>
  <c r="HN53" i="18"/>
  <c r="WH53" i="18"/>
  <c r="NT53" i="18"/>
  <c r="GV53" i="18"/>
  <c r="VP53" i="18"/>
  <c r="O53" i="18"/>
  <c r="FR53" i="18"/>
  <c r="GP53" i="18"/>
  <c r="GD53" i="18"/>
  <c r="MV53" i="18"/>
  <c r="EH53" i="18"/>
  <c r="XF53" i="18"/>
  <c r="OF53" i="18"/>
  <c r="N53" i="18"/>
  <c r="HH53" i="18"/>
  <c r="NZ53" i="18"/>
  <c r="NB53" i="18"/>
  <c r="IF53" i="18"/>
  <c r="BZ53" i="18"/>
  <c r="KZ53" i="18"/>
  <c r="TZ53" i="18"/>
  <c r="KH53" i="18"/>
  <c r="TH53" i="18"/>
  <c r="DV53" i="18"/>
  <c r="JD53" i="18"/>
  <c r="OL53" i="18"/>
  <c r="SP53" i="18"/>
  <c r="AP53" i="18"/>
  <c r="ET53" i="18"/>
  <c r="KB53" i="18"/>
  <c r="PJ53" i="18"/>
  <c r="TN53" i="18"/>
  <c r="AJ53" i="18"/>
  <c r="EB53" i="18"/>
  <c r="HT53" i="18"/>
  <c r="LL53" i="18"/>
  <c r="PD53" i="18"/>
  <c r="SV53" i="18"/>
  <c r="MF51" i="18"/>
  <c r="SR51" i="18"/>
  <c r="OS52" i="18"/>
  <c r="OU52" i="18" s="1"/>
  <c r="KI52" i="18"/>
  <c r="KM52" i="18" s="1"/>
  <c r="WI52" i="18"/>
  <c r="WL52" i="18" s="1"/>
  <c r="BO52" i="18"/>
  <c r="BR52" i="18" s="1"/>
  <c r="UY52" i="18"/>
  <c r="VC52" i="18" s="1"/>
  <c r="CZ51" i="18"/>
  <c r="QD51" i="18"/>
  <c r="TU52" i="18"/>
  <c r="TW52" i="18" s="1"/>
  <c r="TI52" i="18"/>
  <c r="TL52" i="18" s="1"/>
  <c r="EU52" i="18"/>
  <c r="EY52" i="18" s="1"/>
  <c r="FG52" i="18"/>
  <c r="FJ52" i="18" s="1"/>
  <c r="T47" i="18"/>
  <c r="HV51" i="18"/>
  <c r="XB51" i="18"/>
  <c r="MK52" i="18"/>
  <c r="MN52" i="18" s="1"/>
  <c r="VK52" i="18"/>
  <c r="VN52" i="18" s="1"/>
  <c r="WO52" i="18"/>
  <c r="WS52" i="18" s="1"/>
  <c r="CG52" i="18"/>
  <c r="CJ52" i="18" s="1"/>
  <c r="OY52" i="18"/>
  <c r="PC52" i="18" s="1"/>
  <c r="GK52" i="18"/>
  <c r="GO52" i="18" s="1"/>
  <c r="TO52" i="18"/>
  <c r="TS52" i="18" s="1"/>
  <c r="GE52" i="18"/>
  <c r="GI52" i="18" s="1"/>
  <c r="QI52" i="18"/>
  <c r="QK52" i="18" s="1"/>
  <c r="RN51" i="18"/>
  <c r="PL51" i="18"/>
  <c r="UN51" i="18"/>
  <c r="IT51" i="18"/>
  <c r="SL51" i="18"/>
  <c r="OB51" i="18"/>
  <c r="HJ51" i="18"/>
  <c r="SW52" i="18"/>
  <c r="TA52" i="18" s="1"/>
  <c r="NC52" i="18"/>
  <c r="NG52" i="18" s="1"/>
  <c r="DQ52" i="18"/>
  <c r="DS52" i="18" s="1"/>
  <c r="IS52" i="18"/>
  <c r="IU52" i="18" s="1"/>
  <c r="HO52" i="18"/>
  <c r="HS52" i="18" s="1"/>
  <c r="UG52" i="18"/>
  <c r="UI52" i="18" s="1"/>
  <c r="KO52" i="18"/>
  <c r="KS52" i="18" s="1"/>
  <c r="AQ52" i="18"/>
  <c r="AT52" i="18" s="1"/>
  <c r="JW52" i="18"/>
  <c r="JZ52" i="18" s="1"/>
  <c r="UA52" i="18"/>
  <c r="UC52" i="18" s="1"/>
  <c r="KD51" i="18"/>
  <c r="LH51" i="18"/>
  <c r="ED51" i="18"/>
  <c r="SF51" i="18"/>
  <c r="BD51" i="18"/>
  <c r="DX51" i="18"/>
  <c r="TP51" i="18"/>
  <c r="UM52" i="18"/>
  <c r="UO52" i="18" s="1"/>
  <c r="OA52" i="18"/>
  <c r="OD52" i="18" s="1"/>
  <c r="FA52" i="18"/>
  <c r="FC52" i="18" s="1"/>
  <c r="AK52" i="18"/>
  <c r="AN52" i="18" s="1"/>
  <c r="LA52" i="18"/>
  <c r="LC52" i="18" s="1"/>
  <c r="BI52" i="18"/>
  <c r="BL52" i="18" s="1"/>
  <c r="QC52" i="18"/>
  <c r="QG52" i="18" s="1"/>
  <c r="DW52" i="18"/>
  <c r="DY52" i="18" s="1"/>
  <c r="JQ52" i="18"/>
  <c r="JT52" i="18" s="1"/>
  <c r="RA52" i="18"/>
  <c r="RD52" i="18" s="1"/>
  <c r="BC52" i="18"/>
  <c r="BG52" i="18" s="1"/>
  <c r="GW52" i="18"/>
  <c r="HA52" i="18" s="1"/>
  <c r="OG52" i="18"/>
  <c r="OK52" i="18" s="1"/>
  <c r="VE52" i="18"/>
  <c r="VH52" i="18" s="1"/>
  <c r="CM52" i="18"/>
  <c r="CP52" i="18" s="1"/>
  <c r="IA52" i="18"/>
  <c r="IE52" i="18" s="1"/>
  <c r="MQ52" i="18"/>
  <c r="MS52" i="18" s="1"/>
  <c r="RG52" i="18"/>
  <c r="RJ52" i="18" s="1"/>
  <c r="WU52" i="18"/>
  <c r="WX52" i="18" s="1"/>
  <c r="GL51" i="18"/>
  <c r="GO51" i="18" s="1"/>
  <c r="GX51" i="18"/>
  <c r="AR51" i="18"/>
  <c r="VL51" i="18"/>
  <c r="TJ51" i="18"/>
  <c r="TD51" i="18"/>
  <c r="LN51" i="18"/>
  <c r="DR51" i="18"/>
  <c r="RT51" i="18"/>
  <c r="BV51" i="18"/>
  <c r="ML51" i="18"/>
  <c r="BJ51" i="18"/>
  <c r="FN51" i="18"/>
  <c r="AX51" i="18"/>
  <c r="WC52" i="18"/>
  <c r="WG52" i="18" s="1"/>
  <c r="PQ52" i="18"/>
  <c r="PT52" i="18" s="1"/>
  <c r="IG52" i="18"/>
  <c r="IJ52" i="18" s="1"/>
  <c r="CA52" i="18"/>
  <c r="CC52" i="18" s="1"/>
  <c r="PE52" i="18"/>
  <c r="PI52" i="18" s="1"/>
  <c r="EO52" i="18"/>
  <c r="EQ52" i="18" s="1"/>
  <c r="RS52" i="18"/>
  <c r="RW52" i="18" s="1"/>
  <c r="FM52" i="18"/>
  <c r="FQ52" i="18" s="1"/>
  <c r="MW52" i="18"/>
  <c r="MY52" i="18" s="1"/>
  <c r="SQ52" i="18"/>
  <c r="ST52" i="18" s="1"/>
  <c r="CS52" i="18"/>
  <c r="CV52" i="18" s="1"/>
  <c r="KC52" i="18"/>
  <c r="KE52" i="18" s="1"/>
  <c r="PW52" i="18"/>
  <c r="PY52" i="18" s="1"/>
  <c r="VQ52" i="18"/>
  <c r="VS52" i="18" s="1"/>
  <c r="EI52" i="18"/>
  <c r="EL52" i="18" s="1"/>
  <c r="IY52" i="18"/>
  <c r="JB52" i="18" s="1"/>
  <c r="NO52" i="18"/>
  <c r="NR52" i="18" s="1"/>
  <c r="TC52" i="18"/>
  <c r="TF52" i="18" s="1"/>
  <c r="CT51" i="18"/>
  <c r="UT51" i="18"/>
  <c r="ON51" i="18"/>
  <c r="FB51" i="18"/>
  <c r="EP51" i="18"/>
  <c r="VX51" i="18"/>
  <c r="UB51" i="18"/>
  <c r="HD51" i="18"/>
  <c r="MR51" i="18"/>
  <c r="DL51" i="18"/>
  <c r="TV51" i="18"/>
  <c r="WJ51" i="18"/>
  <c r="HI52" i="18"/>
  <c r="HK52" i="18" s="1"/>
  <c r="AW52" i="18"/>
  <c r="BA52" i="18" s="1"/>
  <c r="LM52" i="18"/>
  <c r="LP52" i="18" s="1"/>
  <c r="GQ52" i="18"/>
  <c r="GT52" i="18" s="1"/>
  <c r="XA52" i="18"/>
  <c r="XD52" i="18" s="1"/>
  <c r="HU52" i="18"/>
  <c r="HX52" i="18" s="1"/>
  <c r="QU52" i="18"/>
  <c r="QX52" i="18" s="1"/>
  <c r="CY52" i="18"/>
  <c r="DC52" i="18" s="1"/>
  <c r="LY52" i="18"/>
  <c r="MB52" i="18" s="1"/>
  <c r="BU52" i="18"/>
  <c r="BY52" i="18" s="1"/>
  <c r="FY52" i="18"/>
  <c r="GC52" i="18" s="1"/>
  <c r="LG52" i="18"/>
  <c r="LK52" i="18" s="1"/>
  <c r="QO52" i="18"/>
  <c r="QS52" i="18" s="1"/>
  <c r="US52" i="18"/>
  <c r="UU52" i="18" s="1"/>
  <c r="DE52" i="18"/>
  <c r="DI52" i="18" s="1"/>
  <c r="IM52" i="18"/>
  <c r="IP52" i="18" s="1"/>
  <c r="NU52" i="18"/>
  <c r="NW52" i="18" s="1"/>
  <c r="RY52" i="18"/>
  <c r="SA52" i="18" s="1"/>
  <c r="XG52" i="18"/>
  <c r="XJ52" i="18" s="1"/>
  <c r="DK52" i="18"/>
  <c r="DO52" i="18" s="1"/>
  <c r="HC52" i="18"/>
  <c r="HF52" i="18" s="1"/>
  <c r="KU52" i="18"/>
  <c r="KW52" i="18" s="1"/>
  <c r="OM52" i="18"/>
  <c r="OO52" i="18" s="1"/>
  <c r="SE52" i="18"/>
  <c r="SI52" i="18" s="1"/>
  <c r="NV51" i="18"/>
  <c r="VR51" i="18"/>
  <c r="BP51" i="18"/>
  <c r="FZ51" i="18"/>
  <c r="QV51" i="18"/>
  <c r="JX51" i="18"/>
  <c r="OT51" i="18"/>
  <c r="PX51" i="18"/>
  <c r="NJ51" i="18"/>
  <c r="UZ51" i="18"/>
  <c r="SX51" i="18"/>
  <c r="MX51" i="18"/>
  <c r="OH51" i="18"/>
  <c r="LT51" i="18"/>
  <c r="PF51" i="18"/>
  <c r="FT51" i="18"/>
  <c r="WV51" i="18"/>
  <c r="NP51" i="18"/>
  <c r="QP51" i="18"/>
  <c r="FH51" i="18"/>
  <c r="RH51" i="18"/>
  <c r="EV51" i="18"/>
  <c r="KJ51" i="18"/>
  <c r="JF51" i="18"/>
  <c r="IZ51" i="18"/>
  <c r="HP51" i="18"/>
  <c r="GF51" i="18"/>
  <c r="IH51" i="18"/>
  <c r="IN51" i="18"/>
  <c r="EJ51" i="18"/>
  <c r="CB51" i="18"/>
  <c r="WD51" i="18"/>
  <c r="RB51" i="18"/>
  <c r="AL51" i="18"/>
  <c r="LZ51" i="18"/>
  <c r="JR51" i="18"/>
  <c r="CH51" i="18"/>
  <c r="UH51" i="18"/>
  <c r="ND51" i="18"/>
  <c r="KI51" i="18"/>
  <c r="BO51" i="18"/>
  <c r="DQ51" i="18"/>
  <c r="TU51" i="18"/>
  <c r="TW51" i="18" s="1"/>
  <c r="LS51" i="18"/>
  <c r="QI51" i="18"/>
  <c r="CG51" i="18"/>
  <c r="JE51" i="18"/>
  <c r="DE51" i="18"/>
  <c r="DH51" i="18" s="1"/>
  <c r="VW51" i="18"/>
  <c r="FS51" i="18"/>
  <c r="OM51" i="18"/>
  <c r="OO51" i="18" s="1"/>
  <c r="SW51" i="18"/>
  <c r="US51" i="18"/>
  <c r="XA51" i="18"/>
  <c r="KC51" i="18"/>
  <c r="KG51" i="18" s="1"/>
  <c r="ME51" i="18"/>
  <c r="XG51" i="18"/>
  <c r="HU51" i="18"/>
  <c r="MQ51" i="18"/>
  <c r="UM51" i="18"/>
  <c r="UQ51" i="18" s="1"/>
  <c r="AK51" i="18"/>
  <c r="EU51" i="18"/>
  <c r="EX51" i="18" s="1"/>
  <c r="LY51" i="18"/>
  <c r="MA51" i="18" s="1"/>
  <c r="WI51" i="18"/>
  <c r="WL51" i="18" s="1"/>
  <c r="WO51" i="18"/>
  <c r="CS51" i="18"/>
  <c r="WU51" i="18"/>
  <c r="IA51" i="18"/>
  <c r="OS51" i="18"/>
  <c r="RY51" i="18"/>
  <c r="SQ51" i="18"/>
  <c r="BI51" i="18"/>
  <c r="BL51" i="18" s="1"/>
  <c r="OA51" i="18"/>
  <c r="RM51" i="18"/>
  <c r="RQ51" i="18" s="1"/>
  <c r="KU51" i="18"/>
  <c r="GW51" i="18"/>
  <c r="AW51" i="18"/>
  <c r="IY51" i="18"/>
  <c r="PE51" i="18"/>
  <c r="PH51" i="18" s="1"/>
  <c r="TO51" i="18"/>
  <c r="UG51" i="18"/>
  <c r="CY51" i="18"/>
  <c r="FY51" i="18"/>
  <c r="NC51" i="18"/>
  <c r="RS51" i="18"/>
  <c r="RV51" i="18" s="1"/>
  <c r="TC51" i="18"/>
  <c r="TF51" i="18" s="1"/>
  <c r="EI51" i="18"/>
  <c r="JK51" i="18"/>
  <c r="NU51" i="18"/>
  <c r="NW51" i="18" s="1"/>
  <c r="JQ51" i="18"/>
  <c r="BU51" i="18"/>
  <c r="SE51" i="18"/>
  <c r="FM51" i="18"/>
  <c r="FQ51" i="18" s="1"/>
  <c r="HC51" i="18"/>
  <c r="RA51" i="18"/>
  <c r="FG51" i="18"/>
  <c r="FI51" i="18" s="1"/>
  <c r="LA51" i="18"/>
  <c r="OG51" i="18"/>
  <c r="LG51" i="18"/>
  <c r="NI51" i="18"/>
  <c r="PQ51" i="18"/>
  <c r="VQ51" i="18"/>
  <c r="VU51" i="18" s="1"/>
  <c r="QO51" i="18"/>
  <c r="QS51" i="18" s="1"/>
  <c r="PK51" i="18"/>
  <c r="AQ51" i="18"/>
  <c r="EC51" i="18"/>
  <c r="IM51" i="18"/>
  <c r="TI51" i="18"/>
  <c r="IG51" i="18"/>
  <c r="DK51" i="18"/>
  <c r="DM51" i="18" s="1"/>
  <c r="GQ51" i="18"/>
  <c r="GT51" i="18" s="1"/>
  <c r="SK51" i="18"/>
  <c r="IS51" i="18"/>
  <c r="IW51" i="18" s="1"/>
  <c r="RZ51" i="18"/>
  <c r="SB51" i="18" s="1"/>
  <c r="WP51" i="18"/>
  <c r="KP51" i="18"/>
  <c r="JL51" i="18"/>
  <c r="PR51" i="18"/>
  <c r="OZ51" i="18"/>
  <c r="KV51" i="18"/>
  <c r="LB51" i="18"/>
  <c r="LD51" i="18" s="1"/>
  <c r="IB51" i="18"/>
  <c r="CN51" i="18"/>
  <c r="GE51" i="18"/>
  <c r="CM51" i="18"/>
  <c r="BC51" i="18"/>
  <c r="OY51" i="18"/>
  <c r="UY51" i="18"/>
  <c r="HI51" i="18"/>
  <c r="VE51" i="18"/>
  <c r="VG51" i="18" s="1"/>
  <c r="MW51" i="18"/>
  <c r="VK51" i="18"/>
  <c r="VM51" i="18" s="1"/>
  <c r="JW51" i="18"/>
  <c r="EO51" i="18"/>
  <c r="LM51" i="18"/>
  <c r="LO51" i="18" s="1"/>
  <c r="MK51" i="18"/>
  <c r="KO51" i="18"/>
  <c r="U47" i="18"/>
  <c r="QU51" i="18"/>
  <c r="HO51" i="18"/>
  <c r="PW51" i="18"/>
  <c r="RG51" i="18"/>
  <c r="DW51" i="18"/>
  <c r="Q49" i="18"/>
  <c r="R49" i="18"/>
  <c r="P49" i="18"/>
  <c r="T48" i="18" s="1"/>
  <c r="WC51" i="18"/>
  <c r="QC51" i="18"/>
  <c r="NO51" i="18"/>
  <c r="FA51" i="18"/>
  <c r="CA51" i="18"/>
  <c r="CE51" i="18" s="1"/>
  <c r="UA51" i="18"/>
  <c r="Q99" i="5"/>
  <c r="U99" i="5" s="1"/>
  <c r="I99" i="9"/>
  <c r="B107" i="19"/>
  <c r="G107" i="19" s="1"/>
  <c r="F105" i="19"/>
  <c r="E33" i="19"/>
  <c r="D32" i="19"/>
  <c r="Q18" i="15"/>
  <c r="E33" i="8"/>
  <c r="P18" i="15"/>
  <c r="D32" i="8"/>
  <c r="R32" i="8" s="1"/>
  <c r="G18" i="15"/>
  <c r="N33" i="7"/>
  <c r="K33" i="7"/>
  <c r="L33" i="7"/>
  <c r="K32" i="7"/>
  <c r="N32" i="7"/>
  <c r="L32" i="7"/>
  <c r="I98" i="9"/>
  <c r="J101" i="5"/>
  <c r="F101" i="5" s="1"/>
  <c r="L99" i="9"/>
  <c r="L98" i="9"/>
  <c r="M97" i="9"/>
  <c r="M96" i="9"/>
  <c r="FU52" i="18"/>
  <c r="J99" i="9"/>
  <c r="J98" i="9"/>
  <c r="H100" i="9"/>
  <c r="K100" i="9" s="1"/>
  <c r="H101" i="9"/>
  <c r="K101" i="9" s="1"/>
  <c r="F103" i="8"/>
  <c r="G103" i="8"/>
  <c r="G102" i="8"/>
  <c r="F102" i="8"/>
  <c r="I100" i="7"/>
  <c r="J100" i="7"/>
  <c r="I101" i="7"/>
  <c r="J101" i="7"/>
  <c r="E52" i="15"/>
  <c r="D52" i="15"/>
  <c r="D54" i="18"/>
  <c r="F54" i="18" s="1"/>
  <c r="E54" i="18"/>
  <c r="G54" i="18" s="1"/>
  <c r="I103" i="5"/>
  <c r="I100" i="5"/>
  <c r="J100" i="5" s="1"/>
  <c r="H100" i="1"/>
  <c r="I100" i="1" s="1"/>
  <c r="H101" i="1"/>
  <c r="I101" i="1" s="1"/>
  <c r="U52" i="15"/>
  <c r="Y52" i="18" s="1"/>
  <c r="T52" i="15"/>
  <c r="TM52" i="18"/>
  <c r="JN52" i="18"/>
  <c r="VY52" i="18"/>
  <c r="BS52" i="18"/>
  <c r="WN54" i="18"/>
  <c r="VP54" i="18"/>
  <c r="UR54" i="18"/>
  <c r="TT54" i="18"/>
  <c r="SV54" i="18"/>
  <c r="RX54" i="18"/>
  <c r="QZ54" i="18"/>
  <c r="QB54" i="18"/>
  <c r="PD54" i="18"/>
  <c r="OF54" i="18"/>
  <c r="NH54" i="18"/>
  <c r="MJ54" i="18"/>
  <c r="LL54" i="18"/>
  <c r="KN54" i="18"/>
  <c r="JP54" i="18"/>
  <c r="IR54" i="18"/>
  <c r="HT54" i="18"/>
  <c r="GV54" i="18"/>
  <c r="FX54" i="18"/>
  <c r="EZ54" i="18"/>
  <c r="EB54" i="18"/>
  <c r="DD54" i="18"/>
  <c r="CF54" i="18"/>
  <c r="BH54" i="18"/>
  <c r="AJ54" i="18"/>
  <c r="WH54" i="18"/>
  <c r="VV54" i="18"/>
  <c r="UF54" i="18"/>
  <c r="SP54" i="18"/>
  <c r="SD54" i="18"/>
  <c r="QN54" i="18"/>
  <c r="OX54" i="18"/>
  <c r="OL54" i="18"/>
  <c r="MV54" i="18"/>
  <c r="LF54" i="18"/>
  <c r="KT54" i="18"/>
  <c r="JD54" i="18"/>
  <c r="HN54" i="18"/>
  <c r="HB54" i="18"/>
  <c r="FL54" i="18"/>
  <c r="DV54" i="18"/>
  <c r="DJ54" i="18"/>
  <c r="BT54" i="18"/>
  <c r="WZ54" i="18"/>
  <c r="VJ54" i="18"/>
  <c r="UX54" i="18"/>
  <c r="TH54" i="18"/>
  <c r="RR54" i="18"/>
  <c r="RF54" i="18"/>
  <c r="PP54" i="18"/>
  <c r="NZ54" i="18"/>
  <c r="NN54" i="18"/>
  <c r="LX54" i="18"/>
  <c r="KH54" i="18"/>
  <c r="JV54" i="18"/>
  <c r="IF54" i="18"/>
  <c r="GP54" i="18"/>
  <c r="GD54" i="18"/>
  <c r="EN54" i="18"/>
  <c r="CX54" i="18"/>
  <c r="CL54" i="18"/>
  <c r="AV54" i="18"/>
  <c r="TZ54" i="18"/>
  <c r="SJ54" i="18"/>
  <c r="QT54" i="18"/>
  <c r="MP54" i="18"/>
  <c r="KZ54" i="18"/>
  <c r="JJ54" i="18"/>
  <c r="FF54" i="18"/>
  <c r="DP54" i="18"/>
  <c r="BZ54" i="18"/>
  <c r="XF54" i="18"/>
  <c r="TB54" i="18"/>
  <c r="RL54" i="18"/>
  <c r="PV54" i="18"/>
  <c r="LR54" i="18"/>
  <c r="KB54" i="18"/>
  <c r="IL54" i="18"/>
  <c r="EH54" i="18"/>
  <c r="CR54" i="18"/>
  <c r="BB54" i="18"/>
  <c r="QH54" i="18"/>
  <c r="OR54" i="18"/>
  <c r="NB54" i="18"/>
  <c r="BN54" i="18"/>
  <c r="WT54" i="18"/>
  <c r="VD54" i="18"/>
  <c r="TN54" i="18"/>
  <c r="HZ54" i="18"/>
  <c r="GJ54" i="18"/>
  <c r="ET54" i="18"/>
  <c r="WB54" i="18"/>
  <c r="UL54" i="18"/>
  <c r="IX54" i="18"/>
  <c r="HH54" i="18"/>
  <c r="FR54" i="18"/>
  <c r="PJ54" i="18"/>
  <c r="NT54" i="18"/>
  <c r="AP54" i="18"/>
  <c r="MD54" i="18"/>
  <c r="XB53" i="18"/>
  <c r="VF53" i="18"/>
  <c r="UH53" i="18"/>
  <c r="TJ53" i="18"/>
  <c r="RN53" i="18"/>
  <c r="QP53" i="18"/>
  <c r="PR53" i="18"/>
  <c r="NV53" i="18"/>
  <c r="MX53" i="18"/>
  <c r="LZ53" i="18"/>
  <c r="KD53" i="18"/>
  <c r="JF53" i="18"/>
  <c r="IH53" i="18"/>
  <c r="GL53" i="18"/>
  <c r="FN53" i="18"/>
  <c r="EP53" i="18"/>
  <c r="CT53" i="18"/>
  <c r="BV53" i="18"/>
  <c r="AX53" i="18"/>
  <c r="VL53" i="18"/>
  <c r="TV53" i="18"/>
  <c r="SF53" i="18"/>
  <c r="QD53" i="18"/>
  <c r="ON53" i="18"/>
  <c r="OB53" i="18"/>
  <c r="KV53" i="18"/>
  <c r="KJ53" i="18"/>
  <c r="IT53" i="18"/>
  <c r="GR53" i="18"/>
  <c r="FB53" i="18"/>
  <c r="DL53" i="18"/>
  <c r="BJ53" i="18"/>
  <c r="WP53" i="18"/>
  <c r="UZ53" i="18"/>
  <c r="SX53" i="18"/>
  <c r="RH53" i="18"/>
  <c r="QV53" i="18"/>
  <c r="NP53" i="18"/>
  <c r="ND53" i="18"/>
  <c r="LN53" i="18"/>
  <c r="JL53" i="18"/>
  <c r="HV53" i="18"/>
  <c r="GF53" i="18"/>
  <c r="ED53" i="18"/>
  <c r="CN53" i="18"/>
  <c r="CB53" i="18"/>
  <c r="XH53" i="18"/>
  <c r="VR53" i="18"/>
  <c r="UB53" i="18"/>
  <c r="OH53" i="18"/>
  <c r="MR53" i="18"/>
  <c r="IN53" i="18"/>
  <c r="FH53" i="18"/>
  <c r="BD53" i="18"/>
  <c r="WJ53" i="18"/>
  <c r="TD53" i="18"/>
  <c r="OZ53" i="18"/>
  <c r="NJ53" i="18"/>
  <c r="HP53" i="18"/>
  <c r="FZ53" i="18"/>
  <c r="EJ53" i="18"/>
  <c r="RZ53" i="18"/>
  <c r="QJ53" i="18"/>
  <c r="EV53" i="18"/>
  <c r="BP53" i="18"/>
  <c r="WV53" i="18"/>
  <c r="LH53" i="18"/>
  <c r="IB53" i="18"/>
  <c r="MF53" i="18"/>
  <c r="KP53" i="18"/>
  <c r="AR53" i="18"/>
  <c r="SR53" i="18"/>
  <c r="RB53" i="18"/>
  <c r="PL53" i="18"/>
  <c r="CH53" i="18"/>
  <c r="WU53" i="18"/>
  <c r="UY53" i="18"/>
  <c r="UA53" i="18"/>
  <c r="TC53" i="18"/>
  <c r="RG53" i="18"/>
  <c r="QI53" i="18"/>
  <c r="PK53" i="18"/>
  <c r="NO53" i="18"/>
  <c r="MQ53" i="18"/>
  <c r="LS53" i="18"/>
  <c r="JW53" i="18"/>
  <c r="IY53" i="18"/>
  <c r="IA53" i="18"/>
  <c r="GE53" i="18"/>
  <c r="FG53" i="18"/>
  <c r="EI53" i="18"/>
  <c r="CM53" i="18"/>
  <c r="BO53" i="18"/>
  <c r="AQ53" i="18"/>
  <c r="US53" i="18"/>
  <c r="UG53" i="18"/>
  <c r="SQ53" i="18"/>
  <c r="QO53" i="18"/>
  <c r="OY53" i="18"/>
  <c r="NI53" i="18"/>
  <c r="LG53" i="18"/>
  <c r="JQ53" i="18"/>
  <c r="JE53" i="18"/>
  <c r="FY53" i="18"/>
  <c r="FM53" i="18"/>
  <c r="DW53" i="18"/>
  <c r="BU53" i="18"/>
  <c r="XA53" i="18"/>
  <c r="VK53" i="18"/>
  <c r="TI53" i="18"/>
  <c r="RS53" i="18"/>
  <c r="QC53" i="18"/>
  <c r="OA53" i="18"/>
  <c r="MK53" i="18"/>
  <c r="LY53" i="18"/>
  <c r="IS53" i="18"/>
  <c r="IG53" i="18"/>
  <c r="GQ53" i="18"/>
  <c r="EO53" i="18"/>
  <c r="CY53" i="18"/>
  <c r="BI53" i="18"/>
  <c r="WO53" i="18"/>
  <c r="SK53" i="18"/>
  <c r="QU53" i="18"/>
  <c r="LA53" i="18"/>
  <c r="JK53" i="18"/>
  <c r="HU53" i="18"/>
  <c r="CA53" i="18"/>
  <c r="AK53" i="18"/>
  <c r="XG53" i="18"/>
  <c r="RM53" i="18"/>
  <c r="PW53" i="18"/>
  <c r="OG53" i="18"/>
  <c r="IM53" i="18"/>
  <c r="GW53" i="18"/>
  <c r="CS53" i="18"/>
  <c r="OS53" i="18"/>
  <c r="NC53" i="18"/>
  <c r="LM53" i="18"/>
  <c r="TO53" i="18"/>
  <c r="RY53" i="18"/>
  <c r="GK53" i="18"/>
  <c r="DE53" i="18"/>
  <c r="WC53" i="18"/>
  <c r="UM53" i="18"/>
  <c r="HI53" i="18"/>
  <c r="FS53" i="18"/>
  <c r="EC53" i="18"/>
  <c r="ME53" i="18"/>
  <c r="KO53" i="18"/>
  <c r="BK52" i="18"/>
  <c r="WA52" i="18"/>
  <c r="DT52" i="18"/>
  <c r="VB52" i="18"/>
  <c r="FV52" i="18"/>
  <c r="VZ52" i="18"/>
  <c r="WQ52" i="18"/>
  <c r="B103" i="7"/>
  <c r="B103" i="1"/>
  <c r="B103" i="9"/>
  <c r="Q96" i="5"/>
  <c r="U96" i="5" s="1"/>
  <c r="AD100" i="5"/>
  <c r="AE100" i="5" s="1"/>
  <c r="AI100" i="5" s="1"/>
  <c r="B102" i="5"/>
  <c r="R100" i="5"/>
  <c r="AG100" i="5" s="1"/>
  <c r="K100" i="5"/>
  <c r="B105" i="5"/>
  <c r="R103" i="5"/>
  <c r="AG103" i="5" s="1"/>
  <c r="K103" i="5"/>
  <c r="AE103" i="5"/>
  <c r="F98" i="5"/>
  <c r="AJ98" i="5"/>
  <c r="R114" i="14"/>
  <c r="B118" i="14"/>
  <c r="U115" i="14"/>
  <c r="T115" i="14"/>
  <c r="S115" i="14"/>
  <c r="Q114" i="14"/>
  <c r="B102" i="7"/>
  <c r="BP99" i="1"/>
  <c r="X99" i="7" s="1"/>
  <c r="BQ99" i="1"/>
  <c r="O98" i="1"/>
  <c r="O99" i="1"/>
  <c r="B104" i="8"/>
  <c r="B53" i="15"/>
  <c r="B105" i="8"/>
  <c r="B102" i="1"/>
  <c r="N100" i="1"/>
  <c r="B102" i="9"/>
  <c r="B55" i="18"/>
  <c r="N54" i="18"/>
  <c r="O54" i="18"/>
  <c r="MC51" i="18" l="1"/>
  <c r="XK52" i="18"/>
  <c r="OP52" i="18"/>
  <c r="MO52" i="18"/>
  <c r="QE52" i="18"/>
  <c r="PG51" i="18"/>
  <c r="IO52" i="18"/>
  <c r="PM52" i="18"/>
  <c r="PS52" i="18"/>
  <c r="ER52" i="18"/>
  <c r="PO52" i="18"/>
  <c r="JG52" i="18"/>
  <c r="MG52" i="18"/>
  <c r="VM52" i="18"/>
  <c r="JH52" i="18"/>
  <c r="R93" i="8"/>
  <c r="ID52" i="18"/>
  <c r="FK52" i="18"/>
  <c r="NX52" i="18"/>
  <c r="HR52" i="18"/>
  <c r="HQ52" i="18"/>
  <c r="SN52" i="18"/>
  <c r="SM52" i="18"/>
  <c r="CW52" i="18"/>
  <c r="FI52" i="18"/>
  <c r="RU52" i="18"/>
  <c r="EF52" i="18"/>
  <c r="RV52" i="18"/>
  <c r="MA52" i="18"/>
  <c r="PA52" i="18"/>
  <c r="NL52" i="18"/>
  <c r="VA52" i="18"/>
  <c r="DZ52" i="18"/>
  <c r="EA52" i="18"/>
  <c r="GY52" i="18"/>
  <c r="QM52" i="18"/>
  <c r="QL52" i="18"/>
  <c r="SY52" i="18"/>
  <c r="EW52" i="18"/>
  <c r="MH52" i="18"/>
  <c r="RQ53" i="18"/>
  <c r="IC52" i="18"/>
  <c r="EG52" i="18"/>
  <c r="NY52" i="18"/>
  <c r="NM52" i="18"/>
  <c r="KA52" i="18"/>
  <c r="HM52" i="18"/>
  <c r="QE51" i="18"/>
  <c r="NU53" i="18"/>
  <c r="NY53" i="18" s="1"/>
  <c r="SW53" i="18"/>
  <c r="TA53" i="18" s="1"/>
  <c r="EU53" i="18"/>
  <c r="EY53" i="18" s="1"/>
  <c r="VE53" i="18"/>
  <c r="VI53" i="18" s="1"/>
  <c r="BC53" i="18"/>
  <c r="KC53" i="18"/>
  <c r="VQ53" i="18"/>
  <c r="VU53" i="18" s="1"/>
  <c r="DQ53" i="18"/>
  <c r="PE53" i="18"/>
  <c r="AW53" i="18"/>
  <c r="FA53" i="18"/>
  <c r="FE53" i="18" s="1"/>
  <c r="KI53" i="18"/>
  <c r="KL53" i="18" s="1"/>
  <c r="PQ53" i="18"/>
  <c r="PT53" i="18" s="1"/>
  <c r="TU53" i="18"/>
  <c r="TY53" i="18" s="1"/>
  <c r="CG53" i="18"/>
  <c r="CK53" i="18" s="1"/>
  <c r="HO53" i="18"/>
  <c r="HS53" i="18" s="1"/>
  <c r="MW53" i="18"/>
  <c r="MZ53" i="18" s="1"/>
  <c r="RA53" i="18"/>
  <c r="WI53" i="18"/>
  <c r="WK53" i="18" s="1"/>
  <c r="DK53" i="18"/>
  <c r="DM53" i="18" s="1"/>
  <c r="HC53" i="18"/>
  <c r="KU53" i="18"/>
  <c r="KX53" i="18" s="1"/>
  <c r="OM53" i="18"/>
  <c r="OP53" i="18" s="1"/>
  <c r="SE53" i="18"/>
  <c r="SH53" i="18" s="1"/>
  <c r="DX53" i="18"/>
  <c r="DY53" i="18" s="1"/>
  <c r="IZ53" i="18"/>
  <c r="JC53" i="18" s="1"/>
  <c r="JR53" i="18"/>
  <c r="JU53" i="18" s="1"/>
  <c r="DF53" i="18"/>
  <c r="DI53" i="18" s="1"/>
  <c r="TP53" i="18"/>
  <c r="TS53" i="18" s="1"/>
  <c r="LT53" i="18"/>
  <c r="LU53" i="18" s="1"/>
  <c r="UT53" i="18"/>
  <c r="UU53" i="18" s="1"/>
  <c r="GX53" i="18"/>
  <c r="GY53" i="18" s="1"/>
  <c r="PX53" i="18"/>
  <c r="PZ53" i="18" s="1"/>
  <c r="AL53" i="18"/>
  <c r="AN53" i="18" s="1"/>
  <c r="FT53" i="18"/>
  <c r="FV53" i="18" s="1"/>
  <c r="JX53" i="18"/>
  <c r="KA53" i="18" s="1"/>
  <c r="PF53" i="18"/>
  <c r="UN53" i="18"/>
  <c r="UP53" i="18" s="1"/>
  <c r="CZ53" i="18"/>
  <c r="DC53" i="18" s="1"/>
  <c r="HD53" i="18"/>
  <c r="ML53" i="18"/>
  <c r="MN53" i="18" s="1"/>
  <c r="RT53" i="18"/>
  <c r="VX53" i="18"/>
  <c r="VZ53" i="18" s="1"/>
  <c r="DR53" i="18"/>
  <c r="HJ53" i="18"/>
  <c r="HK53" i="18" s="1"/>
  <c r="LB53" i="18"/>
  <c r="LD53" i="18" s="1"/>
  <c r="OT53" i="18"/>
  <c r="OW53" i="18" s="1"/>
  <c r="SL53" i="18"/>
  <c r="SN53" i="18" s="1"/>
  <c r="CU52" i="18"/>
  <c r="WK52" i="18"/>
  <c r="MM52" i="18"/>
  <c r="PB52" i="18"/>
  <c r="AU52" i="18"/>
  <c r="Q101" i="5"/>
  <c r="U101" i="5" s="1"/>
  <c r="RI52" i="18"/>
  <c r="QY52" i="18"/>
  <c r="WR52" i="18"/>
  <c r="KR52" i="18"/>
  <c r="QR51" i="18"/>
  <c r="VI52" i="18"/>
  <c r="DH52" i="18"/>
  <c r="KF51" i="18"/>
  <c r="OE52" i="18"/>
  <c r="RK52" i="18"/>
  <c r="OW52" i="18"/>
  <c r="QA52" i="18"/>
  <c r="DG52" i="18"/>
  <c r="PI51" i="18"/>
  <c r="AZ52" i="18"/>
  <c r="RP52" i="18"/>
  <c r="RQ52" i="18"/>
  <c r="LW52" i="18"/>
  <c r="SC52" i="18"/>
  <c r="LU52" i="18"/>
  <c r="FP52" i="18"/>
  <c r="MT52" i="18"/>
  <c r="LE52" i="18"/>
  <c r="UD52" i="18"/>
  <c r="SB52" i="18"/>
  <c r="UJ52" i="18"/>
  <c r="AY52" i="18"/>
  <c r="GN51" i="18"/>
  <c r="IP51" i="18"/>
  <c r="RE51" i="18"/>
  <c r="EF51" i="18"/>
  <c r="OV52" i="18"/>
  <c r="PH52" i="18"/>
  <c r="TR52" i="18"/>
  <c r="NQ52" i="18"/>
  <c r="XI52" i="18"/>
  <c r="OC52" i="18"/>
  <c r="GA52" i="18"/>
  <c r="GB52" i="18"/>
  <c r="WE52" i="18"/>
  <c r="DU52" i="18"/>
  <c r="OQ51" i="18"/>
  <c r="KE51" i="18"/>
  <c r="MB51" i="18"/>
  <c r="OQ52" i="18"/>
  <c r="RE52" i="18"/>
  <c r="LO52" i="18"/>
  <c r="LQ52" i="18"/>
  <c r="NS52" i="18"/>
  <c r="RC52" i="18"/>
  <c r="MZ52" i="18"/>
  <c r="JM52" i="18"/>
  <c r="PG52" i="18"/>
  <c r="TQ52" i="18"/>
  <c r="QW52" i="18"/>
  <c r="BM52" i="18"/>
  <c r="TK52" i="18"/>
  <c r="KQ52" i="18"/>
  <c r="WF52" i="18"/>
  <c r="OP51" i="18"/>
  <c r="QQ51" i="18"/>
  <c r="TX51" i="18"/>
  <c r="NA52" i="18"/>
  <c r="VG52" i="18"/>
  <c r="PZ52" i="18"/>
  <c r="GS51" i="18"/>
  <c r="GU51" i="18"/>
  <c r="TY51" i="18"/>
  <c r="UC51" i="18"/>
  <c r="AS51" i="18"/>
  <c r="LJ52" i="18"/>
  <c r="GH52" i="18"/>
  <c r="EM51" i="18"/>
  <c r="R50" i="18"/>
  <c r="UJ51" i="18"/>
  <c r="BY51" i="18"/>
  <c r="SU51" i="18"/>
  <c r="JC52" i="18"/>
  <c r="TY52" i="18"/>
  <c r="LD52" i="18"/>
  <c r="JS52" i="18"/>
  <c r="JA52" i="18"/>
  <c r="UV52" i="18"/>
  <c r="MU52" i="18"/>
  <c r="CD52" i="18"/>
  <c r="Q50" i="18"/>
  <c r="NR51" i="18"/>
  <c r="UI51" i="18"/>
  <c r="XJ51" i="18"/>
  <c r="QL51" i="18"/>
  <c r="CI51" i="18"/>
  <c r="UK52" i="18"/>
  <c r="P50" i="18"/>
  <c r="S49" i="18" s="1"/>
  <c r="U49" i="18" s="1"/>
  <c r="UE52" i="18"/>
  <c r="HY52" i="18"/>
  <c r="KX52" i="18"/>
  <c r="CE52" i="18"/>
  <c r="GN52" i="18"/>
  <c r="BW52" i="18"/>
  <c r="NE52" i="18"/>
  <c r="OJ52" i="18"/>
  <c r="KY52" i="18"/>
  <c r="NF52" i="18"/>
  <c r="UW52" i="18"/>
  <c r="KG52" i="18"/>
  <c r="UP52" i="18"/>
  <c r="UQ52" i="18"/>
  <c r="BQ52" i="18"/>
  <c r="HW52" i="18"/>
  <c r="JU52" i="18"/>
  <c r="OI52" i="18"/>
  <c r="FO52" i="18"/>
  <c r="BX52" i="18"/>
  <c r="VO52" i="18"/>
  <c r="GM52" i="18"/>
  <c r="QM51" i="18"/>
  <c r="EY51" i="18"/>
  <c r="TE52" i="18"/>
  <c r="IV52" i="18"/>
  <c r="CI52" i="18"/>
  <c r="PU52" i="18"/>
  <c r="ES52" i="18"/>
  <c r="TG52" i="18"/>
  <c r="DM52" i="18"/>
  <c r="BE52" i="18"/>
  <c r="SG52" i="18"/>
  <c r="VU52" i="18"/>
  <c r="EX52" i="18"/>
  <c r="HW51" i="18"/>
  <c r="EK51" i="18"/>
  <c r="BX51" i="18"/>
  <c r="EW51" i="18"/>
  <c r="JC51" i="18"/>
  <c r="DO51" i="18"/>
  <c r="KF52" i="18"/>
  <c r="TX52" i="18"/>
  <c r="RP51" i="18"/>
  <c r="JI51" i="18"/>
  <c r="PI53" i="18"/>
  <c r="GA51" i="18"/>
  <c r="BW51" i="18"/>
  <c r="SS51" i="18"/>
  <c r="FV51" i="18"/>
  <c r="TG51" i="18"/>
  <c r="RO51" i="18"/>
  <c r="VS51" i="18"/>
  <c r="KA51" i="18"/>
  <c r="WR51" i="18"/>
  <c r="JU51" i="18"/>
  <c r="GC51" i="18"/>
  <c r="HE51" i="18"/>
  <c r="DS51" i="18"/>
  <c r="DY51" i="18"/>
  <c r="LJ51" i="18"/>
  <c r="XE51" i="18"/>
  <c r="DB51" i="18"/>
  <c r="IQ52" i="18"/>
  <c r="LI51" i="18"/>
  <c r="DB52" i="18"/>
  <c r="WY52" i="18"/>
  <c r="DN52" i="18"/>
  <c r="FD52" i="18"/>
  <c r="LO53" i="18"/>
  <c r="NK53" i="18"/>
  <c r="QF52" i="18"/>
  <c r="GU52" i="18"/>
  <c r="AS52" i="18"/>
  <c r="DA52" i="18"/>
  <c r="CO52" i="18"/>
  <c r="SS52" i="18"/>
  <c r="CQ52" i="18"/>
  <c r="VT52" i="18"/>
  <c r="BF52" i="18"/>
  <c r="FW51" i="18"/>
  <c r="FU51" i="18"/>
  <c r="IW52" i="18"/>
  <c r="GS52" i="18"/>
  <c r="CK52" i="18"/>
  <c r="FO53" i="18"/>
  <c r="PB53" i="18"/>
  <c r="GG52" i="18"/>
  <c r="LI52" i="18"/>
  <c r="SH52" i="18"/>
  <c r="DC51" i="18"/>
  <c r="GB51" i="18"/>
  <c r="LK51" i="18"/>
  <c r="FE51" i="18"/>
  <c r="HF51" i="18"/>
  <c r="DT51" i="18"/>
  <c r="FE52" i="18"/>
  <c r="KK52" i="18"/>
  <c r="MO51" i="18"/>
  <c r="PO51" i="18"/>
  <c r="BE51" i="18"/>
  <c r="HY51" i="18"/>
  <c r="AT51" i="18"/>
  <c r="OC51" i="18"/>
  <c r="OU51" i="18"/>
  <c r="BS51" i="18"/>
  <c r="SA51" i="18"/>
  <c r="EL51" i="18"/>
  <c r="AZ51" i="18"/>
  <c r="HR51" i="18"/>
  <c r="VB51" i="18"/>
  <c r="SN51" i="18"/>
  <c r="SI51" i="18"/>
  <c r="HA51" i="18"/>
  <c r="HX51" i="18"/>
  <c r="TE51" i="18"/>
  <c r="JT51" i="18"/>
  <c r="IJ51" i="18"/>
  <c r="JH51" i="18"/>
  <c r="DA51" i="18"/>
  <c r="JS51" i="18"/>
  <c r="OV51" i="18"/>
  <c r="JB51" i="18"/>
  <c r="WW52" i="18"/>
  <c r="SU52" i="18"/>
  <c r="KL52" i="18"/>
  <c r="VT51" i="18"/>
  <c r="DN51" i="18"/>
  <c r="JG51" i="18"/>
  <c r="WE51" i="18"/>
  <c r="EA51" i="18"/>
  <c r="MZ51" i="18"/>
  <c r="HG51" i="18"/>
  <c r="XD51" i="18"/>
  <c r="DU51" i="18"/>
  <c r="PN51" i="18"/>
  <c r="QA51" i="18"/>
  <c r="HM51" i="18"/>
  <c r="II51" i="18"/>
  <c r="UK51" i="18"/>
  <c r="AM51" i="18"/>
  <c r="UW51" i="18"/>
  <c r="WQ51" i="18"/>
  <c r="OW51" i="18"/>
  <c r="RW51" i="18"/>
  <c r="LE51" i="18"/>
  <c r="IV51" i="18"/>
  <c r="WY51" i="18"/>
  <c r="CK51" i="18"/>
  <c r="BG51" i="18"/>
  <c r="RC51" i="18"/>
  <c r="OI51" i="18"/>
  <c r="MS51" i="18"/>
  <c r="CU51" i="18"/>
  <c r="EE51" i="18"/>
  <c r="EG51" i="18"/>
  <c r="UU51" i="18"/>
  <c r="AU51" i="18"/>
  <c r="CW51" i="18"/>
  <c r="TS51" i="18"/>
  <c r="MG51" i="18"/>
  <c r="WM52" i="18"/>
  <c r="EM52" i="18"/>
  <c r="XC52" i="18"/>
  <c r="XE52" i="18"/>
  <c r="QQ52" i="18"/>
  <c r="II52" i="18"/>
  <c r="IK52" i="18"/>
  <c r="AO52" i="18"/>
  <c r="QR52" i="18"/>
  <c r="GZ52" i="18"/>
  <c r="GM51" i="18"/>
  <c r="UV51" i="18"/>
  <c r="XI51" i="18"/>
  <c r="CJ51" i="18"/>
  <c r="RD51" i="18"/>
  <c r="WW51" i="18"/>
  <c r="AO51" i="18"/>
  <c r="AY51" i="18"/>
  <c r="AN51" i="18"/>
  <c r="MC52" i="18"/>
  <c r="JY52" i="18"/>
  <c r="AM52" i="18"/>
  <c r="SZ52" i="18"/>
  <c r="EK52" i="18"/>
  <c r="HG52" i="18"/>
  <c r="HE52" i="18"/>
  <c r="HL52" i="18"/>
  <c r="NX51" i="18"/>
  <c r="CV51" i="18"/>
  <c r="QK51" i="18"/>
  <c r="MU51" i="18"/>
  <c r="IU51" i="18"/>
  <c r="FO51" i="18"/>
  <c r="FP51" i="18"/>
  <c r="OD51" i="18"/>
  <c r="BQ51" i="18"/>
  <c r="RU51" i="18"/>
  <c r="XK51" i="18"/>
  <c r="ES51" i="18"/>
  <c r="JA51" i="18"/>
  <c r="PT51" i="18"/>
  <c r="BA51" i="18"/>
  <c r="VZ51" i="18"/>
  <c r="LW51" i="18"/>
  <c r="SC51" i="18"/>
  <c r="XC51" i="18"/>
  <c r="ST51" i="18"/>
  <c r="GH51" i="18"/>
  <c r="KX51" i="18"/>
  <c r="NF51" i="18"/>
  <c r="TA51" i="18"/>
  <c r="BR51" i="18"/>
  <c r="IQ51" i="18"/>
  <c r="WX51" i="18"/>
  <c r="OK51" i="18"/>
  <c r="TK51" i="18"/>
  <c r="NM51" i="18"/>
  <c r="NY51" i="18"/>
  <c r="OE51" i="18"/>
  <c r="OJ51" i="18"/>
  <c r="PU51" i="18"/>
  <c r="VY51" i="18"/>
  <c r="WA51" i="18"/>
  <c r="QW51" i="18"/>
  <c r="WS51" i="18"/>
  <c r="IO51" i="18"/>
  <c r="MT51" i="18"/>
  <c r="RI51" i="18"/>
  <c r="EQ51" i="18"/>
  <c r="PZ51" i="18"/>
  <c r="JZ51" i="18"/>
  <c r="IK51" i="18"/>
  <c r="KM51" i="18"/>
  <c r="NE51" i="18"/>
  <c r="MI51" i="18"/>
  <c r="MH51" i="18"/>
  <c r="TL51" i="18"/>
  <c r="TQ51" i="18"/>
  <c r="TR51" i="18"/>
  <c r="PM51" i="18"/>
  <c r="GY51" i="18"/>
  <c r="FK51" i="18"/>
  <c r="NL51" i="18"/>
  <c r="GI51" i="18"/>
  <c r="SY51" i="18"/>
  <c r="KK51" i="18"/>
  <c r="WM51" i="18"/>
  <c r="KL51" i="18"/>
  <c r="JN51" i="18"/>
  <c r="IC51" i="18"/>
  <c r="UP51" i="18"/>
  <c r="DG51" i="18"/>
  <c r="SH51" i="18"/>
  <c r="SG51" i="18"/>
  <c r="GZ51" i="18"/>
  <c r="NG51" i="18"/>
  <c r="UO51" i="18"/>
  <c r="LU51" i="18"/>
  <c r="LV51" i="18"/>
  <c r="BM51" i="18"/>
  <c r="BK51" i="18"/>
  <c r="DI51" i="18"/>
  <c r="TM51" i="18"/>
  <c r="NK51" i="18"/>
  <c r="SM51" i="18"/>
  <c r="SO51" i="18"/>
  <c r="WK51" i="18"/>
  <c r="VC51" i="18"/>
  <c r="ID51" i="18"/>
  <c r="SZ51" i="18"/>
  <c r="FJ51" i="18"/>
  <c r="IE51" i="18"/>
  <c r="JO51" i="18"/>
  <c r="PS51" i="18"/>
  <c r="KY51" i="18"/>
  <c r="LC51" i="18"/>
  <c r="JM51" i="18"/>
  <c r="GG51" i="18"/>
  <c r="KQ51" i="18"/>
  <c r="VO51" i="18"/>
  <c r="HS51" i="18"/>
  <c r="VN51" i="18"/>
  <c r="HQ51" i="18"/>
  <c r="KW51" i="18"/>
  <c r="MM51" i="18"/>
  <c r="VA51" i="18"/>
  <c r="KR51" i="18"/>
  <c r="PB51" i="18"/>
  <c r="PY51" i="18"/>
  <c r="DZ51" i="18"/>
  <c r="PC51" i="18"/>
  <c r="JY51" i="18"/>
  <c r="HK51" i="18"/>
  <c r="HL51" i="18"/>
  <c r="CC51" i="18"/>
  <c r="LQ51" i="18"/>
  <c r="MY51" i="18"/>
  <c r="QX51" i="18"/>
  <c r="QY51" i="18"/>
  <c r="LP51" i="18"/>
  <c r="NA51" i="18"/>
  <c r="PA51" i="18"/>
  <c r="BF51" i="18"/>
  <c r="RJ51" i="18"/>
  <c r="ER51" i="18"/>
  <c r="CO51" i="18"/>
  <c r="CP51" i="18"/>
  <c r="CQ51" i="18"/>
  <c r="RK51" i="18"/>
  <c r="UE51" i="18"/>
  <c r="VI51" i="18"/>
  <c r="VH51" i="18"/>
  <c r="WG51" i="18"/>
  <c r="QG51" i="18"/>
  <c r="QF51" i="18"/>
  <c r="WF51" i="18"/>
  <c r="FD51" i="18"/>
  <c r="FC51" i="18"/>
  <c r="MN51" i="18"/>
  <c r="KS51" i="18"/>
  <c r="S48" i="18"/>
  <c r="U48" i="18" s="1"/>
  <c r="UD51" i="18"/>
  <c r="NS51" i="18"/>
  <c r="CD51" i="18"/>
  <c r="NQ51" i="18"/>
  <c r="Q98" i="5"/>
  <c r="U98" i="5" s="1"/>
  <c r="I101" i="9"/>
  <c r="B109" i="19"/>
  <c r="G109" i="19" s="1"/>
  <c r="F107" i="19"/>
  <c r="K35" i="7"/>
  <c r="L35" i="7"/>
  <c r="N35" i="7"/>
  <c r="K34" i="7"/>
  <c r="L34" i="7"/>
  <c r="N34" i="7"/>
  <c r="E35" i="19"/>
  <c r="D34" i="19"/>
  <c r="E35" i="8"/>
  <c r="D34" i="8"/>
  <c r="R34" i="8" s="1"/>
  <c r="G19" i="15"/>
  <c r="P19" i="15"/>
  <c r="Q19" i="15"/>
  <c r="MA53" i="18"/>
  <c r="NQ53" i="18"/>
  <c r="QX53" i="18"/>
  <c r="I100" i="9"/>
  <c r="J103" i="5"/>
  <c r="F103" i="5" s="1"/>
  <c r="L101" i="9"/>
  <c r="L100" i="9"/>
  <c r="M99" i="9"/>
  <c r="M98" i="9"/>
  <c r="UK53" i="18"/>
  <c r="J101" i="9"/>
  <c r="J100" i="9"/>
  <c r="H102" i="9"/>
  <c r="K102" i="9" s="1"/>
  <c r="H103" i="9"/>
  <c r="K103" i="9" s="1"/>
  <c r="QW53" i="18"/>
  <c r="NG53" i="18"/>
  <c r="F105" i="8"/>
  <c r="G105" i="8"/>
  <c r="F104" i="8"/>
  <c r="G104" i="8"/>
  <c r="VY53" i="18"/>
  <c r="J103" i="7"/>
  <c r="I103" i="7"/>
  <c r="I102" i="7"/>
  <c r="J102" i="7"/>
  <c r="D53" i="15"/>
  <c r="E53" i="15"/>
  <c r="D55" i="18"/>
  <c r="F55" i="18" s="1"/>
  <c r="E55" i="18"/>
  <c r="G55" i="18" s="1"/>
  <c r="I102" i="5"/>
  <c r="J102" i="5" s="1"/>
  <c r="I105" i="5"/>
  <c r="MS53" i="18"/>
  <c r="H102" i="1"/>
  <c r="I102" i="1" s="1"/>
  <c r="H103" i="1"/>
  <c r="I103" i="1" s="1"/>
  <c r="U53" i="15"/>
  <c r="Y53" i="18" s="1"/>
  <c r="EL53" i="18"/>
  <c r="QM53" i="18"/>
  <c r="T53" i="15"/>
  <c r="CV53" i="18"/>
  <c r="GT53" i="18"/>
  <c r="OJ53" i="18"/>
  <c r="XK53" i="18"/>
  <c r="TE53" i="18"/>
  <c r="XE53" i="18"/>
  <c r="EM53" i="18"/>
  <c r="XD53" i="18"/>
  <c r="IO53" i="18"/>
  <c r="EK53" i="18"/>
  <c r="NM53" i="18"/>
  <c r="KS53" i="18"/>
  <c r="II53" i="18"/>
  <c r="NL53" i="18"/>
  <c r="QY53" i="18"/>
  <c r="IP53" i="18"/>
  <c r="CC53" i="18"/>
  <c r="ES53" i="18"/>
  <c r="IV53" i="18"/>
  <c r="OD53" i="18"/>
  <c r="TK53" i="18"/>
  <c r="LI53" i="18"/>
  <c r="GI53" i="18"/>
  <c r="VA53" i="18"/>
  <c r="BA53" i="18"/>
  <c r="IE53" i="18"/>
  <c r="TG53" i="18"/>
  <c r="OK53" i="18"/>
  <c r="XI53" i="18"/>
  <c r="GU53" i="18"/>
  <c r="VM53" i="18"/>
  <c r="CU53" i="18"/>
  <c r="CQ53" i="18"/>
  <c r="SA53" i="18"/>
  <c r="LJ53" i="18"/>
  <c r="BE53" i="18"/>
  <c r="GH53" i="18"/>
  <c r="ID53" i="18"/>
  <c r="ER53" i="18"/>
  <c r="QL53" i="18"/>
  <c r="OI53" i="18"/>
  <c r="XJ53" i="18"/>
  <c r="TF53" i="18"/>
  <c r="GG53" i="18"/>
  <c r="GS53" i="18"/>
  <c r="RO53" i="18"/>
  <c r="IC53" i="18"/>
  <c r="NS53" i="18"/>
  <c r="EQ53" i="18"/>
  <c r="VO53" i="18"/>
  <c r="IU53" i="18"/>
  <c r="SY53" i="18"/>
  <c r="KE53" i="18"/>
  <c r="RE53" i="18"/>
  <c r="IQ53" i="18"/>
  <c r="RP53" i="18"/>
  <c r="CW53" i="18"/>
  <c r="LK53" i="18"/>
  <c r="NR53" i="18"/>
  <c r="VN53" i="18"/>
  <c r="GN53" i="18"/>
  <c r="KQ53" i="18"/>
  <c r="SB53" i="18"/>
  <c r="JN53" i="18"/>
  <c r="WW53" i="18"/>
  <c r="LV53" i="18"/>
  <c r="RD53" i="18"/>
  <c r="EE53" i="18"/>
  <c r="BM53" i="18"/>
  <c r="QE53" i="18"/>
  <c r="MI53" i="18"/>
  <c r="GC53" i="18"/>
  <c r="RI53" i="18"/>
  <c r="QS53" i="18"/>
  <c r="RC53" i="18"/>
  <c r="AZ53" i="18"/>
  <c r="WF53" i="18"/>
  <c r="AO53" i="18"/>
  <c r="RW53" i="18"/>
  <c r="RU53" i="18"/>
  <c r="JO53" i="18"/>
  <c r="AY53" i="18"/>
  <c r="TX53" i="18"/>
  <c r="KW53" i="18"/>
  <c r="QF53" i="18"/>
  <c r="VB53" i="18"/>
  <c r="AT53" i="18"/>
  <c r="FI53" i="18"/>
  <c r="BQ53" i="18"/>
  <c r="JA53" i="18"/>
  <c r="WX53" i="18"/>
  <c r="MG53" i="18"/>
  <c r="GA53" i="18"/>
  <c r="CO53" i="18"/>
  <c r="RJ53" i="18"/>
  <c r="TW53" i="18"/>
  <c r="BW53" i="18"/>
  <c r="QQ53" i="18"/>
  <c r="KR53" i="18"/>
  <c r="RV53" i="18"/>
  <c r="JM53" i="18"/>
  <c r="XC53" i="18"/>
  <c r="BS53" i="18"/>
  <c r="CP53" i="18"/>
  <c r="GB53" i="18"/>
  <c r="MH53" i="18"/>
  <c r="QR53" i="18"/>
  <c r="BY53" i="18"/>
  <c r="FK53" i="18"/>
  <c r="QK53" i="18"/>
  <c r="JB53" i="18"/>
  <c r="WQ53" i="18"/>
  <c r="SC53" i="18"/>
  <c r="BR53" i="18"/>
  <c r="WY53" i="18"/>
  <c r="BX53" i="18"/>
  <c r="FJ53" i="18"/>
  <c r="RK53" i="18"/>
  <c r="UI53" i="18"/>
  <c r="FP53" i="18"/>
  <c r="BG53" i="18"/>
  <c r="FC53" i="18"/>
  <c r="JI53" i="18"/>
  <c r="LW53" i="18"/>
  <c r="QG53" i="18"/>
  <c r="GM53" i="18"/>
  <c r="MB53" i="18"/>
  <c r="IW53" i="18"/>
  <c r="BK53" i="18"/>
  <c r="PN53" i="18"/>
  <c r="GO53" i="18"/>
  <c r="BL53" i="18"/>
  <c r="MC53" i="18"/>
  <c r="VC53" i="18"/>
  <c r="UE53" i="18"/>
  <c r="BF53" i="18"/>
  <c r="MT53" i="18"/>
  <c r="HW53" i="18"/>
  <c r="DZ53" i="18"/>
  <c r="SS53" i="18"/>
  <c r="UJ53" i="18"/>
  <c r="PA53" i="18"/>
  <c r="FQ53" i="18"/>
  <c r="MU53" i="18"/>
  <c r="WE53" i="18"/>
  <c r="LP53" i="18"/>
  <c r="EG53" i="18"/>
  <c r="KG53" i="18"/>
  <c r="EX53" i="18"/>
  <c r="AS53" i="18"/>
  <c r="JH53" i="18"/>
  <c r="KM53" i="18"/>
  <c r="UD53" i="18"/>
  <c r="IK53" i="18"/>
  <c r="NF53" i="18"/>
  <c r="OC53" i="18"/>
  <c r="XB54" i="18"/>
  <c r="WD54" i="18"/>
  <c r="VF54" i="18"/>
  <c r="UH54" i="18"/>
  <c r="TJ54" i="18"/>
  <c r="SL54" i="18"/>
  <c r="RN54" i="18"/>
  <c r="QP54" i="18"/>
  <c r="PR54" i="18"/>
  <c r="OT54" i="18"/>
  <c r="NV54" i="18"/>
  <c r="MX54" i="18"/>
  <c r="LZ54" i="18"/>
  <c r="LB54" i="18"/>
  <c r="KD54" i="18"/>
  <c r="JF54" i="18"/>
  <c r="IH54" i="18"/>
  <c r="HJ54" i="18"/>
  <c r="GL54" i="18"/>
  <c r="FN54" i="18"/>
  <c r="EP54" i="18"/>
  <c r="DR54" i="18"/>
  <c r="CT54" i="18"/>
  <c r="BV54" i="18"/>
  <c r="AX54" i="18"/>
  <c r="WP54" i="18"/>
  <c r="UZ54" i="18"/>
  <c r="UN54" i="18"/>
  <c r="SX54" i="18"/>
  <c r="RH54" i="18"/>
  <c r="QV54" i="18"/>
  <c r="PF54" i="18"/>
  <c r="NP54" i="18"/>
  <c r="ND54" i="18"/>
  <c r="LN54" i="18"/>
  <c r="JX54" i="18"/>
  <c r="JL54" i="18"/>
  <c r="HV54" i="18"/>
  <c r="GF54" i="18"/>
  <c r="FT54" i="18"/>
  <c r="ED54" i="18"/>
  <c r="CN54" i="18"/>
  <c r="CB54" i="18"/>
  <c r="AL54" i="18"/>
  <c r="XH54" i="18"/>
  <c r="VR54" i="18"/>
  <c r="UB54" i="18"/>
  <c r="TP54" i="18"/>
  <c r="RZ54" i="18"/>
  <c r="QJ54" i="18"/>
  <c r="PX54" i="18"/>
  <c r="OH54" i="18"/>
  <c r="MR54" i="18"/>
  <c r="MF54" i="18"/>
  <c r="KP54" i="18"/>
  <c r="IZ54" i="18"/>
  <c r="IN54" i="18"/>
  <c r="GX54" i="18"/>
  <c r="FH54" i="18"/>
  <c r="EV54" i="18"/>
  <c r="DF54" i="18"/>
  <c r="BP54" i="18"/>
  <c r="BD54" i="18"/>
  <c r="WJ54" i="18"/>
  <c r="UT54" i="18"/>
  <c r="TD54" i="18"/>
  <c r="OZ54" i="18"/>
  <c r="NJ54" i="18"/>
  <c r="LT54" i="18"/>
  <c r="HP54" i="18"/>
  <c r="FZ54" i="18"/>
  <c r="EJ54" i="18"/>
  <c r="VL54" i="18"/>
  <c r="TV54" i="18"/>
  <c r="SF54" i="18"/>
  <c r="OB54" i="18"/>
  <c r="ML54" i="18"/>
  <c r="KV54" i="18"/>
  <c r="GR54" i="18"/>
  <c r="FB54" i="18"/>
  <c r="DL54" i="18"/>
  <c r="WV54" i="18"/>
  <c r="LH54" i="18"/>
  <c r="JR54" i="18"/>
  <c r="IB54" i="18"/>
  <c r="RT54" i="18"/>
  <c r="QD54" i="18"/>
  <c r="ON54" i="18"/>
  <c r="CZ54" i="18"/>
  <c r="BJ54" i="18"/>
  <c r="SR54" i="18"/>
  <c r="RB54" i="18"/>
  <c r="PL54" i="18"/>
  <c r="DX54" i="18"/>
  <c r="CH54" i="18"/>
  <c r="AR54" i="18"/>
  <c r="KJ54" i="18"/>
  <c r="VX54" i="18"/>
  <c r="IT54" i="18"/>
  <c r="HD54" i="18"/>
  <c r="WN55" i="18"/>
  <c r="VP55" i="18"/>
  <c r="UR55" i="18"/>
  <c r="TT55" i="18"/>
  <c r="SV55" i="18"/>
  <c r="RX55" i="18"/>
  <c r="QZ55" i="18"/>
  <c r="QB55" i="18"/>
  <c r="PD55" i="18"/>
  <c r="OF55" i="18"/>
  <c r="NH55" i="18"/>
  <c r="MJ55" i="18"/>
  <c r="LL55" i="18"/>
  <c r="KN55" i="18"/>
  <c r="JP55" i="18"/>
  <c r="IR55" i="18"/>
  <c r="HT55" i="18"/>
  <c r="GV55" i="18"/>
  <c r="FX55" i="18"/>
  <c r="EZ55" i="18"/>
  <c r="EB55" i="18"/>
  <c r="DD55" i="18"/>
  <c r="CF55" i="18"/>
  <c r="BH55" i="18"/>
  <c r="AJ55" i="18"/>
  <c r="WZ55" i="18"/>
  <c r="VJ55" i="18"/>
  <c r="UX55" i="18"/>
  <c r="TH55" i="18"/>
  <c r="RR55" i="18"/>
  <c r="RF55" i="18"/>
  <c r="PP55" i="18"/>
  <c r="NZ55" i="18"/>
  <c r="NN55" i="18"/>
  <c r="LX55" i="18"/>
  <c r="KH55" i="18"/>
  <c r="JV55" i="18"/>
  <c r="IF55" i="18"/>
  <c r="GP55" i="18"/>
  <c r="GD55" i="18"/>
  <c r="EN55" i="18"/>
  <c r="CX55" i="18"/>
  <c r="CL55" i="18"/>
  <c r="AV55" i="18"/>
  <c r="WB55" i="18"/>
  <c r="UL55" i="18"/>
  <c r="TZ55" i="18"/>
  <c r="SJ55" i="18"/>
  <c r="QT55" i="18"/>
  <c r="QH55" i="18"/>
  <c r="OR55" i="18"/>
  <c r="NB55" i="18"/>
  <c r="MP55" i="18"/>
  <c r="KZ55" i="18"/>
  <c r="JJ55" i="18"/>
  <c r="IX55" i="18"/>
  <c r="HH55" i="18"/>
  <c r="FR55" i="18"/>
  <c r="FF55" i="18"/>
  <c r="DP55" i="18"/>
  <c r="BZ55" i="18"/>
  <c r="BN55" i="18"/>
  <c r="XF55" i="18"/>
  <c r="TB55" i="18"/>
  <c r="RL55" i="18"/>
  <c r="PV55" i="18"/>
  <c r="LR55" i="18"/>
  <c r="KB55" i="18"/>
  <c r="IL55" i="18"/>
  <c r="EH55" i="18"/>
  <c r="CR55" i="18"/>
  <c r="BB55" i="18"/>
  <c r="WH55" i="18"/>
  <c r="SD55" i="18"/>
  <c r="QN55" i="18"/>
  <c r="OX55" i="18"/>
  <c r="KT55" i="18"/>
  <c r="JD55" i="18"/>
  <c r="HN55" i="18"/>
  <c r="DJ55" i="18"/>
  <c r="BT55" i="18"/>
  <c r="WT55" i="18"/>
  <c r="VD55" i="18"/>
  <c r="TN55" i="18"/>
  <c r="HZ55" i="18"/>
  <c r="GJ55" i="18"/>
  <c r="ET55" i="18"/>
  <c r="OL55" i="18"/>
  <c r="MV55" i="18"/>
  <c r="LF55" i="18"/>
  <c r="PJ55" i="18"/>
  <c r="NT55" i="18"/>
  <c r="MD55" i="18"/>
  <c r="AP55" i="18"/>
  <c r="UF55" i="18"/>
  <c r="HB55" i="18"/>
  <c r="SP55" i="18"/>
  <c r="FL55" i="18"/>
  <c r="DV55" i="18"/>
  <c r="VV55" i="18"/>
  <c r="WU54" i="18"/>
  <c r="VW54" i="18"/>
  <c r="UY54" i="18"/>
  <c r="VB54" i="18" s="1"/>
  <c r="UA54" i="18"/>
  <c r="TC54" i="18"/>
  <c r="SE54" i="18"/>
  <c r="RG54" i="18"/>
  <c r="QI54" i="18"/>
  <c r="PK54" i="18"/>
  <c r="OM54" i="18"/>
  <c r="NO54" i="18"/>
  <c r="MQ54" i="18"/>
  <c r="LS54" i="18"/>
  <c r="KU54" i="18"/>
  <c r="JW54" i="18"/>
  <c r="IY54" i="18"/>
  <c r="JC54" i="18" s="1"/>
  <c r="IA54" i="18"/>
  <c r="ID54" i="18" s="1"/>
  <c r="HC54" i="18"/>
  <c r="GE54" i="18"/>
  <c r="GI54" i="18" s="1"/>
  <c r="FG54" i="18"/>
  <c r="EI54" i="18"/>
  <c r="DK54" i="18"/>
  <c r="CM54" i="18"/>
  <c r="BO54" i="18"/>
  <c r="AQ54" i="18"/>
  <c r="XA54" i="18"/>
  <c r="VK54" i="18"/>
  <c r="TU54" i="18"/>
  <c r="TI54" i="18"/>
  <c r="TK54" i="18" s="1"/>
  <c r="RS54" i="18"/>
  <c r="QC54" i="18"/>
  <c r="PQ54" i="18"/>
  <c r="OA54" i="18"/>
  <c r="MK54" i="18"/>
  <c r="LY54" i="18"/>
  <c r="KI54" i="18"/>
  <c r="IS54" i="18"/>
  <c r="IG54" i="18"/>
  <c r="GQ54" i="18"/>
  <c r="GT54" i="18" s="1"/>
  <c r="FA54" i="18"/>
  <c r="EO54" i="18"/>
  <c r="ES54" i="18" s="1"/>
  <c r="CY54" i="18"/>
  <c r="BI54" i="18"/>
  <c r="AW54" i="18"/>
  <c r="WO54" i="18"/>
  <c r="WC54" i="18"/>
  <c r="UM54" i="18"/>
  <c r="SW54" i="18"/>
  <c r="SK54" i="18"/>
  <c r="QU54" i="18"/>
  <c r="PE54" i="18"/>
  <c r="OS54" i="18"/>
  <c r="NC54" i="18"/>
  <c r="LM54" i="18"/>
  <c r="LA54" i="18"/>
  <c r="JK54" i="18"/>
  <c r="HU54" i="18"/>
  <c r="HI54" i="18"/>
  <c r="HM54" i="18" s="1"/>
  <c r="FS54" i="18"/>
  <c r="EC54" i="18"/>
  <c r="DQ54" i="18"/>
  <c r="CA54" i="18"/>
  <c r="AK54" i="18"/>
  <c r="XG54" i="18"/>
  <c r="VQ54" i="18"/>
  <c r="RM54" i="18"/>
  <c r="PW54" i="18"/>
  <c r="QA54" i="18" s="1"/>
  <c r="OG54" i="18"/>
  <c r="OJ54" i="18" s="1"/>
  <c r="KC54" i="18"/>
  <c r="IM54" i="18"/>
  <c r="GW54" i="18"/>
  <c r="CS54" i="18"/>
  <c r="BC54" i="18"/>
  <c r="WI54" i="18"/>
  <c r="US54" i="18"/>
  <c r="QO54" i="18"/>
  <c r="OY54" i="18"/>
  <c r="NI54" i="18"/>
  <c r="JE54" i="18"/>
  <c r="HO54" i="18"/>
  <c r="FY54" i="18"/>
  <c r="BU54" i="18"/>
  <c r="VE54" i="18"/>
  <c r="VG54" i="18" s="1"/>
  <c r="TO54" i="18"/>
  <c r="RY54" i="18"/>
  <c r="GK54" i="18"/>
  <c r="EU54" i="18"/>
  <c r="DE54" i="18"/>
  <c r="MW54" i="18"/>
  <c r="LG54" i="18"/>
  <c r="JQ54" i="18"/>
  <c r="NU54" i="18"/>
  <c r="ME54" i="18"/>
  <c r="KO54" i="18"/>
  <c r="RA54" i="18"/>
  <c r="DW54" i="18"/>
  <c r="CG54" i="18"/>
  <c r="UG54" i="18"/>
  <c r="SQ54" i="18"/>
  <c r="FM54" i="18"/>
  <c r="FP54" i="18" s="1"/>
  <c r="WS53" i="18"/>
  <c r="SZ53" i="18"/>
  <c r="HY53" i="18"/>
  <c r="EF53" i="18"/>
  <c r="PO53" i="18"/>
  <c r="KF53" i="18"/>
  <c r="SU53" i="18"/>
  <c r="JG53" i="18"/>
  <c r="TM53" i="18"/>
  <c r="UC53" i="18"/>
  <c r="CE53" i="18"/>
  <c r="IJ53" i="18"/>
  <c r="NE53" i="18"/>
  <c r="PC53" i="18"/>
  <c r="WG53" i="18"/>
  <c r="WR53" i="18"/>
  <c r="LQ53" i="18"/>
  <c r="HX53" i="18"/>
  <c r="PM53" i="18"/>
  <c r="AU53" i="18"/>
  <c r="ST53" i="18"/>
  <c r="TL53" i="18"/>
  <c r="CD53" i="18"/>
  <c r="OE53" i="18"/>
  <c r="B105" i="9"/>
  <c r="B105" i="1"/>
  <c r="B105" i="7"/>
  <c r="AD102" i="5"/>
  <c r="AE102" i="5" s="1"/>
  <c r="AI102" i="5" s="1"/>
  <c r="AJ100" i="5"/>
  <c r="AL98" i="5"/>
  <c r="B104" i="5"/>
  <c r="R102" i="5"/>
  <c r="AG102" i="5" s="1"/>
  <c r="K102" i="5"/>
  <c r="F100" i="5"/>
  <c r="B107" i="5"/>
  <c r="R105" i="5"/>
  <c r="AG105" i="5" s="1"/>
  <c r="AE105" i="5"/>
  <c r="K105" i="5"/>
  <c r="B119" i="14"/>
  <c r="S116" i="14"/>
  <c r="U116" i="14"/>
  <c r="T116" i="14"/>
  <c r="Q115" i="14"/>
  <c r="R115" i="14"/>
  <c r="B106" i="8"/>
  <c r="B104" i="9"/>
  <c r="B107" i="8"/>
  <c r="O100" i="1"/>
  <c r="O101" i="1"/>
  <c r="BP101" i="1"/>
  <c r="X101" i="7" s="1"/>
  <c r="BQ101" i="1"/>
  <c r="B54" i="15"/>
  <c r="B104" i="7"/>
  <c r="B104" i="1"/>
  <c r="N102" i="1"/>
  <c r="B56" i="18"/>
  <c r="N55" i="18"/>
  <c r="O55" i="18"/>
  <c r="TR53" i="18" l="1"/>
  <c r="MM53" i="18"/>
  <c r="PY53" i="18"/>
  <c r="QA53" i="18"/>
  <c r="FU53" i="18"/>
  <c r="JS53" i="18"/>
  <c r="UO53" i="18"/>
  <c r="UQ53" i="18"/>
  <c r="LE53" i="18"/>
  <c r="VT53" i="18"/>
  <c r="UW53" i="18"/>
  <c r="VS53" i="18"/>
  <c r="FD53" i="18"/>
  <c r="SI53" i="18"/>
  <c r="SG53" i="18"/>
  <c r="TQ53" i="18"/>
  <c r="MO53" i="18"/>
  <c r="NW53" i="18"/>
  <c r="PH53" i="18"/>
  <c r="PS53" i="18"/>
  <c r="PU53" i="18"/>
  <c r="HG53" i="18"/>
  <c r="HF53" i="18"/>
  <c r="HA53" i="18"/>
  <c r="DO53" i="18"/>
  <c r="VH53" i="18"/>
  <c r="KK53" i="18"/>
  <c r="DG53" i="18"/>
  <c r="R95" i="8"/>
  <c r="AM53" i="18"/>
  <c r="LC53" i="18"/>
  <c r="KY53" i="18"/>
  <c r="WA53" i="18"/>
  <c r="CJ53" i="18"/>
  <c r="DB53" i="18"/>
  <c r="OO53" i="18"/>
  <c r="CI53" i="18"/>
  <c r="JT53" i="18"/>
  <c r="DA53" i="18"/>
  <c r="WM53" i="18"/>
  <c r="UV53" i="18"/>
  <c r="DT53" i="18"/>
  <c r="VG53" i="18"/>
  <c r="JZ53" i="18"/>
  <c r="SO53" i="18"/>
  <c r="GZ53" i="18"/>
  <c r="SM53" i="18"/>
  <c r="DH53" i="18"/>
  <c r="HQ53" i="18"/>
  <c r="OQ53" i="18"/>
  <c r="JY53" i="18"/>
  <c r="OU53" i="18"/>
  <c r="DU53" i="18"/>
  <c r="OV53" i="18"/>
  <c r="FW53" i="18"/>
  <c r="HR53" i="18"/>
  <c r="DN53" i="18"/>
  <c r="EW53" i="18"/>
  <c r="DS53" i="18"/>
  <c r="WL53" i="18"/>
  <c r="Q103" i="5"/>
  <c r="U103" i="5" s="1"/>
  <c r="PG53" i="18"/>
  <c r="HL53" i="18"/>
  <c r="HM53" i="18"/>
  <c r="NA53" i="18"/>
  <c r="MY53" i="18"/>
  <c r="NX53" i="18"/>
  <c r="EA53" i="18"/>
  <c r="HE53" i="18"/>
  <c r="T49" i="18"/>
  <c r="PO54" i="18"/>
  <c r="Q52" i="18"/>
  <c r="P52" i="18"/>
  <c r="R52" i="18"/>
  <c r="Q51" i="18"/>
  <c r="P51" i="18"/>
  <c r="S50" i="18" s="1"/>
  <c r="U50" i="18" s="1"/>
  <c r="R51" i="18"/>
  <c r="I103" i="9"/>
  <c r="B111" i="19"/>
  <c r="G111" i="19" s="1"/>
  <c r="F109" i="19"/>
  <c r="N36" i="7"/>
  <c r="N37" i="7"/>
  <c r="K37" i="7"/>
  <c r="K36" i="7"/>
  <c r="L37" i="7"/>
  <c r="L36" i="7"/>
  <c r="D36" i="19"/>
  <c r="E37" i="19"/>
  <c r="E37" i="8"/>
  <c r="G20" i="15"/>
  <c r="D36" i="8"/>
  <c r="R36" i="8" s="1"/>
  <c r="P20" i="15"/>
  <c r="Q20" i="15"/>
  <c r="Q100" i="5"/>
  <c r="U100" i="5" s="1"/>
  <c r="LV54" i="18"/>
  <c r="WF54" i="18"/>
  <c r="ST54" i="18"/>
  <c r="I102" i="9"/>
  <c r="J105" i="5"/>
  <c r="F105" i="5" s="1"/>
  <c r="JA54" i="18"/>
  <c r="L103" i="9"/>
  <c r="L102" i="9"/>
  <c r="M100" i="9"/>
  <c r="M101" i="9"/>
  <c r="J103" i="9"/>
  <c r="J102" i="9"/>
  <c r="H105" i="9"/>
  <c r="K105" i="9" s="1"/>
  <c r="H104" i="9"/>
  <c r="K104" i="9" s="1"/>
  <c r="KY54" i="18"/>
  <c r="F106" i="8"/>
  <c r="G106" i="8"/>
  <c r="G107" i="8"/>
  <c r="F107" i="8"/>
  <c r="QS54" i="18"/>
  <c r="J105" i="7"/>
  <c r="I105" i="7"/>
  <c r="J104" i="7"/>
  <c r="I104" i="7"/>
  <c r="E54" i="15"/>
  <c r="D54" i="15"/>
  <c r="D56" i="18"/>
  <c r="F56" i="18" s="1"/>
  <c r="E56" i="18"/>
  <c r="G56" i="18" s="1"/>
  <c r="I107" i="5"/>
  <c r="I104" i="5"/>
  <c r="J104" i="5" s="1"/>
  <c r="H104" i="1"/>
  <c r="I104" i="1" s="1"/>
  <c r="H105" i="1"/>
  <c r="I105" i="1" s="1"/>
  <c r="SB54" i="18"/>
  <c r="QG54" i="18"/>
  <c r="U54" i="15"/>
  <c r="Y54" i="18" s="1"/>
  <c r="TR54" i="18"/>
  <c r="FE54" i="18"/>
  <c r="T54" i="15"/>
  <c r="VZ54" i="18"/>
  <c r="RV54" i="18"/>
  <c r="GG54" i="18"/>
  <c r="RC54" i="18"/>
  <c r="JT54" i="18"/>
  <c r="BL54" i="18"/>
  <c r="JZ54" i="18"/>
  <c r="HG54" i="18"/>
  <c r="VY54" i="18"/>
  <c r="WE54" i="18"/>
  <c r="HA54" i="18"/>
  <c r="LD54" i="18"/>
  <c r="BK54" i="18"/>
  <c r="CP54" i="18"/>
  <c r="RK54" i="18"/>
  <c r="MH54" i="18"/>
  <c r="LC54" i="18"/>
  <c r="SH54" i="18"/>
  <c r="SI54" i="18"/>
  <c r="MG54" i="18"/>
  <c r="VT54" i="18"/>
  <c r="DT54" i="18"/>
  <c r="HY54" i="18"/>
  <c r="NE54" i="18"/>
  <c r="SO54" i="18"/>
  <c r="WS54" i="18"/>
  <c r="VC54" i="18"/>
  <c r="WA54" i="18"/>
  <c r="OV54" i="18"/>
  <c r="SG54" i="18"/>
  <c r="HQ54" i="18"/>
  <c r="VA54" i="18"/>
  <c r="GH54" i="18"/>
  <c r="KQ54" i="18"/>
  <c r="LI54" i="18"/>
  <c r="GM54" i="18"/>
  <c r="RP54" i="18"/>
  <c r="CD54" i="18"/>
  <c r="LP54" i="18"/>
  <c r="QY54" i="18"/>
  <c r="CJ54" i="18"/>
  <c r="GB54" i="18"/>
  <c r="PC54" i="18"/>
  <c r="BG54" i="18"/>
  <c r="KF54" i="18"/>
  <c r="GZ54" i="18"/>
  <c r="QE54" i="18"/>
  <c r="DZ54" i="18"/>
  <c r="NW54" i="18"/>
  <c r="HR54" i="18"/>
  <c r="CW54" i="18"/>
  <c r="TY54" i="18"/>
  <c r="BQ54" i="18"/>
  <c r="QK54" i="18"/>
  <c r="GY54" i="18"/>
  <c r="PZ54" i="18"/>
  <c r="QF54" i="18"/>
  <c r="TF54" i="18"/>
  <c r="IW54" i="18"/>
  <c r="EL54" i="18"/>
  <c r="LE54" i="18"/>
  <c r="VH54" i="18"/>
  <c r="AZ54" i="18"/>
  <c r="KM54" i="18"/>
  <c r="FI54" i="18"/>
  <c r="UE54" i="18"/>
  <c r="PY54" i="18"/>
  <c r="DM54" i="18"/>
  <c r="VI54" i="18"/>
  <c r="BM54" i="18"/>
  <c r="HE54" i="18"/>
  <c r="RE54" i="18"/>
  <c r="JS54" i="18"/>
  <c r="WM54" i="18"/>
  <c r="EX54" i="18"/>
  <c r="JY54" i="18"/>
  <c r="OK54" i="18"/>
  <c r="JB54" i="18"/>
  <c r="RD54" i="18"/>
  <c r="UC54" i="18"/>
  <c r="EY54" i="18"/>
  <c r="JG54" i="18"/>
  <c r="AN54" i="18"/>
  <c r="FV54" i="18"/>
  <c r="PH54" i="18"/>
  <c r="UP54" i="18"/>
  <c r="OI54" i="18"/>
  <c r="QM54" i="18"/>
  <c r="JU54" i="18"/>
  <c r="KA54" i="18"/>
  <c r="UD54" i="18"/>
  <c r="EW54" i="18"/>
  <c r="TW54" i="18"/>
  <c r="UJ54" i="18"/>
  <c r="BW54" i="18"/>
  <c r="NK54" i="18"/>
  <c r="WL54" i="18"/>
  <c r="HF54" i="18"/>
  <c r="OQ54" i="18"/>
  <c r="HS54" i="18"/>
  <c r="QL54" i="18"/>
  <c r="TX54" i="18"/>
  <c r="MZ54" i="18"/>
  <c r="OD54" i="18"/>
  <c r="AT54" i="18"/>
  <c r="EK54" i="18"/>
  <c r="GN54" i="18"/>
  <c r="KW54" i="18"/>
  <c r="KR54" i="18"/>
  <c r="NM54" i="18"/>
  <c r="FC54" i="18"/>
  <c r="WK54" i="18"/>
  <c r="RQ54" i="18"/>
  <c r="WX54" i="18"/>
  <c r="KS54" i="18"/>
  <c r="RO54" i="18"/>
  <c r="GO54" i="18"/>
  <c r="BX54" i="18"/>
  <c r="HL54" i="18"/>
  <c r="NY54" i="18"/>
  <c r="LK54" i="18"/>
  <c r="CC54" i="18"/>
  <c r="WG54" i="18"/>
  <c r="FW54" i="18"/>
  <c r="FU54" i="18"/>
  <c r="NL54" i="18"/>
  <c r="OU54" i="18"/>
  <c r="KX54" i="18"/>
  <c r="QQ54" i="18"/>
  <c r="BY54" i="18"/>
  <c r="RW54" i="18"/>
  <c r="WY54" i="18"/>
  <c r="MO54" i="18"/>
  <c r="RU54" i="18"/>
  <c r="DI54" i="18"/>
  <c r="IP54" i="18"/>
  <c r="NR54" i="18"/>
  <c r="XE54" i="18"/>
  <c r="SC54" i="18"/>
  <c r="DU54" i="18"/>
  <c r="DH54" i="18"/>
  <c r="XJ54" i="18"/>
  <c r="EE54" i="18"/>
  <c r="JM54" i="18"/>
  <c r="SY54" i="18"/>
  <c r="BA54" i="18"/>
  <c r="KL54" i="18"/>
  <c r="PS54" i="18"/>
  <c r="MS54" i="18"/>
  <c r="TL54" i="18"/>
  <c r="EQ54" i="18"/>
  <c r="MA54" i="18"/>
  <c r="VN54" i="18"/>
  <c r="DB54" i="18"/>
  <c r="II54" i="18"/>
  <c r="MN54" i="18"/>
  <c r="XD54" i="18"/>
  <c r="UI54" i="18"/>
  <c r="LJ54" i="18"/>
  <c r="CE54" i="18"/>
  <c r="IU54" i="18"/>
  <c r="LW54" i="18"/>
  <c r="CK54" i="18"/>
  <c r="SM54" i="18"/>
  <c r="CV54" i="18"/>
  <c r="NF54" i="18"/>
  <c r="DC54" i="18"/>
  <c r="NX54" i="18"/>
  <c r="QR54" i="18"/>
  <c r="OW54" i="18"/>
  <c r="HK54" i="18"/>
  <c r="FD54" i="18"/>
  <c r="UK54" i="18"/>
  <c r="FQ54" i="18"/>
  <c r="JN54" i="18"/>
  <c r="CU54" i="18"/>
  <c r="OO54" i="18"/>
  <c r="QW54" i="18"/>
  <c r="PA54" i="18"/>
  <c r="TS54" i="18"/>
  <c r="JH54" i="18"/>
  <c r="FJ54" i="18"/>
  <c r="LQ54" i="18"/>
  <c r="RI54" i="18"/>
  <c r="BR54" i="18"/>
  <c r="KK54" i="18"/>
  <c r="DA54" i="18"/>
  <c r="DO54" i="18"/>
  <c r="MM54" i="18"/>
  <c r="VO54" i="18"/>
  <c r="UV54" i="18"/>
  <c r="DG54" i="18"/>
  <c r="IO54" i="18"/>
  <c r="MT54" i="18"/>
  <c r="XK54" i="18"/>
  <c r="EF54" i="18"/>
  <c r="NQ54" i="18"/>
  <c r="SZ54" i="18"/>
  <c r="AY54" i="18"/>
  <c r="IJ54" i="18"/>
  <c r="MB54" i="18"/>
  <c r="PT54" i="18"/>
  <c r="XC54" i="18"/>
  <c r="SU54" i="18"/>
  <c r="CQ54" i="18"/>
  <c r="UQ54" i="18"/>
  <c r="WQ54" i="18"/>
  <c r="HW54" i="18"/>
  <c r="KG54" i="18"/>
  <c r="BE54" i="18"/>
  <c r="PM54" i="18"/>
  <c r="XF56" i="18"/>
  <c r="WN56" i="18"/>
  <c r="VP56" i="18"/>
  <c r="UR56" i="18"/>
  <c r="TT56" i="18"/>
  <c r="SV56" i="18"/>
  <c r="RX56" i="18"/>
  <c r="QZ56" i="18"/>
  <c r="QB56" i="18"/>
  <c r="PD56" i="18"/>
  <c r="OF56" i="18"/>
  <c r="NH56" i="18"/>
  <c r="MJ56" i="18"/>
  <c r="LL56" i="18"/>
  <c r="KN56" i="18"/>
  <c r="JP56" i="18"/>
  <c r="IR56" i="18"/>
  <c r="HT56" i="18"/>
  <c r="GV56" i="18"/>
  <c r="FX56" i="18"/>
  <c r="EZ56" i="18"/>
  <c r="EB56" i="18"/>
  <c r="DD56" i="18"/>
  <c r="CF56" i="18"/>
  <c r="BH56" i="18"/>
  <c r="AJ56" i="18"/>
  <c r="WB56" i="18"/>
  <c r="UL56" i="18"/>
  <c r="TZ56" i="18"/>
  <c r="SJ56" i="18"/>
  <c r="QT56" i="18"/>
  <c r="QH56" i="18"/>
  <c r="OR56" i="18"/>
  <c r="NB56" i="18"/>
  <c r="MP56" i="18"/>
  <c r="KZ56" i="18"/>
  <c r="JJ56" i="18"/>
  <c r="IX56" i="18"/>
  <c r="HH56" i="18"/>
  <c r="FR56" i="18"/>
  <c r="FF56" i="18"/>
  <c r="DP56" i="18"/>
  <c r="BZ56" i="18"/>
  <c r="BN56" i="18"/>
  <c r="WT56" i="18"/>
  <c r="VD56" i="18"/>
  <c r="TN56" i="18"/>
  <c r="TB56" i="18"/>
  <c r="RL56" i="18"/>
  <c r="PV56" i="18"/>
  <c r="PJ56" i="18"/>
  <c r="NT56" i="18"/>
  <c r="MD56" i="18"/>
  <c r="LR56" i="18"/>
  <c r="KB56" i="18"/>
  <c r="IL56" i="18"/>
  <c r="HZ56" i="18"/>
  <c r="GJ56" i="18"/>
  <c r="ET56" i="18"/>
  <c r="EH56" i="18"/>
  <c r="CR56" i="18"/>
  <c r="BB56" i="18"/>
  <c r="AP56" i="18"/>
  <c r="WH56" i="18"/>
  <c r="SD56" i="18"/>
  <c r="QN56" i="18"/>
  <c r="OX56" i="18"/>
  <c r="KT56" i="18"/>
  <c r="JD56" i="18"/>
  <c r="HN56" i="18"/>
  <c r="DJ56" i="18"/>
  <c r="BT56" i="18"/>
  <c r="WZ56" i="18"/>
  <c r="VJ56" i="18"/>
  <c r="RF56" i="18"/>
  <c r="PP56" i="18"/>
  <c r="NZ56" i="18"/>
  <c r="JV56" i="18"/>
  <c r="IF56" i="18"/>
  <c r="GP56" i="18"/>
  <c r="CL56" i="18"/>
  <c r="AV56" i="18"/>
  <c r="OL56" i="18"/>
  <c r="MV56" i="18"/>
  <c r="LF56" i="18"/>
  <c r="UX56" i="18"/>
  <c r="TH56" i="18"/>
  <c r="RR56" i="18"/>
  <c r="GD56" i="18"/>
  <c r="EN56" i="18"/>
  <c r="CX56" i="18"/>
  <c r="VV56" i="18"/>
  <c r="UF56" i="18"/>
  <c r="SP56" i="18"/>
  <c r="HB56" i="18"/>
  <c r="FL56" i="18"/>
  <c r="DV56" i="18"/>
  <c r="KH56" i="18"/>
  <c r="NN56" i="18"/>
  <c r="LX56" i="18"/>
  <c r="XB55" i="18"/>
  <c r="WD55" i="18"/>
  <c r="VF55" i="18"/>
  <c r="UH55" i="18"/>
  <c r="TJ55" i="18"/>
  <c r="SL55" i="18"/>
  <c r="RN55" i="18"/>
  <c r="QP55" i="18"/>
  <c r="PR55" i="18"/>
  <c r="OT55" i="18"/>
  <c r="NV55" i="18"/>
  <c r="MX55" i="18"/>
  <c r="LZ55" i="18"/>
  <c r="LB55" i="18"/>
  <c r="KD55" i="18"/>
  <c r="JF55" i="18"/>
  <c r="IH55" i="18"/>
  <c r="HJ55" i="18"/>
  <c r="GL55" i="18"/>
  <c r="FN55" i="18"/>
  <c r="EP55" i="18"/>
  <c r="DR55" i="18"/>
  <c r="CT55" i="18"/>
  <c r="BV55" i="18"/>
  <c r="AX55" i="18"/>
  <c r="XH55" i="18"/>
  <c r="VR55" i="18"/>
  <c r="UB55" i="18"/>
  <c r="TP55" i="18"/>
  <c r="RZ55" i="18"/>
  <c r="QJ55" i="18"/>
  <c r="PX55" i="18"/>
  <c r="OH55" i="18"/>
  <c r="MR55" i="18"/>
  <c r="MF55" i="18"/>
  <c r="KP55" i="18"/>
  <c r="IZ55" i="18"/>
  <c r="IN55" i="18"/>
  <c r="GX55" i="18"/>
  <c r="FH55" i="18"/>
  <c r="EV55" i="18"/>
  <c r="DF55" i="18"/>
  <c r="BP55" i="18"/>
  <c r="BD55" i="18"/>
  <c r="WV55" i="18"/>
  <c r="WJ55" i="18"/>
  <c r="UT55" i="18"/>
  <c r="TD55" i="18"/>
  <c r="SR55" i="18"/>
  <c r="RB55" i="18"/>
  <c r="PL55" i="18"/>
  <c r="OZ55" i="18"/>
  <c r="NJ55" i="18"/>
  <c r="LT55" i="18"/>
  <c r="LH55" i="18"/>
  <c r="JR55" i="18"/>
  <c r="IB55" i="18"/>
  <c r="HP55" i="18"/>
  <c r="FZ55" i="18"/>
  <c r="EJ55" i="18"/>
  <c r="DX55" i="18"/>
  <c r="CH55" i="18"/>
  <c r="AR55" i="18"/>
  <c r="VL55" i="18"/>
  <c r="TV55" i="18"/>
  <c r="SF55" i="18"/>
  <c r="OB55" i="18"/>
  <c r="ML55" i="18"/>
  <c r="KV55" i="18"/>
  <c r="GR55" i="18"/>
  <c r="FB55" i="18"/>
  <c r="DL55" i="18"/>
  <c r="UN55" i="18"/>
  <c r="SX55" i="18"/>
  <c r="RH55" i="18"/>
  <c r="ND55" i="18"/>
  <c r="LN55" i="18"/>
  <c r="JX55" i="18"/>
  <c r="FT55" i="18"/>
  <c r="ED55" i="18"/>
  <c r="CN55" i="18"/>
  <c r="RT55" i="18"/>
  <c r="QD55" i="18"/>
  <c r="ON55" i="18"/>
  <c r="CZ55" i="18"/>
  <c r="BJ55" i="18"/>
  <c r="WP55" i="18"/>
  <c r="UZ55" i="18"/>
  <c r="JL55" i="18"/>
  <c r="HV55" i="18"/>
  <c r="GF55" i="18"/>
  <c r="VX55" i="18"/>
  <c r="KJ55" i="18"/>
  <c r="IT55" i="18"/>
  <c r="HD55" i="18"/>
  <c r="NP55" i="18"/>
  <c r="AL55" i="18"/>
  <c r="QV55" i="18"/>
  <c r="PF55" i="18"/>
  <c r="CB55" i="18"/>
  <c r="VU54" i="18"/>
  <c r="SA54" i="18"/>
  <c r="NA54" i="18"/>
  <c r="DN54" i="18"/>
  <c r="PU54" i="18"/>
  <c r="MU54" i="18"/>
  <c r="DS54" i="18"/>
  <c r="WW54" i="18"/>
  <c r="UW54" i="18"/>
  <c r="GC54" i="18"/>
  <c r="CI54" i="18"/>
  <c r="OE54" i="18"/>
  <c r="ER54" i="18"/>
  <c r="AU54" i="18"/>
  <c r="IV54" i="18"/>
  <c r="PB54" i="18"/>
  <c r="IK54" i="18"/>
  <c r="SN54" i="18"/>
  <c r="LU54" i="18"/>
  <c r="WR54" i="18"/>
  <c r="PI54" i="18"/>
  <c r="LO54" i="18"/>
  <c r="HX54" i="18"/>
  <c r="AO54" i="18"/>
  <c r="SS54" i="18"/>
  <c r="OP54" i="18"/>
  <c r="EA54" i="18"/>
  <c r="VM54" i="18"/>
  <c r="RJ54" i="18"/>
  <c r="GU54" i="18"/>
  <c r="CO54" i="18"/>
  <c r="QX54" i="18"/>
  <c r="TG54" i="18"/>
  <c r="KE54" i="18"/>
  <c r="BF54" i="18"/>
  <c r="IE54" i="18"/>
  <c r="UO54" i="18"/>
  <c r="PN54" i="18"/>
  <c r="WU55" i="18"/>
  <c r="VW55" i="18"/>
  <c r="UY55" i="18"/>
  <c r="UA55" i="18"/>
  <c r="TC55" i="18"/>
  <c r="SE55" i="18"/>
  <c r="RG55" i="18"/>
  <c r="QI55" i="18"/>
  <c r="PK55" i="18"/>
  <c r="OM55" i="18"/>
  <c r="NO55" i="18"/>
  <c r="MQ55" i="18"/>
  <c r="LS55" i="18"/>
  <c r="KU55" i="18"/>
  <c r="JW55" i="18"/>
  <c r="IY55" i="18"/>
  <c r="IA55" i="18"/>
  <c r="HC55" i="18"/>
  <c r="GE55" i="18"/>
  <c r="FG55" i="18"/>
  <c r="EI55" i="18"/>
  <c r="DK55" i="18"/>
  <c r="DO55" i="18" s="1"/>
  <c r="CM55" i="18"/>
  <c r="CP55" i="18" s="1"/>
  <c r="BO55" i="18"/>
  <c r="AQ55" i="18"/>
  <c r="AT55" i="18" s="1"/>
  <c r="WO55" i="18"/>
  <c r="WC55" i="18"/>
  <c r="UM55" i="18"/>
  <c r="SW55" i="18"/>
  <c r="SK55" i="18"/>
  <c r="QU55" i="18"/>
  <c r="PE55" i="18"/>
  <c r="OS55" i="18"/>
  <c r="NC55" i="18"/>
  <c r="LM55" i="18"/>
  <c r="LA55" i="18"/>
  <c r="JK55" i="18"/>
  <c r="HU55" i="18"/>
  <c r="HI55" i="18"/>
  <c r="FS55" i="18"/>
  <c r="EC55" i="18"/>
  <c r="DQ55" i="18"/>
  <c r="CA55" i="18"/>
  <c r="AK55" i="18"/>
  <c r="XG55" i="18"/>
  <c r="VQ55" i="18"/>
  <c r="VE55" i="18"/>
  <c r="TO55" i="18"/>
  <c r="RY55" i="18"/>
  <c r="RM55" i="18"/>
  <c r="PW55" i="18"/>
  <c r="OG55" i="18"/>
  <c r="NU55" i="18"/>
  <c r="ME55" i="18"/>
  <c r="KO55" i="18"/>
  <c r="KC55" i="18"/>
  <c r="IM55" i="18"/>
  <c r="GW55" i="18"/>
  <c r="GK55" i="18"/>
  <c r="EU55" i="18"/>
  <c r="DE55" i="18"/>
  <c r="CS55" i="18"/>
  <c r="BC55" i="18"/>
  <c r="WI55" i="18"/>
  <c r="WM55" i="18" s="1"/>
  <c r="US55" i="18"/>
  <c r="QO55" i="18"/>
  <c r="QR55" i="18" s="1"/>
  <c r="OY55" i="18"/>
  <c r="NI55" i="18"/>
  <c r="JE55" i="18"/>
  <c r="HO55" i="18"/>
  <c r="FY55" i="18"/>
  <c r="BU55" i="18"/>
  <c r="XA55" i="18"/>
  <c r="VK55" i="18"/>
  <c r="VN55" i="18" s="1"/>
  <c r="TU55" i="18"/>
  <c r="PQ55" i="18"/>
  <c r="OA55" i="18"/>
  <c r="MK55" i="18"/>
  <c r="IG55" i="18"/>
  <c r="II55" i="18" s="1"/>
  <c r="GQ55" i="18"/>
  <c r="FA55" i="18"/>
  <c r="FC55" i="18" s="1"/>
  <c r="AW55" i="18"/>
  <c r="MW55" i="18"/>
  <c r="LG55" i="18"/>
  <c r="JQ55" i="18"/>
  <c r="TI55" i="18"/>
  <c r="RS55" i="18"/>
  <c r="QC55" i="18"/>
  <c r="EO55" i="18"/>
  <c r="CY55" i="18"/>
  <c r="BI55" i="18"/>
  <c r="UG55" i="18"/>
  <c r="SQ55" i="18"/>
  <c r="RA55" i="18"/>
  <c r="FM55" i="18"/>
  <c r="DW55" i="18"/>
  <c r="CG55" i="18"/>
  <c r="LY55" i="18"/>
  <c r="KI55" i="18"/>
  <c r="IS55" i="18"/>
  <c r="VS54" i="18"/>
  <c r="MY54" i="18"/>
  <c r="IQ54" i="18"/>
  <c r="UU54" i="18"/>
  <c r="GA54" i="18"/>
  <c r="TM54" i="18"/>
  <c r="OC54" i="18"/>
  <c r="EM54" i="18"/>
  <c r="AS54" i="18"/>
  <c r="FO54" i="18"/>
  <c r="NS54" i="18"/>
  <c r="JO54" i="18"/>
  <c r="XI54" i="18"/>
  <c r="NG54" i="18"/>
  <c r="TQ54" i="18"/>
  <c r="MI54" i="18"/>
  <c r="TA54" i="18"/>
  <c r="PG54" i="18"/>
  <c r="EG54" i="18"/>
  <c r="AM54" i="18"/>
  <c r="JI54" i="18"/>
  <c r="DY54" i="18"/>
  <c r="MC54" i="18"/>
  <c r="GS54" i="18"/>
  <c r="FK54" i="18"/>
  <c r="TE54" i="18"/>
  <c r="BS54" i="18"/>
  <c r="IC54" i="18"/>
  <c r="B107" i="1"/>
  <c r="B107" i="7"/>
  <c r="B107" i="9"/>
  <c r="AD104" i="5"/>
  <c r="AE104" i="5" s="1"/>
  <c r="AI104" i="5" s="1"/>
  <c r="AJ102" i="5"/>
  <c r="AL102" i="5" s="1"/>
  <c r="AL100" i="5"/>
  <c r="B109" i="5"/>
  <c r="R107" i="5"/>
  <c r="AG107" i="5" s="1"/>
  <c r="K107" i="5"/>
  <c r="AE107" i="5"/>
  <c r="B106" i="5"/>
  <c r="R104" i="5"/>
  <c r="AG104" i="5" s="1"/>
  <c r="K104" i="5"/>
  <c r="F102" i="5"/>
  <c r="R116" i="14"/>
  <c r="R97" i="8" s="1"/>
  <c r="T117" i="14"/>
  <c r="U117" i="14"/>
  <c r="S117" i="14"/>
  <c r="Q116" i="14"/>
  <c r="B120" i="14"/>
  <c r="B55" i="15"/>
  <c r="BP103" i="1"/>
  <c r="X103" i="7" s="1"/>
  <c r="O103" i="1"/>
  <c r="O102" i="1"/>
  <c r="BQ103" i="1"/>
  <c r="B108" i="8"/>
  <c r="B106" i="7"/>
  <c r="B109" i="8"/>
  <c r="B106" i="1"/>
  <c r="N104" i="1"/>
  <c r="B106" i="9"/>
  <c r="B57" i="18"/>
  <c r="O56" i="18"/>
  <c r="N56" i="18"/>
  <c r="Q105" i="5" l="1"/>
  <c r="U105" i="5" s="1"/>
  <c r="R53" i="18"/>
  <c r="P53" i="18"/>
  <c r="S52" i="18" s="1"/>
  <c r="Q53" i="18"/>
  <c r="T51" i="18"/>
  <c r="Q102" i="5"/>
  <c r="U102" i="5" s="1"/>
  <c r="T50" i="18"/>
  <c r="S51" i="18"/>
  <c r="U51" i="18" s="1"/>
  <c r="LC55" i="18"/>
  <c r="OC55" i="18"/>
  <c r="OO55" i="18"/>
  <c r="IW55" i="18"/>
  <c r="I105" i="9"/>
  <c r="B113" i="19"/>
  <c r="G113" i="19" s="1"/>
  <c r="F111" i="19"/>
  <c r="N38" i="7"/>
  <c r="L39" i="7"/>
  <c r="L38" i="7"/>
  <c r="K39" i="7"/>
  <c r="K38" i="7"/>
  <c r="N39" i="7"/>
  <c r="D38" i="19"/>
  <c r="E39" i="19"/>
  <c r="E39" i="8"/>
  <c r="Q21" i="15"/>
  <c r="D38" i="8"/>
  <c r="R38" i="8" s="1"/>
  <c r="G21" i="15"/>
  <c r="P21" i="15"/>
  <c r="NE55" i="18"/>
  <c r="I104" i="9"/>
  <c r="J107" i="5"/>
  <c r="F107" i="5" s="1"/>
  <c r="GU55" i="18"/>
  <c r="L105" i="9"/>
  <c r="L104" i="9"/>
  <c r="M102" i="9"/>
  <c r="M103" i="9"/>
  <c r="J105" i="9"/>
  <c r="J104" i="9"/>
  <c r="H106" i="9"/>
  <c r="K106" i="9" s="1"/>
  <c r="H107" i="9"/>
  <c r="K107" i="9" s="1"/>
  <c r="KL55" i="18"/>
  <c r="TW55" i="18"/>
  <c r="MS55" i="18"/>
  <c r="F108" i="8"/>
  <c r="G108" i="8"/>
  <c r="F109" i="8"/>
  <c r="G109" i="8"/>
  <c r="I106" i="7"/>
  <c r="J106" i="7"/>
  <c r="I107" i="7"/>
  <c r="J107" i="7"/>
  <c r="D55" i="15"/>
  <c r="E55" i="15"/>
  <c r="D57" i="18"/>
  <c r="F57" i="18" s="1"/>
  <c r="E57" i="18"/>
  <c r="G57" i="18" s="1"/>
  <c r="MM55" i="18"/>
  <c r="I106" i="5"/>
  <c r="J106" i="5" s="1"/>
  <c r="I109" i="5"/>
  <c r="H106" i="1"/>
  <c r="I106" i="1" s="1"/>
  <c r="H107" i="1"/>
  <c r="I107" i="1" s="1"/>
  <c r="PM55" i="18"/>
  <c r="PN55" i="18"/>
  <c r="NX55" i="18"/>
  <c r="VY55" i="18"/>
  <c r="U55" i="15"/>
  <c r="Y55" i="18" s="1"/>
  <c r="UU55" i="18"/>
  <c r="T55" i="15"/>
  <c r="LP55" i="18"/>
  <c r="CU55" i="18"/>
  <c r="LI55" i="18"/>
  <c r="KE55" i="18"/>
  <c r="AS55" i="18"/>
  <c r="CW55" i="18"/>
  <c r="GY55" i="18"/>
  <c r="VU55" i="18"/>
  <c r="XD55" i="18"/>
  <c r="QE55" i="18"/>
  <c r="NM55" i="18"/>
  <c r="OJ55" i="18"/>
  <c r="BR55" i="18"/>
  <c r="QM55" i="18"/>
  <c r="FW55" i="18"/>
  <c r="UO55" i="18"/>
  <c r="EK55" i="18"/>
  <c r="KR55" i="18"/>
  <c r="UC55" i="18"/>
  <c r="UV55" i="18"/>
  <c r="VT55" i="18"/>
  <c r="IJ55" i="18"/>
  <c r="SB55" i="18"/>
  <c r="FU55" i="18"/>
  <c r="DH55" i="18"/>
  <c r="SA55" i="18"/>
  <c r="BQ55" i="18"/>
  <c r="BK55" i="18"/>
  <c r="RW55" i="18"/>
  <c r="HM55" i="18"/>
  <c r="QW55" i="18"/>
  <c r="WF55" i="18"/>
  <c r="LE55" i="18"/>
  <c r="SI55" i="18"/>
  <c r="LD55" i="18"/>
  <c r="DG55" i="18"/>
  <c r="SC55" i="18"/>
  <c r="OU55" i="18"/>
  <c r="LU55" i="18"/>
  <c r="FI55" i="18"/>
  <c r="PZ55" i="18"/>
  <c r="VS55" i="18"/>
  <c r="HA55" i="18"/>
  <c r="FJ55" i="18"/>
  <c r="JS55" i="18"/>
  <c r="JI55" i="18"/>
  <c r="EE55" i="18"/>
  <c r="EL55" i="18"/>
  <c r="TG55" i="18"/>
  <c r="GZ55" i="18"/>
  <c r="UJ55" i="18"/>
  <c r="BX55" i="18"/>
  <c r="FK55" i="18"/>
  <c r="UD55" i="18"/>
  <c r="FP55" i="18"/>
  <c r="NA55" i="18"/>
  <c r="PB55" i="18"/>
  <c r="BE55" i="18"/>
  <c r="KS55" i="18"/>
  <c r="PY55" i="18"/>
  <c r="CD55" i="18"/>
  <c r="LJ55" i="18"/>
  <c r="LK55" i="18"/>
  <c r="GS55" i="18"/>
  <c r="JZ55" i="18"/>
  <c r="NQ55" i="18"/>
  <c r="SH55" i="18"/>
  <c r="QK55" i="18"/>
  <c r="LW55" i="18"/>
  <c r="XI55" i="18"/>
  <c r="DI55" i="18"/>
  <c r="EM55" i="18"/>
  <c r="JH55" i="18"/>
  <c r="AU55" i="18"/>
  <c r="JU55" i="18"/>
  <c r="OW55" i="18"/>
  <c r="LV55" i="18"/>
  <c r="PO55" i="18"/>
  <c r="GC55" i="18"/>
  <c r="GM55" i="18"/>
  <c r="VI55" i="18"/>
  <c r="GG55" i="18"/>
  <c r="RI55" i="18"/>
  <c r="DB55" i="18"/>
  <c r="UP55" i="18"/>
  <c r="NL55" i="18"/>
  <c r="WX55" i="18"/>
  <c r="EY55" i="18"/>
  <c r="OI55" i="18"/>
  <c r="XE55" i="18"/>
  <c r="FV55" i="18"/>
  <c r="JG55" i="18"/>
  <c r="GT55" i="18"/>
  <c r="CV55" i="18"/>
  <c r="MG55" i="18"/>
  <c r="RO55" i="18"/>
  <c r="OK55" i="18"/>
  <c r="XC55" i="18"/>
  <c r="QL55" i="18"/>
  <c r="BS55" i="18"/>
  <c r="SG55" i="18"/>
  <c r="WY55" i="18"/>
  <c r="RJ55" i="18"/>
  <c r="UE55" i="18"/>
  <c r="RE55" i="18"/>
  <c r="DA55" i="18"/>
  <c r="HR55" i="18"/>
  <c r="DS55" i="18"/>
  <c r="HW55" i="18"/>
  <c r="SO55" i="18"/>
  <c r="NS55" i="18"/>
  <c r="CI55" i="18"/>
  <c r="SS55" i="18"/>
  <c r="ES55" i="18"/>
  <c r="IO55" i="18"/>
  <c r="XK55" i="18"/>
  <c r="JM55" i="18"/>
  <c r="OV55" i="18"/>
  <c r="SY55" i="18"/>
  <c r="RU55" i="18"/>
  <c r="DC55" i="18"/>
  <c r="RD55" i="18"/>
  <c r="GB55" i="18"/>
  <c r="VH55" i="18"/>
  <c r="QA55" i="18"/>
  <c r="CQ55" i="18"/>
  <c r="VO55" i="18"/>
  <c r="NR55" i="18"/>
  <c r="FO55" i="18"/>
  <c r="UW55" i="18"/>
  <c r="CK55" i="18"/>
  <c r="JN55" i="18"/>
  <c r="XJ55" i="18"/>
  <c r="JT55" i="18"/>
  <c r="WQ55" i="18"/>
  <c r="JO55" i="18"/>
  <c r="UQ55" i="18"/>
  <c r="NK55" i="18"/>
  <c r="WW55" i="18"/>
  <c r="EW55" i="18"/>
  <c r="CJ55" i="18"/>
  <c r="KQ55" i="18"/>
  <c r="RV55" i="18"/>
  <c r="IK55" i="18"/>
  <c r="GO55" i="18"/>
  <c r="GA55" i="18"/>
  <c r="CO55" i="18"/>
  <c r="VG55" i="18"/>
  <c r="MC55" i="18"/>
  <c r="TK55" i="18"/>
  <c r="AY55" i="18"/>
  <c r="HG55" i="18"/>
  <c r="KX55" i="18"/>
  <c r="GN55" i="18"/>
  <c r="FQ55" i="18"/>
  <c r="RK55" i="18"/>
  <c r="ID55" i="18"/>
  <c r="DY55" i="18"/>
  <c r="PU55" i="18"/>
  <c r="EX55" i="18"/>
  <c r="TR55" i="18"/>
  <c r="AO55" i="18"/>
  <c r="JA55" i="18"/>
  <c r="HQ55" i="18"/>
  <c r="UK55" i="18"/>
  <c r="RC55" i="18"/>
  <c r="VM55" i="18"/>
  <c r="MA55" i="18"/>
  <c r="HS55" i="18"/>
  <c r="QQ55" i="18"/>
  <c r="EA55" i="18"/>
  <c r="PI55" i="18"/>
  <c r="MB55" i="18"/>
  <c r="QS55" i="18"/>
  <c r="UI55" i="18"/>
  <c r="VA55" i="18"/>
  <c r="DZ55" i="18"/>
  <c r="TX55" i="18"/>
  <c r="MO55" i="18"/>
  <c r="IV55" i="18"/>
  <c r="FD55" i="18"/>
  <c r="VC55" i="18"/>
  <c r="PT55" i="18"/>
  <c r="KK55" i="18"/>
  <c r="BA55" i="18"/>
  <c r="SM55" i="18"/>
  <c r="NF55" i="18"/>
  <c r="DU55" i="18"/>
  <c r="TF55" i="18"/>
  <c r="KF55" i="18"/>
  <c r="PC55" i="18"/>
  <c r="DM55" i="18"/>
  <c r="TQ55" i="18"/>
  <c r="NY55" i="18"/>
  <c r="HE55" i="18"/>
  <c r="VZ55" i="18"/>
  <c r="TA55" i="18"/>
  <c r="PG55" i="18"/>
  <c r="LO55" i="18"/>
  <c r="EG55" i="18"/>
  <c r="AM55" i="18"/>
  <c r="TL55" i="18"/>
  <c r="KA55" i="18"/>
  <c r="EQ55" i="18"/>
  <c r="WE55" i="18"/>
  <c r="MU55" i="18"/>
  <c r="HL55" i="18"/>
  <c r="CC55" i="18"/>
  <c r="IQ55" i="18"/>
  <c r="WL55" i="18"/>
  <c r="KW55" i="18"/>
  <c r="IE55" i="18"/>
  <c r="MZ55" i="18"/>
  <c r="MH55" i="18"/>
  <c r="XF57" i="18"/>
  <c r="WH57" i="18"/>
  <c r="VJ57" i="18"/>
  <c r="UL57" i="18"/>
  <c r="TN57" i="18"/>
  <c r="SP57" i="18"/>
  <c r="RR57" i="18"/>
  <c r="QT57" i="18"/>
  <c r="PV57" i="18"/>
  <c r="OX57" i="18"/>
  <c r="NZ57" i="18"/>
  <c r="NB57" i="18"/>
  <c r="MD57" i="18"/>
  <c r="LF57" i="18"/>
  <c r="KH57" i="18"/>
  <c r="JJ57" i="18"/>
  <c r="IL57" i="18"/>
  <c r="HN57" i="18"/>
  <c r="GP57" i="18"/>
  <c r="FR57" i="18"/>
  <c r="ET57" i="18"/>
  <c r="DV57" i="18"/>
  <c r="CX57" i="18"/>
  <c r="BZ57" i="18"/>
  <c r="BB57" i="18"/>
  <c r="VV57" i="18"/>
  <c r="UF57" i="18"/>
  <c r="TT57" i="18"/>
  <c r="SD57" i="18"/>
  <c r="QN57" i="18"/>
  <c r="QB57" i="18"/>
  <c r="OL57" i="18"/>
  <c r="MV57" i="18"/>
  <c r="MJ57" i="18"/>
  <c r="KT57" i="18"/>
  <c r="JD57" i="18"/>
  <c r="IR57" i="18"/>
  <c r="HB57" i="18"/>
  <c r="FL57" i="18"/>
  <c r="EZ57" i="18"/>
  <c r="DJ57" i="18"/>
  <c r="BT57" i="18"/>
  <c r="BH57" i="18"/>
  <c r="WT57" i="18"/>
  <c r="VP57" i="18"/>
  <c r="VD57" i="18"/>
  <c r="TZ57" i="18"/>
  <c r="SV57" i="18"/>
  <c r="SJ57" i="18"/>
  <c r="RF57" i="18"/>
  <c r="PP57" i="18"/>
  <c r="JP57" i="18"/>
  <c r="HZ57" i="18"/>
  <c r="GV57" i="18"/>
  <c r="GJ57" i="18"/>
  <c r="FF57" i="18"/>
  <c r="EB57" i="18"/>
  <c r="DP57" i="18"/>
  <c r="CL57" i="18"/>
  <c r="AV57" i="18"/>
  <c r="WN57" i="18"/>
  <c r="WB57" i="18"/>
  <c r="UX57" i="18"/>
  <c r="TH57" i="18"/>
  <c r="NH57" i="18"/>
  <c r="LR57" i="18"/>
  <c r="KN57" i="18"/>
  <c r="KB57" i="18"/>
  <c r="IX57" i="18"/>
  <c r="HT57" i="18"/>
  <c r="HH57" i="18"/>
  <c r="GD57" i="18"/>
  <c r="EN57" i="18"/>
  <c r="WZ57" i="18"/>
  <c r="PJ57" i="18"/>
  <c r="OF57" i="18"/>
  <c r="KZ57" i="18"/>
  <c r="JV57" i="18"/>
  <c r="CF57" i="18"/>
  <c r="UR57" i="18"/>
  <c r="RL57" i="18"/>
  <c r="QH57" i="18"/>
  <c r="PD57" i="18"/>
  <c r="LX57" i="18"/>
  <c r="EH57" i="18"/>
  <c r="DD57" i="18"/>
  <c r="QZ57" i="18"/>
  <c r="MP57" i="18"/>
  <c r="IF57" i="18"/>
  <c r="TB57" i="18"/>
  <c r="OR57" i="18"/>
  <c r="FX57" i="18"/>
  <c r="BN57" i="18"/>
  <c r="NT57" i="18"/>
  <c r="LL57" i="18"/>
  <c r="AP57" i="18"/>
  <c r="RX57" i="18"/>
  <c r="AJ57" i="18"/>
  <c r="NN57" i="18"/>
  <c r="CR57" i="18"/>
  <c r="QG55" i="18"/>
  <c r="MN55" i="18"/>
  <c r="IU55" i="18"/>
  <c r="BM55" i="18"/>
  <c r="VB55" i="18"/>
  <c r="PS55" i="18"/>
  <c r="GI55" i="18"/>
  <c r="AZ55" i="18"/>
  <c r="SN55" i="18"/>
  <c r="JC55" i="18"/>
  <c r="DT55" i="18"/>
  <c r="TE55" i="18"/>
  <c r="BG55" i="18"/>
  <c r="PA55" i="18"/>
  <c r="DN55" i="18"/>
  <c r="OQ55" i="18"/>
  <c r="NW55" i="18"/>
  <c r="HF55" i="18"/>
  <c r="WS55" i="18"/>
  <c r="SZ55" i="18"/>
  <c r="PH55" i="18"/>
  <c r="HY55" i="18"/>
  <c r="EF55" i="18"/>
  <c r="AN55" i="18"/>
  <c r="OE55" i="18"/>
  <c r="JY55" i="18"/>
  <c r="ER55" i="18"/>
  <c r="QY55" i="18"/>
  <c r="MT55" i="18"/>
  <c r="HK55" i="18"/>
  <c r="RQ55" i="18"/>
  <c r="IP55" i="18"/>
  <c r="WK55" i="18"/>
  <c r="BY55" i="18"/>
  <c r="IC55" i="18"/>
  <c r="MY55" i="18"/>
  <c r="SU55" i="18"/>
  <c r="TY55" i="18"/>
  <c r="QF55" i="18"/>
  <c r="FE55" i="18"/>
  <c r="BL55" i="18"/>
  <c r="KM55" i="18"/>
  <c r="GH55" i="18"/>
  <c r="NG55" i="18"/>
  <c r="JB55" i="18"/>
  <c r="KG55" i="18"/>
  <c r="BF55" i="18"/>
  <c r="TS55" i="18"/>
  <c r="OP55" i="18"/>
  <c r="WA55" i="18"/>
  <c r="WR55" i="18"/>
  <c r="LQ55" i="18"/>
  <c r="HX55" i="18"/>
  <c r="TM55" i="18"/>
  <c r="OD55" i="18"/>
  <c r="WG55" i="18"/>
  <c r="QX55" i="18"/>
  <c r="CE55" i="18"/>
  <c r="RP55" i="18"/>
  <c r="KY55" i="18"/>
  <c r="BW55" i="18"/>
  <c r="MI55" i="18"/>
  <c r="ST55" i="18"/>
  <c r="XB56" i="18"/>
  <c r="WD56" i="18"/>
  <c r="VF56" i="18"/>
  <c r="UH56" i="18"/>
  <c r="TJ56" i="18"/>
  <c r="SL56" i="18"/>
  <c r="RN56" i="18"/>
  <c r="QP56" i="18"/>
  <c r="PR56" i="18"/>
  <c r="OT56" i="18"/>
  <c r="NV56" i="18"/>
  <c r="MX56" i="18"/>
  <c r="LZ56" i="18"/>
  <c r="LB56" i="18"/>
  <c r="KD56" i="18"/>
  <c r="JF56" i="18"/>
  <c r="IH56" i="18"/>
  <c r="HJ56" i="18"/>
  <c r="GL56" i="18"/>
  <c r="FN56" i="18"/>
  <c r="EP56" i="18"/>
  <c r="DR56" i="18"/>
  <c r="CT56" i="18"/>
  <c r="BV56" i="18"/>
  <c r="AX56" i="18"/>
  <c r="XH56" i="18"/>
  <c r="WV56" i="18"/>
  <c r="WJ56" i="18"/>
  <c r="UT56" i="18"/>
  <c r="TD56" i="18"/>
  <c r="SR56" i="18"/>
  <c r="RB56" i="18"/>
  <c r="PL56" i="18"/>
  <c r="OZ56" i="18"/>
  <c r="NJ56" i="18"/>
  <c r="LT56" i="18"/>
  <c r="LH56" i="18"/>
  <c r="JR56" i="18"/>
  <c r="IB56" i="18"/>
  <c r="HP56" i="18"/>
  <c r="FZ56" i="18"/>
  <c r="EJ56" i="18"/>
  <c r="DX56" i="18"/>
  <c r="CH56" i="18"/>
  <c r="AR56" i="18"/>
  <c r="VX56" i="18"/>
  <c r="VL56" i="18"/>
  <c r="TV56" i="18"/>
  <c r="SF56" i="18"/>
  <c r="RT56" i="18"/>
  <c r="QD56" i="18"/>
  <c r="ON56" i="18"/>
  <c r="OB56" i="18"/>
  <c r="ML56" i="18"/>
  <c r="KV56" i="18"/>
  <c r="KJ56" i="18"/>
  <c r="IT56" i="18"/>
  <c r="HD56" i="18"/>
  <c r="GR56" i="18"/>
  <c r="FB56" i="18"/>
  <c r="DL56" i="18"/>
  <c r="CZ56" i="18"/>
  <c r="BJ56" i="18"/>
  <c r="UN56" i="18"/>
  <c r="SX56" i="18"/>
  <c r="RH56" i="18"/>
  <c r="ND56" i="18"/>
  <c r="LN56" i="18"/>
  <c r="JX56" i="18"/>
  <c r="FT56" i="18"/>
  <c r="ED56" i="18"/>
  <c r="CN56" i="18"/>
  <c r="TP56" i="18"/>
  <c r="RZ56" i="18"/>
  <c r="QJ56" i="18"/>
  <c r="MF56" i="18"/>
  <c r="KP56" i="18"/>
  <c r="IZ56" i="18"/>
  <c r="EV56" i="18"/>
  <c r="DF56" i="18"/>
  <c r="BP56" i="18"/>
  <c r="WP56" i="18"/>
  <c r="UZ56" i="18"/>
  <c r="JL56" i="18"/>
  <c r="HV56" i="18"/>
  <c r="GF56" i="18"/>
  <c r="PX56" i="18"/>
  <c r="OH56" i="18"/>
  <c r="MR56" i="18"/>
  <c r="BD56" i="18"/>
  <c r="QV56" i="18"/>
  <c r="PF56" i="18"/>
  <c r="NP56" i="18"/>
  <c r="CB56" i="18"/>
  <c r="AL56" i="18"/>
  <c r="VR56" i="18"/>
  <c r="IN56" i="18"/>
  <c r="UB56" i="18"/>
  <c r="GX56" i="18"/>
  <c r="FH56" i="18"/>
  <c r="WU56" i="18"/>
  <c r="VW56" i="18"/>
  <c r="UY56" i="18"/>
  <c r="UA56" i="18"/>
  <c r="TC56" i="18"/>
  <c r="SE56" i="18"/>
  <c r="RG56" i="18"/>
  <c r="QI56" i="18"/>
  <c r="PK56" i="18"/>
  <c r="PO56" i="18" s="1"/>
  <c r="OM56" i="18"/>
  <c r="NO56" i="18"/>
  <c r="MQ56" i="18"/>
  <c r="LS56" i="18"/>
  <c r="KU56" i="18"/>
  <c r="JW56" i="18"/>
  <c r="IY56" i="18"/>
  <c r="IA56" i="18"/>
  <c r="HC56" i="18"/>
  <c r="HF56" i="18" s="1"/>
  <c r="GE56" i="18"/>
  <c r="FG56" i="18"/>
  <c r="EI56" i="18"/>
  <c r="DK56" i="18"/>
  <c r="CM56" i="18"/>
  <c r="BO56" i="18"/>
  <c r="AQ56" i="18"/>
  <c r="VQ56" i="18"/>
  <c r="VE56" i="18"/>
  <c r="TO56" i="18"/>
  <c r="RY56" i="18"/>
  <c r="RM56" i="18"/>
  <c r="PW56" i="18"/>
  <c r="OG56" i="18"/>
  <c r="NU56" i="18"/>
  <c r="ME56" i="18"/>
  <c r="KO56" i="18"/>
  <c r="KC56" i="18"/>
  <c r="IM56" i="18"/>
  <c r="GW56" i="18"/>
  <c r="GK56" i="18"/>
  <c r="EU56" i="18"/>
  <c r="DE56" i="18"/>
  <c r="CS56" i="18"/>
  <c r="BC56" i="18"/>
  <c r="XG56" i="18"/>
  <c r="WI56" i="18"/>
  <c r="US56" i="18"/>
  <c r="UG56" i="18"/>
  <c r="SQ56" i="18"/>
  <c r="RA56" i="18"/>
  <c r="QO56" i="18"/>
  <c r="OY56" i="18"/>
  <c r="NI56" i="18"/>
  <c r="MW56" i="18"/>
  <c r="LG56" i="18"/>
  <c r="JQ56" i="18"/>
  <c r="JE56" i="18"/>
  <c r="JG56" i="18" s="1"/>
  <c r="HO56" i="18"/>
  <c r="FY56" i="18"/>
  <c r="FM56" i="18"/>
  <c r="DW56" i="18"/>
  <c r="CG56" i="18"/>
  <c r="BU56" i="18"/>
  <c r="XA56" i="18"/>
  <c r="VK56" i="18"/>
  <c r="TU56" i="18"/>
  <c r="PQ56" i="18"/>
  <c r="OA56" i="18"/>
  <c r="MK56" i="18"/>
  <c r="IG56" i="18"/>
  <c r="GQ56" i="18"/>
  <c r="FA56" i="18"/>
  <c r="AW56" i="18"/>
  <c r="WC56" i="18"/>
  <c r="UM56" i="18"/>
  <c r="SW56" i="18"/>
  <c r="OS56" i="18"/>
  <c r="NC56" i="18"/>
  <c r="LM56" i="18"/>
  <c r="HI56" i="18"/>
  <c r="FS56" i="18"/>
  <c r="EC56" i="18"/>
  <c r="TI56" i="18"/>
  <c r="RS56" i="18"/>
  <c r="QC56" i="18"/>
  <c r="EO56" i="18"/>
  <c r="CY56" i="18"/>
  <c r="BI56" i="18"/>
  <c r="BL56" i="18" s="1"/>
  <c r="WO56" i="18"/>
  <c r="LA56" i="18"/>
  <c r="JK56" i="18"/>
  <c r="HU56" i="18"/>
  <c r="LY56" i="18"/>
  <c r="KI56" i="18"/>
  <c r="IS56" i="18"/>
  <c r="QU56" i="18"/>
  <c r="DQ56" i="18"/>
  <c r="PE56" i="18"/>
  <c r="CA56" i="18"/>
  <c r="AK56" i="18"/>
  <c r="SK56" i="18"/>
  <c r="R54" i="18"/>
  <c r="P54" i="18"/>
  <c r="Q54" i="18"/>
  <c r="B109" i="7"/>
  <c r="B109" i="1"/>
  <c r="B109" i="9"/>
  <c r="AD106" i="5"/>
  <c r="AE106" i="5" s="1"/>
  <c r="AI106" i="5" s="1"/>
  <c r="AJ104" i="5"/>
  <c r="AL104" i="5" s="1"/>
  <c r="B108" i="5"/>
  <c r="R106" i="5"/>
  <c r="AG106" i="5" s="1"/>
  <c r="K106" i="5"/>
  <c r="F104" i="5"/>
  <c r="B111" i="5"/>
  <c r="R109" i="5"/>
  <c r="AG109" i="5" s="1"/>
  <c r="K109" i="5"/>
  <c r="AE109" i="5"/>
  <c r="B121" i="14"/>
  <c r="S118" i="14"/>
  <c r="U118" i="14"/>
  <c r="T118" i="14"/>
  <c r="Q117" i="14"/>
  <c r="R117" i="14"/>
  <c r="B108" i="1"/>
  <c r="N106" i="1"/>
  <c r="B111" i="8"/>
  <c r="B110" i="8"/>
  <c r="B108" i="7"/>
  <c r="B108" i="9"/>
  <c r="O105" i="1"/>
  <c r="BP105" i="1"/>
  <c r="X105" i="7" s="1"/>
  <c r="BQ105" i="1"/>
  <c r="O104" i="1"/>
  <c r="B56" i="15"/>
  <c r="B58" i="18"/>
  <c r="N57" i="18"/>
  <c r="O57" i="18"/>
  <c r="R99" i="8" l="1"/>
  <c r="T52" i="18"/>
  <c r="S53" i="18"/>
  <c r="U52" i="18"/>
  <c r="CD56" i="18"/>
  <c r="IO56" i="18"/>
  <c r="I107" i="9"/>
  <c r="B115" i="19"/>
  <c r="G115" i="19" s="1"/>
  <c r="F113" i="19"/>
  <c r="DA56" i="18"/>
  <c r="L40" i="7"/>
  <c r="K41" i="7"/>
  <c r="L41" i="7"/>
  <c r="K40" i="7"/>
  <c r="N41" i="7"/>
  <c r="N40" i="7"/>
  <c r="E41" i="19"/>
  <c r="D40" i="19"/>
  <c r="G22" i="15"/>
  <c r="D40" i="8"/>
  <c r="R40" i="8" s="1"/>
  <c r="P22" i="15"/>
  <c r="Q22" i="15"/>
  <c r="E41" i="8"/>
  <c r="Q107" i="5"/>
  <c r="U107" i="5" s="1"/>
  <c r="Q104" i="5"/>
  <c r="U104" i="5" s="1"/>
  <c r="OJ56" i="18"/>
  <c r="VZ56" i="18"/>
  <c r="I106" i="9"/>
  <c r="J109" i="5"/>
  <c r="F109" i="5" s="1"/>
  <c r="L107" i="9"/>
  <c r="L106" i="9"/>
  <c r="M104" i="9"/>
  <c r="M105" i="9"/>
  <c r="J107" i="9"/>
  <c r="J106" i="9"/>
  <c r="H108" i="9"/>
  <c r="K108" i="9" s="1"/>
  <c r="H109" i="9"/>
  <c r="K109" i="9" s="1"/>
  <c r="F110" i="8"/>
  <c r="G110" i="8"/>
  <c r="F111" i="8"/>
  <c r="G111" i="8"/>
  <c r="VH56" i="18"/>
  <c r="I109" i="7"/>
  <c r="J109" i="7"/>
  <c r="I108" i="7"/>
  <c r="J108" i="7"/>
  <c r="E56" i="15"/>
  <c r="D56" i="15"/>
  <c r="D58" i="18"/>
  <c r="F58" i="18" s="1"/>
  <c r="E58" i="18"/>
  <c r="G58" i="18" s="1"/>
  <c r="QX56" i="18"/>
  <c r="I111" i="5"/>
  <c r="I108" i="5"/>
  <c r="J108" i="5" s="1"/>
  <c r="H108" i="1"/>
  <c r="I108" i="1" s="1"/>
  <c r="H109" i="1"/>
  <c r="I109" i="1" s="1"/>
  <c r="VC56" i="18"/>
  <c r="AS56" i="18"/>
  <c r="U56" i="15"/>
  <c r="Y56" i="18" s="1"/>
  <c r="AN56" i="18"/>
  <c r="IJ56" i="18"/>
  <c r="EQ56" i="18"/>
  <c r="GM56" i="18"/>
  <c r="T56" i="15"/>
  <c r="FJ56" i="18"/>
  <c r="PZ56" i="18"/>
  <c r="KK56" i="18"/>
  <c r="MY56" i="18"/>
  <c r="TW56" i="18"/>
  <c r="CJ56" i="18"/>
  <c r="HS56" i="18"/>
  <c r="RC56" i="18"/>
  <c r="WM56" i="18"/>
  <c r="TK56" i="18"/>
  <c r="QQ56" i="18"/>
  <c r="FQ56" i="18"/>
  <c r="UK56" i="18"/>
  <c r="XC56" i="18"/>
  <c r="FK56" i="18"/>
  <c r="XI56" i="18"/>
  <c r="LW56" i="18"/>
  <c r="LO56" i="18"/>
  <c r="UO56" i="18"/>
  <c r="BW56" i="18"/>
  <c r="MI56" i="18"/>
  <c r="OQ56" i="18"/>
  <c r="FE56" i="18"/>
  <c r="HW56" i="18"/>
  <c r="RU56" i="18"/>
  <c r="HL56" i="18"/>
  <c r="TA56" i="18"/>
  <c r="OD56" i="18"/>
  <c r="JU56" i="18"/>
  <c r="PC56" i="18"/>
  <c r="KR56" i="18"/>
  <c r="JZ56" i="18"/>
  <c r="LC56" i="18"/>
  <c r="WF56" i="18"/>
  <c r="OU56" i="18"/>
  <c r="MN56" i="18"/>
  <c r="CP56" i="18"/>
  <c r="DG56" i="18"/>
  <c r="ID56" i="18"/>
  <c r="UD56" i="18"/>
  <c r="JO56" i="18"/>
  <c r="VU56" i="18"/>
  <c r="JI56" i="18"/>
  <c r="PG56" i="18"/>
  <c r="FI56" i="18"/>
  <c r="IU56" i="18"/>
  <c r="PT56" i="18"/>
  <c r="GA56" i="18"/>
  <c r="LK56" i="18"/>
  <c r="UU56" i="18"/>
  <c r="CU56" i="18"/>
  <c r="RQ56" i="18"/>
  <c r="SG56" i="18"/>
  <c r="XD56" i="18"/>
  <c r="UC56" i="18"/>
  <c r="BF56" i="18"/>
  <c r="GI56" i="18"/>
  <c r="QG56" i="18"/>
  <c r="IW56" i="18"/>
  <c r="IV56" i="18"/>
  <c r="GH56" i="18"/>
  <c r="RJ56" i="18"/>
  <c r="UI56" i="18"/>
  <c r="SA56" i="18"/>
  <c r="EL56" i="18"/>
  <c r="TG56" i="18"/>
  <c r="RP56" i="18"/>
  <c r="BM56" i="18"/>
  <c r="MM56" i="18"/>
  <c r="QE56" i="18"/>
  <c r="DY56" i="18"/>
  <c r="WW56" i="18"/>
  <c r="CV56" i="18"/>
  <c r="RO56" i="18"/>
  <c r="BK56" i="18"/>
  <c r="WX56" i="18"/>
  <c r="CW56" i="18"/>
  <c r="OC56" i="18"/>
  <c r="GG56" i="18"/>
  <c r="UJ56" i="18"/>
  <c r="GU56" i="18"/>
  <c r="KX56" i="18"/>
  <c r="XE56" i="18"/>
  <c r="EG56" i="18"/>
  <c r="NF56" i="18"/>
  <c r="NW56" i="18"/>
  <c r="IC56" i="18"/>
  <c r="WY56" i="18"/>
  <c r="TY56" i="18"/>
  <c r="IE56" i="18"/>
  <c r="SM56" i="18"/>
  <c r="DT56" i="18"/>
  <c r="MB56" i="18"/>
  <c r="WR56" i="18"/>
  <c r="QF56" i="18"/>
  <c r="FV56" i="18"/>
  <c r="OV56" i="18"/>
  <c r="AZ56" i="18"/>
  <c r="MO56" i="18"/>
  <c r="VM56" i="18"/>
  <c r="DZ56" i="18"/>
  <c r="NK56" i="18"/>
  <c r="ST56" i="18"/>
  <c r="XJ56" i="18"/>
  <c r="EX56" i="18"/>
  <c r="KF56" i="18"/>
  <c r="JC56" i="18"/>
  <c r="UE56" i="18"/>
  <c r="HA56" i="18"/>
  <c r="DN56" i="18"/>
  <c r="TQ56" i="18"/>
  <c r="BQ56" i="18"/>
  <c r="MU56" i="18"/>
  <c r="QM56" i="18"/>
  <c r="OE56" i="18"/>
  <c r="SH56" i="18"/>
  <c r="LI56" i="18"/>
  <c r="JN56" i="18"/>
  <c r="MG56" i="18"/>
  <c r="CO56" i="18"/>
  <c r="FC56" i="18"/>
  <c r="NS56" i="18"/>
  <c r="XF58" i="18"/>
  <c r="WH58" i="18"/>
  <c r="VJ58" i="18"/>
  <c r="UL58" i="18"/>
  <c r="TN58" i="18"/>
  <c r="SP58" i="18"/>
  <c r="RR58" i="18"/>
  <c r="QT58" i="18"/>
  <c r="PV58" i="18"/>
  <c r="OX58" i="18"/>
  <c r="NZ58" i="18"/>
  <c r="NB58" i="18"/>
  <c r="MD58" i="18"/>
  <c r="LF58" i="18"/>
  <c r="KH58" i="18"/>
  <c r="JJ58" i="18"/>
  <c r="IL58" i="18"/>
  <c r="HN58" i="18"/>
  <c r="GP58" i="18"/>
  <c r="FR58" i="18"/>
  <c r="ET58" i="18"/>
  <c r="DV58" i="18"/>
  <c r="CX58" i="18"/>
  <c r="BZ58" i="18"/>
  <c r="BB58" i="18"/>
  <c r="WZ58" i="18"/>
  <c r="WN58" i="18"/>
  <c r="UX58" i="18"/>
  <c r="TH58" i="18"/>
  <c r="SV58" i="18"/>
  <c r="RF58" i="18"/>
  <c r="PP58" i="18"/>
  <c r="PD58" i="18"/>
  <c r="NN58" i="18"/>
  <c r="LX58" i="18"/>
  <c r="LL58" i="18"/>
  <c r="JV58" i="18"/>
  <c r="IF58" i="18"/>
  <c r="HT58" i="18"/>
  <c r="GD58" i="18"/>
  <c r="EN58" i="18"/>
  <c r="EB58" i="18"/>
  <c r="CL58" i="18"/>
  <c r="AV58" i="18"/>
  <c r="AJ58" i="18"/>
  <c r="WB58" i="18"/>
  <c r="QB58" i="18"/>
  <c r="OL58" i="18"/>
  <c r="NH58" i="18"/>
  <c r="MV58" i="18"/>
  <c r="LR58" i="18"/>
  <c r="KN58" i="18"/>
  <c r="KB58" i="18"/>
  <c r="IX58" i="18"/>
  <c r="HH58" i="18"/>
  <c r="BH58" i="18"/>
  <c r="TT58" i="18"/>
  <c r="SD58" i="18"/>
  <c r="QZ58" i="18"/>
  <c r="QN58" i="18"/>
  <c r="PJ58" i="18"/>
  <c r="OF58" i="18"/>
  <c r="NT58" i="18"/>
  <c r="MP58" i="18"/>
  <c r="KZ58" i="18"/>
  <c r="EZ58" i="18"/>
  <c r="DJ58" i="18"/>
  <c r="CF58" i="18"/>
  <c r="BT58" i="18"/>
  <c r="AP58" i="18"/>
  <c r="VV58" i="18"/>
  <c r="UR58" i="18"/>
  <c r="RL58" i="18"/>
  <c r="QH58" i="18"/>
  <c r="IR58" i="18"/>
  <c r="FL58" i="18"/>
  <c r="EH58" i="18"/>
  <c r="DD58" i="18"/>
  <c r="WT58" i="18"/>
  <c r="VP58" i="18"/>
  <c r="SJ58" i="18"/>
  <c r="KT58" i="18"/>
  <c r="JP58" i="18"/>
  <c r="GJ58" i="18"/>
  <c r="FF58" i="18"/>
  <c r="UF58" i="18"/>
  <c r="RX58" i="18"/>
  <c r="HB58" i="18"/>
  <c r="CR58" i="18"/>
  <c r="TZ58" i="18"/>
  <c r="JD58" i="18"/>
  <c r="GV58" i="18"/>
  <c r="TB58" i="18"/>
  <c r="OR58" i="18"/>
  <c r="FX58" i="18"/>
  <c r="BN58" i="18"/>
  <c r="VD58" i="18"/>
  <c r="MJ58" i="18"/>
  <c r="DP58" i="18"/>
  <c r="HZ58" i="18"/>
  <c r="XK56" i="18"/>
  <c r="TX56" i="18"/>
  <c r="FD56" i="18"/>
  <c r="OW56" i="18"/>
  <c r="JM56" i="18"/>
  <c r="MH56" i="18"/>
  <c r="SI56" i="18"/>
  <c r="JH56" i="18"/>
  <c r="CQ56" i="18"/>
  <c r="LJ56" i="18"/>
  <c r="EA56" i="18"/>
  <c r="WS56" i="18"/>
  <c r="SY56" i="18"/>
  <c r="PH56" i="18"/>
  <c r="HY56" i="18"/>
  <c r="EE56" i="18"/>
  <c r="AM56" i="18"/>
  <c r="NG56" i="18"/>
  <c r="JB56" i="18"/>
  <c r="DS56" i="18"/>
  <c r="QA56" i="18"/>
  <c r="LU56" i="18"/>
  <c r="GN56" i="18"/>
  <c r="QS56" i="18"/>
  <c r="HQ56" i="18"/>
  <c r="VN56" i="18"/>
  <c r="BA56" i="18"/>
  <c r="VA56" i="18"/>
  <c r="ER56" i="18"/>
  <c r="KM56" i="18"/>
  <c r="VS56" i="18"/>
  <c r="SB56" i="18"/>
  <c r="KS56" i="18"/>
  <c r="GY56" i="18"/>
  <c r="DH56" i="18"/>
  <c r="QY56" i="18"/>
  <c r="MS56" i="18"/>
  <c r="HK56" i="18"/>
  <c r="TS56" i="18"/>
  <c r="PN56" i="18"/>
  <c r="KE56" i="18"/>
  <c r="AU56" i="18"/>
  <c r="PB56" i="18"/>
  <c r="DM56" i="18"/>
  <c r="IK56" i="18"/>
  <c r="OO56" i="18"/>
  <c r="TL56" i="18"/>
  <c r="HG56" i="18"/>
  <c r="NQ56" i="18"/>
  <c r="UV56" i="18"/>
  <c r="NM56" i="18"/>
  <c r="JS56" i="18"/>
  <c r="GB56" i="18"/>
  <c r="UQ56" i="18"/>
  <c r="QL56" i="18"/>
  <c r="LD56" i="18"/>
  <c r="BS56" i="18"/>
  <c r="TE56" i="18"/>
  <c r="NX56" i="18"/>
  <c r="EM56" i="18"/>
  <c r="WK56" i="18"/>
  <c r="KW56" i="18"/>
  <c r="PU56" i="18"/>
  <c r="GS56" i="18"/>
  <c r="MZ56" i="18"/>
  <c r="WA56" i="18"/>
  <c r="FO56" i="18"/>
  <c r="MA56" i="18"/>
  <c r="WV57" i="18"/>
  <c r="VX57" i="18"/>
  <c r="UZ57" i="18"/>
  <c r="UB57" i="18"/>
  <c r="TD57" i="18"/>
  <c r="SF57" i="18"/>
  <c r="RH57" i="18"/>
  <c r="QJ57" i="18"/>
  <c r="PL57" i="18"/>
  <c r="ON57" i="18"/>
  <c r="NP57" i="18"/>
  <c r="MR57" i="18"/>
  <c r="LT57" i="18"/>
  <c r="KV57" i="18"/>
  <c r="JX57" i="18"/>
  <c r="IZ57" i="18"/>
  <c r="IB57" i="18"/>
  <c r="HD57" i="18"/>
  <c r="GF57" i="18"/>
  <c r="FH57" i="18"/>
  <c r="EJ57" i="18"/>
  <c r="DL57" i="18"/>
  <c r="CN57" i="18"/>
  <c r="BP57" i="18"/>
  <c r="AR57" i="18"/>
  <c r="WP57" i="18"/>
  <c r="WD57" i="18"/>
  <c r="UN57" i="18"/>
  <c r="SX57" i="18"/>
  <c r="SL57" i="18"/>
  <c r="QV57" i="18"/>
  <c r="PF57" i="18"/>
  <c r="OT57" i="18"/>
  <c r="ND57" i="18"/>
  <c r="LN57" i="18"/>
  <c r="LB57" i="18"/>
  <c r="JL57" i="18"/>
  <c r="HV57" i="18"/>
  <c r="HJ57" i="18"/>
  <c r="FT57" i="18"/>
  <c r="ED57" i="18"/>
  <c r="DR57" i="18"/>
  <c r="CB57" i="18"/>
  <c r="AL57" i="18"/>
  <c r="TJ57" i="18"/>
  <c r="RT57" i="18"/>
  <c r="QP57" i="18"/>
  <c r="QD57" i="18"/>
  <c r="OZ57" i="18"/>
  <c r="NV57" i="18"/>
  <c r="NJ57" i="18"/>
  <c r="MF57" i="18"/>
  <c r="KP57" i="18"/>
  <c r="EP57" i="18"/>
  <c r="CZ57" i="18"/>
  <c r="BV57" i="18"/>
  <c r="BJ57" i="18"/>
  <c r="XB57" i="18"/>
  <c r="VL57" i="18"/>
  <c r="UH57" i="18"/>
  <c r="TV57" i="18"/>
  <c r="SR57" i="18"/>
  <c r="RN57" i="18"/>
  <c r="RB57" i="18"/>
  <c r="PX57" i="18"/>
  <c r="OH57" i="18"/>
  <c r="IH57" i="18"/>
  <c r="GR57" i="18"/>
  <c r="FN57" i="18"/>
  <c r="FB57" i="18"/>
  <c r="DX57" i="18"/>
  <c r="CT57" i="18"/>
  <c r="CH57" i="18"/>
  <c r="BD57" i="18"/>
  <c r="UT57" i="18"/>
  <c r="TP57" i="18"/>
  <c r="LZ57" i="18"/>
  <c r="IT57" i="18"/>
  <c r="HP57" i="18"/>
  <c r="GL57" i="18"/>
  <c r="DF57" i="18"/>
  <c r="VR57" i="18"/>
  <c r="OB57" i="18"/>
  <c r="MX57" i="18"/>
  <c r="JR57" i="18"/>
  <c r="IN57" i="18"/>
  <c r="AX57" i="18"/>
  <c r="VF57" i="18"/>
  <c r="KJ57" i="18"/>
  <c r="FZ57" i="18"/>
  <c r="XH57" i="18"/>
  <c r="ML57" i="18"/>
  <c r="KD57" i="18"/>
  <c r="WJ57" i="18"/>
  <c r="RZ57" i="18"/>
  <c r="JF57" i="18"/>
  <c r="EV57" i="18"/>
  <c r="PR57" i="18"/>
  <c r="GX57" i="18"/>
  <c r="LH57" i="18"/>
  <c r="WQ56" i="18"/>
  <c r="SZ56" i="18"/>
  <c r="LQ56" i="18"/>
  <c r="HX56" i="18"/>
  <c r="EF56" i="18"/>
  <c r="SO56" i="18"/>
  <c r="NE56" i="18"/>
  <c r="JA56" i="18"/>
  <c r="VI56" i="18"/>
  <c r="PY56" i="18"/>
  <c r="LV56" i="18"/>
  <c r="BG56" i="18"/>
  <c r="QR56" i="18"/>
  <c r="HR56" i="18"/>
  <c r="KA56" i="18"/>
  <c r="AY56" i="18"/>
  <c r="VB56" i="18"/>
  <c r="SU56" i="18"/>
  <c r="KL56" i="18"/>
  <c r="VT56" i="18"/>
  <c r="OK56" i="18"/>
  <c r="KQ56" i="18"/>
  <c r="GZ56" i="18"/>
  <c r="WG56" i="18"/>
  <c r="QW56" i="18"/>
  <c r="MT56" i="18"/>
  <c r="CE56" i="18"/>
  <c r="TR56" i="18"/>
  <c r="PM56" i="18"/>
  <c r="EY56" i="18"/>
  <c r="AT56" i="18"/>
  <c r="PA56" i="18"/>
  <c r="RK56" i="18"/>
  <c r="II56" i="18"/>
  <c r="OP56" i="18"/>
  <c r="DC56" i="18"/>
  <c r="HE56" i="18"/>
  <c r="NR56" i="18"/>
  <c r="RE56" i="18"/>
  <c r="NL56" i="18"/>
  <c r="JT56" i="18"/>
  <c r="CK56" i="18"/>
  <c r="UP56" i="18"/>
  <c r="QK56" i="18"/>
  <c r="FW56" i="18"/>
  <c r="BR56" i="18"/>
  <c r="TF56" i="18"/>
  <c r="IQ56" i="18"/>
  <c r="EK56" i="18"/>
  <c r="WL56" i="18"/>
  <c r="BY56" i="18"/>
  <c r="PS56" i="18"/>
  <c r="GT56" i="18"/>
  <c r="RW56" i="18"/>
  <c r="VY56" i="18"/>
  <c r="FP56" i="18"/>
  <c r="WO57" i="18"/>
  <c r="VQ57" i="18"/>
  <c r="US57" i="18"/>
  <c r="TU57" i="18"/>
  <c r="SW57" i="18"/>
  <c r="RY57" i="18"/>
  <c r="RA57" i="18"/>
  <c r="QC57" i="18"/>
  <c r="PE57" i="18"/>
  <c r="OG57" i="18"/>
  <c r="NI57" i="18"/>
  <c r="MK57" i="18"/>
  <c r="LM57" i="18"/>
  <c r="KO57" i="18"/>
  <c r="JQ57" i="18"/>
  <c r="IS57" i="18"/>
  <c r="HU57" i="18"/>
  <c r="GW57" i="18"/>
  <c r="FY57" i="18"/>
  <c r="FA57" i="18"/>
  <c r="EC57" i="18"/>
  <c r="EE57" i="18" s="1"/>
  <c r="DE57" i="18"/>
  <c r="CG57" i="18"/>
  <c r="BI57" i="18"/>
  <c r="AK57" i="18"/>
  <c r="XA57" i="18"/>
  <c r="XD57" i="18" s="1"/>
  <c r="VK57" i="18"/>
  <c r="UY57" i="18"/>
  <c r="TI57" i="18"/>
  <c r="RS57" i="18"/>
  <c r="RU57" i="18" s="1"/>
  <c r="RG57" i="18"/>
  <c r="PQ57" i="18"/>
  <c r="OA57" i="18"/>
  <c r="NO57" i="18"/>
  <c r="LY57" i="18"/>
  <c r="KI57" i="18"/>
  <c r="JW57" i="18"/>
  <c r="IG57" i="18"/>
  <c r="GQ57" i="18"/>
  <c r="GE57" i="18"/>
  <c r="EO57" i="18"/>
  <c r="CY57" i="18"/>
  <c r="CM57" i="18"/>
  <c r="AW57" i="18"/>
  <c r="XG57" i="18"/>
  <c r="WC57" i="18"/>
  <c r="UM57" i="18"/>
  <c r="OM57" i="18"/>
  <c r="MW57" i="18"/>
  <c r="LS57" i="18"/>
  <c r="LG57" i="18"/>
  <c r="KC57" i="18"/>
  <c r="IY57" i="18"/>
  <c r="IM57" i="18"/>
  <c r="IO57" i="18" s="1"/>
  <c r="HI57" i="18"/>
  <c r="FS57" i="18"/>
  <c r="SE57" i="18"/>
  <c r="QO57" i="18"/>
  <c r="PK57" i="18"/>
  <c r="OY57" i="18"/>
  <c r="NU57" i="18"/>
  <c r="MQ57" i="18"/>
  <c r="ME57" i="18"/>
  <c r="LA57" i="18"/>
  <c r="JK57" i="18"/>
  <c r="JN57" i="18" s="1"/>
  <c r="DK57" i="18"/>
  <c r="BU57" i="18"/>
  <c r="AQ57" i="18"/>
  <c r="VW57" i="18"/>
  <c r="SQ57" i="18"/>
  <c r="ST57" i="18" s="1"/>
  <c r="RM57" i="18"/>
  <c r="QI57" i="18"/>
  <c r="QM57" i="18" s="1"/>
  <c r="NC57" i="18"/>
  <c r="FM57" i="18"/>
  <c r="EI57" i="18"/>
  <c r="BC57" i="18"/>
  <c r="WU57" i="18"/>
  <c r="WX57" i="18" s="1"/>
  <c r="TO57" i="18"/>
  <c r="SK57" i="18"/>
  <c r="KU57" i="18"/>
  <c r="HO57" i="18"/>
  <c r="GK57" i="18"/>
  <c r="FG57" i="18"/>
  <c r="CA57" i="18"/>
  <c r="TC57" i="18"/>
  <c r="OS57" i="18"/>
  <c r="DW57" i="18"/>
  <c r="BO57" i="18"/>
  <c r="BR57" i="18" s="1"/>
  <c r="VE57" i="18"/>
  <c r="QU57" i="18"/>
  <c r="IA57" i="18"/>
  <c r="DQ57" i="18"/>
  <c r="UG57" i="18"/>
  <c r="PW57" i="18"/>
  <c r="HC57" i="18"/>
  <c r="CS57" i="18"/>
  <c r="CV57" i="18" s="1"/>
  <c r="JE57" i="18"/>
  <c r="WI57" i="18"/>
  <c r="WM57" i="18" s="1"/>
  <c r="EU57" i="18"/>
  <c r="UA57" i="18"/>
  <c r="PI56" i="18"/>
  <c r="LP56" i="18"/>
  <c r="AO56" i="18"/>
  <c r="SN56" i="18"/>
  <c r="DU56" i="18"/>
  <c r="VG56" i="18"/>
  <c r="GO56" i="18"/>
  <c r="BE56" i="18"/>
  <c r="VO56" i="18"/>
  <c r="JY56" i="18"/>
  <c r="ES56" i="18"/>
  <c r="SS56" i="18"/>
  <c r="SC56" i="18"/>
  <c r="OI56" i="18"/>
  <c r="DI56" i="18"/>
  <c r="WE56" i="18"/>
  <c r="HM56" i="18"/>
  <c r="CC56" i="18"/>
  <c r="KG56" i="18"/>
  <c r="EW56" i="18"/>
  <c r="DO56" i="18"/>
  <c r="RI56" i="18"/>
  <c r="TM56" i="18"/>
  <c r="DB56" i="18"/>
  <c r="UW56" i="18"/>
  <c r="RD56" i="18"/>
  <c r="GC56" i="18"/>
  <c r="CI56" i="18"/>
  <c r="LE56" i="18"/>
  <c r="FU56" i="18"/>
  <c r="NY56" i="18"/>
  <c r="IP56" i="18"/>
  <c r="KY56" i="18"/>
  <c r="BX56" i="18"/>
  <c r="NA56" i="18"/>
  <c r="RV56" i="18"/>
  <c r="MC56" i="18"/>
  <c r="T53" i="18"/>
  <c r="U53" i="18" s="1"/>
  <c r="R55" i="18"/>
  <c r="Q55" i="18"/>
  <c r="P55" i="18"/>
  <c r="T54" i="18" s="1"/>
  <c r="B111" i="1"/>
  <c r="B111" i="9"/>
  <c r="B111" i="7"/>
  <c r="AD108" i="5"/>
  <c r="AE108" i="5" s="1"/>
  <c r="AI108" i="5" s="1"/>
  <c r="B110" i="5"/>
  <c r="R108" i="5"/>
  <c r="AG108" i="5" s="1"/>
  <c r="K108" i="5"/>
  <c r="F106" i="5"/>
  <c r="B113" i="5"/>
  <c r="R111" i="5"/>
  <c r="AG111" i="5" s="1"/>
  <c r="K111" i="5"/>
  <c r="AE111" i="5"/>
  <c r="AJ106" i="5"/>
  <c r="U119" i="14"/>
  <c r="T119" i="14"/>
  <c r="S119" i="14"/>
  <c r="Q118" i="14"/>
  <c r="B122" i="14"/>
  <c r="R118" i="14"/>
  <c r="B112" i="8"/>
  <c r="B110" i="7"/>
  <c r="BQ107" i="1"/>
  <c r="BP107" i="1"/>
  <c r="X107" i="7" s="1"/>
  <c r="O106" i="1"/>
  <c r="O107" i="1"/>
  <c r="B113" i="8"/>
  <c r="B110" i="1"/>
  <c r="N108" i="1"/>
  <c r="B57" i="15"/>
  <c r="B110" i="9"/>
  <c r="B59" i="18"/>
  <c r="O58" i="18"/>
  <c r="N58" i="18"/>
  <c r="R101" i="8" l="1"/>
  <c r="OI57" i="18"/>
  <c r="Q109" i="5"/>
  <c r="U109" i="5" s="1"/>
  <c r="TF57" i="18"/>
  <c r="Q106" i="5"/>
  <c r="U106" i="5" s="1"/>
  <c r="LD57" i="18"/>
  <c r="DY57" i="18"/>
  <c r="I109" i="9"/>
  <c r="B117" i="19"/>
  <c r="G117" i="19" s="1"/>
  <c r="F115" i="19"/>
  <c r="L43" i="7"/>
  <c r="K43" i="7"/>
  <c r="N42" i="7"/>
  <c r="L42" i="7"/>
  <c r="N43" i="7"/>
  <c r="K42" i="7"/>
  <c r="E43" i="19"/>
  <c r="D42" i="19"/>
  <c r="P23" i="15"/>
  <c r="D42" i="8"/>
  <c r="R42" i="8" s="1"/>
  <c r="Q23" i="15"/>
  <c r="E43" i="8"/>
  <c r="G23" i="15"/>
  <c r="I108" i="9"/>
  <c r="VS57" i="18"/>
  <c r="J111" i="5"/>
  <c r="F111" i="5" s="1"/>
  <c r="VN57" i="18"/>
  <c r="TK57" i="18"/>
  <c r="RJ57" i="18"/>
  <c r="L109" i="9"/>
  <c r="L108" i="9"/>
  <c r="M106" i="9"/>
  <c r="M107" i="9"/>
  <c r="J108" i="9"/>
  <c r="J109" i="9"/>
  <c r="H111" i="9"/>
  <c r="K111" i="9" s="1"/>
  <c r="H110" i="9"/>
  <c r="K110" i="9" s="1"/>
  <c r="FV57" i="18"/>
  <c r="F112" i="8"/>
  <c r="G112" i="8"/>
  <c r="F113" i="8"/>
  <c r="G113" i="8"/>
  <c r="J110" i="7"/>
  <c r="I110" i="7"/>
  <c r="J111" i="7"/>
  <c r="I111" i="7"/>
  <c r="D57" i="15"/>
  <c r="E57" i="15"/>
  <c r="E59" i="18"/>
  <c r="G59" i="18" s="1"/>
  <c r="D59" i="18"/>
  <c r="F59" i="18" s="1"/>
  <c r="I113" i="5"/>
  <c r="I110" i="5"/>
  <c r="J110" i="5" s="1"/>
  <c r="UU57" i="18"/>
  <c r="NL57" i="18"/>
  <c r="DN57" i="18"/>
  <c r="H111" i="1"/>
  <c r="I111" i="1" s="1"/>
  <c r="H110" i="1"/>
  <c r="I110" i="1" s="1"/>
  <c r="MO57" i="18"/>
  <c r="U57" i="15"/>
  <c r="Y57" i="18" s="1"/>
  <c r="UC57" i="18"/>
  <c r="CP57" i="18"/>
  <c r="RP57" i="18"/>
  <c r="HM57" i="18"/>
  <c r="SY57" i="18"/>
  <c r="T57" i="15"/>
  <c r="QE57" i="18"/>
  <c r="XC57" i="18"/>
  <c r="PZ57" i="18"/>
  <c r="QW57" i="18"/>
  <c r="OU57" i="18"/>
  <c r="FP57" i="18"/>
  <c r="QR57" i="18"/>
  <c r="LW57" i="18"/>
  <c r="WE57" i="18"/>
  <c r="DB57" i="18"/>
  <c r="IJ57" i="18"/>
  <c r="NS57" i="18"/>
  <c r="KS57" i="18"/>
  <c r="KA57" i="18"/>
  <c r="LO57" i="18"/>
  <c r="HR57" i="18"/>
  <c r="XJ57" i="18"/>
  <c r="OD57" i="18"/>
  <c r="CE57" i="18"/>
  <c r="AZ57" i="18"/>
  <c r="GI57" i="18"/>
  <c r="VA57" i="18"/>
  <c r="LI57" i="18"/>
  <c r="MG57" i="18"/>
  <c r="AM57" i="18"/>
  <c r="GN57" i="18"/>
  <c r="TQ57" i="18"/>
  <c r="MU57" i="18"/>
  <c r="DO57" i="18"/>
  <c r="VH57" i="18"/>
  <c r="JB57" i="18"/>
  <c r="MY57" i="18"/>
  <c r="AO57" i="18"/>
  <c r="FK57" i="18"/>
  <c r="BY57" i="18"/>
  <c r="MH57" i="18"/>
  <c r="LJ57" i="18"/>
  <c r="SG57" i="18"/>
  <c r="WQ57" i="18"/>
  <c r="SU57" i="18"/>
  <c r="PY57" i="18"/>
  <c r="VT57" i="18"/>
  <c r="ER57" i="18"/>
  <c r="HY57" i="18"/>
  <c r="IP57" i="18"/>
  <c r="AS57" i="18"/>
  <c r="PA57" i="18"/>
  <c r="BL57" i="18"/>
  <c r="TR57" i="18"/>
  <c r="IC57" i="18"/>
  <c r="EK57" i="18"/>
  <c r="PN57" i="18"/>
  <c r="CI57" i="18"/>
  <c r="TX57" i="18"/>
  <c r="JY57" i="18"/>
  <c r="HA57" i="18"/>
  <c r="DG57" i="18"/>
  <c r="NA57" i="18"/>
  <c r="EG57" i="18"/>
  <c r="JC57" i="18"/>
  <c r="KE57" i="18"/>
  <c r="KK57" i="18"/>
  <c r="EF57" i="18"/>
  <c r="TE57" i="18"/>
  <c r="EW57" i="18"/>
  <c r="MB57" i="18"/>
  <c r="JT57" i="18"/>
  <c r="DH57" i="18"/>
  <c r="PB57" i="18"/>
  <c r="EY57" i="18"/>
  <c r="IE57" i="18"/>
  <c r="IW57" i="18"/>
  <c r="EQ57" i="18"/>
  <c r="NW57" i="18"/>
  <c r="HX57" i="18"/>
  <c r="SM57" i="18"/>
  <c r="WR57" i="18"/>
  <c r="SH57" i="18"/>
  <c r="WA57" i="18"/>
  <c r="QA57" i="18"/>
  <c r="DM57" i="18"/>
  <c r="VZ57" i="18"/>
  <c r="LV57" i="18"/>
  <c r="XE57" i="18"/>
  <c r="DI57" i="18"/>
  <c r="NX57" i="18"/>
  <c r="DS57" i="18"/>
  <c r="KW57" i="18"/>
  <c r="BE57" i="18"/>
  <c r="OO57" i="18"/>
  <c r="PS57" i="18"/>
  <c r="FE57" i="18"/>
  <c r="IV57" i="18"/>
  <c r="TS57" i="18"/>
  <c r="IQ57" i="18"/>
  <c r="VU57" i="18"/>
  <c r="ES57" i="18"/>
  <c r="VY57" i="18"/>
  <c r="LU57" i="18"/>
  <c r="HE57" i="18"/>
  <c r="SN57" i="18"/>
  <c r="GB57" i="18"/>
  <c r="NF57" i="18"/>
  <c r="NY57" i="18"/>
  <c r="SI57" i="18"/>
  <c r="HW57" i="18"/>
  <c r="WS57" i="18"/>
  <c r="BF57" i="18"/>
  <c r="LC57" i="18"/>
  <c r="WK57" i="18"/>
  <c r="BW57" i="18"/>
  <c r="MI57" i="18"/>
  <c r="LK57" i="18"/>
  <c r="UP57" i="18"/>
  <c r="GT57" i="18"/>
  <c r="RE57" i="18"/>
  <c r="BQ57" i="18"/>
  <c r="JH57" i="18"/>
  <c r="UJ57" i="18"/>
  <c r="VI57" i="18"/>
  <c r="JA57" i="18"/>
  <c r="MZ57" i="18"/>
  <c r="AN57" i="18"/>
  <c r="PH57" i="18"/>
  <c r="DT57" i="18"/>
  <c r="BX57" i="18"/>
  <c r="SO57" i="18"/>
  <c r="EL57" i="18"/>
  <c r="HF57" i="18"/>
  <c r="EX57" i="18"/>
  <c r="ID57" i="18"/>
  <c r="EM57" i="18"/>
  <c r="EA57" i="18"/>
  <c r="HG57" i="18"/>
  <c r="VG57" i="18"/>
  <c r="TG57" i="18"/>
  <c r="OE57" i="18"/>
  <c r="FO57" i="18"/>
  <c r="KR57" i="18"/>
  <c r="PG57" i="18"/>
  <c r="NQ57" i="18"/>
  <c r="GZ57" i="18"/>
  <c r="SC57" i="18"/>
  <c r="XK57" i="18"/>
  <c r="HS57" i="18"/>
  <c r="UV57" i="18"/>
  <c r="DZ57" i="18"/>
  <c r="II57" i="18"/>
  <c r="RQ57" i="18"/>
  <c r="DC57" i="18"/>
  <c r="NM57" i="18"/>
  <c r="QQ57" i="18"/>
  <c r="QY57" i="18"/>
  <c r="WF57" i="18"/>
  <c r="JZ57" i="18"/>
  <c r="NR57" i="18"/>
  <c r="RK57" i="18"/>
  <c r="JM57" i="18"/>
  <c r="JS57" i="18"/>
  <c r="GC57" i="18"/>
  <c r="VM57" i="18"/>
  <c r="GS57" i="18"/>
  <c r="GO57" i="18"/>
  <c r="KQ57" i="18"/>
  <c r="OW57" i="18"/>
  <c r="WL57" i="18"/>
  <c r="OJ57" i="18"/>
  <c r="SS57" i="18"/>
  <c r="JG57" i="18"/>
  <c r="TL57" i="18"/>
  <c r="RW57" i="18"/>
  <c r="UK57" i="18"/>
  <c r="GM57" i="18"/>
  <c r="PO57" i="18"/>
  <c r="OV57" i="18"/>
  <c r="UO57" i="18"/>
  <c r="WY57" i="18"/>
  <c r="OK57" i="18"/>
  <c r="RV57" i="18"/>
  <c r="FQ57" i="18"/>
  <c r="CQ57" i="18"/>
  <c r="CJ57" i="18"/>
  <c r="LP57" i="18"/>
  <c r="NG57" i="18"/>
  <c r="SZ57" i="18"/>
  <c r="MA57" i="18"/>
  <c r="KL57" i="18"/>
  <c r="QF57" i="18"/>
  <c r="FU57" i="18"/>
  <c r="CU57" i="18"/>
  <c r="IU57" i="18"/>
  <c r="LE57" i="18"/>
  <c r="BS57" i="18"/>
  <c r="SB57" i="18"/>
  <c r="QS57" i="18"/>
  <c r="MN57" i="18"/>
  <c r="GY57" i="18"/>
  <c r="WG57" i="18"/>
  <c r="QL57" i="18"/>
  <c r="VO57" i="18"/>
  <c r="OC57" i="18"/>
  <c r="GU57" i="18"/>
  <c r="UI57" i="18"/>
  <c r="KY57" i="18"/>
  <c r="BK57" i="18"/>
  <c r="PU57" i="18"/>
  <c r="CO57" i="18"/>
  <c r="HL57" i="18"/>
  <c r="PM57" i="18"/>
  <c r="PI57" i="18"/>
  <c r="RD57" i="18"/>
  <c r="UQ57" i="18"/>
  <c r="QX57" i="18"/>
  <c r="NE57" i="18"/>
  <c r="FW57" i="18"/>
  <c r="CD57" i="18"/>
  <c r="TW57" i="18"/>
  <c r="JI57" i="18"/>
  <c r="FC57" i="18"/>
  <c r="WW57" i="18"/>
  <c r="JU57" i="18"/>
  <c r="FJ57" i="18"/>
  <c r="AY57" i="18"/>
  <c r="KG57" i="18"/>
  <c r="GH57" i="18"/>
  <c r="MC57" i="18"/>
  <c r="MT57" i="18"/>
  <c r="GA57" i="18"/>
  <c r="CW57" i="18"/>
  <c r="WV58" i="18"/>
  <c r="VX58" i="18"/>
  <c r="UZ58" i="18"/>
  <c r="UB58" i="18"/>
  <c r="TD58" i="18"/>
  <c r="SF58" i="18"/>
  <c r="RH58" i="18"/>
  <c r="QJ58" i="18"/>
  <c r="PL58" i="18"/>
  <c r="ON58" i="18"/>
  <c r="NP58" i="18"/>
  <c r="MR58" i="18"/>
  <c r="LT58" i="18"/>
  <c r="KV58" i="18"/>
  <c r="JX58" i="18"/>
  <c r="IZ58" i="18"/>
  <c r="IB58" i="18"/>
  <c r="HD58" i="18"/>
  <c r="GF58" i="18"/>
  <c r="FH58" i="18"/>
  <c r="EJ58" i="18"/>
  <c r="DL58" i="18"/>
  <c r="CN58" i="18"/>
  <c r="BP58" i="18"/>
  <c r="AR58" i="18"/>
  <c r="XH58" i="18"/>
  <c r="VR58" i="18"/>
  <c r="VF58" i="18"/>
  <c r="TP58" i="18"/>
  <c r="RZ58" i="18"/>
  <c r="RN58" i="18"/>
  <c r="PX58" i="18"/>
  <c r="OH58" i="18"/>
  <c r="NV58" i="18"/>
  <c r="MF58" i="18"/>
  <c r="KP58" i="18"/>
  <c r="KD58" i="18"/>
  <c r="IN58" i="18"/>
  <c r="GX58" i="18"/>
  <c r="GL58" i="18"/>
  <c r="EV58" i="18"/>
  <c r="DF58" i="18"/>
  <c r="CT58" i="18"/>
  <c r="BD58" i="18"/>
  <c r="XB58" i="18"/>
  <c r="WP58" i="18"/>
  <c r="VL58" i="18"/>
  <c r="UH58" i="18"/>
  <c r="TV58" i="18"/>
  <c r="SR58" i="18"/>
  <c r="RB58" i="18"/>
  <c r="LB58" i="18"/>
  <c r="JL58" i="18"/>
  <c r="IH58" i="18"/>
  <c r="HV58" i="18"/>
  <c r="GR58" i="18"/>
  <c r="FN58" i="18"/>
  <c r="FB58" i="18"/>
  <c r="DX58" i="18"/>
  <c r="CH58" i="18"/>
  <c r="WJ58" i="18"/>
  <c r="UT58" i="18"/>
  <c r="OT58" i="18"/>
  <c r="ND58" i="18"/>
  <c r="LZ58" i="18"/>
  <c r="LN58" i="18"/>
  <c r="KJ58" i="18"/>
  <c r="JF58" i="18"/>
  <c r="IT58" i="18"/>
  <c r="HP58" i="18"/>
  <c r="FZ58" i="18"/>
  <c r="SL58" i="18"/>
  <c r="PF58" i="18"/>
  <c r="OB58" i="18"/>
  <c r="MX58" i="18"/>
  <c r="JR58" i="18"/>
  <c r="CB58" i="18"/>
  <c r="AX58" i="18"/>
  <c r="UN58" i="18"/>
  <c r="TJ58" i="18"/>
  <c r="QD58" i="18"/>
  <c r="OZ58" i="18"/>
  <c r="HJ58" i="18"/>
  <c r="ED58" i="18"/>
  <c r="CZ58" i="18"/>
  <c r="BV58" i="18"/>
  <c r="PR58" i="18"/>
  <c r="LH58" i="18"/>
  <c r="AL58" i="18"/>
  <c r="WD58" i="18"/>
  <c r="RT58" i="18"/>
  <c r="NJ58" i="18"/>
  <c r="EP58" i="18"/>
  <c r="QV58" i="18"/>
  <c r="ML58" i="18"/>
  <c r="DR58" i="18"/>
  <c r="SX58" i="18"/>
  <c r="BJ58" i="18"/>
  <c r="QP58" i="18"/>
  <c r="FT58" i="18"/>
  <c r="BM57" i="18"/>
  <c r="UD57" i="18"/>
  <c r="VB57" i="18"/>
  <c r="XF59" i="18"/>
  <c r="WH59" i="18"/>
  <c r="VJ59" i="18"/>
  <c r="UL59" i="18"/>
  <c r="TN59" i="18"/>
  <c r="SP59" i="18"/>
  <c r="RR59" i="18"/>
  <c r="QT59" i="18"/>
  <c r="PV59" i="18"/>
  <c r="OX59" i="18"/>
  <c r="NZ59" i="18"/>
  <c r="NB59" i="18"/>
  <c r="MD59" i="18"/>
  <c r="LF59" i="18"/>
  <c r="KH59" i="18"/>
  <c r="JJ59" i="18"/>
  <c r="IL59" i="18"/>
  <c r="HN59" i="18"/>
  <c r="GP59" i="18"/>
  <c r="FR59" i="18"/>
  <c r="ET59" i="18"/>
  <c r="DV59" i="18"/>
  <c r="CX59" i="18"/>
  <c r="BZ59" i="18"/>
  <c r="BB59" i="18"/>
  <c r="WB59" i="18"/>
  <c r="VP59" i="18"/>
  <c r="TZ59" i="18"/>
  <c r="SJ59" i="18"/>
  <c r="RX59" i="18"/>
  <c r="QH59" i="18"/>
  <c r="OR59" i="18"/>
  <c r="OF59" i="18"/>
  <c r="MP59" i="18"/>
  <c r="KZ59" i="18"/>
  <c r="KN59" i="18"/>
  <c r="IX59" i="18"/>
  <c r="HH59" i="18"/>
  <c r="GV59" i="18"/>
  <c r="FF59" i="18"/>
  <c r="DP59" i="18"/>
  <c r="DD59" i="18"/>
  <c r="BN59" i="18"/>
  <c r="WN59" i="18"/>
  <c r="UX59" i="18"/>
  <c r="TT59" i="18"/>
  <c r="TH59" i="18"/>
  <c r="SD59" i="18"/>
  <c r="QZ59" i="18"/>
  <c r="QN59" i="18"/>
  <c r="PJ59" i="18"/>
  <c r="NT59" i="18"/>
  <c r="HT59" i="18"/>
  <c r="GD59" i="18"/>
  <c r="EZ59" i="18"/>
  <c r="EN59" i="18"/>
  <c r="DJ59" i="18"/>
  <c r="CF59" i="18"/>
  <c r="BT59" i="18"/>
  <c r="AP59" i="18"/>
  <c r="WZ59" i="18"/>
  <c r="VV59" i="18"/>
  <c r="UR59" i="18"/>
  <c r="UF59" i="18"/>
  <c r="TB59" i="18"/>
  <c r="RL59" i="18"/>
  <c r="LL59" i="18"/>
  <c r="JV59" i="18"/>
  <c r="IR59" i="18"/>
  <c r="IF59" i="18"/>
  <c r="HB59" i="18"/>
  <c r="FX59" i="18"/>
  <c r="FL59" i="18"/>
  <c r="EH59" i="18"/>
  <c r="CR59" i="18"/>
  <c r="WT59" i="18"/>
  <c r="PD59" i="18"/>
  <c r="LX59" i="18"/>
  <c r="KT59" i="18"/>
  <c r="JP59" i="18"/>
  <c r="GJ59" i="18"/>
  <c r="RF59" i="18"/>
  <c r="QB59" i="18"/>
  <c r="MV59" i="18"/>
  <c r="LR59" i="18"/>
  <c r="EB59" i="18"/>
  <c r="AV59" i="18"/>
  <c r="VD59" i="18"/>
  <c r="MJ59" i="18"/>
  <c r="HZ59" i="18"/>
  <c r="SV59" i="18"/>
  <c r="OL59" i="18"/>
  <c r="KB59" i="18"/>
  <c r="BH59" i="18"/>
  <c r="NN59" i="18"/>
  <c r="JD59" i="18"/>
  <c r="AJ59" i="18"/>
  <c r="PP59" i="18"/>
  <c r="NH59" i="18"/>
  <c r="CL59" i="18"/>
  <c r="WO58" i="18"/>
  <c r="VQ58" i="18"/>
  <c r="US58" i="18"/>
  <c r="UU58" i="18" s="1"/>
  <c r="TU58" i="18"/>
  <c r="SW58" i="18"/>
  <c r="RY58" i="18"/>
  <c r="RA58" i="18"/>
  <c r="QC58" i="18"/>
  <c r="PE58" i="18"/>
  <c r="OG58" i="18"/>
  <c r="OJ58" i="18" s="1"/>
  <c r="NI58" i="18"/>
  <c r="MK58" i="18"/>
  <c r="LM58" i="18"/>
  <c r="KO58" i="18"/>
  <c r="JQ58" i="18"/>
  <c r="IS58" i="18"/>
  <c r="HU58" i="18"/>
  <c r="GW58" i="18"/>
  <c r="FY58" i="18"/>
  <c r="FA58" i="18"/>
  <c r="EC58" i="18"/>
  <c r="DE58" i="18"/>
  <c r="CG58" i="18"/>
  <c r="BI58" i="18"/>
  <c r="AK58" i="18"/>
  <c r="WC58" i="18"/>
  <c r="UM58" i="18"/>
  <c r="UA58" i="18"/>
  <c r="SK58" i="18"/>
  <c r="QU58" i="18"/>
  <c r="QI58" i="18"/>
  <c r="OS58" i="18"/>
  <c r="NC58" i="18"/>
  <c r="NF58" i="18" s="1"/>
  <c r="MQ58" i="18"/>
  <c r="LA58" i="18"/>
  <c r="JK58" i="18"/>
  <c r="IY58" i="18"/>
  <c r="HI58" i="18"/>
  <c r="FS58" i="18"/>
  <c r="FG58" i="18"/>
  <c r="DQ58" i="18"/>
  <c r="CA58" i="18"/>
  <c r="CC58" i="18" s="1"/>
  <c r="BO58" i="18"/>
  <c r="UY58" i="18"/>
  <c r="TI58" i="18"/>
  <c r="TL58" i="18" s="1"/>
  <c r="SE58" i="18"/>
  <c r="RS58" i="18"/>
  <c r="QO58" i="18"/>
  <c r="PK58" i="18"/>
  <c r="OY58" i="18"/>
  <c r="NU58" i="18"/>
  <c r="ME58" i="18"/>
  <c r="MH58" i="18" s="1"/>
  <c r="GE58" i="18"/>
  <c r="EO58" i="18"/>
  <c r="DK58" i="18"/>
  <c r="DM58" i="18" s="1"/>
  <c r="CY58" i="18"/>
  <c r="BU58" i="18"/>
  <c r="AQ58" i="18"/>
  <c r="AU58" i="18" s="1"/>
  <c r="XA58" i="18"/>
  <c r="VW58" i="18"/>
  <c r="VK58" i="18"/>
  <c r="UG58" i="18"/>
  <c r="TC58" i="18"/>
  <c r="SQ58" i="18"/>
  <c r="RM58" i="18"/>
  <c r="PW58" i="18"/>
  <c r="JW58" i="18"/>
  <c r="IG58" i="18"/>
  <c r="HC58" i="18"/>
  <c r="GQ58" i="18"/>
  <c r="FM58" i="18"/>
  <c r="EI58" i="18"/>
  <c r="DW58" i="18"/>
  <c r="CS58" i="18"/>
  <c r="BC58" i="18"/>
  <c r="WU58" i="18"/>
  <c r="TO58" i="18"/>
  <c r="LY58" i="18"/>
  <c r="MB58" i="18" s="1"/>
  <c r="KU58" i="18"/>
  <c r="HO58" i="18"/>
  <c r="GK58" i="18"/>
  <c r="RG58" i="18"/>
  <c r="OA58" i="18"/>
  <c r="MW58" i="18"/>
  <c r="MZ58" i="18" s="1"/>
  <c r="LS58" i="18"/>
  <c r="IM58" i="18"/>
  <c r="AW58" i="18"/>
  <c r="AZ58" i="18" s="1"/>
  <c r="WI58" i="18"/>
  <c r="NO58" i="18"/>
  <c r="JE58" i="18"/>
  <c r="EU58" i="18"/>
  <c r="PQ58" i="18"/>
  <c r="PT58" i="18" s="1"/>
  <c r="LG58" i="18"/>
  <c r="LI58" i="18" s="1"/>
  <c r="CM58" i="18"/>
  <c r="VE58" i="18"/>
  <c r="KI58" i="18"/>
  <c r="KM58" i="18" s="1"/>
  <c r="IA58" i="18"/>
  <c r="KC58" i="18"/>
  <c r="KF58" i="18" s="1"/>
  <c r="OM58" i="18"/>
  <c r="XG58" i="18"/>
  <c r="XI57" i="18"/>
  <c r="BG57" i="18"/>
  <c r="NK57" i="18"/>
  <c r="RO57" i="18"/>
  <c r="IK57" i="18"/>
  <c r="SA57" i="18"/>
  <c r="PC57" i="18"/>
  <c r="HQ57" i="18"/>
  <c r="MM57" i="18"/>
  <c r="RI57" i="18"/>
  <c r="DU57" i="18"/>
  <c r="QK57" i="18"/>
  <c r="KM57" i="18"/>
  <c r="DA57" i="18"/>
  <c r="QG57" i="18"/>
  <c r="KX57" i="18"/>
  <c r="UE57" i="18"/>
  <c r="PT57" i="18"/>
  <c r="VC57" i="18"/>
  <c r="HK57" i="18"/>
  <c r="CK57" i="18"/>
  <c r="RC57" i="18"/>
  <c r="LQ57" i="18"/>
  <c r="JO57" i="18"/>
  <c r="CC57" i="18"/>
  <c r="OQ57" i="18"/>
  <c r="FD57" i="18"/>
  <c r="TA57" i="18"/>
  <c r="FI57" i="18"/>
  <c r="TM57" i="18"/>
  <c r="KF57" i="18"/>
  <c r="GG57" i="18"/>
  <c r="UW57" i="18"/>
  <c r="MS57" i="18"/>
  <c r="AU57" i="18"/>
  <c r="TY57" i="18"/>
  <c r="OP57" i="18"/>
  <c r="BA57" i="18"/>
  <c r="AT57" i="18"/>
  <c r="S54" i="18"/>
  <c r="U54" i="18" s="1"/>
  <c r="Q56" i="18"/>
  <c r="R56" i="18"/>
  <c r="P56" i="18"/>
  <c r="S55" i="18" s="1"/>
  <c r="B113" i="7"/>
  <c r="B113" i="1"/>
  <c r="B113" i="9"/>
  <c r="AD110" i="5"/>
  <c r="AE110" i="5" s="1"/>
  <c r="AI110" i="5" s="1"/>
  <c r="AJ108" i="5"/>
  <c r="AL108" i="5" s="1"/>
  <c r="B115" i="5"/>
  <c r="R113" i="5"/>
  <c r="AG113" i="5" s="1"/>
  <c r="K113" i="5"/>
  <c r="AE113" i="5"/>
  <c r="B112" i="5"/>
  <c r="R110" i="5"/>
  <c r="AG110" i="5" s="1"/>
  <c r="K110" i="5"/>
  <c r="AL106" i="5"/>
  <c r="F108" i="5"/>
  <c r="B123" i="14"/>
  <c r="T120" i="14"/>
  <c r="S120" i="14"/>
  <c r="U120" i="14"/>
  <c r="Q119" i="14"/>
  <c r="R119" i="14"/>
  <c r="B112" i="9"/>
  <c r="B58" i="15"/>
  <c r="B115" i="8"/>
  <c r="B112" i="7"/>
  <c r="B114" i="8"/>
  <c r="B112" i="1"/>
  <c r="N110" i="1"/>
  <c r="O109" i="1"/>
  <c r="BQ109" i="1"/>
  <c r="BP109" i="1"/>
  <c r="X109" i="7" s="1"/>
  <c r="O108" i="1"/>
  <c r="B60" i="18"/>
  <c r="N59" i="18"/>
  <c r="O59" i="18"/>
  <c r="Q108" i="5" l="1"/>
  <c r="U108" i="5" s="1"/>
  <c r="R103" i="8"/>
  <c r="OV58" i="18"/>
  <c r="ER58" i="18"/>
  <c r="VB58" i="18"/>
  <c r="QR58" i="18"/>
  <c r="I111" i="9"/>
  <c r="B119" i="19"/>
  <c r="G119" i="19" s="1"/>
  <c r="F117" i="19"/>
  <c r="E45" i="19"/>
  <c r="D44" i="19"/>
  <c r="G24" i="15"/>
  <c r="D44" i="8"/>
  <c r="R44" i="8" s="1"/>
  <c r="E45" i="8"/>
  <c r="Q24" i="15"/>
  <c r="P24" i="15"/>
  <c r="K44" i="7"/>
  <c r="L45" i="7"/>
  <c r="N45" i="7"/>
  <c r="N44" i="7"/>
  <c r="K45" i="7"/>
  <c r="L44" i="7"/>
  <c r="Q111" i="5"/>
  <c r="U111" i="5" s="1"/>
  <c r="OP58" i="18"/>
  <c r="I110" i="9"/>
  <c r="SM58" i="18"/>
  <c r="J113" i="5"/>
  <c r="F113" i="5" s="1"/>
  <c r="EE58" i="18"/>
  <c r="L110" i="9"/>
  <c r="L111" i="9"/>
  <c r="M109" i="9"/>
  <c r="M108" i="9"/>
  <c r="J111" i="9"/>
  <c r="J110" i="9"/>
  <c r="H113" i="9"/>
  <c r="K113" i="9" s="1"/>
  <c r="H112" i="9"/>
  <c r="K112" i="9" s="1"/>
  <c r="KW58" i="18"/>
  <c r="F115" i="8"/>
  <c r="G115" i="8"/>
  <c r="F114" i="8"/>
  <c r="G114" i="8"/>
  <c r="JB58" i="18"/>
  <c r="J113" i="7"/>
  <c r="I113" i="7"/>
  <c r="I112" i="7"/>
  <c r="J112" i="7"/>
  <c r="E58" i="15"/>
  <c r="D58" i="15"/>
  <c r="D60" i="18"/>
  <c r="F60" i="18" s="1"/>
  <c r="E60" i="18"/>
  <c r="G60" i="18" s="1"/>
  <c r="OD58" i="18"/>
  <c r="I115" i="5"/>
  <c r="I112" i="5"/>
  <c r="J112" i="5" s="1"/>
  <c r="H112" i="1"/>
  <c r="I112" i="1" s="1"/>
  <c r="H113" i="1"/>
  <c r="I113" i="1" s="1"/>
  <c r="MN58" i="18"/>
  <c r="U58" i="15"/>
  <c r="Y58" i="18" s="1"/>
  <c r="NY58" i="18"/>
  <c r="GO58" i="18"/>
  <c r="T58" i="15"/>
  <c r="DU58" i="18"/>
  <c r="TM58" i="18"/>
  <c r="SN58" i="18"/>
  <c r="FI58" i="18"/>
  <c r="UE58" i="18"/>
  <c r="BR58" i="18"/>
  <c r="FW58" i="18"/>
  <c r="QM58" i="18"/>
  <c r="CK58" i="18"/>
  <c r="JS58" i="18"/>
  <c r="NM58" i="18"/>
  <c r="VI58" i="18"/>
  <c r="BF58" i="18"/>
  <c r="LE58" i="18"/>
  <c r="JG58" i="18"/>
  <c r="GT58" i="18"/>
  <c r="PZ58" i="18"/>
  <c r="UI58" i="18"/>
  <c r="MT58" i="18"/>
  <c r="KS58" i="18"/>
  <c r="WW58" i="18"/>
  <c r="EM58" i="18"/>
  <c r="PH58" i="18"/>
  <c r="TQ58" i="18"/>
  <c r="BG58" i="18"/>
  <c r="LD58" i="18"/>
  <c r="NK58" i="18"/>
  <c r="NW58" i="18"/>
  <c r="VG58" i="18"/>
  <c r="VM58" i="18"/>
  <c r="PN58" i="18"/>
  <c r="LV58" i="18"/>
  <c r="TS58" i="18"/>
  <c r="PM58" i="18"/>
  <c r="QA58" i="18"/>
  <c r="ES58" i="18"/>
  <c r="EX58" i="18"/>
  <c r="TE58" i="18"/>
  <c r="BW58" i="18"/>
  <c r="DG58" i="18"/>
  <c r="SB58" i="18"/>
  <c r="NL58" i="18"/>
  <c r="DN58" i="18"/>
  <c r="IP58" i="18"/>
  <c r="PC58" i="18"/>
  <c r="SH58" i="18"/>
  <c r="DI58" i="18"/>
  <c r="SA58" i="18"/>
  <c r="JT58" i="18"/>
  <c r="HE58" i="18"/>
  <c r="BY58" i="18"/>
  <c r="LQ58" i="18"/>
  <c r="WR58" i="18"/>
  <c r="LC58" i="18"/>
  <c r="TG58" i="18"/>
  <c r="LW58" i="18"/>
  <c r="XK58" i="18"/>
  <c r="HR58" i="18"/>
  <c r="II58" i="18"/>
  <c r="ST58" i="18"/>
  <c r="VZ58" i="18"/>
  <c r="AM58" i="18"/>
  <c r="PI58" i="18"/>
  <c r="TR58" i="18"/>
  <c r="TK58" i="18"/>
  <c r="BX58" i="18"/>
  <c r="WS58" i="18"/>
  <c r="DS58" i="18"/>
  <c r="XI58" i="18"/>
  <c r="AO58" i="18"/>
  <c r="PO58" i="18"/>
  <c r="SO58" i="18"/>
  <c r="WQ58" i="18"/>
  <c r="DT58" i="18"/>
  <c r="NX58" i="18"/>
  <c r="QW58" i="18"/>
  <c r="WF58" i="18"/>
  <c r="FD58" i="18"/>
  <c r="GA58" i="18"/>
  <c r="RE58" i="18"/>
  <c r="JZ58" i="18"/>
  <c r="FJ58" i="18"/>
  <c r="CQ58" i="18"/>
  <c r="RI58" i="18"/>
  <c r="GZ58" i="18"/>
  <c r="VT58" i="18"/>
  <c r="UC58" i="18"/>
  <c r="NS58" i="18"/>
  <c r="DZ58" i="18"/>
  <c r="GG58" i="18"/>
  <c r="MI58" i="18"/>
  <c r="JY58" i="18"/>
  <c r="WG58" i="18"/>
  <c r="RV58" i="18"/>
  <c r="UQ58" i="18"/>
  <c r="GC58" i="18"/>
  <c r="RD58" i="18"/>
  <c r="VH58" i="18"/>
  <c r="BK58" i="18"/>
  <c r="IQ58" i="18"/>
  <c r="KK58" i="18"/>
  <c r="MC58" i="18"/>
  <c r="KG58" i="18"/>
  <c r="AN58" i="18"/>
  <c r="QE58" i="18"/>
  <c r="PG58" i="18"/>
  <c r="IW58" i="18"/>
  <c r="LU58" i="18"/>
  <c r="PY58" i="18"/>
  <c r="IO58" i="18"/>
  <c r="EQ58" i="18"/>
  <c r="KE58" i="18"/>
  <c r="WE58" i="18"/>
  <c r="DH58" i="18"/>
  <c r="GU58" i="18"/>
  <c r="MA58" i="18"/>
  <c r="JI58" i="18"/>
  <c r="IE58" i="18"/>
  <c r="TA58" i="18"/>
  <c r="GS58" i="18"/>
  <c r="SC58" i="18"/>
  <c r="JH58" i="18"/>
  <c r="WK58" i="18"/>
  <c r="WY58" i="18"/>
  <c r="EL58" i="18"/>
  <c r="DB58" i="18"/>
  <c r="JM58" i="18"/>
  <c r="IV58" i="18"/>
  <c r="QG58" i="18"/>
  <c r="TX58" i="18"/>
  <c r="EW58" i="18"/>
  <c r="FP58" i="18"/>
  <c r="TF58" i="18"/>
  <c r="XD58" i="18"/>
  <c r="OC58" i="18"/>
  <c r="OE58" i="18"/>
  <c r="EA58" i="18"/>
  <c r="JC58" i="18"/>
  <c r="UJ58" i="18"/>
  <c r="QX58" i="18"/>
  <c r="OQ58" i="18"/>
  <c r="UV58" i="18"/>
  <c r="IC58" i="18"/>
  <c r="XE58" i="18"/>
  <c r="PA58" i="18"/>
  <c r="SY58" i="18"/>
  <c r="OK58" i="18"/>
  <c r="RW58" i="18"/>
  <c r="HL58" i="18"/>
  <c r="UO58" i="18"/>
  <c r="GB58" i="18"/>
  <c r="DY58" i="18"/>
  <c r="HX58" i="18"/>
  <c r="RC58" i="18"/>
  <c r="VN58" i="18"/>
  <c r="CV58" i="18"/>
  <c r="RP58" i="18"/>
  <c r="VU58" i="18"/>
  <c r="CP58" i="18"/>
  <c r="GH58" i="18"/>
  <c r="NQ58" i="18"/>
  <c r="RK58" i="18"/>
  <c r="FU58" i="18"/>
  <c r="KR58" i="18"/>
  <c r="GM58" i="18"/>
  <c r="SI58" i="18"/>
  <c r="PB58" i="18"/>
  <c r="SZ58" i="18"/>
  <c r="OI58" i="18"/>
  <c r="CD58" i="18"/>
  <c r="MU58" i="18"/>
  <c r="HF58" i="18"/>
  <c r="AS58" i="18"/>
  <c r="LJ58" i="18"/>
  <c r="EF58" i="18"/>
  <c r="QK58" i="18"/>
  <c r="LO58" i="18"/>
  <c r="CI58" i="18"/>
  <c r="BS58" i="18"/>
  <c r="KX58" i="18"/>
  <c r="WM58" i="18"/>
  <c r="JO58" i="18"/>
  <c r="PU58" i="18"/>
  <c r="BL58" i="18"/>
  <c r="IJ58" i="18"/>
  <c r="WO59" i="18"/>
  <c r="VQ59" i="18"/>
  <c r="US59" i="18"/>
  <c r="TU59" i="18"/>
  <c r="SW59" i="18"/>
  <c r="RY59" i="18"/>
  <c r="RA59" i="18"/>
  <c r="QC59" i="18"/>
  <c r="PE59" i="18"/>
  <c r="OG59" i="18"/>
  <c r="NI59" i="18"/>
  <c r="MK59" i="18"/>
  <c r="LM59" i="18"/>
  <c r="KO59" i="18"/>
  <c r="JQ59" i="18"/>
  <c r="IS59" i="18"/>
  <c r="HU59" i="18"/>
  <c r="GW59" i="18"/>
  <c r="FY59" i="18"/>
  <c r="FA59" i="18"/>
  <c r="EC59" i="18"/>
  <c r="DE59" i="18"/>
  <c r="CG59" i="18"/>
  <c r="BI59" i="18"/>
  <c r="AK59" i="18"/>
  <c r="XG59" i="18"/>
  <c r="WU59" i="18"/>
  <c r="VE59" i="18"/>
  <c r="TO59" i="18"/>
  <c r="TC59" i="18"/>
  <c r="RM59" i="18"/>
  <c r="PW59" i="18"/>
  <c r="PK59" i="18"/>
  <c r="NU59" i="18"/>
  <c r="ME59" i="18"/>
  <c r="LS59" i="18"/>
  <c r="KC59" i="18"/>
  <c r="IM59" i="18"/>
  <c r="IA59" i="18"/>
  <c r="GK59" i="18"/>
  <c r="EU59" i="18"/>
  <c r="EI59" i="18"/>
  <c r="CS59" i="18"/>
  <c r="BC59" i="18"/>
  <c r="AQ59" i="18"/>
  <c r="XA59" i="18"/>
  <c r="VW59" i="18"/>
  <c r="VK59" i="18"/>
  <c r="UG59" i="18"/>
  <c r="SQ59" i="18"/>
  <c r="MQ59" i="18"/>
  <c r="LA59" i="18"/>
  <c r="JW59" i="18"/>
  <c r="JK59" i="18"/>
  <c r="IG59" i="18"/>
  <c r="HC59" i="18"/>
  <c r="GQ59" i="18"/>
  <c r="FM59" i="18"/>
  <c r="DW59" i="18"/>
  <c r="WI59" i="18"/>
  <c r="QI59" i="18"/>
  <c r="OS59" i="18"/>
  <c r="NO59" i="18"/>
  <c r="NC59" i="18"/>
  <c r="LY59" i="18"/>
  <c r="KU59" i="18"/>
  <c r="KI59" i="18"/>
  <c r="JE59" i="18"/>
  <c r="HO59" i="18"/>
  <c r="BO59" i="18"/>
  <c r="SK59" i="18"/>
  <c r="RG59" i="18"/>
  <c r="OA59" i="18"/>
  <c r="MW59" i="18"/>
  <c r="FG59" i="18"/>
  <c r="CA59" i="18"/>
  <c r="AW59" i="18"/>
  <c r="UM59" i="18"/>
  <c r="TI59" i="18"/>
  <c r="SE59" i="18"/>
  <c r="OY59" i="18"/>
  <c r="HI59" i="18"/>
  <c r="GE59" i="18"/>
  <c r="CY59" i="18"/>
  <c r="BU59" i="18"/>
  <c r="QU59" i="18"/>
  <c r="OM59" i="18"/>
  <c r="DQ59" i="18"/>
  <c r="UY59" i="18"/>
  <c r="QO59" i="18"/>
  <c r="FS59" i="18"/>
  <c r="DK59" i="18"/>
  <c r="UA59" i="18"/>
  <c r="PQ59" i="18"/>
  <c r="LG59" i="18"/>
  <c r="CM59" i="18"/>
  <c r="WC59" i="18"/>
  <c r="EO59" i="18"/>
  <c r="RS59" i="18"/>
  <c r="IY59" i="18"/>
  <c r="XJ58" i="18"/>
  <c r="RQ58" i="18"/>
  <c r="CW58" i="18"/>
  <c r="UD58" i="18"/>
  <c r="KL58" i="18"/>
  <c r="RJ58" i="18"/>
  <c r="CO58" i="18"/>
  <c r="WA58" i="18"/>
  <c r="WL58" i="18"/>
  <c r="HS58" i="18"/>
  <c r="QL58" i="18"/>
  <c r="MO58" i="18"/>
  <c r="UP58" i="18"/>
  <c r="NG58" i="18"/>
  <c r="JN58" i="18"/>
  <c r="FV58" i="18"/>
  <c r="VC58" i="18"/>
  <c r="PS58" i="18"/>
  <c r="LP58" i="18"/>
  <c r="BA58" i="18"/>
  <c r="OO58" i="18"/>
  <c r="KQ58" i="18"/>
  <c r="QS58" i="18"/>
  <c r="MS58" i="18"/>
  <c r="CJ58" i="18"/>
  <c r="FQ58" i="18"/>
  <c r="VS58" i="18"/>
  <c r="GN58" i="18"/>
  <c r="HA58" i="18"/>
  <c r="BQ58" i="18"/>
  <c r="ID58" i="18"/>
  <c r="SU58" i="18"/>
  <c r="XC58" i="18"/>
  <c r="NR58" i="18"/>
  <c r="NA58" i="18"/>
  <c r="SG58" i="18"/>
  <c r="AT58" i="18"/>
  <c r="OW58" i="18"/>
  <c r="MG58" i="18"/>
  <c r="TY58" i="18"/>
  <c r="EK58" i="18"/>
  <c r="FE58" i="18"/>
  <c r="DC58" i="18"/>
  <c r="HY58" i="18"/>
  <c r="QF58" i="18"/>
  <c r="HM58" i="18"/>
  <c r="IU58" i="18"/>
  <c r="WX58" i="18"/>
  <c r="EY58" i="18"/>
  <c r="BE58" i="18"/>
  <c r="KA58" i="18"/>
  <c r="TW58" i="18"/>
  <c r="RO58" i="18"/>
  <c r="FK58" i="18"/>
  <c r="CU58" i="18"/>
  <c r="FC58" i="18"/>
  <c r="VO58" i="18"/>
  <c r="RU58" i="18"/>
  <c r="DA58" i="18"/>
  <c r="HW58" i="18"/>
  <c r="HK58" i="18"/>
  <c r="DO58" i="18"/>
  <c r="VY58" i="18"/>
  <c r="JU58" i="18"/>
  <c r="LK58" i="18"/>
  <c r="HQ58" i="18"/>
  <c r="EG58" i="18"/>
  <c r="JA58" i="18"/>
  <c r="UK58" i="18"/>
  <c r="MM58" i="18"/>
  <c r="QY58" i="18"/>
  <c r="NE58" i="18"/>
  <c r="CE58" i="18"/>
  <c r="VA58" i="18"/>
  <c r="GI58" i="18"/>
  <c r="AY58" i="18"/>
  <c r="BM58" i="18"/>
  <c r="QQ58" i="18"/>
  <c r="UW58" i="18"/>
  <c r="FO58" i="18"/>
  <c r="HG58" i="18"/>
  <c r="GY58" i="18"/>
  <c r="SS58" i="18"/>
  <c r="IK58" i="18"/>
  <c r="MY58" i="18"/>
  <c r="KY58" i="18"/>
  <c r="OU58" i="18"/>
  <c r="XF60" i="18"/>
  <c r="WH60" i="18"/>
  <c r="VJ60" i="18"/>
  <c r="UL60" i="18"/>
  <c r="TN60" i="18"/>
  <c r="SP60" i="18"/>
  <c r="RR60" i="18"/>
  <c r="QT60" i="18"/>
  <c r="PV60" i="18"/>
  <c r="OX60" i="18"/>
  <c r="NZ60" i="18"/>
  <c r="NB60" i="18"/>
  <c r="MD60" i="18"/>
  <c r="LF60" i="18"/>
  <c r="KH60" i="18"/>
  <c r="JJ60" i="18"/>
  <c r="IL60" i="18"/>
  <c r="HN60" i="18"/>
  <c r="GP60" i="18"/>
  <c r="FR60" i="18"/>
  <c r="ET60" i="18"/>
  <c r="DV60" i="18"/>
  <c r="CX60" i="18"/>
  <c r="BZ60" i="18"/>
  <c r="BB60" i="18"/>
  <c r="WT60" i="18"/>
  <c r="VD60" i="18"/>
  <c r="UR60" i="18"/>
  <c r="TB60" i="18"/>
  <c r="RL60" i="18"/>
  <c r="QZ60" i="18"/>
  <c r="PJ60" i="18"/>
  <c r="NT60" i="18"/>
  <c r="NH60" i="18"/>
  <c r="LR60" i="18"/>
  <c r="KB60" i="18"/>
  <c r="JP60" i="18"/>
  <c r="HZ60" i="18"/>
  <c r="GJ60" i="18"/>
  <c r="FX60" i="18"/>
  <c r="EH60" i="18"/>
  <c r="CR60" i="18"/>
  <c r="CF60" i="18"/>
  <c r="AP60" i="18"/>
  <c r="WZ60" i="18"/>
  <c r="VV60" i="18"/>
  <c r="UF60" i="18"/>
  <c r="OF60" i="18"/>
  <c r="MP60" i="18"/>
  <c r="LL60" i="18"/>
  <c r="KZ60" i="18"/>
  <c r="JV60" i="18"/>
  <c r="IR60" i="18"/>
  <c r="IF60" i="18"/>
  <c r="HB60" i="18"/>
  <c r="FL60" i="18"/>
  <c r="RX60" i="18"/>
  <c r="QH60" i="18"/>
  <c r="PD60" i="18"/>
  <c r="OR60" i="18"/>
  <c r="NN60" i="18"/>
  <c r="MJ60" i="18"/>
  <c r="LX60" i="18"/>
  <c r="KT60" i="18"/>
  <c r="JD60" i="18"/>
  <c r="DD60" i="18"/>
  <c r="BN60" i="18"/>
  <c r="AJ60" i="18"/>
  <c r="VP60" i="18"/>
  <c r="SJ60" i="18"/>
  <c r="RF60" i="18"/>
  <c r="QB60" i="18"/>
  <c r="MV60" i="18"/>
  <c r="FF60" i="18"/>
  <c r="EB60" i="18"/>
  <c r="AV60" i="18"/>
  <c r="WN60" i="18"/>
  <c r="TH60" i="18"/>
  <c r="SD60" i="18"/>
  <c r="KN60" i="18"/>
  <c r="HH60" i="18"/>
  <c r="GD60" i="18"/>
  <c r="EZ60" i="18"/>
  <c r="BT60" i="18"/>
  <c r="TZ60" i="18"/>
  <c r="PP60" i="18"/>
  <c r="GV60" i="18"/>
  <c r="CL60" i="18"/>
  <c r="WB60" i="18"/>
  <c r="TT60" i="18"/>
  <c r="IX60" i="18"/>
  <c r="EN60" i="18"/>
  <c r="SV60" i="18"/>
  <c r="OL60" i="18"/>
  <c r="DP60" i="18"/>
  <c r="BH60" i="18"/>
  <c r="QN60" i="18"/>
  <c r="HT60" i="18"/>
  <c r="DJ60" i="18"/>
  <c r="UX60" i="18"/>
  <c r="WV59" i="18"/>
  <c r="VX59" i="18"/>
  <c r="UZ59" i="18"/>
  <c r="UB59" i="18"/>
  <c r="TD59" i="18"/>
  <c r="SF59" i="18"/>
  <c r="RH59" i="18"/>
  <c r="QJ59" i="18"/>
  <c r="PL59" i="18"/>
  <c r="ON59" i="18"/>
  <c r="NP59" i="18"/>
  <c r="MR59" i="18"/>
  <c r="LT59" i="18"/>
  <c r="LU59" i="18" s="1"/>
  <c r="KV59" i="18"/>
  <c r="JX59" i="18"/>
  <c r="IZ59" i="18"/>
  <c r="IB59" i="18"/>
  <c r="HD59" i="18"/>
  <c r="GF59" i="18"/>
  <c r="FH59" i="18"/>
  <c r="EJ59" i="18"/>
  <c r="DL59" i="18"/>
  <c r="CN59" i="18"/>
  <c r="BP59" i="18"/>
  <c r="AR59" i="18"/>
  <c r="WJ59" i="18"/>
  <c r="UT59" i="18"/>
  <c r="UH59" i="18"/>
  <c r="SR59" i="18"/>
  <c r="RB59" i="18"/>
  <c r="QP59" i="18"/>
  <c r="OZ59" i="18"/>
  <c r="NJ59" i="18"/>
  <c r="MX59" i="18"/>
  <c r="LH59" i="18"/>
  <c r="JR59" i="18"/>
  <c r="JF59" i="18"/>
  <c r="HP59" i="18"/>
  <c r="HR59" i="18" s="1"/>
  <c r="FZ59" i="18"/>
  <c r="FN59" i="18"/>
  <c r="DX59" i="18"/>
  <c r="CH59" i="18"/>
  <c r="BV59" i="18"/>
  <c r="RN59" i="18"/>
  <c r="RP59" i="18" s="1"/>
  <c r="PX59" i="18"/>
  <c r="PY59" i="18" s="1"/>
  <c r="OT59" i="18"/>
  <c r="OH59" i="18"/>
  <c r="ND59" i="18"/>
  <c r="LZ59" i="18"/>
  <c r="LN59" i="18"/>
  <c r="KJ59" i="18"/>
  <c r="IT59" i="18"/>
  <c r="CT59" i="18"/>
  <c r="BD59" i="18"/>
  <c r="VF59" i="18"/>
  <c r="TP59" i="18"/>
  <c r="SL59" i="18"/>
  <c r="RZ59" i="18"/>
  <c r="QV59" i="18"/>
  <c r="PR59" i="18"/>
  <c r="PF59" i="18"/>
  <c r="OB59" i="18"/>
  <c r="ML59" i="18"/>
  <c r="GL59" i="18"/>
  <c r="EV59" i="18"/>
  <c r="DR59" i="18"/>
  <c r="DF59" i="18"/>
  <c r="DG59" i="18" s="1"/>
  <c r="CB59" i="18"/>
  <c r="AX59" i="18"/>
  <c r="AL59" i="18"/>
  <c r="AO59" i="18" s="1"/>
  <c r="VR59" i="18"/>
  <c r="UN59" i="18"/>
  <c r="TJ59" i="18"/>
  <c r="QD59" i="18"/>
  <c r="IN59" i="18"/>
  <c r="HJ59" i="18"/>
  <c r="ED59" i="18"/>
  <c r="CZ59" i="18"/>
  <c r="WP59" i="18"/>
  <c r="VL59" i="18"/>
  <c r="NV59" i="18"/>
  <c r="KP59" i="18"/>
  <c r="JL59" i="18"/>
  <c r="IH59" i="18"/>
  <c r="II59" i="18" s="1"/>
  <c r="FB59" i="18"/>
  <c r="FC59" i="18" s="1"/>
  <c r="XH59" i="18"/>
  <c r="SX59" i="18"/>
  <c r="KD59" i="18"/>
  <c r="FT59" i="18"/>
  <c r="BJ59" i="18"/>
  <c r="XB59" i="18"/>
  <c r="XE59" i="18" s="1"/>
  <c r="MF59" i="18"/>
  <c r="HV59" i="18"/>
  <c r="WD59" i="18"/>
  <c r="WE59" i="18" s="1"/>
  <c r="RT59" i="18"/>
  <c r="GX59" i="18"/>
  <c r="EP59" i="18"/>
  <c r="GR59" i="18"/>
  <c r="GS59" i="18" s="1"/>
  <c r="TV59" i="18"/>
  <c r="LB59" i="18"/>
  <c r="T55" i="18"/>
  <c r="U55" i="18" s="1"/>
  <c r="Q57" i="18"/>
  <c r="R57" i="18"/>
  <c r="P57" i="18"/>
  <c r="S56" i="18" s="1"/>
  <c r="B115" i="9"/>
  <c r="B115" i="7"/>
  <c r="B115" i="1"/>
  <c r="AD112" i="5"/>
  <c r="AE112" i="5" s="1"/>
  <c r="AI112" i="5" s="1"/>
  <c r="AJ110" i="5"/>
  <c r="AL110" i="5" s="1"/>
  <c r="B117" i="5"/>
  <c r="R115" i="5"/>
  <c r="AG115" i="5" s="1"/>
  <c r="K115" i="5"/>
  <c r="AE115" i="5"/>
  <c r="B114" i="5"/>
  <c r="R112" i="5"/>
  <c r="AG112" i="5" s="1"/>
  <c r="K112" i="5"/>
  <c r="F110" i="5"/>
  <c r="U121" i="14"/>
  <c r="S121" i="14"/>
  <c r="T121" i="14"/>
  <c r="Q120" i="14"/>
  <c r="B124" i="14"/>
  <c r="R120" i="14"/>
  <c r="B117" i="8"/>
  <c r="O110" i="1"/>
  <c r="BP111" i="1"/>
  <c r="X111" i="7" s="1"/>
  <c r="O111" i="1"/>
  <c r="BQ111" i="1"/>
  <c r="B114" i="7"/>
  <c r="B114" i="1"/>
  <c r="N112" i="1"/>
  <c r="B114" i="9"/>
  <c r="B59" i="15"/>
  <c r="B116" i="8"/>
  <c r="B61" i="18"/>
  <c r="O60" i="18"/>
  <c r="N60" i="18"/>
  <c r="Q113" i="5" l="1"/>
  <c r="U113" i="5" s="1"/>
  <c r="R105" i="8"/>
  <c r="Q110" i="5"/>
  <c r="U110" i="5" s="1"/>
  <c r="IO59" i="18"/>
  <c r="MT59" i="18"/>
  <c r="I113" i="9"/>
  <c r="B121" i="19"/>
  <c r="G121" i="19" s="1"/>
  <c r="F119" i="19"/>
  <c r="K46" i="7"/>
  <c r="L47" i="7"/>
  <c r="L46" i="7"/>
  <c r="K47" i="7"/>
  <c r="N47" i="7"/>
  <c r="N46" i="7"/>
  <c r="E47" i="19"/>
  <c r="D46" i="19"/>
  <c r="E47" i="8"/>
  <c r="Q25" i="15"/>
  <c r="P25" i="15"/>
  <c r="D46" i="8"/>
  <c r="R46" i="8" s="1"/>
  <c r="G25" i="15"/>
  <c r="I112" i="9"/>
  <c r="J115" i="5"/>
  <c r="F115" i="5" s="1"/>
  <c r="MI59" i="18"/>
  <c r="L112" i="9"/>
  <c r="L113" i="9"/>
  <c r="M111" i="9"/>
  <c r="M110" i="9"/>
  <c r="J113" i="9"/>
  <c r="J112" i="9"/>
  <c r="H114" i="9"/>
  <c r="K114" i="9" s="1"/>
  <c r="H115" i="9"/>
  <c r="K115" i="9" s="1"/>
  <c r="F116" i="8"/>
  <c r="G116" i="8"/>
  <c r="F117" i="8"/>
  <c r="G117" i="8"/>
  <c r="QR59" i="18"/>
  <c r="I115" i="7"/>
  <c r="J115" i="7"/>
  <c r="J114" i="7"/>
  <c r="I114" i="7"/>
  <c r="D59" i="15"/>
  <c r="E59" i="15"/>
  <c r="D61" i="18"/>
  <c r="F61" i="18" s="1"/>
  <c r="E61" i="18"/>
  <c r="G61" i="18" s="1"/>
  <c r="LP59" i="18"/>
  <c r="I114" i="5"/>
  <c r="J114" i="5" s="1"/>
  <c r="I117" i="5"/>
  <c r="H114" i="1"/>
  <c r="I114" i="1" s="1"/>
  <c r="H115" i="1"/>
  <c r="I115" i="1" s="1"/>
  <c r="U59" i="15"/>
  <c r="Y59" i="18" s="1"/>
  <c r="VT59" i="18"/>
  <c r="OD59" i="18"/>
  <c r="OI59" i="18"/>
  <c r="T59" i="15"/>
  <c r="CI59" i="18"/>
  <c r="RC59" i="18"/>
  <c r="WA59" i="18"/>
  <c r="JA59" i="18"/>
  <c r="BM59" i="18"/>
  <c r="DC59" i="18"/>
  <c r="QG59" i="18"/>
  <c r="DU59" i="18"/>
  <c r="BE59" i="18"/>
  <c r="WL59" i="18"/>
  <c r="DM59" i="18"/>
  <c r="HE59" i="18"/>
  <c r="JC59" i="18"/>
  <c r="TK59" i="18"/>
  <c r="SO59" i="18"/>
  <c r="CW59" i="18"/>
  <c r="DY59" i="18"/>
  <c r="NK59" i="18"/>
  <c r="IC59" i="18"/>
  <c r="RW59" i="18"/>
  <c r="KK59" i="18"/>
  <c r="LK59" i="18"/>
  <c r="UW59" i="18"/>
  <c r="GG59" i="18"/>
  <c r="NQ59" i="18"/>
  <c r="LC59" i="18"/>
  <c r="VM59" i="18"/>
  <c r="GN59" i="18"/>
  <c r="IU59" i="18"/>
  <c r="JB59" i="18"/>
  <c r="TY59" i="18"/>
  <c r="SZ59" i="18"/>
  <c r="MM59" i="18"/>
  <c r="RJ59" i="18"/>
  <c r="VB59" i="18"/>
  <c r="DO59" i="18"/>
  <c r="HW59" i="18"/>
  <c r="EE59" i="18"/>
  <c r="AZ59" i="18"/>
  <c r="EW59" i="18"/>
  <c r="PI59" i="18"/>
  <c r="MC59" i="18"/>
  <c r="KG59" i="18"/>
  <c r="TQ59" i="18"/>
  <c r="SN59" i="18"/>
  <c r="FQ59" i="18"/>
  <c r="IW59" i="18"/>
  <c r="TS59" i="18"/>
  <c r="FP59" i="18"/>
  <c r="VA59" i="18"/>
  <c r="XI59" i="18"/>
  <c r="SC59" i="18"/>
  <c r="KW59" i="18"/>
  <c r="MO59" i="18"/>
  <c r="SS59" i="18"/>
  <c r="EK59" i="18"/>
  <c r="TF59" i="18"/>
  <c r="HA59" i="18"/>
  <c r="HK59" i="18"/>
  <c r="PT59" i="18"/>
  <c r="FO59" i="18"/>
  <c r="BR59" i="18"/>
  <c r="OK59" i="18"/>
  <c r="MN59" i="18"/>
  <c r="OJ59" i="18"/>
  <c r="VC59" i="18"/>
  <c r="XC59" i="18"/>
  <c r="QA59" i="18"/>
  <c r="TE59" i="18"/>
  <c r="LW59" i="18"/>
  <c r="IQ59" i="18"/>
  <c r="IP59" i="18"/>
  <c r="GM59" i="18"/>
  <c r="SM59" i="18"/>
  <c r="PH59" i="18"/>
  <c r="PZ59" i="18"/>
  <c r="EY59" i="18"/>
  <c r="XD59" i="18"/>
  <c r="DT59" i="18"/>
  <c r="MG59" i="18"/>
  <c r="MH59" i="18"/>
  <c r="KE59" i="18"/>
  <c r="KF59" i="18"/>
  <c r="AN59" i="18"/>
  <c r="XK59" i="18"/>
  <c r="BG59" i="18"/>
  <c r="DS59" i="18"/>
  <c r="RE59" i="18"/>
  <c r="DN59" i="18"/>
  <c r="AM59" i="18"/>
  <c r="PM59" i="18"/>
  <c r="XJ59" i="18"/>
  <c r="BF59" i="18"/>
  <c r="RD59" i="18"/>
  <c r="PA59" i="18"/>
  <c r="QK59" i="18"/>
  <c r="PG59" i="18"/>
  <c r="BW59" i="18"/>
  <c r="HY59" i="18"/>
  <c r="UE59" i="18"/>
  <c r="JY59" i="18"/>
  <c r="UJ59" i="18"/>
  <c r="AU59" i="18"/>
  <c r="WS59" i="18"/>
  <c r="CO59" i="18"/>
  <c r="SH59" i="18"/>
  <c r="CC59" i="18"/>
  <c r="JH59" i="18"/>
  <c r="NG59" i="18"/>
  <c r="VG59" i="18"/>
  <c r="FU59" i="18"/>
  <c r="OQ59" i="18"/>
  <c r="FI59" i="18"/>
  <c r="WY59" i="18"/>
  <c r="GA59" i="18"/>
  <c r="JT59" i="18"/>
  <c r="EQ59" i="18"/>
  <c r="QW59" i="18"/>
  <c r="UO59" i="18"/>
  <c r="MY59" i="18"/>
  <c r="OV59" i="18"/>
  <c r="JN59" i="18"/>
  <c r="NW59" i="18"/>
  <c r="KQ59" i="18"/>
  <c r="TR59" i="18"/>
  <c r="EX59" i="18"/>
  <c r="HX59" i="18"/>
  <c r="TG59" i="18"/>
  <c r="IV59" i="18"/>
  <c r="GO59" i="18"/>
  <c r="LV59" i="18"/>
  <c r="WK59" i="18"/>
  <c r="PC59" i="18"/>
  <c r="LJ59" i="18"/>
  <c r="HQ59" i="18"/>
  <c r="WG59" i="18"/>
  <c r="SB59" i="18"/>
  <c r="MS59" i="18"/>
  <c r="DI59" i="18"/>
  <c r="TX59" i="18"/>
  <c r="QQ59" i="18"/>
  <c r="CK59" i="18"/>
  <c r="VZ59" i="18"/>
  <c r="RO59" i="18"/>
  <c r="EM59" i="18"/>
  <c r="MB59" i="18"/>
  <c r="RI59" i="18"/>
  <c r="IE59" i="18"/>
  <c r="BL59" i="18"/>
  <c r="PS59" i="18"/>
  <c r="FE59" i="18"/>
  <c r="UV59" i="18"/>
  <c r="LO59" i="18"/>
  <c r="KY59" i="18"/>
  <c r="QF59" i="18"/>
  <c r="AY59" i="18"/>
  <c r="VO59" i="18"/>
  <c r="RV59" i="18"/>
  <c r="OC59" i="18"/>
  <c r="GU59" i="18"/>
  <c r="DB59" i="18"/>
  <c r="VS59" i="18"/>
  <c r="LE59" i="18"/>
  <c r="GZ59" i="18"/>
  <c r="BQ59" i="18"/>
  <c r="BY59" i="18"/>
  <c r="CV59" i="18"/>
  <c r="SY59" i="18"/>
  <c r="QY59" i="18"/>
  <c r="NF59" i="18"/>
  <c r="JM59" i="18"/>
  <c r="CE59" i="18"/>
  <c r="UD59" i="18"/>
  <c r="OU59" i="18"/>
  <c r="FK59" i="18"/>
  <c r="WR59" i="18"/>
  <c r="SG59" i="18"/>
  <c r="ES59" i="18"/>
  <c r="AT59" i="18"/>
  <c r="UI59" i="18"/>
  <c r="GC59" i="18"/>
  <c r="WX59" i="18"/>
  <c r="JS59" i="18"/>
  <c r="VI59" i="18"/>
  <c r="OO59" i="18"/>
  <c r="JG59" i="18"/>
  <c r="SU59" i="18"/>
  <c r="PB59" i="18"/>
  <c r="LI59" i="18"/>
  <c r="EA59" i="18"/>
  <c r="WF59" i="18"/>
  <c r="SA59" i="18"/>
  <c r="HM59" i="18"/>
  <c r="DH59" i="18"/>
  <c r="TW59" i="18"/>
  <c r="GI59" i="18"/>
  <c r="CJ59" i="18"/>
  <c r="VY59" i="18"/>
  <c r="IK59" i="18"/>
  <c r="EL59" i="18"/>
  <c r="MA59" i="18"/>
  <c r="EG59" i="18"/>
  <c r="ID59" i="18"/>
  <c r="BK59" i="18"/>
  <c r="TM59" i="18"/>
  <c r="FD59" i="18"/>
  <c r="UU59" i="18"/>
  <c r="HG59" i="18"/>
  <c r="KX59" i="18"/>
  <c r="QE59" i="18"/>
  <c r="NS59" i="18"/>
  <c r="VN59" i="18"/>
  <c r="RU59" i="18"/>
  <c r="KM59" i="18"/>
  <c r="GT59" i="18"/>
  <c r="DA59" i="18"/>
  <c r="QM59" i="18"/>
  <c r="LD59" i="18"/>
  <c r="GY59" i="18"/>
  <c r="PO59" i="18"/>
  <c r="BX59" i="18"/>
  <c r="CU59" i="18"/>
  <c r="NM59" i="18"/>
  <c r="UQ59" i="18"/>
  <c r="QX59" i="18"/>
  <c r="NE59" i="18"/>
  <c r="FW59" i="18"/>
  <c r="CD59" i="18"/>
  <c r="UC59" i="18"/>
  <c r="KS59" i="18"/>
  <c r="FJ59" i="18"/>
  <c r="WQ59" i="18"/>
  <c r="NY59" i="18"/>
  <c r="ER59" i="18"/>
  <c r="AS59" i="18"/>
  <c r="KA59" i="18"/>
  <c r="GB59" i="18"/>
  <c r="WW59" i="18"/>
  <c r="NA59" i="18"/>
  <c r="VH59" i="18"/>
  <c r="OP59" i="18"/>
  <c r="CQ59" i="18"/>
  <c r="WV60" i="18"/>
  <c r="VX60" i="18"/>
  <c r="UZ60" i="18"/>
  <c r="UB60" i="18"/>
  <c r="TD60" i="18"/>
  <c r="SF60" i="18"/>
  <c r="RH60" i="18"/>
  <c r="QJ60" i="18"/>
  <c r="PL60" i="18"/>
  <c r="ON60" i="18"/>
  <c r="NP60" i="18"/>
  <c r="MR60" i="18"/>
  <c r="LT60" i="18"/>
  <c r="KV60" i="18"/>
  <c r="JX60" i="18"/>
  <c r="IZ60" i="18"/>
  <c r="IB60" i="18"/>
  <c r="HD60" i="18"/>
  <c r="GF60" i="18"/>
  <c r="FH60" i="18"/>
  <c r="EJ60" i="18"/>
  <c r="DL60" i="18"/>
  <c r="CN60" i="18"/>
  <c r="BP60" i="18"/>
  <c r="AR60" i="18"/>
  <c r="XB60" i="18"/>
  <c r="VL60" i="18"/>
  <c r="TV60" i="18"/>
  <c r="TJ60" i="18"/>
  <c r="RT60" i="18"/>
  <c r="QD60" i="18"/>
  <c r="PR60" i="18"/>
  <c r="OB60" i="18"/>
  <c r="ML60" i="18"/>
  <c r="LZ60" i="18"/>
  <c r="KJ60" i="18"/>
  <c r="IT60" i="18"/>
  <c r="IH60" i="18"/>
  <c r="GR60" i="18"/>
  <c r="FB60" i="18"/>
  <c r="EP60" i="18"/>
  <c r="CZ60" i="18"/>
  <c r="BJ60" i="18"/>
  <c r="AX60" i="18"/>
  <c r="WJ60" i="18"/>
  <c r="VF60" i="18"/>
  <c r="UT60" i="18"/>
  <c r="TP60" i="18"/>
  <c r="SL60" i="18"/>
  <c r="RZ60" i="18"/>
  <c r="QV60" i="18"/>
  <c r="PF60" i="18"/>
  <c r="JF60" i="18"/>
  <c r="HP60" i="18"/>
  <c r="GL60" i="18"/>
  <c r="FZ60" i="18"/>
  <c r="EV60" i="18"/>
  <c r="DR60" i="18"/>
  <c r="DF60" i="18"/>
  <c r="CB60" i="18"/>
  <c r="AL60" i="18"/>
  <c r="XH60" i="18"/>
  <c r="WD60" i="18"/>
  <c r="VR60" i="18"/>
  <c r="UN60" i="18"/>
  <c r="SX60" i="18"/>
  <c r="MX60" i="18"/>
  <c r="LH60" i="18"/>
  <c r="KD60" i="18"/>
  <c r="JR60" i="18"/>
  <c r="IN60" i="18"/>
  <c r="HJ60" i="18"/>
  <c r="GX60" i="18"/>
  <c r="FT60" i="18"/>
  <c r="ED60" i="18"/>
  <c r="WP60" i="18"/>
  <c r="OZ60" i="18"/>
  <c r="NV60" i="18"/>
  <c r="KP60" i="18"/>
  <c r="JL60" i="18"/>
  <c r="BV60" i="18"/>
  <c r="UH60" i="18"/>
  <c r="RB60" i="18"/>
  <c r="PX60" i="18"/>
  <c r="OT60" i="18"/>
  <c r="LN60" i="18"/>
  <c r="DX60" i="18"/>
  <c r="CT60" i="18"/>
  <c r="NJ60" i="18"/>
  <c r="LB60" i="18"/>
  <c r="RN60" i="18"/>
  <c r="ND60" i="18"/>
  <c r="CH60" i="18"/>
  <c r="QP60" i="18"/>
  <c r="MF60" i="18"/>
  <c r="HV60" i="18"/>
  <c r="SR60" i="18"/>
  <c r="BD60" i="18"/>
  <c r="OH60" i="18"/>
  <c r="FN60" i="18"/>
  <c r="XF61" i="18"/>
  <c r="WH61" i="18"/>
  <c r="VJ61" i="18"/>
  <c r="UL61" i="18"/>
  <c r="TN61" i="18"/>
  <c r="SP61" i="18"/>
  <c r="RR61" i="18"/>
  <c r="QT61" i="18"/>
  <c r="PV61" i="18"/>
  <c r="OX61" i="18"/>
  <c r="NZ61" i="18"/>
  <c r="NB61" i="18"/>
  <c r="MD61" i="18"/>
  <c r="LF61" i="18"/>
  <c r="KH61" i="18"/>
  <c r="JJ61" i="18"/>
  <c r="IL61" i="18"/>
  <c r="HN61" i="18"/>
  <c r="GP61" i="18"/>
  <c r="FR61" i="18"/>
  <c r="ET61" i="18"/>
  <c r="DV61" i="18"/>
  <c r="CX61" i="18"/>
  <c r="BZ61" i="18"/>
  <c r="BB61" i="18"/>
  <c r="VV61" i="18"/>
  <c r="UF61" i="18"/>
  <c r="TT61" i="18"/>
  <c r="SD61" i="18"/>
  <c r="QN61" i="18"/>
  <c r="QB61" i="18"/>
  <c r="OL61" i="18"/>
  <c r="MV61" i="18"/>
  <c r="MJ61" i="18"/>
  <c r="KT61" i="18"/>
  <c r="JD61" i="18"/>
  <c r="IR61" i="18"/>
  <c r="HB61" i="18"/>
  <c r="FL61" i="18"/>
  <c r="EZ61" i="18"/>
  <c r="DJ61" i="18"/>
  <c r="BT61" i="18"/>
  <c r="BH61" i="18"/>
  <c r="UR61" i="18"/>
  <c r="TB61" i="18"/>
  <c r="RX61" i="18"/>
  <c r="RL61" i="18"/>
  <c r="QH61" i="18"/>
  <c r="PD61" i="18"/>
  <c r="OR61" i="18"/>
  <c r="NN61" i="18"/>
  <c r="LX61" i="18"/>
  <c r="FX61" i="18"/>
  <c r="EH61" i="18"/>
  <c r="DD61" i="18"/>
  <c r="CR61" i="18"/>
  <c r="BN61" i="18"/>
  <c r="AJ61" i="18"/>
  <c r="WT61" i="18"/>
  <c r="VP61" i="18"/>
  <c r="VD61" i="18"/>
  <c r="TZ61" i="18"/>
  <c r="SV61" i="18"/>
  <c r="SJ61" i="18"/>
  <c r="RF61" i="18"/>
  <c r="PP61" i="18"/>
  <c r="JP61" i="18"/>
  <c r="HZ61" i="18"/>
  <c r="GV61" i="18"/>
  <c r="GJ61" i="18"/>
  <c r="FF61" i="18"/>
  <c r="EB61" i="18"/>
  <c r="DP61" i="18"/>
  <c r="CL61" i="18"/>
  <c r="AV61" i="18"/>
  <c r="WN61" i="18"/>
  <c r="TH61" i="18"/>
  <c r="LR61" i="18"/>
  <c r="KN61" i="18"/>
  <c r="HH61" i="18"/>
  <c r="GD61" i="18"/>
  <c r="QZ61" i="18"/>
  <c r="NT61" i="18"/>
  <c r="MP61" i="18"/>
  <c r="LL61" i="18"/>
  <c r="IF61" i="18"/>
  <c r="AP61" i="18"/>
  <c r="UX61" i="18"/>
  <c r="KB61" i="18"/>
  <c r="HT61" i="18"/>
  <c r="WZ61" i="18"/>
  <c r="OF61" i="18"/>
  <c r="JV61" i="18"/>
  <c r="WB61" i="18"/>
  <c r="NH61" i="18"/>
  <c r="IX61" i="18"/>
  <c r="EN61" i="18"/>
  <c r="KZ61" i="18"/>
  <c r="CF61" i="18"/>
  <c r="PJ61" i="18"/>
  <c r="WO60" i="18"/>
  <c r="VQ60" i="18"/>
  <c r="US60" i="18"/>
  <c r="TU60" i="18"/>
  <c r="SW60" i="18"/>
  <c r="RY60" i="18"/>
  <c r="RA60" i="18"/>
  <c r="QC60" i="18"/>
  <c r="PE60" i="18"/>
  <c r="OG60" i="18"/>
  <c r="NI60" i="18"/>
  <c r="MK60" i="18"/>
  <c r="LM60" i="18"/>
  <c r="KO60" i="18"/>
  <c r="JQ60" i="18"/>
  <c r="IS60" i="18"/>
  <c r="HU60" i="18"/>
  <c r="GW60" i="18"/>
  <c r="FY60" i="18"/>
  <c r="FA60" i="18"/>
  <c r="FC60" i="18" s="1"/>
  <c r="EC60" i="18"/>
  <c r="DE60" i="18"/>
  <c r="CG60" i="18"/>
  <c r="BI60" i="18"/>
  <c r="AK60" i="18"/>
  <c r="AO60" i="18" s="1"/>
  <c r="WI60" i="18"/>
  <c r="VW60" i="18"/>
  <c r="UG60" i="18"/>
  <c r="SQ60" i="18"/>
  <c r="SE60" i="18"/>
  <c r="QO60" i="18"/>
  <c r="OY60" i="18"/>
  <c r="OM60" i="18"/>
  <c r="MW60" i="18"/>
  <c r="LG60" i="18"/>
  <c r="KU60" i="18"/>
  <c r="JE60" i="18"/>
  <c r="HO60" i="18"/>
  <c r="HQ60" i="18" s="1"/>
  <c r="HC60" i="18"/>
  <c r="FM60" i="18"/>
  <c r="FP60" i="18" s="1"/>
  <c r="DW60" i="18"/>
  <c r="DK60" i="18"/>
  <c r="DM60" i="18" s="1"/>
  <c r="BU60" i="18"/>
  <c r="TC60" i="18"/>
  <c r="RM60" i="18"/>
  <c r="QI60" i="18"/>
  <c r="PW60" i="18"/>
  <c r="OS60" i="18"/>
  <c r="NO60" i="18"/>
  <c r="NC60" i="18"/>
  <c r="LY60" i="18"/>
  <c r="KI60" i="18"/>
  <c r="KM60" i="18" s="1"/>
  <c r="EI60" i="18"/>
  <c r="CS60" i="18"/>
  <c r="BO60" i="18"/>
  <c r="BC60" i="18"/>
  <c r="WU60" i="18"/>
  <c r="WW60" i="18" s="1"/>
  <c r="VE60" i="18"/>
  <c r="VH60" i="18" s="1"/>
  <c r="UA60" i="18"/>
  <c r="TO60" i="18"/>
  <c r="SK60" i="18"/>
  <c r="RG60" i="18"/>
  <c r="QU60" i="18"/>
  <c r="PQ60" i="18"/>
  <c r="OA60" i="18"/>
  <c r="IA60" i="18"/>
  <c r="GK60" i="18"/>
  <c r="GN60" i="18" s="1"/>
  <c r="FG60" i="18"/>
  <c r="FI60" i="18" s="1"/>
  <c r="EU60" i="18"/>
  <c r="EX60" i="18" s="1"/>
  <c r="DQ60" i="18"/>
  <c r="CM60" i="18"/>
  <c r="CP60" i="18" s="1"/>
  <c r="CA60" i="18"/>
  <c r="AW60" i="18"/>
  <c r="UM60" i="18"/>
  <c r="TI60" i="18"/>
  <c r="LS60" i="18"/>
  <c r="IM60" i="18"/>
  <c r="HI60" i="18"/>
  <c r="GE60" i="18"/>
  <c r="CY60" i="18"/>
  <c r="VK60" i="18"/>
  <c r="NU60" i="18"/>
  <c r="NY60" i="18" s="1"/>
  <c r="MQ60" i="18"/>
  <c r="JK60" i="18"/>
  <c r="JN60" i="18" s="1"/>
  <c r="IG60" i="18"/>
  <c r="AQ60" i="18"/>
  <c r="WC60" i="18"/>
  <c r="WG60" i="18" s="1"/>
  <c r="RS60" i="18"/>
  <c r="IY60" i="18"/>
  <c r="EO60" i="18"/>
  <c r="PK60" i="18"/>
  <c r="LA60" i="18"/>
  <c r="GQ60" i="18"/>
  <c r="XG60" i="18"/>
  <c r="XK60" i="18" s="1"/>
  <c r="UY60" i="18"/>
  <c r="VA60" i="18" s="1"/>
  <c r="KC60" i="18"/>
  <c r="FS60" i="18"/>
  <c r="JW60" i="18"/>
  <c r="XA60" i="18"/>
  <c r="ME60" i="18"/>
  <c r="WM59" i="18"/>
  <c r="ST59" i="18"/>
  <c r="HS59" i="18"/>
  <c r="DZ59" i="18"/>
  <c r="MU59" i="18"/>
  <c r="HL59" i="18"/>
  <c r="QS59" i="18"/>
  <c r="GH59" i="18"/>
  <c r="RQ59" i="18"/>
  <c r="IJ59" i="18"/>
  <c r="RK59" i="18"/>
  <c r="EF59" i="18"/>
  <c r="PU59" i="18"/>
  <c r="TL59" i="18"/>
  <c r="LQ59" i="18"/>
  <c r="HF59" i="18"/>
  <c r="BA59" i="18"/>
  <c r="NR59" i="18"/>
  <c r="OE59" i="18"/>
  <c r="KL59" i="18"/>
  <c r="VU59" i="18"/>
  <c r="QL59" i="18"/>
  <c r="BS59" i="18"/>
  <c r="PN59" i="18"/>
  <c r="TA59" i="18"/>
  <c r="NL59" i="18"/>
  <c r="UP59" i="18"/>
  <c r="JO59" i="18"/>
  <c r="FV59" i="18"/>
  <c r="OW59" i="18"/>
  <c r="KR59" i="18"/>
  <c r="SI59" i="18"/>
  <c r="NX59" i="18"/>
  <c r="UK59" i="18"/>
  <c r="JZ59" i="18"/>
  <c r="JU59" i="18"/>
  <c r="MZ59" i="18"/>
  <c r="JI59" i="18"/>
  <c r="CP59" i="18"/>
  <c r="T56" i="18"/>
  <c r="U56" i="18" s="1"/>
  <c r="P58" i="18"/>
  <c r="T57" i="18" s="1"/>
  <c r="Q58" i="18"/>
  <c r="R58" i="18"/>
  <c r="B117" i="9"/>
  <c r="B117" i="7"/>
  <c r="B117" i="1"/>
  <c r="AD114" i="5"/>
  <c r="AE114" i="5" s="1"/>
  <c r="AI114" i="5" s="1"/>
  <c r="AJ112" i="5"/>
  <c r="AL112" i="5" s="1"/>
  <c r="B116" i="5"/>
  <c r="R114" i="5"/>
  <c r="AG114" i="5" s="1"/>
  <c r="K114" i="5"/>
  <c r="F112" i="5"/>
  <c r="B119" i="5"/>
  <c r="R117" i="5"/>
  <c r="AG117" i="5" s="1"/>
  <c r="AE117" i="5"/>
  <c r="K117" i="5"/>
  <c r="R121" i="14"/>
  <c r="B125" i="14"/>
  <c r="S122" i="14"/>
  <c r="U122" i="14"/>
  <c r="T122" i="14"/>
  <c r="Q121" i="14"/>
  <c r="B118" i="8"/>
  <c r="BP113" i="1"/>
  <c r="X113" i="7" s="1"/>
  <c r="O112" i="1"/>
  <c r="O113" i="1"/>
  <c r="BQ113" i="1"/>
  <c r="B60" i="15"/>
  <c r="B116" i="1"/>
  <c r="N114" i="1"/>
  <c r="B119" i="8"/>
  <c r="B116" i="9"/>
  <c r="B116" i="7"/>
  <c r="B62" i="18"/>
  <c r="N61" i="18"/>
  <c r="O61" i="18"/>
  <c r="Q115" i="5" l="1"/>
  <c r="U115" i="5" s="1"/>
  <c r="Q112" i="5"/>
  <c r="U112" i="5" s="1"/>
  <c r="R107" i="8"/>
  <c r="DU60" i="18"/>
  <c r="I115" i="9"/>
  <c r="TW60" i="18"/>
  <c r="JH60" i="18"/>
  <c r="OD60" i="18"/>
  <c r="SO60" i="18"/>
  <c r="B123" i="19"/>
  <c r="G123" i="19" s="1"/>
  <c r="F121" i="19"/>
  <c r="D48" i="19"/>
  <c r="E49" i="19"/>
  <c r="Q26" i="15"/>
  <c r="P26" i="15"/>
  <c r="D48" i="8"/>
  <c r="R48" i="8" s="1"/>
  <c r="G26" i="15"/>
  <c r="E49" i="8"/>
  <c r="L49" i="7"/>
  <c r="L48" i="7"/>
  <c r="N48" i="7"/>
  <c r="K49" i="7"/>
  <c r="K48" i="7"/>
  <c r="N49" i="7"/>
  <c r="PU60" i="18"/>
  <c r="EL60" i="18"/>
  <c r="MC60" i="18"/>
  <c r="I114" i="9"/>
  <c r="CE60" i="18"/>
  <c r="J117" i="5"/>
  <c r="F117" i="5" s="1"/>
  <c r="GH60" i="18"/>
  <c r="L115" i="9"/>
  <c r="L114" i="9"/>
  <c r="M113" i="9"/>
  <c r="M112" i="9"/>
  <c r="J115" i="9"/>
  <c r="J114" i="9"/>
  <c r="H117" i="9"/>
  <c r="K117" i="9" s="1"/>
  <c r="UU60" i="18"/>
  <c r="F118" i="8"/>
  <c r="G118" i="8"/>
  <c r="F119" i="8"/>
  <c r="G119" i="8"/>
  <c r="I116" i="7"/>
  <c r="J116" i="7"/>
  <c r="H116" i="9"/>
  <c r="K116" i="9" s="1"/>
  <c r="I117" i="7"/>
  <c r="J117" i="7"/>
  <c r="E60" i="15"/>
  <c r="D60" i="15"/>
  <c r="D62" i="18"/>
  <c r="F62" i="18" s="1"/>
  <c r="E62" i="18"/>
  <c r="G62" i="18" s="1"/>
  <c r="I119" i="5"/>
  <c r="I116" i="5"/>
  <c r="J116" i="5" s="1"/>
  <c r="H116" i="1"/>
  <c r="I116" i="1" s="1"/>
  <c r="H117" i="1"/>
  <c r="I117" i="1" s="1"/>
  <c r="SA60" i="18"/>
  <c r="SU60" i="18"/>
  <c r="SI60" i="18"/>
  <c r="QX60" i="18"/>
  <c r="U60" i="15"/>
  <c r="Y60" i="18" s="1"/>
  <c r="TQ60" i="18"/>
  <c r="T60" i="15"/>
  <c r="RE60" i="18"/>
  <c r="KX60" i="18"/>
  <c r="KA60" i="18"/>
  <c r="OU60" i="18"/>
  <c r="LU60" i="18"/>
  <c r="TG60" i="18"/>
  <c r="IV60" i="18"/>
  <c r="PN60" i="18"/>
  <c r="TL60" i="18"/>
  <c r="BX60" i="18"/>
  <c r="EQ60" i="18"/>
  <c r="AS60" i="18"/>
  <c r="UO60" i="18"/>
  <c r="IE60" i="18"/>
  <c r="WL60" i="18"/>
  <c r="MU60" i="18"/>
  <c r="UE60" i="18"/>
  <c r="BR60" i="18"/>
  <c r="PZ60" i="18"/>
  <c r="LJ60" i="18"/>
  <c r="GC60" i="18"/>
  <c r="QW60" i="18"/>
  <c r="MY60" i="18"/>
  <c r="KS60" i="18"/>
  <c r="OJ60" i="18"/>
  <c r="FQ60" i="18"/>
  <c r="SY60" i="18"/>
  <c r="AM60" i="18"/>
  <c r="KE60" i="18"/>
  <c r="OW60" i="18"/>
  <c r="TF60" i="18"/>
  <c r="IU60" i="18"/>
  <c r="BW60" i="18"/>
  <c r="CJ60" i="18"/>
  <c r="NL60" i="18"/>
  <c r="CC60" i="18"/>
  <c r="XC60" i="18"/>
  <c r="HF60" i="18"/>
  <c r="QR60" i="18"/>
  <c r="VZ60" i="18"/>
  <c r="JU60" i="18"/>
  <c r="AT60" i="18"/>
  <c r="UQ60" i="18"/>
  <c r="KG60" i="18"/>
  <c r="JO60" i="18"/>
  <c r="PO60" i="18"/>
  <c r="TR60" i="18"/>
  <c r="OK60" i="18"/>
  <c r="BM60" i="18"/>
  <c r="QF60" i="18"/>
  <c r="JY60" i="18"/>
  <c r="UP60" i="18"/>
  <c r="GA60" i="18"/>
  <c r="OI60" i="18"/>
  <c r="JT60" i="18"/>
  <c r="QS60" i="18"/>
  <c r="FW60" i="18"/>
  <c r="GS60" i="18"/>
  <c r="IK60" i="18"/>
  <c r="VM60" i="18"/>
  <c r="IO60" i="18"/>
  <c r="NS60" i="18"/>
  <c r="RP60" i="18"/>
  <c r="EA60" i="18"/>
  <c r="OP60" i="18"/>
  <c r="EF60" i="18"/>
  <c r="CQ60" i="18"/>
  <c r="JS60" i="18"/>
  <c r="JZ60" i="18"/>
  <c r="RJ60" i="18"/>
  <c r="QY60" i="18"/>
  <c r="UV60" i="18"/>
  <c r="GB60" i="18"/>
  <c r="PY60" i="18"/>
  <c r="MG60" i="18"/>
  <c r="LC60" i="18"/>
  <c r="RV60" i="18"/>
  <c r="DB60" i="18"/>
  <c r="BF60" i="18"/>
  <c r="KW60" i="18"/>
  <c r="UK60" i="18"/>
  <c r="BK60" i="18"/>
  <c r="MN60" i="18"/>
  <c r="QE60" i="18"/>
  <c r="NF60" i="18"/>
  <c r="WS60" i="18"/>
  <c r="JM60" i="18"/>
  <c r="CD60" i="18"/>
  <c r="KF60" i="18"/>
  <c r="FO60" i="18"/>
  <c r="OV60" i="18"/>
  <c r="BL60" i="18"/>
  <c r="TE60" i="18"/>
  <c r="UW60" i="18"/>
  <c r="PM60" i="18"/>
  <c r="KY60" i="18"/>
  <c r="QG60" i="18"/>
  <c r="BY60" i="18"/>
  <c r="CO60" i="18"/>
  <c r="TS60" i="18"/>
  <c r="BG60" i="18"/>
  <c r="IW60" i="18"/>
  <c r="QQ60" i="18"/>
  <c r="HL60" i="18"/>
  <c r="CU60" i="18"/>
  <c r="NE60" i="18"/>
  <c r="QK60" i="18"/>
  <c r="VS60" i="18"/>
  <c r="BE60" i="18"/>
  <c r="WF60" i="18"/>
  <c r="JB60" i="18"/>
  <c r="AZ60" i="18"/>
  <c r="PH60" i="18"/>
  <c r="VB60" i="18"/>
  <c r="VC60" i="18"/>
  <c r="QA60" i="18"/>
  <c r="UC60" i="18"/>
  <c r="MT60" i="18"/>
  <c r="MH60" i="18"/>
  <c r="HW60" i="18"/>
  <c r="LP60" i="18"/>
  <c r="TA60" i="18"/>
  <c r="WQ60" i="18"/>
  <c r="XD60" i="18"/>
  <c r="UD60" i="18"/>
  <c r="MZ60" i="18"/>
  <c r="DH60" i="18"/>
  <c r="GZ60" i="18"/>
  <c r="KR60" i="18"/>
  <c r="FV60" i="18"/>
  <c r="PA60" i="18"/>
  <c r="MS60" i="18"/>
  <c r="XE60" i="18"/>
  <c r="IP60" i="18"/>
  <c r="MI60" i="18"/>
  <c r="ER60" i="18"/>
  <c r="NQ60" i="18"/>
  <c r="JG60" i="18"/>
  <c r="NG60" i="18"/>
  <c r="FU60" i="18"/>
  <c r="AU60" i="18"/>
  <c r="AN60" i="18"/>
  <c r="BA60" i="18"/>
  <c r="KQ60" i="18"/>
  <c r="ES60" i="18"/>
  <c r="XI60" i="18"/>
  <c r="EY60" i="18"/>
  <c r="NW60" i="18"/>
  <c r="EM60" i="18"/>
  <c r="SC60" i="18"/>
  <c r="NR60" i="18"/>
  <c r="VU60" i="18"/>
  <c r="WR60" i="18"/>
  <c r="SZ60" i="18"/>
  <c r="AY60" i="18"/>
  <c r="IQ60" i="18"/>
  <c r="EW60" i="18"/>
  <c r="EK60" i="18"/>
  <c r="SB60" i="18"/>
  <c r="JI60" i="18"/>
  <c r="VT60" i="18"/>
  <c r="XJ60" i="18"/>
  <c r="NX60" i="18"/>
  <c r="NA60" i="18"/>
  <c r="HM60" i="18"/>
  <c r="HK60" i="18"/>
  <c r="WE60" i="18"/>
  <c r="WM60" i="18"/>
  <c r="SS60" i="18"/>
  <c r="PB60" i="18"/>
  <c r="HS60" i="18"/>
  <c r="DY60" i="18"/>
  <c r="WX60" i="18"/>
  <c r="NM60" i="18"/>
  <c r="IC60" i="18"/>
  <c r="CV60" i="18"/>
  <c r="LQ60" i="18"/>
  <c r="II60" i="18"/>
  <c r="QL60" i="18"/>
  <c r="DI60" i="18"/>
  <c r="SM60" i="18"/>
  <c r="FJ60" i="18"/>
  <c r="GI60" i="18"/>
  <c r="PS60" i="18"/>
  <c r="TX60" i="18"/>
  <c r="HY60" i="18"/>
  <c r="VN60" i="18"/>
  <c r="OE60" i="18"/>
  <c r="KL60" i="18"/>
  <c r="GT60" i="18"/>
  <c r="VI60" i="18"/>
  <c r="RC60" i="18"/>
  <c r="LV60" i="18"/>
  <c r="CK60" i="18"/>
  <c r="UI60" i="18"/>
  <c r="LD60" i="18"/>
  <c r="PI60" i="18"/>
  <c r="MA60" i="18"/>
  <c r="BQ60" i="18"/>
  <c r="EG60" i="18"/>
  <c r="SG60" i="18"/>
  <c r="FD60" i="18"/>
  <c r="JC60" i="18"/>
  <c r="DS60" i="18"/>
  <c r="DN60" i="18"/>
  <c r="WV61" i="18"/>
  <c r="VX61" i="18"/>
  <c r="UZ61" i="18"/>
  <c r="UB61" i="18"/>
  <c r="TD61" i="18"/>
  <c r="SF61" i="18"/>
  <c r="RH61" i="18"/>
  <c r="QJ61" i="18"/>
  <c r="PL61" i="18"/>
  <c r="ON61" i="18"/>
  <c r="NP61" i="18"/>
  <c r="MR61" i="18"/>
  <c r="LT61" i="18"/>
  <c r="KV61" i="18"/>
  <c r="JX61" i="18"/>
  <c r="IZ61" i="18"/>
  <c r="IB61" i="18"/>
  <c r="HD61" i="18"/>
  <c r="GF61" i="18"/>
  <c r="FH61" i="18"/>
  <c r="EJ61" i="18"/>
  <c r="DL61" i="18"/>
  <c r="CN61" i="18"/>
  <c r="BP61" i="18"/>
  <c r="AR61" i="18"/>
  <c r="WP61" i="18"/>
  <c r="WD61" i="18"/>
  <c r="UN61" i="18"/>
  <c r="SX61" i="18"/>
  <c r="SL61" i="18"/>
  <c r="QV61" i="18"/>
  <c r="PF61" i="18"/>
  <c r="OT61" i="18"/>
  <c r="ND61" i="18"/>
  <c r="LN61" i="18"/>
  <c r="LB61" i="18"/>
  <c r="JL61" i="18"/>
  <c r="HV61" i="18"/>
  <c r="HJ61" i="18"/>
  <c r="FT61" i="18"/>
  <c r="ED61" i="18"/>
  <c r="DR61" i="18"/>
  <c r="CB61" i="18"/>
  <c r="AL61" i="18"/>
  <c r="XH61" i="18"/>
  <c r="VR61" i="18"/>
  <c r="PR61" i="18"/>
  <c r="OB61" i="18"/>
  <c r="MX61" i="18"/>
  <c r="ML61" i="18"/>
  <c r="LH61" i="18"/>
  <c r="KD61" i="18"/>
  <c r="JR61" i="18"/>
  <c r="IN61" i="18"/>
  <c r="GX61" i="18"/>
  <c r="AX61" i="18"/>
  <c r="TJ61" i="18"/>
  <c r="RT61" i="18"/>
  <c r="QP61" i="18"/>
  <c r="QD61" i="18"/>
  <c r="OZ61" i="18"/>
  <c r="NV61" i="18"/>
  <c r="NJ61" i="18"/>
  <c r="MF61" i="18"/>
  <c r="KP61" i="18"/>
  <c r="EP61" i="18"/>
  <c r="CZ61" i="18"/>
  <c r="BV61" i="18"/>
  <c r="BJ61" i="18"/>
  <c r="VL61" i="18"/>
  <c r="UH61" i="18"/>
  <c r="RB61" i="18"/>
  <c r="PX61" i="18"/>
  <c r="IH61" i="18"/>
  <c r="FB61" i="18"/>
  <c r="DX61" i="18"/>
  <c r="CT61" i="18"/>
  <c r="WJ61" i="18"/>
  <c r="VF61" i="18"/>
  <c r="RZ61" i="18"/>
  <c r="KJ61" i="18"/>
  <c r="JF61" i="18"/>
  <c r="FZ61" i="18"/>
  <c r="EV61" i="18"/>
  <c r="XB61" i="18"/>
  <c r="SR61" i="18"/>
  <c r="OH61" i="18"/>
  <c r="FN61" i="18"/>
  <c r="BD61" i="18"/>
  <c r="UT61" i="18"/>
  <c r="LZ61" i="18"/>
  <c r="HP61" i="18"/>
  <c r="DF61" i="18"/>
  <c r="TV61" i="18"/>
  <c r="RN61" i="18"/>
  <c r="GR61" i="18"/>
  <c r="CH61" i="18"/>
  <c r="TP61" i="18"/>
  <c r="IT61" i="18"/>
  <c r="GL61" i="18"/>
  <c r="WO61" i="18"/>
  <c r="VQ61" i="18"/>
  <c r="VT61" i="18" s="1"/>
  <c r="US61" i="18"/>
  <c r="TU61" i="18"/>
  <c r="SW61" i="18"/>
  <c r="TA61" i="18" s="1"/>
  <c r="RY61" i="18"/>
  <c r="RA61" i="18"/>
  <c r="QC61" i="18"/>
  <c r="PE61" i="18"/>
  <c r="OG61" i="18"/>
  <c r="NI61" i="18"/>
  <c r="MK61" i="18"/>
  <c r="LM61" i="18"/>
  <c r="KO61" i="18"/>
  <c r="JQ61" i="18"/>
  <c r="IS61" i="18"/>
  <c r="HU61" i="18"/>
  <c r="GW61" i="18"/>
  <c r="FY61" i="18"/>
  <c r="FA61" i="18"/>
  <c r="EC61" i="18"/>
  <c r="DE61" i="18"/>
  <c r="CG61" i="18"/>
  <c r="BI61" i="18"/>
  <c r="AK61" i="18"/>
  <c r="XA61" i="18"/>
  <c r="VK61" i="18"/>
  <c r="UY61" i="18"/>
  <c r="TI61" i="18"/>
  <c r="TM61" i="18" s="1"/>
  <c r="RS61" i="18"/>
  <c r="RU61" i="18" s="1"/>
  <c r="RG61" i="18"/>
  <c r="PQ61" i="18"/>
  <c r="OA61" i="18"/>
  <c r="NO61" i="18"/>
  <c r="LY61" i="18"/>
  <c r="KI61" i="18"/>
  <c r="JW61" i="18"/>
  <c r="IG61" i="18"/>
  <c r="IJ61" i="18" s="1"/>
  <c r="GQ61" i="18"/>
  <c r="GE61" i="18"/>
  <c r="EO61" i="18"/>
  <c r="CY61" i="18"/>
  <c r="CM61" i="18"/>
  <c r="AW61" i="18"/>
  <c r="WU61" i="18"/>
  <c r="WI61" i="18"/>
  <c r="VE61" i="18"/>
  <c r="UA61" i="18"/>
  <c r="TO61" i="18"/>
  <c r="SK61" i="18"/>
  <c r="SM61" i="18" s="1"/>
  <c r="QU61" i="18"/>
  <c r="QY61" i="18" s="1"/>
  <c r="KU61" i="18"/>
  <c r="JE61" i="18"/>
  <c r="IA61" i="18"/>
  <c r="HO61" i="18"/>
  <c r="GK61" i="18"/>
  <c r="FG61" i="18"/>
  <c r="EU61" i="18"/>
  <c r="DQ61" i="18"/>
  <c r="CA61" i="18"/>
  <c r="XG61" i="18"/>
  <c r="WC61" i="18"/>
  <c r="UM61" i="18"/>
  <c r="OM61" i="18"/>
  <c r="MW61" i="18"/>
  <c r="MZ61" i="18" s="1"/>
  <c r="LS61" i="18"/>
  <c r="LG61" i="18"/>
  <c r="KC61" i="18"/>
  <c r="KG61" i="18" s="1"/>
  <c r="IY61" i="18"/>
  <c r="IM61" i="18"/>
  <c r="HI61" i="18"/>
  <c r="HK61" i="18" s="1"/>
  <c r="FS61" i="18"/>
  <c r="SE61" i="18"/>
  <c r="OY61" i="18"/>
  <c r="NU61" i="18"/>
  <c r="MQ61" i="18"/>
  <c r="MS61" i="18" s="1"/>
  <c r="JK61" i="18"/>
  <c r="JM61" i="18" s="1"/>
  <c r="BU61" i="18"/>
  <c r="AQ61" i="18"/>
  <c r="UG61" i="18"/>
  <c r="TC61" i="18"/>
  <c r="PW61" i="18"/>
  <c r="OS61" i="18"/>
  <c r="HC61" i="18"/>
  <c r="DW61" i="18"/>
  <c r="CS61" i="18"/>
  <c r="BO61" i="18"/>
  <c r="QO61" i="18"/>
  <c r="ME61" i="18"/>
  <c r="DK61" i="18"/>
  <c r="DM61" i="18" s="1"/>
  <c r="SQ61" i="18"/>
  <c r="QI61" i="18"/>
  <c r="FM61" i="18"/>
  <c r="BC61" i="18"/>
  <c r="PK61" i="18"/>
  <c r="LA61" i="18"/>
  <c r="VW61" i="18"/>
  <c r="NC61" i="18"/>
  <c r="NF61" i="18" s="1"/>
  <c r="EI61" i="18"/>
  <c r="RM61" i="18"/>
  <c r="WK60" i="18"/>
  <c r="ST60" i="18"/>
  <c r="LK60" i="18"/>
  <c r="HR60" i="18"/>
  <c r="DZ60" i="18"/>
  <c r="RQ60" i="18"/>
  <c r="NK60" i="18"/>
  <c r="ID60" i="18"/>
  <c r="WA60" i="18"/>
  <c r="LO60" i="18"/>
  <c r="IJ60" i="18"/>
  <c r="MO60" i="18"/>
  <c r="DG60" i="18"/>
  <c r="SN60" i="18"/>
  <c r="TM60" i="18"/>
  <c r="GG60" i="18"/>
  <c r="PT60" i="18"/>
  <c r="OQ60" i="18"/>
  <c r="HX60" i="18"/>
  <c r="RW60" i="18"/>
  <c r="OC60" i="18"/>
  <c r="KK60" i="18"/>
  <c r="DC60" i="18"/>
  <c r="VG60" i="18"/>
  <c r="RD60" i="18"/>
  <c r="GO60" i="18"/>
  <c r="CI60" i="18"/>
  <c r="UJ60" i="18"/>
  <c r="HG60" i="18"/>
  <c r="PG60" i="18"/>
  <c r="MB60" i="18"/>
  <c r="RK60" i="18"/>
  <c r="EE60" i="18"/>
  <c r="SH60" i="18"/>
  <c r="HA60" i="18"/>
  <c r="JA60" i="18"/>
  <c r="DT60" i="18"/>
  <c r="XF62" i="18"/>
  <c r="WH62" i="18"/>
  <c r="VJ62" i="18"/>
  <c r="UL62" i="18"/>
  <c r="TN62" i="18"/>
  <c r="SP62" i="18"/>
  <c r="RR62" i="18"/>
  <c r="QT62" i="18"/>
  <c r="PV62" i="18"/>
  <c r="OX62" i="18"/>
  <c r="NZ62" i="18"/>
  <c r="NB62" i="18"/>
  <c r="MD62" i="18"/>
  <c r="LF62" i="18"/>
  <c r="KH62" i="18"/>
  <c r="JJ62" i="18"/>
  <c r="IL62" i="18"/>
  <c r="HN62" i="18"/>
  <c r="GP62" i="18"/>
  <c r="FR62" i="18"/>
  <c r="ET62" i="18"/>
  <c r="DV62" i="18"/>
  <c r="CX62" i="18"/>
  <c r="BZ62" i="18"/>
  <c r="BB62" i="18"/>
  <c r="WZ62" i="18"/>
  <c r="WN62" i="18"/>
  <c r="UX62" i="18"/>
  <c r="TH62" i="18"/>
  <c r="SV62" i="18"/>
  <c r="RF62" i="18"/>
  <c r="PP62" i="18"/>
  <c r="PD62" i="18"/>
  <c r="NN62" i="18"/>
  <c r="LX62" i="18"/>
  <c r="LL62" i="18"/>
  <c r="JV62" i="18"/>
  <c r="IF62" i="18"/>
  <c r="HT62" i="18"/>
  <c r="GD62" i="18"/>
  <c r="EN62" i="18"/>
  <c r="EB62" i="18"/>
  <c r="CL62" i="18"/>
  <c r="AV62" i="18"/>
  <c r="AJ62" i="18"/>
  <c r="WT62" i="18"/>
  <c r="VP62" i="18"/>
  <c r="VD62" i="18"/>
  <c r="TZ62" i="18"/>
  <c r="SJ62" i="18"/>
  <c r="MJ62" i="18"/>
  <c r="KT62" i="18"/>
  <c r="JP62" i="18"/>
  <c r="JD62" i="18"/>
  <c r="HZ62" i="18"/>
  <c r="GV62" i="18"/>
  <c r="GJ62" i="18"/>
  <c r="FF62" i="18"/>
  <c r="DP62" i="18"/>
  <c r="WB62" i="18"/>
  <c r="QB62" i="18"/>
  <c r="OL62" i="18"/>
  <c r="NH62" i="18"/>
  <c r="MV62" i="18"/>
  <c r="LR62" i="18"/>
  <c r="KN62" i="18"/>
  <c r="KB62" i="18"/>
  <c r="IX62" i="18"/>
  <c r="HH62" i="18"/>
  <c r="BH62" i="18"/>
  <c r="SD62" i="18"/>
  <c r="QZ62" i="18"/>
  <c r="NT62" i="18"/>
  <c r="MP62" i="18"/>
  <c r="EZ62" i="18"/>
  <c r="BT62" i="18"/>
  <c r="AP62" i="18"/>
  <c r="UF62" i="18"/>
  <c r="TB62" i="18"/>
  <c r="RX62" i="18"/>
  <c r="OR62" i="18"/>
  <c r="HB62" i="18"/>
  <c r="FX62" i="18"/>
  <c r="CR62" i="18"/>
  <c r="BN62" i="18"/>
  <c r="TT62" i="18"/>
  <c r="PJ62" i="18"/>
  <c r="KZ62" i="18"/>
  <c r="CF62" i="18"/>
  <c r="VV62" i="18"/>
  <c r="RL62" i="18"/>
  <c r="IR62" i="18"/>
  <c r="EH62" i="18"/>
  <c r="QN62" i="18"/>
  <c r="OF62" i="18"/>
  <c r="DJ62" i="18"/>
  <c r="QH62" i="18"/>
  <c r="FL62" i="18"/>
  <c r="UR62" i="18"/>
  <c r="DD62" i="18"/>
  <c r="PC60" i="18"/>
  <c r="LI60" i="18"/>
  <c r="WY60" i="18"/>
  <c r="RO60" i="18"/>
  <c r="CW60" i="18"/>
  <c r="VY60" i="18"/>
  <c r="QM60" i="18"/>
  <c r="MM60" i="18"/>
  <c r="FK60" i="18"/>
  <c r="TK60" i="18"/>
  <c r="TY60" i="18"/>
  <c r="OO60" i="18"/>
  <c r="VO60" i="18"/>
  <c r="RU60" i="18"/>
  <c r="GU60" i="18"/>
  <c r="DA60" i="18"/>
  <c r="LW60" i="18"/>
  <c r="GM60" i="18"/>
  <c r="LE60" i="18"/>
  <c r="HE60" i="18"/>
  <c r="BS60" i="18"/>
  <c r="RI60" i="18"/>
  <c r="FE60" i="18"/>
  <c r="GY60" i="18"/>
  <c r="DO60" i="18"/>
  <c r="S57" i="18"/>
  <c r="U57" i="18" s="1"/>
  <c r="Q59" i="18"/>
  <c r="R59" i="18"/>
  <c r="P59" i="18"/>
  <c r="S58" i="18" s="1"/>
  <c r="B119" i="1"/>
  <c r="B119" i="9"/>
  <c r="B119" i="7"/>
  <c r="AD116" i="5"/>
  <c r="AE116" i="5" s="1"/>
  <c r="AI116" i="5" s="1"/>
  <c r="B118" i="5"/>
  <c r="R116" i="5"/>
  <c r="AG116" i="5" s="1"/>
  <c r="K116" i="5"/>
  <c r="F114" i="5"/>
  <c r="B121" i="5"/>
  <c r="R119" i="5"/>
  <c r="AG119" i="5" s="1"/>
  <c r="AE119" i="5"/>
  <c r="K119" i="5"/>
  <c r="AJ114" i="5"/>
  <c r="B126" i="14"/>
  <c r="S123" i="14"/>
  <c r="U123" i="14"/>
  <c r="T123" i="14"/>
  <c r="Q122" i="14"/>
  <c r="R122" i="14"/>
  <c r="BQ115" i="1"/>
  <c r="BP115" i="1"/>
  <c r="X115" i="7" s="1"/>
  <c r="O115" i="1"/>
  <c r="O114" i="1"/>
  <c r="B118" i="7"/>
  <c r="B118" i="9"/>
  <c r="B118" i="1"/>
  <c r="N116" i="1"/>
  <c r="B121" i="8"/>
  <c r="B120" i="8"/>
  <c r="B61" i="15"/>
  <c r="B63" i="18"/>
  <c r="O62" i="18"/>
  <c r="N62" i="18"/>
  <c r="Q117" i="5" l="1"/>
  <c r="U117" i="5" s="1"/>
  <c r="R109" i="8"/>
  <c r="WW61" i="18"/>
  <c r="I117" i="9"/>
  <c r="QK61" i="18"/>
  <c r="NK61" i="18"/>
  <c r="RJ61" i="18"/>
  <c r="TG61" i="18"/>
  <c r="B125" i="19"/>
  <c r="G125" i="19" s="1"/>
  <c r="F123" i="19"/>
  <c r="K50" i="7"/>
  <c r="N51" i="7"/>
  <c r="L50" i="7"/>
  <c r="N50" i="7"/>
  <c r="L51" i="7"/>
  <c r="K51" i="7"/>
  <c r="D50" i="19"/>
  <c r="E51" i="19"/>
  <c r="E51" i="8"/>
  <c r="G27" i="15"/>
  <c r="Q27" i="15"/>
  <c r="D50" i="8"/>
  <c r="R50" i="8" s="1"/>
  <c r="P27" i="15"/>
  <c r="GA61" i="18"/>
  <c r="IP61" i="18"/>
  <c r="I116" i="9"/>
  <c r="J119" i="5"/>
  <c r="F119" i="5" s="1"/>
  <c r="GN61" i="18"/>
  <c r="L117" i="9"/>
  <c r="L116" i="9"/>
  <c r="M115" i="9"/>
  <c r="M114" i="9"/>
  <c r="J117" i="9"/>
  <c r="J116" i="9"/>
  <c r="H119" i="9"/>
  <c r="K119" i="9" s="1"/>
  <c r="LJ61" i="18"/>
  <c r="F120" i="8"/>
  <c r="G120" i="8"/>
  <c r="F121" i="8"/>
  <c r="G121" i="8"/>
  <c r="J119" i="7"/>
  <c r="I119" i="7"/>
  <c r="H118" i="9"/>
  <c r="K118" i="9" s="1"/>
  <c r="I118" i="7"/>
  <c r="J118" i="7"/>
  <c r="D61" i="15"/>
  <c r="E61" i="15"/>
  <c r="E63" i="18"/>
  <c r="G63" i="18" s="1"/>
  <c r="D63" i="18"/>
  <c r="F63" i="18" s="1"/>
  <c r="VG61" i="18"/>
  <c r="VI61" i="18"/>
  <c r="XJ61" i="18"/>
  <c r="I121" i="5"/>
  <c r="I118" i="5"/>
  <c r="J118" i="5" s="1"/>
  <c r="WK61" i="18"/>
  <c r="H118" i="1"/>
  <c r="I118" i="1" s="1"/>
  <c r="H119" i="1"/>
  <c r="I119" i="1" s="1"/>
  <c r="QG61" i="18"/>
  <c r="MA61" i="18"/>
  <c r="EG61" i="18"/>
  <c r="U61" i="15"/>
  <c r="Y61" i="18" s="1"/>
  <c r="UC61" i="18"/>
  <c r="AZ61" i="18"/>
  <c r="FU61" i="18"/>
  <c r="LC61" i="18"/>
  <c r="T61" i="15"/>
  <c r="CO61" i="18"/>
  <c r="XK61" i="18"/>
  <c r="EL61" i="18"/>
  <c r="OW61" i="18"/>
  <c r="QS61" i="18"/>
  <c r="SC61" i="18"/>
  <c r="KF61" i="18"/>
  <c r="UE61" i="18"/>
  <c r="BQ61" i="18"/>
  <c r="HQ61" i="18"/>
  <c r="RC61" i="18"/>
  <c r="GM61" i="18"/>
  <c r="PG61" i="18"/>
  <c r="PT61" i="18"/>
  <c r="GH61" i="18"/>
  <c r="CQ61" i="18"/>
  <c r="BG61" i="18"/>
  <c r="BS61" i="18"/>
  <c r="GY61" i="18"/>
  <c r="DO61" i="18"/>
  <c r="ST61" i="18"/>
  <c r="IO61" i="18"/>
  <c r="WM61" i="18"/>
  <c r="HG61" i="18"/>
  <c r="GI61" i="18"/>
  <c r="OV61" i="18"/>
  <c r="IU61" i="18"/>
  <c r="PY61" i="18"/>
  <c r="XI61" i="18"/>
  <c r="NA61" i="18"/>
  <c r="TF61" i="18"/>
  <c r="VH61" i="18"/>
  <c r="TL61" i="18"/>
  <c r="QQ61" i="18"/>
  <c r="PU61" i="18"/>
  <c r="IV61" i="18"/>
  <c r="HS61" i="18"/>
  <c r="RD61" i="18"/>
  <c r="MH61" i="18"/>
  <c r="AN61" i="18"/>
  <c r="PI61" i="18"/>
  <c r="BR61" i="18"/>
  <c r="MY61" i="18"/>
  <c r="CK61" i="18"/>
  <c r="JS61" i="18"/>
  <c r="LP61" i="18"/>
  <c r="JZ61" i="18"/>
  <c r="GC61" i="18"/>
  <c r="RI61" i="18"/>
  <c r="LI61" i="18"/>
  <c r="RE61" i="18"/>
  <c r="BE61" i="18"/>
  <c r="QA61" i="18"/>
  <c r="PB61" i="18"/>
  <c r="GG61" i="18"/>
  <c r="KE61" i="18"/>
  <c r="QR61" i="18"/>
  <c r="UD61" i="18"/>
  <c r="PS61" i="18"/>
  <c r="QF61" i="18"/>
  <c r="UO61" i="18"/>
  <c r="IW61" i="18"/>
  <c r="GB61" i="18"/>
  <c r="RK61" i="18"/>
  <c r="LK61" i="18"/>
  <c r="HR61" i="18"/>
  <c r="EK61" i="18"/>
  <c r="GO61" i="18"/>
  <c r="CP61" i="18"/>
  <c r="BX61" i="18"/>
  <c r="LD61" i="18"/>
  <c r="FP61" i="18"/>
  <c r="MI61" i="18"/>
  <c r="DY61" i="18"/>
  <c r="JA61" i="18"/>
  <c r="FI61" i="18"/>
  <c r="KA61" i="18"/>
  <c r="OE61" i="18"/>
  <c r="LO61" i="18"/>
  <c r="QE61" i="18"/>
  <c r="GT61" i="18"/>
  <c r="AM61" i="18"/>
  <c r="EM61" i="18"/>
  <c r="GU61" i="18"/>
  <c r="NL61" i="18"/>
  <c r="GS61" i="18"/>
  <c r="EW61" i="18"/>
  <c r="GZ61" i="18"/>
  <c r="SA61" i="18"/>
  <c r="PH61" i="18"/>
  <c r="TR61" i="18"/>
  <c r="SU61" i="18"/>
  <c r="VO61" i="18"/>
  <c r="EQ61" i="18"/>
  <c r="MM61" i="18"/>
  <c r="DS61" i="18"/>
  <c r="HY61" i="18"/>
  <c r="HE61" i="18"/>
  <c r="SH61" i="18"/>
  <c r="WA61" i="18"/>
  <c r="EY61" i="18"/>
  <c r="DN61" i="18"/>
  <c r="DU61" i="18"/>
  <c r="ES61" i="18"/>
  <c r="WL61" i="18"/>
  <c r="SS61" i="18"/>
  <c r="MO61" i="18"/>
  <c r="HF61" i="18"/>
  <c r="SB61" i="18"/>
  <c r="VZ61" i="18"/>
  <c r="SI61" i="18"/>
  <c r="TQ61" i="18"/>
  <c r="ER61" i="18"/>
  <c r="HX61" i="18"/>
  <c r="BF61" i="18"/>
  <c r="PZ61" i="18"/>
  <c r="LW61" i="18"/>
  <c r="IQ61" i="18"/>
  <c r="EX61" i="18"/>
  <c r="HA61" i="18"/>
  <c r="DT61" i="18"/>
  <c r="MN61" i="18"/>
  <c r="II61" i="18"/>
  <c r="KW61" i="18"/>
  <c r="BW61" i="18"/>
  <c r="TS61" i="18"/>
  <c r="MG61" i="18"/>
  <c r="SG61" i="18"/>
  <c r="TE61" i="18"/>
  <c r="TK61" i="18"/>
  <c r="LQ61" i="18"/>
  <c r="JY61" i="18"/>
  <c r="OU61" i="18"/>
  <c r="AO61" i="18"/>
  <c r="OD61" i="18"/>
  <c r="NM61" i="18"/>
  <c r="RO61" i="18"/>
  <c r="UJ61" i="18"/>
  <c r="CE61" i="18"/>
  <c r="VC61" i="18"/>
  <c r="EA61" i="18"/>
  <c r="SZ61" i="18"/>
  <c r="PC61" i="18"/>
  <c r="LV61" i="18"/>
  <c r="WE61" i="18"/>
  <c r="DA61" i="18"/>
  <c r="NS61" i="18"/>
  <c r="KK61" i="18"/>
  <c r="LE61" i="18"/>
  <c r="WY61" i="18"/>
  <c r="VM61" i="18"/>
  <c r="BY61" i="18"/>
  <c r="LU61" i="18"/>
  <c r="IK61" i="18"/>
  <c r="WF61" i="18"/>
  <c r="DC61" i="18"/>
  <c r="XC61" i="18"/>
  <c r="VN61" i="18"/>
  <c r="PA61" i="18"/>
  <c r="WG61" i="18"/>
  <c r="NR61" i="18"/>
  <c r="VY61" i="18"/>
  <c r="OO61" i="18"/>
  <c r="KX61" i="18"/>
  <c r="KY61" i="18"/>
  <c r="NW61" i="18"/>
  <c r="XE61" i="18"/>
  <c r="KR61" i="18"/>
  <c r="FE61" i="18"/>
  <c r="DH61" i="18"/>
  <c r="UK61" i="18"/>
  <c r="RP61" i="18"/>
  <c r="JG61" i="18"/>
  <c r="HW61" i="18"/>
  <c r="WR61" i="18"/>
  <c r="RW61" i="18"/>
  <c r="NQ61" i="18"/>
  <c r="BA61" i="18"/>
  <c r="RQ61" i="18"/>
  <c r="DG61" i="18"/>
  <c r="XD61" i="18"/>
  <c r="KL61" i="18"/>
  <c r="BK61" i="18"/>
  <c r="KQ61" i="18"/>
  <c r="JT61" i="18"/>
  <c r="AU61" i="18"/>
  <c r="FO61" i="18"/>
  <c r="DZ61" i="18"/>
  <c r="RV61" i="18"/>
  <c r="OC61" i="18"/>
  <c r="DB61" i="18"/>
  <c r="BM61" i="18"/>
  <c r="DI61" i="18"/>
  <c r="WX61" i="18"/>
  <c r="SY61" i="18"/>
  <c r="FK61" i="18"/>
  <c r="KS61" i="18"/>
  <c r="TX61" i="18"/>
  <c r="KM61" i="18"/>
  <c r="FQ61" i="18"/>
  <c r="BL61" i="18"/>
  <c r="JU61" i="18"/>
  <c r="FJ61" i="18"/>
  <c r="PM61" i="18"/>
  <c r="AS61" i="18"/>
  <c r="NX61" i="18"/>
  <c r="CJ61" i="18"/>
  <c r="CW61" i="18"/>
  <c r="IC61" i="18"/>
  <c r="UI61" i="18"/>
  <c r="AY61" i="18"/>
  <c r="NY61" i="18"/>
  <c r="CI61" i="18"/>
  <c r="AT61" i="18"/>
  <c r="UV61" i="18"/>
  <c r="OJ61" i="18"/>
  <c r="UQ61" i="18"/>
  <c r="QX61" i="18"/>
  <c r="NE61" i="18"/>
  <c r="FW61" i="18"/>
  <c r="CD61" i="18"/>
  <c r="TW61" i="18"/>
  <c r="JI61" i="18"/>
  <c r="FD61" i="18"/>
  <c r="UU61" i="18"/>
  <c r="MC61" i="18"/>
  <c r="CV61" i="18"/>
  <c r="VS61" i="18"/>
  <c r="IE61" i="18"/>
  <c r="EF61" i="18"/>
  <c r="WQ61" i="18"/>
  <c r="MU61" i="18"/>
  <c r="VB61" i="18"/>
  <c r="OI61" i="18"/>
  <c r="PO61" i="18"/>
  <c r="XF63" i="18"/>
  <c r="WH63" i="18"/>
  <c r="VJ63" i="18"/>
  <c r="UL63" i="18"/>
  <c r="TN63" i="18"/>
  <c r="SP63" i="18"/>
  <c r="RR63" i="18"/>
  <c r="QT63" i="18"/>
  <c r="PV63" i="18"/>
  <c r="OX63" i="18"/>
  <c r="NZ63" i="18"/>
  <c r="NB63" i="18"/>
  <c r="MD63" i="18"/>
  <c r="LF63" i="18"/>
  <c r="KH63" i="18"/>
  <c r="JJ63" i="18"/>
  <c r="IL63" i="18"/>
  <c r="HN63" i="18"/>
  <c r="GP63" i="18"/>
  <c r="FR63" i="18"/>
  <c r="ET63" i="18"/>
  <c r="DV63" i="18"/>
  <c r="CX63" i="18"/>
  <c r="BZ63" i="18"/>
  <c r="BB63" i="18"/>
  <c r="WB63" i="18"/>
  <c r="VP63" i="18"/>
  <c r="TZ63" i="18"/>
  <c r="SJ63" i="18"/>
  <c r="RX63" i="18"/>
  <c r="QH63" i="18"/>
  <c r="OR63" i="18"/>
  <c r="OF63" i="18"/>
  <c r="MP63" i="18"/>
  <c r="KZ63" i="18"/>
  <c r="KN63" i="18"/>
  <c r="IX63" i="18"/>
  <c r="HH63" i="18"/>
  <c r="GV63" i="18"/>
  <c r="FF63" i="18"/>
  <c r="DP63" i="18"/>
  <c r="DD63" i="18"/>
  <c r="BN63" i="18"/>
  <c r="SV63" i="18"/>
  <c r="RF63" i="18"/>
  <c r="QB63" i="18"/>
  <c r="PP63" i="18"/>
  <c r="OL63" i="18"/>
  <c r="NH63" i="18"/>
  <c r="MV63" i="18"/>
  <c r="LR63" i="18"/>
  <c r="KB63" i="18"/>
  <c r="EB63" i="18"/>
  <c r="CL63" i="18"/>
  <c r="BH63" i="18"/>
  <c r="AV63" i="18"/>
  <c r="WN63" i="18"/>
  <c r="UX63" i="18"/>
  <c r="TT63" i="18"/>
  <c r="TH63" i="18"/>
  <c r="SD63" i="18"/>
  <c r="QZ63" i="18"/>
  <c r="QN63" i="18"/>
  <c r="PJ63" i="18"/>
  <c r="NT63" i="18"/>
  <c r="HT63" i="18"/>
  <c r="GD63" i="18"/>
  <c r="EZ63" i="18"/>
  <c r="EN63" i="18"/>
  <c r="DJ63" i="18"/>
  <c r="CF63" i="18"/>
  <c r="BT63" i="18"/>
  <c r="AP63" i="18"/>
  <c r="UF63" i="18"/>
  <c r="TB63" i="18"/>
  <c r="LL63" i="18"/>
  <c r="IF63" i="18"/>
  <c r="HB63" i="18"/>
  <c r="FX63" i="18"/>
  <c r="CR63" i="18"/>
  <c r="VD63" i="18"/>
  <c r="NN63" i="18"/>
  <c r="MJ63" i="18"/>
  <c r="JD63" i="18"/>
  <c r="HZ63" i="18"/>
  <c r="AJ63" i="18"/>
  <c r="WZ63" i="18"/>
  <c r="UR63" i="18"/>
  <c r="JV63" i="18"/>
  <c r="FL63" i="18"/>
  <c r="WT63" i="18"/>
  <c r="LX63" i="18"/>
  <c r="JP63" i="18"/>
  <c r="VV63" i="18"/>
  <c r="RL63" i="18"/>
  <c r="IR63" i="18"/>
  <c r="EH63" i="18"/>
  <c r="KT63" i="18"/>
  <c r="PD63" i="18"/>
  <c r="GJ63" i="18"/>
  <c r="WO62" i="18"/>
  <c r="VQ62" i="18"/>
  <c r="US62" i="18"/>
  <c r="TU62" i="18"/>
  <c r="SW62" i="18"/>
  <c r="RY62" i="18"/>
  <c r="RA62" i="18"/>
  <c r="QC62" i="18"/>
  <c r="PE62" i="18"/>
  <c r="OG62" i="18"/>
  <c r="NI62" i="18"/>
  <c r="MK62" i="18"/>
  <c r="LM62" i="18"/>
  <c r="KO62" i="18"/>
  <c r="JQ62" i="18"/>
  <c r="IS62" i="18"/>
  <c r="HU62" i="18"/>
  <c r="GW62" i="18"/>
  <c r="FY62" i="18"/>
  <c r="FA62" i="18"/>
  <c r="EC62" i="18"/>
  <c r="DE62" i="18"/>
  <c r="CG62" i="18"/>
  <c r="BI62" i="18"/>
  <c r="AK62" i="18"/>
  <c r="WC62" i="18"/>
  <c r="UM62" i="18"/>
  <c r="UA62" i="18"/>
  <c r="SK62" i="18"/>
  <c r="QU62" i="18"/>
  <c r="QI62" i="18"/>
  <c r="OS62" i="18"/>
  <c r="NC62" i="18"/>
  <c r="MQ62" i="18"/>
  <c r="LA62" i="18"/>
  <c r="JK62" i="18"/>
  <c r="IY62" i="18"/>
  <c r="HI62" i="18"/>
  <c r="FS62" i="18"/>
  <c r="FG62" i="18"/>
  <c r="DQ62" i="18"/>
  <c r="CA62" i="18"/>
  <c r="BO62" i="18"/>
  <c r="XG62" i="18"/>
  <c r="RG62" i="18"/>
  <c r="PQ62" i="18"/>
  <c r="OM62" i="18"/>
  <c r="OA62" i="18"/>
  <c r="MW62" i="18"/>
  <c r="LS62" i="18"/>
  <c r="LG62" i="18"/>
  <c r="KC62" i="18"/>
  <c r="IM62" i="18"/>
  <c r="CM62" i="18"/>
  <c r="AW62" i="18"/>
  <c r="UY62" i="18"/>
  <c r="TI62" i="18"/>
  <c r="SE62" i="18"/>
  <c r="RS62" i="18"/>
  <c r="QO62" i="18"/>
  <c r="PK62" i="18"/>
  <c r="OY62" i="18"/>
  <c r="NU62" i="18"/>
  <c r="ME62" i="18"/>
  <c r="GE62" i="18"/>
  <c r="EO62" i="18"/>
  <c r="DK62" i="18"/>
  <c r="CY62" i="18"/>
  <c r="BU62" i="18"/>
  <c r="AQ62" i="18"/>
  <c r="VK62" i="18"/>
  <c r="UG62" i="18"/>
  <c r="TC62" i="18"/>
  <c r="PW62" i="18"/>
  <c r="IG62" i="18"/>
  <c r="HC62" i="18"/>
  <c r="DW62" i="18"/>
  <c r="CS62" i="18"/>
  <c r="WI62" i="18"/>
  <c r="VE62" i="18"/>
  <c r="NO62" i="18"/>
  <c r="KI62" i="18"/>
  <c r="JE62" i="18"/>
  <c r="IA62" i="18"/>
  <c r="EU62" i="18"/>
  <c r="VW62" i="18"/>
  <c r="RM62" i="18"/>
  <c r="GQ62" i="18"/>
  <c r="EI62" i="18"/>
  <c r="TO62" i="18"/>
  <c r="KU62" i="18"/>
  <c r="GK62" i="18"/>
  <c r="XA62" i="18"/>
  <c r="SQ62" i="18"/>
  <c r="JW62" i="18"/>
  <c r="FM62" i="18"/>
  <c r="BC62" i="18"/>
  <c r="HO62" i="18"/>
  <c r="WU62" i="18"/>
  <c r="LY62" i="18"/>
  <c r="UP61" i="18"/>
  <c r="QW61" i="18"/>
  <c r="JO61" i="18"/>
  <c r="FV61" i="18"/>
  <c r="CC61" i="18"/>
  <c r="OQ61" i="18"/>
  <c r="JH61" i="18"/>
  <c r="FC61" i="18"/>
  <c r="QM61" i="18"/>
  <c r="MB61" i="18"/>
  <c r="CU61" i="18"/>
  <c r="SO61" i="18"/>
  <c r="ID61" i="18"/>
  <c r="EE61" i="18"/>
  <c r="HM61" i="18"/>
  <c r="MT61" i="18"/>
  <c r="VA61" i="18"/>
  <c r="JC61" i="18"/>
  <c r="PN61" i="18"/>
  <c r="WV62" i="18"/>
  <c r="VX62" i="18"/>
  <c r="UZ62" i="18"/>
  <c r="UB62" i="18"/>
  <c r="TD62" i="18"/>
  <c r="SF62" i="18"/>
  <c r="RH62" i="18"/>
  <c r="QJ62" i="18"/>
  <c r="PL62" i="18"/>
  <c r="ON62" i="18"/>
  <c r="NP62" i="18"/>
  <c r="MR62" i="18"/>
  <c r="LT62" i="18"/>
  <c r="KV62" i="18"/>
  <c r="JX62" i="18"/>
  <c r="IZ62" i="18"/>
  <c r="IB62" i="18"/>
  <c r="IC62" i="18" s="1"/>
  <c r="HD62" i="18"/>
  <c r="GF62" i="18"/>
  <c r="FH62" i="18"/>
  <c r="EJ62" i="18"/>
  <c r="DL62" i="18"/>
  <c r="CN62" i="18"/>
  <c r="BP62" i="18"/>
  <c r="BR62" i="18" s="1"/>
  <c r="AR62" i="18"/>
  <c r="XH62" i="18"/>
  <c r="VR62" i="18"/>
  <c r="VT62" i="18" s="1"/>
  <c r="VF62" i="18"/>
  <c r="TP62" i="18"/>
  <c r="RZ62" i="18"/>
  <c r="RN62" i="18"/>
  <c r="PX62" i="18"/>
  <c r="OH62" i="18"/>
  <c r="NV62" i="18"/>
  <c r="MF62" i="18"/>
  <c r="KP62" i="18"/>
  <c r="KD62" i="18"/>
  <c r="IN62" i="18"/>
  <c r="GX62" i="18"/>
  <c r="GY62" i="18" s="1"/>
  <c r="GL62" i="18"/>
  <c r="EV62" i="18"/>
  <c r="DF62" i="18"/>
  <c r="CT62" i="18"/>
  <c r="CV62" i="18" s="1"/>
  <c r="BD62" i="18"/>
  <c r="WD62" i="18"/>
  <c r="UN62" i="18"/>
  <c r="TJ62" i="18"/>
  <c r="SX62" i="18"/>
  <c r="RT62" i="18"/>
  <c r="QP62" i="18"/>
  <c r="QD62" i="18"/>
  <c r="OZ62" i="18"/>
  <c r="NJ62" i="18"/>
  <c r="HJ62" i="18"/>
  <c r="FT62" i="18"/>
  <c r="EP62" i="18"/>
  <c r="ED62" i="18"/>
  <c r="CZ62" i="18"/>
  <c r="BV62" i="18"/>
  <c r="BJ62" i="18"/>
  <c r="XB62" i="18"/>
  <c r="WP62" i="18"/>
  <c r="VL62" i="18"/>
  <c r="UH62" i="18"/>
  <c r="TV62" i="18"/>
  <c r="SR62" i="18"/>
  <c r="RB62" i="18"/>
  <c r="LB62" i="18"/>
  <c r="LD62" i="18" s="1"/>
  <c r="JL62" i="18"/>
  <c r="IH62" i="18"/>
  <c r="HV62" i="18"/>
  <c r="GR62" i="18"/>
  <c r="FN62" i="18"/>
  <c r="FB62" i="18"/>
  <c r="DX62" i="18"/>
  <c r="CH62" i="18"/>
  <c r="WJ62" i="18"/>
  <c r="OT62" i="18"/>
  <c r="LN62" i="18"/>
  <c r="KJ62" i="18"/>
  <c r="JF62" i="18"/>
  <c r="FZ62" i="18"/>
  <c r="QV62" i="18"/>
  <c r="QW62" i="18" s="1"/>
  <c r="PR62" i="18"/>
  <c r="ML62" i="18"/>
  <c r="MO62" i="18" s="1"/>
  <c r="LH62" i="18"/>
  <c r="DR62" i="18"/>
  <c r="AL62" i="18"/>
  <c r="ND62" i="18"/>
  <c r="IT62" i="18"/>
  <c r="PF62" i="18"/>
  <c r="MX62" i="18"/>
  <c r="CB62" i="18"/>
  <c r="UT62" i="18"/>
  <c r="LZ62" i="18"/>
  <c r="HP62" i="18"/>
  <c r="OB62" i="18"/>
  <c r="OE62" i="18" s="1"/>
  <c r="SL62" i="18"/>
  <c r="JR62" i="18"/>
  <c r="AX62" i="18"/>
  <c r="AY62" i="18" s="1"/>
  <c r="NG61" i="18"/>
  <c r="JN61" i="18"/>
  <c r="TY61" i="18"/>
  <c r="OP61" i="18"/>
  <c r="UW61" i="18"/>
  <c r="QL61" i="18"/>
  <c r="VU61" i="18"/>
  <c r="SN61" i="18"/>
  <c r="WS61" i="18"/>
  <c r="HL61" i="18"/>
  <c r="OK61" i="18"/>
  <c r="JB61" i="18"/>
  <c r="R60" i="18"/>
  <c r="Q60" i="18"/>
  <c r="T58" i="18"/>
  <c r="U58" i="18" s="1"/>
  <c r="P60" i="18"/>
  <c r="T59" i="18" s="1"/>
  <c r="B121" i="1"/>
  <c r="B121" i="9"/>
  <c r="B121" i="7"/>
  <c r="AD118" i="5"/>
  <c r="AE118" i="5" s="1"/>
  <c r="AI118" i="5" s="1"/>
  <c r="AJ116" i="5"/>
  <c r="AL116" i="5" s="1"/>
  <c r="Q114" i="5"/>
  <c r="U114" i="5" s="1"/>
  <c r="B123" i="5"/>
  <c r="R121" i="5"/>
  <c r="AG121" i="5" s="1"/>
  <c r="AE121" i="5"/>
  <c r="K121" i="5"/>
  <c r="B120" i="5"/>
  <c r="R118" i="5"/>
  <c r="AG118" i="5" s="1"/>
  <c r="K118" i="5"/>
  <c r="AL114" i="5"/>
  <c r="F116" i="5"/>
  <c r="S124" i="14"/>
  <c r="T124" i="14"/>
  <c r="U124" i="14"/>
  <c r="Q123" i="14"/>
  <c r="B127" i="14"/>
  <c r="R123" i="14"/>
  <c r="B120" i="7"/>
  <c r="B122" i="8"/>
  <c r="O117" i="1"/>
  <c r="BP117" i="1"/>
  <c r="X117" i="7" s="1"/>
  <c r="BQ117" i="1"/>
  <c r="O116" i="1"/>
  <c r="B123" i="8"/>
  <c r="B120" i="1"/>
  <c r="N118" i="1"/>
  <c r="B120" i="9"/>
  <c r="B62" i="15"/>
  <c r="B64" i="18"/>
  <c r="N63" i="18"/>
  <c r="O63" i="18"/>
  <c r="Q119" i="5" l="1"/>
  <c r="U119" i="5" s="1"/>
  <c r="R111" i="8"/>
  <c r="I119" i="9"/>
  <c r="B127" i="19"/>
  <c r="G127" i="19" s="1"/>
  <c r="F125" i="19"/>
  <c r="N53" i="7"/>
  <c r="K53" i="7"/>
  <c r="L52" i="7"/>
  <c r="L53" i="7"/>
  <c r="K52" i="7"/>
  <c r="N52" i="7"/>
  <c r="E53" i="19"/>
  <c r="D52" i="19"/>
  <c r="Q28" i="15"/>
  <c r="E53" i="8"/>
  <c r="P28" i="15"/>
  <c r="G28" i="15"/>
  <c r="D52" i="8"/>
  <c r="R52" i="8" s="1"/>
  <c r="Q116" i="5"/>
  <c r="U116" i="5" s="1"/>
  <c r="WR62" i="18"/>
  <c r="I118" i="9"/>
  <c r="IQ62" i="18"/>
  <c r="J121" i="5"/>
  <c r="F121" i="5" s="1"/>
  <c r="QM62" i="18"/>
  <c r="L119" i="9"/>
  <c r="L118" i="9"/>
  <c r="M117" i="9"/>
  <c r="M116" i="9"/>
  <c r="J119" i="9"/>
  <c r="J118" i="9"/>
  <c r="H121" i="9"/>
  <c r="K121" i="9" s="1"/>
  <c r="F123" i="8"/>
  <c r="G123" i="8"/>
  <c r="F122" i="8"/>
  <c r="G122" i="8"/>
  <c r="H120" i="9"/>
  <c r="K120" i="9" s="1"/>
  <c r="J121" i="7"/>
  <c r="I121" i="7"/>
  <c r="J120" i="7"/>
  <c r="I120" i="7"/>
  <c r="E62" i="15"/>
  <c r="D62" i="15"/>
  <c r="D64" i="18"/>
  <c r="F64" i="18" s="1"/>
  <c r="E64" i="18"/>
  <c r="G64" i="18" s="1"/>
  <c r="I120" i="5"/>
  <c r="J120" i="5" s="1"/>
  <c r="I123" i="5"/>
  <c r="J123" i="5" s="1"/>
  <c r="F123" i="5" s="1"/>
  <c r="H120" i="1"/>
  <c r="I120" i="1" s="1"/>
  <c r="H121" i="1"/>
  <c r="I121" i="1" s="1"/>
  <c r="CI62" i="18"/>
  <c r="U62" i="15"/>
  <c r="Y62" i="18" s="1"/>
  <c r="T62" i="15"/>
  <c r="JM62" i="18"/>
  <c r="JN62" i="18"/>
  <c r="NL62" i="18"/>
  <c r="VS62" i="18"/>
  <c r="OK62" i="18"/>
  <c r="VN62" i="18"/>
  <c r="UP62" i="18"/>
  <c r="KF62" i="18"/>
  <c r="KX62" i="18"/>
  <c r="IE62" i="18"/>
  <c r="KG62" i="18"/>
  <c r="OD62" i="18"/>
  <c r="JO62" i="18"/>
  <c r="MN62" i="18"/>
  <c r="OC62" i="18"/>
  <c r="MM62" i="18"/>
  <c r="ID62" i="18"/>
  <c r="KE62" i="18"/>
  <c r="GS62" i="18"/>
  <c r="GM62" i="18"/>
  <c r="VI62" i="18"/>
  <c r="UE62" i="18"/>
  <c r="MB62" i="18"/>
  <c r="QF62" i="18"/>
  <c r="MH62" i="18"/>
  <c r="VB62" i="18"/>
  <c r="IV62" i="18"/>
  <c r="OW62" i="18"/>
  <c r="FD62" i="18"/>
  <c r="DB62" i="18"/>
  <c r="XK62" i="18"/>
  <c r="GT62" i="18"/>
  <c r="HW62" i="18"/>
  <c r="RO62" i="18"/>
  <c r="CQ62" i="18"/>
  <c r="WG62" i="18"/>
  <c r="OJ62" i="18"/>
  <c r="OI62" i="18"/>
  <c r="VA62" i="18"/>
  <c r="DI62" i="18"/>
  <c r="SB62" i="18"/>
  <c r="MC62" i="18"/>
  <c r="QX62" i="18"/>
  <c r="CW62" i="18"/>
  <c r="CP62" i="18"/>
  <c r="MA62" i="18"/>
  <c r="CO62" i="18"/>
  <c r="HA62" i="18"/>
  <c r="CU62" i="18"/>
  <c r="CD62" i="18"/>
  <c r="WF62" i="18"/>
  <c r="VU62" i="18"/>
  <c r="VC62" i="18"/>
  <c r="GZ62" i="18"/>
  <c r="PU62" i="18"/>
  <c r="KM62" i="18"/>
  <c r="ER62" i="18"/>
  <c r="QA62" i="18"/>
  <c r="FV62" i="18"/>
  <c r="RE62" i="18"/>
  <c r="HK62" i="18"/>
  <c r="SG62" i="18"/>
  <c r="GH62" i="18"/>
  <c r="PO62" i="18"/>
  <c r="RI62" i="18"/>
  <c r="DT62" i="18"/>
  <c r="HY62" i="18"/>
  <c r="WS62" i="18"/>
  <c r="RK62" i="18"/>
  <c r="FC62" i="18"/>
  <c r="TF62" i="18"/>
  <c r="GG62" i="18"/>
  <c r="PM62" i="18"/>
  <c r="RJ62" i="18"/>
  <c r="DU62" i="18"/>
  <c r="HX62" i="18"/>
  <c r="WQ62" i="18"/>
  <c r="KK62" i="18"/>
  <c r="SI62" i="18"/>
  <c r="TG62" i="18"/>
  <c r="PN62" i="18"/>
  <c r="VH62" i="18"/>
  <c r="NE62" i="18"/>
  <c r="SH62" i="18"/>
  <c r="TE62" i="18"/>
  <c r="GI62" i="18"/>
  <c r="MZ62" i="18"/>
  <c r="AN62" i="18"/>
  <c r="BG62" i="18"/>
  <c r="JA62" i="18"/>
  <c r="DA62" i="18"/>
  <c r="SA62" i="18"/>
  <c r="PI62" i="18"/>
  <c r="DS62" i="18"/>
  <c r="LO62" i="18"/>
  <c r="BX62" i="18"/>
  <c r="QY62" i="18"/>
  <c r="LQ62" i="18"/>
  <c r="BY62" i="18"/>
  <c r="FE62" i="18"/>
  <c r="LP62" i="18"/>
  <c r="BW62" i="18"/>
  <c r="CC62" i="18"/>
  <c r="KW62" i="18"/>
  <c r="RQ62" i="18"/>
  <c r="VM62" i="18"/>
  <c r="DN62" i="18"/>
  <c r="RV62" i="18"/>
  <c r="FU62" i="18"/>
  <c r="UO62" i="18"/>
  <c r="GA62" i="18"/>
  <c r="NM62" i="18"/>
  <c r="RD62" i="18"/>
  <c r="UU62" i="18"/>
  <c r="RW62" i="18"/>
  <c r="KL62" i="18"/>
  <c r="DC62" i="18"/>
  <c r="NK62" i="18"/>
  <c r="RP62" i="18"/>
  <c r="PS62" i="18"/>
  <c r="VG62" i="18"/>
  <c r="JC62" i="18"/>
  <c r="SC62" i="18"/>
  <c r="JT62" i="18"/>
  <c r="RC62" i="18"/>
  <c r="TL62" i="18"/>
  <c r="VO62" i="18"/>
  <c r="RU62" i="18"/>
  <c r="GU62" i="18"/>
  <c r="GC62" i="18"/>
  <c r="UQ62" i="18"/>
  <c r="FW62" i="18"/>
  <c r="KY62" i="18"/>
  <c r="JB62" i="18"/>
  <c r="DO62" i="18"/>
  <c r="UV62" i="18"/>
  <c r="GB62" i="18"/>
  <c r="NX62" i="18"/>
  <c r="DM62" i="18"/>
  <c r="EW62" i="18"/>
  <c r="LC62" i="18"/>
  <c r="AZ62" i="18"/>
  <c r="DG62" i="18"/>
  <c r="TQ62" i="18"/>
  <c r="AS62" i="18"/>
  <c r="LW62" i="18"/>
  <c r="NG62" i="18"/>
  <c r="BA62" i="18"/>
  <c r="MY62" i="18"/>
  <c r="UW62" i="18"/>
  <c r="PT62" i="18"/>
  <c r="NA62" i="18"/>
  <c r="LE62" i="18"/>
  <c r="KA62" i="18"/>
  <c r="PY62" i="18"/>
  <c r="DH62" i="18"/>
  <c r="EL62" i="18"/>
  <c r="JY62" i="18"/>
  <c r="WW62" i="18"/>
  <c r="JZ62" i="18"/>
  <c r="JH62" i="18"/>
  <c r="WL62" i="18"/>
  <c r="II62" i="18"/>
  <c r="NY62" i="18"/>
  <c r="LJ62" i="18"/>
  <c r="OP62" i="18"/>
  <c r="BQ62" i="18"/>
  <c r="QK62" i="18"/>
  <c r="CK62" i="18"/>
  <c r="JS62" i="18"/>
  <c r="BE62" i="18"/>
  <c r="HR62" i="18"/>
  <c r="ST62" i="18"/>
  <c r="WA62" i="18"/>
  <c r="PC62" i="18"/>
  <c r="MU62" i="18"/>
  <c r="KQ62" i="18"/>
  <c r="IW62" i="18"/>
  <c r="BF62" i="18"/>
  <c r="XE62" i="18"/>
  <c r="EM62" i="18"/>
  <c r="NR62" i="18"/>
  <c r="DZ62" i="18"/>
  <c r="SN62" i="18"/>
  <c r="EG62" i="18"/>
  <c r="SZ62" i="18"/>
  <c r="PZ62" i="18"/>
  <c r="FP62" i="18"/>
  <c r="GO62" i="18"/>
  <c r="HE62" i="18"/>
  <c r="UI62" i="18"/>
  <c r="MG62" i="18"/>
  <c r="QQ62" i="18"/>
  <c r="XJ62" i="18"/>
  <c r="FK62" i="18"/>
  <c r="OV62" i="18"/>
  <c r="UC62" i="18"/>
  <c r="BL62" i="18"/>
  <c r="QE62" i="18"/>
  <c r="TW62" i="18"/>
  <c r="WV63" i="18"/>
  <c r="VX63" i="18"/>
  <c r="UZ63" i="18"/>
  <c r="UB63" i="18"/>
  <c r="TD63" i="18"/>
  <c r="SF63" i="18"/>
  <c r="RH63" i="18"/>
  <c r="QJ63" i="18"/>
  <c r="PL63" i="18"/>
  <c r="ON63" i="18"/>
  <c r="NP63" i="18"/>
  <c r="MR63" i="18"/>
  <c r="LT63" i="18"/>
  <c r="KV63" i="18"/>
  <c r="JX63" i="18"/>
  <c r="IZ63" i="18"/>
  <c r="IB63" i="18"/>
  <c r="HD63" i="18"/>
  <c r="GF63" i="18"/>
  <c r="FH63" i="18"/>
  <c r="EJ63" i="18"/>
  <c r="DL63" i="18"/>
  <c r="CN63" i="18"/>
  <c r="BP63" i="18"/>
  <c r="AR63" i="18"/>
  <c r="WJ63" i="18"/>
  <c r="UT63" i="18"/>
  <c r="UH63" i="18"/>
  <c r="SR63" i="18"/>
  <c r="RB63" i="18"/>
  <c r="QP63" i="18"/>
  <c r="OZ63" i="18"/>
  <c r="NJ63" i="18"/>
  <c r="MX63" i="18"/>
  <c r="LH63" i="18"/>
  <c r="JR63" i="18"/>
  <c r="JF63" i="18"/>
  <c r="HP63" i="18"/>
  <c r="FZ63" i="18"/>
  <c r="FN63" i="18"/>
  <c r="DX63" i="18"/>
  <c r="CH63" i="18"/>
  <c r="BV63" i="18"/>
  <c r="XB63" i="18"/>
  <c r="WP63" i="18"/>
  <c r="VL63" i="18"/>
  <c r="TV63" i="18"/>
  <c r="NV63" i="18"/>
  <c r="MF63" i="18"/>
  <c r="LB63" i="18"/>
  <c r="KP63" i="18"/>
  <c r="JL63" i="18"/>
  <c r="IH63" i="18"/>
  <c r="HV63" i="18"/>
  <c r="GR63" i="18"/>
  <c r="FB63" i="18"/>
  <c r="RN63" i="18"/>
  <c r="PX63" i="18"/>
  <c r="OT63" i="18"/>
  <c r="OH63" i="18"/>
  <c r="ND63" i="18"/>
  <c r="LZ63" i="18"/>
  <c r="LN63" i="18"/>
  <c r="KJ63" i="18"/>
  <c r="IT63" i="18"/>
  <c r="CT63" i="18"/>
  <c r="BD63" i="18"/>
  <c r="VF63" i="18"/>
  <c r="RZ63" i="18"/>
  <c r="QV63" i="18"/>
  <c r="PR63" i="18"/>
  <c r="ML63" i="18"/>
  <c r="EV63" i="18"/>
  <c r="DR63" i="18"/>
  <c r="AL63" i="18"/>
  <c r="XH63" i="18"/>
  <c r="WD63" i="18"/>
  <c r="SX63" i="18"/>
  <c r="RT63" i="18"/>
  <c r="KD63" i="18"/>
  <c r="GX63" i="18"/>
  <c r="FT63" i="18"/>
  <c r="EP63" i="18"/>
  <c r="BJ63" i="18"/>
  <c r="SL63" i="18"/>
  <c r="OB63" i="18"/>
  <c r="DF63" i="18"/>
  <c r="AX63" i="18"/>
  <c r="UN63" i="18"/>
  <c r="QD63" i="18"/>
  <c r="HJ63" i="18"/>
  <c r="CZ63" i="18"/>
  <c r="TP63" i="18"/>
  <c r="PF63" i="18"/>
  <c r="GL63" i="18"/>
  <c r="CB63" i="18"/>
  <c r="TJ63" i="18"/>
  <c r="IN63" i="18"/>
  <c r="ED63" i="18"/>
  <c r="VR63" i="18"/>
  <c r="NF62" i="18"/>
  <c r="CE62" i="18"/>
  <c r="WE62" i="18"/>
  <c r="IU62" i="18"/>
  <c r="XI62" i="18"/>
  <c r="TR62" i="18"/>
  <c r="MI62" i="18"/>
  <c r="IO62" i="18"/>
  <c r="EX62" i="18"/>
  <c r="TM62" i="18"/>
  <c r="PG62" i="18"/>
  <c r="AO62" i="18"/>
  <c r="UD62" i="18"/>
  <c r="QG62" i="18"/>
  <c r="LU62" i="18"/>
  <c r="HL62" i="18"/>
  <c r="AU62" i="18"/>
  <c r="OU62" i="18"/>
  <c r="QL62" i="18"/>
  <c r="SU62" i="18"/>
  <c r="PB62" i="18"/>
  <c r="LI62" i="18"/>
  <c r="EA62" i="18"/>
  <c r="XD62" i="18"/>
  <c r="SY62" i="18"/>
  <c r="IK62" i="18"/>
  <c r="EF62" i="18"/>
  <c r="WX62" i="18"/>
  <c r="JI62" i="18"/>
  <c r="FJ62" i="18"/>
  <c r="OO62" i="18"/>
  <c r="BM62" i="18"/>
  <c r="MS62" i="18"/>
  <c r="UJ62" i="18"/>
  <c r="TY62" i="18"/>
  <c r="VZ62" i="18"/>
  <c r="QR62" i="18"/>
  <c r="IP62" i="18"/>
  <c r="TK62" i="18"/>
  <c r="PH62" i="18"/>
  <c r="ES62" i="18"/>
  <c r="AM62" i="18"/>
  <c r="LV62" i="18"/>
  <c r="AT62" i="18"/>
  <c r="EK62" i="18"/>
  <c r="WM62" i="18"/>
  <c r="SS62" i="18"/>
  <c r="PA62" i="18"/>
  <c r="HS62" i="18"/>
  <c r="DY62" i="18"/>
  <c r="XC62" i="18"/>
  <c r="NS62" i="18"/>
  <c r="IJ62" i="18"/>
  <c r="EE62" i="18"/>
  <c r="SO62" i="18"/>
  <c r="JG62" i="18"/>
  <c r="FI62" i="18"/>
  <c r="KS62" i="18"/>
  <c r="BK62" i="18"/>
  <c r="MT62" i="18"/>
  <c r="HG62" i="18"/>
  <c r="TX62" i="18"/>
  <c r="VY62" i="18"/>
  <c r="FQ62" i="18"/>
  <c r="XF64" i="18"/>
  <c r="WH64" i="18"/>
  <c r="VJ64" i="18"/>
  <c r="UL64" i="18"/>
  <c r="TN64" i="18"/>
  <c r="SP64" i="18"/>
  <c r="RR64" i="18"/>
  <c r="QT64" i="18"/>
  <c r="PV64" i="18"/>
  <c r="OX64" i="18"/>
  <c r="NZ64" i="18"/>
  <c r="NB64" i="18"/>
  <c r="MD64" i="18"/>
  <c r="LF64" i="18"/>
  <c r="KH64" i="18"/>
  <c r="JJ64" i="18"/>
  <c r="IL64" i="18"/>
  <c r="HN64" i="18"/>
  <c r="GP64" i="18"/>
  <c r="FR64" i="18"/>
  <c r="ET64" i="18"/>
  <c r="DV64" i="18"/>
  <c r="CX64" i="18"/>
  <c r="BZ64" i="18"/>
  <c r="BB64" i="18"/>
  <c r="WT64" i="18"/>
  <c r="VD64" i="18"/>
  <c r="UR64" i="18"/>
  <c r="TB64" i="18"/>
  <c r="RL64" i="18"/>
  <c r="QZ64" i="18"/>
  <c r="PJ64" i="18"/>
  <c r="NT64" i="18"/>
  <c r="NH64" i="18"/>
  <c r="LR64" i="18"/>
  <c r="KB64" i="18"/>
  <c r="JP64" i="18"/>
  <c r="HZ64" i="18"/>
  <c r="GJ64" i="18"/>
  <c r="FX64" i="18"/>
  <c r="EH64" i="18"/>
  <c r="CR64" i="18"/>
  <c r="CF64" i="18"/>
  <c r="AP64" i="18"/>
  <c r="WN64" i="18"/>
  <c r="WB64" i="18"/>
  <c r="UX64" i="18"/>
  <c r="TT64" i="18"/>
  <c r="TH64" i="18"/>
  <c r="SD64" i="18"/>
  <c r="QN64" i="18"/>
  <c r="KN64" i="18"/>
  <c r="IX64" i="18"/>
  <c r="HT64" i="18"/>
  <c r="HH64" i="18"/>
  <c r="GD64" i="18"/>
  <c r="EZ64" i="18"/>
  <c r="EN64" i="18"/>
  <c r="DJ64" i="18"/>
  <c r="BT64" i="18"/>
  <c r="WZ64" i="18"/>
  <c r="VV64" i="18"/>
  <c r="UF64" i="18"/>
  <c r="OF64" i="18"/>
  <c r="MP64" i="18"/>
  <c r="LL64" i="18"/>
  <c r="KZ64" i="18"/>
  <c r="JV64" i="18"/>
  <c r="IR64" i="18"/>
  <c r="IF64" i="18"/>
  <c r="HB64" i="18"/>
  <c r="FL64" i="18"/>
  <c r="RX64" i="18"/>
  <c r="OR64" i="18"/>
  <c r="NN64" i="18"/>
  <c r="MJ64" i="18"/>
  <c r="JD64" i="18"/>
  <c r="BN64" i="18"/>
  <c r="AJ64" i="18"/>
  <c r="TZ64" i="18"/>
  <c r="SV64" i="18"/>
  <c r="PP64" i="18"/>
  <c r="OL64" i="18"/>
  <c r="GV64" i="18"/>
  <c r="DP64" i="18"/>
  <c r="CL64" i="18"/>
  <c r="BH64" i="18"/>
  <c r="PD64" i="18"/>
  <c r="KT64" i="18"/>
  <c r="VP64" i="18"/>
  <c r="RF64" i="18"/>
  <c r="MV64" i="18"/>
  <c r="EB64" i="18"/>
  <c r="QH64" i="18"/>
  <c r="LX64" i="18"/>
  <c r="DD64" i="18"/>
  <c r="FF64" i="18"/>
  <c r="SJ64" i="18"/>
  <c r="AV64" i="18"/>
  <c r="QB64" i="18"/>
  <c r="TS62" i="18"/>
  <c r="EY62" i="18"/>
  <c r="EQ62" i="18"/>
  <c r="JU62" i="18"/>
  <c r="GN62" i="18"/>
  <c r="HM62" i="18"/>
  <c r="NW62" i="18"/>
  <c r="BS62" i="18"/>
  <c r="CJ62" i="18"/>
  <c r="WK62" i="18"/>
  <c r="LK62" i="18"/>
  <c r="HQ62" i="18"/>
  <c r="TA62" i="18"/>
  <c r="NQ62" i="18"/>
  <c r="WY62" i="18"/>
  <c r="SM62" i="18"/>
  <c r="OQ62" i="18"/>
  <c r="KR62" i="18"/>
  <c r="UK62" i="18"/>
  <c r="HF62" i="18"/>
  <c r="QS62" i="18"/>
  <c r="FO62" i="18"/>
  <c r="WO63" i="18"/>
  <c r="VQ63" i="18"/>
  <c r="US63" i="18"/>
  <c r="TU63" i="18"/>
  <c r="SW63" i="18"/>
  <c r="RY63" i="18"/>
  <c r="RA63" i="18"/>
  <c r="QC63" i="18"/>
  <c r="QG63" i="18" s="1"/>
  <c r="PE63" i="18"/>
  <c r="OG63" i="18"/>
  <c r="NI63" i="18"/>
  <c r="MK63" i="18"/>
  <c r="LM63" i="18"/>
  <c r="KO63" i="18"/>
  <c r="JQ63" i="18"/>
  <c r="IS63" i="18"/>
  <c r="HU63" i="18"/>
  <c r="GW63" i="18"/>
  <c r="FY63" i="18"/>
  <c r="FA63" i="18"/>
  <c r="EC63" i="18"/>
  <c r="DE63" i="18"/>
  <c r="CG63" i="18"/>
  <c r="BI63" i="18"/>
  <c r="AK63" i="18"/>
  <c r="XG63" i="18"/>
  <c r="XJ63" i="18" s="1"/>
  <c r="WU63" i="18"/>
  <c r="WW63" i="18" s="1"/>
  <c r="VE63" i="18"/>
  <c r="TO63" i="18"/>
  <c r="TC63" i="18"/>
  <c r="RM63" i="18"/>
  <c r="PW63" i="18"/>
  <c r="QA63" i="18" s="1"/>
  <c r="PK63" i="18"/>
  <c r="NU63" i="18"/>
  <c r="ME63" i="18"/>
  <c r="LS63" i="18"/>
  <c r="KC63" i="18"/>
  <c r="IM63" i="18"/>
  <c r="IA63" i="18"/>
  <c r="GK63" i="18"/>
  <c r="EU63" i="18"/>
  <c r="EI63" i="18"/>
  <c r="CS63" i="18"/>
  <c r="BC63" i="18"/>
  <c r="AQ63" i="18"/>
  <c r="WC63" i="18"/>
  <c r="UY63" i="18"/>
  <c r="UM63" i="18"/>
  <c r="TI63" i="18"/>
  <c r="SE63" i="18"/>
  <c r="RS63" i="18"/>
  <c r="QO63" i="18"/>
  <c r="OY63" i="18"/>
  <c r="IY63" i="18"/>
  <c r="HI63" i="18"/>
  <c r="GE63" i="18"/>
  <c r="FS63" i="18"/>
  <c r="EO63" i="18"/>
  <c r="DK63" i="18"/>
  <c r="CY63" i="18"/>
  <c r="BU63" i="18"/>
  <c r="XA63" i="18"/>
  <c r="XE63" i="18" s="1"/>
  <c r="VW63" i="18"/>
  <c r="VK63" i="18"/>
  <c r="UG63" i="18"/>
  <c r="SQ63" i="18"/>
  <c r="MQ63" i="18"/>
  <c r="LA63" i="18"/>
  <c r="JW63" i="18"/>
  <c r="JK63" i="18"/>
  <c r="IG63" i="18"/>
  <c r="HC63" i="18"/>
  <c r="HG63" i="18" s="1"/>
  <c r="GQ63" i="18"/>
  <c r="FM63" i="18"/>
  <c r="FP63" i="18" s="1"/>
  <c r="DW63" i="18"/>
  <c r="WI63" i="18"/>
  <c r="OS63" i="18"/>
  <c r="NO63" i="18"/>
  <c r="KI63" i="18"/>
  <c r="JE63" i="18"/>
  <c r="BO63" i="18"/>
  <c r="UA63" i="18"/>
  <c r="QU63" i="18"/>
  <c r="PQ63" i="18"/>
  <c r="OM63" i="18"/>
  <c r="LG63" i="18"/>
  <c r="DQ63" i="18"/>
  <c r="CM63" i="18"/>
  <c r="QI63" i="18"/>
  <c r="LY63" i="18"/>
  <c r="HO63" i="18"/>
  <c r="SK63" i="18"/>
  <c r="OA63" i="18"/>
  <c r="FG63" i="18"/>
  <c r="FJ63" i="18" s="1"/>
  <c r="AW63" i="18"/>
  <c r="NC63" i="18"/>
  <c r="KU63" i="18"/>
  <c r="CA63" i="18"/>
  <c r="CD63" i="18" s="1"/>
  <c r="RG63" i="18"/>
  <c r="MW63" i="18"/>
  <c r="S59" i="18"/>
  <c r="U59" i="18" s="1"/>
  <c r="Q61" i="18"/>
  <c r="P61" i="18"/>
  <c r="T60" i="18" s="1"/>
  <c r="R61" i="18"/>
  <c r="B123" i="7"/>
  <c r="B123" i="9"/>
  <c r="B123" i="1"/>
  <c r="AD120" i="5"/>
  <c r="AE120" i="5" s="1"/>
  <c r="AI120" i="5" s="1"/>
  <c r="F118" i="5"/>
  <c r="AJ118" i="5"/>
  <c r="AL118" i="5" s="1"/>
  <c r="B125" i="5"/>
  <c r="R123" i="5"/>
  <c r="AG123" i="5" s="1"/>
  <c r="AE123" i="5"/>
  <c r="K123" i="5"/>
  <c r="B122" i="5"/>
  <c r="R120" i="5"/>
  <c r="AG120" i="5" s="1"/>
  <c r="K120" i="5"/>
  <c r="B128" i="14"/>
  <c r="S125" i="14"/>
  <c r="U125" i="14"/>
  <c r="T125" i="14"/>
  <c r="Q124" i="14"/>
  <c r="R124" i="14"/>
  <c r="B63" i="15"/>
  <c r="BP119" i="1"/>
  <c r="X119" i="7" s="1"/>
  <c r="O118" i="1"/>
  <c r="O119" i="1"/>
  <c r="BQ119" i="1"/>
  <c r="B125" i="8"/>
  <c r="B122" i="1"/>
  <c r="N120" i="1"/>
  <c r="B122" i="9"/>
  <c r="B122" i="7"/>
  <c r="B124" i="8"/>
  <c r="B65" i="18"/>
  <c r="N64" i="18"/>
  <c r="O64" i="18"/>
  <c r="Q121" i="5" l="1"/>
  <c r="U121" i="5" s="1"/>
  <c r="Q118" i="5"/>
  <c r="U118" i="5" s="1"/>
  <c r="Q123" i="5"/>
  <c r="U123" i="5" s="1"/>
  <c r="R113" i="8"/>
  <c r="I121" i="9"/>
  <c r="OJ63" i="18"/>
  <c r="B129" i="19"/>
  <c r="G129" i="19" s="1"/>
  <c r="F127" i="19"/>
  <c r="N55" i="7"/>
  <c r="K54" i="7"/>
  <c r="K55" i="7"/>
  <c r="N54" i="7"/>
  <c r="L55" i="7"/>
  <c r="L54" i="7"/>
  <c r="D54" i="19"/>
  <c r="E55" i="19"/>
  <c r="D54" i="8"/>
  <c r="R54" i="8" s="1"/>
  <c r="G29" i="15"/>
  <c r="E55" i="8"/>
  <c r="P29" i="15"/>
  <c r="Q29" i="15"/>
  <c r="R125" i="14"/>
  <c r="VM63" i="18"/>
  <c r="GT63" i="18"/>
  <c r="KA63" i="18"/>
  <c r="LC63" i="18"/>
  <c r="I120" i="9"/>
  <c r="NL63" i="18"/>
  <c r="VS63" i="18"/>
  <c r="JO63" i="18"/>
  <c r="LO63" i="18"/>
  <c r="EF63" i="18"/>
  <c r="L120" i="9"/>
  <c r="L121" i="9"/>
  <c r="M118" i="9"/>
  <c r="M119" i="9"/>
  <c r="AN63" i="18"/>
  <c r="J121" i="9"/>
  <c r="J120" i="9"/>
  <c r="H123" i="9"/>
  <c r="K123" i="9" s="1"/>
  <c r="JB63" i="18"/>
  <c r="UD63" i="18"/>
  <c r="F125" i="8"/>
  <c r="G125" i="8"/>
  <c r="F124" i="8"/>
  <c r="G124" i="8"/>
  <c r="MG63" i="18"/>
  <c r="H122" i="9"/>
  <c r="K122" i="9" s="1"/>
  <c r="I123" i="7"/>
  <c r="J123" i="7"/>
  <c r="I122" i="7"/>
  <c r="J122" i="7"/>
  <c r="E63" i="15"/>
  <c r="D63" i="15"/>
  <c r="E65" i="18"/>
  <c r="G65" i="18" s="1"/>
  <c r="D65" i="18"/>
  <c r="F65" i="18" s="1"/>
  <c r="I122" i="5"/>
  <c r="J122" i="5" s="1"/>
  <c r="I125" i="5"/>
  <c r="J125" i="5" s="1"/>
  <c r="F125" i="5" s="1"/>
  <c r="OV63" i="18"/>
  <c r="H123" i="1"/>
  <c r="I123" i="1" s="1"/>
  <c r="H122" i="1"/>
  <c r="I122" i="1" s="1"/>
  <c r="WK63" i="18"/>
  <c r="NX63" i="18"/>
  <c r="BY63" i="18"/>
  <c r="U63" i="15"/>
  <c r="Y63" i="18" s="1"/>
  <c r="ID63" i="18"/>
  <c r="MY63" i="18"/>
  <c r="DZ63" i="18"/>
  <c r="T63" i="15"/>
  <c r="RP63" i="18"/>
  <c r="II63" i="18"/>
  <c r="TW63" i="18"/>
  <c r="DB63" i="18"/>
  <c r="VH63" i="18"/>
  <c r="BK63" i="18"/>
  <c r="FD63" i="18"/>
  <c r="MM63" i="18"/>
  <c r="AZ63" i="18"/>
  <c r="KL63" i="18"/>
  <c r="MS63" i="18"/>
  <c r="JS63" i="18"/>
  <c r="QK63" i="18"/>
  <c r="BQ63" i="18"/>
  <c r="UJ63" i="18"/>
  <c r="PB63" i="18"/>
  <c r="KF63" i="18"/>
  <c r="VT63" i="18"/>
  <c r="TF63" i="18"/>
  <c r="PH63" i="18"/>
  <c r="HQ63" i="18"/>
  <c r="DU63" i="18"/>
  <c r="QX63" i="18"/>
  <c r="WA63" i="18"/>
  <c r="DN63" i="18"/>
  <c r="CW63" i="18"/>
  <c r="CK63" i="18"/>
  <c r="RE63" i="18"/>
  <c r="MB63" i="18"/>
  <c r="SG63" i="18"/>
  <c r="KW63" i="18"/>
  <c r="OD63" i="18"/>
  <c r="OP63" i="18"/>
  <c r="FV63" i="18"/>
  <c r="HW63" i="18"/>
  <c r="GZ63" i="18"/>
  <c r="MN63" i="18"/>
  <c r="ST63" i="18"/>
  <c r="WF63" i="18"/>
  <c r="EL63" i="18"/>
  <c r="IP63" i="18"/>
  <c r="TE63" i="18"/>
  <c r="HA63" i="18"/>
  <c r="SC63" i="18"/>
  <c r="BL63" i="18"/>
  <c r="TK63" i="18"/>
  <c r="AU63" i="18"/>
  <c r="EX63" i="18"/>
  <c r="PN63" i="18"/>
  <c r="TR63" i="18"/>
  <c r="PG63" i="18"/>
  <c r="SY63" i="18"/>
  <c r="WS63" i="18"/>
  <c r="NE63" i="18"/>
  <c r="SM63" i="18"/>
  <c r="JH63" i="18"/>
  <c r="UP63" i="18"/>
  <c r="LW63" i="18"/>
  <c r="IV63" i="18"/>
  <c r="BM63" i="18"/>
  <c r="MO63" i="18"/>
  <c r="RI63" i="18"/>
  <c r="HL63" i="18"/>
  <c r="RW63" i="18"/>
  <c r="VB63" i="18"/>
  <c r="GB63" i="18"/>
  <c r="UV63" i="18"/>
  <c r="CI63" i="18"/>
  <c r="QR63" i="18"/>
  <c r="VO63" i="18"/>
  <c r="LK63" i="18"/>
  <c r="NQ63" i="18"/>
  <c r="CP63" i="18"/>
  <c r="PS63" i="18"/>
  <c r="GI63" i="18"/>
  <c r="QS63" i="18"/>
  <c r="RV63" i="18"/>
  <c r="WX63" i="18"/>
  <c r="PU63" i="18"/>
  <c r="LD63" i="18"/>
  <c r="DA63" i="18"/>
  <c r="GG63" i="18"/>
  <c r="VN63" i="18"/>
  <c r="LE63" i="18"/>
  <c r="LU63" i="18"/>
  <c r="PT63" i="18"/>
  <c r="GC63" i="18"/>
  <c r="RQ63" i="18"/>
  <c r="ER63" i="18"/>
  <c r="DH63" i="18"/>
  <c r="KQ63" i="18"/>
  <c r="KM63" i="18"/>
  <c r="CJ63" i="18"/>
  <c r="QQ63" i="18"/>
  <c r="BG63" i="18"/>
  <c r="GN63" i="18"/>
  <c r="TX63" i="18"/>
  <c r="QL63" i="18"/>
  <c r="BR63" i="18"/>
  <c r="GS63" i="18"/>
  <c r="OC63" i="18"/>
  <c r="DC63" i="18"/>
  <c r="GY63" i="18"/>
  <c r="LV63" i="18"/>
  <c r="TY63" i="18"/>
  <c r="GH63" i="18"/>
  <c r="XC63" i="18"/>
  <c r="XD63" i="18"/>
  <c r="QM63" i="18"/>
  <c r="BS63" i="18"/>
  <c r="PI63" i="18"/>
  <c r="UQ63" i="18"/>
  <c r="FU63" i="18"/>
  <c r="KG63" i="18"/>
  <c r="FE63" i="18"/>
  <c r="LP63" i="18"/>
  <c r="GO63" i="18"/>
  <c r="OE63" i="18"/>
  <c r="GU63" i="18"/>
  <c r="UO63" i="18"/>
  <c r="OW63" i="18"/>
  <c r="KE63" i="18"/>
  <c r="FC63" i="18"/>
  <c r="JI63" i="18"/>
  <c r="GM63" i="18"/>
  <c r="NF63" i="18"/>
  <c r="SZ63" i="18"/>
  <c r="TL63" i="18"/>
  <c r="BW63" i="18"/>
  <c r="JG63" i="18"/>
  <c r="RU63" i="18"/>
  <c r="FW63" i="18"/>
  <c r="OQ63" i="18"/>
  <c r="PO63" i="18"/>
  <c r="BX63" i="18"/>
  <c r="IW63" i="18"/>
  <c r="XF65" i="18"/>
  <c r="WH65" i="18"/>
  <c r="VJ65" i="18"/>
  <c r="UL65" i="18"/>
  <c r="TN65" i="18"/>
  <c r="SP65" i="18"/>
  <c r="RR65" i="18"/>
  <c r="QT65" i="18"/>
  <c r="PV65" i="18"/>
  <c r="OX65" i="18"/>
  <c r="NZ65" i="18"/>
  <c r="NB65" i="18"/>
  <c r="MD65" i="18"/>
  <c r="LF65" i="18"/>
  <c r="KH65" i="18"/>
  <c r="JJ65" i="18"/>
  <c r="IL65" i="18"/>
  <c r="HN65" i="18"/>
  <c r="GP65" i="18"/>
  <c r="FR65" i="18"/>
  <c r="ET65" i="18"/>
  <c r="DV65" i="18"/>
  <c r="CX65" i="18"/>
  <c r="BZ65" i="18"/>
  <c r="BB65" i="18"/>
  <c r="VV65" i="18"/>
  <c r="UF65" i="18"/>
  <c r="TT65" i="18"/>
  <c r="SD65" i="18"/>
  <c r="QN65" i="18"/>
  <c r="QB65" i="18"/>
  <c r="OL65" i="18"/>
  <c r="MV65" i="18"/>
  <c r="MJ65" i="18"/>
  <c r="KT65" i="18"/>
  <c r="JD65" i="18"/>
  <c r="IR65" i="18"/>
  <c r="HB65" i="18"/>
  <c r="FL65" i="18"/>
  <c r="EZ65" i="18"/>
  <c r="DJ65" i="18"/>
  <c r="BT65" i="18"/>
  <c r="BH65" i="18"/>
  <c r="WZ65" i="18"/>
  <c r="QZ65" i="18"/>
  <c r="PJ65" i="18"/>
  <c r="OF65" i="18"/>
  <c r="NT65" i="18"/>
  <c r="MP65" i="18"/>
  <c r="LL65" i="18"/>
  <c r="KZ65" i="18"/>
  <c r="JV65" i="18"/>
  <c r="IF65" i="18"/>
  <c r="CF65" i="18"/>
  <c r="AP65" i="18"/>
  <c r="UR65" i="18"/>
  <c r="TB65" i="18"/>
  <c r="RX65" i="18"/>
  <c r="RL65" i="18"/>
  <c r="QH65" i="18"/>
  <c r="PD65" i="18"/>
  <c r="OR65" i="18"/>
  <c r="NN65" i="18"/>
  <c r="LX65" i="18"/>
  <c r="FX65" i="18"/>
  <c r="EH65" i="18"/>
  <c r="DD65" i="18"/>
  <c r="CR65" i="18"/>
  <c r="BN65" i="18"/>
  <c r="AJ65" i="18"/>
  <c r="VD65" i="18"/>
  <c r="TZ65" i="18"/>
  <c r="SV65" i="18"/>
  <c r="PP65" i="18"/>
  <c r="HZ65" i="18"/>
  <c r="GV65" i="18"/>
  <c r="DP65" i="18"/>
  <c r="CL65" i="18"/>
  <c r="WB65" i="18"/>
  <c r="UX65" i="18"/>
  <c r="NH65" i="18"/>
  <c r="KB65" i="18"/>
  <c r="IX65" i="18"/>
  <c r="HT65" i="18"/>
  <c r="EN65" i="18"/>
  <c r="WT65" i="18"/>
  <c r="SJ65" i="18"/>
  <c r="JP65" i="18"/>
  <c r="FF65" i="18"/>
  <c r="AV65" i="18"/>
  <c r="WN65" i="18"/>
  <c r="LR65" i="18"/>
  <c r="HH65" i="18"/>
  <c r="VP65" i="18"/>
  <c r="RF65" i="18"/>
  <c r="GJ65" i="18"/>
  <c r="EB65" i="18"/>
  <c r="GD65" i="18"/>
  <c r="TH65" i="18"/>
  <c r="KN65" i="18"/>
  <c r="KK63" i="18"/>
  <c r="VU63" i="18"/>
  <c r="TG63" i="18"/>
  <c r="GA63" i="18"/>
  <c r="WY63" i="18"/>
  <c r="RO63" i="18"/>
  <c r="NG63" i="18"/>
  <c r="JM63" i="18"/>
  <c r="UE63" i="18"/>
  <c r="OU63" i="18"/>
  <c r="KR63" i="18"/>
  <c r="TA63" i="18"/>
  <c r="OO63" i="18"/>
  <c r="TM63" i="18"/>
  <c r="PM63" i="18"/>
  <c r="LQ63" i="18"/>
  <c r="CU63" i="18"/>
  <c r="MC63" i="18"/>
  <c r="IU63" i="18"/>
  <c r="TS63" i="18"/>
  <c r="PY63" i="18"/>
  <c r="MH63" i="18"/>
  <c r="EY63" i="18"/>
  <c r="BE63" i="18"/>
  <c r="SN63" i="18"/>
  <c r="JC63" i="18"/>
  <c r="DS63" i="18"/>
  <c r="RJ63" i="18"/>
  <c r="EG63" i="18"/>
  <c r="WQ63" i="18"/>
  <c r="SH63" i="18"/>
  <c r="ES63" i="18"/>
  <c r="AS63" i="18"/>
  <c r="IJ63" i="18"/>
  <c r="IE63" i="18"/>
  <c r="JY63" i="18"/>
  <c r="JT63" i="18"/>
  <c r="WL63" i="18"/>
  <c r="PC63" i="18"/>
  <c r="LI63" i="18"/>
  <c r="HR63" i="18"/>
  <c r="WG63" i="18"/>
  <c r="SA63" i="18"/>
  <c r="MT63" i="18"/>
  <c r="DI63" i="18"/>
  <c r="QE63" i="18"/>
  <c r="MZ63" i="18"/>
  <c r="VC63" i="18"/>
  <c r="RC63" i="18"/>
  <c r="HX63" i="18"/>
  <c r="UK63" i="18"/>
  <c r="HE63" i="18"/>
  <c r="NR63" i="18"/>
  <c r="FQ63" i="18"/>
  <c r="VY63" i="18"/>
  <c r="KX63" i="18"/>
  <c r="QY63" i="18"/>
  <c r="JN63" i="18"/>
  <c r="CE63" i="18"/>
  <c r="UC63" i="18"/>
  <c r="FK63" i="18"/>
  <c r="BA63" i="18"/>
  <c r="CV63" i="18"/>
  <c r="UW63" i="18"/>
  <c r="MA63" i="18"/>
  <c r="XK63" i="18"/>
  <c r="TQ63" i="18"/>
  <c r="PZ63" i="18"/>
  <c r="IQ63" i="18"/>
  <c r="EW63" i="18"/>
  <c r="BF63" i="18"/>
  <c r="OK63" i="18"/>
  <c r="JA63" i="18"/>
  <c r="DT63" i="18"/>
  <c r="NM63" i="18"/>
  <c r="EE63" i="18"/>
  <c r="WR63" i="18"/>
  <c r="NY63" i="18"/>
  <c r="EQ63" i="18"/>
  <c r="AT63" i="18"/>
  <c r="VI63" i="18"/>
  <c r="IC63" i="18"/>
  <c r="JZ63" i="18"/>
  <c r="EM63" i="18"/>
  <c r="SU63" i="18"/>
  <c r="PA63" i="18"/>
  <c r="LJ63" i="18"/>
  <c r="EA63" i="18"/>
  <c r="WE63" i="18"/>
  <c r="SB63" i="18"/>
  <c r="HM63" i="18"/>
  <c r="DG63" i="18"/>
  <c r="QF63" i="18"/>
  <c r="CQ63" i="18"/>
  <c r="VA63" i="18"/>
  <c r="RD63" i="18"/>
  <c r="DO63" i="18"/>
  <c r="UI63" i="18"/>
  <c r="HF63" i="18"/>
  <c r="AO63" i="18"/>
  <c r="FO63" i="18"/>
  <c r="VZ63" i="18"/>
  <c r="WV64" i="18"/>
  <c r="VX64" i="18"/>
  <c r="UZ64" i="18"/>
  <c r="UB64" i="18"/>
  <c r="TD64" i="18"/>
  <c r="SF64" i="18"/>
  <c r="RH64" i="18"/>
  <c r="QJ64" i="18"/>
  <c r="PL64" i="18"/>
  <c r="ON64" i="18"/>
  <c r="NP64" i="18"/>
  <c r="MR64" i="18"/>
  <c r="LT64" i="18"/>
  <c r="KV64" i="18"/>
  <c r="JX64" i="18"/>
  <c r="IZ64" i="18"/>
  <c r="IB64" i="18"/>
  <c r="HD64" i="18"/>
  <c r="GF64" i="18"/>
  <c r="FH64" i="18"/>
  <c r="EJ64" i="18"/>
  <c r="DL64" i="18"/>
  <c r="CN64" i="18"/>
  <c r="BP64" i="18"/>
  <c r="AR64" i="18"/>
  <c r="XB64" i="18"/>
  <c r="VL64" i="18"/>
  <c r="TV64" i="18"/>
  <c r="TJ64" i="18"/>
  <c r="RT64" i="18"/>
  <c r="QD64" i="18"/>
  <c r="PR64" i="18"/>
  <c r="OB64" i="18"/>
  <c r="ML64" i="18"/>
  <c r="LZ64" i="18"/>
  <c r="KJ64" i="18"/>
  <c r="IT64" i="18"/>
  <c r="IH64" i="18"/>
  <c r="GR64" i="18"/>
  <c r="FB64" i="18"/>
  <c r="EP64" i="18"/>
  <c r="CZ64" i="18"/>
  <c r="BJ64" i="18"/>
  <c r="AX64" i="18"/>
  <c r="UH64" i="18"/>
  <c r="SR64" i="18"/>
  <c r="RN64" i="18"/>
  <c r="RB64" i="18"/>
  <c r="PX64" i="18"/>
  <c r="OT64" i="18"/>
  <c r="OH64" i="18"/>
  <c r="ND64" i="18"/>
  <c r="LN64" i="18"/>
  <c r="FN64" i="18"/>
  <c r="DX64" i="18"/>
  <c r="CT64" i="18"/>
  <c r="CH64" i="18"/>
  <c r="BD64" i="18"/>
  <c r="WJ64" i="18"/>
  <c r="VF64" i="18"/>
  <c r="UT64" i="18"/>
  <c r="TP64" i="18"/>
  <c r="SL64" i="18"/>
  <c r="RZ64" i="18"/>
  <c r="QV64" i="18"/>
  <c r="PF64" i="18"/>
  <c r="JF64" i="18"/>
  <c r="HP64" i="18"/>
  <c r="GL64" i="18"/>
  <c r="FZ64" i="18"/>
  <c r="EV64" i="18"/>
  <c r="DR64" i="18"/>
  <c r="DF64" i="18"/>
  <c r="CB64" i="18"/>
  <c r="AL64" i="18"/>
  <c r="XH64" i="18"/>
  <c r="WD64" i="18"/>
  <c r="SX64" i="18"/>
  <c r="LH64" i="18"/>
  <c r="KD64" i="18"/>
  <c r="GX64" i="18"/>
  <c r="FT64" i="18"/>
  <c r="QP64" i="18"/>
  <c r="NJ64" i="18"/>
  <c r="MF64" i="18"/>
  <c r="LB64" i="18"/>
  <c r="HV64" i="18"/>
  <c r="VR64" i="18"/>
  <c r="MX64" i="18"/>
  <c r="IN64" i="18"/>
  <c r="ED64" i="18"/>
  <c r="OZ64" i="18"/>
  <c r="KP64" i="18"/>
  <c r="BV64" i="18"/>
  <c r="UN64" i="18"/>
  <c r="JR64" i="18"/>
  <c r="HJ64" i="18"/>
  <c r="WP64" i="18"/>
  <c r="NV64" i="18"/>
  <c r="JL64" i="18"/>
  <c r="WO64" i="18"/>
  <c r="VQ64" i="18"/>
  <c r="US64" i="18"/>
  <c r="TU64" i="18"/>
  <c r="SW64" i="18"/>
  <c r="RY64" i="18"/>
  <c r="RA64" i="18"/>
  <c r="QC64" i="18"/>
  <c r="PE64" i="18"/>
  <c r="OG64" i="18"/>
  <c r="NI64" i="18"/>
  <c r="MK64" i="18"/>
  <c r="LM64" i="18"/>
  <c r="KO64" i="18"/>
  <c r="JQ64" i="18"/>
  <c r="IS64" i="18"/>
  <c r="HU64" i="18"/>
  <c r="GW64" i="18"/>
  <c r="FY64" i="18"/>
  <c r="FA64" i="18"/>
  <c r="FE64" i="18" s="1"/>
  <c r="EC64" i="18"/>
  <c r="DE64" i="18"/>
  <c r="CG64" i="18"/>
  <c r="BI64" i="18"/>
  <c r="AK64" i="18"/>
  <c r="WI64" i="18"/>
  <c r="VW64" i="18"/>
  <c r="UG64" i="18"/>
  <c r="SQ64" i="18"/>
  <c r="SE64" i="18"/>
  <c r="SH64" i="18" s="1"/>
  <c r="QO64" i="18"/>
  <c r="OY64" i="18"/>
  <c r="PA64" i="18" s="1"/>
  <c r="OM64" i="18"/>
  <c r="MW64" i="18"/>
  <c r="LG64" i="18"/>
  <c r="LK64" i="18" s="1"/>
  <c r="KU64" i="18"/>
  <c r="JE64" i="18"/>
  <c r="HO64" i="18"/>
  <c r="HC64" i="18"/>
  <c r="FM64" i="18"/>
  <c r="DW64" i="18"/>
  <c r="DK64" i="18"/>
  <c r="BU64" i="18"/>
  <c r="XA64" i="18"/>
  <c r="VK64" i="18"/>
  <c r="PK64" i="18"/>
  <c r="NU64" i="18"/>
  <c r="MQ64" i="18"/>
  <c r="ME64" i="18"/>
  <c r="LA64" i="18"/>
  <c r="JW64" i="18"/>
  <c r="JK64" i="18"/>
  <c r="JN64" i="18" s="1"/>
  <c r="IG64" i="18"/>
  <c r="GQ64" i="18"/>
  <c r="AQ64" i="18"/>
  <c r="TC64" i="18"/>
  <c r="RM64" i="18"/>
  <c r="QI64" i="18"/>
  <c r="PW64" i="18"/>
  <c r="OS64" i="18"/>
  <c r="NO64" i="18"/>
  <c r="NC64" i="18"/>
  <c r="LY64" i="18"/>
  <c r="KI64" i="18"/>
  <c r="EI64" i="18"/>
  <c r="CS64" i="18"/>
  <c r="BO64" i="18"/>
  <c r="BC64" i="18"/>
  <c r="VE64" i="18"/>
  <c r="UA64" i="18"/>
  <c r="QU64" i="18"/>
  <c r="PQ64" i="18"/>
  <c r="IA64" i="18"/>
  <c r="IC64" i="18" s="1"/>
  <c r="EU64" i="18"/>
  <c r="DQ64" i="18"/>
  <c r="CM64" i="18"/>
  <c r="XG64" i="18"/>
  <c r="WC64" i="18"/>
  <c r="UY64" i="18"/>
  <c r="RS64" i="18"/>
  <c r="KC64" i="18"/>
  <c r="IY64" i="18"/>
  <c r="FS64" i="18"/>
  <c r="EO64" i="18"/>
  <c r="TO64" i="18"/>
  <c r="RG64" i="18"/>
  <c r="GK64" i="18"/>
  <c r="CA64" i="18"/>
  <c r="TI64" i="18"/>
  <c r="IM64" i="18"/>
  <c r="IO64" i="18" s="1"/>
  <c r="GE64" i="18"/>
  <c r="WU64" i="18"/>
  <c r="SK64" i="18"/>
  <c r="OA64" i="18"/>
  <c r="FG64" i="18"/>
  <c r="AW64" i="18"/>
  <c r="AZ64" i="18" s="1"/>
  <c r="UM64" i="18"/>
  <c r="LS64" i="18"/>
  <c r="CY64" i="18"/>
  <c r="HI64" i="18"/>
  <c r="QW63" i="18"/>
  <c r="CC63" i="18"/>
  <c r="KS63" i="18"/>
  <c r="FI63" i="18"/>
  <c r="AY63" i="18"/>
  <c r="UU63" i="18"/>
  <c r="XI63" i="18"/>
  <c r="MI63" i="18"/>
  <c r="IO63" i="18"/>
  <c r="SO63" i="18"/>
  <c r="OI63" i="18"/>
  <c r="RK63" i="18"/>
  <c r="NK63" i="18"/>
  <c r="SI63" i="18"/>
  <c r="NW63" i="18"/>
  <c r="IK63" i="18"/>
  <c r="VG63" i="18"/>
  <c r="JU63" i="18"/>
  <c r="EK63" i="18"/>
  <c r="WM63" i="18"/>
  <c r="SS63" i="18"/>
  <c r="HS63" i="18"/>
  <c r="DY63" i="18"/>
  <c r="MU63" i="18"/>
  <c r="HK63" i="18"/>
  <c r="NA63" i="18"/>
  <c r="CO63" i="18"/>
  <c r="HY63" i="18"/>
  <c r="DM63" i="18"/>
  <c r="NS63" i="18"/>
  <c r="AM63" i="18"/>
  <c r="KY63" i="18"/>
  <c r="S60" i="18"/>
  <c r="U60" i="18" s="1"/>
  <c r="R62" i="18"/>
  <c r="Q62" i="18"/>
  <c r="P62" i="18"/>
  <c r="T61" i="18" s="1"/>
  <c r="B125" i="1"/>
  <c r="B125" i="9"/>
  <c r="B125" i="7"/>
  <c r="AD122" i="5"/>
  <c r="AE122" i="5" s="1"/>
  <c r="AI122" i="5" s="1"/>
  <c r="B127" i="5"/>
  <c r="R125" i="5"/>
  <c r="AG125" i="5" s="1"/>
  <c r="AE125" i="5"/>
  <c r="K125" i="5"/>
  <c r="B124" i="5"/>
  <c r="R122" i="5"/>
  <c r="AG122" i="5" s="1"/>
  <c r="K122" i="5"/>
  <c r="F120" i="5"/>
  <c r="AJ120" i="5"/>
  <c r="S126" i="14"/>
  <c r="U126" i="14"/>
  <c r="T126" i="14"/>
  <c r="Q125" i="14"/>
  <c r="B129" i="14"/>
  <c r="B124" i="9"/>
  <c r="B64" i="15"/>
  <c r="O121" i="1"/>
  <c r="BP121" i="1"/>
  <c r="X121" i="7" s="1"/>
  <c r="BQ121" i="1"/>
  <c r="O120" i="1"/>
  <c r="B127" i="8"/>
  <c r="B124" i="1"/>
  <c r="N122" i="1"/>
  <c r="B126" i="8"/>
  <c r="B124" i="7"/>
  <c r="B66" i="18"/>
  <c r="O65" i="18"/>
  <c r="N65" i="18"/>
  <c r="Q125" i="5" l="1"/>
  <c r="U125" i="5" s="1"/>
  <c r="R115" i="8"/>
  <c r="R126" i="14"/>
  <c r="R117" i="8" s="1"/>
  <c r="I123" i="9"/>
  <c r="LD64" i="18"/>
  <c r="GH64" i="18"/>
  <c r="B131" i="19"/>
  <c r="G131" i="19" s="1"/>
  <c r="F129" i="19"/>
  <c r="D56" i="19"/>
  <c r="E57" i="19"/>
  <c r="Q30" i="15"/>
  <c r="P30" i="15"/>
  <c r="G30" i="15"/>
  <c r="D56" i="8"/>
  <c r="R56" i="8" s="1"/>
  <c r="E57" i="8"/>
  <c r="K57" i="7"/>
  <c r="N57" i="7"/>
  <c r="N56" i="7"/>
  <c r="L57" i="7"/>
  <c r="L56" i="7"/>
  <c r="K56" i="7"/>
  <c r="E59" i="19"/>
  <c r="D58" i="19"/>
  <c r="G31" i="15"/>
  <c r="D58" i="8"/>
  <c r="R58" i="8" s="1"/>
  <c r="Q31" i="15"/>
  <c r="P31" i="15"/>
  <c r="E59" i="8"/>
  <c r="MS64" i="18"/>
  <c r="MC64" i="18"/>
  <c r="KK64" i="18"/>
  <c r="EM64" i="18"/>
  <c r="I122" i="9"/>
  <c r="DM64" i="18"/>
  <c r="KA64" i="18"/>
  <c r="L123" i="9"/>
  <c r="L122" i="9"/>
  <c r="M120" i="9"/>
  <c r="M121" i="9"/>
  <c r="J123" i="9"/>
  <c r="J122" i="9"/>
  <c r="H125" i="9"/>
  <c r="K125" i="9" s="1"/>
  <c r="TX64" i="18"/>
  <c r="F126" i="8"/>
  <c r="G126" i="8"/>
  <c r="F127" i="8"/>
  <c r="G127" i="8"/>
  <c r="H124" i="9"/>
  <c r="K124" i="9" s="1"/>
  <c r="J124" i="7"/>
  <c r="I124" i="7"/>
  <c r="I125" i="7"/>
  <c r="J125" i="7"/>
  <c r="E64" i="15"/>
  <c r="D64" i="15"/>
  <c r="E66" i="18"/>
  <c r="G66" i="18" s="1"/>
  <c r="D66" i="18"/>
  <c r="F66" i="18" s="1"/>
  <c r="I124" i="5"/>
  <c r="J124" i="5" s="1"/>
  <c r="I127" i="5"/>
  <c r="H125" i="1"/>
  <c r="I125" i="1" s="1"/>
  <c r="H124" i="1"/>
  <c r="I124" i="1" s="1"/>
  <c r="TK64" i="18"/>
  <c r="NW64" i="18"/>
  <c r="VA64" i="18"/>
  <c r="JY64" i="18"/>
  <c r="U64" i="15"/>
  <c r="Y64" i="18" s="1"/>
  <c r="LP64" i="18"/>
  <c r="QS64" i="18"/>
  <c r="PT64" i="18"/>
  <c r="MH64" i="18"/>
  <c r="T64" i="15"/>
  <c r="AT64" i="18"/>
  <c r="VI64" i="18"/>
  <c r="QQ64" i="18"/>
  <c r="QY64" i="18"/>
  <c r="NS64" i="18"/>
  <c r="VC64" i="18"/>
  <c r="VB64" i="18"/>
  <c r="MB64" i="18"/>
  <c r="NR64" i="18"/>
  <c r="VO64" i="18"/>
  <c r="AM64" i="18"/>
  <c r="QR64" i="18"/>
  <c r="MA64" i="18"/>
  <c r="CO64" i="18"/>
  <c r="BL64" i="18"/>
  <c r="VN64" i="18"/>
  <c r="GM64" i="18"/>
  <c r="QX64" i="18"/>
  <c r="UV64" i="18"/>
  <c r="CK64" i="18"/>
  <c r="AS64" i="18"/>
  <c r="HK64" i="18"/>
  <c r="WW64" i="18"/>
  <c r="EQ64" i="18"/>
  <c r="TF64" i="18"/>
  <c r="UK64" i="18"/>
  <c r="IU64" i="18"/>
  <c r="AN64" i="18"/>
  <c r="UW64" i="18"/>
  <c r="GN64" i="18"/>
  <c r="QW64" i="18"/>
  <c r="QA64" i="18"/>
  <c r="AU64" i="18"/>
  <c r="CI64" i="18"/>
  <c r="LU64" i="18"/>
  <c r="OC64" i="18"/>
  <c r="WG64" i="18"/>
  <c r="PO64" i="18"/>
  <c r="HA64" i="18"/>
  <c r="RD64" i="18"/>
  <c r="OE64" i="18"/>
  <c r="DO64" i="18"/>
  <c r="LC64" i="18"/>
  <c r="GA64" i="18"/>
  <c r="RE64" i="18"/>
  <c r="VG64" i="18"/>
  <c r="NF64" i="18"/>
  <c r="RC64" i="18"/>
  <c r="UU64" i="18"/>
  <c r="AO64" i="18"/>
  <c r="VM64" i="18"/>
  <c r="NQ64" i="18"/>
  <c r="VH64" i="18"/>
  <c r="FI64" i="18"/>
  <c r="GO64" i="18"/>
  <c r="CJ64" i="18"/>
  <c r="BK64" i="18"/>
  <c r="TW64" i="18"/>
  <c r="RK64" i="18"/>
  <c r="JA64" i="18"/>
  <c r="UD64" i="18"/>
  <c r="CU64" i="18"/>
  <c r="NG64" i="18"/>
  <c r="QM64" i="18"/>
  <c r="GS64" i="18"/>
  <c r="HR64" i="18"/>
  <c r="OJ64" i="18"/>
  <c r="SC64" i="18"/>
  <c r="JZ64" i="18"/>
  <c r="UO64" i="18"/>
  <c r="SN64" i="18"/>
  <c r="RQ64" i="18"/>
  <c r="DY64" i="18"/>
  <c r="JH64" i="18"/>
  <c r="EF64" i="18"/>
  <c r="HW64" i="18"/>
  <c r="PG64" i="18"/>
  <c r="OO64" i="18"/>
  <c r="KL64" i="18"/>
  <c r="UJ64" i="18"/>
  <c r="JO64" i="18"/>
  <c r="PN64" i="18"/>
  <c r="TY64" i="18"/>
  <c r="KE64" i="18"/>
  <c r="XI64" i="18"/>
  <c r="RJ64" i="18"/>
  <c r="DC64" i="18"/>
  <c r="BS64" i="18"/>
  <c r="OK64" i="18"/>
  <c r="MY64" i="18"/>
  <c r="DG64" i="18"/>
  <c r="GZ64" i="18"/>
  <c r="KQ64" i="18"/>
  <c r="BX64" i="18"/>
  <c r="FV64" i="18"/>
  <c r="GB64" i="18"/>
  <c r="PH64" i="18"/>
  <c r="DA64" i="18"/>
  <c r="RV64" i="18"/>
  <c r="HE64" i="18"/>
  <c r="OP64" i="18"/>
  <c r="GG64" i="18"/>
  <c r="OD64" i="18"/>
  <c r="GU64" i="18"/>
  <c r="DB64" i="18"/>
  <c r="LW64" i="18"/>
  <c r="DN64" i="18"/>
  <c r="UI64" i="18"/>
  <c r="HG64" i="18"/>
  <c r="RI64" i="18"/>
  <c r="AY64" i="18"/>
  <c r="NE64" i="18"/>
  <c r="PM64" i="18"/>
  <c r="KS64" i="18"/>
  <c r="BY64" i="18"/>
  <c r="OI64" i="18"/>
  <c r="TQ64" i="18"/>
  <c r="II64" i="18"/>
  <c r="SS64" i="18"/>
  <c r="GT64" i="18"/>
  <c r="LV64" i="18"/>
  <c r="LE64" i="18"/>
  <c r="HF64" i="18"/>
  <c r="OQ64" i="18"/>
  <c r="GC64" i="18"/>
  <c r="KR64" i="18"/>
  <c r="PI64" i="18"/>
  <c r="DI64" i="18"/>
  <c r="CD64" i="18"/>
  <c r="RW64" i="18"/>
  <c r="BG64" i="18"/>
  <c r="OU64" i="18"/>
  <c r="XD64" i="18"/>
  <c r="FP64" i="18"/>
  <c r="KY64" i="18"/>
  <c r="MM64" i="18"/>
  <c r="RU64" i="18"/>
  <c r="KM64" i="18"/>
  <c r="FU64" i="18"/>
  <c r="WA64" i="18"/>
  <c r="BA64" i="18"/>
  <c r="FO64" i="18"/>
  <c r="BW64" i="18"/>
  <c r="UP64" i="18"/>
  <c r="FW64" i="18"/>
  <c r="KG64" i="18"/>
  <c r="BM64" i="18"/>
  <c r="QG64" i="18"/>
  <c r="KF64" i="18"/>
  <c r="GI64" i="18"/>
  <c r="EW64" i="18"/>
  <c r="UQ64" i="18"/>
  <c r="WL64" i="18"/>
  <c r="CC64" i="18"/>
  <c r="NA64" i="18"/>
  <c r="DH64" i="18"/>
  <c r="GY64" i="18"/>
  <c r="UE64" i="18"/>
  <c r="FQ64" i="18"/>
  <c r="UC64" i="18"/>
  <c r="HL64" i="18"/>
  <c r="JM64" i="18"/>
  <c r="CE64" i="18"/>
  <c r="MN64" i="18"/>
  <c r="MZ64" i="18"/>
  <c r="QF64" i="18"/>
  <c r="DS64" i="18"/>
  <c r="VS64" i="18"/>
  <c r="HM64" i="18"/>
  <c r="MO64" i="18"/>
  <c r="QE64" i="18"/>
  <c r="JS64" i="18"/>
  <c r="NL64" i="18"/>
  <c r="SY64" i="18"/>
  <c r="WR64" i="18"/>
  <c r="WV65" i="18"/>
  <c r="VX65" i="18"/>
  <c r="UZ65" i="18"/>
  <c r="UB65" i="18"/>
  <c r="TD65" i="18"/>
  <c r="SF65" i="18"/>
  <c r="RH65" i="18"/>
  <c r="QJ65" i="18"/>
  <c r="PL65" i="18"/>
  <c r="ON65" i="18"/>
  <c r="NP65" i="18"/>
  <c r="MR65" i="18"/>
  <c r="LT65" i="18"/>
  <c r="KV65" i="18"/>
  <c r="JX65" i="18"/>
  <c r="IZ65" i="18"/>
  <c r="IB65" i="18"/>
  <c r="HD65" i="18"/>
  <c r="GF65" i="18"/>
  <c r="FH65" i="18"/>
  <c r="EJ65" i="18"/>
  <c r="DL65" i="18"/>
  <c r="CN65" i="18"/>
  <c r="BP65" i="18"/>
  <c r="AR65" i="18"/>
  <c r="WP65" i="18"/>
  <c r="WD65" i="18"/>
  <c r="UN65" i="18"/>
  <c r="SX65" i="18"/>
  <c r="SL65" i="18"/>
  <c r="QV65" i="18"/>
  <c r="PF65" i="18"/>
  <c r="OT65" i="18"/>
  <c r="ND65" i="18"/>
  <c r="LN65" i="18"/>
  <c r="LB65" i="18"/>
  <c r="JL65" i="18"/>
  <c r="HV65" i="18"/>
  <c r="HJ65" i="18"/>
  <c r="FT65" i="18"/>
  <c r="ED65" i="18"/>
  <c r="DR65" i="18"/>
  <c r="CB65" i="18"/>
  <c r="AL65" i="18"/>
  <c r="WJ65" i="18"/>
  <c r="VF65" i="18"/>
  <c r="UT65" i="18"/>
  <c r="TP65" i="18"/>
  <c r="RZ65" i="18"/>
  <c r="LZ65" i="18"/>
  <c r="KJ65" i="18"/>
  <c r="JF65" i="18"/>
  <c r="IT65" i="18"/>
  <c r="HP65" i="18"/>
  <c r="GL65" i="18"/>
  <c r="FZ65" i="18"/>
  <c r="EV65" i="18"/>
  <c r="DF65" i="18"/>
  <c r="XH65" i="18"/>
  <c r="VR65" i="18"/>
  <c r="PR65" i="18"/>
  <c r="OB65" i="18"/>
  <c r="MX65" i="18"/>
  <c r="ML65" i="18"/>
  <c r="LH65" i="18"/>
  <c r="KD65" i="18"/>
  <c r="JR65" i="18"/>
  <c r="IN65" i="18"/>
  <c r="GX65" i="18"/>
  <c r="AX65" i="18"/>
  <c r="RT65" i="18"/>
  <c r="QP65" i="18"/>
  <c r="NJ65" i="18"/>
  <c r="MF65" i="18"/>
  <c r="EP65" i="18"/>
  <c r="BJ65" i="18"/>
  <c r="XB65" i="18"/>
  <c r="TV65" i="18"/>
  <c r="SR65" i="18"/>
  <c r="RN65" i="18"/>
  <c r="OH65" i="18"/>
  <c r="GR65" i="18"/>
  <c r="FN65" i="18"/>
  <c r="CH65" i="18"/>
  <c r="BD65" i="18"/>
  <c r="QD65" i="18"/>
  <c r="NV65" i="18"/>
  <c r="CZ65" i="18"/>
  <c r="UH65" i="18"/>
  <c r="PX65" i="18"/>
  <c r="FB65" i="18"/>
  <c r="CT65" i="18"/>
  <c r="TJ65" i="18"/>
  <c r="OZ65" i="18"/>
  <c r="KP65" i="18"/>
  <c r="BV65" i="18"/>
  <c r="RB65" i="18"/>
  <c r="IH65" i="18"/>
  <c r="VL65" i="18"/>
  <c r="DX65" i="18"/>
  <c r="WO65" i="18"/>
  <c r="VQ65" i="18"/>
  <c r="US65" i="18"/>
  <c r="UW65" i="18" s="1"/>
  <c r="TU65" i="18"/>
  <c r="SW65" i="18"/>
  <c r="RY65" i="18"/>
  <c r="RA65" i="18"/>
  <c r="QC65" i="18"/>
  <c r="PE65" i="18"/>
  <c r="OG65" i="18"/>
  <c r="NI65" i="18"/>
  <c r="MK65" i="18"/>
  <c r="MO65" i="18" s="1"/>
  <c r="LM65" i="18"/>
  <c r="KO65" i="18"/>
  <c r="JQ65" i="18"/>
  <c r="IS65" i="18"/>
  <c r="HU65" i="18"/>
  <c r="GW65" i="18"/>
  <c r="FY65" i="18"/>
  <c r="FA65" i="18"/>
  <c r="EC65" i="18"/>
  <c r="DE65" i="18"/>
  <c r="CG65" i="18"/>
  <c r="BI65" i="18"/>
  <c r="BL65" i="18" s="1"/>
  <c r="AK65" i="18"/>
  <c r="XA65" i="18"/>
  <c r="VK65" i="18"/>
  <c r="UY65" i="18"/>
  <c r="TI65" i="18"/>
  <c r="RS65" i="18"/>
  <c r="RG65" i="18"/>
  <c r="PQ65" i="18"/>
  <c r="OA65" i="18"/>
  <c r="NO65" i="18"/>
  <c r="LY65" i="18"/>
  <c r="KI65" i="18"/>
  <c r="JW65" i="18"/>
  <c r="IG65" i="18"/>
  <c r="GQ65" i="18"/>
  <c r="GE65" i="18"/>
  <c r="EO65" i="18"/>
  <c r="CY65" i="18"/>
  <c r="CM65" i="18"/>
  <c r="AW65" i="18"/>
  <c r="VW65" i="18"/>
  <c r="UG65" i="18"/>
  <c r="TC65" i="18"/>
  <c r="SQ65" i="18"/>
  <c r="RM65" i="18"/>
  <c r="QI65" i="18"/>
  <c r="PW65" i="18"/>
  <c r="OS65" i="18"/>
  <c r="NC65" i="18"/>
  <c r="HC65" i="18"/>
  <c r="FM65" i="18"/>
  <c r="EI65" i="18"/>
  <c r="DW65" i="18"/>
  <c r="CS65" i="18"/>
  <c r="BO65" i="18"/>
  <c r="BC65" i="18"/>
  <c r="WU65" i="18"/>
  <c r="WI65" i="18"/>
  <c r="VE65" i="18"/>
  <c r="UA65" i="18"/>
  <c r="TO65" i="18"/>
  <c r="SK65" i="18"/>
  <c r="QU65" i="18"/>
  <c r="QW65" i="18" s="1"/>
  <c r="KU65" i="18"/>
  <c r="JE65" i="18"/>
  <c r="IA65" i="18"/>
  <c r="HO65" i="18"/>
  <c r="GK65" i="18"/>
  <c r="FG65" i="18"/>
  <c r="EU65" i="18"/>
  <c r="DQ65" i="18"/>
  <c r="CA65" i="18"/>
  <c r="XG65" i="18"/>
  <c r="WC65" i="18"/>
  <c r="OM65" i="18"/>
  <c r="LG65" i="18"/>
  <c r="KC65" i="18"/>
  <c r="IY65" i="18"/>
  <c r="FS65" i="18"/>
  <c r="QO65" i="18"/>
  <c r="PK65" i="18"/>
  <c r="ME65" i="18"/>
  <c r="MI65" i="18" s="1"/>
  <c r="LA65" i="18"/>
  <c r="DK65" i="18"/>
  <c r="UM65" i="18"/>
  <c r="LS65" i="18"/>
  <c r="HI65" i="18"/>
  <c r="SE65" i="18"/>
  <c r="NU65" i="18"/>
  <c r="JK65" i="18"/>
  <c r="AQ65" i="18"/>
  <c r="MW65" i="18"/>
  <c r="IM65" i="18"/>
  <c r="OY65" i="18"/>
  <c r="MQ65" i="18"/>
  <c r="BU65" i="18"/>
  <c r="BW65" i="18" s="1"/>
  <c r="TS64" i="18"/>
  <c r="PZ64" i="18"/>
  <c r="MG64" i="18"/>
  <c r="EY64" i="18"/>
  <c r="BF64" i="18"/>
  <c r="TE64" i="18"/>
  <c r="JU64" i="18"/>
  <c r="EL64" i="18"/>
  <c r="WQ64" i="18"/>
  <c r="JC64" i="18"/>
  <c r="FD64" i="18"/>
  <c r="XC64" i="18"/>
  <c r="IW64" i="18"/>
  <c r="SB64" i="18"/>
  <c r="JG64" i="18"/>
  <c r="DU64" i="18"/>
  <c r="KX64" i="18"/>
  <c r="EE64" i="18"/>
  <c r="WK64" i="18"/>
  <c r="PC64" i="18"/>
  <c r="LJ64" i="18"/>
  <c r="HQ64" i="18"/>
  <c r="WY64" i="18"/>
  <c r="RP64" i="18"/>
  <c r="NK64" i="18"/>
  <c r="CW64" i="18"/>
  <c r="WF64" i="18"/>
  <c r="SG64" i="18"/>
  <c r="ES64" i="18"/>
  <c r="VZ64" i="18"/>
  <c r="LO64" i="18"/>
  <c r="OW64" i="18"/>
  <c r="BR64" i="18"/>
  <c r="PS64" i="18"/>
  <c r="VU64" i="18"/>
  <c r="QL64" i="18"/>
  <c r="SM64" i="18"/>
  <c r="XF66" i="18"/>
  <c r="WH66" i="18"/>
  <c r="VJ66" i="18"/>
  <c r="UL66" i="18"/>
  <c r="TN66" i="18"/>
  <c r="SP66" i="18"/>
  <c r="RR66" i="18"/>
  <c r="QT66" i="18"/>
  <c r="PV66" i="18"/>
  <c r="OX66" i="18"/>
  <c r="NZ66" i="18"/>
  <c r="NB66" i="18"/>
  <c r="MD66" i="18"/>
  <c r="LF66" i="18"/>
  <c r="KH66" i="18"/>
  <c r="JJ66" i="18"/>
  <c r="IL66" i="18"/>
  <c r="HN66" i="18"/>
  <c r="GP66" i="18"/>
  <c r="FR66" i="18"/>
  <c r="ET66" i="18"/>
  <c r="DV66" i="18"/>
  <c r="CX66" i="18"/>
  <c r="BZ66" i="18"/>
  <c r="BB66" i="18"/>
  <c r="WZ66" i="18"/>
  <c r="WN66" i="18"/>
  <c r="UX66" i="18"/>
  <c r="TH66" i="18"/>
  <c r="SV66" i="18"/>
  <c r="RF66" i="18"/>
  <c r="PP66" i="18"/>
  <c r="PD66" i="18"/>
  <c r="NN66" i="18"/>
  <c r="LX66" i="18"/>
  <c r="LL66" i="18"/>
  <c r="JV66" i="18"/>
  <c r="IF66" i="18"/>
  <c r="HT66" i="18"/>
  <c r="GD66" i="18"/>
  <c r="EN66" i="18"/>
  <c r="EB66" i="18"/>
  <c r="CL66" i="18"/>
  <c r="AV66" i="18"/>
  <c r="AJ66" i="18"/>
  <c r="VV66" i="18"/>
  <c r="UR66" i="18"/>
  <c r="UF66" i="18"/>
  <c r="TB66" i="18"/>
  <c r="RX66" i="18"/>
  <c r="RL66" i="18"/>
  <c r="QH66" i="18"/>
  <c r="OR66" i="18"/>
  <c r="IR66" i="18"/>
  <c r="HB66" i="18"/>
  <c r="FX66" i="18"/>
  <c r="FL66" i="18"/>
  <c r="EH66" i="18"/>
  <c r="DD66" i="18"/>
  <c r="CR66" i="18"/>
  <c r="BN66" i="18"/>
  <c r="WT66" i="18"/>
  <c r="VP66" i="18"/>
  <c r="VD66" i="18"/>
  <c r="TZ66" i="18"/>
  <c r="SJ66" i="18"/>
  <c r="MJ66" i="18"/>
  <c r="KT66" i="18"/>
  <c r="JP66" i="18"/>
  <c r="JD66" i="18"/>
  <c r="HZ66" i="18"/>
  <c r="GV66" i="18"/>
  <c r="GJ66" i="18"/>
  <c r="FF66" i="18"/>
  <c r="DP66" i="18"/>
  <c r="WB66" i="18"/>
  <c r="OL66" i="18"/>
  <c r="NH66" i="18"/>
  <c r="KB66" i="18"/>
  <c r="IX66" i="18"/>
  <c r="BH66" i="18"/>
  <c r="TT66" i="18"/>
  <c r="QN66" i="18"/>
  <c r="PJ66" i="18"/>
  <c r="OF66" i="18"/>
  <c r="KZ66" i="18"/>
  <c r="DJ66" i="18"/>
  <c r="CF66" i="18"/>
  <c r="MV66" i="18"/>
  <c r="KN66" i="18"/>
  <c r="QZ66" i="18"/>
  <c r="MP66" i="18"/>
  <c r="BT66" i="18"/>
  <c r="QB66" i="18"/>
  <c r="LR66" i="18"/>
  <c r="HH66" i="18"/>
  <c r="SD66" i="18"/>
  <c r="AP66" i="18"/>
  <c r="EZ66" i="18"/>
  <c r="NT66" i="18"/>
  <c r="XK64" i="18"/>
  <c r="TR64" i="18"/>
  <c r="PY64" i="18"/>
  <c r="IQ64" i="18"/>
  <c r="EX64" i="18"/>
  <c r="BE64" i="18"/>
  <c r="NY64" i="18"/>
  <c r="JT64" i="18"/>
  <c r="EK64" i="18"/>
  <c r="TM64" i="18"/>
  <c r="JB64" i="18"/>
  <c r="FC64" i="18"/>
  <c r="MU64" i="18"/>
  <c r="IV64" i="18"/>
  <c r="SA64" i="18"/>
  <c r="TA64" i="18"/>
  <c r="DT64" i="18"/>
  <c r="KW64" i="18"/>
  <c r="FK64" i="18"/>
  <c r="SU64" i="18"/>
  <c r="PB64" i="18"/>
  <c r="LI64" i="18"/>
  <c r="EA64" i="18"/>
  <c r="WX64" i="18"/>
  <c r="RO64" i="18"/>
  <c r="IE64" i="18"/>
  <c r="CV64" i="18"/>
  <c r="WE64" i="18"/>
  <c r="HY64" i="18"/>
  <c r="ER64" i="18"/>
  <c r="VY64" i="18"/>
  <c r="IK64" i="18"/>
  <c r="OV64" i="18"/>
  <c r="BQ64" i="18"/>
  <c r="CQ64" i="18"/>
  <c r="VT64" i="18"/>
  <c r="QK64" i="18"/>
  <c r="XJ64" i="18"/>
  <c r="MI64" i="18"/>
  <c r="IP64" i="18"/>
  <c r="TG64" i="18"/>
  <c r="NX64" i="18"/>
  <c r="WS64" i="18"/>
  <c r="TL64" i="18"/>
  <c r="XE64" i="18"/>
  <c r="MT64" i="18"/>
  <c r="JI64" i="18"/>
  <c r="SZ64" i="18"/>
  <c r="EG64" i="18"/>
  <c r="FJ64" i="18"/>
  <c r="WM64" i="18"/>
  <c r="ST64" i="18"/>
  <c r="HS64" i="18"/>
  <c r="DZ64" i="18"/>
  <c r="NM64" i="18"/>
  <c r="ID64" i="18"/>
  <c r="SI64" i="18"/>
  <c r="HX64" i="18"/>
  <c r="LQ64" i="18"/>
  <c r="IJ64" i="18"/>
  <c r="PU64" i="18"/>
  <c r="CP64" i="18"/>
  <c r="SO64" i="18"/>
  <c r="R63" i="18"/>
  <c r="Q63" i="18"/>
  <c r="P63" i="18"/>
  <c r="T62" i="18" s="1"/>
  <c r="S61" i="18"/>
  <c r="U61" i="18" s="1"/>
  <c r="B127" i="7"/>
  <c r="B127" i="9"/>
  <c r="B127" i="1"/>
  <c r="AD124" i="5"/>
  <c r="AE124" i="5" s="1"/>
  <c r="AI124" i="5" s="1"/>
  <c r="AJ122" i="5"/>
  <c r="AL122" i="5" s="1"/>
  <c r="AL120" i="5"/>
  <c r="B129" i="5"/>
  <c r="R127" i="5"/>
  <c r="AG127" i="5" s="1"/>
  <c r="K127" i="5"/>
  <c r="AE127" i="5"/>
  <c r="Q120" i="5"/>
  <c r="U120" i="5" s="1"/>
  <c r="B126" i="5"/>
  <c r="R124" i="5"/>
  <c r="AG124" i="5" s="1"/>
  <c r="K124" i="5"/>
  <c r="F122" i="5"/>
  <c r="BP123" i="1"/>
  <c r="X123" i="7" s="1"/>
  <c r="O123" i="1"/>
  <c r="O122" i="1"/>
  <c r="BQ123" i="1"/>
  <c r="T127" i="14"/>
  <c r="S127" i="14"/>
  <c r="U127" i="14"/>
  <c r="Q126" i="14"/>
  <c r="B130" i="14"/>
  <c r="B128" i="8"/>
  <c r="B126" i="1"/>
  <c r="N124" i="1"/>
  <c r="B65" i="15"/>
  <c r="B129" i="8"/>
  <c r="B126" i="7"/>
  <c r="B126" i="9"/>
  <c r="B67" i="18"/>
  <c r="N66" i="18"/>
  <c r="O66" i="18"/>
  <c r="R127" i="14" l="1"/>
  <c r="R119" i="8" s="1"/>
  <c r="I125" i="9"/>
  <c r="PO65" i="18"/>
  <c r="B133" i="19"/>
  <c r="G133" i="19" s="1"/>
  <c r="F131" i="19"/>
  <c r="L59" i="7"/>
  <c r="K58" i="7"/>
  <c r="K59" i="7"/>
  <c r="L58" i="7"/>
  <c r="N59" i="7"/>
  <c r="N58" i="7"/>
  <c r="D60" i="19"/>
  <c r="E61" i="19"/>
  <c r="G32" i="15"/>
  <c r="E61" i="8"/>
  <c r="D60" i="8"/>
  <c r="R60" i="8" s="1"/>
  <c r="P32" i="15"/>
  <c r="Q32" i="15"/>
  <c r="Q122" i="5"/>
  <c r="U122" i="5" s="1"/>
  <c r="DH65" i="18"/>
  <c r="CO65" i="18"/>
  <c r="JS65" i="18"/>
  <c r="TM65" i="18"/>
  <c r="I124" i="9"/>
  <c r="J127" i="5"/>
  <c r="F127" i="5" s="1"/>
  <c r="EG65" i="18"/>
  <c r="L124" i="9"/>
  <c r="L125" i="9"/>
  <c r="M122" i="9"/>
  <c r="M123" i="9"/>
  <c r="SZ65" i="18"/>
  <c r="J124" i="9"/>
  <c r="J125" i="9"/>
  <c r="H127" i="9"/>
  <c r="K127" i="9" s="1"/>
  <c r="F128" i="8"/>
  <c r="G128" i="8"/>
  <c r="F129" i="8"/>
  <c r="G129" i="8"/>
  <c r="J126" i="7"/>
  <c r="I126" i="7"/>
  <c r="H126" i="9"/>
  <c r="K126" i="9" s="1"/>
  <c r="J127" i="7"/>
  <c r="I127" i="7"/>
  <c r="D65" i="15"/>
  <c r="E65" i="15"/>
  <c r="E67" i="18"/>
  <c r="G67" i="18" s="1"/>
  <c r="D67" i="18"/>
  <c r="F67" i="18" s="1"/>
  <c r="I129" i="5"/>
  <c r="J129" i="5" s="1"/>
  <c r="I126" i="5"/>
  <c r="J126" i="5" s="1"/>
  <c r="PB65" i="18"/>
  <c r="H126" i="1"/>
  <c r="I126" i="1" s="1"/>
  <c r="H127" i="1"/>
  <c r="I127" i="1" s="1"/>
  <c r="SN65" i="18"/>
  <c r="II65" i="18"/>
  <c r="UE65" i="18"/>
  <c r="U65" i="15"/>
  <c r="Y65" i="18" s="1"/>
  <c r="FP65" i="18"/>
  <c r="HG65" i="18"/>
  <c r="WX65" i="18"/>
  <c r="QR65" i="18"/>
  <c r="HL65" i="18"/>
  <c r="T65" i="15"/>
  <c r="VO65" i="18"/>
  <c r="RI65" i="18"/>
  <c r="RK65" i="18"/>
  <c r="DG65" i="18"/>
  <c r="DS65" i="18"/>
  <c r="MM65" i="18"/>
  <c r="LP65" i="18"/>
  <c r="IO65" i="18"/>
  <c r="KF65" i="18"/>
  <c r="TR65" i="18"/>
  <c r="BX65" i="18"/>
  <c r="AT65" i="18"/>
  <c r="PY65" i="18"/>
  <c r="NK65" i="18"/>
  <c r="RE65" i="18"/>
  <c r="QS65" i="18"/>
  <c r="FO65" i="18"/>
  <c r="HK65" i="18"/>
  <c r="VM65" i="18"/>
  <c r="JU65" i="18"/>
  <c r="XI65" i="18"/>
  <c r="FU65" i="18"/>
  <c r="MT65" i="18"/>
  <c r="VU65" i="18"/>
  <c r="QE65" i="18"/>
  <c r="MH65" i="18"/>
  <c r="DI65" i="18"/>
  <c r="WA65" i="18"/>
  <c r="SG65" i="18"/>
  <c r="DM65" i="18"/>
  <c r="KX65" i="18"/>
  <c r="AZ65" i="18"/>
  <c r="QG65" i="18"/>
  <c r="TX65" i="18"/>
  <c r="SO65" i="18"/>
  <c r="UD65" i="18"/>
  <c r="LE65" i="18"/>
  <c r="DU65" i="18"/>
  <c r="VH65" i="18"/>
  <c r="QA65" i="18"/>
  <c r="MB65" i="18"/>
  <c r="CJ65" i="18"/>
  <c r="GB65" i="18"/>
  <c r="SS65" i="18"/>
  <c r="ER65" i="18"/>
  <c r="RW65" i="18"/>
  <c r="MY65" i="18"/>
  <c r="KM65" i="18"/>
  <c r="NS65" i="18"/>
  <c r="OK65" i="18"/>
  <c r="EE65" i="18"/>
  <c r="TK65" i="18"/>
  <c r="UU65" i="18"/>
  <c r="JT65" i="18"/>
  <c r="CQ65" i="18"/>
  <c r="HM65" i="18"/>
  <c r="PM65" i="18"/>
  <c r="CP65" i="18"/>
  <c r="QY65" i="18"/>
  <c r="NA65" i="18"/>
  <c r="CC65" i="18"/>
  <c r="GH65" i="18"/>
  <c r="QX65" i="18"/>
  <c r="LI65" i="18"/>
  <c r="EL65" i="18"/>
  <c r="OU65" i="18"/>
  <c r="SU65" i="18"/>
  <c r="KL65" i="18"/>
  <c r="PU65" i="18"/>
  <c r="FE65" i="18"/>
  <c r="IV65" i="18"/>
  <c r="WL65" i="18"/>
  <c r="DN65" i="18"/>
  <c r="FD65" i="18"/>
  <c r="VG65" i="18"/>
  <c r="BM65" i="18"/>
  <c r="DC65" i="18"/>
  <c r="CK65" i="18"/>
  <c r="GA65" i="18"/>
  <c r="LD65" i="18"/>
  <c r="PI65" i="18"/>
  <c r="BR65" i="18"/>
  <c r="MS65" i="18"/>
  <c r="SI65" i="18"/>
  <c r="MZ65" i="18"/>
  <c r="BS65" i="18"/>
  <c r="ST65" i="18"/>
  <c r="QQ65" i="18"/>
  <c r="MN65" i="18"/>
  <c r="GI65" i="18"/>
  <c r="KW65" i="18"/>
  <c r="BK65" i="18"/>
  <c r="LC65" i="18"/>
  <c r="FW65" i="18"/>
  <c r="HS65" i="18"/>
  <c r="MU65" i="18"/>
  <c r="GC65" i="18"/>
  <c r="BQ65" i="18"/>
  <c r="BY65" i="18"/>
  <c r="GG65" i="18"/>
  <c r="JB65" i="18"/>
  <c r="CV65" i="18"/>
  <c r="QM65" i="18"/>
  <c r="DB65" i="18"/>
  <c r="VT65" i="18"/>
  <c r="UC65" i="18"/>
  <c r="IQ65" i="18"/>
  <c r="UQ65" i="18"/>
  <c r="FJ65" i="18"/>
  <c r="JI65" i="18"/>
  <c r="TQ65" i="18"/>
  <c r="MG65" i="18"/>
  <c r="HF65" i="18"/>
  <c r="PC65" i="18"/>
  <c r="IJ65" i="18"/>
  <c r="HE65" i="18"/>
  <c r="GT65" i="18"/>
  <c r="CI65" i="18"/>
  <c r="KR65" i="18"/>
  <c r="FC65" i="18"/>
  <c r="RU65" i="18"/>
  <c r="KK65" i="18"/>
  <c r="WF65" i="18"/>
  <c r="VB65" i="18"/>
  <c r="VN65" i="18"/>
  <c r="FQ65" i="18"/>
  <c r="RJ65" i="18"/>
  <c r="FV65" i="18"/>
  <c r="UV65" i="18"/>
  <c r="JO65" i="18"/>
  <c r="WE65" i="18"/>
  <c r="EX65" i="18"/>
  <c r="NR65" i="18"/>
  <c r="NX65" i="18"/>
  <c r="XK65" i="18"/>
  <c r="EQ65" i="18"/>
  <c r="KA65" i="18"/>
  <c r="LO65" i="18"/>
  <c r="CE65" i="18"/>
  <c r="GO65" i="18"/>
  <c r="VA65" i="18"/>
  <c r="CD65" i="18"/>
  <c r="QK65" i="18"/>
  <c r="VC65" i="18"/>
  <c r="RP65" i="18"/>
  <c r="AN65" i="18"/>
  <c r="DZ65" i="18"/>
  <c r="PH65" i="18"/>
  <c r="RV65" i="18"/>
  <c r="KQ65" i="18"/>
  <c r="SC65" i="18"/>
  <c r="PZ65" i="18"/>
  <c r="QF65" i="18"/>
  <c r="GS65" i="18"/>
  <c r="TW65" i="18"/>
  <c r="AY65" i="18"/>
  <c r="HR65" i="18"/>
  <c r="MA65" i="18"/>
  <c r="VI65" i="18"/>
  <c r="DT65" i="18"/>
  <c r="DO65" i="18"/>
  <c r="KY65" i="18"/>
  <c r="OP65" i="18"/>
  <c r="SH65" i="18"/>
  <c r="RD65" i="18"/>
  <c r="JC65" i="18"/>
  <c r="SM65" i="18"/>
  <c r="OQ65" i="18"/>
  <c r="QL65" i="18"/>
  <c r="CW65" i="18"/>
  <c r="KE65" i="18"/>
  <c r="NF65" i="18"/>
  <c r="VZ65" i="18"/>
  <c r="OD65" i="18"/>
  <c r="HY65" i="18"/>
  <c r="WR65" i="18"/>
  <c r="IK65" i="18"/>
  <c r="PA65" i="18"/>
  <c r="HQ65" i="18"/>
  <c r="BA65" i="18"/>
  <c r="VS65" i="18"/>
  <c r="GU65" i="18"/>
  <c r="DA65" i="18"/>
  <c r="NQ65" i="18"/>
  <c r="WG65" i="18"/>
  <c r="JA65" i="18"/>
  <c r="TY65" i="18"/>
  <c r="OO65" i="18"/>
  <c r="MC65" i="18"/>
  <c r="CU65" i="18"/>
  <c r="HW65" i="18"/>
  <c r="KS65" i="18"/>
  <c r="JY65" i="18"/>
  <c r="UJ65" i="18"/>
  <c r="BF65" i="18"/>
  <c r="OJ65" i="18"/>
  <c r="XD65" i="18"/>
  <c r="UO65" i="18"/>
  <c r="NM65" i="18"/>
  <c r="GZ65" i="18"/>
  <c r="LK65" i="18"/>
  <c r="PT65" i="18"/>
  <c r="EW65" i="18"/>
  <c r="IU65" i="18"/>
  <c r="SB65" i="18"/>
  <c r="WK65" i="18"/>
  <c r="JN65" i="18"/>
  <c r="OW65" i="18"/>
  <c r="AS65" i="18"/>
  <c r="EK65" i="18"/>
  <c r="ID65" i="18"/>
  <c r="TF65" i="18"/>
  <c r="JG65" i="18"/>
  <c r="NY65" i="18"/>
  <c r="XJ65" i="18"/>
  <c r="IP65" i="18"/>
  <c r="BG65" i="18"/>
  <c r="RC65" i="18"/>
  <c r="TG65" i="18"/>
  <c r="PG65" i="18"/>
  <c r="TA65" i="18"/>
  <c r="NL65" i="18"/>
  <c r="FK65" i="18"/>
  <c r="EF65" i="18"/>
  <c r="LJ65" i="18"/>
  <c r="EA65" i="18"/>
  <c r="VY65" i="18"/>
  <c r="PN65" i="18"/>
  <c r="SA65" i="18"/>
  <c r="OV65" i="18"/>
  <c r="AO65" i="18"/>
  <c r="PS65" i="18"/>
  <c r="WY65" i="18"/>
  <c r="OE65" i="18"/>
  <c r="UK65" i="18"/>
  <c r="OI65" i="18"/>
  <c r="RQ65" i="18"/>
  <c r="IE65" i="18"/>
  <c r="WS65" i="18"/>
  <c r="TL65" i="18"/>
  <c r="UP65" i="18"/>
  <c r="NG65" i="18"/>
  <c r="JM65" i="18"/>
  <c r="JH65" i="18"/>
  <c r="XE65" i="18"/>
  <c r="NW65" i="18"/>
  <c r="JZ65" i="18"/>
  <c r="HA65" i="18"/>
  <c r="HX65" i="18"/>
  <c r="TS65" i="18"/>
  <c r="EY65" i="18"/>
  <c r="BE65" i="18"/>
  <c r="IW65" i="18"/>
  <c r="TE65" i="18"/>
  <c r="SY65" i="18"/>
  <c r="ES65" i="18"/>
  <c r="FI65" i="18"/>
  <c r="WM65" i="18"/>
  <c r="DY65" i="18"/>
  <c r="LQ65" i="18"/>
  <c r="EM65" i="18"/>
  <c r="AM65" i="18"/>
  <c r="KG65" i="18"/>
  <c r="WW65" i="18"/>
  <c r="OC65" i="18"/>
  <c r="UI65" i="18"/>
  <c r="AU65" i="18"/>
  <c r="RO65" i="18"/>
  <c r="IC65" i="18"/>
  <c r="WQ65" i="18"/>
  <c r="NE65" i="18"/>
  <c r="XC65" i="18"/>
  <c r="GY65" i="18"/>
  <c r="LU65" i="18"/>
  <c r="LW65" i="18"/>
  <c r="GM65" i="18"/>
  <c r="GN65" i="18"/>
  <c r="LV65" i="18"/>
  <c r="XF67" i="18"/>
  <c r="WH67" i="18"/>
  <c r="VJ67" i="18"/>
  <c r="UL67" i="18"/>
  <c r="TN67" i="18"/>
  <c r="SP67" i="18"/>
  <c r="RR67" i="18"/>
  <c r="QT67" i="18"/>
  <c r="PV67" i="18"/>
  <c r="OX67" i="18"/>
  <c r="NZ67" i="18"/>
  <c r="NB67" i="18"/>
  <c r="MD67" i="18"/>
  <c r="LF67" i="18"/>
  <c r="KH67" i="18"/>
  <c r="JJ67" i="18"/>
  <c r="IL67" i="18"/>
  <c r="HN67" i="18"/>
  <c r="GP67" i="18"/>
  <c r="FR67" i="18"/>
  <c r="ET67" i="18"/>
  <c r="DV67" i="18"/>
  <c r="CX67" i="18"/>
  <c r="BZ67" i="18"/>
  <c r="BB67" i="18"/>
  <c r="WB67" i="18"/>
  <c r="VP67" i="18"/>
  <c r="TZ67" i="18"/>
  <c r="SJ67" i="18"/>
  <c r="RX67" i="18"/>
  <c r="QH67" i="18"/>
  <c r="OR67" i="18"/>
  <c r="OF67" i="18"/>
  <c r="MP67" i="18"/>
  <c r="KZ67" i="18"/>
  <c r="KN67" i="18"/>
  <c r="IX67" i="18"/>
  <c r="HH67" i="18"/>
  <c r="GV67" i="18"/>
  <c r="FF67" i="18"/>
  <c r="DP67" i="18"/>
  <c r="DD67" i="18"/>
  <c r="BN67" i="18"/>
  <c r="WT67" i="18"/>
  <c r="VD67" i="18"/>
  <c r="PD67" i="18"/>
  <c r="NN67" i="18"/>
  <c r="MJ67" i="18"/>
  <c r="LX67" i="18"/>
  <c r="KT67" i="18"/>
  <c r="JP67" i="18"/>
  <c r="JD67" i="18"/>
  <c r="HZ67" i="18"/>
  <c r="GJ67" i="18"/>
  <c r="AJ67" i="18"/>
  <c r="SV67" i="18"/>
  <c r="RF67" i="18"/>
  <c r="QB67" i="18"/>
  <c r="PP67" i="18"/>
  <c r="OL67" i="18"/>
  <c r="NH67" i="18"/>
  <c r="MV67" i="18"/>
  <c r="LR67" i="18"/>
  <c r="KB67" i="18"/>
  <c r="EB67" i="18"/>
  <c r="CL67" i="18"/>
  <c r="BH67" i="18"/>
  <c r="AV67" i="18"/>
  <c r="UX67" i="18"/>
  <c r="TT67" i="18"/>
  <c r="QN67" i="18"/>
  <c r="PJ67" i="18"/>
  <c r="HT67" i="18"/>
  <c r="EN67" i="18"/>
  <c r="DJ67" i="18"/>
  <c r="CF67" i="18"/>
  <c r="WZ67" i="18"/>
  <c r="VV67" i="18"/>
  <c r="UR67" i="18"/>
  <c r="RL67" i="18"/>
  <c r="JV67" i="18"/>
  <c r="IR67" i="18"/>
  <c r="FL67" i="18"/>
  <c r="EH67" i="18"/>
  <c r="WN67" i="18"/>
  <c r="TH67" i="18"/>
  <c r="SD67" i="18"/>
  <c r="QZ67" i="18"/>
  <c r="NT67" i="18"/>
  <c r="GD67" i="18"/>
  <c r="EZ67" i="18"/>
  <c r="IF67" i="18"/>
  <c r="AP67" i="18"/>
  <c r="UF67" i="18"/>
  <c r="LL67" i="18"/>
  <c r="HB67" i="18"/>
  <c r="CR67" i="18"/>
  <c r="TB67" i="18"/>
  <c r="FX67" i="18"/>
  <c r="BT67" i="18"/>
  <c r="WO66" i="18"/>
  <c r="VQ66" i="18"/>
  <c r="US66" i="18"/>
  <c r="TU66" i="18"/>
  <c r="SW66" i="18"/>
  <c r="RY66" i="18"/>
  <c r="RA66" i="18"/>
  <c r="QC66" i="18"/>
  <c r="PE66" i="18"/>
  <c r="OG66" i="18"/>
  <c r="NI66" i="18"/>
  <c r="MK66" i="18"/>
  <c r="LM66" i="18"/>
  <c r="KO66" i="18"/>
  <c r="JQ66" i="18"/>
  <c r="IS66" i="18"/>
  <c r="HU66" i="18"/>
  <c r="GW66" i="18"/>
  <c r="FY66" i="18"/>
  <c r="FA66" i="18"/>
  <c r="EC66" i="18"/>
  <c r="DE66" i="18"/>
  <c r="CG66" i="18"/>
  <c r="BI66" i="18"/>
  <c r="AK66" i="18"/>
  <c r="WC66" i="18"/>
  <c r="UM66" i="18"/>
  <c r="UA66" i="18"/>
  <c r="SK66" i="18"/>
  <c r="QU66" i="18"/>
  <c r="QI66" i="18"/>
  <c r="OS66" i="18"/>
  <c r="NC66" i="18"/>
  <c r="MQ66" i="18"/>
  <c r="LA66" i="18"/>
  <c r="JK66" i="18"/>
  <c r="IY66" i="18"/>
  <c r="HI66" i="18"/>
  <c r="FS66" i="18"/>
  <c r="FG66" i="18"/>
  <c r="DQ66" i="18"/>
  <c r="CA66" i="18"/>
  <c r="BO66" i="18"/>
  <c r="WU66" i="18"/>
  <c r="WI66" i="18"/>
  <c r="VE66" i="18"/>
  <c r="TO66" i="18"/>
  <c r="NO66" i="18"/>
  <c r="LY66" i="18"/>
  <c r="KU66" i="18"/>
  <c r="KI66" i="18"/>
  <c r="JE66" i="18"/>
  <c r="IA66" i="18"/>
  <c r="HO66" i="18"/>
  <c r="GK66" i="18"/>
  <c r="EU66" i="18"/>
  <c r="XG66" i="18"/>
  <c r="RG66" i="18"/>
  <c r="PQ66" i="18"/>
  <c r="OM66" i="18"/>
  <c r="OA66" i="18"/>
  <c r="MW66" i="18"/>
  <c r="LS66" i="18"/>
  <c r="LG66" i="18"/>
  <c r="KC66" i="18"/>
  <c r="IM66" i="18"/>
  <c r="CM66" i="18"/>
  <c r="AW66" i="18"/>
  <c r="UY66" i="18"/>
  <c r="RS66" i="18"/>
  <c r="QO66" i="18"/>
  <c r="PK66" i="18"/>
  <c r="ME66" i="18"/>
  <c r="EO66" i="18"/>
  <c r="DK66" i="18"/>
  <c r="XA66" i="18"/>
  <c r="VW66" i="18"/>
  <c r="SQ66" i="18"/>
  <c r="RM66" i="18"/>
  <c r="JW66" i="18"/>
  <c r="GQ66" i="18"/>
  <c r="FM66" i="18"/>
  <c r="EI66" i="18"/>
  <c r="BC66" i="18"/>
  <c r="TI66" i="18"/>
  <c r="OY66" i="18"/>
  <c r="GE66" i="18"/>
  <c r="BU66" i="18"/>
  <c r="VK66" i="18"/>
  <c r="TC66" i="18"/>
  <c r="IG66" i="18"/>
  <c r="DW66" i="18"/>
  <c r="SE66" i="18"/>
  <c r="NU66" i="18"/>
  <c r="CY66" i="18"/>
  <c r="AQ66" i="18"/>
  <c r="UG66" i="18"/>
  <c r="CS66" i="18"/>
  <c r="PW66" i="18"/>
  <c r="HC66" i="18"/>
  <c r="WV66" i="18"/>
  <c r="VX66" i="18"/>
  <c r="UZ66" i="18"/>
  <c r="UB66" i="18"/>
  <c r="TD66" i="18"/>
  <c r="SF66" i="18"/>
  <c r="RH66" i="18"/>
  <c r="QJ66" i="18"/>
  <c r="PL66" i="18"/>
  <c r="ON66" i="18"/>
  <c r="NP66" i="18"/>
  <c r="MR66" i="18"/>
  <c r="LT66" i="18"/>
  <c r="KV66" i="18"/>
  <c r="JX66" i="18"/>
  <c r="IZ66" i="18"/>
  <c r="IB66" i="18"/>
  <c r="HD66" i="18"/>
  <c r="GF66" i="18"/>
  <c r="FH66" i="18"/>
  <c r="EJ66" i="18"/>
  <c r="DL66" i="18"/>
  <c r="CN66" i="18"/>
  <c r="BP66" i="18"/>
  <c r="AR66" i="18"/>
  <c r="XH66" i="18"/>
  <c r="VR66" i="18"/>
  <c r="VF66" i="18"/>
  <c r="TP66" i="18"/>
  <c r="RZ66" i="18"/>
  <c r="RN66" i="18"/>
  <c r="PX66" i="18"/>
  <c r="OH66" i="18"/>
  <c r="NV66" i="18"/>
  <c r="MF66" i="18"/>
  <c r="KP66" i="18"/>
  <c r="KD66" i="18"/>
  <c r="IN66" i="18"/>
  <c r="GX66" i="18"/>
  <c r="GL66" i="18"/>
  <c r="EV66" i="18"/>
  <c r="DF66" i="18"/>
  <c r="CT66" i="18"/>
  <c r="BD66" i="18"/>
  <c r="SL66" i="18"/>
  <c r="QV66" i="18"/>
  <c r="PR66" i="18"/>
  <c r="PF66" i="18"/>
  <c r="OB66" i="18"/>
  <c r="MX66" i="18"/>
  <c r="MY66" i="18" s="1"/>
  <c r="ML66" i="18"/>
  <c r="LH66" i="18"/>
  <c r="JR66" i="18"/>
  <c r="DR66" i="18"/>
  <c r="CB66" i="18"/>
  <c r="AX66" i="18"/>
  <c r="AL66" i="18"/>
  <c r="WD66" i="18"/>
  <c r="UN66" i="18"/>
  <c r="TJ66" i="18"/>
  <c r="SX66" i="18"/>
  <c r="RT66" i="18"/>
  <c r="QP66" i="18"/>
  <c r="QD66" i="18"/>
  <c r="OZ66" i="18"/>
  <c r="NJ66" i="18"/>
  <c r="HJ66" i="18"/>
  <c r="FT66" i="18"/>
  <c r="EP66" i="18"/>
  <c r="ED66" i="18"/>
  <c r="CZ66" i="18"/>
  <c r="BV66" i="18"/>
  <c r="BJ66" i="18"/>
  <c r="XB66" i="18"/>
  <c r="TV66" i="18"/>
  <c r="SR66" i="18"/>
  <c r="LB66" i="18"/>
  <c r="HV66" i="18"/>
  <c r="GR66" i="18"/>
  <c r="FN66" i="18"/>
  <c r="CH66" i="18"/>
  <c r="UT66" i="18"/>
  <c r="ND66" i="18"/>
  <c r="LZ66" i="18"/>
  <c r="IT66" i="18"/>
  <c r="HP66" i="18"/>
  <c r="VL66" i="18"/>
  <c r="RB66" i="18"/>
  <c r="IH66" i="18"/>
  <c r="DX66" i="18"/>
  <c r="OT66" i="18"/>
  <c r="KJ66" i="18"/>
  <c r="FZ66" i="18"/>
  <c r="WP66" i="18"/>
  <c r="UH66" i="18"/>
  <c r="JL66" i="18"/>
  <c r="FB66" i="18"/>
  <c r="LN66" i="18"/>
  <c r="JF66" i="18"/>
  <c r="WJ66" i="18"/>
  <c r="AM66" i="18"/>
  <c r="R64" i="18"/>
  <c r="Q64" i="18"/>
  <c r="P64" i="18"/>
  <c r="T63" i="18" s="1"/>
  <c r="S62" i="18"/>
  <c r="U62" i="18" s="1"/>
  <c r="R129" i="5"/>
  <c r="B129" i="1"/>
  <c r="B129" i="7"/>
  <c r="B129" i="9"/>
  <c r="AJ124" i="5"/>
  <c r="AL124" i="5" s="1"/>
  <c r="AD126" i="5"/>
  <c r="AE126" i="5" s="1"/>
  <c r="AI126" i="5" s="1"/>
  <c r="B128" i="5"/>
  <c r="R126" i="5"/>
  <c r="AG126" i="5" s="1"/>
  <c r="K126" i="5"/>
  <c r="B131" i="5"/>
  <c r="K129" i="5"/>
  <c r="AE129" i="5"/>
  <c r="F124" i="5"/>
  <c r="R128" i="14"/>
  <c r="BQ125" i="1"/>
  <c r="BP125" i="1"/>
  <c r="X125" i="7" s="1"/>
  <c r="O124" i="1"/>
  <c r="O125" i="1"/>
  <c r="B131" i="14"/>
  <c r="T128" i="14"/>
  <c r="U128" i="14"/>
  <c r="S128" i="14"/>
  <c r="Q127" i="14"/>
  <c r="B130" i="8"/>
  <c r="B66" i="15"/>
  <c r="B128" i="9"/>
  <c r="B128" i="7"/>
  <c r="B131" i="8"/>
  <c r="B128" i="1"/>
  <c r="N126" i="1"/>
  <c r="B68" i="18"/>
  <c r="O67" i="18"/>
  <c r="N67" i="18"/>
  <c r="Q124" i="5" l="1"/>
  <c r="U124" i="5" s="1"/>
  <c r="Q127" i="5"/>
  <c r="U127" i="5" s="1"/>
  <c r="R121" i="8"/>
  <c r="I127" i="9"/>
  <c r="B135" i="19"/>
  <c r="G135" i="19" s="1"/>
  <c r="F133" i="19"/>
  <c r="K61" i="7"/>
  <c r="K60" i="7"/>
  <c r="N60" i="7"/>
  <c r="N61" i="7"/>
  <c r="L60" i="7"/>
  <c r="L61" i="7"/>
  <c r="E63" i="19"/>
  <c r="D62" i="19"/>
  <c r="G33" i="15"/>
  <c r="E63" i="8"/>
  <c r="Q33" i="15"/>
  <c r="P33" i="15"/>
  <c r="D62" i="8"/>
  <c r="R62" i="8" s="1"/>
  <c r="I126" i="9"/>
  <c r="F129" i="5"/>
  <c r="BX66" i="18"/>
  <c r="L126" i="9"/>
  <c r="L127" i="9"/>
  <c r="M124" i="9"/>
  <c r="M125" i="9"/>
  <c r="J126" i="9"/>
  <c r="J127" i="9"/>
  <c r="H129" i="9"/>
  <c r="K129" i="9" s="1"/>
  <c r="F131" i="8"/>
  <c r="G131" i="8"/>
  <c r="F130" i="8"/>
  <c r="G130" i="8"/>
  <c r="H128" i="9"/>
  <c r="K128" i="9" s="1"/>
  <c r="J129" i="7"/>
  <c r="I129" i="7"/>
  <c r="J128" i="7"/>
  <c r="I128" i="7"/>
  <c r="E66" i="15"/>
  <c r="D66" i="15"/>
  <c r="D68" i="18"/>
  <c r="F68" i="18" s="1"/>
  <c r="E68" i="18"/>
  <c r="G68" i="18" s="1"/>
  <c r="I131" i="5"/>
  <c r="J131" i="5" s="1"/>
  <c r="I128" i="5"/>
  <c r="J128" i="5" s="1"/>
  <c r="H129" i="1"/>
  <c r="I129" i="1" s="1"/>
  <c r="H128" i="1"/>
  <c r="I128" i="1" s="1"/>
  <c r="U66" i="15"/>
  <c r="Y66" i="18" s="1"/>
  <c r="T66" i="15"/>
  <c r="FP66" i="18"/>
  <c r="PG66" i="18"/>
  <c r="MG66" i="18"/>
  <c r="SG66" i="18"/>
  <c r="IO66" i="18"/>
  <c r="OQ66" i="18"/>
  <c r="UE66" i="18"/>
  <c r="EQ66" i="18"/>
  <c r="EX66" i="18"/>
  <c r="OJ66" i="18"/>
  <c r="FQ66" i="18"/>
  <c r="TE66" i="18"/>
  <c r="TS66" i="18"/>
  <c r="TM66" i="18"/>
  <c r="OK66" i="18"/>
  <c r="MH66" i="18"/>
  <c r="XI66" i="18"/>
  <c r="AO66" i="18"/>
  <c r="AN66" i="18"/>
  <c r="XJ66" i="18"/>
  <c r="SH66" i="18"/>
  <c r="TF66" i="18"/>
  <c r="FO66" i="18"/>
  <c r="ES66" i="18"/>
  <c r="IQ66" i="18"/>
  <c r="NA66" i="18"/>
  <c r="OI66" i="18"/>
  <c r="TL66" i="18"/>
  <c r="PI66" i="18"/>
  <c r="GO66" i="18"/>
  <c r="PY66" i="18"/>
  <c r="BQ66" i="18"/>
  <c r="BW66" i="18"/>
  <c r="BF66" i="18"/>
  <c r="KA66" i="18"/>
  <c r="OP66" i="18"/>
  <c r="EW66" i="18"/>
  <c r="UD66" i="18"/>
  <c r="BL66" i="18"/>
  <c r="XK66" i="18"/>
  <c r="IP66" i="18"/>
  <c r="BG66" i="18"/>
  <c r="TK66" i="18"/>
  <c r="PH66" i="18"/>
  <c r="ER66" i="18"/>
  <c r="TG66" i="18"/>
  <c r="UC66" i="18"/>
  <c r="OO66" i="18"/>
  <c r="MZ66" i="18"/>
  <c r="SI66" i="18"/>
  <c r="OU66" i="18"/>
  <c r="JZ66" i="18"/>
  <c r="EY66" i="18"/>
  <c r="BE66" i="18"/>
  <c r="BY66" i="18"/>
  <c r="BK66" i="18"/>
  <c r="QA66" i="18"/>
  <c r="GN66" i="18"/>
  <c r="TR66" i="18"/>
  <c r="BS66" i="18"/>
  <c r="JT66" i="18"/>
  <c r="TQ66" i="18"/>
  <c r="PZ66" i="18"/>
  <c r="JY66" i="18"/>
  <c r="BR66" i="18"/>
  <c r="JU66" i="18"/>
  <c r="GM66" i="18"/>
  <c r="MI66" i="18"/>
  <c r="JS66" i="18"/>
  <c r="OW66" i="18"/>
  <c r="OV66" i="18"/>
  <c r="BM66" i="18"/>
  <c r="CW66" i="18"/>
  <c r="NX66" i="18"/>
  <c r="PB66" i="18"/>
  <c r="SS66" i="18"/>
  <c r="RV66" i="18"/>
  <c r="RK66" i="18"/>
  <c r="HS66" i="18"/>
  <c r="KX66" i="18"/>
  <c r="VG66" i="18"/>
  <c r="CD66" i="18"/>
  <c r="HK66" i="18"/>
  <c r="MU66" i="18"/>
  <c r="QX66" i="18"/>
  <c r="WG66" i="18"/>
  <c r="DH66" i="18"/>
  <c r="GZ66" i="18"/>
  <c r="KR66" i="18"/>
  <c r="SC66" i="18"/>
  <c r="VU66" i="18"/>
  <c r="UI66" i="18"/>
  <c r="VM66" i="18"/>
  <c r="GS66" i="18"/>
  <c r="VZ66" i="18"/>
  <c r="VC66" i="18"/>
  <c r="KG66" i="18"/>
  <c r="OD66" i="18"/>
  <c r="ID66" i="18"/>
  <c r="MA66" i="18"/>
  <c r="WM66" i="18"/>
  <c r="DT66" i="18"/>
  <c r="JA66" i="18"/>
  <c r="NG66" i="18"/>
  <c r="SO66" i="18"/>
  <c r="EF66" i="18"/>
  <c r="HX66" i="18"/>
  <c r="LP66" i="18"/>
  <c r="SZ66" i="18"/>
  <c r="WR66" i="18"/>
  <c r="HF66" i="18"/>
  <c r="AU66" i="18"/>
  <c r="DY66" i="18"/>
  <c r="XD66" i="18"/>
  <c r="PN66" i="18"/>
  <c r="BA66" i="18"/>
  <c r="LJ66" i="18"/>
  <c r="JG66" i="18"/>
  <c r="NS66" i="18"/>
  <c r="WX66" i="18"/>
  <c r="FJ66" i="18"/>
  <c r="JM66" i="18"/>
  <c r="FC66" i="18"/>
  <c r="IU66" i="18"/>
  <c r="MM66" i="18"/>
  <c r="QF66" i="18"/>
  <c r="TY66" i="18"/>
  <c r="DB66" i="18"/>
  <c r="II66" i="18"/>
  <c r="GH66" i="18"/>
  <c r="EL66" i="18"/>
  <c r="RO66" i="18"/>
  <c r="DN66" i="18"/>
  <c r="QQ66" i="18"/>
  <c r="CP66" i="18"/>
  <c r="LW66" i="18"/>
  <c r="PS66" i="18"/>
  <c r="KM66" i="18"/>
  <c r="FV66" i="18"/>
  <c r="LC66" i="18"/>
  <c r="QL66" i="18"/>
  <c r="UP66" i="18"/>
  <c r="CJ66" i="18"/>
  <c r="GB66" i="18"/>
  <c r="NL66" i="18"/>
  <c r="RD66" i="18"/>
  <c r="UW66" i="18"/>
  <c r="WO67" i="18"/>
  <c r="VQ67" i="18"/>
  <c r="US67" i="18"/>
  <c r="TU67" i="18"/>
  <c r="SW67" i="18"/>
  <c r="RY67" i="18"/>
  <c r="RA67" i="18"/>
  <c r="QC67" i="18"/>
  <c r="PE67" i="18"/>
  <c r="OG67" i="18"/>
  <c r="NI67" i="18"/>
  <c r="MK67" i="18"/>
  <c r="LM67" i="18"/>
  <c r="KO67" i="18"/>
  <c r="JQ67" i="18"/>
  <c r="IS67" i="18"/>
  <c r="HU67" i="18"/>
  <c r="GW67" i="18"/>
  <c r="FY67" i="18"/>
  <c r="FA67" i="18"/>
  <c r="EC67" i="18"/>
  <c r="DE67" i="18"/>
  <c r="CG67" i="18"/>
  <c r="BI67" i="18"/>
  <c r="AK67" i="18"/>
  <c r="XG67" i="18"/>
  <c r="WU67" i="18"/>
  <c r="VE67" i="18"/>
  <c r="TO67" i="18"/>
  <c r="TC67" i="18"/>
  <c r="RM67" i="18"/>
  <c r="PW67" i="18"/>
  <c r="PK67" i="18"/>
  <c r="NU67" i="18"/>
  <c r="ME67" i="18"/>
  <c r="LS67" i="18"/>
  <c r="KC67" i="18"/>
  <c r="IM67" i="18"/>
  <c r="IA67" i="18"/>
  <c r="GK67" i="18"/>
  <c r="EU67" i="18"/>
  <c r="EI67" i="18"/>
  <c r="CS67" i="18"/>
  <c r="BC67" i="18"/>
  <c r="AQ67" i="18"/>
  <c r="UA67" i="18"/>
  <c r="SK67" i="18"/>
  <c r="RG67" i="18"/>
  <c r="QU67" i="18"/>
  <c r="PQ67" i="18"/>
  <c r="OM67" i="18"/>
  <c r="OA67" i="18"/>
  <c r="MW67" i="18"/>
  <c r="LG67" i="18"/>
  <c r="FG67" i="18"/>
  <c r="DQ67" i="18"/>
  <c r="CM67" i="18"/>
  <c r="CA67" i="18"/>
  <c r="AW67" i="18"/>
  <c r="WC67" i="18"/>
  <c r="UY67" i="18"/>
  <c r="UM67" i="18"/>
  <c r="TI67" i="18"/>
  <c r="SE67" i="18"/>
  <c r="RS67" i="18"/>
  <c r="QO67" i="18"/>
  <c r="OY67" i="18"/>
  <c r="IY67" i="18"/>
  <c r="HI67" i="18"/>
  <c r="GE67" i="18"/>
  <c r="FS67" i="18"/>
  <c r="EO67" i="18"/>
  <c r="DK67" i="18"/>
  <c r="CY67" i="18"/>
  <c r="BU67" i="18"/>
  <c r="XA67" i="18"/>
  <c r="VW67" i="18"/>
  <c r="SQ67" i="18"/>
  <c r="LA67" i="18"/>
  <c r="JW67" i="18"/>
  <c r="GQ67" i="18"/>
  <c r="FM67" i="18"/>
  <c r="QI67" i="18"/>
  <c r="NC67" i="18"/>
  <c r="LY67" i="18"/>
  <c r="KU67" i="18"/>
  <c r="HO67" i="18"/>
  <c r="VK67" i="18"/>
  <c r="UG67" i="18"/>
  <c r="MQ67" i="18"/>
  <c r="JK67" i="18"/>
  <c r="IG67" i="18"/>
  <c r="HC67" i="18"/>
  <c r="DW67" i="18"/>
  <c r="OS67" i="18"/>
  <c r="KI67" i="18"/>
  <c r="JE67" i="18"/>
  <c r="WI67" i="18"/>
  <c r="BO67" i="18"/>
  <c r="NO67" i="18"/>
  <c r="WV67" i="18"/>
  <c r="VX67" i="18"/>
  <c r="UZ67" i="18"/>
  <c r="UB67" i="18"/>
  <c r="TD67" i="18"/>
  <c r="SF67" i="18"/>
  <c r="RH67" i="18"/>
  <c r="QJ67" i="18"/>
  <c r="PL67" i="18"/>
  <c r="ON67" i="18"/>
  <c r="NP67" i="18"/>
  <c r="MR67" i="18"/>
  <c r="LT67" i="18"/>
  <c r="KV67" i="18"/>
  <c r="JX67" i="18"/>
  <c r="IZ67" i="18"/>
  <c r="IB67" i="18"/>
  <c r="HD67" i="18"/>
  <c r="GF67" i="18"/>
  <c r="FH67" i="18"/>
  <c r="EJ67" i="18"/>
  <c r="DL67" i="18"/>
  <c r="CN67" i="18"/>
  <c r="BP67" i="18"/>
  <c r="AR67" i="18"/>
  <c r="WJ67" i="18"/>
  <c r="UT67" i="18"/>
  <c r="UW67" i="18" s="1"/>
  <c r="UH67" i="18"/>
  <c r="SR67" i="18"/>
  <c r="RB67" i="18"/>
  <c r="QP67" i="18"/>
  <c r="OZ67" i="18"/>
  <c r="NJ67" i="18"/>
  <c r="MX67" i="18"/>
  <c r="LH67" i="18"/>
  <c r="JR67" i="18"/>
  <c r="JF67" i="18"/>
  <c r="HP67" i="18"/>
  <c r="FZ67" i="18"/>
  <c r="GA67" i="18" s="1"/>
  <c r="FN67" i="18"/>
  <c r="DX67" i="18"/>
  <c r="CH67" i="18"/>
  <c r="BV67" i="18"/>
  <c r="BW67" i="18" s="1"/>
  <c r="XH67" i="18"/>
  <c r="WD67" i="18"/>
  <c r="VR67" i="18"/>
  <c r="UN67" i="18"/>
  <c r="TJ67" i="18"/>
  <c r="SX67" i="18"/>
  <c r="RT67" i="18"/>
  <c r="QD67" i="18"/>
  <c r="KD67" i="18"/>
  <c r="IN67" i="18"/>
  <c r="HJ67" i="18"/>
  <c r="GX67" i="18"/>
  <c r="FT67" i="18"/>
  <c r="EP67" i="18"/>
  <c r="ED67" i="18"/>
  <c r="CZ67" i="18"/>
  <c r="BJ67" i="18"/>
  <c r="XB67" i="18"/>
  <c r="WP67" i="18"/>
  <c r="VL67" i="18"/>
  <c r="TV67" i="18"/>
  <c r="NV67" i="18"/>
  <c r="MF67" i="18"/>
  <c r="LB67" i="18"/>
  <c r="KP67" i="18"/>
  <c r="JL67" i="18"/>
  <c r="IH67" i="18"/>
  <c r="HV67" i="18"/>
  <c r="GR67" i="18"/>
  <c r="FB67" i="18"/>
  <c r="RN67" i="18"/>
  <c r="OH67" i="18"/>
  <c r="ND67" i="18"/>
  <c r="NG67" i="18" s="1"/>
  <c r="LZ67" i="18"/>
  <c r="IT67" i="18"/>
  <c r="BD67" i="18"/>
  <c r="TP67" i="18"/>
  <c r="SL67" i="18"/>
  <c r="PF67" i="18"/>
  <c r="OB67" i="18"/>
  <c r="GL67" i="18"/>
  <c r="GN67" i="18" s="1"/>
  <c r="DF67" i="18"/>
  <c r="CB67" i="18"/>
  <c r="CC67" i="18" s="1"/>
  <c r="AX67" i="18"/>
  <c r="AZ67" i="18" s="1"/>
  <c r="PX67" i="18"/>
  <c r="OT67" i="18"/>
  <c r="LN67" i="18"/>
  <c r="KJ67" i="18"/>
  <c r="CT67" i="18"/>
  <c r="VF67" i="18"/>
  <c r="QV67" i="18"/>
  <c r="ML67" i="18"/>
  <c r="DR67" i="18"/>
  <c r="PR67" i="18"/>
  <c r="AL67" i="18"/>
  <c r="EV67" i="18"/>
  <c r="RZ67" i="18"/>
  <c r="WK66" i="18"/>
  <c r="ST66" i="18"/>
  <c r="LK66" i="18"/>
  <c r="HQ66" i="18"/>
  <c r="DZ66" i="18"/>
  <c r="TA66" i="18"/>
  <c r="NQ66" i="18"/>
  <c r="IJ66" i="18"/>
  <c r="WA66" i="18"/>
  <c r="SA66" i="18"/>
  <c r="IV66" i="18"/>
  <c r="WY66" i="18"/>
  <c r="SM66" i="18"/>
  <c r="JH66" i="18"/>
  <c r="NM66" i="18"/>
  <c r="TW66" i="18"/>
  <c r="LD66" i="18"/>
  <c r="QG66" i="18"/>
  <c r="AS66" i="18"/>
  <c r="VN66" i="18"/>
  <c r="OE66" i="18"/>
  <c r="KK66" i="18"/>
  <c r="GT66" i="18"/>
  <c r="WS66" i="18"/>
  <c r="RI66" i="18"/>
  <c r="MB66" i="18"/>
  <c r="CQ66" i="18"/>
  <c r="UU66" i="18"/>
  <c r="RP66" i="18"/>
  <c r="DI66" i="18"/>
  <c r="VS66" i="18"/>
  <c r="MN66" i="18"/>
  <c r="DU66" i="18"/>
  <c r="KE66" i="18"/>
  <c r="QR66" i="18"/>
  <c r="RE66" i="18"/>
  <c r="LU66" i="18"/>
  <c r="FD66" i="18"/>
  <c r="QY66" i="18"/>
  <c r="NE66" i="18"/>
  <c r="JN66" i="18"/>
  <c r="CE66" i="18"/>
  <c r="VA66" i="18"/>
  <c r="PT66" i="18"/>
  <c r="GI66" i="18"/>
  <c r="AY66" i="18"/>
  <c r="UJ66" i="18"/>
  <c r="GC66" i="18"/>
  <c r="CU66" i="18"/>
  <c r="VH66" i="18"/>
  <c r="HA66" i="18"/>
  <c r="WE66" i="18"/>
  <c r="JB66" i="18"/>
  <c r="CK66" i="18"/>
  <c r="MS66" i="18"/>
  <c r="HL66" i="18"/>
  <c r="WL66" i="18"/>
  <c r="PC66" i="18"/>
  <c r="LI66" i="18"/>
  <c r="HR66" i="18"/>
  <c r="XE66" i="18"/>
  <c r="SY66" i="18"/>
  <c r="NR66" i="18"/>
  <c r="EG66" i="18"/>
  <c r="VY66" i="18"/>
  <c r="SB66" i="18"/>
  <c r="EM66" i="18"/>
  <c r="WW66" i="18"/>
  <c r="SN66" i="18"/>
  <c r="FK66" i="18"/>
  <c r="NK66" i="18"/>
  <c r="TX66" i="18"/>
  <c r="KS66" i="18"/>
  <c r="QE66" i="18"/>
  <c r="AT66" i="18"/>
  <c r="RW66" i="18"/>
  <c r="OC66" i="18"/>
  <c r="KL66" i="18"/>
  <c r="DC66" i="18"/>
  <c r="WQ66" i="18"/>
  <c r="RJ66" i="18"/>
  <c r="HY66" i="18"/>
  <c r="CO66" i="18"/>
  <c r="UV66" i="18"/>
  <c r="HG66" i="18"/>
  <c r="DG66" i="18"/>
  <c r="VT66" i="18"/>
  <c r="IE66" i="18"/>
  <c r="DS66" i="18"/>
  <c r="KF66" i="18"/>
  <c r="DO66" i="18"/>
  <c r="RC66" i="18"/>
  <c r="LV66" i="18"/>
  <c r="UQ66" i="18"/>
  <c r="QW66" i="18"/>
  <c r="NF66" i="18"/>
  <c r="FW66" i="18"/>
  <c r="CC66" i="18"/>
  <c r="VB66" i="18"/>
  <c r="LQ66" i="18"/>
  <c r="GG66" i="18"/>
  <c r="AZ66" i="18"/>
  <c r="QM66" i="18"/>
  <c r="GA66" i="18"/>
  <c r="CV66" i="18"/>
  <c r="KY66" i="18"/>
  <c r="GY66" i="18"/>
  <c r="WF66" i="18"/>
  <c r="PO66" i="18"/>
  <c r="CI66" i="18"/>
  <c r="MT66" i="18"/>
  <c r="NY66" i="18"/>
  <c r="SU66" i="18"/>
  <c r="PA66" i="18"/>
  <c r="EA66" i="18"/>
  <c r="XC66" i="18"/>
  <c r="IK66" i="18"/>
  <c r="EE66" i="18"/>
  <c r="IW66" i="18"/>
  <c r="EK66" i="18"/>
  <c r="JI66" i="18"/>
  <c r="FI66" i="18"/>
  <c r="LE66" i="18"/>
  <c r="KQ66" i="18"/>
  <c r="VO66" i="18"/>
  <c r="RU66" i="18"/>
  <c r="GU66" i="18"/>
  <c r="DA66" i="18"/>
  <c r="MC66" i="18"/>
  <c r="HW66" i="18"/>
  <c r="RQ66" i="18"/>
  <c r="HE66" i="18"/>
  <c r="MO66" i="18"/>
  <c r="IC66" i="18"/>
  <c r="QS66" i="18"/>
  <c r="DM66" i="18"/>
  <c r="FE66" i="18"/>
  <c r="UO66" i="18"/>
  <c r="JO66" i="18"/>
  <c r="FU66" i="18"/>
  <c r="PU66" i="18"/>
  <c r="LO66" i="18"/>
  <c r="UK66" i="18"/>
  <c r="QK66" i="18"/>
  <c r="VI66" i="18"/>
  <c r="KW66" i="18"/>
  <c r="JC66" i="18"/>
  <c r="PM66" i="18"/>
  <c r="HM66" i="18"/>
  <c r="NW66" i="18"/>
  <c r="WT68" i="18"/>
  <c r="VV68" i="18"/>
  <c r="UX68" i="18"/>
  <c r="TZ68" i="18"/>
  <c r="TB68" i="18"/>
  <c r="SD68" i="18"/>
  <c r="RF68" i="18"/>
  <c r="QH68" i="18"/>
  <c r="PJ68" i="18"/>
  <c r="OL68" i="18"/>
  <c r="NN68" i="18"/>
  <c r="MP68" i="18"/>
  <c r="LR68" i="18"/>
  <c r="KT68" i="18"/>
  <c r="JV68" i="18"/>
  <c r="IX68" i="18"/>
  <c r="WH68" i="18"/>
  <c r="UR68" i="18"/>
  <c r="UF68" i="18"/>
  <c r="SP68" i="18"/>
  <c r="QZ68" i="18"/>
  <c r="QN68" i="18"/>
  <c r="OX68" i="18"/>
  <c r="NH68" i="18"/>
  <c r="MV68" i="18"/>
  <c r="LF68" i="18"/>
  <c r="JP68" i="18"/>
  <c r="JD68" i="18"/>
  <c r="IL68" i="18"/>
  <c r="HN68" i="18"/>
  <c r="GP68" i="18"/>
  <c r="FR68" i="18"/>
  <c r="ET68" i="18"/>
  <c r="DV68" i="18"/>
  <c r="CX68" i="18"/>
  <c r="BZ68" i="18"/>
  <c r="BB68" i="18"/>
  <c r="WZ68" i="18"/>
  <c r="WN68" i="18"/>
  <c r="VJ68" i="18"/>
  <c r="TT68" i="18"/>
  <c r="NT68" i="18"/>
  <c r="MD68" i="18"/>
  <c r="KZ68" i="18"/>
  <c r="KN68" i="18"/>
  <c r="JJ68" i="18"/>
  <c r="HZ68" i="18"/>
  <c r="GJ68" i="18"/>
  <c r="FX68" i="18"/>
  <c r="EH68" i="18"/>
  <c r="CR68" i="18"/>
  <c r="CF68" i="18"/>
  <c r="AP68" i="18"/>
  <c r="VP68" i="18"/>
  <c r="TH68" i="18"/>
  <c r="RX68" i="18"/>
  <c r="PP68" i="18"/>
  <c r="OF68" i="18"/>
  <c r="LX68" i="18"/>
  <c r="GV68" i="18"/>
  <c r="FF68" i="18"/>
  <c r="EB68" i="18"/>
  <c r="DP68" i="18"/>
  <c r="CL68" i="18"/>
  <c r="BH68" i="18"/>
  <c r="AV68" i="18"/>
  <c r="WB68" i="18"/>
  <c r="SJ68" i="18"/>
  <c r="RR68" i="18"/>
  <c r="OR68" i="18"/>
  <c r="NZ68" i="18"/>
  <c r="KH68" i="18"/>
  <c r="HT68" i="18"/>
  <c r="HH68" i="18"/>
  <c r="GD68" i="18"/>
  <c r="EZ68" i="18"/>
  <c r="EN68" i="18"/>
  <c r="DJ68" i="18"/>
  <c r="BT68" i="18"/>
  <c r="UL68" i="18"/>
  <c r="RL68" i="18"/>
  <c r="QB68" i="18"/>
  <c r="NB68" i="18"/>
  <c r="IR68" i="18"/>
  <c r="FL68" i="18"/>
  <c r="XF68" i="18"/>
  <c r="SV68" i="18"/>
  <c r="PV68" i="18"/>
  <c r="LL68" i="18"/>
  <c r="KB68" i="18"/>
  <c r="DD68" i="18"/>
  <c r="VD68" i="18"/>
  <c r="QT68" i="18"/>
  <c r="MJ68" i="18"/>
  <c r="IF68" i="18"/>
  <c r="HB68" i="18"/>
  <c r="BN68" i="18"/>
  <c r="PD68" i="18"/>
  <c r="AJ68" i="18"/>
  <c r="TN68" i="18"/>
  <c r="Q65" i="18"/>
  <c r="R65" i="18"/>
  <c r="P65" i="18"/>
  <c r="S64" i="18" s="1"/>
  <c r="S63" i="18"/>
  <c r="U63" i="18" s="1"/>
  <c r="B131" i="9"/>
  <c r="B131" i="1"/>
  <c r="B131" i="7"/>
  <c r="AD128" i="5"/>
  <c r="AG129" i="5"/>
  <c r="B130" i="5"/>
  <c r="R128" i="5"/>
  <c r="K128" i="5"/>
  <c r="F126" i="5"/>
  <c r="AJ126" i="5"/>
  <c r="AL126" i="5" s="1"/>
  <c r="B133" i="5"/>
  <c r="R131" i="5"/>
  <c r="AE131" i="5"/>
  <c r="K131" i="5"/>
  <c r="O126" i="1"/>
  <c r="BP127" i="1"/>
  <c r="X127" i="7" s="1"/>
  <c r="BQ127" i="1"/>
  <c r="O127" i="1"/>
  <c r="R129" i="14"/>
  <c r="S129" i="14"/>
  <c r="U129" i="14"/>
  <c r="T129" i="14"/>
  <c r="Q128" i="14"/>
  <c r="B132" i="14"/>
  <c r="B130" i="9"/>
  <c r="B130" i="1"/>
  <c r="N128" i="1"/>
  <c r="B132" i="8"/>
  <c r="B133" i="8"/>
  <c r="B130" i="7"/>
  <c r="B67" i="15"/>
  <c r="B69" i="18"/>
  <c r="G69" i="18" s="1"/>
  <c r="N68" i="18"/>
  <c r="O68" i="18"/>
  <c r="Q129" i="5" l="1"/>
  <c r="U129" i="5" s="1"/>
  <c r="R123" i="8"/>
  <c r="I129" i="9"/>
  <c r="B137" i="19"/>
  <c r="G137" i="19" s="1"/>
  <c r="F135" i="19"/>
  <c r="K63" i="7"/>
  <c r="K62" i="7"/>
  <c r="N63" i="7"/>
  <c r="L62" i="7"/>
  <c r="N62" i="7"/>
  <c r="L63" i="7"/>
  <c r="E65" i="19"/>
  <c r="D64" i="19"/>
  <c r="G34" i="15"/>
  <c r="E65" i="8"/>
  <c r="Q34" i="15"/>
  <c r="P34" i="15"/>
  <c r="D64" i="8"/>
  <c r="R64" i="8" s="1"/>
  <c r="I128" i="9"/>
  <c r="LE67" i="18"/>
  <c r="F131" i="5"/>
  <c r="L129" i="9"/>
  <c r="L128" i="9"/>
  <c r="M127" i="9"/>
  <c r="M126" i="9"/>
  <c r="J129" i="9"/>
  <c r="J128" i="9"/>
  <c r="H131" i="9"/>
  <c r="K131" i="9" s="1"/>
  <c r="F132" i="8"/>
  <c r="G132" i="8"/>
  <c r="F133" i="8"/>
  <c r="G133" i="8"/>
  <c r="H130" i="9"/>
  <c r="K130" i="9" s="1"/>
  <c r="I131" i="7"/>
  <c r="J131" i="7"/>
  <c r="I130" i="7"/>
  <c r="J130" i="7"/>
  <c r="D67" i="15"/>
  <c r="E67" i="15"/>
  <c r="D69" i="18"/>
  <c r="F69" i="18" s="1"/>
  <c r="E69" i="18"/>
  <c r="I133" i="5"/>
  <c r="J133" i="5" s="1"/>
  <c r="I130" i="5"/>
  <c r="J130" i="5" s="1"/>
  <c r="H130" i="1"/>
  <c r="I130" i="1" s="1"/>
  <c r="H131" i="1"/>
  <c r="I131" i="1" s="1"/>
  <c r="U67" i="15"/>
  <c r="Y67" i="18" s="1"/>
  <c r="JC67" i="18"/>
  <c r="T67" i="15"/>
  <c r="DT67" i="18"/>
  <c r="PY67" i="18"/>
  <c r="NK67" i="18"/>
  <c r="BK67" i="18"/>
  <c r="ES67" i="18"/>
  <c r="PA67" i="18"/>
  <c r="SN67" i="18"/>
  <c r="NM67" i="18"/>
  <c r="CU67" i="18"/>
  <c r="JU67" i="18"/>
  <c r="ID67" i="18"/>
  <c r="MA67" i="18"/>
  <c r="AS67" i="18"/>
  <c r="AU67" i="18"/>
  <c r="IE67" i="18"/>
  <c r="TR67" i="18"/>
  <c r="KE67" i="18"/>
  <c r="HY67" i="18"/>
  <c r="MI67" i="18"/>
  <c r="NL67" i="18"/>
  <c r="IC67" i="18"/>
  <c r="RJ67" i="18"/>
  <c r="BQ67" i="18"/>
  <c r="SO67" i="18"/>
  <c r="TM67" i="18"/>
  <c r="JZ67" i="18"/>
  <c r="XD67" i="18"/>
  <c r="WG67" i="18"/>
  <c r="RK67" i="18"/>
  <c r="NF67" i="18"/>
  <c r="JB67" i="18"/>
  <c r="DU67" i="18"/>
  <c r="BF67" i="18"/>
  <c r="GM67" i="18"/>
  <c r="PZ67" i="18"/>
  <c r="VG67" i="18"/>
  <c r="BL67" i="18"/>
  <c r="TW67" i="18"/>
  <c r="BG67" i="18"/>
  <c r="JA67" i="18"/>
  <c r="DS67" i="18"/>
  <c r="RI67" i="18"/>
  <c r="TY67" i="18"/>
  <c r="NE67" i="18"/>
  <c r="MO67" i="18"/>
  <c r="KK67" i="18"/>
  <c r="OC67" i="18"/>
  <c r="BE67" i="18"/>
  <c r="QA67" i="18"/>
  <c r="VI67" i="18"/>
  <c r="KA67" i="18"/>
  <c r="CW67" i="18"/>
  <c r="GO67" i="18"/>
  <c r="TX67" i="18"/>
  <c r="BM67" i="18"/>
  <c r="IW67" i="18"/>
  <c r="IJ67" i="18"/>
  <c r="SI67" i="18"/>
  <c r="VH67" i="18"/>
  <c r="FC67" i="18"/>
  <c r="XC67" i="18"/>
  <c r="EQ67" i="18"/>
  <c r="WF67" i="18"/>
  <c r="LW67" i="18"/>
  <c r="UJ67" i="18"/>
  <c r="GS67" i="18"/>
  <c r="VB67" i="18"/>
  <c r="JG67" i="18"/>
  <c r="MC67" i="18"/>
  <c r="AT67" i="18"/>
  <c r="TS67" i="18"/>
  <c r="TQ67" i="18"/>
  <c r="SM67" i="18"/>
  <c r="MB67" i="18"/>
  <c r="XE67" i="18"/>
  <c r="EY67" i="18"/>
  <c r="HX67" i="18"/>
  <c r="AM67" i="18"/>
  <c r="LQ67" i="18"/>
  <c r="PG67" i="18"/>
  <c r="WS67" i="18"/>
  <c r="EE67" i="18"/>
  <c r="HK67" i="18"/>
  <c r="RU67" i="18"/>
  <c r="HR67" i="18"/>
  <c r="MZ67" i="18"/>
  <c r="VY67" i="18"/>
  <c r="MT67" i="18"/>
  <c r="FQ67" i="18"/>
  <c r="UC67" i="18"/>
  <c r="IO67" i="18"/>
  <c r="NW67" i="18"/>
  <c r="XI67" i="18"/>
  <c r="DG67" i="18"/>
  <c r="KQ67" i="18"/>
  <c r="SC67" i="18"/>
  <c r="WK67" i="18"/>
  <c r="KX67" i="18"/>
  <c r="MH67" i="18"/>
  <c r="VU67" i="18"/>
  <c r="IV67" i="18"/>
  <c r="SH67" i="18"/>
  <c r="WQ67" i="18"/>
  <c r="VM67" i="18"/>
  <c r="QG67" i="18"/>
  <c r="CQ67" i="18"/>
  <c r="DZ67" i="18"/>
  <c r="ST67" i="18"/>
  <c r="GH67" i="18"/>
  <c r="LK67" i="18"/>
  <c r="EL67" i="18"/>
  <c r="TE67" i="18"/>
  <c r="MU67" i="18"/>
  <c r="FP67" i="18"/>
  <c r="UE67" i="18"/>
  <c r="IP67" i="18"/>
  <c r="IK67" i="18"/>
  <c r="WL67" i="18"/>
  <c r="KW67" i="18"/>
  <c r="CD67" i="18"/>
  <c r="NX67" i="18"/>
  <c r="XJ67" i="18"/>
  <c r="DI67" i="18"/>
  <c r="GZ67" i="18"/>
  <c r="KR67" i="18"/>
  <c r="OI67" i="18"/>
  <c r="SA67" i="18"/>
  <c r="VS67" i="18"/>
  <c r="MG67" i="18"/>
  <c r="EG67" i="18"/>
  <c r="WR67" i="18"/>
  <c r="SB67" i="18"/>
  <c r="MS67" i="18"/>
  <c r="IU67" i="18"/>
  <c r="TG67" i="18"/>
  <c r="RW67" i="18"/>
  <c r="VT67" i="18"/>
  <c r="FO67" i="18"/>
  <c r="SG67" i="18"/>
  <c r="UD67" i="18"/>
  <c r="XK67" i="18"/>
  <c r="IQ67" i="18"/>
  <c r="OK67" i="18"/>
  <c r="EF67" i="18"/>
  <c r="NY67" i="18"/>
  <c r="WM67" i="18"/>
  <c r="KY67" i="18"/>
  <c r="AO67" i="18"/>
  <c r="KS67" i="18"/>
  <c r="OJ67" i="18"/>
  <c r="DA67" i="18"/>
  <c r="GY67" i="18"/>
  <c r="UQ67" i="18"/>
  <c r="EX67" i="18"/>
  <c r="LJ67" i="18"/>
  <c r="QS67" i="18"/>
  <c r="ER67" i="18"/>
  <c r="WE67" i="18"/>
  <c r="JY67" i="18"/>
  <c r="NS67" i="18"/>
  <c r="GG67" i="18"/>
  <c r="VC67" i="18"/>
  <c r="FW67" i="18"/>
  <c r="FI67" i="18"/>
  <c r="OQ67" i="18"/>
  <c r="RP67" i="18"/>
  <c r="DB67" i="18"/>
  <c r="II67" i="18"/>
  <c r="OE67" i="18"/>
  <c r="VN67" i="18"/>
  <c r="KL67" i="18"/>
  <c r="BA67" i="18"/>
  <c r="BR67" i="18"/>
  <c r="JN67" i="18"/>
  <c r="HQ67" i="18"/>
  <c r="QM67" i="18"/>
  <c r="LD67" i="18"/>
  <c r="BY67" i="18"/>
  <c r="FU67" i="18"/>
  <c r="PC67" i="18"/>
  <c r="TL67" i="18"/>
  <c r="AY67" i="18"/>
  <c r="FJ67" i="18"/>
  <c r="OP67" i="18"/>
  <c r="CV67" i="18"/>
  <c r="WY67" i="18"/>
  <c r="CJ67" i="18"/>
  <c r="GB67" i="18"/>
  <c r="JS67" i="18"/>
  <c r="RC67" i="18"/>
  <c r="UU67" i="18"/>
  <c r="HW67" i="18"/>
  <c r="LI67" i="18"/>
  <c r="QE67" i="18"/>
  <c r="CO67" i="18"/>
  <c r="TK67" i="18"/>
  <c r="OD67" i="18"/>
  <c r="QK67" i="18"/>
  <c r="LC67" i="18"/>
  <c r="BS67" i="18"/>
  <c r="NR67" i="18"/>
  <c r="JT67" i="18"/>
  <c r="QR67" i="18"/>
  <c r="UV67" i="18"/>
  <c r="GC67" i="18"/>
  <c r="UO67" i="18"/>
  <c r="FV67" i="18"/>
  <c r="FK67" i="18"/>
  <c r="MN67" i="18"/>
  <c r="OO67" i="18"/>
  <c r="CK67" i="18"/>
  <c r="BX67" i="18"/>
  <c r="OW67" i="18"/>
  <c r="JO67" i="18"/>
  <c r="WW67" i="18"/>
  <c r="EW67" i="18"/>
  <c r="VA67" i="18"/>
  <c r="PB67" i="18"/>
  <c r="HS67" i="18"/>
  <c r="QF67" i="18"/>
  <c r="GI67" i="18"/>
  <c r="VO67" i="18"/>
  <c r="KM67" i="18"/>
  <c r="DC67" i="18"/>
  <c r="QL67" i="18"/>
  <c r="HA67" i="18"/>
  <c r="NQ67" i="18"/>
  <c r="QQ67" i="18"/>
  <c r="UP67" i="18"/>
  <c r="RO67" i="18"/>
  <c r="CI67" i="18"/>
  <c r="RD67" i="18"/>
  <c r="HF67" i="18"/>
  <c r="CE67" i="18"/>
  <c r="RQ67" i="18"/>
  <c r="RE67" i="18"/>
  <c r="PT67" i="18"/>
  <c r="DH67" i="18"/>
  <c r="DY67" i="18"/>
  <c r="SS67" i="18"/>
  <c r="EK67" i="18"/>
  <c r="LV67" i="18"/>
  <c r="TF67" i="18"/>
  <c r="OU67" i="18"/>
  <c r="HG67" i="18"/>
  <c r="UK67" i="18"/>
  <c r="WA67" i="18"/>
  <c r="JH67" i="18"/>
  <c r="GU67" i="18"/>
  <c r="DM67" i="18"/>
  <c r="HL67" i="18"/>
  <c r="RV67" i="18"/>
  <c r="CP67" i="18"/>
  <c r="NA67" i="18"/>
  <c r="QW67" i="18"/>
  <c r="KG67" i="18"/>
  <c r="PM67" i="18"/>
  <c r="AN67" i="18"/>
  <c r="LP67" i="18"/>
  <c r="PI67" i="18"/>
  <c r="SY67" i="18"/>
  <c r="SU67" i="18"/>
  <c r="EA67" i="18"/>
  <c r="HM67" i="18"/>
  <c r="PH67" i="18"/>
  <c r="MY67" i="18"/>
  <c r="VZ67" i="18"/>
  <c r="UI67" i="18"/>
  <c r="GT67" i="18"/>
  <c r="PU67" i="18"/>
  <c r="LU67" i="18"/>
  <c r="DO67" i="18"/>
  <c r="FE67" i="18"/>
  <c r="LO67" i="18"/>
  <c r="QY67" i="18"/>
  <c r="JM67" i="18"/>
  <c r="OV67" i="18"/>
  <c r="WX67" i="18"/>
  <c r="MM67" i="18"/>
  <c r="TA67" i="18"/>
  <c r="KF67" i="18"/>
  <c r="PO67" i="18"/>
  <c r="HE67" i="18"/>
  <c r="PS67" i="18"/>
  <c r="DN67" i="18"/>
  <c r="FD67" i="18"/>
  <c r="QX67" i="18"/>
  <c r="JI67" i="18"/>
  <c r="SZ67" i="18"/>
  <c r="PN67" i="18"/>
  <c r="EM67" i="18"/>
  <c r="XH68" i="18"/>
  <c r="WJ68" i="18"/>
  <c r="VL68" i="18"/>
  <c r="UN68" i="18"/>
  <c r="TP68" i="18"/>
  <c r="SR68" i="18"/>
  <c r="RT68" i="18"/>
  <c r="QV68" i="18"/>
  <c r="PX68" i="18"/>
  <c r="OZ68" i="18"/>
  <c r="OB68" i="18"/>
  <c r="ND68" i="18"/>
  <c r="MF68" i="18"/>
  <c r="LH68" i="18"/>
  <c r="KJ68" i="18"/>
  <c r="JL68" i="18"/>
  <c r="XB68" i="18"/>
  <c r="WP68" i="18"/>
  <c r="UZ68" i="18"/>
  <c r="TJ68" i="18"/>
  <c r="SX68" i="18"/>
  <c r="RH68" i="18"/>
  <c r="PR68" i="18"/>
  <c r="PF68" i="18"/>
  <c r="NP68" i="18"/>
  <c r="LZ68" i="18"/>
  <c r="LN68" i="18"/>
  <c r="JX68" i="18"/>
  <c r="IB68" i="18"/>
  <c r="HD68" i="18"/>
  <c r="GF68" i="18"/>
  <c r="FH68" i="18"/>
  <c r="EJ68" i="18"/>
  <c r="DL68" i="18"/>
  <c r="CN68" i="18"/>
  <c r="BP68" i="18"/>
  <c r="AR68" i="18"/>
  <c r="VX68" i="18"/>
  <c r="UT68" i="18"/>
  <c r="UH68" i="18"/>
  <c r="TD68" i="18"/>
  <c r="RZ68" i="18"/>
  <c r="RN68" i="18"/>
  <c r="QJ68" i="18"/>
  <c r="OT68" i="18"/>
  <c r="IT68" i="18"/>
  <c r="IH68" i="18"/>
  <c r="GR68" i="18"/>
  <c r="FB68" i="18"/>
  <c r="EP68" i="18"/>
  <c r="CZ68" i="18"/>
  <c r="BJ68" i="18"/>
  <c r="AX68" i="18"/>
  <c r="WV68" i="18"/>
  <c r="WD68" i="18"/>
  <c r="SL68" i="18"/>
  <c r="RB68" i="18"/>
  <c r="NJ68" i="18"/>
  <c r="MR68" i="18"/>
  <c r="JR68" i="18"/>
  <c r="IZ68" i="18"/>
  <c r="HV68" i="18"/>
  <c r="BV68" i="18"/>
  <c r="VF68" i="18"/>
  <c r="TV68" i="18"/>
  <c r="QD68" i="18"/>
  <c r="PL68" i="18"/>
  <c r="ML68" i="18"/>
  <c r="LT68" i="18"/>
  <c r="LB68" i="18"/>
  <c r="FN68" i="18"/>
  <c r="DX68" i="18"/>
  <c r="CT68" i="18"/>
  <c r="CH68" i="18"/>
  <c r="BD68" i="18"/>
  <c r="VR68" i="18"/>
  <c r="ON68" i="18"/>
  <c r="KD68" i="18"/>
  <c r="HP68" i="18"/>
  <c r="GL68" i="18"/>
  <c r="DF68" i="18"/>
  <c r="CB68" i="18"/>
  <c r="UB68" i="18"/>
  <c r="OH68" i="18"/>
  <c r="MX68" i="18"/>
  <c r="IN68" i="18"/>
  <c r="HJ68" i="18"/>
  <c r="ED68" i="18"/>
  <c r="SF68" i="18"/>
  <c r="NV68" i="18"/>
  <c r="KV68" i="18"/>
  <c r="FZ68" i="18"/>
  <c r="EV68" i="18"/>
  <c r="DR68" i="18"/>
  <c r="AL68" i="18"/>
  <c r="GX68" i="18"/>
  <c r="QP68" i="18"/>
  <c r="KP68" i="18"/>
  <c r="FT68" i="18"/>
  <c r="JF68" i="18"/>
  <c r="WT69" i="18"/>
  <c r="VV69" i="18"/>
  <c r="UX69" i="18"/>
  <c r="TZ69" i="18"/>
  <c r="TB69" i="18"/>
  <c r="SD69" i="18"/>
  <c r="RF69" i="18"/>
  <c r="QH69" i="18"/>
  <c r="PJ69" i="18"/>
  <c r="OL69" i="18"/>
  <c r="NN69" i="18"/>
  <c r="MP69" i="18"/>
  <c r="LR69" i="18"/>
  <c r="KT69" i="18"/>
  <c r="JV69" i="18"/>
  <c r="IX69" i="18"/>
  <c r="HZ69" i="18"/>
  <c r="HB69" i="18"/>
  <c r="GD69" i="18"/>
  <c r="FF69" i="18"/>
  <c r="EH69" i="18"/>
  <c r="DJ69" i="18"/>
  <c r="CL69" i="18"/>
  <c r="BN69" i="18"/>
  <c r="AP69" i="18"/>
  <c r="WZ69" i="18"/>
  <c r="VJ69" i="18"/>
  <c r="TT69" i="18"/>
  <c r="TH69" i="18"/>
  <c r="RR69" i="18"/>
  <c r="QB69" i="18"/>
  <c r="PP69" i="18"/>
  <c r="NZ69" i="18"/>
  <c r="MJ69" i="18"/>
  <c r="LX69" i="18"/>
  <c r="KH69" i="18"/>
  <c r="IR69" i="18"/>
  <c r="IF69" i="18"/>
  <c r="GP69" i="18"/>
  <c r="EZ69" i="18"/>
  <c r="EN69" i="18"/>
  <c r="CX69" i="18"/>
  <c r="BH69" i="18"/>
  <c r="AV69" i="18"/>
  <c r="UF69" i="18"/>
  <c r="SP69" i="18"/>
  <c r="RL69" i="18"/>
  <c r="QZ69" i="18"/>
  <c r="PV69" i="18"/>
  <c r="OR69" i="18"/>
  <c r="OF69" i="18"/>
  <c r="NB69" i="18"/>
  <c r="LL69" i="18"/>
  <c r="FL69" i="18"/>
  <c r="DV69" i="18"/>
  <c r="CR69" i="18"/>
  <c r="CF69" i="18"/>
  <c r="BB69" i="18"/>
  <c r="XF69" i="18"/>
  <c r="WN69" i="18"/>
  <c r="TN69" i="18"/>
  <c r="SV69" i="18"/>
  <c r="PD69" i="18"/>
  <c r="NT69" i="18"/>
  <c r="KB69" i="18"/>
  <c r="JJ69" i="18"/>
  <c r="GJ69" i="18"/>
  <c r="FR69" i="18"/>
  <c r="BZ69" i="18"/>
  <c r="WH69" i="18"/>
  <c r="VP69" i="18"/>
  <c r="RX69" i="18"/>
  <c r="QN69" i="18"/>
  <c r="MV69" i="18"/>
  <c r="MD69" i="18"/>
  <c r="JD69" i="18"/>
  <c r="IL69" i="18"/>
  <c r="HT69" i="18"/>
  <c r="ET69" i="18"/>
  <c r="EB69" i="18"/>
  <c r="AJ69" i="18"/>
  <c r="WB69" i="18"/>
  <c r="UR69" i="18"/>
  <c r="OX69" i="18"/>
  <c r="KN69" i="18"/>
  <c r="HN69" i="18"/>
  <c r="DD69" i="18"/>
  <c r="BT69" i="18"/>
  <c r="UL69" i="18"/>
  <c r="NH69" i="18"/>
  <c r="HH69" i="18"/>
  <c r="FX69" i="18"/>
  <c r="SJ69" i="18"/>
  <c r="LF69" i="18"/>
  <c r="GV69" i="18"/>
  <c r="QT69" i="18"/>
  <c r="KZ69" i="18"/>
  <c r="VD69" i="18"/>
  <c r="JP69" i="18"/>
  <c r="DP69" i="18"/>
  <c r="XA68" i="18"/>
  <c r="WC68" i="18"/>
  <c r="VE68" i="18"/>
  <c r="UG68" i="18"/>
  <c r="TI68" i="18"/>
  <c r="SK68" i="18"/>
  <c r="RM68" i="18"/>
  <c r="RO68" i="18" s="1"/>
  <c r="QO68" i="18"/>
  <c r="PQ68" i="18"/>
  <c r="OS68" i="18"/>
  <c r="NU68" i="18"/>
  <c r="MW68" i="18"/>
  <c r="LY68" i="18"/>
  <c r="LA68" i="18"/>
  <c r="KC68" i="18"/>
  <c r="JE68" i="18"/>
  <c r="VW68" i="18"/>
  <c r="VK68" i="18"/>
  <c r="TU68" i="18"/>
  <c r="SE68" i="18"/>
  <c r="RS68" i="18"/>
  <c r="QC68" i="18"/>
  <c r="OM68" i="18"/>
  <c r="OA68" i="18"/>
  <c r="MK68" i="18"/>
  <c r="KU68" i="18"/>
  <c r="KI68" i="18"/>
  <c r="IS68" i="18"/>
  <c r="HU68" i="18"/>
  <c r="GW68" i="18"/>
  <c r="FY68" i="18"/>
  <c r="FA68" i="18"/>
  <c r="EC68" i="18"/>
  <c r="DE68" i="18"/>
  <c r="CG68" i="18"/>
  <c r="BI68" i="18"/>
  <c r="AK68" i="18"/>
  <c r="SQ68" i="18"/>
  <c r="RA68" i="18"/>
  <c r="PW68" i="18"/>
  <c r="PK68" i="18"/>
  <c r="OG68" i="18"/>
  <c r="NC68" i="18"/>
  <c r="MQ68" i="18"/>
  <c r="LM68" i="18"/>
  <c r="JW68" i="18"/>
  <c r="HO68" i="18"/>
  <c r="HC68" i="18"/>
  <c r="FM68" i="18"/>
  <c r="DW68" i="18"/>
  <c r="DK68" i="18"/>
  <c r="BU68" i="18"/>
  <c r="US68" i="18"/>
  <c r="UA68" i="18"/>
  <c r="QI68" i="18"/>
  <c r="OY68" i="18"/>
  <c r="LG68" i="18"/>
  <c r="KO68" i="18"/>
  <c r="IM68" i="18"/>
  <c r="HI68" i="18"/>
  <c r="GE68" i="18"/>
  <c r="FS68" i="18"/>
  <c r="EO68" i="18"/>
  <c r="CY68" i="18"/>
  <c r="WU68" i="18"/>
  <c r="UM68" i="18"/>
  <c r="TC68" i="18"/>
  <c r="QU68" i="18"/>
  <c r="NI68" i="18"/>
  <c r="JQ68" i="18"/>
  <c r="IY68" i="18"/>
  <c r="IG68" i="18"/>
  <c r="GQ68" i="18"/>
  <c r="AQ68" i="18"/>
  <c r="XG68" i="18"/>
  <c r="SW68" i="18"/>
  <c r="LS68" i="18"/>
  <c r="EI68" i="18"/>
  <c r="BC68" i="18"/>
  <c r="VQ68" i="18"/>
  <c r="VS68" i="18" s="1"/>
  <c r="RG68" i="18"/>
  <c r="GK68" i="18"/>
  <c r="FG68" i="18"/>
  <c r="CA68" i="18"/>
  <c r="AW68" i="18"/>
  <c r="BA68" i="18" s="1"/>
  <c r="WO68" i="18"/>
  <c r="TO68" i="18"/>
  <c r="PE68" i="18"/>
  <c r="JK68" i="18"/>
  <c r="CS68" i="18"/>
  <c r="BO68" i="18"/>
  <c r="RY68" i="18"/>
  <c r="ME68" i="18"/>
  <c r="MI68" i="18" s="1"/>
  <c r="CM68" i="18"/>
  <c r="WI68" i="18"/>
  <c r="UY68" i="18"/>
  <c r="EU68" i="18"/>
  <c r="DQ68" i="18"/>
  <c r="NO68" i="18"/>
  <c r="IA68" i="18"/>
  <c r="T64" i="18"/>
  <c r="U64" i="18" s="1"/>
  <c r="R66" i="18"/>
  <c r="Q66" i="18"/>
  <c r="P66" i="18"/>
  <c r="T65" i="18" s="1"/>
  <c r="B133" i="7"/>
  <c r="B133" i="1"/>
  <c r="B133" i="9"/>
  <c r="AD130" i="5"/>
  <c r="AG131" i="5"/>
  <c r="AG128" i="5"/>
  <c r="Q126" i="5"/>
  <c r="U126" i="5" s="1"/>
  <c r="AJ128" i="5"/>
  <c r="B135" i="5"/>
  <c r="R133" i="5"/>
  <c r="AE133" i="5"/>
  <c r="K133" i="5"/>
  <c r="B132" i="5"/>
  <c r="R130" i="5"/>
  <c r="K130" i="5"/>
  <c r="F128" i="5"/>
  <c r="BQ129" i="1"/>
  <c r="BP129" i="1"/>
  <c r="X129" i="7" s="1"/>
  <c r="O129" i="1"/>
  <c r="O128" i="1"/>
  <c r="R130" i="14"/>
  <c r="B133" i="14"/>
  <c r="T130" i="14"/>
  <c r="S130" i="14"/>
  <c r="U130" i="14"/>
  <c r="Q129" i="14"/>
  <c r="B135" i="8"/>
  <c r="B132" i="1"/>
  <c r="N130" i="1"/>
  <c r="B132" i="9"/>
  <c r="B132" i="7"/>
  <c r="B134" i="8"/>
  <c r="B68" i="15"/>
  <c r="B70" i="18"/>
  <c r="G70" i="18" s="1"/>
  <c r="O69" i="18"/>
  <c r="N69" i="18"/>
  <c r="KR68" i="18" l="1"/>
  <c r="Q131" i="5"/>
  <c r="U131" i="5" s="1"/>
  <c r="R132" i="5"/>
  <c r="R125" i="8"/>
  <c r="LV68" i="18"/>
  <c r="I131" i="9"/>
  <c r="B139" i="19"/>
  <c r="G139" i="19" s="1"/>
  <c r="F137" i="19"/>
  <c r="L65" i="7"/>
  <c r="N64" i="7"/>
  <c r="N65" i="7"/>
  <c r="K65" i="7"/>
  <c r="L64" i="7"/>
  <c r="K64" i="7"/>
  <c r="E67" i="19"/>
  <c r="D66" i="19"/>
  <c r="G35" i="15"/>
  <c r="Q35" i="15"/>
  <c r="E67" i="8"/>
  <c r="P35" i="15"/>
  <c r="D66" i="8"/>
  <c r="R66" i="8" s="1"/>
  <c r="WR68" i="18"/>
  <c r="BK68" i="18"/>
  <c r="PG68" i="18"/>
  <c r="I130" i="9"/>
  <c r="HQ68" i="18"/>
  <c r="DU68" i="18"/>
  <c r="QF68" i="18"/>
  <c r="F133" i="5"/>
  <c r="XD68" i="18"/>
  <c r="EW68" i="18"/>
  <c r="L131" i="9"/>
  <c r="L130" i="9"/>
  <c r="M128" i="9"/>
  <c r="M129" i="9"/>
  <c r="J131" i="9"/>
  <c r="J130" i="9"/>
  <c r="H133" i="9"/>
  <c r="K133" i="9" s="1"/>
  <c r="UJ68" i="18"/>
  <c r="ST68" i="18"/>
  <c r="G134" i="8"/>
  <c r="F134" i="8"/>
  <c r="F135" i="8"/>
  <c r="G135" i="8"/>
  <c r="J132" i="7"/>
  <c r="I132" i="7"/>
  <c r="H132" i="9"/>
  <c r="K132" i="9" s="1"/>
  <c r="I133" i="7"/>
  <c r="J133" i="7"/>
  <c r="E68" i="15"/>
  <c r="D68" i="15"/>
  <c r="D70" i="18"/>
  <c r="F70" i="18" s="1"/>
  <c r="E70" i="18"/>
  <c r="I132" i="5"/>
  <c r="J132" i="5" s="1"/>
  <c r="I135" i="5"/>
  <c r="H133" i="1"/>
  <c r="I133" i="1" s="1"/>
  <c r="H132" i="1"/>
  <c r="I132" i="1" s="1"/>
  <c r="JG68" i="18"/>
  <c r="KL68" i="18"/>
  <c r="U68" i="15"/>
  <c r="Y68" i="18" s="1"/>
  <c r="AL128" i="5"/>
  <c r="BE68" i="18"/>
  <c r="LD68" i="18"/>
  <c r="T68" i="15"/>
  <c r="QX68" i="18"/>
  <c r="NR68" i="18"/>
  <c r="XK68" i="18"/>
  <c r="JA68" i="18"/>
  <c r="OO68" i="18"/>
  <c r="CU68" i="18"/>
  <c r="SA68" i="18"/>
  <c r="CC68" i="18"/>
  <c r="PC68" i="18"/>
  <c r="HG68" i="18"/>
  <c r="IW68" i="18"/>
  <c r="DG68" i="18"/>
  <c r="NW68" i="18"/>
  <c r="WK68" i="18"/>
  <c r="ER68" i="18"/>
  <c r="IP68" i="18"/>
  <c r="DO68" i="18"/>
  <c r="CJ68" i="18"/>
  <c r="KE68" i="18"/>
  <c r="NX68" i="18"/>
  <c r="KY68" i="18"/>
  <c r="SS68" i="18"/>
  <c r="RK68" i="18"/>
  <c r="NK68" i="18"/>
  <c r="WW68" i="18"/>
  <c r="LI68" i="18"/>
  <c r="HY68" i="18"/>
  <c r="VZ68" i="18"/>
  <c r="MB68" i="18"/>
  <c r="DM68" i="18"/>
  <c r="CP68" i="18"/>
  <c r="FV68" i="18"/>
  <c r="UD68" i="18"/>
  <c r="VM68" i="18"/>
  <c r="NY68" i="18"/>
  <c r="KG68" i="18"/>
  <c r="CI68" i="18"/>
  <c r="GG68" i="18"/>
  <c r="UU68" i="18"/>
  <c r="FO68" i="18"/>
  <c r="LQ68" i="18"/>
  <c r="PO68" i="18"/>
  <c r="AM68" i="18"/>
  <c r="RU68" i="18"/>
  <c r="PU68" i="18"/>
  <c r="VB68" i="18"/>
  <c r="II68" i="18"/>
  <c r="DA68" i="18"/>
  <c r="HM68" i="18"/>
  <c r="BW68" i="18"/>
  <c r="MS68" i="18"/>
  <c r="OD68" i="18"/>
  <c r="KX68" i="18"/>
  <c r="WE68" i="18"/>
  <c r="KF68" i="18"/>
  <c r="HS68" i="18"/>
  <c r="DN68" i="18"/>
  <c r="WQ68" i="18"/>
  <c r="KM68" i="18"/>
  <c r="AZ68" i="18"/>
  <c r="HR68" i="18"/>
  <c r="QE68" i="18"/>
  <c r="WF68" i="18"/>
  <c r="LE68" i="18"/>
  <c r="KK68" i="18"/>
  <c r="UE68" i="18"/>
  <c r="CK68" i="18"/>
  <c r="KW68" i="18"/>
  <c r="DT68" i="18"/>
  <c r="UC68" i="18"/>
  <c r="VN68" i="18"/>
  <c r="NF68" i="18"/>
  <c r="JS68" i="18"/>
  <c r="OJ68" i="18"/>
  <c r="SO68" i="18"/>
  <c r="QG68" i="18"/>
  <c r="WS68" i="18"/>
  <c r="OC68" i="18"/>
  <c r="SU68" i="18"/>
  <c r="LC68" i="18"/>
  <c r="JM68" i="18"/>
  <c r="EE68" i="18"/>
  <c r="MM68" i="18"/>
  <c r="TL68" i="18"/>
  <c r="HK68" i="18"/>
  <c r="UK68" i="18"/>
  <c r="WG68" i="18"/>
  <c r="VO68" i="18"/>
  <c r="PB68" i="18"/>
  <c r="OU68" i="18"/>
  <c r="VY68" i="18"/>
  <c r="MA68" i="18"/>
  <c r="UW68" i="18"/>
  <c r="NQ68" i="18"/>
  <c r="LK68" i="18"/>
  <c r="XC68" i="18"/>
  <c r="VU68" i="18"/>
  <c r="QS68" i="18"/>
  <c r="SI68" i="18"/>
  <c r="DH68" i="18"/>
  <c r="OP68" i="18"/>
  <c r="CV68" i="18"/>
  <c r="OV68" i="18"/>
  <c r="EK68" i="18"/>
  <c r="NS68" i="18"/>
  <c r="XI68" i="18"/>
  <c r="RJ68" i="18"/>
  <c r="MH68" i="18"/>
  <c r="GH68" i="18"/>
  <c r="UV68" i="18"/>
  <c r="LJ68" i="18"/>
  <c r="EM68" i="18"/>
  <c r="AY68" i="18"/>
  <c r="XJ68" i="18"/>
  <c r="RI68" i="18"/>
  <c r="MG68" i="18"/>
  <c r="AO68" i="18"/>
  <c r="IC68" i="18"/>
  <c r="SZ68" i="18"/>
  <c r="PZ68" i="18"/>
  <c r="FC68" i="18"/>
  <c r="SG68" i="18"/>
  <c r="NA68" i="18"/>
  <c r="QQ68" i="18"/>
  <c r="WA68" i="18"/>
  <c r="OQ68" i="18"/>
  <c r="XE68" i="18"/>
  <c r="EL68" i="18"/>
  <c r="OW68" i="18"/>
  <c r="CW68" i="18"/>
  <c r="MC68" i="18"/>
  <c r="GI68" i="18"/>
  <c r="DI68" i="18"/>
  <c r="AN68" i="18"/>
  <c r="TR68" i="18"/>
  <c r="JB68" i="18"/>
  <c r="TF68" i="18"/>
  <c r="RC68" i="18"/>
  <c r="TY68" i="18"/>
  <c r="JC68" i="18"/>
  <c r="AT68" i="18"/>
  <c r="SY68" i="18"/>
  <c r="IK68" i="18"/>
  <c r="BY68" i="18"/>
  <c r="IV68" i="18"/>
  <c r="VC68" i="18"/>
  <c r="DS68" i="18"/>
  <c r="FW68" i="18"/>
  <c r="PY68" i="18"/>
  <c r="DC68" i="18"/>
  <c r="MU68" i="18"/>
  <c r="FE68" i="18"/>
  <c r="NM68" i="18"/>
  <c r="GY68" i="18"/>
  <c r="EF68" i="18"/>
  <c r="OK68" i="18"/>
  <c r="DY68" i="18"/>
  <c r="MN68" i="18"/>
  <c r="VG68" i="18"/>
  <c r="JT68" i="18"/>
  <c r="GS68" i="18"/>
  <c r="QK68" i="18"/>
  <c r="JY68" i="18"/>
  <c r="TM68" i="18"/>
  <c r="JN68" i="18"/>
  <c r="NG68" i="18"/>
  <c r="SH68" i="18"/>
  <c r="QR68" i="18"/>
  <c r="EA68" i="18"/>
  <c r="VT68" i="18"/>
  <c r="OI68" i="18"/>
  <c r="HL68" i="18"/>
  <c r="PI68" i="18"/>
  <c r="VA68" i="18"/>
  <c r="KA68" i="18"/>
  <c r="UI68" i="18"/>
  <c r="PA68" i="18"/>
  <c r="GU68" i="18"/>
  <c r="DB68" i="18"/>
  <c r="IE68" i="18"/>
  <c r="TK68" i="18"/>
  <c r="BX68" i="18"/>
  <c r="NE68" i="18"/>
  <c r="IJ68" i="18"/>
  <c r="QM68" i="18"/>
  <c r="MT68" i="18"/>
  <c r="JI68" i="18"/>
  <c r="CE68" i="18"/>
  <c r="SC68" i="18"/>
  <c r="FD68" i="18"/>
  <c r="IU68" i="18"/>
  <c r="VI68" i="18"/>
  <c r="BQ68" i="18"/>
  <c r="FJ68" i="18"/>
  <c r="GA68" i="18"/>
  <c r="DZ68" i="18"/>
  <c r="JO68" i="18"/>
  <c r="EG68" i="18"/>
  <c r="MO68" i="18"/>
  <c r="PH68" i="18"/>
  <c r="JZ68" i="18"/>
  <c r="JU68" i="18"/>
  <c r="GT68" i="18"/>
  <c r="ID68" i="18"/>
  <c r="OE68" i="18"/>
  <c r="TA68" i="18"/>
  <c r="QL68" i="18"/>
  <c r="JH68" i="18"/>
  <c r="CD68" i="18"/>
  <c r="SB68" i="18"/>
  <c r="QA68" i="18"/>
  <c r="VH68" i="18"/>
  <c r="GN68" i="18"/>
  <c r="UP68" i="18"/>
  <c r="HA68" i="18"/>
  <c r="SM68" i="18"/>
  <c r="NL68" i="18"/>
  <c r="GO68" i="18"/>
  <c r="CQ68" i="18"/>
  <c r="FU68" i="18"/>
  <c r="GZ68" i="18"/>
  <c r="SN68" i="18"/>
  <c r="CO68" i="18"/>
  <c r="HE68" i="18"/>
  <c r="UQ68" i="18"/>
  <c r="GM68" i="18"/>
  <c r="UO68" i="18"/>
  <c r="TS68" i="18"/>
  <c r="HF68" i="18"/>
  <c r="TQ68" i="18"/>
  <c r="TG68" i="18"/>
  <c r="PM68" i="18"/>
  <c r="LU68" i="18"/>
  <c r="RE68" i="18"/>
  <c r="MZ68" i="18"/>
  <c r="IO68" i="18"/>
  <c r="BG68" i="18"/>
  <c r="TX68" i="18"/>
  <c r="KQ68" i="18"/>
  <c r="AU68" i="18"/>
  <c r="PT68" i="18"/>
  <c r="FI68" i="18"/>
  <c r="RW68" i="18"/>
  <c r="HX68" i="18"/>
  <c r="EQ68" i="18"/>
  <c r="FQ68" i="18"/>
  <c r="LP68" i="18"/>
  <c r="QW68" i="18"/>
  <c r="WY68" i="18"/>
  <c r="TE68" i="18"/>
  <c r="PN68" i="18"/>
  <c r="WM68" i="18"/>
  <c r="RD68" i="18"/>
  <c r="MY68" i="18"/>
  <c r="EY68" i="18"/>
  <c r="BF68" i="18"/>
  <c r="TW68" i="18"/>
  <c r="GC68" i="18"/>
  <c r="AS68" i="18"/>
  <c r="PS68" i="18"/>
  <c r="BM68" i="18"/>
  <c r="RV68" i="18"/>
  <c r="HW68" i="18"/>
  <c r="RQ68" i="18"/>
  <c r="FP68" i="18"/>
  <c r="LO68" i="18"/>
  <c r="BS68" i="18"/>
  <c r="XH69" i="18"/>
  <c r="WJ69" i="18"/>
  <c r="VL69" i="18"/>
  <c r="UN69" i="18"/>
  <c r="TP69" i="18"/>
  <c r="SR69" i="18"/>
  <c r="RT69" i="18"/>
  <c r="QV69" i="18"/>
  <c r="PX69" i="18"/>
  <c r="OZ69" i="18"/>
  <c r="OB69" i="18"/>
  <c r="ND69" i="18"/>
  <c r="MF69" i="18"/>
  <c r="LH69" i="18"/>
  <c r="KJ69" i="18"/>
  <c r="JL69" i="18"/>
  <c r="IN69" i="18"/>
  <c r="HP69" i="18"/>
  <c r="GR69" i="18"/>
  <c r="FT69" i="18"/>
  <c r="EV69" i="18"/>
  <c r="DX69" i="18"/>
  <c r="CZ69" i="18"/>
  <c r="CB69" i="18"/>
  <c r="BD69" i="18"/>
  <c r="WD69" i="18"/>
  <c r="VR69" i="18"/>
  <c r="UB69" i="18"/>
  <c r="SL69" i="18"/>
  <c r="RZ69" i="18"/>
  <c r="QJ69" i="18"/>
  <c r="OT69" i="18"/>
  <c r="OH69" i="18"/>
  <c r="MR69" i="18"/>
  <c r="LB69" i="18"/>
  <c r="KP69" i="18"/>
  <c r="IZ69" i="18"/>
  <c r="HJ69" i="18"/>
  <c r="GX69" i="18"/>
  <c r="FH69" i="18"/>
  <c r="DR69" i="18"/>
  <c r="DF69" i="18"/>
  <c r="BP69" i="18"/>
  <c r="WV69" i="18"/>
  <c r="VF69" i="18"/>
  <c r="PF69" i="18"/>
  <c r="NP69" i="18"/>
  <c r="ML69" i="18"/>
  <c r="LZ69" i="18"/>
  <c r="KV69" i="18"/>
  <c r="JR69" i="18"/>
  <c r="JF69" i="18"/>
  <c r="IB69" i="18"/>
  <c r="GL69" i="18"/>
  <c r="AL69" i="18"/>
  <c r="UZ69" i="18"/>
  <c r="UH69" i="18"/>
  <c r="RH69" i="18"/>
  <c r="QP69" i="18"/>
  <c r="MX69" i="18"/>
  <c r="LN69" i="18"/>
  <c r="HV69" i="18"/>
  <c r="HD69" i="18"/>
  <c r="ED69" i="18"/>
  <c r="DL69" i="18"/>
  <c r="CT69" i="18"/>
  <c r="XB69" i="18"/>
  <c r="UT69" i="18"/>
  <c r="TJ69" i="18"/>
  <c r="RB69" i="18"/>
  <c r="PR69" i="18"/>
  <c r="NJ69" i="18"/>
  <c r="JX69" i="18"/>
  <c r="GF69" i="18"/>
  <c r="FN69" i="18"/>
  <c r="CN69" i="18"/>
  <c r="BV69" i="18"/>
  <c r="TD69" i="18"/>
  <c r="QD69" i="18"/>
  <c r="LT69" i="18"/>
  <c r="FZ69" i="18"/>
  <c r="EP69" i="18"/>
  <c r="VX69" i="18"/>
  <c r="SX69" i="18"/>
  <c r="RN69" i="18"/>
  <c r="ON69" i="18"/>
  <c r="KD69" i="18"/>
  <c r="IT69" i="18"/>
  <c r="EJ69" i="18"/>
  <c r="BJ69" i="18"/>
  <c r="TV69" i="18"/>
  <c r="PL69" i="18"/>
  <c r="IH69" i="18"/>
  <c r="CH69" i="18"/>
  <c r="AX69" i="18"/>
  <c r="SF69" i="18"/>
  <c r="AR69" i="18"/>
  <c r="WP69" i="18"/>
  <c r="FB69" i="18"/>
  <c r="NV69" i="18"/>
  <c r="XA69" i="18"/>
  <c r="WC69" i="18"/>
  <c r="VE69" i="18"/>
  <c r="UG69" i="18"/>
  <c r="TI69" i="18"/>
  <c r="SK69" i="18"/>
  <c r="RM69" i="18"/>
  <c r="QO69" i="18"/>
  <c r="PQ69" i="18"/>
  <c r="OS69" i="18"/>
  <c r="NU69" i="18"/>
  <c r="MW69" i="18"/>
  <c r="MY69" i="18" s="1"/>
  <c r="LY69" i="18"/>
  <c r="LA69" i="18"/>
  <c r="KC69" i="18"/>
  <c r="JE69" i="18"/>
  <c r="IG69" i="18"/>
  <c r="HI69" i="18"/>
  <c r="GK69" i="18"/>
  <c r="FM69" i="18"/>
  <c r="EO69" i="18"/>
  <c r="DQ69" i="18"/>
  <c r="CS69" i="18"/>
  <c r="BU69" i="18"/>
  <c r="AW69" i="18"/>
  <c r="WO69" i="18"/>
  <c r="WQ69" i="18" s="1"/>
  <c r="UY69" i="18"/>
  <c r="UM69" i="18"/>
  <c r="SW69" i="18"/>
  <c r="RG69" i="18"/>
  <c r="QU69" i="18"/>
  <c r="PE69" i="18"/>
  <c r="NO69" i="18"/>
  <c r="NC69" i="18"/>
  <c r="LM69" i="18"/>
  <c r="JW69" i="18"/>
  <c r="JK69" i="18"/>
  <c r="HU69" i="18"/>
  <c r="HW69" i="18" s="1"/>
  <c r="GE69" i="18"/>
  <c r="FS69" i="18"/>
  <c r="EC69" i="18"/>
  <c r="CM69" i="18"/>
  <c r="CA69" i="18"/>
  <c r="AK69" i="18"/>
  <c r="WI69" i="18"/>
  <c r="VW69" i="18"/>
  <c r="US69" i="18"/>
  <c r="TO69" i="18"/>
  <c r="TC69" i="18"/>
  <c r="RY69" i="18"/>
  <c r="QI69" i="18"/>
  <c r="QL69" i="18" s="1"/>
  <c r="KI69" i="18"/>
  <c r="IS69" i="18"/>
  <c r="HO69" i="18"/>
  <c r="HC69" i="18"/>
  <c r="FY69" i="18"/>
  <c r="EU69" i="18"/>
  <c r="EY69" i="18" s="1"/>
  <c r="EI69" i="18"/>
  <c r="DE69" i="18"/>
  <c r="BO69" i="18"/>
  <c r="VQ69" i="18"/>
  <c r="SE69" i="18"/>
  <c r="PW69" i="18"/>
  <c r="OM69" i="18"/>
  <c r="ME69" i="18"/>
  <c r="KU69" i="18"/>
  <c r="KX69" i="18" s="1"/>
  <c r="IM69" i="18"/>
  <c r="FA69" i="18"/>
  <c r="BI69" i="18"/>
  <c r="AQ69" i="18"/>
  <c r="UA69" i="18"/>
  <c r="SQ69" i="18"/>
  <c r="OY69" i="18"/>
  <c r="OG69" i="18"/>
  <c r="LG69" i="18"/>
  <c r="KO69" i="18"/>
  <c r="GW69" i="18"/>
  <c r="DK69" i="18"/>
  <c r="BC69" i="18"/>
  <c r="RS69" i="18"/>
  <c r="NI69" i="18"/>
  <c r="IY69" i="18"/>
  <c r="XG69" i="18"/>
  <c r="QC69" i="18"/>
  <c r="LS69" i="18"/>
  <c r="CY69" i="18"/>
  <c r="WU69" i="18"/>
  <c r="VK69" i="18"/>
  <c r="RA69" i="18"/>
  <c r="OA69" i="18"/>
  <c r="MQ69" i="18"/>
  <c r="JQ69" i="18"/>
  <c r="FG69" i="18"/>
  <c r="DW69" i="18"/>
  <c r="MK69" i="18"/>
  <c r="GQ69" i="18"/>
  <c r="PK69" i="18"/>
  <c r="CG69" i="18"/>
  <c r="TU69" i="18"/>
  <c r="TX69" i="18" s="1"/>
  <c r="IA69" i="18"/>
  <c r="WT70" i="18"/>
  <c r="VV70" i="18"/>
  <c r="UX70" i="18"/>
  <c r="TZ70" i="18"/>
  <c r="TB70" i="18"/>
  <c r="SD70" i="18"/>
  <c r="RF70" i="18"/>
  <c r="QH70" i="18"/>
  <c r="PJ70" i="18"/>
  <c r="OL70" i="18"/>
  <c r="NN70" i="18"/>
  <c r="MP70" i="18"/>
  <c r="LR70" i="18"/>
  <c r="KT70" i="18"/>
  <c r="JV70" i="18"/>
  <c r="IX70" i="18"/>
  <c r="HZ70" i="18"/>
  <c r="HB70" i="18"/>
  <c r="GD70" i="18"/>
  <c r="FF70" i="18"/>
  <c r="EH70" i="18"/>
  <c r="DJ70" i="18"/>
  <c r="CL70" i="18"/>
  <c r="BN70" i="18"/>
  <c r="AP70" i="18"/>
  <c r="WN70" i="18"/>
  <c r="WB70" i="18"/>
  <c r="UL70" i="18"/>
  <c r="SV70" i="18"/>
  <c r="SJ70" i="18"/>
  <c r="QT70" i="18"/>
  <c r="PD70" i="18"/>
  <c r="OR70" i="18"/>
  <c r="NB70" i="18"/>
  <c r="LL70" i="18"/>
  <c r="KZ70" i="18"/>
  <c r="JJ70" i="18"/>
  <c r="HT70" i="18"/>
  <c r="HH70" i="18"/>
  <c r="FR70" i="18"/>
  <c r="EB70" i="18"/>
  <c r="DP70" i="18"/>
  <c r="BZ70" i="18"/>
  <c r="AJ70" i="18"/>
  <c r="WH70" i="18"/>
  <c r="VD70" i="18"/>
  <c r="UR70" i="18"/>
  <c r="TN70" i="18"/>
  <c r="RX70" i="18"/>
  <c r="LX70" i="18"/>
  <c r="KH70" i="18"/>
  <c r="JD70" i="18"/>
  <c r="IR70" i="18"/>
  <c r="HN70" i="18"/>
  <c r="GJ70" i="18"/>
  <c r="FX70" i="18"/>
  <c r="ET70" i="18"/>
  <c r="DD70" i="18"/>
  <c r="VJ70" i="18"/>
  <c r="RR70" i="18"/>
  <c r="QZ70" i="18"/>
  <c r="NZ70" i="18"/>
  <c r="NH70" i="18"/>
  <c r="JP70" i="18"/>
  <c r="IF70" i="18"/>
  <c r="EN70" i="18"/>
  <c r="DV70" i="18"/>
  <c r="AV70" i="18"/>
  <c r="XF70" i="18"/>
  <c r="TT70" i="18"/>
  <c r="RL70" i="18"/>
  <c r="QB70" i="18"/>
  <c r="NT70" i="18"/>
  <c r="MJ70" i="18"/>
  <c r="KB70" i="18"/>
  <c r="GP70" i="18"/>
  <c r="CX70" i="18"/>
  <c r="CF70" i="18"/>
  <c r="QN70" i="18"/>
  <c r="MD70" i="18"/>
  <c r="EZ70" i="18"/>
  <c r="TH70" i="18"/>
  <c r="OX70" i="18"/>
  <c r="KN70" i="18"/>
  <c r="BT70" i="18"/>
  <c r="VP70" i="18"/>
  <c r="UF70" i="18"/>
  <c r="PV70" i="18"/>
  <c r="MV70" i="18"/>
  <c r="IL70" i="18"/>
  <c r="CR70" i="18"/>
  <c r="BH70" i="18"/>
  <c r="SP70" i="18"/>
  <c r="GV70" i="18"/>
  <c r="BB70" i="18"/>
  <c r="WZ70" i="18"/>
  <c r="LF70" i="18"/>
  <c r="FL70" i="18"/>
  <c r="PP70" i="18"/>
  <c r="OF70" i="18"/>
  <c r="EX69" i="18"/>
  <c r="WX68" i="18"/>
  <c r="LW68" i="18"/>
  <c r="WL68" i="18"/>
  <c r="IQ68" i="18"/>
  <c r="EX68" i="18"/>
  <c r="KS68" i="18"/>
  <c r="GB68" i="18"/>
  <c r="FK68" i="18"/>
  <c r="BL68" i="18"/>
  <c r="ES68" i="18"/>
  <c r="RP68" i="18"/>
  <c r="QY68" i="18"/>
  <c r="BR68" i="18"/>
  <c r="S65" i="18"/>
  <c r="U65" i="18" s="1"/>
  <c r="Q67" i="18"/>
  <c r="P67" i="18"/>
  <c r="T66" i="18" s="1"/>
  <c r="R67" i="18"/>
  <c r="B135" i="1"/>
  <c r="B135" i="9"/>
  <c r="I135" i="9" s="1"/>
  <c r="B135" i="7"/>
  <c r="Q128" i="5"/>
  <c r="U128" i="5" s="1"/>
  <c r="AD132" i="5"/>
  <c r="AG133" i="5"/>
  <c r="AG130" i="5"/>
  <c r="AJ130" i="5"/>
  <c r="B134" i="5"/>
  <c r="K132" i="5"/>
  <c r="F130" i="5"/>
  <c r="B137" i="5"/>
  <c r="K135" i="5"/>
  <c r="AE135" i="5"/>
  <c r="R131" i="14"/>
  <c r="O131" i="1"/>
  <c r="BP131" i="1"/>
  <c r="X131" i="7" s="1"/>
  <c r="O130" i="1"/>
  <c r="BQ131" i="1"/>
  <c r="U131" i="14"/>
  <c r="T131" i="14"/>
  <c r="S131" i="14"/>
  <c r="Q130" i="14"/>
  <c r="B134" i="14"/>
  <c r="B134" i="1"/>
  <c r="N132" i="1"/>
  <c r="B137" i="8"/>
  <c r="B69" i="15"/>
  <c r="B136" i="8"/>
  <c r="B134" i="7"/>
  <c r="B134" i="9"/>
  <c r="B71" i="18"/>
  <c r="G71" i="18" s="1"/>
  <c r="O70" i="18"/>
  <c r="N70" i="18"/>
  <c r="Q133" i="5" l="1"/>
  <c r="U133" i="5" s="1"/>
  <c r="R127" i="8"/>
  <c r="MA69" i="18"/>
  <c r="I133" i="9"/>
  <c r="IK69" i="18"/>
  <c r="SB69" i="18"/>
  <c r="HS69" i="18"/>
  <c r="FV69" i="18"/>
  <c r="B141" i="19"/>
  <c r="G141" i="19" s="1"/>
  <c r="F139" i="19"/>
  <c r="N66" i="7"/>
  <c r="K67" i="7"/>
  <c r="L67" i="7"/>
  <c r="L66" i="7"/>
  <c r="N67" i="7"/>
  <c r="K66" i="7"/>
  <c r="E69" i="19"/>
  <c r="D68" i="19"/>
  <c r="G36" i="15"/>
  <c r="P36" i="15"/>
  <c r="Q36" i="15"/>
  <c r="D68" i="8"/>
  <c r="R68" i="8" s="1"/>
  <c r="E69" i="8"/>
  <c r="Q130" i="5"/>
  <c r="U130" i="5" s="1"/>
  <c r="WE69" i="18"/>
  <c r="RK69" i="18"/>
  <c r="I132" i="9"/>
  <c r="HM69" i="18"/>
  <c r="MG69" i="18"/>
  <c r="J135" i="5"/>
  <c r="F135" i="5" s="1"/>
  <c r="UO69" i="18"/>
  <c r="L132" i="9"/>
  <c r="L133" i="9"/>
  <c r="M131" i="9"/>
  <c r="M130" i="9"/>
  <c r="J132" i="9"/>
  <c r="J133" i="9"/>
  <c r="H135" i="9"/>
  <c r="K135" i="9" s="1"/>
  <c r="TK69" i="18"/>
  <c r="F137" i="8"/>
  <c r="G137" i="8"/>
  <c r="F136" i="8"/>
  <c r="G136" i="8"/>
  <c r="J134" i="7"/>
  <c r="I134" i="7"/>
  <c r="I135" i="7"/>
  <c r="J135" i="7"/>
  <c r="H134" i="9"/>
  <c r="K134" i="9" s="1"/>
  <c r="U69" i="15"/>
  <c r="Y69" i="18" s="1"/>
  <c r="D69" i="15"/>
  <c r="E69" i="15"/>
  <c r="D71" i="18"/>
  <c r="F71" i="18" s="1"/>
  <c r="E71" i="18"/>
  <c r="JG69" i="18"/>
  <c r="I137" i="5"/>
  <c r="I134" i="5"/>
  <c r="J134" i="5" s="1"/>
  <c r="H134" i="1"/>
  <c r="I134" i="1" s="1"/>
  <c r="H135" i="1"/>
  <c r="I135" i="1" s="1"/>
  <c r="HE69" i="18"/>
  <c r="CI69" i="18"/>
  <c r="KQ69" i="18"/>
  <c r="EA69" i="18"/>
  <c r="KG69" i="18"/>
  <c r="T69" i="15"/>
  <c r="XD69" i="18"/>
  <c r="GU69" i="18"/>
  <c r="JU69" i="18"/>
  <c r="VM69" i="18"/>
  <c r="RV69" i="18"/>
  <c r="OO69" i="18"/>
  <c r="KK69" i="18"/>
  <c r="VH69" i="18"/>
  <c r="GO69" i="18"/>
  <c r="BF69" i="18"/>
  <c r="RP69" i="18"/>
  <c r="HG69" i="18"/>
  <c r="RJ69" i="18"/>
  <c r="MN69" i="18"/>
  <c r="GI69" i="18"/>
  <c r="WG69" i="18"/>
  <c r="MM69" i="18"/>
  <c r="DI69" i="18"/>
  <c r="HR69" i="18"/>
  <c r="UW69" i="18"/>
  <c r="VA69" i="18"/>
  <c r="QF69" i="18"/>
  <c r="BR69" i="18"/>
  <c r="JZ69" i="18"/>
  <c r="FO69" i="18"/>
  <c r="SH69" i="18"/>
  <c r="UU69" i="18"/>
  <c r="VB69" i="18"/>
  <c r="OW69" i="18"/>
  <c r="JN69" i="18"/>
  <c r="WA69" i="18"/>
  <c r="RW69" i="18"/>
  <c r="HF69" i="18"/>
  <c r="MO69" i="18"/>
  <c r="FQ69" i="18"/>
  <c r="NA69" i="18"/>
  <c r="QE69" i="18"/>
  <c r="OE69" i="18"/>
  <c r="DB69" i="18"/>
  <c r="FP69" i="18"/>
  <c r="FI69" i="18"/>
  <c r="HA69" i="18"/>
  <c r="VU69" i="18"/>
  <c r="JM69" i="18"/>
  <c r="NQ69" i="18"/>
  <c r="SZ69" i="18"/>
  <c r="AY69" i="18"/>
  <c r="PU69" i="18"/>
  <c r="XC69" i="18"/>
  <c r="RQ69" i="18"/>
  <c r="DN69" i="18"/>
  <c r="VG69" i="18"/>
  <c r="BG69" i="18"/>
  <c r="XI69" i="18"/>
  <c r="BE69" i="18"/>
  <c r="XE69" i="18"/>
  <c r="RU69" i="18"/>
  <c r="IJ69" i="18"/>
  <c r="MZ69" i="18"/>
  <c r="VI69" i="18"/>
  <c r="VC69" i="18"/>
  <c r="NS69" i="18"/>
  <c r="MC69" i="18"/>
  <c r="UV69" i="18"/>
  <c r="XK69" i="18"/>
  <c r="JO69" i="18"/>
  <c r="VS69" i="18"/>
  <c r="SI69" i="18"/>
  <c r="CQ69" i="18"/>
  <c r="NE69" i="18"/>
  <c r="OU69" i="18"/>
  <c r="NK69" i="18"/>
  <c r="BL69" i="18"/>
  <c r="WL69" i="18"/>
  <c r="PG69" i="18"/>
  <c r="SY69" i="18"/>
  <c r="RO69" i="18"/>
  <c r="KA69" i="18"/>
  <c r="II69" i="18"/>
  <c r="TA69" i="18"/>
  <c r="NM69" i="18"/>
  <c r="NR69" i="18"/>
  <c r="JY69" i="18"/>
  <c r="MB69" i="18"/>
  <c r="XJ69" i="18"/>
  <c r="VT69" i="18"/>
  <c r="AO69" i="18"/>
  <c r="NL69" i="18"/>
  <c r="MH69" i="18"/>
  <c r="EW69" i="18"/>
  <c r="DO69" i="18"/>
  <c r="OI69" i="18"/>
  <c r="VZ69" i="18"/>
  <c r="VO69" i="18"/>
  <c r="GS69" i="18"/>
  <c r="DY69" i="18"/>
  <c r="CO69" i="18"/>
  <c r="OK69" i="18"/>
  <c r="HK69" i="18"/>
  <c r="DA69" i="18"/>
  <c r="VN69" i="18"/>
  <c r="BK69" i="18"/>
  <c r="OP69" i="18"/>
  <c r="GH69" i="18"/>
  <c r="GM69" i="18"/>
  <c r="PH69" i="18"/>
  <c r="DG69" i="18"/>
  <c r="LI69" i="18"/>
  <c r="SS69" i="18"/>
  <c r="WM69" i="18"/>
  <c r="VY69" i="18"/>
  <c r="SG69" i="18"/>
  <c r="KY69" i="18"/>
  <c r="DM69" i="18"/>
  <c r="SU69" i="18"/>
  <c r="OV69" i="18"/>
  <c r="WK69" i="18"/>
  <c r="HY69" i="18"/>
  <c r="WF69" i="18"/>
  <c r="HQ69" i="18"/>
  <c r="LK69" i="18"/>
  <c r="RI69" i="18"/>
  <c r="GG69" i="18"/>
  <c r="CP69" i="18"/>
  <c r="QG69" i="18"/>
  <c r="GT69" i="18"/>
  <c r="OJ69" i="18"/>
  <c r="DZ69" i="18"/>
  <c r="PI69" i="18"/>
  <c r="GN69" i="18"/>
  <c r="DH69" i="18"/>
  <c r="HL69" i="18"/>
  <c r="PM69" i="18"/>
  <c r="RE69" i="18"/>
  <c r="LU69" i="18"/>
  <c r="PB69" i="18"/>
  <c r="TF69" i="18"/>
  <c r="EG69" i="18"/>
  <c r="OQ69" i="18"/>
  <c r="KW69" i="18"/>
  <c r="DC69" i="18"/>
  <c r="ST69" i="18"/>
  <c r="HX69" i="18"/>
  <c r="LJ69" i="18"/>
  <c r="BM69" i="18"/>
  <c r="MT69" i="18"/>
  <c r="WY69" i="18"/>
  <c r="UC69" i="18"/>
  <c r="CD69" i="18"/>
  <c r="QY69" i="18"/>
  <c r="JS69" i="18"/>
  <c r="IV69" i="18"/>
  <c r="ER69" i="18"/>
  <c r="CU69" i="18"/>
  <c r="MI69" i="18"/>
  <c r="JT69" i="18"/>
  <c r="LE69" i="18"/>
  <c r="GY69" i="18"/>
  <c r="FC69" i="18"/>
  <c r="QR69" i="18"/>
  <c r="GZ69" i="18"/>
  <c r="IE69" i="18"/>
  <c r="GB69" i="18"/>
  <c r="TQ69" i="18"/>
  <c r="BW69" i="18"/>
  <c r="UI69" i="18"/>
  <c r="IO69" i="18"/>
  <c r="QA69" i="18"/>
  <c r="LP69" i="18"/>
  <c r="JC69" i="18"/>
  <c r="AT69" i="18"/>
  <c r="EL69" i="18"/>
  <c r="DT69" i="18"/>
  <c r="SN69" i="18"/>
  <c r="NY69" i="18"/>
  <c r="UD69" i="18"/>
  <c r="MU69" i="18"/>
  <c r="JB69" i="18"/>
  <c r="FJ69" i="18"/>
  <c r="TY69" i="18"/>
  <c r="PT69" i="18"/>
  <c r="KL69" i="18"/>
  <c r="BA69" i="18"/>
  <c r="RD69" i="18"/>
  <c r="NF69" i="18"/>
  <c r="WS69" i="18"/>
  <c r="NX69" i="18"/>
  <c r="FU69" i="18"/>
  <c r="JI69" i="18"/>
  <c r="EE69" i="18"/>
  <c r="PA69" i="18"/>
  <c r="GC69" i="18"/>
  <c r="QX69" i="18"/>
  <c r="DS69" i="18"/>
  <c r="WX69" i="18"/>
  <c r="TE69" i="18"/>
  <c r="LW69" i="18"/>
  <c r="ID69" i="18"/>
  <c r="EK69" i="18"/>
  <c r="TM69" i="18"/>
  <c r="OD69" i="18"/>
  <c r="IU69" i="18"/>
  <c r="UK69" i="18"/>
  <c r="PY69" i="18"/>
  <c r="LO69" i="18"/>
  <c r="TS69" i="18"/>
  <c r="KE69" i="18"/>
  <c r="CC69" i="18"/>
  <c r="IQ69" i="18"/>
  <c r="AN69" i="18"/>
  <c r="KR69" i="18"/>
  <c r="SO69" i="18"/>
  <c r="LD69" i="18"/>
  <c r="QM69" i="18"/>
  <c r="MS69" i="18"/>
  <c r="JA69" i="18"/>
  <c r="BS69" i="18"/>
  <c r="TW69" i="18"/>
  <c r="PS69" i="18"/>
  <c r="FE69" i="18"/>
  <c r="AZ69" i="18"/>
  <c r="RC69" i="18"/>
  <c r="CW69" i="18"/>
  <c r="WR69" i="18"/>
  <c r="NW69" i="18"/>
  <c r="SC69" i="18"/>
  <c r="JH69" i="18"/>
  <c r="EF69" i="18"/>
  <c r="BY69" i="18"/>
  <c r="GA69" i="18"/>
  <c r="QW69" i="18"/>
  <c r="WW69" i="18"/>
  <c r="PO69" i="18"/>
  <c r="LV69" i="18"/>
  <c r="IC69" i="18"/>
  <c r="AU69" i="18"/>
  <c r="TL69" i="18"/>
  <c r="OC69" i="18"/>
  <c r="ES69" i="18"/>
  <c r="UJ69" i="18"/>
  <c r="PZ69" i="18"/>
  <c r="CK69" i="18"/>
  <c r="TR69" i="18"/>
  <c r="KF69" i="18"/>
  <c r="QS69" i="18"/>
  <c r="IP69" i="18"/>
  <c r="AM69" i="18"/>
  <c r="UQ69" i="18"/>
  <c r="SM69" i="18"/>
  <c r="LC69" i="18"/>
  <c r="UE69" i="18"/>
  <c r="QK69" i="18"/>
  <c r="FK69" i="18"/>
  <c r="BQ69" i="18"/>
  <c r="KM69" i="18"/>
  <c r="FD69" i="18"/>
  <c r="NG69" i="18"/>
  <c r="CV69" i="18"/>
  <c r="FW69" i="18"/>
  <c r="SA69" i="18"/>
  <c r="PC69" i="18"/>
  <c r="BX69" i="18"/>
  <c r="DU69" i="18"/>
  <c r="TG69" i="18"/>
  <c r="PN69" i="18"/>
  <c r="EM69" i="18"/>
  <c r="AS69" i="18"/>
  <c r="IW69" i="18"/>
  <c r="EQ69" i="18"/>
  <c r="LQ69" i="18"/>
  <c r="CJ69" i="18"/>
  <c r="CE69" i="18"/>
  <c r="QQ69" i="18"/>
  <c r="KS69" i="18"/>
  <c r="UP69" i="18"/>
  <c r="XH70" i="18"/>
  <c r="WJ70" i="18"/>
  <c r="VL70" i="18"/>
  <c r="UN70" i="18"/>
  <c r="TP70" i="18"/>
  <c r="SR70" i="18"/>
  <c r="RT70" i="18"/>
  <c r="QV70" i="18"/>
  <c r="PX70" i="18"/>
  <c r="OZ70" i="18"/>
  <c r="OB70" i="18"/>
  <c r="ND70" i="18"/>
  <c r="MF70" i="18"/>
  <c r="LH70" i="18"/>
  <c r="KJ70" i="18"/>
  <c r="JL70" i="18"/>
  <c r="IN70" i="18"/>
  <c r="HP70" i="18"/>
  <c r="GR70" i="18"/>
  <c r="FT70" i="18"/>
  <c r="EV70" i="18"/>
  <c r="DX70" i="18"/>
  <c r="CZ70" i="18"/>
  <c r="CB70" i="18"/>
  <c r="BD70" i="18"/>
  <c r="WV70" i="18"/>
  <c r="VF70" i="18"/>
  <c r="UT70" i="18"/>
  <c r="TD70" i="18"/>
  <c r="RN70" i="18"/>
  <c r="RB70" i="18"/>
  <c r="PL70" i="18"/>
  <c r="NV70" i="18"/>
  <c r="NJ70" i="18"/>
  <c r="LT70" i="18"/>
  <c r="KD70" i="18"/>
  <c r="JR70" i="18"/>
  <c r="IB70" i="18"/>
  <c r="GL70" i="18"/>
  <c r="FZ70" i="18"/>
  <c r="EJ70" i="18"/>
  <c r="CT70" i="18"/>
  <c r="CH70" i="18"/>
  <c r="AR70" i="18"/>
  <c r="VR70" i="18"/>
  <c r="UB70" i="18"/>
  <c r="SX70" i="18"/>
  <c r="SL70" i="18"/>
  <c r="RH70" i="18"/>
  <c r="QD70" i="18"/>
  <c r="PR70" i="18"/>
  <c r="ON70" i="18"/>
  <c r="MX70" i="18"/>
  <c r="GX70" i="18"/>
  <c r="FH70" i="18"/>
  <c r="ED70" i="18"/>
  <c r="DR70" i="18"/>
  <c r="CN70" i="18"/>
  <c r="BJ70" i="18"/>
  <c r="AX70" i="18"/>
  <c r="WP70" i="18"/>
  <c r="VX70" i="18"/>
  <c r="SF70" i="18"/>
  <c r="OT70" i="18"/>
  <c r="ML70" i="18"/>
  <c r="LB70" i="18"/>
  <c r="IT70" i="18"/>
  <c r="HJ70" i="18"/>
  <c r="FB70" i="18"/>
  <c r="BP70" i="18"/>
  <c r="UZ70" i="18"/>
  <c r="UH70" i="18"/>
  <c r="QP70" i="18"/>
  <c r="PF70" i="18"/>
  <c r="LN70" i="18"/>
  <c r="KV70" i="18"/>
  <c r="HV70" i="18"/>
  <c r="HD70" i="18"/>
  <c r="DL70" i="18"/>
  <c r="TJ70" i="18"/>
  <c r="RZ70" i="18"/>
  <c r="NP70" i="18"/>
  <c r="KP70" i="18"/>
  <c r="JF70" i="18"/>
  <c r="GF70" i="18"/>
  <c r="BV70" i="18"/>
  <c r="AL70" i="18"/>
  <c r="WD70" i="18"/>
  <c r="QJ70" i="18"/>
  <c r="LZ70" i="18"/>
  <c r="IZ70" i="18"/>
  <c r="EP70" i="18"/>
  <c r="DF70" i="18"/>
  <c r="XB70" i="18"/>
  <c r="OH70" i="18"/>
  <c r="JX70" i="18"/>
  <c r="FN70" i="18"/>
  <c r="MR70" i="18"/>
  <c r="TV70" i="18"/>
  <c r="IH70" i="18"/>
  <c r="XA70" i="18"/>
  <c r="WC70" i="18"/>
  <c r="VE70" i="18"/>
  <c r="UG70" i="18"/>
  <c r="TI70" i="18"/>
  <c r="SK70" i="18"/>
  <c r="RM70" i="18"/>
  <c r="QO70" i="18"/>
  <c r="PQ70" i="18"/>
  <c r="OS70" i="18"/>
  <c r="NU70" i="18"/>
  <c r="MW70" i="18"/>
  <c r="LY70" i="18"/>
  <c r="LA70" i="18"/>
  <c r="LD70" i="18" s="1"/>
  <c r="KC70" i="18"/>
  <c r="JE70" i="18"/>
  <c r="IG70" i="18"/>
  <c r="HI70" i="18"/>
  <c r="GK70" i="18"/>
  <c r="GM70" i="18" s="1"/>
  <c r="FM70" i="18"/>
  <c r="EO70" i="18"/>
  <c r="DQ70" i="18"/>
  <c r="CS70" i="18"/>
  <c r="BU70" i="18"/>
  <c r="AW70" i="18"/>
  <c r="XG70" i="18"/>
  <c r="VQ70" i="18"/>
  <c r="UA70" i="18"/>
  <c r="TO70" i="18"/>
  <c r="RY70" i="18"/>
  <c r="QI70" i="18"/>
  <c r="PW70" i="18"/>
  <c r="OG70" i="18"/>
  <c r="MQ70" i="18"/>
  <c r="MT70" i="18" s="1"/>
  <c r="ME70" i="18"/>
  <c r="KO70" i="18"/>
  <c r="IY70" i="18"/>
  <c r="IM70" i="18"/>
  <c r="GW70" i="18"/>
  <c r="FG70" i="18"/>
  <c r="EU70" i="18"/>
  <c r="DE70" i="18"/>
  <c r="BO70" i="18"/>
  <c r="BC70" i="18"/>
  <c r="WU70" i="18"/>
  <c r="QU70" i="18"/>
  <c r="PE70" i="18"/>
  <c r="OA70" i="18"/>
  <c r="NO70" i="18"/>
  <c r="MK70" i="18"/>
  <c r="LG70" i="18"/>
  <c r="KU70" i="18"/>
  <c r="JQ70" i="18"/>
  <c r="IA70" i="18"/>
  <c r="CA70" i="18"/>
  <c r="AK70" i="18"/>
  <c r="UM70" i="18"/>
  <c r="TU70" i="18"/>
  <c r="TC70" i="18"/>
  <c r="QC70" i="18"/>
  <c r="PK70" i="18"/>
  <c r="LS70" i="18"/>
  <c r="KI70" i="18"/>
  <c r="GQ70" i="18"/>
  <c r="FY70" i="18"/>
  <c r="CY70" i="18"/>
  <c r="CG70" i="18"/>
  <c r="CI70" i="18" s="1"/>
  <c r="WO70" i="18"/>
  <c r="VW70" i="18"/>
  <c r="SW70" i="18"/>
  <c r="SE70" i="18"/>
  <c r="OM70" i="18"/>
  <c r="NC70" i="18"/>
  <c r="JK70" i="18"/>
  <c r="IS70" i="18"/>
  <c r="FS70" i="18"/>
  <c r="FA70" i="18"/>
  <c r="EI70" i="18"/>
  <c r="BI70" i="18"/>
  <c r="AQ70" i="18"/>
  <c r="AT70" i="18" s="1"/>
  <c r="WI70" i="18"/>
  <c r="UY70" i="18"/>
  <c r="OY70" i="18"/>
  <c r="HU70" i="18"/>
  <c r="DK70" i="18"/>
  <c r="US70" i="18"/>
  <c r="RS70" i="18"/>
  <c r="NI70" i="18"/>
  <c r="HO70" i="18"/>
  <c r="GE70" i="18"/>
  <c r="SQ70" i="18"/>
  <c r="RG70" i="18"/>
  <c r="LM70" i="18"/>
  <c r="HC70" i="18"/>
  <c r="EC70" i="18"/>
  <c r="RA70" i="18"/>
  <c r="VK70" i="18"/>
  <c r="JW70" i="18"/>
  <c r="DW70" i="18"/>
  <c r="CM70" i="18"/>
  <c r="WT71" i="18"/>
  <c r="VV71" i="18"/>
  <c r="UX71" i="18"/>
  <c r="TZ71" i="18"/>
  <c r="TB71" i="18"/>
  <c r="SD71" i="18"/>
  <c r="RF71" i="18"/>
  <c r="QH71" i="18"/>
  <c r="PJ71" i="18"/>
  <c r="OL71" i="18"/>
  <c r="NN71" i="18"/>
  <c r="MP71" i="18"/>
  <c r="LR71" i="18"/>
  <c r="KT71" i="18"/>
  <c r="JV71" i="18"/>
  <c r="IX71" i="18"/>
  <c r="HZ71" i="18"/>
  <c r="HB71" i="18"/>
  <c r="GD71" i="18"/>
  <c r="FF71" i="18"/>
  <c r="EH71" i="18"/>
  <c r="DJ71" i="18"/>
  <c r="CL71" i="18"/>
  <c r="BN71" i="18"/>
  <c r="AP71" i="18"/>
  <c r="XF71" i="18"/>
  <c r="VP71" i="18"/>
  <c r="VD71" i="18"/>
  <c r="TN71" i="18"/>
  <c r="RX71" i="18"/>
  <c r="RL71" i="18"/>
  <c r="PV71" i="18"/>
  <c r="OF71" i="18"/>
  <c r="NT71" i="18"/>
  <c r="MD71" i="18"/>
  <c r="KN71" i="18"/>
  <c r="KB71" i="18"/>
  <c r="IL71" i="18"/>
  <c r="GV71" i="18"/>
  <c r="GJ71" i="18"/>
  <c r="ET71" i="18"/>
  <c r="DD71" i="18"/>
  <c r="CR71" i="18"/>
  <c r="BB71" i="18"/>
  <c r="SJ71" i="18"/>
  <c r="QT71" i="18"/>
  <c r="PP71" i="18"/>
  <c r="PD71" i="18"/>
  <c r="NZ71" i="18"/>
  <c r="MV71" i="18"/>
  <c r="MJ71" i="18"/>
  <c r="LF71" i="18"/>
  <c r="JP71" i="18"/>
  <c r="DP71" i="18"/>
  <c r="BZ71" i="18"/>
  <c r="AV71" i="18"/>
  <c r="AJ71" i="18"/>
  <c r="WZ71" i="18"/>
  <c r="WH71" i="18"/>
  <c r="TH71" i="18"/>
  <c r="SP71" i="18"/>
  <c r="OX71" i="18"/>
  <c r="LL71" i="18"/>
  <c r="JD71" i="18"/>
  <c r="HT71" i="18"/>
  <c r="FL71" i="18"/>
  <c r="EB71" i="18"/>
  <c r="BT71" i="18"/>
  <c r="WB71" i="18"/>
  <c r="VJ71" i="18"/>
  <c r="UR71" i="18"/>
  <c r="RR71" i="18"/>
  <c r="QZ71" i="18"/>
  <c r="NH71" i="18"/>
  <c r="LX71" i="18"/>
  <c r="IF71" i="18"/>
  <c r="HN71" i="18"/>
  <c r="EN71" i="18"/>
  <c r="DV71" i="18"/>
  <c r="TT71" i="18"/>
  <c r="KZ71" i="18"/>
  <c r="GP71" i="18"/>
  <c r="CF71" i="18"/>
  <c r="WN71" i="18"/>
  <c r="QN71" i="18"/>
  <c r="JJ71" i="18"/>
  <c r="EZ71" i="18"/>
  <c r="UL71" i="18"/>
  <c r="QB71" i="18"/>
  <c r="OR71" i="18"/>
  <c r="KH71" i="18"/>
  <c r="HH71" i="18"/>
  <c r="FX71" i="18"/>
  <c r="CX71" i="18"/>
  <c r="SV71" i="18"/>
  <c r="NB71" i="18"/>
  <c r="BH71" i="18"/>
  <c r="FR71" i="18"/>
  <c r="UF71" i="18"/>
  <c r="IR71" i="18"/>
  <c r="S66" i="18"/>
  <c r="U66" i="18" s="1"/>
  <c r="R68" i="18"/>
  <c r="P68" i="18"/>
  <c r="S67" i="18" s="1"/>
  <c r="Q68" i="18"/>
  <c r="B137" i="9"/>
  <c r="I137" i="9" s="1"/>
  <c r="B137" i="1"/>
  <c r="B137" i="7"/>
  <c r="AL130" i="5"/>
  <c r="AD134" i="5"/>
  <c r="AG132" i="5"/>
  <c r="B139" i="5"/>
  <c r="K137" i="5"/>
  <c r="AE137" i="5"/>
  <c r="B136" i="5"/>
  <c r="K134" i="5"/>
  <c r="F132" i="5"/>
  <c r="R135" i="5"/>
  <c r="AJ132" i="5"/>
  <c r="R132" i="14"/>
  <c r="BP133" i="1"/>
  <c r="X133" i="7" s="1"/>
  <c r="BQ133" i="1"/>
  <c r="O133" i="1"/>
  <c r="O132" i="1"/>
  <c r="B135" i="14"/>
  <c r="T132" i="14"/>
  <c r="U132" i="14"/>
  <c r="S132" i="14"/>
  <c r="Q131" i="14"/>
  <c r="B136" i="9"/>
  <c r="B136" i="7"/>
  <c r="B138" i="8"/>
  <c r="B139" i="8"/>
  <c r="B70" i="15"/>
  <c r="B136" i="1"/>
  <c r="N134" i="1"/>
  <c r="B72" i="18"/>
  <c r="G72" i="18" s="1"/>
  <c r="O71" i="18"/>
  <c r="N71" i="18"/>
  <c r="R129" i="8" l="1"/>
  <c r="KW70" i="18"/>
  <c r="RW70" i="18"/>
  <c r="B143" i="19"/>
  <c r="G143" i="19" s="1"/>
  <c r="F141" i="19"/>
  <c r="K68" i="7"/>
  <c r="N69" i="7"/>
  <c r="L69" i="7"/>
  <c r="N68" i="7"/>
  <c r="K69" i="7"/>
  <c r="L68" i="7"/>
  <c r="E71" i="19"/>
  <c r="D70" i="19"/>
  <c r="G37" i="15"/>
  <c r="Q37" i="15"/>
  <c r="E71" i="8"/>
  <c r="P37" i="15"/>
  <c r="D70" i="8"/>
  <c r="R70" i="8" s="1"/>
  <c r="FC70" i="18"/>
  <c r="I134" i="9"/>
  <c r="J137" i="5"/>
  <c r="F137" i="5" s="1"/>
  <c r="L134" i="9"/>
  <c r="L135" i="9"/>
  <c r="M133" i="9"/>
  <c r="M132" i="9"/>
  <c r="J135" i="9"/>
  <c r="SI70" i="18"/>
  <c r="J134" i="9"/>
  <c r="H137" i="9"/>
  <c r="K137" i="9" s="1"/>
  <c r="OP70" i="18"/>
  <c r="IW70" i="18"/>
  <c r="G139" i="8"/>
  <c r="F139" i="8"/>
  <c r="F138" i="8"/>
  <c r="G138" i="8"/>
  <c r="J137" i="7"/>
  <c r="I137" i="7"/>
  <c r="H136" i="9"/>
  <c r="K136" i="9" s="1"/>
  <c r="J136" i="7"/>
  <c r="I136" i="7"/>
  <c r="HE70" i="18"/>
  <c r="U70" i="15"/>
  <c r="Y70" i="18" s="1"/>
  <c r="E70" i="15"/>
  <c r="D70" i="15"/>
  <c r="E72" i="18"/>
  <c r="D72" i="18"/>
  <c r="F72" i="18" s="1"/>
  <c r="LE70" i="18"/>
  <c r="JT70" i="18"/>
  <c r="JS70" i="18"/>
  <c r="I139" i="5"/>
  <c r="I136" i="5"/>
  <c r="J136" i="5" s="1"/>
  <c r="H136" i="1"/>
  <c r="I136" i="1" s="1"/>
  <c r="H137" i="1"/>
  <c r="I137" i="1" s="1"/>
  <c r="EX70" i="18"/>
  <c r="VG70" i="18"/>
  <c r="KK70" i="18"/>
  <c r="TS70" i="18"/>
  <c r="UI70" i="18"/>
  <c r="JI70" i="18"/>
  <c r="IC70" i="18"/>
  <c r="BL70" i="18"/>
  <c r="T70" i="15"/>
  <c r="FV70" i="18"/>
  <c r="PZ70" i="18"/>
  <c r="MI70" i="18"/>
  <c r="IP70" i="18"/>
  <c r="XK70" i="18"/>
  <c r="UD70" i="18"/>
  <c r="RI70" i="18"/>
  <c r="TG70" i="18"/>
  <c r="TQ70" i="18"/>
  <c r="EM70" i="18"/>
  <c r="JU70" i="18"/>
  <c r="TR70" i="18"/>
  <c r="BF70" i="18"/>
  <c r="UP70" i="18"/>
  <c r="PY70" i="18"/>
  <c r="GA70" i="18"/>
  <c r="BA70" i="18"/>
  <c r="XC70" i="18"/>
  <c r="JH70" i="18"/>
  <c r="QL70" i="18"/>
  <c r="VU70" i="18"/>
  <c r="NX70" i="18"/>
  <c r="HY70" i="18"/>
  <c r="WR70" i="18"/>
  <c r="OK70" i="18"/>
  <c r="JC70" i="18"/>
  <c r="MS70" i="18"/>
  <c r="QK70" i="18"/>
  <c r="MH70" i="18"/>
  <c r="GU70" i="18"/>
  <c r="QF70" i="18"/>
  <c r="UE70" i="18"/>
  <c r="FJ70" i="18"/>
  <c r="KQ70" i="18"/>
  <c r="GG70" i="18"/>
  <c r="XE70" i="18"/>
  <c r="AY70" i="18"/>
  <c r="GB70" i="18"/>
  <c r="UQ70" i="18"/>
  <c r="UC70" i="18"/>
  <c r="UO70" i="18"/>
  <c r="JG70" i="18"/>
  <c r="AZ70" i="18"/>
  <c r="EF70" i="18"/>
  <c r="CE70" i="18"/>
  <c r="GC70" i="18"/>
  <c r="JZ70" i="18"/>
  <c r="UV70" i="18"/>
  <c r="JO70" i="18"/>
  <c r="QX70" i="18"/>
  <c r="SM70" i="18"/>
  <c r="MU70" i="18"/>
  <c r="LC70" i="18"/>
  <c r="NE70" i="18"/>
  <c r="PN70" i="18"/>
  <c r="XD70" i="18"/>
  <c r="FU70" i="18"/>
  <c r="FW70" i="18"/>
  <c r="QA70" i="18"/>
  <c r="PI70" i="18"/>
  <c r="BQ70" i="18"/>
  <c r="QE70" i="18"/>
  <c r="QG70" i="18"/>
  <c r="HS70" i="18"/>
  <c r="WK70" i="18"/>
  <c r="VY70" i="18"/>
  <c r="WW70" i="18"/>
  <c r="CO70" i="18"/>
  <c r="NL70" i="18"/>
  <c r="BY70" i="18"/>
  <c r="DY70" i="18"/>
  <c r="SS70" i="18"/>
  <c r="PA70" i="18"/>
  <c r="LI70" i="18"/>
  <c r="PG70" i="18"/>
  <c r="BR70" i="18"/>
  <c r="GY70" i="18"/>
  <c r="CW70" i="18"/>
  <c r="KG70" i="18"/>
  <c r="RO70" i="18"/>
  <c r="OI70" i="18"/>
  <c r="JA70" i="18"/>
  <c r="AM70" i="18"/>
  <c r="KR70" i="18"/>
  <c r="FK70" i="18"/>
  <c r="GS70" i="18"/>
  <c r="BK70" i="18"/>
  <c r="JB70" i="18"/>
  <c r="FI70" i="18"/>
  <c r="PH70" i="18"/>
  <c r="AO70" i="18"/>
  <c r="RV70" i="18"/>
  <c r="GT70" i="18"/>
  <c r="MG70" i="18"/>
  <c r="OJ70" i="18"/>
  <c r="VA70" i="18"/>
  <c r="SY70" i="18"/>
  <c r="DA70" i="18"/>
  <c r="LU70" i="18"/>
  <c r="MN70" i="18"/>
  <c r="QM70" i="18"/>
  <c r="BS70" i="18"/>
  <c r="AN70" i="18"/>
  <c r="RU70" i="18"/>
  <c r="KS70" i="18"/>
  <c r="VO70" i="18"/>
  <c r="LO70" i="18"/>
  <c r="DO70" i="18"/>
  <c r="RC70" i="18"/>
  <c r="OC70" i="18"/>
  <c r="BM70" i="18"/>
  <c r="PS70" i="18"/>
  <c r="HK70" i="18"/>
  <c r="OU70" i="18"/>
  <c r="WG70" i="18"/>
  <c r="NS70" i="18"/>
  <c r="EQ70" i="18"/>
  <c r="II70" i="18"/>
  <c r="MA70" i="18"/>
  <c r="TK70" i="18"/>
  <c r="TY70" i="18"/>
  <c r="DH70" i="18"/>
  <c r="SA70" i="18"/>
  <c r="DT70" i="18"/>
  <c r="FO70" i="18"/>
  <c r="MZ70" i="18"/>
  <c r="QR70" i="18"/>
  <c r="WY70" i="18"/>
  <c r="TF70" i="18"/>
  <c r="PM70" i="18"/>
  <c r="IE70" i="18"/>
  <c r="EL70" i="18"/>
  <c r="AS70" i="18"/>
  <c r="OW70" i="18"/>
  <c r="JN70" i="18"/>
  <c r="EE70" i="18"/>
  <c r="SC70" i="18"/>
  <c r="IV70" i="18"/>
  <c r="EW70" i="18"/>
  <c r="IK70" i="18"/>
  <c r="XJ70" i="18"/>
  <c r="NW70" i="18"/>
  <c r="FE70" i="18"/>
  <c r="BX70" i="18"/>
  <c r="MY70" i="18"/>
  <c r="LK70" i="18"/>
  <c r="WA70" i="18"/>
  <c r="SH70" i="18"/>
  <c r="OO70" i="18"/>
  <c r="HG70" i="18"/>
  <c r="DN70" i="18"/>
  <c r="WQ70" i="18"/>
  <c r="NG70" i="18"/>
  <c r="HX70" i="18"/>
  <c r="DS70" i="18"/>
  <c r="MC70" i="18"/>
  <c r="HR70" i="18"/>
  <c r="DG70" i="18"/>
  <c r="ES70" i="18"/>
  <c r="TX70" i="18"/>
  <c r="MM70" i="18"/>
  <c r="TM70" i="18"/>
  <c r="VT70" i="18"/>
  <c r="IO70" i="18"/>
  <c r="FQ70" i="18"/>
  <c r="RK70" i="18"/>
  <c r="NR70" i="18"/>
  <c r="JY70" i="18"/>
  <c r="CQ70" i="18"/>
  <c r="WF70" i="18"/>
  <c r="QW70" i="18"/>
  <c r="HM70" i="18"/>
  <c r="CD70" i="18"/>
  <c r="UU70" i="18"/>
  <c r="GO70" i="18"/>
  <c r="VN70" i="18"/>
  <c r="NK70" i="18"/>
  <c r="RQ70" i="18"/>
  <c r="KF70" i="18"/>
  <c r="QQ70" i="18"/>
  <c r="UK70" i="18"/>
  <c r="CV70" i="18"/>
  <c r="BE70" i="18"/>
  <c r="WX70" i="18"/>
  <c r="TE70" i="18"/>
  <c r="LW70" i="18"/>
  <c r="ID70" i="18"/>
  <c r="EK70" i="18"/>
  <c r="TA70" i="18"/>
  <c r="OV70" i="18"/>
  <c r="JM70" i="18"/>
  <c r="WM70" i="18"/>
  <c r="SB70" i="18"/>
  <c r="IU70" i="18"/>
  <c r="RE70" i="18"/>
  <c r="IJ70" i="18"/>
  <c r="XI70" i="18"/>
  <c r="DC70" i="18"/>
  <c r="FD70" i="18"/>
  <c r="BW70" i="18"/>
  <c r="SU70" i="18"/>
  <c r="LJ70" i="18"/>
  <c r="VZ70" i="18"/>
  <c r="SG70" i="18"/>
  <c r="KY70" i="18"/>
  <c r="HF70" i="18"/>
  <c r="DM70" i="18"/>
  <c r="SO70" i="18"/>
  <c r="NF70" i="18"/>
  <c r="HW70" i="18"/>
  <c r="VI70" i="18"/>
  <c r="MB70" i="18"/>
  <c r="HQ70" i="18"/>
  <c r="OE70" i="18"/>
  <c r="ER70" i="18"/>
  <c r="TW70" i="18"/>
  <c r="CK70" i="18"/>
  <c r="TL70" i="18"/>
  <c r="VS70" i="18"/>
  <c r="HA70" i="18"/>
  <c r="FP70" i="18"/>
  <c r="VC70" i="18"/>
  <c r="RJ70" i="18"/>
  <c r="NQ70" i="18"/>
  <c r="GI70" i="18"/>
  <c r="CP70" i="18"/>
  <c r="WE70" i="18"/>
  <c r="LQ70" i="18"/>
  <c r="HL70" i="18"/>
  <c r="CC70" i="18"/>
  <c r="KM70" i="18"/>
  <c r="GN70" i="18"/>
  <c r="VM70" i="18"/>
  <c r="EA70" i="18"/>
  <c r="RP70" i="18"/>
  <c r="KE70" i="18"/>
  <c r="PC70" i="18"/>
  <c r="UJ70" i="18"/>
  <c r="CU70" i="18"/>
  <c r="PU70" i="18"/>
  <c r="PO70" i="18"/>
  <c r="LV70" i="18"/>
  <c r="AU70" i="18"/>
  <c r="SZ70" i="18"/>
  <c r="EG70" i="18"/>
  <c r="WL70" i="18"/>
  <c r="EY70" i="18"/>
  <c r="RD70" i="18"/>
  <c r="NY70" i="18"/>
  <c r="DB70" i="18"/>
  <c r="NA70" i="18"/>
  <c r="ST70" i="18"/>
  <c r="OQ70" i="18"/>
  <c r="KX70" i="18"/>
  <c r="WS70" i="18"/>
  <c r="SN70" i="18"/>
  <c r="DU70" i="18"/>
  <c r="VH70" i="18"/>
  <c r="DI70" i="18"/>
  <c r="OD70" i="18"/>
  <c r="MO70" i="18"/>
  <c r="CJ70" i="18"/>
  <c r="IQ70" i="18"/>
  <c r="GZ70" i="18"/>
  <c r="VB70" i="18"/>
  <c r="KA70" i="18"/>
  <c r="GH70" i="18"/>
  <c r="QY70" i="18"/>
  <c r="LP70" i="18"/>
  <c r="UW70" i="18"/>
  <c r="KL70" i="18"/>
  <c r="NM70" i="18"/>
  <c r="DZ70" i="18"/>
  <c r="QS70" i="18"/>
  <c r="PB70" i="18"/>
  <c r="BG70" i="18"/>
  <c r="PT70" i="18"/>
  <c r="WZ72" i="18"/>
  <c r="WB72" i="18"/>
  <c r="VD72" i="18"/>
  <c r="WN72" i="18"/>
  <c r="UX72" i="18"/>
  <c r="TZ72" i="18"/>
  <c r="TB72" i="18"/>
  <c r="SD72" i="18"/>
  <c r="RF72" i="18"/>
  <c r="QH72" i="18"/>
  <c r="PJ72" i="18"/>
  <c r="OL72" i="18"/>
  <c r="NN72" i="18"/>
  <c r="MP72" i="18"/>
  <c r="LR72" i="18"/>
  <c r="KT72" i="18"/>
  <c r="JV72" i="18"/>
  <c r="IX72" i="18"/>
  <c r="HZ72" i="18"/>
  <c r="HB72" i="18"/>
  <c r="GD72" i="18"/>
  <c r="FF72" i="18"/>
  <c r="EH72" i="18"/>
  <c r="DJ72" i="18"/>
  <c r="CL72" i="18"/>
  <c r="BN72" i="18"/>
  <c r="AP72" i="18"/>
  <c r="XF72" i="18"/>
  <c r="WT72" i="18"/>
  <c r="VP72" i="18"/>
  <c r="UR72" i="18"/>
  <c r="UF72" i="18"/>
  <c r="SP72" i="18"/>
  <c r="QZ72" i="18"/>
  <c r="QN72" i="18"/>
  <c r="OX72" i="18"/>
  <c r="NH72" i="18"/>
  <c r="MV72" i="18"/>
  <c r="LF72" i="18"/>
  <c r="JP72" i="18"/>
  <c r="JD72" i="18"/>
  <c r="HN72" i="18"/>
  <c r="FX72" i="18"/>
  <c r="FL72" i="18"/>
  <c r="DV72" i="18"/>
  <c r="CF72" i="18"/>
  <c r="BT72" i="18"/>
  <c r="VV72" i="18"/>
  <c r="UL72" i="18"/>
  <c r="TH72" i="18"/>
  <c r="SV72" i="18"/>
  <c r="RR72" i="18"/>
  <c r="QB72" i="18"/>
  <c r="KB72" i="18"/>
  <c r="IL72" i="18"/>
  <c r="HH72" i="18"/>
  <c r="GV72" i="18"/>
  <c r="FR72" i="18"/>
  <c r="EN72" i="18"/>
  <c r="EB72" i="18"/>
  <c r="CX72" i="18"/>
  <c r="BH72" i="18"/>
  <c r="RL72" i="18"/>
  <c r="QT72" i="18"/>
  <c r="NT72" i="18"/>
  <c r="NB72" i="18"/>
  <c r="MJ72" i="18"/>
  <c r="JJ72" i="18"/>
  <c r="IR72" i="18"/>
  <c r="EZ72" i="18"/>
  <c r="DP72" i="18"/>
  <c r="TN72" i="18"/>
  <c r="PV72" i="18"/>
  <c r="PD72" i="18"/>
  <c r="MD72" i="18"/>
  <c r="LL72" i="18"/>
  <c r="HT72" i="18"/>
  <c r="GJ72" i="18"/>
  <c r="CR72" i="18"/>
  <c r="BZ72" i="18"/>
  <c r="PP72" i="18"/>
  <c r="OF72" i="18"/>
  <c r="IF72" i="18"/>
  <c r="BB72" i="18"/>
  <c r="VJ72" i="18"/>
  <c r="TT72" i="18"/>
  <c r="SJ72" i="18"/>
  <c r="NZ72" i="18"/>
  <c r="KZ72" i="18"/>
  <c r="GP72" i="18"/>
  <c r="AV72" i="18"/>
  <c r="RX72" i="18"/>
  <c r="LX72" i="18"/>
  <c r="KN72" i="18"/>
  <c r="ET72" i="18"/>
  <c r="AJ72" i="18"/>
  <c r="WH72" i="18"/>
  <c r="KH72" i="18"/>
  <c r="DD72" i="18"/>
  <c r="OR72" i="18"/>
  <c r="XH71" i="18"/>
  <c r="WJ71" i="18"/>
  <c r="VL71" i="18"/>
  <c r="UN71" i="18"/>
  <c r="TP71" i="18"/>
  <c r="SR71" i="18"/>
  <c r="RT71" i="18"/>
  <c r="QV71" i="18"/>
  <c r="PX71" i="18"/>
  <c r="OZ71" i="18"/>
  <c r="OB71" i="18"/>
  <c r="ND71" i="18"/>
  <c r="MF71" i="18"/>
  <c r="LH71" i="18"/>
  <c r="KJ71" i="18"/>
  <c r="JL71" i="18"/>
  <c r="IN71" i="18"/>
  <c r="HP71" i="18"/>
  <c r="GR71" i="18"/>
  <c r="FT71" i="18"/>
  <c r="EV71" i="18"/>
  <c r="DX71" i="18"/>
  <c r="CZ71" i="18"/>
  <c r="CB71" i="18"/>
  <c r="BD71" i="18"/>
  <c r="VX71" i="18"/>
  <c r="UH71" i="18"/>
  <c r="TV71" i="18"/>
  <c r="SF71" i="18"/>
  <c r="QP71" i="18"/>
  <c r="QD71" i="18"/>
  <c r="ON71" i="18"/>
  <c r="MX71" i="18"/>
  <c r="ML71" i="18"/>
  <c r="KV71" i="18"/>
  <c r="JF71" i="18"/>
  <c r="IT71" i="18"/>
  <c r="HD71" i="18"/>
  <c r="FN71" i="18"/>
  <c r="FB71" i="18"/>
  <c r="DL71" i="18"/>
  <c r="BV71" i="18"/>
  <c r="BJ71" i="18"/>
  <c r="WP71" i="18"/>
  <c r="WD71" i="18"/>
  <c r="UZ71" i="18"/>
  <c r="TJ71" i="18"/>
  <c r="NJ71" i="18"/>
  <c r="LT71" i="18"/>
  <c r="KP71" i="18"/>
  <c r="KD71" i="18"/>
  <c r="IZ71" i="18"/>
  <c r="HV71" i="18"/>
  <c r="HJ71" i="18"/>
  <c r="GF71" i="18"/>
  <c r="EP71" i="18"/>
  <c r="UT71" i="18"/>
  <c r="UB71" i="18"/>
  <c r="RB71" i="18"/>
  <c r="QJ71" i="18"/>
  <c r="PR71" i="18"/>
  <c r="MR71" i="18"/>
  <c r="LZ71" i="18"/>
  <c r="IH71" i="18"/>
  <c r="GX71" i="18"/>
  <c r="DF71" i="18"/>
  <c r="CN71" i="18"/>
  <c r="WV71" i="18"/>
  <c r="TD71" i="18"/>
  <c r="SL71" i="18"/>
  <c r="PL71" i="18"/>
  <c r="OT71" i="18"/>
  <c r="LB71" i="18"/>
  <c r="JR71" i="18"/>
  <c r="FZ71" i="18"/>
  <c r="FH71" i="18"/>
  <c r="CH71" i="18"/>
  <c r="BP71" i="18"/>
  <c r="AX71" i="18"/>
  <c r="VF71" i="18"/>
  <c r="PF71" i="18"/>
  <c r="NV71" i="18"/>
  <c r="IB71" i="18"/>
  <c r="DR71" i="18"/>
  <c r="AR71" i="18"/>
  <c r="RZ71" i="18"/>
  <c r="NP71" i="18"/>
  <c r="GL71" i="18"/>
  <c r="AL71" i="18"/>
  <c r="SX71" i="18"/>
  <c r="RN71" i="18"/>
  <c r="LN71" i="18"/>
  <c r="EJ71" i="18"/>
  <c r="XB71" i="18"/>
  <c r="RH71" i="18"/>
  <c r="VR71" i="18"/>
  <c r="JX71" i="18"/>
  <c r="ED71" i="18"/>
  <c r="CT71" i="18"/>
  <c r="OH71" i="18"/>
  <c r="XA71" i="18"/>
  <c r="WC71" i="18"/>
  <c r="VE71" i="18"/>
  <c r="UG71" i="18"/>
  <c r="TI71" i="18"/>
  <c r="SK71" i="18"/>
  <c r="RM71" i="18"/>
  <c r="QO71" i="18"/>
  <c r="PQ71" i="18"/>
  <c r="OS71" i="18"/>
  <c r="NU71" i="18"/>
  <c r="MW71" i="18"/>
  <c r="LY71" i="18"/>
  <c r="LA71" i="18"/>
  <c r="KC71" i="18"/>
  <c r="JE71" i="18"/>
  <c r="IG71" i="18"/>
  <c r="HI71" i="18"/>
  <c r="GK71" i="18"/>
  <c r="FM71" i="18"/>
  <c r="EO71" i="18"/>
  <c r="DQ71" i="18"/>
  <c r="CS71" i="18"/>
  <c r="CW71" i="18" s="1"/>
  <c r="BU71" i="18"/>
  <c r="AW71" i="18"/>
  <c r="WU71" i="18"/>
  <c r="WI71" i="18"/>
  <c r="US71" i="18"/>
  <c r="TC71" i="18"/>
  <c r="TF71" i="18" s="1"/>
  <c r="SQ71" i="18"/>
  <c r="RA71" i="18"/>
  <c r="RD71" i="18" s="1"/>
  <c r="PK71" i="18"/>
  <c r="OY71" i="18"/>
  <c r="NI71" i="18"/>
  <c r="LS71" i="18"/>
  <c r="LG71" i="18"/>
  <c r="JQ71" i="18"/>
  <c r="IA71" i="18"/>
  <c r="HO71" i="18"/>
  <c r="FY71" i="18"/>
  <c r="EI71" i="18"/>
  <c r="DW71" i="18"/>
  <c r="CG71" i="18"/>
  <c r="AQ71" i="18"/>
  <c r="XG71" i="18"/>
  <c r="VQ71" i="18"/>
  <c r="UM71" i="18"/>
  <c r="UA71" i="18"/>
  <c r="SW71" i="18"/>
  <c r="RS71" i="18"/>
  <c r="RG71" i="18"/>
  <c r="QC71" i="18"/>
  <c r="OM71" i="18"/>
  <c r="IM71" i="18"/>
  <c r="GW71" i="18"/>
  <c r="FS71" i="18"/>
  <c r="FG71" i="18"/>
  <c r="EC71" i="18"/>
  <c r="CY71" i="18"/>
  <c r="DC71" i="18" s="1"/>
  <c r="CM71" i="18"/>
  <c r="BI71" i="18"/>
  <c r="VK71" i="18"/>
  <c r="RY71" i="18"/>
  <c r="OG71" i="18"/>
  <c r="NO71" i="18"/>
  <c r="KO71" i="18"/>
  <c r="JW71" i="18"/>
  <c r="GE71" i="18"/>
  <c r="EU71" i="18"/>
  <c r="EX71" i="18" s="1"/>
  <c r="BC71" i="18"/>
  <c r="AK71" i="18"/>
  <c r="TU71" i="18"/>
  <c r="QI71" i="18"/>
  <c r="OA71" i="18"/>
  <c r="MQ71" i="18"/>
  <c r="KI71" i="18"/>
  <c r="IY71" i="18"/>
  <c r="GQ71" i="18"/>
  <c r="DE71" i="18"/>
  <c r="WO71" i="18"/>
  <c r="SE71" i="18"/>
  <c r="SH71" i="18" s="1"/>
  <c r="QU71" i="18"/>
  <c r="MK71" i="18"/>
  <c r="JK71" i="18"/>
  <c r="FA71" i="18"/>
  <c r="UY71" i="18"/>
  <c r="VB71" i="18" s="1"/>
  <c r="TO71" i="18"/>
  <c r="PE71" i="18"/>
  <c r="ME71" i="18"/>
  <c r="MH71" i="18" s="1"/>
  <c r="KU71" i="18"/>
  <c r="HU71" i="18"/>
  <c r="DK71" i="18"/>
  <c r="CA71" i="18"/>
  <c r="VW71" i="18"/>
  <c r="NC71" i="18"/>
  <c r="IS71" i="18"/>
  <c r="BO71" i="18"/>
  <c r="HC71" i="18"/>
  <c r="HE71" i="18" s="1"/>
  <c r="LM71" i="18"/>
  <c r="PW71" i="18"/>
  <c r="T67" i="18"/>
  <c r="U67" i="18" s="1"/>
  <c r="R69" i="18"/>
  <c r="P69" i="18"/>
  <c r="S68" i="18" s="1"/>
  <c r="Q69" i="18"/>
  <c r="B139" i="7"/>
  <c r="B139" i="9"/>
  <c r="I139" i="9" s="1"/>
  <c r="B139" i="1"/>
  <c r="AD136" i="5"/>
  <c r="Q132" i="5"/>
  <c r="U132" i="5" s="1"/>
  <c r="AJ134" i="5"/>
  <c r="AG135" i="5"/>
  <c r="AL132" i="5"/>
  <c r="B138" i="5"/>
  <c r="K136" i="5"/>
  <c r="Q135" i="5"/>
  <c r="U135" i="5" s="1"/>
  <c r="F134" i="5"/>
  <c r="B141" i="5"/>
  <c r="K139" i="5"/>
  <c r="AE139" i="5"/>
  <c r="R134" i="5"/>
  <c r="R137" i="5"/>
  <c r="R133" i="14"/>
  <c r="BP135" i="1"/>
  <c r="X135" i="7" s="1"/>
  <c r="BQ135" i="1"/>
  <c r="O135" i="1"/>
  <c r="O134" i="1"/>
  <c r="S133" i="14"/>
  <c r="U133" i="14"/>
  <c r="T133" i="14"/>
  <c r="Q132" i="14"/>
  <c r="B136" i="14"/>
  <c r="B140" i="8"/>
  <c r="B138" i="7"/>
  <c r="B138" i="9"/>
  <c r="B138" i="1"/>
  <c r="N136" i="1"/>
  <c r="B141" i="8"/>
  <c r="B71" i="15"/>
  <c r="B73" i="18"/>
  <c r="G73" i="18" s="1"/>
  <c r="O72" i="18"/>
  <c r="N72" i="18"/>
  <c r="G67" i="15" l="1"/>
  <c r="E131" i="19"/>
  <c r="D130" i="8"/>
  <c r="R130" i="8" s="1"/>
  <c r="Q67" i="15"/>
  <c r="P67" i="15"/>
  <c r="E131" i="8"/>
  <c r="D130" i="19"/>
  <c r="R131" i="8"/>
  <c r="Q137" i="5"/>
  <c r="U137" i="5" s="1"/>
  <c r="KF71" i="18"/>
  <c r="OI71" i="18"/>
  <c r="FU71" i="18"/>
  <c r="PS71" i="18"/>
  <c r="VY71" i="18"/>
  <c r="HM71" i="18"/>
  <c r="B145" i="19"/>
  <c r="G145" i="19" s="1"/>
  <c r="F143" i="19"/>
  <c r="N71" i="7"/>
  <c r="N70" i="7"/>
  <c r="K71" i="7"/>
  <c r="K70" i="7"/>
  <c r="L71" i="7"/>
  <c r="L70" i="7"/>
  <c r="E73" i="19"/>
  <c r="D72" i="19"/>
  <c r="G38" i="15"/>
  <c r="E73" i="8"/>
  <c r="Q38" i="15"/>
  <c r="P38" i="15"/>
  <c r="D72" i="8"/>
  <c r="R72" i="8" s="1"/>
  <c r="EL71" i="18"/>
  <c r="SO71" i="18"/>
  <c r="I136" i="9"/>
  <c r="J139" i="5"/>
  <c r="F139" i="5" s="1"/>
  <c r="I141" i="5"/>
  <c r="L137" i="9"/>
  <c r="L136" i="9"/>
  <c r="M135" i="9"/>
  <c r="M134" i="9"/>
  <c r="TW71" i="18"/>
  <c r="SU71" i="18"/>
  <c r="J137" i="9"/>
  <c r="J136" i="9"/>
  <c r="H139" i="9"/>
  <c r="K139" i="9" s="1"/>
  <c r="F141" i="8"/>
  <c r="G141" i="8"/>
  <c r="F140" i="8"/>
  <c r="G140" i="8"/>
  <c r="I139" i="7"/>
  <c r="J139" i="7"/>
  <c r="H138" i="9"/>
  <c r="K138" i="9" s="1"/>
  <c r="I138" i="7"/>
  <c r="J138" i="7"/>
  <c r="U71" i="15"/>
  <c r="Y71" i="18" s="1"/>
  <c r="D71" i="15"/>
  <c r="E71" i="15"/>
  <c r="D73" i="18"/>
  <c r="F73" i="18" s="1"/>
  <c r="E73" i="18"/>
  <c r="XJ71" i="18"/>
  <c r="RJ71" i="18"/>
  <c r="I138" i="5"/>
  <c r="J138" i="5" s="1"/>
  <c r="H138" i="1"/>
  <c r="I138" i="1" s="1"/>
  <c r="H139" i="1"/>
  <c r="I139" i="1" s="1"/>
  <c r="JG71" i="18"/>
  <c r="JN71" i="18"/>
  <c r="WQ71" i="18"/>
  <c r="RO71" i="18"/>
  <c r="EF71" i="18"/>
  <c r="KS71" i="18"/>
  <c r="DY71" i="18"/>
  <c r="T71" i="15"/>
  <c r="AD138" i="5"/>
  <c r="HW71" i="18"/>
  <c r="TS71" i="18"/>
  <c r="AN71" i="18"/>
  <c r="JY71" i="18"/>
  <c r="GZ71" i="18"/>
  <c r="CJ71" i="18"/>
  <c r="LW71" i="18"/>
  <c r="QM71" i="18"/>
  <c r="UP71" i="18"/>
  <c r="JB71" i="18"/>
  <c r="GO71" i="18"/>
  <c r="VG71" i="18"/>
  <c r="II71" i="18"/>
  <c r="AY71" i="18"/>
  <c r="PY71" i="18"/>
  <c r="TL71" i="18"/>
  <c r="BF71" i="18"/>
  <c r="IP71" i="18"/>
  <c r="BA71" i="18"/>
  <c r="TK71" i="18"/>
  <c r="IU71" i="18"/>
  <c r="DN71" i="18"/>
  <c r="TM71" i="18"/>
  <c r="AZ71" i="18"/>
  <c r="KY71" i="18"/>
  <c r="GS71" i="18"/>
  <c r="OC71" i="18"/>
  <c r="VN71" i="18"/>
  <c r="RU71" i="18"/>
  <c r="NS71" i="18"/>
  <c r="BK71" i="18"/>
  <c r="MC71" i="18"/>
  <c r="PG71" i="18"/>
  <c r="KM71" i="18"/>
  <c r="GH71" i="18"/>
  <c r="QF71" i="18"/>
  <c r="CP71" i="18"/>
  <c r="FO71" i="18"/>
  <c r="AT71" i="18"/>
  <c r="GC71" i="18"/>
  <c r="PN71" i="18"/>
  <c r="UV71" i="18"/>
  <c r="MY71" i="18"/>
  <c r="UJ71" i="18"/>
  <c r="BR71" i="18"/>
  <c r="MU71" i="18"/>
  <c r="BS71" i="18"/>
  <c r="UE71" i="18"/>
  <c r="LK71" i="18"/>
  <c r="BY71" i="18"/>
  <c r="QR71" i="18"/>
  <c r="MN71" i="18"/>
  <c r="DH71" i="18"/>
  <c r="MT71" i="18"/>
  <c r="HS71" i="18"/>
  <c r="WM71" i="18"/>
  <c r="JH71" i="18"/>
  <c r="RV71" i="18"/>
  <c r="BE71" i="18"/>
  <c r="RW71" i="18"/>
  <c r="HK71" i="18"/>
  <c r="KQ71" i="18"/>
  <c r="MS71" i="18"/>
  <c r="IC71" i="18"/>
  <c r="BQ71" i="18"/>
  <c r="LC71" i="18"/>
  <c r="WF71" i="18"/>
  <c r="PZ71" i="18"/>
  <c r="PH71" i="18"/>
  <c r="GM71" i="18"/>
  <c r="VH71" i="18"/>
  <c r="FK71" i="18"/>
  <c r="IJ71" i="18"/>
  <c r="QK71" i="18"/>
  <c r="JA71" i="18"/>
  <c r="UO71" i="18"/>
  <c r="TX71" i="18"/>
  <c r="UC71" i="18"/>
  <c r="QL71" i="18"/>
  <c r="JC71" i="18"/>
  <c r="FI71" i="18"/>
  <c r="QA71" i="18"/>
  <c r="GN71" i="18"/>
  <c r="PI71" i="18"/>
  <c r="LI71" i="18"/>
  <c r="JI71" i="18"/>
  <c r="BW71" i="18"/>
  <c r="TY71" i="18"/>
  <c r="UQ71" i="18"/>
  <c r="QY71" i="18"/>
  <c r="VU71" i="18"/>
  <c r="NL71" i="18"/>
  <c r="WW71" i="18"/>
  <c r="DT71" i="18"/>
  <c r="OV71" i="18"/>
  <c r="UD71" i="18"/>
  <c r="FJ71" i="18"/>
  <c r="VI71" i="18"/>
  <c r="KR71" i="18"/>
  <c r="BG71" i="18"/>
  <c r="LJ71" i="18"/>
  <c r="BX71" i="18"/>
  <c r="IK71" i="18"/>
  <c r="HL71" i="18"/>
  <c r="CD71" i="18"/>
  <c r="FD71" i="18"/>
  <c r="OP71" i="18"/>
  <c r="SY71" i="18"/>
  <c r="JT71" i="18"/>
  <c r="PC71" i="18"/>
  <c r="ES71" i="18"/>
  <c r="WS71" i="18"/>
  <c r="LO71" i="18"/>
  <c r="NG71" i="18"/>
  <c r="SC71" i="18"/>
  <c r="NW71" i="18"/>
  <c r="NF71" i="18"/>
  <c r="IW71" i="18"/>
  <c r="XD71" i="18"/>
  <c r="WR71" i="18"/>
  <c r="NE71" i="18"/>
  <c r="IV71" i="18"/>
  <c r="WX71" i="18"/>
  <c r="PO71" i="18"/>
  <c r="LU71" i="18"/>
  <c r="ID71" i="18"/>
  <c r="AU71" i="18"/>
  <c r="TQ71" i="18"/>
  <c r="OJ71" i="18"/>
  <c r="EY71" i="18"/>
  <c r="SM71" i="18"/>
  <c r="OD71" i="18"/>
  <c r="AO71" i="18"/>
  <c r="SS71" i="18"/>
  <c r="HX71" i="18"/>
  <c r="RE71" i="18"/>
  <c r="HQ71" i="18"/>
  <c r="LD71" i="18"/>
  <c r="QG71" i="18"/>
  <c r="GA71" i="18"/>
  <c r="BL71" i="18"/>
  <c r="VZ71" i="18"/>
  <c r="OQ71" i="18"/>
  <c r="KW71" i="18"/>
  <c r="HF71" i="18"/>
  <c r="XK71" i="18"/>
  <c r="SA71" i="18"/>
  <c r="NX71" i="18"/>
  <c r="DI71" i="18"/>
  <c r="QW71" i="18"/>
  <c r="MZ71" i="18"/>
  <c r="XE71" i="18"/>
  <c r="PA71" i="18"/>
  <c r="FP71" i="18"/>
  <c r="NM71" i="18"/>
  <c r="EQ71" i="18"/>
  <c r="GT71" i="18"/>
  <c r="OW71" i="18"/>
  <c r="DA71" i="18"/>
  <c r="FV71" i="18"/>
  <c r="RK71" i="18"/>
  <c r="NQ71" i="18"/>
  <c r="JZ71" i="18"/>
  <c r="CQ71" i="18"/>
  <c r="VS71" i="18"/>
  <c r="RP71" i="18"/>
  <c r="HA71" i="18"/>
  <c r="CU71" i="18"/>
  <c r="PT71" i="18"/>
  <c r="CE71" i="18"/>
  <c r="WK71" i="18"/>
  <c r="LP71" i="18"/>
  <c r="UW71" i="18"/>
  <c r="MA71" i="18"/>
  <c r="DZ71" i="18"/>
  <c r="FE71" i="18"/>
  <c r="KK71" i="18"/>
  <c r="SZ71" i="18"/>
  <c r="WP72" i="18"/>
  <c r="VR72" i="18"/>
  <c r="XH72" i="18"/>
  <c r="WV72" i="18"/>
  <c r="VF72" i="18"/>
  <c r="UN72" i="18"/>
  <c r="TP72" i="18"/>
  <c r="SR72" i="18"/>
  <c r="RT72" i="18"/>
  <c r="QV72" i="18"/>
  <c r="PX72" i="18"/>
  <c r="OZ72" i="18"/>
  <c r="OB72" i="18"/>
  <c r="ND72" i="18"/>
  <c r="MF72" i="18"/>
  <c r="LH72" i="18"/>
  <c r="KJ72" i="18"/>
  <c r="JL72" i="18"/>
  <c r="IN72" i="18"/>
  <c r="HP72" i="18"/>
  <c r="GR72" i="18"/>
  <c r="FT72" i="18"/>
  <c r="EV72" i="18"/>
  <c r="DX72" i="18"/>
  <c r="CZ72" i="18"/>
  <c r="CB72" i="18"/>
  <c r="BD72" i="18"/>
  <c r="WD72" i="18"/>
  <c r="UZ72" i="18"/>
  <c r="TJ72" i="18"/>
  <c r="SX72" i="18"/>
  <c r="RH72" i="18"/>
  <c r="PR72" i="18"/>
  <c r="PF72" i="18"/>
  <c r="NP72" i="18"/>
  <c r="LZ72" i="18"/>
  <c r="LN72" i="18"/>
  <c r="JX72" i="18"/>
  <c r="IH72" i="18"/>
  <c r="HV72" i="18"/>
  <c r="GF72" i="18"/>
  <c r="EP72" i="18"/>
  <c r="ED72" i="18"/>
  <c r="CN72" i="18"/>
  <c r="AX72" i="18"/>
  <c r="AL72" i="18"/>
  <c r="XB72" i="18"/>
  <c r="WJ72" i="18"/>
  <c r="TV72" i="18"/>
  <c r="SF72" i="18"/>
  <c r="RB72" i="18"/>
  <c r="QP72" i="18"/>
  <c r="PL72" i="18"/>
  <c r="OH72" i="18"/>
  <c r="NV72" i="18"/>
  <c r="MR72" i="18"/>
  <c r="LB72" i="18"/>
  <c r="FB72" i="18"/>
  <c r="DL72" i="18"/>
  <c r="CH72" i="18"/>
  <c r="BV72" i="18"/>
  <c r="AR72" i="18"/>
  <c r="VX72" i="18"/>
  <c r="UH72" i="18"/>
  <c r="RZ72" i="18"/>
  <c r="ON72" i="18"/>
  <c r="KV72" i="18"/>
  <c r="KD72" i="18"/>
  <c r="HD72" i="18"/>
  <c r="GL72" i="18"/>
  <c r="CT72" i="18"/>
  <c r="BJ72" i="18"/>
  <c r="UT72" i="18"/>
  <c r="UB72" i="18"/>
  <c r="QJ72" i="18"/>
  <c r="MX72" i="18"/>
  <c r="KP72" i="18"/>
  <c r="JF72" i="18"/>
  <c r="GX72" i="18"/>
  <c r="FN72" i="18"/>
  <c r="DF72" i="18"/>
  <c r="VL72" i="18"/>
  <c r="SL72" i="18"/>
  <c r="JR72" i="18"/>
  <c r="FH72" i="18"/>
  <c r="ML72" i="18"/>
  <c r="IB72" i="18"/>
  <c r="DR72" i="18"/>
  <c r="TD72" i="18"/>
  <c r="OT72" i="18"/>
  <c r="NJ72" i="18"/>
  <c r="IZ72" i="18"/>
  <c r="FZ72" i="18"/>
  <c r="BP72" i="18"/>
  <c r="HJ72" i="18"/>
  <c r="RN72" i="18"/>
  <c r="LT72" i="18"/>
  <c r="QD72" i="18"/>
  <c r="EJ72" i="18"/>
  <c r="IT72" i="18"/>
  <c r="WZ73" i="18"/>
  <c r="WB73" i="18"/>
  <c r="VD73" i="18"/>
  <c r="UF73" i="18"/>
  <c r="TH73" i="18"/>
  <c r="SJ73" i="18"/>
  <c r="RL73" i="18"/>
  <c r="QN73" i="18"/>
  <c r="PP73" i="18"/>
  <c r="OR73" i="18"/>
  <c r="NT73" i="18"/>
  <c r="MV73" i="18"/>
  <c r="LX73" i="18"/>
  <c r="KZ73" i="18"/>
  <c r="KB73" i="18"/>
  <c r="JD73" i="18"/>
  <c r="IF73" i="18"/>
  <c r="HH73" i="18"/>
  <c r="GJ73" i="18"/>
  <c r="FL73" i="18"/>
  <c r="EN73" i="18"/>
  <c r="DP73" i="18"/>
  <c r="CR73" i="18"/>
  <c r="BT73" i="18"/>
  <c r="AV73" i="18"/>
  <c r="XF73" i="18"/>
  <c r="VP73" i="18"/>
  <c r="TZ73" i="18"/>
  <c r="TN73" i="18"/>
  <c r="RX73" i="18"/>
  <c r="QH73" i="18"/>
  <c r="PV73" i="18"/>
  <c r="OF73" i="18"/>
  <c r="MP73" i="18"/>
  <c r="MD73" i="18"/>
  <c r="KN73" i="18"/>
  <c r="IX73" i="18"/>
  <c r="IL73" i="18"/>
  <c r="GV73" i="18"/>
  <c r="FF73" i="18"/>
  <c r="ET73" i="18"/>
  <c r="DD73" i="18"/>
  <c r="BN73" i="18"/>
  <c r="BB73" i="18"/>
  <c r="UL73" i="18"/>
  <c r="SV73" i="18"/>
  <c r="RR73" i="18"/>
  <c r="RF73" i="18"/>
  <c r="QB73" i="18"/>
  <c r="OX73" i="18"/>
  <c r="OL73" i="18"/>
  <c r="NH73" i="18"/>
  <c r="LR73" i="18"/>
  <c r="FR73" i="18"/>
  <c r="EB73" i="18"/>
  <c r="CX73" i="18"/>
  <c r="CL73" i="18"/>
  <c r="BH73" i="18"/>
  <c r="WT73" i="18"/>
  <c r="TT73" i="18"/>
  <c r="TB73" i="18"/>
  <c r="PJ73" i="18"/>
  <c r="NZ73" i="18"/>
  <c r="KH73" i="18"/>
  <c r="JP73" i="18"/>
  <c r="GP73" i="18"/>
  <c r="FX73" i="18"/>
  <c r="CF73" i="18"/>
  <c r="WH73" i="18"/>
  <c r="VJ73" i="18"/>
  <c r="KT73" i="18"/>
  <c r="JV73" i="18"/>
  <c r="IR73" i="18"/>
  <c r="HT73" i="18"/>
  <c r="DV73" i="18"/>
  <c r="BZ73" i="18"/>
  <c r="SD73" i="18"/>
  <c r="NN73" i="18"/>
  <c r="MJ73" i="18"/>
  <c r="LL73" i="18"/>
  <c r="JJ73" i="18"/>
  <c r="HN73" i="18"/>
  <c r="AP73" i="18"/>
  <c r="VV73" i="18"/>
  <c r="EH73" i="18"/>
  <c r="HZ73" i="18"/>
  <c r="GD73" i="18"/>
  <c r="AJ73" i="18"/>
  <c r="UX73" i="18"/>
  <c r="QZ73" i="18"/>
  <c r="PD73" i="18"/>
  <c r="NB73" i="18"/>
  <c r="LF73" i="18"/>
  <c r="DJ73" i="18"/>
  <c r="SP73" i="18"/>
  <c r="QT73" i="18"/>
  <c r="WN73" i="18"/>
  <c r="HB73" i="18"/>
  <c r="EZ73" i="18"/>
  <c r="UR73" i="18"/>
  <c r="XG72" i="18"/>
  <c r="WI72" i="18"/>
  <c r="VK72" i="18"/>
  <c r="WC72" i="18"/>
  <c r="VQ72" i="18"/>
  <c r="UG72" i="18"/>
  <c r="TI72" i="18"/>
  <c r="SK72" i="18"/>
  <c r="RM72" i="18"/>
  <c r="QO72" i="18"/>
  <c r="PQ72" i="18"/>
  <c r="OS72" i="18"/>
  <c r="NU72" i="18"/>
  <c r="MW72" i="18"/>
  <c r="LY72" i="18"/>
  <c r="LA72" i="18"/>
  <c r="KC72" i="18"/>
  <c r="JE72" i="18"/>
  <c r="IG72" i="18"/>
  <c r="II72" i="18" s="1"/>
  <c r="HI72" i="18"/>
  <c r="GK72" i="18"/>
  <c r="FM72" i="18"/>
  <c r="EO72" i="18"/>
  <c r="DQ72" i="18"/>
  <c r="DT72" i="18" s="1"/>
  <c r="CS72" i="18"/>
  <c r="BU72" i="18"/>
  <c r="AW72" i="18"/>
  <c r="TU72" i="18"/>
  <c r="SE72" i="18"/>
  <c r="RS72" i="18"/>
  <c r="QC72" i="18"/>
  <c r="OM72" i="18"/>
  <c r="OA72" i="18"/>
  <c r="MK72" i="18"/>
  <c r="MO72" i="18" s="1"/>
  <c r="KU72" i="18"/>
  <c r="KI72" i="18"/>
  <c r="IS72" i="18"/>
  <c r="HC72" i="18"/>
  <c r="GQ72" i="18"/>
  <c r="FA72" i="18"/>
  <c r="DK72" i="18"/>
  <c r="CY72" i="18"/>
  <c r="BI72" i="18"/>
  <c r="UY72" i="18"/>
  <c r="OY72" i="18"/>
  <c r="NI72" i="18"/>
  <c r="ME72" i="18"/>
  <c r="MG72" i="18" s="1"/>
  <c r="LS72" i="18"/>
  <c r="KO72" i="18"/>
  <c r="JK72" i="18"/>
  <c r="IY72" i="18"/>
  <c r="HU72" i="18"/>
  <c r="GE72" i="18"/>
  <c r="XA72" i="18"/>
  <c r="VE72" i="18"/>
  <c r="TO72" i="18"/>
  <c r="SW72" i="18"/>
  <c r="PW72" i="18"/>
  <c r="PE72" i="18"/>
  <c r="LM72" i="18"/>
  <c r="IA72" i="18"/>
  <c r="FS72" i="18"/>
  <c r="FV72" i="18" s="1"/>
  <c r="EI72" i="18"/>
  <c r="EL72" i="18" s="1"/>
  <c r="CA72" i="18"/>
  <c r="AQ72" i="18"/>
  <c r="WU72" i="18"/>
  <c r="VW72" i="18"/>
  <c r="SQ72" i="18"/>
  <c r="RY72" i="18"/>
  <c r="RG72" i="18"/>
  <c r="OG72" i="18"/>
  <c r="NO72" i="18"/>
  <c r="JW72" i="18"/>
  <c r="IM72" i="18"/>
  <c r="EU72" i="18"/>
  <c r="EX72" i="18" s="1"/>
  <c r="EC72" i="18"/>
  <c r="BC72" i="18"/>
  <c r="AK72" i="18"/>
  <c r="UA72" i="18"/>
  <c r="RA72" i="18"/>
  <c r="MQ72" i="18"/>
  <c r="LG72" i="18"/>
  <c r="GW72" i="18"/>
  <c r="DW72" i="18"/>
  <c r="EA72" i="18" s="1"/>
  <c r="CM72" i="18"/>
  <c r="QU72" i="18"/>
  <c r="QX72" i="18" s="1"/>
  <c r="PK72" i="18"/>
  <c r="JQ72" i="18"/>
  <c r="JT72" i="18" s="1"/>
  <c r="FG72" i="18"/>
  <c r="CG72" i="18"/>
  <c r="WO72" i="18"/>
  <c r="US72" i="18"/>
  <c r="QI72" i="18"/>
  <c r="HO72" i="18"/>
  <c r="DE72" i="18"/>
  <c r="TC72" i="18"/>
  <c r="NC72" i="18"/>
  <c r="BO72" i="18"/>
  <c r="BR72" i="18" s="1"/>
  <c r="FY72" i="18"/>
  <c r="UM72" i="18"/>
  <c r="TG71" i="18"/>
  <c r="PM71" i="18"/>
  <c r="LV71" i="18"/>
  <c r="EM71" i="18"/>
  <c r="AS71" i="18"/>
  <c r="TR71" i="18"/>
  <c r="KG71" i="18"/>
  <c r="EW71" i="18"/>
  <c r="SN71" i="18"/>
  <c r="JU71" i="18"/>
  <c r="AM71" i="18"/>
  <c r="ST71" i="18"/>
  <c r="WG71" i="18"/>
  <c r="RC71" i="18"/>
  <c r="HR71" i="18"/>
  <c r="QS71" i="18"/>
  <c r="QE71" i="18"/>
  <c r="GB71" i="18"/>
  <c r="SI71" i="18"/>
  <c r="OO71" i="18"/>
  <c r="KX71" i="18"/>
  <c r="DO71" i="18"/>
  <c r="XI71" i="18"/>
  <c r="SB71" i="18"/>
  <c r="IQ71" i="18"/>
  <c r="DG71" i="18"/>
  <c r="QX71" i="18"/>
  <c r="DU71" i="18"/>
  <c r="XC71" i="18"/>
  <c r="PB71" i="18"/>
  <c r="VO71" i="18"/>
  <c r="NK71" i="18"/>
  <c r="ER71" i="18"/>
  <c r="JO71" i="18"/>
  <c r="OU71" i="18"/>
  <c r="DB71" i="18"/>
  <c r="VC71" i="18"/>
  <c r="RI71" i="18"/>
  <c r="NR71" i="18"/>
  <c r="GI71" i="18"/>
  <c r="CO71" i="18"/>
  <c r="VT71" i="18"/>
  <c r="MI71" i="18"/>
  <c r="GY71" i="18"/>
  <c r="CV71" i="18"/>
  <c r="MO71" i="18"/>
  <c r="CC71" i="18"/>
  <c r="WL71" i="18"/>
  <c r="EG71" i="18"/>
  <c r="UU71" i="18"/>
  <c r="MB71" i="18"/>
  <c r="CK71" i="18"/>
  <c r="FC71" i="18"/>
  <c r="KL71" i="18"/>
  <c r="UK71" i="18"/>
  <c r="WY71" i="18"/>
  <c r="TE71" i="18"/>
  <c r="IE71" i="18"/>
  <c r="EK71" i="18"/>
  <c r="OK71" i="18"/>
  <c r="KE71" i="18"/>
  <c r="OE71" i="18"/>
  <c r="JS71" i="18"/>
  <c r="HY71" i="18"/>
  <c r="WE71" i="18"/>
  <c r="LE71" i="18"/>
  <c r="QQ71" i="18"/>
  <c r="BM71" i="18"/>
  <c r="WA71" i="18"/>
  <c r="SG71" i="18"/>
  <c r="HG71" i="18"/>
  <c r="DM71" i="18"/>
  <c r="NY71" i="18"/>
  <c r="IO71" i="18"/>
  <c r="NA71" i="18"/>
  <c r="DS71" i="18"/>
  <c r="FQ71" i="18"/>
  <c r="VM71" i="18"/>
  <c r="GU71" i="18"/>
  <c r="JM71" i="18"/>
  <c r="FW71" i="18"/>
  <c r="VA71" i="18"/>
  <c r="KA71" i="18"/>
  <c r="GG71" i="18"/>
  <c r="RQ71" i="18"/>
  <c r="MG71" i="18"/>
  <c r="PU71" i="18"/>
  <c r="MM71" i="18"/>
  <c r="LQ71" i="18"/>
  <c r="EE71" i="18"/>
  <c r="EA71" i="18"/>
  <c r="CI71" i="18"/>
  <c r="TA71" i="18"/>
  <c r="UI71" i="18"/>
  <c r="T68" i="18"/>
  <c r="U68" i="18" s="1"/>
  <c r="Q70" i="18"/>
  <c r="P70" i="18"/>
  <c r="S69" i="18" s="1"/>
  <c r="R70" i="18"/>
  <c r="B141" i="9"/>
  <c r="I141" i="9" s="1"/>
  <c r="B141" i="1"/>
  <c r="B141" i="7"/>
  <c r="AJ136" i="5"/>
  <c r="AG137" i="5"/>
  <c r="R139" i="5"/>
  <c r="AG134" i="5"/>
  <c r="AL134" i="5" s="1"/>
  <c r="F136" i="5"/>
  <c r="R136" i="5"/>
  <c r="B143" i="5"/>
  <c r="K141" i="5"/>
  <c r="AE141" i="5"/>
  <c r="B140" i="5"/>
  <c r="K138" i="5"/>
  <c r="R134" i="14"/>
  <c r="G68" i="15" s="1"/>
  <c r="BQ137" i="1"/>
  <c r="BP137" i="1"/>
  <c r="X137" i="7" s="1"/>
  <c r="O137" i="1"/>
  <c r="O136" i="1"/>
  <c r="B137" i="14"/>
  <c r="U134" i="14"/>
  <c r="T134" i="14"/>
  <c r="S134" i="14"/>
  <c r="Q133" i="14"/>
  <c r="K131" i="7" s="1"/>
  <c r="B143" i="8"/>
  <c r="B72" i="15"/>
  <c r="B140" i="1"/>
  <c r="N138" i="1"/>
  <c r="B140" i="7"/>
  <c r="B140" i="9"/>
  <c r="B142" i="8"/>
  <c r="B74" i="18"/>
  <c r="G74" i="18" s="1"/>
  <c r="N73" i="18"/>
  <c r="O73" i="18"/>
  <c r="L130" i="7" l="1"/>
  <c r="L131" i="7"/>
  <c r="D132" i="8"/>
  <c r="R132" i="8" s="1"/>
  <c r="N131" i="7"/>
  <c r="K130" i="7"/>
  <c r="Q68" i="15"/>
  <c r="E133" i="8"/>
  <c r="D132" i="19"/>
  <c r="N130" i="7"/>
  <c r="P68" i="15"/>
  <c r="E133" i="19"/>
  <c r="R133" i="8"/>
  <c r="Q139" i="5"/>
  <c r="U139" i="5" s="1"/>
  <c r="JM72" i="18"/>
  <c r="FI72" i="18"/>
  <c r="KX72" i="18"/>
  <c r="AN72" i="18"/>
  <c r="B147" i="19"/>
  <c r="G147" i="19" s="1"/>
  <c r="F145" i="19"/>
  <c r="I143" i="5"/>
  <c r="J143" i="5" s="1"/>
  <c r="F143" i="5" s="1"/>
  <c r="K72" i="7"/>
  <c r="N73" i="7"/>
  <c r="L72" i="7"/>
  <c r="L73" i="7"/>
  <c r="N72" i="7"/>
  <c r="K73" i="7"/>
  <c r="E75" i="19"/>
  <c r="D74" i="19"/>
  <c r="G39" i="15"/>
  <c r="Q39" i="15"/>
  <c r="D74" i="8"/>
  <c r="R74" i="8" s="1"/>
  <c r="P39" i="15"/>
  <c r="E75" i="8"/>
  <c r="HY72" i="18"/>
  <c r="I138" i="9"/>
  <c r="ST72" i="18"/>
  <c r="J141" i="5"/>
  <c r="F141" i="5" s="1"/>
  <c r="GG72" i="18"/>
  <c r="M137" i="9"/>
  <c r="L139" i="9"/>
  <c r="L138" i="9"/>
  <c r="M136" i="9"/>
  <c r="JG72" i="18"/>
  <c r="J139" i="9"/>
  <c r="OD72" i="18"/>
  <c r="SB72" i="18"/>
  <c r="SC72" i="18"/>
  <c r="J138" i="9"/>
  <c r="H141" i="9"/>
  <c r="K141" i="9" s="1"/>
  <c r="F138" i="5"/>
  <c r="F142" i="8"/>
  <c r="G142" i="8"/>
  <c r="F143" i="8"/>
  <c r="G143" i="8"/>
  <c r="I141" i="7"/>
  <c r="J141" i="7"/>
  <c r="H140" i="9"/>
  <c r="K140" i="9" s="1"/>
  <c r="J140" i="7"/>
  <c r="I140" i="7"/>
  <c r="U72" i="15"/>
  <c r="Y72" i="18" s="1"/>
  <c r="E72" i="15"/>
  <c r="D72" i="15"/>
  <c r="D74" i="18"/>
  <c r="F74" i="18" s="1"/>
  <c r="E74" i="18"/>
  <c r="GY72" i="18"/>
  <c r="AD140" i="5"/>
  <c r="I140" i="5"/>
  <c r="J140" i="5" s="1"/>
  <c r="H140" i="1"/>
  <c r="I140" i="1" s="1"/>
  <c r="H141" i="1"/>
  <c r="I141" i="1" s="1"/>
  <c r="WF72" i="18"/>
  <c r="VZ72" i="18"/>
  <c r="T72" i="15"/>
  <c r="KS72" i="18"/>
  <c r="RD72" i="18"/>
  <c r="EE72" i="18"/>
  <c r="NS72" i="18"/>
  <c r="TR72" i="18"/>
  <c r="GU72" i="18"/>
  <c r="GA72" i="18"/>
  <c r="DH72" i="18"/>
  <c r="WR72" i="18"/>
  <c r="PN72" i="18"/>
  <c r="VH72" i="18"/>
  <c r="GT72" i="18"/>
  <c r="EK72" i="18"/>
  <c r="KK72" i="18"/>
  <c r="TX72" i="18"/>
  <c r="FK72" i="18"/>
  <c r="EM72" i="18"/>
  <c r="EW72" i="18"/>
  <c r="EY72" i="18"/>
  <c r="GS72" i="18"/>
  <c r="VI72" i="18"/>
  <c r="MH72" i="18"/>
  <c r="DG72" i="18"/>
  <c r="KW72" i="18"/>
  <c r="IP72" i="18"/>
  <c r="PY72" i="18"/>
  <c r="XD72" i="18"/>
  <c r="WG72" i="18"/>
  <c r="PM72" i="18"/>
  <c r="IJ72" i="18"/>
  <c r="QK72" i="18"/>
  <c r="BE72" i="18"/>
  <c r="IE72" i="18"/>
  <c r="TA72" i="18"/>
  <c r="DO72" i="18"/>
  <c r="NX72" i="18"/>
  <c r="XJ72" i="18"/>
  <c r="CU72" i="18"/>
  <c r="SO72" i="18"/>
  <c r="GO72" i="18"/>
  <c r="VU72" i="18"/>
  <c r="JC72" i="18"/>
  <c r="UK72" i="18"/>
  <c r="CJ72" i="18"/>
  <c r="KM72" i="18"/>
  <c r="DS72" i="18"/>
  <c r="MT72" i="18"/>
  <c r="SM72" i="18"/>
  <c r="GB72" i="18"/>
  <c r="WS72" i="18"/>
  <c r="WA72" i="18"/>
  <c r="QR72" i="18"/>
  <c r="WE72" i="18"/>
  <c r="RE72" i="18"/>
  <c r="JA72" i="18"/>
  <c r="BL72" i="18"/>
  <c r="AZ72" i="18"/>
  <c r="RC72" i="18"/>
  <c r="VG72" i="18"/>
  <c r="CW72" i="18"/>
  <c r="BA72" i="18"/>
  <c r="KY72" i="18"/>
  <c r="VY72" i="18"/>
  <c r="HR72" i="18"/>
  <c r="CI72" i="18"/>
  <c r="LJ72" i="18"/>
  <c r="RI72" i="18"/>
  <c r="WY72" i="18"/>
  <c r="FQ72" i="18"/>
  <c r="MZ72" i="18"/>
  <c r="MS72" i="18"/>
  <c r="KF72" i="18"/>
  <c r="LV72" i="18"/>
  <c r="FJ72" i="18"/>
  <c r="KR72" i="18"/>
  <c r="MI72" i="18"/>
  <c r="IK72" i="18"/>
  <c r="DN72" i="18"/>
  <c r="TF72" i="18"/>
  <c r="UV72" i="18"/>
  <c r="KQ72" i="18"/>
  <c r="ID72" i="18"/>
  <c r="SZ72" i="18"/>
  <c r="DM72" i="18"/>
  <c r="QM72" i="18"/>
  <c r="IC72" i="18"/>
  <c r="SY72" i="18"/>
  <c r="OC72" i="18"/>
  <c r="DC72" i="18"/>
  <c r="RV72" i="18"/>
  <c r="BY72" i="18"/>
  <c r="UC72" i="18"/>
  <c r="AU72" i="18"/>
  <c r="FD72" i="18"/>
  <c r="OK72" i="18"/>
  <c r="SH72" i="18"/>
  <c r="ER72" i="18"/>
  <c r="PG72" i="18"/>
  <c r="TK72" i="18"/>
  <c r="NE72" i="18"/>
  <c r="OJ72" i="18"/>
  <c r="EQ72" i="18"/>
  <c r="BQ72" i="18"/>
  <c r="HQ72" i="18"/>
  <c r="FU72" i="18"/>
  <c r="DU72" i="18"/>
  <c r="NF72" i="18"/>
  <c r="AS72" i="18"/>
  <c r="PB72" i="18"/>
  <c r="GM72" i="18"/>
  <c r="RO72" i="18"/>
  <c r="UD72" i="18"/>
  <c r="GN72" i="18"/>
  <c r="OI72" i="18"/>
  <c r="ES72" i="18"/>
  <c r="PH72" i="18"/>
  <c r="TL72" i="18"/>
  <c r="CE72" i="18"/>
  <c r="VS72" i="18"/>
  <c r="GC72" i="18"/>
  <c r="DI72" i="18"/>
  <c r="PO72" i="18"/>
  <c r="AY72" i="18"/>
  <c r="WQ72" i="18"/>
  <c r="RU72" i="18"/>
  <c r="UE72" i="18"/>
  <c r="QL72" i="18"/>
  <c r="VT72" i="18"/>
  <c r="TM72" i="18"/>
  <c r="FW72" i="18"/>
  <c r="NG72" i="18"/>
  <c r="PI72" i="18"/>
  <c r="AT72" i="18"/>
  <c r="LI72" i="18"/>
  <c r="IO72" i="18"/>
  <c r="RQ72" i="18"/>
  <c r="CV72" i="18"/>
  <c r="XK72" i="18"/>
  <c r="UP72" i="18"/>
  <c r="TE72" i="18"/>
  <c r="UW72" i="18"/>
  <c r="CD72" i="18"/>
  <c r="LO72" i="18"/>
  <c r="VA72" i="18"/>
  <c r="FE72" i="18"/>
  <c r="KL72" i="18"/>
  <c r="OQ72" i="18"/>
  <c r="TY72" i="18"/>
  <c r="OW72" i="18"/>
  <c r="BS72" i="18"/>
  <c r="HS72" i="18"/>
  <c r="XI72" i="18"/>
  <c r="OE72" i="18"/>
  <c r="PT72" i="18"/>
  <c r="LW72" i="18"/>
  <c r="HM72" i="18"/>
  <c r="LC72" i="18"/>
  <c r="SN72" i="18"/>
  <c r="NK72" i="18"/>
  <c r="HE72" i="18"/>
  <c r="BX72" i="18"/>
  <c r="RP72" i="18"/>
  <c r="JB72" i="18"/>
  <c r="SG72" i="18"/>
  <c r="NA72" i="18"/>
  <c r="BK72" i="18"/>
  <c r="KG72" i="18"/>
  <c r="MU72" i="18"/>
  <c r="PA72" i="18"/>
  <c r="MY72" i="18"/>
  <c r="CK72" i="18"/>
  <c r="KE72" i="18"/>
  <c r="BM72" i="18"/>
  <c r="FC72" i="18"/>
  <c r="TW72" i="18"/>
  <c r="TG72" i="18"/>
  <c r="LU72" i="18"/>
  <c r="UU72" i="18"/>
  <c r="BW72" i="18"/>
  <c r="IQ72" i="18"/>
  <c r="MN72" i="18"/>
  <c r="QE72" i="18"/>
  <c r="MC72" i="18"/>
  <c r="VM72" i="18"/>
  <c r="OP72" i="18"/>
  <c r="FP72" i="18"/>
  <c r="QS72" i="18"/>
  <c r="UJ72" i="18"/>
  <c r="WL72" i="18"/>
  <c r="LK72" i="18"/>
  <c r="UI72" i="18"/>
  <c r="HL72" i="18"/>
  <c r="CO72" i="18"/>
  <c r="JZ72" i="18"/>
  <c r="PC72" i="18"/>
  <c r="IU72" i="18"/>
  <c r="SI72" i="18"/>
  <c r="HF72" i="18"/>
  <c r="JU72" i="18"/>
  <c r="JN72" i="18"/>
  <c r="BF72" i="18"/>
  <c r="EF72" i="18"/>
  <c r="TQ72" i="18"/>
  <c r="AM72" i="18"/>
  <c r="BG72" i="18"/>
  <c r="SA72" i="18"/>
  <c r="FO72" i="18"/>
  <c r="RW72" i="18"/>
  <c r="QW72" i="18"/>
  <c r="QQ72" i="18"/>
  <c r="MM72" i="18"/>
  <c r="OO72" i="18"/>
  <c r="HG72" i="18"/>
  <c r="JS72" i="18"/>
  <c r="HK72" i="18"/>
  <c r="JO72" i="18"/>
  <c r="LP72" i="18"/>
  <c r="AO72" i="18"/>
  <c r="QY72" i="18"/>
  <c r="TS72" i="18"/>
  <c r="CC72" i="18"/>
  <c r="OV72" i="18"/>
  <c r="EG72" i="18"/>
  <c r="LQ72" i="18"/>
  <c r="OU72" i="18"/>
  <c r="XC72" i="18"/>
  <c r="RK72" i="18"/>
  <c r="NR72" i="18"/>
  <c r="JY72" i="18"/>
  <c r="CQ72" i="18"/>
  <c r="WX72" i="18"/>
  <c r="SS72" i="18"/>
  <c r="JI72" i="18"/>
  <c r="DZ72" i="18"/>
  <c r="UO72" i="18"/>
  <c r="HA72" i="18"/>
  <c r="DB72" i="18"/>
  <c r="NW72" i="18"/>
  <c r="QA72" i="18"/>
  <c r="HX72" i="18"/>
  <c r="PS72" i="18"/>
  <c r="LE72" i="18"/>
  <c r="MB72" i="18"/>
  <c r="WK72" i="18"/>
  <c r="VC72" i="18"/>
  <c r="RJ72" i="18"/>
  <c r="NQ72" i="18"/>
  <c r="GI72" i="18"/>
  <c r="CP72" i="18"/>
  <c r="WW72" i="18"/>
  <c r="NM72" i="18"/>
  <c r="JH72" i="18"/>
  <c r="DY72" i="18"/>
  <c r="QG72" i="18"/>
  <c r="GZ72" i="18"/>
  <c r="DA72" i="18"/>
  <c r="IW72" i="18"/>
  <c r="PZ72" i="18"/>
  <c r="HW72" i="18"/>
  <c r="VO72" i="18"/>
  <c r="LD72" i="18"/>
  <c r="MA72" i="18"/>
  <c r="XE72" i="18"/>
  <c r="VB72" i="18"/>
  <c r="KA72" i="18"/>
  <c r="GH72" i="18"/>
  <c r="SU72" i="18"/>
  <c r="NL72" i="18"/>
  <c r="UQ72" i="18"/>
  <c r="QF72" i="18"/>
  <c r="NY72" i="18"/>
  <c r="IV72" i="18"/>
  <c r="PU72" i="18"/>
  <c r="VN72" i="18"/>
  <c r="WM72" i="18"/>
  <c r="WP73" i="18"/>
  <c r="VR73" i="18"/>
  <c r="UT73" i="18"/>
  <c r="TV73" i="18"/>
  <c r="SX73" i="18"/>
  <c r="RZ73" i="18"/>
  <c r="RB73" i="18"/>
  <c r="QD73" i="18"/>
  <c r="PF73" i="18"/>
  <c r="OH73" i="18"/>
  <c r="NJ73" i="18"/>
  <c r="ML73" i="18"/>
  <c r="LN73" i="18"/>
  <c r="KP73" i="18"/>
  <c r="JR73" i="18"/>
  <c r="IT73" i="18"/>
  <c r="HV73" i="18"/>
  <c r="GX73" i="18"/>
  <c r="FZ73" i="18"/>
  <c r="FB73" i="18"/>
  <c r="ED73" i="18"/>
  <c r="DF73" i="18"/>
  <c r="CH73" i="18"/>
  <c r="BJ73" i="18"/>
  <c r="AL73" i="18"/>
  <c r="WJ73" i="18"/>
  <c r="VX73" i="18"/>
  <c r="UH73" i="18"/>
  <c r="SR73" i="18"/>
  <c r="SF73" i="18"/>
  <c r="QP73" i="18"/>
  <c r="OZ73" i="18"/>
  <c r="ON73" i="18"/>
  <c r="MX73" i="18"/>
  <c r="LH73" i="18"/>
  <c r="KV73" i="18"/>
  <c r="JF73" i="18"/>
  <c r="HP73" i="18"/>
  <c r="HD73" i="18"/>
  <c r="FN73" i="18"/>
  <c r="DX73" i="18"/>
  <c r="DL73" i="18"/>
  <c r="BV73" i="18"/>
  <c r="XB73" i="18"/>
  <c r="VL73" i="18"/>
  <c r="PL73" i="18"/>
  <c r="NV73" i="18"/>
  <c r="MR73" i="18"/>
  <c r="MF73" i="18"/>
  <c r="LB73" i="18"/>
  <c r="JX73" i="18"/>
  <c r="JL73" i="18"/>
  <c r="IH73" i="18"/>
  <c r="GR73" i="18"/>
  <c r="AR73" i="18"/>
  <c r="VF73" i="18"/>
  <c r="UN73" i="18"/>
  <c r="RN73" i="18"/>
  <c r="QV73" i="18"/>
  <c r="ND73" i="18"/>
  <c r="LT73" i="18"/>
  <c r="IB73" i="18"/>
  <c r="HJ73" i="18"/>
  <c r="EJ73" i="18"/>
  <c r="DR73" i="18"/>
  <c r="CZ73" i="18"/>
  <c r="XH73" i="18"/>
  <c r="TJ73" i="18"/>
  <c r="SL73" i="18"/>
  <c r="RH73" i="18"/>
  <c r="QJ73" i="18"/>
  <c r="FT73" i="18"/>
  <c r="EV73" i="18"/>
  <c r="CT73" i="18"/>
  <c r="AX73" i="18"/>
  <c r="WD73" i="18"/>
  <c r="UZ73" i="18"/>
  <c r="UB73" i="18"/>
  <c r="TD73" i="18"/>
  <c r="KJ73" i="18"/>
  <c r="IN73" i="18"/>
  <c r="GL73" i="18"/>
  <c r="EP73" i="18"/>
  <c r="CN73" i="18"/>
  <c r="BP73" i="18"/>
  <c r="PX73" i="18"/>
  <c r="OB73" i="18"/>
  <c r="LZ73" i="18"/>
  <c r="KD73" i="18"/>
  <c r="GF73" i="18"/>
  <c r="TP73" i="18"/>
  <c r="RT73" i="18"/>
  <c r="PR73" i="18"/>
  <c r="NP73" i="18"/>
  <c r="CB73" i="18"/>
  <c r="WV73" i="18"/>
  <c r="FH73" i="18"/>
  <c r="IZ73" i="18"/>
  <c r="BD73" i="18"/>
  <c r="OT73" i="18"/>
  <c r="WZ74" i="18"/>
  <c r="WB74" i="18"/>
  <c r="VD74" i="18"/>
  <c r="UF74" i="18"/>
  <c r="TH74" i="18"/>
  <c r="SJ74" i="18"/>
  <c r="RL74" i="18"/>
  <c r="QN74" i="18"/>
  <c r="PP74" i="18"/>
  <c r="OR74" i="18"/>
  <c r="NT74" i="18"/>
  <c r="MV74" i="18"/>
  <c r="LX74" i="18"/>
  <c r="KZ74" i="18"/>
  <c r="KB74" i="18"/>
  <c r="JD74" i="18"/>
  <c r="IF74" i="18"/>
  <c r="HH74" i="18"/>
  <c r="GJ74" i="18"/>
  <c r="FL74" i="18"/>
  <c r="EN74" i="18"/>
  <c r="DP74" i="18"/>
  <c r="CR74" i="18"/>
  <c r="BT74" i="18"/>
  <c r="AV74" i="18"/>
  <c r="WT74" i="18"/>
  <c r="WH74" i="18"/>
  <c r="UR74" i="18"/>
  <c r="TB74" i="18"/>
  <c r="SP74" i="18"/>
  <c r="TN74" i="18"/>
  <c r="RX74" i="18"/>
  <c r="QZ74" i="18"/>
  <c r="PJ74" i="18"/>
  <c r="OX74" i="18"/>
  <c r="NH74" i="18"/>
  <c r="LR74" i="18"/>
  <c r="LF74" i="18"/>
  <c r="JP74" i="18"/>
  <c r="HZ74" i="18"/>
  <c r="HN74" i="18"/>
  <c r="FX74" i="18"/>
  <c r="EH74" i="18"/>
  <c r="DV74" i="18"/>
  <c r="CF74" i="18"/>
  <c r="AP74" i="18"/>
  <c r="UL74" i="18"/>
  <c r="TT74" i="18"/>
  <c r="MD74" i="18"/>
  <c r="KN74" i="18"/>
  <c r="JJ74" i="18"/>
  <c r="IX74" i="18"/>
  <c r="HT74" i="18"/>
  <c r="GP74" i="18"/>
  <c r="GD74" i="18"/>
  <c r="EZ74" i="18"/>
  <c r="DJ74" i="18"/>
  <c r="VV74" i="18"/>
  <c r="UX74" i="18"/>
  <c r="TZ74" i="18"/>
  <c r="SV74" i="18"/>
  <c r="RF74" i="18"/>
  <c r="OF74" i="18"/>
  <c r="NN74" i="18"/>
  <c r="JV74" i="18"/>
  <c r="IL74" i="18"/>
  <c r="ET74" i="18"/>
  <c r="EB74" i="18"/>
  <c r="BB74" i="18"/>
  <c r="AJ74" i="18"/>
  <c r="VP74" i="18"/>
  <c r="RR74" i="18"/>
  <c r="QT74" i="18"/>
  <c r="PV74" i="18"/>
  <c r="HB74" i="18"/>
  <c r="FF74" i="18"/>
  <c r="DD74" i="18"/>
  <c r="BH74" i="18"/>
  <c r="WN74" i="18"/>
  <c r="VJ74" i="18"/>
  <c r="MP74" i="18"/>
  <c r="KT74" i="18"/>
  <c r="IR74" i="18"/>
  <c r="GV74" i="18"/>
  <c r="CX74" i="18"/>
  <c r="BZ74" i="18"/>
  <c r="QH74" i="18"/>
  <c r="OL74" i="18"/>
  <c r="MJ74" i="18"/>
  <c r="KH74" i="18"/>
  <c r="XF74" i="18"/>
  <c r="SD74" i="18"/>
  <c r="QB74" i="18"/>
  <c r="NZ74" i="18"/>
  <c r="CL74" i="18"/>
  <c r="LL74" i="18"/>
  <c r="FR74" i="18"/>
  <c r="BN74" i="18"/>
  <c r="PD74" i="18"/>
  <c r="NB74" i="18"/>
  <c r="XG73" i="18"/>
  <c r="WI73" i="18"/>
  <c r="WK73" i="18" s="1"/>
  <c r="VK73" i="18"/>
  <c r="UM73" i="18"/>
  <c r="TO73" i="18"/>
  <c r="SQ73" i="18"/>
  <c r="RS73" i="18"/>
  <c r="QU73" i="18"/>
  <c r="PW73" i="18"/>
  <c r="OY73" i="18"/>
  <c r="OA73" i="18"/>
  <c r="OC73" i="18" s="1"/>
  <c r="NC73" i="18"/>
  <c r="NF73" i="18" s="1"/>
  <c r="ME73" i="18"/>
  <c r="LG73" i="18"/>
  <c r="KI73" i="18"/>
  <c r="JK73" i="18"/>
  <c r="IM73" i="18"/>
  <c r="HO73" i="18"/>
  <c r="HR73" i="18" s="1"/>
  <c r="GQ73" i="18"/>
  <c r="FS73" i="18"/>
  <c r="EU73" i="18"/>
  <c r="DW73" i="18"/>
  <c r="CY73" i="18"/>
  <c r="CA73" i="18"/>
  <c r="BC73" i="18"/>
  <c r="WU73" i="18"/>
  <c r="VE73" i="18"/>
  <c r="US73" i="18"/>
  <c r="TC73" i="18"/>
  <c r="RM73" i="18"/>
  <c r="RP73" i="18" s="1"/>
  <c r="RA73" i="18"/>
  <c r="PK73" i="18"/>
  <c r="NU73" i="18"/>
  <c r="NI73" i="18"/>
  <c r="LS73" i="18"/>
  <c r="KC73" i="18"/>
  <c r="JQ73" i="18"/>
  <c r="IA73" i="18"/>
  <c r="GK73" i="18"/>
  <c r="FY73" i="18"/>
  <c r="EI73" i="18"/>
  <c r="CS73" i="18"/>
  <c r="CG73" i="18"/>
  <c r="CI73" i="18" s="1"/>
  <c r="AQ73" i="18"/>
  <c r="WO73" i="18"/>
  <c r="WC73" i="18"/>
  <c r="UY73" i="18"/>
  <c r="TU73" i="18"/>
  <c r="TI73" i="18"/>
  <c r="SE73" i="18"/>
  <c r="QO73" i="18"/>
  <c r="QR73" i="18" s="1"/>
  <c r="KO73" i="18"/>
  <c r="IY73" i="18"/>
  <c r="HU73" i="18"/>
  <c r="HI73" i="18"/>
  <c r="GE73" i="18"/>
  <c r="FA73" i="18"/>
  <c r="EO73" i="18"/>
  <c r="DK73" i="18"/>
  <c r="BU73" i="18"/>
  <c r="VW73" i="18"/>
  <c r="SK73" i="18"/>
  <c r="QC73" i="18"/>
  <c r="OS73" i="18"/>
  <c r="OW73" i="18" s="1"/>
  <c r="MK73" i="18"/>
  <c r="LA73" i="18"/>
  <c r="LC73" i="18" s="1"/>
  <c r="IS73" i="18"/>
  <c r="FG73" i="18"/>
  <c r="BO73" i="18"/>
  <c r="BR73" i="18" s="1"/>
  <c r="AW73" i="18"/>
  <c r="UG73" i="18"/>
  <c r="PQ73" i="18"/>
  <c r="OM73" i="18"/>
  <c r="OO73" i="18" s="1"/>
  <c r="NO73" i="18"/>
  <c r="MQ73" i="18"/>
  <c r="LM73" i="18"/>
  <c r="GW73" i="18"/>
  <c r="XA73" i="18"/>
  <c r="RG73" i="18"/>
  <c r="QI73" i="18"/>
  <c r="PE73" i="18"/>
  <c r="OG73" i="18"/>
  <c r="OK73" i="18" s="1"/>
  <c r="FM73" i="18"/>
  <c r="DQ73" i="18"/>
  <c r="UA73" i="18"/>
  <c r="RY73" i="18"/>
  <c r="SA73" i="18" s="1"/>
  <c r="IG73" i="18"/>
  <c r="CM73" i="18"/>
  <c r="AK73" i="18"/>
  <c r="AN73" i="18" s="1"/>
  <c r="VQ73" i="18"/>
  <c r="VS73" i="18" s="1"/>
  <c r="LY73" i="18"/>
  <c r="JW73" i="18"/>
  <c r="EC73" i="18"/>
  <c r="EF73" i="18" s="1"/>
  <c r="SW73" i="18"/>
  <c r="JE73" i="18"/>
  <c r="HC73" i="18"/>
  <c r="BI73" i="18"/>
  <c r="KU73" i="18"/>
  <c r="DE73" i="18"/>
  <c r="MW73" i="18"/>
  <c r="T69" i="18"/>
  <c r="U69" i="18" s="1"/>
  <c r="P71" i="18"/>
  <c r="S70" i="18" s="1"/>
  <c r="R71" i="18"/>
  <c r="Q71" i="18"/>
  <c r="B143" i="1"/>
  <c r="B143" i="9"/>
  <c r="I143" i="9" s="1"/>
  <c r="B143" i="7"/>
  <c r="AG139" i="5"/>
  <c r="R141" i="5"/>
  <c r="AG136" i="5"/>
  <c r="AL136" i="5" s="1"/>
  <c r="R138" i="5"/>
  <c r="Q134" i="5"/>
  <c r="U134" i="5" s="1"/>
  <c r="B142" i="5"/>
  <c r="K140" i="5"/>
  <c r="B145" i="5"/>
  <c r="AE143" i="5"/>
  <c r="K143" i="5"/>
  <c r="BQ139" i="1"/>
  <c r="O138" i="1"/>
  <c r="BP139" i="1"/>
  <c r="X139" i="7" s="1"/>
  <c r="O139" i="1"/>
  <c r="R135" i="14"/>
  <c r="D134" i="19" s="1"/>
  <c r="S135" i="14"/>
  <c r="T135" i="14"/>
  <c r="U135" i="14"/>
  <c r="Q134" i="14"/>
  <c r="N133" i="7" s="1"/>
  <c r="B138" i="14"/>
  <c r="B142" i="9"/>
  <c r="B145" i="8"/>
  <c r="B142" i="7"/>
  <c r="B73" i="15"/>
  <c r="B142" i="1"/>
  <c r="N140" i="1"/>
  <c r="B144" i="8"/>
  <c r="B75" i="18"/>
  <c r="G75" i="18" s="1"/>
  <c r="N74" i="18"/>
  <c r="O74" i="18"/>
  <c r="L133" i="7" l="1"/>
  <c r="K132" i="7"/>
  <c r="D134" i="8"/>
  <c r="R134" i="8" s="1"/>
  <c r="N132" i="7"/>
  <c r="P69" i="15"/>
  <c r="L132" i="7"/>
  <c r="Q69" i="15"/>
  <c r="G69" i="15"/>
  <c r="R135" i="8"/>
  <c r="K133" i="7"/>
  <c r="E135" i="8"/>
  <c r="E135" i="19"/>
  <c r="P135" i="19"/>
  <c r="Q141" i="5"/>
  <c r="CP73" i="18"/>
  <c r="RE73" i="18"/>
  <c r="SH73" i="18"/>
  <c r="P134" i="19"/>
  <c r="L134" i="19"/>
  <c r="J134" i="19"/>
  <c r="I134" i="19"/>
  <c r="K134" i="19"/>
  <c r="P141" i="5"/>
  <c r="B149" i="19"/>
  <c r="G149" i="19" s="1"/>
  <c r="F147" i="19"/>
  <c r="I145" i="5"/>
  <c r="J145" i="5" s="1"/>
  <c r="F145" i="5" s="1"/>
  <c r="L74" i="7"/>
  <c r="N75" i="7"/>
  <c r="K74" i="7"/>
  <c r="L75" i="7"/>
  <c r="N74" i="7"/>
  <c r="K75" i="7"/>
  <c r="E77" i="19"/>
  <c r="D76" i="19"/>
  <c r="G40" i="15"/>
  <c r="D76" i="8"/>
  <c r="R76" i="8" s="1"/>
  <c r="P40" i="15"/>
  <c r="Q40" i="15"/>
  <c r="E77" i="8"/>
  <c r="WS73" i="18"/>
  <c r="HL73" i="18"/>
  <c r="I140" i="9"/>
  <c r="FV73" i="18"/>
  <c r="AJ138" i="5"/>
  <c r="L141" i="9"/>
  <c r="L140" i="9"/>
  <c r="M138" i="9"/>
  <c r="M139" i="9"/>
  <c r="J141" i="9"/>
  <c r="J140" i="9"/>
  <c r="H143" i="9"/>
  <c r="K143" i="9" s="1"/>
  <c r="ID73" i="18"/>
  <c r="CV73" i="18"/>
  <c r="EX73" i="18"/>
  <c r="JO73" i="18"/>
  <c r="F144" i="8"/>
  <c r="G144" i="8"/>
  <c r="F145" i="8"/>
  <c r="G145" i="8"/>
  <c r="H142" i="9"/>
  <c r="K142" i="9" s="1"/>
  <c r="J142" i="7"/>
  <c r="I142" i="7"/>
  <c r="J143" i="7"/>
  <c r="I143" i="7"/>
  <c r="U73" i="15"/>
  <c r="Y73" i="18" s="1"/>
  <c r="D73" i="15"/>
  <c r="E73" i="15"/>
  <c r="E75" i="18"/>
  <c r="D75" i="18"/>
  <c r="F75" i="18" s="1"/>
  <c r="AD142" i="5"/>
  <c r="I142" i="5"/>
  <c r="J142" i="5" s="1"/>
  <c r="H143" i="1"/>
  <c r="I143" i="1" s="1"/>
  <c r="H142" i="1"/>
  <c r="I142" i="1" s="1"/>
  <c r="NQ73" i="18"/>
  <c r="Q136" i="5"/>
  <c r="MG73" i="18"/>
  <c r="TX73" i="18"/>
  <c r="IP73" i="18"/>
  <c r="T73" i="15"/>
  <c r="PH73" i="18"/>
  <c r="LQ73" i="18"/>
  <c r="CU73" i="18"/>
  <c r="DT73" i="18"/>
  <c r="DZ73" i="18"/>
  <c r="GZ73" i="18"/>
  <c r="RQ73" i="18"/>
  <c r="MZ73" i="18"/>
  <c r="KQ73" i="18"/>
  <c r="CW73" i="18"/>
  <c r="DI73" i="18"/>
  <c r="RK73" i="18"/>
  <c r="DM73" i="18"/>
  <c r="GN73" i="18"/>
  <c r="DB73" i="18"/>
  <c r="GT73" i="18"/>
  <c r="DY73" i="18"/>
  <c r="ST73" i="18"/>
  <c r="RO73" i="18"/>
  <c r="UD73" i="18"/>
  <c r="JA73" i="18"/>
  <c r="QA73" i="18"/>
  <c r="VT73" i="18"/>
  <c r="GH73" i="18"/>
  <c r="PM73" i="18"/>
  <c r="PT73" i="18"/>
  <c r="FJ73" i="18"/>
  <c r="KF73" i="18"/>
  <c r="UP73" i="18"/>
  <c r="GM73" i="18"/>
  <c r="OE73" i="18"/>
  <c r="EA73" i="18"/>
  <c r="SS73" i="18"/>
  <c r="MH73" i="18"/>
  <c r="SU73" i="18"/>
  <c r="JI73" i="18"/>
  <c r="IK73" i="18"/>
  <c r="VB73" i="18"/>
  <c r="LU73" i="18"/>
  <c r="VI73" i="18"/>
  <c r="RV73" i="18"/>
  <c r="VN73" i="18"/>
  <c r="AT73" i="18"/>
  <c r="GA73" i="18"/>
  <c r="KE73" i="18"/>
  <c r="SY73" i="18"/>
  <c r="SN73" i="18"/>
  <c r="HY73" i="18"/>
  <c r="OD73" i="18"/>
  <c r="VY73" i="18"/>
  <c r="JU73" i="18"/>
  <c r="NX73" i="18"/>
  <c r="GO73" i="18"/>
  <c r="HF73" i="18"/>
  <c r="JZ73" i="18"/>
  <c r="QL73" i="18"/>
  <c r="BX73" i="18"/>
  <c r="AS73" i="18"/>
  <c r="GB73" i="18"/>
  <c r="UU73" i="18"/>
  <c r="QY73" i="18"/>
  <c r="AZ73" i="18"/>
  <c r="EQ73" i="18"/>
  <c r="NK73" i="18"/>
  <c r="LJ73" i="18"/>
  <c r="NY73" i="18"/>
  <c r="TF73" i="18"/>
  <c r="BF73" i="18"/>
  <c r="TR73" i="18"/>
  <c r="XK73" i="18"/>
  <c r="PI73" i="18"/>
  <c r="WY73" i="18"/>
  <c r="RU73" i="18"/>
  <c r="VG73" i="18"/>
  <c r="KX73" i="18"/>
  <c r="FD73" i="18"/>
  <c r="VH73" i="18"/>
  <c r="RW73" i="18"/>
  <c r="WW73" i="18"/>
  <c r="AU73" i="18"/>
  <c r="GG73" i="18"/>
  <c r="KY73" i="18"/>
  <c r="XE73" i="18"/>
  <c r="WF73" i="18"/>
  <c r="PB73" i="18"/>
  <c r="KG73" i="18"/>
  <c r="WX73" i="18"/>
  <c r="GC73" i="18"/>
  <c r="BM73" i="18"/>
  <c r="MO73" i="18"/>
  <c r="FC73" i="18"/>
  <c r="TK73" i="18"/>
  <c r="EK73" i="18"/>
  <c r="GI73" i="18"/>
  <c r="MB73" i="18"/>
  <c r="FO73" i="18"/>
  <c r="MT73" i="18"/>
  <c r="UI73" i="18"/>
  <c r="IV73" i="18"/>
  <c r="QG73" i="18"/>
  <c r="KM73" i="18"/>
  <c r="CD73" i="18"/>
  <c r="VU73" i="18"/>
  <c r="QM73" i="18"/>
  <c r="KW73" i="18"/>
  <c r="QK73" i="18"/>
  <c r="BS73" i="18"/>
  <c r="OP73" i="18"/>
  <c r="MM73" i="18"/>
  <c r="NW73" i="18"/>
  <c r="HA73" i="18"/>
  <c r="BQ73" i="18"/>
  <c r="EG73" i="18"/>
  <c r="MN73" i="18"/>
  <c r="PG73" i="18"/>
  <c r="MI73" i="18"/>
  <c r="GY73" i="18"/>
  <c r="OQ73" i="18"/>
  <c r="EE73" i="18"/>
  <c r="FE73" i="18"/>
  <c r="UJ73" i="18"/>
  <c r="NA73" i="18"/>
  <c r="JG73" i="18"/>
  <c r="FP73" i="18"/>
  <c r="UE73" i="18"/>
  <c r="PY73" i="18"/>
  <c r="KR73" i="18"/>
  <c r="BG73" i="18"/>
  <c r="RI73" i="18"/>
  <c r="NL73" i="18"/>
  <c r="TY73" i="18"/>
  <c r="KK73" i="18"/>
  <c r="CJ73" i="18"/>
  <c r="CE73" i="18"/>
  <c r="LO73" i="18"/>
  <c r="VZ73" i="18"/>
  <c r="NG73" i="18"/>
  <c r="QW73" i="18"/>
  <c r="UV73" i="18"/>
  <c r="XC73" i="18"/>
  <c r="TL73" i="18"/>
  <c r="MC73" i="18"/>
  <c r="II73" i="18"/>
  <c r="ER73" i="18"/>
  <c r="TS73" i="18"/>
  <c r="OI73" i="18"/>
  <c r="JB73" i="18"/>
  <c r="UQ73" i="18"/>
  <c r="QE73" i="18"/>
  <c r="LV73" i="18"/>
  <c r="TG73" i="18"/>
  <c r="JS73" i="18"/>
  <c r="WL73" i="18"/>
  <c r="SI73" i="18"/>
  <c r="JM73" i="18"/>
  <c r="EL73" i="18"/>
  <c r="LK73" i="18"/>
  <c r="WQ73" i="18"/>
  <c r="SO73" i="18"/>
  <c r="OU73" i="18"/>
  <c r="LD73" i="18"/>
  <c r="DU73" i="18"/>
  <c r="XI73" i="18"/>
  <c r="SB73" i="18"/>
  <c r="IQ73" i="18"/>
  <c r="DG73" i="18"/>
  <c r="SZ73" i="18"/>
  <c r="FW73" i="18"/>
  <c r="BK73" i="18"/>
  <c r="PN73" i="18"/>
  <c r="VO73" i="18"/>
  <c r="HW73" i="18"/>
  <c r="NR73" i="18"/>
  <c r="IE73" i="18"/>
  <c r="RC73" i="18"/>
  <c r="DN73" i="18"/>
  <c r="QS73" i="18"/>
  <c r="MY73" i="18"/>
  <c r="JH73" i="18"/>
  <c r="BY73" i="18"/>
  <c r="UC73" i="18"/>
  <c r="PZ73" i="18"/>
  <c r="FK73" i="18"/>
  <c r="BE73" i="18"/>
  <c r="RJ73" i="18"/>
  <c r="DC73" i="18"/>
  <c r="TW73" i="18"/>
  <c r="KL73" i="18"/>
  <c r="KA73" i="18"/>
  <c r="CC73" i="18"/>
  <c r="LP73" i="18"/>
  <c r="AO73" i="18"/>
  <c r="NE73" i="18"/>
  <c r="QX73" i="18"/>
  <c r="XD73" i="18"/>
  <c r="PU73" i="18"/>
  <c r="MA73" i="18"/>
  <c r="IJ73" i="18"/>
  <c r="BA73" i="18"/>
  <c r="TQ73" i="18"/>
  <c r="OJ73" i="18"/>
  <c r="EY73" i="18"/>
  <c r="UO73" i="18"/>
  <c r="QF73" i="18"/>
  <c r="CQ73" i="18"/>
  <c r="TE73" i="18"/>
  <c r="JT73" i="18"/>
  <c r="IW73" i="18"/>
  <c r="SG73" i="18"/>
  <c r="JN73" i="18"/>
  <c r="VC73" i="18"/>
  <c r="LI73" i="18"/>
  <c r="WR73" i="18"/>
  <c r="WG73" i="18"/>
  <c r="SM73" i="18"/>
  <c r="OV73" i="18"/>
  <c r="HM73" i="18"/>
  <c r="DS73" i="18"/>
  <c r="XJ73" i="18"/>
  <c r="MU73" i="18"/>
  <c r="IO73" i="18"/>
  <c r="DH73" i="18"/>
  <c r="PC73" i="18"/>
  <c r="FU73" i="18"/>
  <c r="BL73" i="18"/>
  <c r="GU73" i="18"/>
  <c r="VM73" i="18"/>
  <c r="HX73" i="18"/>
  <c r="HS73" i="18"/>
  <c r="IC73" i="18"/>
  <c r="RD73" i="18"/>
  <c r="HG73" i="18"/>
  <c r="UK73" i="18"/>
  <c r="QQ73" i="18"/>
  <c r="FQ73" i="18"/>
  <c r="BW73" i="18"/>
  <c r="KS73" i="18"/>
  <c r="FI73" i="18"/>
  <c r="NM73" i="18"/>
  <c r="DA73" i="18"/>
  <c r="CK73" i="18"/>
  <c r="JY73" i="18"/>
  <c r="WA73" i="18"/>
  <c r="AM73" i="18"/>
  <c r="UW73" i="18"/>
  <c r="TM73" i="18"/>
  <c r="PS73" i="18"/>
  <c r="ES73" i="18"/>
  <c r="AY73" i="18"/>
  <c r="JC73" i="18"/>
  <c r="EW73" i="18"/>
  <c r="LW73" i="18"/>
  <c r="CO73" i="18"/>
  <c r="WM73" i="18"/>
  <c r="IU73" i="18"/>
  <c r="EM73" i="18"/>
  <c r="VA73" i="18"/>
  <c r="WE73" i="18"/>
  <c r="LE73" i="18"/>
  <c r="HK73" i="18"/>
  <c r="SC73" i="18"/>
  <c r="MS73" i="18"/>
  <c r="TA73" i="18"/>
  <c r="PA73" i="18"/>
  <c r="PO73" i="18"/>
  <c r="GS73" i="18"/>
  <c r="NS73" i="18"/>
  <c r="HQ73" i="18"/>
  <c r="DO73" i="18"/>
  <c r="HE73" i="18"/>
  <c r="WP74" i="18"/>
  <c r="VR74" i="18"/>
  <c r="UT74" i="18"/>
  <c r="TV74" i="18"/>
  <c r="SX74" i="18"/>
  <c r="RZ74" i="18"/>
  <c r="RB74" i="18"/>
  <c r="QD74" i="18"/>
  <c r="PF74" i="18"/>
  <c r="OH74" i="18"/>
  <c r="NJ74" i="18"/>
  <c r="ML74" i="18"/>
  <c r="LN74" i="18"/>
  <c r="KP74" i="18"/>
  <c r="JR74" i="18"/>
  <c r="IT74" i="18"/>
  <c r="HV74" i="18"/>
  <c r="GX74" i="18"/>
  <c r="FZ74" i="18"/>
  <c r="FB74" i="18"/>
  <c r="ED74" i="18"/>
  <c r="DF74" i="18"/>
  <c r="CH74" i="18"/>
  <c r="BJ74" i="18"/>
  <c r="AL74" i="18"/>
  <c r="XB74" i="18"/>
  <c r="VL74" i="18"/>
  <c r="UZ74" i="18"/>
  <c r="TJ74" i="18"/>
  <c r="RT74" i="18"/>
  <c r="XH74" i="18"/>
  <c r="WD74" i="18"/>
  <c r="UN74" i="18"/>
  <c r="RH74" i="18"/>
  <c r="PR74" i="18"/>
  <c r="OB74" i="18"/>
  <c r="NP74" i="18"/>
  <c r="LZ74" i="18"/>
  <c r="KJ74" i="18"/>
  <c r="JX74" i="18"/>
  <c r="IH74" i="18"/>
  <c r="GR74" i="18"/>
  <c r="GF74" i="18"/>
  <c r="EP74" i="18"/>
  <c r="CZ74" i="18"/>
  <c r="CN74" i="18"/>
  <c r="AX74" i="18"/>
  <c r="VX74" i="18"/>
  <c r="VF74" i="18"/>
  <c r="SF74" i="18"/>
  <c r="RN74" i="18"/>
  <c r="QJ74" i="18"/>
  <c r="PX74" i="18"/>
  <c r="OT74" i="18"/>
  <c r="ND74" i="18"/>
  <c r="HD74" i="18"/>
  <c r="FN74" i="18"/>
  <c r="EJ74" i="18"/>
  <c r="DX74" i="18"/>
  <c r="CT74" i="18"/>
  <c r="BP74" i="18"/>
  <c r="BD74" i="18"/>
  <c r="WV74" i="18"/>
  <c r="OZ74" i="18"/>
  <c r="MR74" i="18"/>
  <c r="LH74" i="18"/>
  <c r="IZ74" i="18"/>
  <c r="HP74" i="18"/>
  <c r="FH74" i="18"/>
  <c r="BV74" i="18"/>
  <c r="UH74" i="18"/>
  <c r="TD74" i="18"/>
  <c r="NV74" i="18"/>
  <c r="MX74" i="18"/>
  <c r="LT74" i="18"/>
  <c r="KV74" i="18"/>
  <c r="CB74" i="18"/>
  <c r="UB74" i="18"/>
  <c r="SR74" i="18"/>
  <c r="QP74" i="18"/>
  <c r="PL74" i="18"/>
  <c r="ON74" i="18"/>
  <c r="FT74" i="18"/>
  <c r="EV74" i="18"/>
  <c r="DR74" i="18"/>
  <c r="SL74" i="18"/>
  <c r="IN74" i="18"/>
  <c r="GL74" i="18"/>
  <c r="AR74" i="18"/>
  <c r="MF74" i="18"/>
  <c r="KD74" i="18"/>
  <c r="IB74" i="18"/>
  <c r="WJ74" i="18"/>
  <c r="TP74" i="18"/>
  <c r="JL74" i="18"/>
  <c r="HJ74" i="18"/>
  <c r="LB74" i="18"/>
  <c r="DL74" i="18"/>
  <c r="QV74" i="18"/>
  <c r="JF74" i="18"/>
  <c r="WZ75" i="18"/>
  <c r="WB75" i="18"/>
  <c r="VD75" i="18"/>
  <c r="UF75" i="18"/>
  <c r="TH75" i="18"/>
  <c r="SJ75" i="18"/>
  <c r="RL75" i="18"/>
  <c r="QN75" i="18"/>
  <c r="PP75" i="18"/>
  <c r="OR75" i="18"/>
  <c r="NT75" i="18"/>
  <c r="MV75" i="18"/>
  <c r="LX75" i="18"/>
  <c r="KZ75" i="18"/>
  <c r="KB75" i="18"/>
  <c r="JD75" i="18"/>
  <c r="IF75" i="18"/>
  <c r="HH75" i="18"/>
  <c r="GJ75" i="18"/>
  <c r="FL75" i="18"/>
  <c r="EN75" i="18"/>
  <c r="DP75" i="18"/>
  <c r="CR75" i="18"/>
  <c r="BT75" i="18"/>
  <c r="AV75" i="18"/>
  <c r="VV75" i="18"/>
  <c r="VJ75" i="18"/>
  <c r="TT75" i="18"/>
  <c r="SD75" i="18"/>
  <c r="RR75" i="18"/>
  <c r="QB75" i="18"/>
  <c r="OL75" i="18"/>
  <c r="NZ75" i="18"/>
  <c r="MJ75" i="18"/>
  <c r="KT75" i="18"/>
  <c r="KH75" i="18"/>
  <c r="IR75" i="18"/>
  <c r="HB75" i="18"/>
  <c r="GP75" i="18"/>
  <c r="EZ75" i="18"/>
  <c r="DJ75" i="18"/>
  <c r="CX75" i="18"/>
  <c r="BH75" i="18"/>
  <c r="XF75" i="18"/>
  <c r="WT75" i="18"/>
  <c r="VP75" i="18"/>
  <c r="UL75" i="18"/>
  <c r="TZ75" i="18"/>
  <c r="SV75" i="18"/>
  <c r="RF75" i="18"/>
  <c r="LF75" i="18"/>
  <c r="JP75" i="18"/>
  <c r="IL75" i="18"/>
  <c r="HZ75" i="18"/>
  <c r="GV75" i="18"/>
  <c r="FR75" i="18"/>
  <c r="FF75" i="18"/>
  <c r="EB75" i="18"/>
  <c r="CL75" i="18"/>
  <c r="WH75" i="18"/>
  <c r="SP75" i="18"/>
  <c r="RX75" i="18"/>
  <c r="OX75" i="18"/>
  <c r="OF75" i="18"/>
  <c r="NN75" i="18"/>
  <c r="KN75" i="18"/>
  <c r="JV75" i="18"/>
  <c r="GD75" i="18"/>
  <c r="ET75" i="18"/>
  <c r="BB75" i="18"/>
  <c r="AJ75" i="18"/>
  <c r="QH75" i="18"/>
  <c r="PJ75" i="18"/>
  <c r="NH75" i="18"/>
  <c r="LL75" i="18"/>
  <c r="JJ75" i="18"/>
  <c r="HN75" i="18"/>
  <c r="UR75" i="18"/>
  <c r="TN75" i="18"/>
  <c r="QT75" i="18"/>
  <c r="LR75" i="18"/>
  <c r="IX75" i="18"/>
  <c r="HT75" i="18"/>
  <c r="DV75" i="18"/>
  <c r="TB75" i="18"/>
  <c r="PD75" i="18"/>
  <c r="MP75" i="18"/>
  <c r="CF75" i="18"/>
  <c r="FX75" i="18"/>
  <c r="DD75" i="18"/>
  <c r="AP75" i="18"/>
  <c r="UX75" i="18"/>
  <c r="PV75" i="18"/>
  <c r="NB75" i="18"/>
  <c r="WN75" i="18"/>
  <c r="MD75" i="18"/>
  <c r="BZ75" i="18"/>
  <c r="QZ75" i="18"/>
  <c r="EH75" i="18"/>
  <c r="BN75" i="18"/>
  <c r="XG74" i="18"/>
  <c r="WI74" i="18"/>
  <c r="VK74" i="18"/>
  <c r="VO74" i="18" s="1"/>
  <c r="UM74" i="18"/>
  <c r="TO74" i="18"/>
  <c r="SQ74" i="18"/>
  <c r="RS74" i="18"/>
  <c r="QU74" i="18"/>
  <c r="PW74" i="18"/>
  <c r="PZ74" i="18" s="1"/>
  <c r="OY74" i="18"/>
  <c r="OA74" i="18"/>
  <c r="NC74" i="18"/>
  <c r="ME74" i="18"/>
  <c r="LG74" i="18"/>
  <c r="KI74" i="18"/>
  <c r="KK74" i="18" s="1"/>
  <c r="JK74" i="18"/>
  <c r="IM74" i="18"/>
  <c r="HO74" i="18"/>
  <c r="GQ74" i="18"/>
  <c r="FS74" i="18"/>
  <c r="EU74" i="18"/>
  <c r="DW74" i="18"/>
  <c r="CY74" i="18"/>
  <c r="CA74" i="18"/>
  <c r="BC74" i="18"/>
  <c r="VW74" i="18"/>
  <c r="UG74" i="18"/>
  <c r="TU74" i="18"/>
  <c r="SE74" i="18"/>
  <c r="WU74" i="18"/>
  <c r="VQ74" i="18"/>
  <c r="VE74" i="18"/>
  <c r="UA74" i="18"/>
  <c r="SW74" i="18"/>
  <c r="SK74" i="18"/>
  <c r="QO74" i="18"/>
  <c r="QQ74" i="18" s="1"/>
  <c r="QC74" i="18"/>
  <c r="OM74" i="18"/>
  <c r="OO74" i="18" s="1"/>
  <c r="MW74" i="18"/>
  <c r="MK74" i="18"/>
  <c r="MO74" i="18" s="1"/>
  <c r="KU74" i="18"/>
  <c r="JE74" i="18"/>
  <c r="IS74" i="18"/>
  <c r="HC74" i="18"/>
  <c r="FM74" i="18"/>
  <c r="FP74" i="18" s="1"/>
  <c r="FA74" i="18"/>
  <c r="DK74" i="18"/>
  <c r="BU74" i="18"/>
  <c r="BI74" i="18"/>
  <c r="WO74" i="18"/>
  <c r="TC74" i="18"/>
  <c r="RA74" i="18"/>
  <c r="PK74" i="18"/>
  <c r="PN74" i="18" s="1"/>
  <c r="OG74" i="18"/>
  <c r="NU74" i="18"/>
  <c r="MQ74" i="18"/>
  <c r="LM74" i="18"/>
  <c r="LA74" i="18"/>
  <c r="JW74" i="18"/>
  <c r="IG74" i="18"/>
  <c r="CG74" i="18"/>
  <c r="AQ74" i="18"/>
  <c r="RY74" i="18"/>
  <c r="QI74" i="18"/>
  <c r="PQ74" i="18"/>
  <c r="LY74" i="18"/>
  <c r="MB74" i="18" s="1"/>
  <c r="KO74" i="18"/>
  <c r="GW74" i="18"/>
  <c r="GE74" i="18"/>
  <c r="DE74" i="18"/>
  <c r="CM74" i="18"/>
  <c r="XA74" i="18"/>
  <c r="OS74" i="18"/>
  <c r="KC74" i="18"/>
  <c r="IY74" i="18"/>
  <c r="JB74" i="18" s="1"/>
  <c r="IA74" i="18"/>
  <c r="IC74" i="18" s="1"/>
  <c r="FY74" i="18"/>
  <c r="EC74" i="18"/>
  <c r="RM74" i="18"/>
  <c r="NO74" i="18"/>
  <c r="LS74" i="18"/>
  <c r="JQ74" i="18"/>
  <c r="HU74" i="18"/>
  <c r="AW74" i="18"/>
  <c r="UY74" i="18"/>
  <c r="EO74" i="18"/>
  <c r="CS74" i="18"/>
  <c r="US74" i="18"/>
  <c r="GK74" i="18"/>
  <c r="EI74" i="18"/>
  <c r="EK74" i="18" s="1"/>
  <c r="AK74" i="18"/>
  <c r="RG74" i="18"/>
  <c r="PE74" i="18"/>
  <c r="PI74" i="18" s="1"/>
  <c r="NI74" i="18"/>
  <c r="DQ74" i="18"/>
  <c r="BO74" i="18"/>
  <c r="TI74" i="18"/>
  <c r="HI74" i="18"/>
  <c r="FG74" i="18"/>
  <c r="WC74" i="18"/>
  <c r="WG74" i="18" s="1"/>
  <c r="QA74" i="18"/>
  <c r="T70" i="18"/>
  <c r="U70" i="18" s="1"/>
  <c r="R72" i="18"/>
  <c r="P72" i="18"/>
  <c r="T71" i="18" s="1"/>
  <c r="Q72" i="18"/>
  <c r="B145" i="9"/>
  <c r="I145" i="9" s="1"/>
  <c r="B145" i="7"/>
  <c r="B145" i="1"/>
  <c r="AG141" i="5"/>
  <c r="R143" i="5"/>
  <c r="AG138" i="5"/>
  <c r="R140" i="5"/>
  <c r="B144" i="5"/>
  <c r="K142" i="5"/>
  <c r="B147" i="5"/>
  <c r="AE145" i="5"/>
  <c r="K145" i="5"/>
  <c r="R136" i="14"/>
  <c r="E137" i="19" s="1"/>
  <c r="O140" i="1"/>
  <c r="O141" i="1"/>
  <c r="BQ141" i="1"/>
  <c r="BP141" i="1"/>
  <c r="X141" i="7" s="1"/>
  <c r="B139" i="14"/>
  <c r="S136" i="14"/>
  <c r="T136" i="14"/>
  <c r="U136" i="14"/>
  <c r="Q135" i="14"/>
  <c r="K135" i="7" s="1"/>
  <c r="B74" i="15"/>
  <c r="B144" i="9"/>
  <c r="B144" i="1"/>
  <c r="N142" i="1"/>
  <c r="B147" i="8"/>
  <c r="B146" i="8"/>
  <c r="B144" i="7"/>
  <c r="B76" i="18"/>
  <c r="G76" i="18" s="1"/>
  <c r="O75" i="18"/>
  <c r="N75" i="18"/>
  <c r="I106" i="4"/>
  <c r="E137" i="8" l="1"/>
  <c r="R137" i="8"/>
  <c r="L134" i="7"/>
  <c r="D136" i="19"/>
  <c r="J136" i="19" s="1"/>
  <c r="L135" i="7"/>
  <c r="K134" i="7"/>
  <c r="Q70" i="15"/>
  <c r="P70" i="15"/>
  <c r="N134" i="7"/>
  <c r="G70" i="15"/>
  <c r="N135" i="7"/>
  <c r="D136" i="8"/>
  <c r="R136" i="8" s="1"/>
  <c r="P137" i="19"/>
  <c r="P143" i="5"/>
  <c r="HE74" i="18"/>
  <c r="B151" i="19"/>
  <c r="G151" i="19" s="1"/>
  <c r="F149" i="19"/>
  <c r="I147" i="5"/>
  <c r="J147" i="5" s="1"/>
  <c r="F147" i="5" s="1"/>
  <c r="L77" i="7"/>
  <c r="K77" i="7"/>
  <c r="N77" i="7"/>
  <c r="K76" i="7"/>
  <c r="N76" i="7"/>
  <c r="L76" i="7"/>
  <c r="D78" i="19"/>
  <c r="E79" i="19"/>
  <c r="G41" i="15"/>
  <c r="E79" i="8"/>
  <c r="P41" i="15"/>
  <c r="D78" i="8"/>
  <c r="R78" i="8" s="1"/>
  <c r="Q41" i="15"/>
  <c r="DH74" i="18"/>
  <c r="I142" i="9"/>
  <c r="P139" i="5"/>
  <c r="T141" i="5"/>
  <c r="U141" i="5"/>
  <c r="Q143" i="5"/>
  <c r="U143" i="5" s="1"/>
  <c r="AL138" i="5"/>
  <c r="AJ140" i="5"/>
  <c r="AJ142" i="5" s="1"/>
  <c r="LQ74" i="18"/>
  <c r="L143" i="9"/>
  <c r="L142" i="9"/>
  <c r="M141" i="9"/>
  <c r="M140" i="9"/>
  <c r="OI74" i="18"/>
  <c r="J143" i="9"/>
  <c r="J142" i="9"/>
  <c r="H145" i="9"/>
  <c r="K145" i="9" s="1"/>
  <c r="F140" i="5"/>
  <c r="QL74" i="18"/>
  <c r="F146" i="8"/>
  <c r="G146" i="8"/>
  <c r="G147" i="8"/>
  <c r="F147" i="8"/>
  <c r="J145" i="7"/>
  <c r="I145" i="7"/>
  <c r="H144" i="9"/>
  <c r="K144" i="9" s="1"/>
  <c r="J144" i="7"/>
  <c r="I144" i="7"/>
  <c r="U74" i="15"/>
  <c r="Y74" i="18" s="1"/>
  <c r="E74" i="15"/>
  <c r="D74" i="15"/>
  <c r="D76" i="18"/>
  <c r="F76" i="18" s="1"/>
  <c r="E76" i="18"/>
  <c r="RP74" i="18"/>
  <c r="UJ74" i="18"/>
  <c r="TY74" i="18"/>
  <c r="AD144" i="5"/>
  <c r="I144" i="5"/>
  <c r="J144" i="5" s="1"/>
  <c r="H144" i="1"/>
  <c r="I144" i="1" s="1"/>
  <c r="H145" i="1"/>
  <c r="I145" i="1" s="1"/>
  <c r="S71" i="18"/>
  <c r="U71" i="18" s="1"/>
  <c r="LK74" i="18"/>
  <c r="LJ74" i="18"/>
  <c r="TK74" i="18"/>
  <c r="T74" i="15"/>
  <c r="VZ74" i="18"/>
  <c r="KW74" i="18"/>
  <c r="PM74" i="18"/>
  <c r="FI74" i="18"/>
  <c r="AM74" i="18"/>
  <c r="HW74" i="18"/>
  <c r="SN74" i="18"/>
  <c r="KM74" i="18"/>
  <c r="GA74" i="18"/>
  <c r="PY74" i="18"/>
  <c r="DT74" i="18"/>
  <c r="NW74" i="18"/>
  <c r="DA74" i="18"/>
  <c r="PO74" i="18"/>
  <c r="AO74" i="18"/>
  <c r="EF74" i="18"/>
  <c r="AT74" i="18"/>
  <c r="LD74" i="18"/>
  <c r="WQ74" i="18"/>
  <c r="SZ74" i="18"/>
  <c r="BR74" i="18"/>
  <c r="NS74" i="18"/>
  <c r="II74" i="18"/>
  <c r="MS74" i="18"/>
  <c r="VI74" i="18"/>
  <c r="CC74" i="18"/>
  <c r="UO74" i="18"/>
  <c r="LC74" i="18"/>
  <c r="SS74" i="18"/>
  <c r="AS74" i="18"/>
  <c r="OW74" i="18"/>
  <c r="KQ74" i="18"/>
  <c r="BL74" i="18"/>
  <c r="OU74" i="18"/>
  <c r="LI74" i="18"/>
  <c r="RI74" i="18"/>
  <c r="XC74" i="18"/>
  <c r="GZ74" i="18"/>
  <c r="BW74" i="18"/>
  <c r="LE74" i="18"/>
  <c r="CO74" i="18"/>
  <c r="KR74" i="18"/>
  <c r="SC74" i="18"/>
  <c r="DO74" i="18"/>
  <c r="MY74" i="18"/>
  <c r="SO74" i="18"/>
  <c r="VT74" i="18"/>
  <c r="GS74" i="18"/>
  <c r="RU74" i="18"/>
  <c r="OV74" i="18"/>
  <c r="UC74" i="18"/>
  <c r="SG74" i="18"/>
  <c r="BE74" i="18"/>
  <c r="MG74" i="18"/>
  <c r="TQ74" i="18"/>
  <c r="WK74" i="18"/>
  <c r="DS74" i="18"/>
  <c r="IO74" i="18"/>
  <c r="ST74" i="18"/>
  <c r="WX74" i="18"/>
  <c r="GB74" i="18"/>
  <c r="SM74" i="18"/>
  <c r="GU74" i="18"/>
  <c r="IQ74" i="18"/>
  <c r="AN74" i="18"/>
  <c r="KL74" i="18"/>
  <c r="NL74" i="18"/>
  <c r="JT74" i="18"/>
  <c r="KE74" i="18"/>
  <c r="WW74" i="18"/>
  <c r="DY74" i="18"/>
  <c r="DU74" i="18"/>
  <c r="SU74" i="18"/>
  <c r="GC74" i="18"/>
  <c r="KS74" i="18"/>
  <c r="GT74" i="18"/>
  <c r="IP74" i="18"/>
  <c r="LU74" i="18"/>
  <c r="GH74" i="18"/>
  <c r="PU74" i="18"/>
  <c r="CJ74" i="18"/>
  <c r="XI74" i="18"/>
  <c r="UU74" i="18"/>
  <c r="BA74" i="18"/>
  <c r="RC74" i="18"/>
  <c r="FU74" i="18"/>
  <c r="JO74" i="18"/>
  <c r="NF74" i="18"/>
  <c r="QY74" i="18"/>
  <c r="AU74" i="18"/>
  <c r="HL74" i="18"/>
  <c r="KX74" i="18"/>
  <c r="OC74" i="18"/>
  <c r="BM74" i="18"/>
  <c r="RK74" i="18"/>
  <c r="BK74" i="18"/>
  <c r="CD74" i="18"/>
  <c r="OE74" i="18"/>
  <c r="CV74" i="18"/>
  <c r="JY74" i="18"/>
  <c r="TF74" i="18"/>
  <c r="IW74" i="18"/>
  <c r="WF74" i="18"/>
  <c r="KY74" i="18"/>
  <c r="OD74" i="18"/>
  <c r="HM74" i="18"/>
  <c r="EQ74" i="18"/>
  <c r="FC74" i="18"/>
  <c r="JI74" i="18"/>
  <c r="VY74" i="18"/>
  <c r="HS74" i="18"/>
  <c r="PC74" i="18"/>
  <c r="GO74" i="18"/>
  <c r="VA74" i="18"/>
  <c r="QF74" i="18"/>
  <c r="EY74" i="18"/>
  <c r="WE74" i="18"/>
  <c r="HK74" i="18"/>
  <c r="WY74" i="18"/>
  <c r="WA74" i="18"/>
  <c r="RJ74" i="18"/>
  <c r="CE74" i="18"/>
  <c r="BS74" i="18"/>
  <c r="BQ74" i="18"/>
  <c r="VH74" i="18"/>
  <c r="RO74" i="18"/>
  <c r="KG74" i="18"/>
  <c r="GN74" i="18"/>
  <c r="CU74" i="18"/>
  <c r="TS74" i="18"/>
  <c r="PB74" i="18"/>
  <c r="JS74" i="18"/>
  <c r="UQ74" i="18"/>
  <c r="JN74" i="18"/>
  <c r="GG74" i="18"/>
  <c r="OK74" i="18"/>
  <c r="EX74" i="18"/>
  <c r="VS74" i="18"/>
  <c r="WS74" i="18"/>
  <c r="IV74" i="18"/>
  <c r="QK74" i="18"/>
  <c r="CQ74" i="18"/>
  <c r="PH74" i="18"/>
  <c r="UI74" i="18"/>
  <c r="NA74" i="18"/>
  <c r="JH74" i="18"/>
  <c r="FO74" i="18"/>
  <c r="UW74" i="18"/>
  <c r="SB74" i="18"/>
  <c r="NK74" i="18"/>
  <c r="EA74" i="18"/>
  <c r="TX74" i="18"/>
  <c r="JA74" i="18"/>
  <c r="UE74" i="18"/>
  <c r="NR74" i="18"/>
  <c r="EE74" i="18"/>
  <c r="FK74" i="18"/>
  <c r="VN74" i="18"/>
  <c r="GY74" i="18"/>
  <c r="SI74" i="18"/>
  <c r="LP74" i="18"/>
  <c r="NE74" i="18"/>
  <c r="TM74" i="18"/>
  <c r="PT74" i="18"/>
  <c r="MA74" i="18"/>
  <c r="ES74" i="18"/>
  <c r="AZ74" i="18"/>
  <c r="TE74" i="18"/>
  <c r="LW74" i="18"/>
  <c r="HR74" i="18"/>
  <c r="CI74" i="18"/>
  <c r="HY74" i="18"/>
  <c r="DN74" i="18"/>
  <c r="SY74" i="18"/>
  <c r="BG74" i="18"/>
  <c r="QX74" i="18"/>
  <c r="DG74" i="18"/>
  <c r="DC74" i="18"/>
  <c r="MN74" i="18"/>
  <c r="QE74" i="18"/>
  <c r="WP75" i="18"/>
  <c r="VR75" i="18"/>
  <c r="UT75" i="18"/>
  <c r="TV75" i="18"/>
  <c r="SX75" i="18"/>
  <c r="RZ75" i="18"/>
  <c r="RB75" i="18"/>
  <c r="QD75" i="18"/>
  <c r="PF75" i="18"/>
  <c r="OH75" i="18"/>
  <c r="NJ75" i="18"/>
  <c r="ML75" i="18"/>
  <c r="LN75" i="18"/>
  <c r="KP75" i="18"/>
  <c r="JR75" i="18"/>
  <c r="IT75" i="18"/>
  <c r="HV75" i="18"/>
  <c r="GX75" i="18"/>
  <c r="FZ75" i="18"/>
  <c r="FB75" i="18"/>
  <c r="ED75" i="18"/>
  <c r="DF75" i="18"/>
  <c r="CH75" i="18"/>
  <c r="BJ75" i="18"/>
  <c r="AL75" i="18"/>
  <c r="WD75" i="18"/>
  <c r="UN75" i="18"/>
  <c r="UB75" i="18"/>
  <c r="SL75" i="18"/>
  <c r="QV75" i="18"/>
  <c r="QJ75" i="18"/>
  <c r="OT75" i="18"/>
  <c r="ND75" i="18"/>
  <c r="MR75" i="18"/>
  <c r="LB75" i="18"/>
  <c r="JL75" i="18"/>
  <c r="IZ75" i="18"/>
  <c r="HJ75" i="18"/>
  <c r="FT75" i="18"/>
  <c r="FH75" i="18"/>
  <c r="DR75" i="18"/>
  <c r="CB75" i="18"/>
  <c r="BP75" i="18"/>
  <c r="UZ75" i="18"/>
  <c r="TJ75" i="18"/>
  <c r="SF75" i="18"/>
  <c r="RT75" i="18"/>
  <c r="QP75" i="18"/>
  <c r="PL75" i="18"/>
  <c r="OZ75" i="18"/>
  <c r="NV75" i="18"/>
  <c r="MF75" i="18"/>
  <c r="GF75" i="18"/>
  <c r="EP75" i="18"/>
  <c r="DL75" i="18"/>
  <c r="CZ75" i="18"/>
  <c r="BV75" i="18"/>
  <c r="AR75" i="18"/>
  <c r="WV75" i="18"/>
  <c r="VL75" i="18"/>
  <c r="TD75" i="18"/>
  <c r="PR75" i="18"/>
  <c r="LZ75" i="18"/>
  <c r="LH75" i="18"/>
  <c r="IH75" i="18"/>
  <c r="HP75" i="18"/>
  <c r="DX75" i="18"/>
  <c r="CN75" i="18"/>
  <c r="XB75" i="18"/>
  <c r="VX75" i="18"/>
  <c r="RH75" i="18"/>
  <c r="KJ75" i="18"/>
  <c r="IN75" i="18"/>
  <c r="GL75" i="18"/>
  <c r="FN75" i="18"/>
  <c r="EJ75" i="18"/>
  <c r="XH75" i="18"/>
  <c r="OB75" i="18"/>
  <c r="MX75" i="18"/>
  <c r="KD75" i="18"/>
  <c r="BD75" i="18"/>
  <c r="UH75" i="18"/>
  <c r="RN75" i="18"/>
  <c r="JX75" i="18"/>
  <c r="HD75" i="18"/>
  <c r="EV75" i="18"/>
  <c r="AX75" i="18"/>
  <c r="VF75" i="18"/>
  <c r="SR75" i="18"/>
  <c r="PX75" i="18"/>
  <c r="NP75" i="18"/>
  <c r="KV75" i="18"/>
  <c r="IB75" i="18"/>
  <c r="CT75" i="18"/>
  <c r="GR75" i="18"/>
  <c r="ON75" i="18"/>
  <c r="WJ75" i="18"/>
  <c r="LT75" i="18"/>
  <c r="TP75" i="18"/>
  <c r="JF75" i="18"/>
  <c r="VG74" i="18"/>
  <c r="NY74" i="18"/>
  <c r="KF74" i="18"/>
  <c r="GM74" i="18"/>
  <c r="WM74" i="18"/>
  <c r="TR74" i="18"/>
  <c r="PA74" i="18"/>
  <c r="EM74" i="18"/>
  <c r="UP74" i="18"/>
  <c r="JM74" i="18"/>
  <c r="VC74" i="18"/>
  <c r="OJ74" i="18"/>
  <c r="EW74" i="18"/>
  <c r="HG74" i="18"/>
  <c r="WR74" i="18"/>
  <c r="IU74" i="18"/>
  <c r="XK74" i="18"/>
  <c r="CP74" i="18"/>
  <c r="PG74" i="18"/>
  <c r="QS74" i="18"/>
  <c r="MZ74" i="18"/>
  <c r="JG74" i="18"/>
  <c r="BY74" i="18"/>
  <c r="UV74" i="18"/>
  <c r="SA74" i="18"/>
  <c r="IE74" i="18"/>
  <c r="DZ74" i="18"/>
  <c r="TW74" i="18"/>
  <c r="FE74" i="18"/>
  <c r="UD74" i="18"/>
  <c r="NQ74" i="18"/>
  <c r="RW74" i="18"/>
  <c r="FJ74" i="18"/>
  <c r="VM74" i="18"/>
  <c r="OQ74" i="18"/>
  <c r="SH74" i="18"/>
  <c r="LO74" i="18"/>
  <c r="XE74" i="18"/>
  <c r="TL74" i="18"/>
  <c r="PS74" i="18"/>
  <c r="IK74" i="18"/>
  <c r="ER74" i="18"/>
  <c r="AY74" i="18"/>
  <c r="RE74" i="18"/>
  <c r="LV74" i="18"/>
  <c r="HQ74" i="18"/>
  <c r="MI74" i="18"/>
  <c r="HX74" i="18"/>
  <c r="DM74" i="18"/>
  <c r="KA74" i="18"/>
  <c r="BF74" i="18"/>
  <c r="QW74" i="18"/>
  <c r="MU74" i="18"/>
  <c r="DB74" i="18"/>
  <c r="MM74" i="18"/>
  <c r="FW74" i="18"/>
  <c r="WZ76" i="18"/>
  <c r="WB76" i="18"/>
  <c r="VD76" i="18"/>
  <c r="UF76" i="18"/>
  <c r="TH76" i="18"/>
  <c r="SJ76" i="18"/>
  <c r="RL76" i="18"/>
  <c r="QN76" i="18"/>
  <c r="PP76" i="18"/>
  <c r="OR76" i="18"/>
  <c r="NT76" i="18"/>
  <c r="MV76" i="18"/>
  <c r="LX76" i="18"/>
  <c r="KZ76" i="18"/>
  <c r="KB76" i="18"/>
  <c r="JD76" i="18"/>
  <c r="IF76" i="18"/>
  <c r="HH76" i="18"/>
  <c r="GJ76" i="18"/>
  <c r="FL76" i="18"/>
  <c r="EN76" i="18"/>
  <c r="DP76" i="18"/>
  <c r="CR76" i="18"/>
  <c r="BT76" i="18"/>
  <c r="AV76" i="18"/>
  <c r="WN76" i="18"/>
  <c r="UX76" i="18"/>
  <c r="UL76" i="18"/>
  <c r="SV76" i="18"/>
  <c r="RF76" i="18"/>
  <c r="QT76" i="18"/>
  <c r="PD76" i="18"/>
  <c r="NN76" i="18"/>
  <c r="NB76" i="18"/>
  <c r="LL76" i="18"/>
  <c r="JV76" i="18"/>
  <c r="JJ76" i="18"/>
  <c r="HT76" i="18"/>
  <c r="GD76" i="18"/>
  <c r="FR76" i="18"/>
  <c r="EB76" i="18"/>
  <c r="CL76" i="18"/>
  <c r="BZ76" i="18"/>
  <c r="AJ76" i="18"/>
  <c r="RR76" i="18"/>
  <c r="QB76" i="18"/>
  <c r="OX76" i="18"/>
  <c r="OL76" i="18"/>
  <c r="NH76" i="18"/>
  <c r="MD76" i="18"/>
  <c r="LR76" i="18"/>
  <c r="KN76" i="18"/>
  <c r="IX76" i="18"/>
  <c r="CX76" i="18"/>
  <c r="BH76" i="18"/>
  <c r="XF76" i="18"/>
  <c r="VV76" i="18"/>
  <c r="TN76" i="18"/>
  <c r="SD76" i="18"/>
  <c r="PV76" i="18"/>
  <c r="MJ76" i="18"/>
  <c r="IR76" i="18"/>
  <c r="HZ76" i="18"/>
  <c r="EZ76" i="18"/>
  <c r="EH76" i="18"/>
  <c r="AP76" i="18"/>
  <c r="WH76" i="18"/>
  <c r="VJ76" i="18"/>
  <c r="MP76" i="18"/>
  <c r="KT76" i="18"/>
  <c r="GV76" i="18"/>
  <c r="FX76" i="18"/>
  <c r="ET76" i="18"/>
  <c r="DV76" i="18"/>
  <c r="TT76" i="18"/>
  <c r="QZ76" i="18"/>
  <c r="OF76" i="18"/>
  <c r="GP76" i="18"/>
  <c r="BN76" i="18"/>
  <c r="UR76" i="18"/>
  <c r="RX76" i="18"/>
  <c r="PJ76" i="18"/>
  <c r="KH76" i="18"/>
  <c r="HN76" i="18"/>
  <c r="FF76" i="18"/>
  <c r="BB76" i="18"/>
  <c r="VP76" i="18"/>
  <c r="TB76" i="18"/>
  <c r="QH76" i="18"/>
  <c r="NZ76" i="18"/>
  <c r="LF76" i="18"/>
  <c r="IL76" i="18"/>
  <c r="DJ76" i="18"/>
  <c r="SP76" i="18"/>
  <c r="DD76" i="18"/>
  <c r="CF76" i="18"/>
  <c r="WT76" i="18"/>
  <c r="TZ76" i="18"/>
  <c r="JP76" i="18"/>
  <c r="HB76" i="18"/>
  <c r="XG75" i="18"/>
  <c r="WI75" i="18"/>
  <c r="VK75" i="18"/>
  <c r="UM75" i="18"/>
  <c r="TO75" i="18"/>
  <c r="SQ75" i="18"/>
  <c r="RS75" i="18"/>
  <c r="QU75" i="18"/>
  <c r="PW75" i="18"/>
  <c r="OY75" i="18"/>
  <c r="PA75" i="18" s="1"/>
  <c r="OA75" i="18"/>
  <c r="NC75" i="18"/>
  <c r="ME75" i="18"/>
  <c r="LG75" i="18"/>
  <c r="KI75" i="18"/>
  <c r="JK75" i="18"/>
  <c r="IM75" i="18"/>
  <c r="IQ75" i="18" s="1"/>
  <c r="HO75" i="18"/>
  <c r="HQ75" i="18" s="1"/>
  <c r="GQ75" i="18"/>
  <c r="FS75" i="18"/>
  <c r="EU75" i="18"/>
  <c r="DW75" i="18"/>
  <c r="CY75" i="18"/>
  <c r="CA75" i="18"/>
  <c r="BC75" i="18"/>
  <c r="BG75" i="18" s="1"/>
  <c r="XA75" i="18"/>
  <c r="WO75" i="18"/>
  <c r="UY75" i="18"/>
  <c r="VC75" i="18" s="1"/>
  <c r="TI75" i="18"/>
  <c r="TM75" i="18" s="1"/>
  <c r="SW75" i="18"/>
  <c r="RG75" i="18"/>
  <c r="PQ75" i="18"/>
  <c r="PE75" i="18"/>
  <c r="PI75" i="18" s="1"/>
  <c r="NO75" i="18"/>
  <c r="LY75" i="18"/>
  <c r="MA75" i="18" s="1"/>
  <c r="LM75" i="18"/>
  <c r="JW75" i="18"/>
  <c r="IG75" i="18"/>
  <c r="HU75" i="18"/>
  <c r="GE75" i="18"/>
  <c r="EO75" i="18"/>
  <c r="EC75" i="18"/>
  <c r="CM75" i="18"/>
  <c r="AW75" i="18"/>
  <c r="AK75" i="18"/>
  <c r="AO75" i="18" s="1"/>
  <c r="WC75" i="18"/>
  <c r="WF75" i="18" s="1"/>
  <c r="QC75" i="18"/>
  <c r="OM75" i="18"/>
  <c r="OP75" i="18" s="1"/>
  <c r="NI75" i="18"/>
  <c r="MW75" i="18"/>
  <c r="LS75" i="18"/>
  <c r="KO75" i="18"/>
  <c r="KC75" i="18"/>
  <c r="IY75" i="18"/>
  <c r="HI75" i="18"/>
  <c r="BI75" i="18"/>
  <c r="US75" i="18"/>
  <c r="UA75" i="18"/>
  <c r="RA75" i="18"/>
  <c r="QI75" i="18"/>
  <c r="MQ75" i="18"/>
  <c r="JE75" i="18"/>
  <c r="GW75" i="18"/>
  <c r="FM75" i="18"/>
  <c r="DE75" i="18"/>
  <c r="BU75" i="18"/>
  <c r="VE75" i="18"/>
  <c r="UG75" i="18"/>
  <c r="TC75" i="18"/>
  <c r="SE75" i="18"/>
  <c r="SG75" i="18" s="1"/>
  <c r="OG75" i="18"/>
  <c r="MK75" i="18"/>
  <c r="MM75" i="18" s="1"/>
  <c r="DQ75" i="18"/>
  <c r="DT75" i="18" s="1"/>
  <c r="CS75" i="18"/>
  <c r="BO75" i="18"/>
  <c r="BR75" i="18" s="1"/>
  <c r="AQ75" i="18"/>
  <c r="VW75" i="18"/>
  <c r="RY75" i="18"/>
  <c r="PK75" i="18"/>
  <c r="GK75" i="18"/>
  <c r="FA75" i="18"/>
  <c r="CG75" i="18"/>
  <c r="WU75" i="18"/>
  <c r="VQ75" i="18"/>
  <c r="QO75" i="18"/>
  <c r="NU75" i="18"/>
  <c r="LA75" i="18"/>
  <c r="IS75" i="18"/>
  <c r="IW75" i="18" s="1"/>
  <c r="FY75" i="18"/>
  <c r="DK75" i="18"/>
  <c r="SK75" i="18"/>
  <c r="KU75" i="18"/>
  <c r="KX75" i="18" s="1"/>
  <c r="IA75" i="18"/>
  <c r="FG75" i="18"/>
  <c r="TU75" i="18"/>
  <c r="RM75" i="18"/>
  <c r="OS75" i="18"/>
  <c r="JQ75" i="18"/>
  <c r="HC75" i="18"/>
  <c r="EI75" i="18"/>
  <c r="RQ74" i="18"/>
  <c r="NX74" i="18"/>
  <c r="CW74" i="18"/>
  <c r="WL74" i="18"/>
  <c r="JU74" i="18"/>
  <c r="EL74" i="18"/>
  <c r="GI74" i="18"/>
  <c r="VB74" i="18"/>
  <c r="VU74" i="18"/>
  <c r="HF74" i="18"/>
  <c r="QM74" i="18"/>
  <c r="XJ74" i="18"/>
  <c r="UK74" i="18"/>
  <c r="QR74" i="18"/>
  <c r="FQ74" i="18"/>
  <c r="BX74" i="18"/>
  <c r="NM74" i="18"/>
  <c r="ID74" i="18"/>
  <c r="JC74" i="18"/>
  <c r="FD74" i="18"/>
  <c r="EG74" i="18"/>
  <c r="RV74" i="18"/>
  <c r="HA74" i="18"/>
  <c r="OP74" i="18"/>
  <c r="NG74" i="18"/>
  <c r="XD74" i="18"/>
  <c r="MC74" i="18"/>
  <c r="IJ74" i="18"/>
  <c r="TG74" i="18"/>
  <c r="RD74" i="18"/>
  <c r="CK74" i="18"/>
  <c r="MH74" i="18"/>
  <c r="TA74" i="18"/>
  <c r="JZ74" i="18"/>
  <c r="DI74" i="18"/>
  <c r="MT74" i="18"/>
  <c r="QG74" i="18"/>
  <c r="FV74" i="18"/>
  <c r="P73" i="18"/>
  <c r="T72" i="18" s="1"/>
  <c r="Q73" i="18"/>
  <c r="R73" i="18"/>
  <c r="B147" i="9"/>
  <c r="I147" i="9" s="1"/>
  <c r="B147" i="7"/>
  <c r="B147" i="1"/>
  <c r="U136" i="5"/>
  <c r="Q138" i="5"/>
  <c r="AG140" i="5"/>
  <c r="R142" i="5"/>
  <c r="AG143" i="5"/>
  <c r="R145" i="5"/>
  <c r="B149" i="5"/>
  <c r="K147" i="5"/>
  <c r="AE147" i="5"/>
  <c r="F142" i="5"/>
  <c r="B146" i="5"/>
  <c r="K144" i="5"/>
  <c r="BP143" i="1"/>
  <c r="X143" i="7" s="1"/>
  <c r="O142" i="1"/>
  <c r="BQ143" i="1"/>
  <c r="O143" i="1"/>
  <c r="R137" i="14"/>
  <c r="D138" i="8" s="1"/>
  <c r="R138" i="8" s="1"/>
  <c r="S137" i="14"/>
  <c r="U137" i="14"/>
  <c r="T137" i="14"/>
  <c r="Q136" i="14"/>
  <c r="K136" i="7" s="1"/>
  <c r="B140" i="14"/>
  <c r="B146" i="1"/>
  <c r="N144" i="1"/>
  <c r="B75" i="15"/>
  <c r="B149" i="8"/>
  <c r="B148" i="8"/>
  <c r="B146" i="7"/>
  <c r="B146" i="9"/>
  <c r="B77" i="18"/>
  <c r="G77" i="18" s="1"/>
  <c r="O76" i="18"/>
  <c r="N76" i="18"/>
  <c r="P136" i="19" l="1"/>
  <c r="K136" i="19"/>
  <c r="I136" i="19"/>
  <c r="L136" i="19"/>
  <c r="N136" i="7"/>
  <c r="P139" i="19"/>
  <c r="R139" i="8"/>
  <c r="E139" i="8"/>
  <c r="D138" i="19"/>
  <c r="I138" i="19" s="1"/>
  <c r="P71" i="15"/>
  <c r="Q71" i="15"/>
  <c r="K137" i="7"/>
  <c r="L137" i="7"/>
  <c r="N137" i="7"/>
  <c r="L136" i="7"/>
  <c r="G71" i="15"/>
  <c r="E139" i="19"/>
  <c r="P137" i="5"/>
  <c r="Q140" i="5"/>
  <c r="Q145" i="5"/>
  <c r="RK75" i="18"/>
  <c r="TG75" i="18"/>
  <c r="WX75" i="18"/>
  <c r="JO75" i="18"/>
  <c r="P138" i="19"/>
  <c r="B153" i="19"/>
  <c r="G153" i="19" s="1"/>
  <c r="F151" i="19"/>
  <c r="I149" i="5"/>
  <c r="J149" i="5" s="1"/>
  <c r="F149" i="5" s="1"/>
  <c r="N79" i="7"/>
  <c r="N78" i="7"/>
  <c r="K78" i="7"/>
  <c r="K79" i="7"/>
  <c r="L79" i="7"/>
  <c r="L78" i="7"/>
  <c r="E81" i="19"/>
  <c r="D80" i="19"/>
  <c r="G42" i="15"/>
  <c r="P42" i="15"/>
  <c r="Q42" i="15"/>
  <c r="D80" i="8"/>
  <c r="R80" i="8" s="1"/>
  <c r="E81" i="8"/>
  <c r="EL75" i="18"/>
  <c r="CU75" i="18"/>
  <c r="LD75" i="18"/>
  <c r="T143" i="5"/>
  <c r="AF143" i="5" s="1"/>
  <c r="P13" i="7" s="1"/>
  <c r="P145" i="5"/>
  <c r="I144" i="9"/>
  <c r="XK75" i="18"/>
  <c r="ID75" i="18"/>
  <c r="AF141" i="5"/>
  <c r="P11" i="7" s="1"/>
  <c r="T139" i="5"/>
  <c r="AF139" i="5" s="1"/>
  <c r="RU75" i="18"/>
  <c r="AL140" i="5"/>
  <c r="L145" i="9"/>
  <c r="L144" i="9"/>
  <c r="M143" i="9"/>
  <c r="M142" i="9"/>
  <c r="J144" i="9"/>
  <c r="J145" i="9"/>
  <c r="H147" i="9"/>
  <c r="K147" i="9" s="1"/>
  <c r="F149" i="8"/>
  <c r="G149" i="8"/>
  <c r="F148" i="8"/>
  <c r="G148" i="8"/>
  <c r="I146" i="7"/>
  <c r="J146" i="7"/>
  <c r="H146" i="9"/>
  <c r="K146" i="9" s="1"/>
  <c r="I147" i="7"/>
  <c r="J147" i="7"/>
  <c r="U75" i="15"/>
  <c r="Y75" i="18" s="1"/>
  <c r="D75" i="15"/>
  <c r="E75" i="15"/>
  <c r="D77" i="18"/>
  <c r="F77" i="18" s="1"/>
  <c r="E77" i="18"/>
  <c r="AD146" i="5"/>
  <c r="AE146" i="5" s="1"/>
  <c r="AI146" i="5" s="1"/>
  <c r="I146" i="5"/>
  <c r="J146" i="5" s="1"/>
  <c r="H147" i="1"/>
  <c r="I147" i="1" s="1"/>
  <c r="H146" i="1"/>
  <c r="I146" i="1" s="1"/>
  <c r="RC75" i="18"/>
  <c r="S72" i="18"/>
  <c r="U72" i="18" s="1"/>
  <c r="T75" i="15"/>
  <c r="BM75" i="18"/>
  <c r="GU75" i="18"/>
  <c r="SB75" i="18"/>
  <c r="UU75" i="18"/>
  <c r="NL75" i="18"/>
  <c r="JS75" i="18"/>
  <c r="RO75" i="18"/>
  <c r="QL75" i="18"/>
  <c r="FP75" i="18"/>
  <c r="FU75" i="18"/>
  <c r="UO75" i="18"/>
  <c r="TS75" i="18"/>
  <c r="AZ75" i="18"/>
  <c r="NX75" i="18"/>
  <c r="CJ75" i="18"/>
  <c r="LJ75" i="18"/>
  <c r="NK75" i="18"/>
  <c r="SN75" i="18"/>
  <c r="WE75" i="18"/>
  <c r="RV75" i="18"/>
  <c r="PB75" i="18"/>
  <c r="RW75" i="18"/>
  <c r="NG75" i="18"/>
  <c r="WS75" i="18"/>
  <c r="RJ75" i="18"/>
  <c r="GT75" i="18"/>
  <c r="JB75" i="18"/>
  <c r="EE75" i="18"/>
  <c r="CW75" i="18"/>
  <c r="VO75" i="18"/>
  <c r="VZ75" i="18"/>
  <c r="WG75" i="18"/>
  <c r="SC75" i="18"/>
  <c r="VS75" i="18"/>
  <c r="GN75" i="18"/>
  <c r="AU75" i="18"/>
  <c r="UI75" i="18"/>
  <c r="KS75" i="18"/>
  <c r="PT75" i="18"/>
  <c r="CD75" i="18"/>
  <c r="QW75" i="18"/>
  <c r="CP75" i="18"/>
  <c r="SA75" i="18"/>
  <c r="PC75" i="18"/>
  <c r="OJ75" i="18"/>
  <c r="GZ75" i="18"/>
  <c r="HL75" i="18"/>
  <c r="LU75" i="18"/>
  <c r="OC75" i="18"/>
  <c r="VY75" i="18"/>
  <c r="DG75" i="18"/>
  <c r="MU75" i="18"/>
  <c r="ES75" i="18"/>
  <c r="EY75" i="18"/>
  <c r="PY75" i="18"/>
  <c r="VU75" i="18"/>
  <c r="UQ75" i="18"/>
  <c r="QG75" i="18"/>
  <c r="CQ75" i="18"/>
  <c r="DA75" i="18"/>
  <c r="VM75" i="18"/>
  <c r="KQ75" i="18"/>
  <c r="KG75" i="18"/>
  <c r="RI75" i="18"/>
  <c r="JA75" i="18"/>
  <c r="EG75" i="18"/>
  <c r="LP75" i="18"/>
  <c r="EF75" i="18"/>
  <c r="UV75" i="18"/>
  <c r="PH75" i="18"/>
  <c r="GH75" i="18"/>
  <c r="LO75" i="18"/>
  <c r="NF75" i="18"/>
  <c r="DS75" i="18"/>
  <c r="IC75" i="18"/>
  <c r="BE75" i="18"/>
  <c r="JC75" i="18"/>
  <c r="DI75" i="18"/>
  <c r="HG75" i="18"/>
  <c r="SO75" i="18"/>
  <c r="PM75" i="18"/>
  <c r="HW75" i="18"/>
  <c r="WQ75" i="18"/>
  <c r="WA75" i="18"/>
  <c r="NM75" i="18"/>
  <c r="DH75" i="18"/>
  <c r="GS75" i="18"/>
  <c r="HY75" i="18"/>
  <c r="BX75" i="18"/>
  <c r="II75" i="18"/>
  <c r="SY75" i="18"/>
  <c r="XC75" i="18"/>
  <c r="DU75" i="18"/>
  <c r="HE75" i="18"/>
  <c r="IE75" i="18"/>
  <c r="BF75" i="18"/>
  <c r="UW75" i="18"/>
  <c r="PG75" i="18"/>
  <c r="QE75" i="18"/>
  <c r="HX75" i="18"/>
  <c r="SS75" i="18"/>
  <c r="WM75" i="18"/>
  <c r="AM75" i="18"/>
  <c r="MS75" i="18"/>
  <c r="KF75" i="18"/>
  <c r="CO75" i="18"/>
  <c r="LK75" i="18"/>
  <c r="VN75" i="18"/>
  <c r="DB75" i="18"/>
  <c r="OU75" i="18"/>
  <c r="QF75" i="18"/>
  <c r="TR75" i="18"/>
  <c r="AS75" i="18"/>
  <c r="OW75" i="18"/>
  <c r="MO75" i="18"/>
  <c r="DC75" i="18"/>
  <c r="VT75" i="18"/>
  <c r="KR75" i="18"/>
  <c r="NE75" i="18"/>
  <c r="KE75" i="18"/>
  <c r="UP75" i="18"/>
  <c r="LI75" i="18"/>
  <c r="TY75" i="18"/>
  <c r="VG75" i="18"/>
  <c r="KL75" i="18"/>
  <c r="OV75" i="18"/>
  <c r="MN75" i="18"/>
  <c r="RQ75" i="18"/>
  <c r="KY75" i="18"/>
  <c r="BL75" i="18"/>
  <c r="HA75" i="18"/>
  <c r="LQ75" i="18"/>
  <c r="TQ75" i="18"/>
  <c r="WR75" i="18"/>
  <c r="FJ75" i="18"/>
  <c r="DN75" i="18"/>
  <c r="NY75" i="18"/>
  <c r="JH75" i="18"/>
  <c r="UD75" i="18"/>
  <c r="NA75" i="18"/>
  <c r="NQ75" i="18"/>
  <c r="DY75" i="18"/>
  <c r="RE75" i="18"/>
  <c r="BK75" i="18"/>
  <c r="GB75" i="18"/>
  <c r="QR75" i="18"/>
  <c r="FC75" i="18"/>
  <c r="JZ75" i="18"/>
  <c r="MG75" i="18"/>
  <c r="NW75" i="18"/>
  <c r="GO75" i="18"/>
  <c r="CV75" i="18"/>
  <c r="RP75" i="18"/>
  <c r="GM75" i="18"/>
  <c r="KW75" i="18"/>
  <c r="KA75" i="18"/>
  <c r="JY75" i="18"/>
  <c r="AN75" i="18"/>
  <c r="MT75" i="18"/>
  <c r="HM75" i="18"/>
  <c r="SM75" i="18"/>
  <c r="LE75" i="18"/>
  <c r="HK75" i="18"/>
  <c r="HF75" i="18"/>
  <c r="RD75" i="18"/>
  <c r="VI75" i="18"/>
  <c r="GY75" i="18"/>
  <c r="LC75" i="18"/>
  <c r="VH75" i="18"/>
  <c r="AT75" i="18"/>
  <c r="EM75" i="18"/>
  <c r="WZ77" i="18"/>
  <c r="WB77" i="18"/>
  <c r="VD77" i="18"/>
  <c r="UF77" i="18"/>
  <c r="TH77" i="18"/>
  <c r="SJ77" i="18"/>
  <c r="RL77" i="18"/>
  <c r="QN77" i="18"/>
  <c r="PP77" i="18"/>
  <c r="OR77" i="18"/>
  <c r="NT77" i="18"/>
  <c r="MV77" i="18"/>
  <c r="LX77" i="18"/>
  <c r="KZ77" i="18"/>
  <c r="KB77" i="18"/>
  <c r="JD77" i="18"/>
  <c r="IF77" i="18"/>
  <c r="HH77" i="18"/>
  <c r="GJ77" i="18"/>
  <c r="FL77" i="18"/>
  <c r="EN77" i="18"/>
  <c r="DP77" i="18"/>
  <c r="CR77" i="18"/>
  <c r="BT77" i="18"/>
  <c r="AV77" i="18"/>
  <c r="XF77" i="18"/>
  <c r="VP77" i="18"/>
  <c r="TZ77" i="18"/>
  <c r="TN77" i="18"/>
  <c r="RX77" i="18"/>
  <c r="QH77" i="18"/>
  <c r="PV77" i="18"/>
  <c r="OF77" i="18"/>
  <c r="MP77" i="18"/>
  <c r="MD77" i="18"/>
  <c r="KN77" i="18"/>
  <c r="IX77" i="18"/>
  <c r="IL77" i="18"/>
  <c r="GV77" i="18"/>
  <c r="FF77" i="18"/>
  <c r="ET77" i="18"/>
  <c r="DD77" i="18"/>
  <c r="BN77" i="18"/>
  <c r="BB77" i="18"/>
  <c r="WN77" i="18"/>
  <c r="VJ77" i="18"/>
  <c r="UX77" i="18"/>
  <c r="TT77" i="18"/>
  <c r="SP77" i="18"/>
  <c r="SD77" i="18"/>
  <c r="QZ77" i="18"/>
  <c r="PJ77" i="18"/>
  <c r="JJ77" i="18"/>
  <c r="HT77" i="18"/>
  <c r="GP77" i="18"/>
  <c r="GD77" i="18"/>
  <c r="EZ77" i="18"/>
  <c r="DV77" i="18"/>
  <c r="DJ77" i="18"/>
  <c r="CF77" i="18"/>
  <c r="AP77" i="18"/>
  <c r="WT77" i="18"/>
  <c r="TB77" i="18"/>
  <c r="RR77" i="18"/>
  <c r="NZ77" i="18"/>
  <c r="NH77" i="18"/>
  <c r="KH77" i="18"/>
  <c r="JP77" i="18"/>
  <c r="FX77" i="18"/>
  <c r="CL77" i="18"/>
  <c r="UR77" i="18"/>
  <c r="SV77" i="18"/>
  <c r="QT77" i="18"/>
  <c r="OX77" i="18"/>
  <c r="HZ77" i="18"/>
  <c r="HB77" i="18"/>
  <c r="BH77" i="18"/>
  <c r="AJ77" i="18"/>
  <c r="WH77" i="18"/>
  <c r="QB77" i="18"/>
  <c r="NN77" i="18"/>
  <c r="KT77" i="18"/>
  <c r="FR77" i="18"/>
  <c r="EH77" i="18"/>
  <c r="CX77" i="18"/>
  <c r="RF77" i="18"/>
  <c r="OL77" i="18"/>
  <c r="NB77" i="18"/>
  <c r="LR77" i="18"/>
  <c r="EB77" i="18"/>
  <c r="VV77" i="18"/>
  <c r="LL77" i="18"/>
  <c r="IR77" i="18"/>
  <c r="LF77" i="18"/>
  <c r="UL77" i="18"/>
  <c r="HN77" i="18"/>
  <c r="MJ77" i="18"/>
  <c r="BZ77" i="18"/>
  <c r="JV77" i="18"/>
  <c r="PD77" i="18"/>
  <c r="EK75" i="18"/>
  <c r="QS75" i="18"/>
  <c r="MZ75" i="18"/>
  <c r="JG75" i="18"/>
  <c r="BY75" i="18"/>
  <c r="TW75" i="18"/>
  <c r="OO75" i="18"/>
  <c r="FE75" i="18"/>
  <c r="XJ75" i="18"/>
  <c r="UC75" i="18"/>
  <c r="FW75" i="18"/>
  <c r="WL75" i="18"/>
  <c r="OI75" i="18"/>
  <c r="QM75" i="18"/>
  <c r="JM75" i="18"/>
  <c r="QX75" i="18"/>
  <c r="CK75" i="18"/>
  <c r="VA75" i="18"/>
  <c r="MH75" i="18"/>
  <c r="XE75" i="18"/>
  <c r="TK75" i="18"/>
  <c r="PS75" i="18"/>
  <c r="IK75" i="18"/>
  <c r="EQ75" i="18"/>
  <c r="AY75" i="18"/>
  <c r="OE75" i="18"/>
  <c r="IV75" i="18"/>
  <c r="DM75" i="18"/>
  <c r="TA75" i="18"/>
  <c r="IP75" i="18"/>
  <c r="FI75" i="18"/>
  <c r="NS75" i="18"/>
  <c r="EW75" i="18"/>
  <c r="PN75" i="18"/>
  <c r="LW75" i="18"/>
  <c r="TF75" i="18"/>
  <c r="GA75" i="18"/>
  <c r="CE75" i="18"/>
  <c r="UK75" i="18"/>
  <c r="QQ75" i="18"/>
  <c r="MY75" i="18"/>
  <c r="FQ75" i="18"/>
  <c r="BW75" i="18"/>
  <c r="TX75" i="18"/>
  <c r="KM75" i="18"/>
  <c r="FD75" i="18"/>
  <c r="XI75" i="18"/>
  <c r="JU75" i="18"/>
  <c r="FV75" i="18"/>
  <c r="WK75" i="18"/>
  <c r="GI75" i="18"/>
  <c r="QK75" i="18"/>
  <c r="JN75" i="18"/>
  <c r="EA75" i="18"/>
  <c r="CI75" i="18"/>
  <c r="VB75" i="18"/>
  <c r="BS75" i="18"/>
  <c r="XD75" i="18"/>
  <c r="TL75" i="18"/>
  <c r="MC75" i="18"/>
  <c r="IJ75" i="18"/>
  <c r="ER75" i="18"/>
  <c r="SI75" i="18"/>
  <c r="OD75" i="18"/>
  <c r="IU75" i="18"/>
  <c r="WY75" i="18"/>
  <c r="SZ75" i="18"/>
  <c r="IO75" i="18"/>
  <c r="SU75" i="18"/>
  <c r="NR75" i="18"/>
  <c r="EX75" i="18"/>
  <c r="HS75" i="18"/>
  <c r="LV75" i="18"/>
  <c r="TE75" i="18"/>
  <c r="QA75" i="18"/>
  <c r="CC75" i="18"/>
  <c r="XG76" i="18"/>
  <c r="WI76" i="18"/>
  <c r="VK76" i="18"/>
  <c r="UM76" i="18"/>
  <c r="TO76" i="18"/>
  <c r="SQ76" i="18"/>
  <c r="RS76" i="18"/>
  <c r="QU76" i="18"/>
  <c r="PW76" i="18"/>
  <c r="OY76" i="18"/>
  <c r="OA76" i="18"/>
  <c r="NC76" i="18"/>
  <c r="ME76" i="18"/>
  <c r="LG76" i="18"/>
  <c r="KI76" i="18"/>
  <c r="JK76" i="18"/>
  <c r="IM76" i="18"/>
  <c r="HO76" i="18"/>
  <c r="GQ76" i="18"/>
  <c r="FS76" i="18"/>
  <c r="EU76" i="18"/>
  <c r="DW76" i="18"/>
  <c r="CY76" i="18"/>
  <c r="CA76" i="18"/>
  <c r="BC76" i="18"/>
  <c r="WC76" i="18"/>
  <c r="VQ76" i="18"/>
  <c r="UA76" i="18"/>
  <c r="SK76" i="18"/>
  <c r="RY76" i="18"/>
  <c r="QI76" i="18"/>
  <c r="OS76" i="18"/>
  <c r="OG76" i="18"/>
  <c r="MQ76" i="18"/>
  <c r="LA76" i="18"/>
  <c r="KO76" i="18"/>
  <c r="IY76" i="18"/>
  <c r="HI76" i="18"/>
  <c r="GW76" i="18"/>
  <c r="FG76" i="18"/>
  <c r="DQ76" i="18"/>
  <c r="DE76" i="18"/>
  <c r="BO76" i="18"/>
  <c r="WO76" i="18"/>
  <c r="UY76" i="18"/>
  <c r="TU76" i="18"/>
  <c r="TI76" i="18"/>
  <c r="SE76" i="18"/>
  <c r="RA76" i="18"/>
  <c r="QO76" i="18"/>
  <c r="PK76" i="18"/>
  <c r="NU76" i="18"/>
  <c r="HU76" i="18"/>
  <c r="GE76" i="18"/>
  <c r="FA76" i="18"/>
  <c r="EO76" i="18"/>
  <c r="DK76" i="18"/>
  <c r="CG76" i="18"/>
  <c r="BU76" i="18"/>
  <c r="AQ76" i="18"/>
  <c r="UG76" i="18"/>
  <c r="SW76" i="18"/>
  <c r="PE76" i="18"/>
  <c r="OM76" i="18"/>
  <c r="LM76" i="18"/>
  <c r="KU76" i="18"/>
  <c r="KC76" i="18"/>
  <c r="HC76" i="18"/>
  <c r="GK76" i="18"/>
  <c r="CS76" i="18"/>
  <c r="BI76" i="18"/>
  <c r="RM76" i="18"/>
  <c r="PQ76" i="18"/>
  <c r="NO76" i="18"/>
  <c r="LS76" i="18"/>
  <c r="JQ76" i="18"/>
  <c r="IS76" i="18"/>
  <c r="US76" i="18"/>
  <c r="LY76" i="18"/>
  <c r="JE76" i="18"/>
  <c r="IA76" i="18"/>
  <c r="EC76" i="18"/>
  <c r="XA76" i="18"/>
  <c r="VW76" i="18"/>
  <c r="TC76" i="18"/>
  <c r="MW76" i="18"/>
  <c r="CM76" i="18"/>
  <c r="FY76" i="18"/>
  <c r="AW76" i="18"/>
  <c r="VE76" i="18"/>
  <c r="QC76" i="18"/>
  <c r="NI76" i="18"/>
  <c r="IG76" i="18"/>
  <c r="FM76" i="18"/>
  <c r="AK76" i="18"/>
  <c r="WU76" i="18"/>
  <c r="MK76" i="18"/>
  <c r="JW76" i="18"/>
  <c r="EI76" i="18"/>
  <c r="RG76" i="18"/>
  <c r="UJ75" i="18"/>
  <c r="JI75" i="18"/>
  <c r="FO75" i="18"/>
  <c r="OQ75" i="18"/>
  <c r="KK75" i="18"/>
  <c r="UE75" i="18"/>
  <c r="JT75" i="18"/>
  <c r="OK75" i="18"/>
  <c r="GG75" i="18"/>
  <c r="QY75" i="18"/>
  <c r="DZ75" i="18"/>
  <c r="MI75" i="18"/>
  <c r="BQ75" i="18"/>
  <c r="PU75" i="18"/>
  <c r="MB75" i="18"/>
  <c r="BA75" i="18"/>
  <c r="SH75" i="18"/>
  <c r="DO75" i="18"/>
  <c r="WW75" i="18"/>
  <c r="FK75" i="18"/>
  <c r="ST75" i="18"/>
  <c r="PO75" i="18"/>
  <c r="HR75" i="18"/>
  <c r="GC75" i="18"/>
  <c r="PZ75" i="18"/>
  <c r="WP76" i="18"/>
  <c r="VR76" i="18"/>
  <c r="UT76" i="18"/>
  <c r="TV76" i="18"/>
  <c r="SX76" i="18"/>
  <c r="RZ76" i="18"/>
  <c r="RB76" i="18"/>
  <c r="QD76" i="18"/>
  <c r="PF76" i="18"/>
  <c r="OH76" i="18"/>
  <c r="NJ76" i="18"/>
  <c r="ML76" i="18"/>
  <c r="LN76" i="18"/>
  <c r="KP76" i="18"/>
  <c r="JR76" i="18"/>
  <c r="JU76" i="18" s="1"/>
  <c r="IT76" i="18"/>
  <c r="IU76" i="18" s="1"/>
  <c r="HV76" i="18"/>
  <c r="GX76" i="18"/>
  <c r="FZ76" i="18"/>
  <c r="FB76" i="18"/>
  <c r="ED76" i="18"/>
  <c r="DF76" i="18"/>
  <c r="CH76" i="18"/>
  <c r="BJ76" i="18"/>
  <c r="AL76" i="18"/>
  <c r="XH76" i="18"/>
  <c r="WV76" i="18"/>
  <c r="VF76" i="18"/>
  <c r="TP76" i="18"/>
  <c r="TD76" i="18"/>
  <c r="RN76" i="18"/>
  <c r="RO76" i="18" s="1"/>
  <c r="PX76" i="18"/>
  <c r="PL76" i="18"/>
  <c r="NV76" i="18"/>
  <c r="MF76" i="18"/>
  <c r="LT76" i="18"/>
  <c r="KD76" i="18"/>
  <c r="IN76" i="18"/>
  <c r="IB76" i="18"/>
  <c r="GL76" i="18"/>
  <c r="GO76" i="18" s="1"/>
  <c r="EV76" i="18"/>
  <c r="EJ76" i="18"/>
  <c r="CT76" i="18"/>
  <c r="BD76" i="18"/>
  <c r="BF76" i="18" s="1"/>
  <c r="AR76" i="18"/>
  <c r="XB76" i="18"/>
  <c r="VX76" i="18"/>
  <c r="VL76" i="18"/>
  <c r="UH76" i="18"/>
  <c r="SR76" i="18"/>
  <c r="MR76" i="18"/>
  <c r="LB76" i="18"/>
  <c r="JX76" i="18"/>
  <c r="JL76" i="18"/>
  <c r="IH76" i="18"/>
  <c r="HD76" i="18"/>
  <c r="GR76" i="18"/>
  <c r="FN76" i="18"/>
  <c r="DX76" i="18"/>
  <c r="WJ76" i="18"/>
  <c r="UZ76" i="18"/>
  <c r="RH76" i="18"/>
  <c r="QP76" i="18"/>
  <c r="NP76" i="18"/>
  <c r="MX76" i="18"/>
  <c r="JF76" i="18"/>
  <c r="FT76" i="18"/>
  <c r="DL76" i="18"/>
  <c r="CB76" i="18"/>
  <c r="UN76" i="18"/>
  <c r="TJ76" i="18"/>
  <c r="SL76" i="18"/>
  <c r="QJ76" i="18"/>
  <c r="ON76" i="18"/>
  <c r="HP76" i="18"/>
  <c r="CZ76" i="18"/>
  <c r="BV76" i="18"/>
  <c r="AX76" i="18"/>
  <c r="WD76" i="18"/>
  <c r="SF76" i="18"/>
  <c r="PR76" i="18"/>
  <c r="ND76" i="18"/>
  <c r="KJ76" i="18"/>
  <c r="FH76" i="18"/>
  <c r="CN76" i="18"/>
  <c r="QV76" i="18"/>
  <c r="OB76" i="18"/>
  <c r="LH76" i="18"/>
  <c r="IZ76" i="18"/>
  <c r="GF76" i="18"/>
  <c r="DR76" i="18"/>
  <c r="KV76" i="18"/>
  <c r="UB76" i="18"/>
  <c r="RT76" i="18"/>
  <c r="OZ76" i="18"/>
  <c r="HJ76" i="18"/>
  <c r="EP76" i="18"/>
  <c r="OT76" i="18"/>
  <c r="LZ76" i="18"/>
  <c r="BP76" i="18"/>
  <c r="Q74" i="18"/>
  <c r="P74" i="18"/>
  <c r="T73" i="18" s="1"/>
  <c r="R74" i="18"/>
  <c r="B149" i="9"/>
  <c r="I149" i="9" s="1"/>
  <c r="B149" i="7"/>
  <c r="B149" i="1"/>
  <c r="U138" i="5"/>
  <c r="AG145" i="5"/>
  <c r="R147" i="5"/>
  <c r="AG142" i="5"/>
  <c r="AL142" i="5" s="1"/>
  <c r="R144" i="5"/>
  <c r="B148" i="5"/>
  <c r="K146" i="5"/>
  <c r="F144" i="5"/>
  <c r="B151" i="5"/>
  <c r="K149" i="5"/>
  <c r="AE149" i="5"/>
  <c r="AJ144" i="5"/>
  <c r="O145" i="1"/>
  <c r="BP145" i="1"/>
  <c r="X145" i="7" s="1"/>
  <c r="BQ145" i="1"/>
  <c r="O144" i="1"/>
  <c r="R138" i="14"/>
  <c r="B141" i="14"/>
  <c r="T138" i="14"/>
  <c r="S138" i="14"/>
  <c r="U138" i="14"/>
  <c r="Q137" i="14"/>
  <c r="L138" i="7" s="1"/>
  <c r="B150" i="8"/>
  <c r="B148" i="9"/>
  <c r="B76" i="15"/>
  <c r="B151" i="8"/>
  <c r="B148" i="7"/>
  <c r="B148" i="1"/>
  <c r="N146" i="1"/>
  <c r="B78" i="18"/>
  <c r="G78" i="18" s="1"/>
  <c r="N77" i="18"/>
  <c r="O77" i="18"/>
  <c r="L138" i="19" l="1"/>
  <c r="J138" i="19"/>
  <c r="K138" i="19"/>
  <c r="N138" i="7"/>
  <c r="G72" i="15"/>
  <c r="L139" i="7"/>
  <c r="E141" i="19"/>
  <c r="D140" i="8"/>
  <c r="R140" i="8" s="1"/>
  <c r="D140" i="19"/>
  <c r="J140" i="19" s="1"/>
  <c r="E141" i="8"/>
  <c r="K139" i="7"/>
  <c r="N139" i="7"/>
  <c r="K138" i="7"/>
  <c r="Q72" i="15"/>
  <c r="P72" i="15"/>
  <c r="P141" i="19"/>
  <c r="R141" i="8"/>
  <c r="HA76" i="18"/>
  <c r="VS76" i="18"/>
  <c r="B155" i="19"/>
  <c r="G155" i="19" s="1"/>
  <c r="F153" i="19"/>
  <c r="I151" i="5"/>
  <c r="J151" i="5" s="1"/>
  <c r="F151" i="5" s="1"/>
  <c r="D82" i="19"/>
  <c r="E83" i="19"/>
  <c r="E83" i="8"/>
  <c r="G43" i="15"/>
  <c r="D82" i="8"/>
  <c r="R82" i="8" s="1"/>
  <c r="P43" i="15"/>
  <c r="Q43" i="15"/>
  <c r="L80" i="7"/>
  <c r="L81" i="7"/>
  <c r="K80" i="7"/>
  <c r="N80" i="7"/>
  <c r="N81" i="7"/>
  <c r="K81" i="7"/>
  <c r="U140" i="5"/>
  <c r="Q142" i="5"/>
  <c r="P135" i="5"/>
  <c r="SN76" i="18"/>
  <c r="I146" i="9"/>
  <c r="U145" i="5"/>
  <c r="Q147" i="5"/>
  <c r="U147" i="5" s="1"/>
  <c r="P147" i="5"/>
  <c r="T145" i="5"/>
  <c r="T137" i="5"/>
  <c r="AF137" i="5" s="1"/>
  <c r="L147" i="9"/>
  <c r="L146" i="9"/>
  <c r="M145" i="9"/>
  <c r="M144" i="9"/>
  <c r="J147" i="9"/>
  <c r="J146" i="9"/>
  <c r="H149" i="9"/>
  <c r="K149" i="9" s="1"/>
  <c r="F151" i="8"/>
  <c r="G151" i="8"/>
  <c r="F150" i="8"/>
  <c r="G150" i="8"/>
  <c r="H148" i="9"/>
  <c r="K148" i="9" s="1"/>
  <c r="I148" i="7"/>
  <c r="J148" i="7"/>
  <c r="I149" i="7"/>
  <c r="J149" i="7"/>
  <c r="U76" i="15"/>
  <c r="Y76" i="18" s="1"/>
  <c r="E76" i="15"/>
  <c r="D76" i="15"/>
  <c r="E78" i="18"/>
  <c r="D78" i="18"/>
  <c r="F78" i="18" s="1"/>
  <c r="AD148" i="5"/>
  <c r="AE148" i="5" s="1"/>
  <c r="AI148" i="5" s="1"/>
  <c r="I148" i="5"/>
  <c r="J148" i="5" s="1"/>
  <c r="H149" i="1"/>
  <c r="I149" i="1" s="1"/>
  <c r="H148" i="1"/>
  <c r="I148" i="1" s="1"/>
  <c r="S73" i="18"/>
  <c r="U73" i="18" s="1"/>
  <c r="T76" i="15"/>
  <c r="SH76" i="18"/>
  <c r="SU76" i="18"/>
  <c r="MI76" i="18"/>
  <c r="TR76" i="18"/>
  <c r="DS76" i="18"/>
  <c r="AT76" i="18"/>
  <c r="OV76" i="18"/>
  <c r="QX76" i="18"/>
  <c r="NF76" i="18"/>
  <c r="RJ76" i="18"/>
  <c r="NX76" i="18"/>
  <c r="UC76" i="18"/>
  <c r="CD76" i="18"/>
  <c r="VC76" i="18"/>
  <c r="UJ76" i="18"/>
  <c r="AS76" i="18"/>
  <c r="WR76" i="18"/>
  <c r="RI76" i="18"/>
  <c r="PN76" i="18"/>
  <c r="CP76" i="18"/>
  <c r="GU76" i="18"/>
  <c r="KF76" i="18"/>
  <c r="PM76" i="18"/>
  <c r="HY76" i="18"/>
  <c r="BR76" i="18"/>
  <c r="DB76" i="18"/>
  <c r="LC76" i="18"/>
  <c r="LW76" i="18"/>
  <c r="BK76" i="18"/>
  <c r="QE76" i="18"/>
  <c r="IV76" i="18"/>
  <c r="OE76" i="18"/>
  <c r="KM76" i="18"/>
  <c r="GS76" i="18"/>
  <c r="CQ76" i="18"/>
  <c r="NG76" i="18"/>
  <c r="BG76" i="18"/>
  <c r="OW76" i="18"/>
  <c r="DA76" i="18"/>
  <c r="OD76" i="18"/>
  <c r="OC76" i="18"/>
  <c r="RK76" i="18"/>
  <c r="NE76" i="18"/>
  <c r="WG76" i="18"/>
  <c r="DZ76" i="18"/>
  <c r="ST76" i="18"/>
  <c r="HX76" i="18"/>
  <c r="DU76" i="18"/>
  <c r="SM76" i="18"/>
  <c r="TQ76" i="18"/>
  <c r="OU76" i="18"/>
  <c r="WS76" i="18"/>
  <c r="CO76" i="18"/>
  <c r="DY76" i="18"/>
  <c r="GT76" i="18"/>
  <c r="HL76" i="18"/>
  <c r="KX76" i="18"/>
  <c r="LJ76" i="18"/>
  <c r="WM76" i="18"/>
  <c r="VI76" i="18"/>
  <c r="TX76" i="18"/>
  <c r="SO76" i="18"/>
  <c r="LD76" i="18"/>
  <c r="WQ76" i="18"/>
  <c r="HW76" i="18"/>
  <c r="TS76" i="18"/>
  <c r="AU76" i="18"/>
  <c r="PO76" i="18"/>
  <c r="UE76" i="18"/>
  <c r="PB76" i="18"/>
  <c r="DT76" i="18"/>
  <c r="WF76" i="18"/>
  <c r="QS76" i="18"/>
  <c r="EA76" i="18"/>
  <c r="CU76" i="18"/>
  <c r="ID76" i="18"/>
  <c r="MH76" i="18"/>
  <c r="UD76" i="18"/>
  <c r="QF76" i="18"/>
  <c r="GG76" i="18"/>
  <c r="SS76" i="18"/>
  <c r="XK76" i="18"/>
  <c r="DG76" i="18"/>
  <c r="KY76" i="18"/>
  <c r="KW76" i="18"/>
  <c r="BE76" i="18"/>
  <c r="LP76" i="18"/>
  <c r="VA76" i="18"/>
  <c r="GY76" i="18"/>
  <c r="WX76" i="18"/>
  <c r="NL76" i="18"/>
  <c r="GC76" i="18"/>
  <c r="VY76" i="18"/>
  <c r="JH76" i="18"/>
  <c r="JT76" i="18"/>
  <c r="RP76" i="18"/>
  <c r="HF76" i="18"/>
  <c r="OP76" i="18"/>
  <c r="ES76" i="18"/>
  <c r="NY76" i="18"/>
  <c r="SI76" i="18"/>
  <c r="FK76" i="18"/>
  <c r="KR76" i="18"/>
  <c r="CE76" i="18"/>
  <c r="FW76" i="18"/>
  <c r="JO76" i="18"/>
  <c r="QW76" i="18"/>
  <c r="UO76" i="18"/>
  <c r="NW76" i="18"/>
  <c r="VB76" i="18"/>
  <c r="VU76" i="18"/>
  <c r="EL76" i="18"/>
  <c r="AM76" i="18"/>
  <c r="XD76" i="18"/>
  <c r="MB76" i="18"/>
  <c r="LV76" i="18"/>
  <c r="BL76" i="18"/>
  <c r="KE76" i="18"/>
  <c r="PH76" i="18"/>
  <c r="BY76" i="18"/>
  <c r="FD76" i="18"/>
  <c r="TM76" i="18"/>
  <c r="BQ76" i="18"/>
  <c r="GZ76" i="18"/>
  <c r="QK76" i="18"/>
  <c r="VT76" i="18"/>
  <c r="KL76" i="18"/>
  <c r="RV76" i="18"/>
  <c r="VN76" i="18"/>
  <c r="LQ76" i="18"/>
  <c r="JZ76" i="18"/>
  <c r="FP76" i="18"/>
  <c r="MY76" i="18"/>
  <c r="EE76" i="18"/>
  <c r="UV76" i="18"/>
  <c r="NR76" i="18"/>
  <c r="SZ76" i="18"/>
  <c r="CJ76" i="18"/>
  <c r="QR76" i="18"/>
  <c r="MU76" i="18"/>
  <c r="SB76" i="18"/>
  <c r="HR76" i="18"/>
  <c r="HM76" i="18"/>
  <c r="DC76" i="18"/>
  <c r="DH76" i="18"/>
  <c r="MN76" i="18"/>
  <c r="IJ76" i="18"/>
  <c r="AY76" i="18"/>
  <c r="TG76" i="18"/>
  <c r="PS76" i="18"/>
  <c r="UI76" i="18"/>
  <c r="DN76" i="18"/>
  <c r="RC76" i="18"/>
  <c r="JC76" i="18"/>
  <c r="OJ76" i="18"/>
  <c r="EW76" i="18"/>
  <c r="IO76" i="18"/>
  <c r="PY76" i="18"/>
  <c r="XJ76" i="18"/>
  <c r="WE76" i="18"/>
  <c r="LE76" i="18"/>
  <c r="HK76" i="18"/>
  <c r="QG76" i="18"/>
  <c r="MG76" i="18"/>
  <c r="IW76" i="18"/>
  <c r="VG76" i="18"/>
  <c r="KG76" i="18"/>
  <c r="GM76" i="18"/>
  <c r="CV76" i="18"/>
  <c r="QY76" i="18"/>
  <c r="LO76" i="18"/>
  <c r="GH76" i="18"/>
  <c r="PC76" i="18"/>
  <c r="LU76" i="18"/>
  <c r="IE76" i="18"/>
  <c r="WK76" i="18"/>
  <c r="BS76" i="18"/>
  <c r="KK76" i="18"/>
  <c r="DI76" i="18"/>
  <c r="JS76" i="18"/>
  <c r="UK76" i="18"/>
  <c r="QQ76" i="18"/>
  <c r="MZ76" i="18"/>
  <c r="FQ76" i="18"/>
  <c r="BW76" i="18"/>
  <c r="UP76" i="18"/>
  <c r="KA76" i="18"/>
  <c r="FU76" i="18"/>
  <c r="AN76" i="18"/>
  <c r="KS76" i="18"/>
  <c r="XI76" i="18"/>
  <c r="PZ76" i="18"/>
  <c r="VO76" i="18"/>
  <c r="GA76" i="18"/>
  <c r="RD76" i="18"/>
  <c r="HS76" i="18"/>
  <c r="TE76" i="18"/>
  <c r="IP76" i="18"/>
  <c r="HG76" i="18"/>
  <c r="XE76" i="18"/>
  <c r="TK76" i="18"/>
  <c r="PT76" i="18"/>
  <c r="IK76" i="18"/>
  <c r="EQ76" i="18"/>
  <c r="AZ76" i="18"/>
  <c r="NS76" i="18"/>
  <c r="JM76" i="18"/>
  <c r="EF76" i="18"/>
  <c r="NM76" i="18"/>
  <c r="JA76" i="18"/>
  <c r="VZ76" i="18"/>
  <c r="EM76" i="18"/>
  <c r="MS76" i="18"/>
  <c r="EX76" i="18"/>
  <c r="SC76" i="18"/>
  <c r="FI76" i="18"/>
  <c r="QL76" i="18"/>
  <c r="WY76" i="18"/>
  <c r="VH76" i="18"/>
  <c r="GN76" i="18"/>
  <c r="PA76" i="18"/>
  <c r="IC76" i="18"/>
  <c r="WL76" i="18"/>
  <c r="TY76" i="18"/>
  <c r="LK76" i="18"/>
  <c r="JI76" i="18"/>
  <c r="FO76" i="18"/>
  <c r="BX76" i="18"/>
  <c r="PI76" i="18"/>
  <c r="JY76" i="18"/>
  <c r="FV76" i="18"/>
  <c r="OQ76" i="18"/>
  <c r="KQ76" i="18"/>
  <c r="FE76" i="18"/>
  <c r="VM76" i="18"/>
  <c r="GB76" i="18"/>
  <c r="UW76" i="18"/>
  <c r="HQ76" i="18"/>
  <c r="TF76" i="18"/>
  <c r="CK76" i="18"/>
  <c r="HE76" i="18"/>
  <c r="XC76" i="18"/>
  <c r="TL76" i="18"/>
  <c r="MC76" i="18"/>
  <c r="II76" i="18"/>
  <c r="ER76" i="18"/>
  <c r="TA76" i="18"/>
  <c r="NQ76" i="18"/>
  <c r="JN76" i="18"/>
  <c r="RW76" i="18"/>
  <c r="NK76" i="18"/>
  <c r="JB76" i="18"/>
  <c r="MO76" i="18"/>
  <c r="EK76" i="18"/>
  <c r="MT76" i="18"/>
  <c r="OK76" i="18"/>
  <c r="SA76" i="18"/>
  <c r="FJ76" i="18"/>
  <c r="DO76" i="18"/>
  <c r="WW76" i="18"/>
  <c r="WT78" i="18"/>
  <c r="VV78" i="18"/>
  <c r="UX78" i="18"/>
  <c r="TZ78" i="18"/>
  <c r="TB78" i="18"/>
  <c r="SD78" i="18"/>
  <c r="RF78" i="18"/>
  <c r="QH78" i="18"/>
  <c r="PJ78" i="18"/>
  <c r="OL78" i="18"/>
  <c r="NN78" i="18"/>
  <c r="MP78" i="18"/>
  <c r="LR78" i="18"/>
  <c r="KT78" i="18"/>
  <c r="WZ78" i="18"/>
  <c r="WB78" i="18"/>
  <c r="VD78" i="18"/>
  <c r="UF78" i="18"/>
  <c r="TH78" i="18"/>
  <c r="SJ78" i="18"/>
  <c r="RL78" i="18"/>
  <c r="QN78" i="18"/>
  <c r="PP78" i="18"/>
  <c r="OR78" i="18"/>
  <c r="NT78" i="18"/>
  <c r="MV78" i="18"/>
  <c r="LX78" i="18"/>
  <c r="KZ78" i="18"/>
  <c r="KB78" i="18"/>
  <c r="JD78" i="18"/>
  <c r="IF78" i="18"/>
  <c r="HH78" i="18"/>
  <c r="GJ78" i="18"/>
  <c r="FL78" i="18"/>
  <c r="EN78" i="18"/>
  <c r="DP78" i="18"/>
  <c r="CR78" i="18"/>
  <c r="BT78" i="18"/>
  <c r="AV78" i="18"/>
  <c r="XF78" i="18"/>
  <c r="VJ78" i="18"/>
  <c r="TN78" i="18"/>
  <c r="RR78" i="18"/>
  <c r="PV78" i="18"/>
  <c r="NZ78" i="18"/>
  <c r="MD78" i="18"/>
  <c r="JP78" i="18"/>
  <c r="HZ78" i="18"/>
  <c r="HN78" i="18"/>
  <c r="FX78" i="18"/>
  <c r="EH78" i="18"/>
  <c r="DV78" i="18"/>
  <c r="CF78" i="18"/>
  <c r="AP78" i="18"/>
  <c r="WN78" i="18"/>
  <c r="QT78" i="18"/>
  <c r="QB78" i="18"/>
  <c r="PD78" i="18"/>
  <c r="KH78" i="18"/>
  <c r="JV78" i="18"/>
  <c r="IR78" i="18"/>
  <c r="HB78" i="18"/>
  <c r="BB78" i="18"/>
  <c r="VP78" i="18"/>
  <c r="UL78" i="18"/>
  <c r="OX78" i="18"/>
  <c r="IL78" i="18"/>
  <c r="HT78" i="18"/>
  <c r="ET78" i="18"/>
  <c r="EB78" i="18"/>
  <c r="DJ78" i="18"/>
  <c r="AJ78" i="18"/>
  <c r="SV78" i="18"/>
  <c r="NB78" i="18"/>
  <c r="LL78" i="18"/>
  <c r="JJ78" i="18"/>
  <c r="CL78" i="18"/>
  <c r="BN78" i="18"/>
  <c r="QZ78" i="18"/>
  <c r="NH78" i="18"/>
  <c r="LF78" i="18"/>
  <c r="DD78" i="18"/>
  <c r="BZ78" i="18"/>
  <c r="WH78" i="18"/>
  <c r="UR78" i="18"/>
  <c r="SP78" i="18"/>
  <c r="GV78" i="18"/>
  <c r="FR78" i="18"/>
  <c r="CX78" i="18"/>
  <c r="MJ78" i="18"/>
  <c r="GP78" i="18"/>
  <c r="BH78" i="18"/>
  <c r="TT78" i="18"/>
  <c r="IX78" i="18"/>
  <c r="GD78" i="18"/>
  <c r="OF78" i="18"/>
  <c r="KN78" i="18"/>
  <c r="FF78" i="18"/>
  <c r="RX78" i="18"/>
  <c r="EZ78" i="18"/>
  <c r="WP77" i="18"/>
  <c r="VR77" i="18"/>
  <c r="UT77" i="18"/>
  <c r="TV77" i="18"/>
  <c r="SX77" i="18"/>
  <c r="RZ77" i="18"/>
  <c r="RB77" i="18"/>
  <c r="QD77" i="18"/>
  <c r="PF77" i="18"/>
  <c r="OH77" i="18"/>
  <c r="NJ77" i="18"/>
  <c r="ML77" i="18"/>
  <c r="LN77" i="18"/>
  <c r="KP77" i="18"/>
  <c r="JR77" i="18"/>
  <c r="IT77" i="18"/>
  <c r="HV77" i="18"/>
  <c r="GX77" i="18"/>
  <c r="FZ77" i="18"/>
  <c r="FB77" i="18"/>
  <c r="ED77" i="18"/>
  <c r="DF77" i="18"/>
  <c r="CH77" i="18"/>
  <c r="BJ77" i="18"/>
  <c r="AL77" i="18"/>
  <c r="WJ77" i="18"/>
  <c r="VX77" i="18"/>
  <c r="UH77" i="18"/>
  <c r="SR77" i="18"/>
  <c r="SF77" i="18"/>
  <c r="QP77" i="18"/>
  <c r="OZ77" i="18"/>
  <c r="ON77" i="18"/>
  <c r="MX77" i="18"/>
  <c r="LH77" i="18"/>
  <c r="KV77" i="18"/>
  <c r="JF77" i="18"/>
  <c r="HP77" i="18"/>
  <c r="HD77" i="18"/>
  <c r="FN77" i="18"/>
  <c r="DX77" i="18"/>
  <c r="DL77" i="18"/>
  <c r="BV77" i="18"/>
  <c r="TD77" i="18"/>
  <c r="RN77" i="18"/>
  <c r="QJ77" i="18"/>
  <c r="PX77" i="18"/>
  <c r="OT77" i="18"/>
  <c r="NP77" i="18"/>
  <c r="ND77" i="18"/>
  <c r="LZ77" i="18"/>
  <c r="KJ77" i="18"/>
  <c r="EJ77" i="18"/>
  <c r="CT77" i="18"/>
  <c r="BP77" i="18"/>
  <c r="BD77" i="18"/>
  <c r="VF77" i="18"/>
  <c r="UN77" i="18"/>
  <c r="QV77" i="18"/>
  <c r="PL77" i="18"/>
  <c r="LT77" i="18"/>
  <c r="LB77" i="18"/>
  <c r="IB77" i="18"/>
  <c r="HJ77" i="18"/>
  <c r="GR77" i="18"/>
  <c r="DR77" i="18"/>
  <c r="CZ77" i="18"/>
  <c r="TP77" i="18"/>
  <c r="RT77" i="18"/>
  <c r="PR77" i="18"/>
  <c r="NV77" i="18"/>
  <c r="JX77" i="18"/>
  <c r="IZ77" i="18"/>
  <c r="CB77" i="18"/>
  <c r="UZ77" i="18"/>
  <c r="SL77" i="18"/>
  <c r="MF77" i="18"/>
  <c r="JL77" i="18"/>
  <c r="IH77" i="18"/>
  <c r="XH77" i="18"/>
  <c r="WD77" i="18"/>
  <c r="TJ77" i="18"/>
  <c r="GL77" i="18"/>
  <c r="FH77" i="18"/>
  <c r="CN77" i="18"/>
  <c r="OB77" i="18"/>
  <c r="GF77" i="18"/>
  <c r="AX77" i="18"/>
  <c r="VL77" i="18"/>
  <c r="IN77" i="18"/>
  <c r="FT77" i="18"/>
  <c r="AR77" i="18"/>
  <c r="XB77" i="18"/>
  <c r="MR77" i="18"/>
  <c r="KD77" i="18"/>
  <c r="EV77" i="18"/>
  <c r="WV77" i="18"/>
  <c r="UB77" i="18"/>
  <c r="RH77" i="18"/>
  <c r="EP77" i="18"/>
  <c r="RQ76" i="18"/>
  <c r="CW76" i="18"/>
  <c r="GI76" i="18"/>
  <c r="CC76" i="18"/>
  <c r="BM76" i="18"/>
  <c r="SG76" i="18"/>
  <c r="TW76" i="18"/>
  <c r="LI76" i="18"/>
  <c r="NA76" i="18"/>
  <c r="JG76" i="18"/>
  <c r="UQ76" i="18"/>
  <c r="PG76" i="18"/>
  <c r="AO76" i="18"/>
  <c r="OO76" i="18"/>
  <c r="QA76" i="18"/>
  <c r="FC76" i="18"/>
  <c r="RE76" i="18"/>
  <c r="UU76" i="18"/>
  <c r="IQ76" i="18"/>
  <c r="CI76" i="18"/>
  <c r="PU76" i="18"/>
  <c r="MA76" i="18"/>
  <c r="BA76" i="18"/>
  <c r="SY76" i="18"/>
  <c r="EG76" i="18"/>
  <c r="RU76" i="18"/>
  <c r="WA76" i="18"/>
  <c r="MM76" i="18"/>
  <c r="EY76" i="18"/>
  <c r="OI76" i="18"/>
  <c r="QM76" i="18"/>
  <c r="DM76" i="18"/>
  <c r="XG77" i="18"/>
  <c r="WI77" i="18"/>
  <c r="VK77" i="18"/>
  <c r="UM77" i="18"/>
  <c r="TO77" i="18"/>
  <c r="SQ77" i="18"/>
  <c r="RS77" i="18"/>
  <c r="QU77" i="18"/>
  <c r="PW77" i="18"/>
  <c r="OY77" i="18"/>
  <c r="OA77" i="18"/>
  <c r="NC77" i="18"/>
  <c r="ME77" i="18"/>
  <c r="LG77" i="18"/>
  <c r="KI77" i="18"/>
  <c r="JK77" i="18"/>
  <c r="IM77" i="18"/>
  <c r="HO77" i="18"/>
  <c r="GQ77" i="18"/>
  <c r="FS77" i="18"/>
  <c r="EU77" i="18"/>
  <c r="DW77" i="18"/>
  <c r="CY77" i="18"/>
  <c r="DB77" i="18" s="1"/>
  <c r="CA77" i="18"/>
  <c r="BC77" i="18"/>
  <c r="WU77" i="18"/>
  <c r="VE77" i="18"/>
  <c r="US77" i="18"/>
  <c r="TC77" i="18"/>
  <c r="RM77" i="18"/>
  <c r="RA77" i="18"/>
  <c r="PK77" i="18"/>
  <c r="PM77" i="18" s="1"/>
  <c r="NU77" i="18"/>
  <c r="NI77" i="18"/>
  <c r="LS77" i="18"/>
  <c r="KC77" i="18"/>
  <c r="JQ77" i="18"/>
  <c r="IA77" i="18"/>
  <c r="GK77" i="18"/>
  <c r="FY77" i="18"/>
  <c r="EI77" i="18"/>
  <c r="CS77" i="18"/>
  <c r="CG77" i="18"/>
  <c r="AQ77" i="18"/>
  <c r="AT77" i="18" s="1"/>
  <c r="XA77" i="18"/>
  <c r="VW77" i="18"/>
  <c r="UG77" i="18"/>
  <c r="OG77" i="18"/>
  <c r="MQ77" i="18"/>
  <c r="LM77" i="18"/>
  <c r="LA77" i="18"/>
  <c r="JW77" i="18"/>
  <c r="IS77" i="18"/>
  <c r="IG77" i="18"/>
  <c r="HC77" i="18"/>
  <c r="HE77" i="18" s="1"/>
  <c r="FM77" i="18"/>
  <c r="FP77" i="18" s="1"/>
  <c r="WC77" i="18"/>
  <c r="WF77" i="18" s="1"/>
  <c r="TU77" i="18"/>
  <c r="SK77" i="18"/>
  <c r="QC77" i="18"/>
  <c r="QG77" i="18" s="1"/>
  <c r="OS77" i="18"/>
  <c r="MK77" i="18"/>
  <c r="IY77" i="18"/>
  <c r="FG77" i="18"/>
  <c r="EO77" i="18"/>
  <c r="BO77" i="18"/>
  <c r="AW77" i="18"/>
  <c r="WO77" i="18"/>
  <c r="VQ77" i="18"/>
  <c r="MW77" i="18"/>
  <c r="LY77" i="18"/>
  <c r="KU77" i="18"/>
  <c r="GE77" i="18"/>
  <c r="FA77" i="18"/>
  <c r="EC77" i="18"/>
  <c r="DE77" i="18"/>
  <c r="UA77" i="18"/>
  <c r="RG77" i="18"/>
  <c r="OM77" i="18"/>
  <c r="GW77" i="18"/>
  <c r="BU77" i="18"/>
  <c r="AK77" i="18"/>
  <c r="UY77" i="18"/>
  <c r="VA77" i="18" s="1"/>
  <c r="SE77" i="18"/>
  <c r="PQ77" i="18"/>
  <c r="KO77" i="18"/>
  <c r="KR77" i="18" s="1"/>
  <c r="JE77" i="18"/>
  <c r="HU77" i="18"/>
  <c r="BI77" i="18"/>
  <c r="TI77" i="18"/>
  <c r="TK77" i="18" s="1"/>
  <c r="QO77" i="18"/>
  <c r="DQ77" i="18"/>
  <c r="SW77" i="18"/>
  <c r="QI77" i="18"/>
  <c r="QK77" i="18" s="1"/>
  <c r="NO77" i="18"/>
  <c r="DK77" i="18"/>
  <c r="RY77" i="18"/>
  <c r="PE77" i="18"/>
  <c r="CM77" i="18"/>
  <c r="HI77" i="18"/>
  <c r="Q75" i="18"/>
  <c r="R75" i="18"/>
  <c r="P75" i="18"/>
  <c r="T74" i="18" s="1"/>
  <c r="B151" i="7"/>
  <c r="B151" i="1"/>
  <c r="B151" i="9"/>
  <c r="I151" i="9" s="1"/>
  <c r="AJ146" i="5"/>
  <c r="AG144" i="5"/>
  <c r="AL144" i="5" s="1"/>
  <c r="R146" i="5"/>
  <c r="AG147" i="5"/>
  <c r="R149" i="5"/>
  <c r="B153" i="5"/>
  <c r="K151" i="5"/>
  <c r="AE151" i="5"/>
  <c r="B150" i="5"/>
  <c r="K148" i="5"/>
  <c r="F146" i="5"/>
  <c r="BQ147" i="1"/>
  <c r="BP147" i="1"/>
  <c r="X147" i="7" s="1"/>
  <c r="O147" i="1"/>
  <c r="O146" i="1"/>
  <c r="R139" i="14"/>
  <c r="T139" i="14"/>
  <c r="U139" i="14"/>
  <c r="S139" i="14"/>
  <c r="Q138" i="14"/>
  <c r="L140" i="7" s="1"/>
  <c r="B142" i="14"/>
  <c r="B77" i="15"/>
  <c r="B150" i="9"/>
  <c r="B150" i="1"/>
  <c r="N148" i="1"/>
  <c r="B153" i="8"/>
  <c r="B152" i="8"/>
  <c r="B150" i="7"/>
  <c r="B79" i="18"/>
  <c r="G79" i="18" s="1"/>
  <c r="O78" i="18"/>
  <c r="N78" i="18"/>
  <c r="L140" i="19" l="1"/>
  <c r="P140" i="19"/>
  <c r="K140" i="19"/>
  <c r="I140" i="19"/>
  <c r="P73" i="15"/>
  <c r="E143" i="8"/>
  <c r="L141" i="7"/>
  <c r="G73" i="15"/>
  <c r="E143" i="19"/>
  <c r="P143" i="19"/>
  <c r="Q73" i="15"/>
  <c r="N140" i="7"/>
  <c r="N141" i="7"/>
  <c r="K141" i="7"/>
  <c r="K140" i="7"/>
  <c r="D142" i="8"/>
  <c r="R142" i="8" s="1"/>
  <c r="D142" i="19"/>
  <c r="I142" i="19" s="1"/>
  <c r="R143" i="8"/>
  <c r="QR77" i="18"/>
  <c r="GM77" i="18"/>
  <c r="WK77" i="18"/>
  <c r="HS77" i="18"/>
  <c r="EK77" i="18"/>
  <c r="B157" i="19"/>
  <c r="G157" i="19" s="1"/>
  <c r="F155" i="19"/>
  <c r="I153" i="5"/>
  <c r="J153" i="5" s="1"/>
  <c r="F153" i="5" s="1"/>
  <c r="N83" i="7"/>
  <c r="L83" i="7"/>
  <c r="N82" i="7"/>
  <c r="L82" i="7"/>
  <c r="K82" i="7"/>
  <c r="K83" i="7"/>
  <c r="D84" i="19"/>
  <c r="E85" i="19"/>
  <c r="G44" i="15"/>
  <c r="E85" i="8"/>
  <c r="P44" i="15"/>
  <c r="Q44" i="15"/>
  <c r="D84" i="8"/>
  <c r="R84" i="8" s="1"/>
  <c r="MG77" i="18"/>
  <c r="HL77" i="18"/>
  <c r="SZ77" i="18"/>
  <c r="KX77" i="18"/>
  <c r="P133" i="5"/>
  <c r="Q149" i="5"/>
  <c r="I148" i="9"/>
  <c r="RD77" i="18"/>
  <c r="AF145" i="5"/>
  <c r="P15" i="7" s="1"/>
  <c r="P149" i="5"/>
  <c r="T149" i="5" s="1"/>
  <c r="T147" i="5"/>
  <c r="AF147" i="5" s="1"/>
  <c r="P17" i="7" s="1"/>
  <c r="T135" i="5"/>
  <c r="AF135" i="5" s="1"/>
  <c r="XD77" i="18"/>
  <c r="L149" i="9"/>
  <c r="L148" i="9"/>
  <c r="M146" i="9"/>
  <c r="M147" i="9"/>
  <c r="FJ77" i="18"/>
  <c r="J149" i="9"/>
  <c r="J148" i="9"/>
  <c r="H151" i="9"/>
  <c r="K151" i="9" s="1"/>
  <c r="F152" i="8"/>
  <c r="G152" i="8"/>
  <c r="F153" i="8"/>
  <c r="G153" i="8"/>
  <c r="MZ77" i="18"/>
  <c r="I150" i="7"/>
  <c r="J150" i="7"/>
  <c r="I151" i="7"/>
  <c r="J151" i="7"/>
  <c r="H150" i="9"/>
  <c r="K150" i="9" s="1"/>
  <c r="U77" i="15"/>
  <c r="Y77" i="18" s="1"/>
  <c r="D77" i="15"/>
  <c r="E77" i="15"/>
  <c r="D79" i="18"/>
  <c r="F79" i="18" s="1"/>
  <c r="E79" i="18"/>
  <c r="MA77" i="18"/>
  <c r="AD150" i="5"/>
  <c r="AE150" i="5" s="1"/>
  <c r="AI150" i="5" s="1"/>
  <c r="I150" i="5"/>
  <c r="J150" i="5" s="1"/>
  <c r="H151" i="1"/>
  <c r="I151" i="1" s="1"/>
  <c r="H150" i="1"/>
  <c r="I150" i="1" s="1"/>
  <c r="S74" i="18"/>
  <c r="U74" i="18" s="1"/>
  <c r="CJ77" i="18"/>
  <c r="CV77" i="18"/>
  <c r="JZ77" i="18"/>
  <c r="T77" i="15"/>
  <c r="TL77" i="18"/>
  <c r="DO77" i="18"/>
  <c r="DT77" i="18"/>
  <c r="SG77" i="18"/>
  <c r="GY77" i="18"/>
  <c r="DH77" i="18"/>
  <c r="OJ77" i="18"/>
  <c r="JO77" i="18"/>
  <c r="IV77" i="18"/>
  <c r="JN77" i="18"/>
  <c r="AZ77" i="18"/>
  <c r="SN77" i="18"/>
  <c r="LE77" i="18"/>
  <c r="UJ77" i="18"/>
  <c r="OC77" i="18"/>
  <c r="IK77" i="18"/>
  <c r="AS77" i="18"/>
  <c r="FE77" i="18"/>
  <c r="MN77" i="18"/>
  <c r="TY77" i="18"/>
  <c r="SC77" i="18"/>
  <c r="BK77" i="18"/>
  <c r="PU77" i="18"/>
  <c r="UD77" i="18"/>
  <c r="VU77" i="18"/>
  <c r="OV77" i="18"/>
  <c r="IW77" i="18"/>
  <c r="QY77" i="18"/>
  <c r="JM77" i="18"/>
  <c r="ES77" i="18"/>
  <c r="EW77" i="18"/>
  <c r="TR77" i="18"/>
  <c r="ST77" i="18"/>
  <c r="QW77" i="18"/>
  <c r="GA77" i="18"/>
  <c r="OI77" i="18"/>
  <c r="PA77" i="18"/>
  <c r="EY77" i="18"/>
  <c r="BX77" i="18"/>
  <c r="GH77" i="18"/>
  <c r="JS77" i="18"/>
  <c r="NY77" i="18"/>
  <c r="QA77" i="18"/>
  <c r="SU77" i="18"/>
  <c r="HX77" i="18"/>
  <c r="WS77" i="18"/>
  <c r="SS77" i="18"/>
  <c r="CP77" i="18"/>
  <c r="NQ77" i="18"/>
  <c r="JI77" i="18"/>
  <c r="OP77" i="18"/>
  <c r="EF77" i="18"/>
  <c r="JC77" i="18"/>
  <c r="LV77" i="18"/>
  <c r="VG77" i="18"/>
  <c r="GT77" i="18"/>
  <c r="RW77" i="18"/>
  <c r="XE77" i="18"/>
  <c r="DC77" i="18"/>
  <c r="PG77" i="18"/>
  <c r="XC77" i="18"/>
  <c r="DA77" i="18"/>
  <c r="MC77" i="18"/>
  <c r="QX77" i="18"/>
  <c r="PT77" i="18"/>
  <c r="BA77" i="18"/>
  <c r="OK77" i="18"/>
  <c r="ER77" i="18"/>
  <c r="OE77" i="18"/>
  <c r="MB77" i="18"/>
  <c r="AY77" i="18"/>
  <c r="WR77" i="18"/>
  <c r="LU77" i="18"/>
  <c r="JB77" i="18"/>
  <c r="OD77" i="18"/>
  <c r="MT77" i="18"/>
  <c r="EX77" i="18"/>
  <c r="TQ77" i="18"/>
  <c r="TS77" i="18"/>
  <c r="JA77" i="18"/>
  <c r="NR77" i="18"/>
  <c r="LW77" i="18"/>
  <c r="WQ77" i="18"/>
  <c r="GC77" i="18"/>
  <c r="KF77" i="18"/>
  <c r="UV77" i="18"/>
  <c r="FV77" i="18"/>
  <c r="PS77" i="18"/>
  <c r="AO77" i="18"/>
  <c r="RJ77" i="18"/>
  <c r="BS77" i="18"/>
  <c r="IJ77" i="18"/>
  <c r="LP77" i="18"/>
  <c r="WA77" i="18"/>
  <c r="IE77" i="18"/>
  <c r="NK77" i="18"/>
  <c r="RP77" i="18"/>
  <c r="WY77" i="18"/>
  <c r="DZ77" i="18"/>
  <c r="LK77" i="18"/>
  <c r="FC77" i="18"/>
  <c r="TM77" i="18"/>
  <c r="AU77" i="18"/>
  <c r="GB77" i="18"/>
  <c r="MM77" i="18"/>
  <c r="EQ77" i="18"/>
  <c r="TE77" i="18"/>
  <c r="BE77" i="18"/>
  <c r="IP77" i="18"/>
  <c r="XJ77" i="18"/>
  <c r="FD77" i="18"/>
  <c r="KK77" i="18"/>
  <c r="II77" i="18"/>
  <c r="IU77" i="18"/>
  <c r="VO77" i="18"/>
  <c r="BL77" i="18"/>
  <c r="CD77" i="18"/>
  <c r="NF77" i="18"/>
  <c r="UO77" i="18"/>
  <c r="MO77" i="18"/>
  <c r="NS77" i="18"/>
  <c r="BM77" i="18"/>
  <c r="XF79" i="18"/>
  <c r="WH79" i="18"/>
  <c r="VJ79" i="18"/>
  <c r="UL79" i="18"/>
  <c r="TN79" i="18"/>
  <c r="SP79" i="18"/>
  <c r="RR79" i="18"/>
  <c r="QT79" i="18"/>
  <c r="PV79" i="18"/>
  <c r="OX79" i="18"/>
  <c r="NZ79" i="18"/>
  <c r="NB79" i="18"/>
  <c r="MD79" i="18"/>
  <c r="LF79" i="18"/>
  <c r="KH79" i="18"/>
  <c r="JJ79" i="18"/>
  <c r="IL79" i="18"/>
  <c r="HN79" i="18"/>
  <c r="GP79" i="18"/>
  <c r="FR79" i="18"/>
  <c r="ET79" i="18"/>
  <c r="DV79" i="18"/>
  <c r="WT79" i="18"/>
  <c r="VD79" i="18"/>
  <c r="UR79" i="18"/>
  <c r="TB79" i="18"/>
  <c r="RL79" i="18"/>
  <c r="QZ79" i="18"/>
  <c r="PJ79" i="18"/>
  <c r="NT79" i="18"/>
  <c r="NH79" i="18"/>
  <c r="LR79" i="18"/>
  <c r="KB79" i="18"/>
  <c r="JP79" i="18"/>
  <c r="HZ79" i="18"/>
  <c r="GJ79" i="18"/>
  <c r="FX79" i="18"/>
  <c r="EH79" i="18"/>
  <c r="CL79" i="18"/>
  <c r="BN79" i="18"/>
  <c r="AP79" i="18"/>
  <c r="VV79" i="18"/>
  <c r="UF79" i="18"/>
  <c r="TT79" i="18"/>
  <c r="SD79" i="18"/>
  <c r="QN79" i="18"/>
  <c r="QB79" i="18"/>
  <c r="OL79" i="18"/>
  <c r="MV79" i="18"/>
  <c r="MJ79" i="18"/>
  <c r="KT79" i="18"/>
  <c r="JD79" i="18"/>
  <c r="IR79" i="18"/>
  <c r="HB79" i="18"/>
  <c r="FL79" i="18"/>
  <c r="EZ79" i="18"/>
  <c r="DJ79" i="18"/>
  <c r="CR79" i="18"/>
  <c r="BT79" i="18"/>
  <c r="AV79" i="18"/>
  <c r="WZ79" i="18"/>
  <c r="SV79" i="18"/>
  <c r="RF79" i="18"/>
  <c r="PP79" i="18"/>
  <c r="LL79" i="18"/>
  <c r="JV79" i="18"/>
  <c r="IF79" i="18"/>
  <c r="EB79" i="18"/>
  <c r="BZ79" i="18"/>
  <c r="RX79" i="18"/>
  <c r="OR79" i="18"/>
  <c r="NN79" i="18"/>
  <c r="MP79" i="18"/>
  <c r="BB79" i="18"/>
  <c r="AJ79" i="18"/>
  <c r="HH79" i="18"/>
  <c r="CX79" i="18"/>
  <c r="WN79" i="18"/>
  <c r="KZ79" i="18"/>
  <c r="IX79" i="18"/>
  <c r="GV79" i="18"/>
  <c r="FF79" i="18"/>
  <c r="DD79" i="18"/>
  <c r="WB79" i="18"/>
  <c r="OF79" i="18"/>
  <c r="LX79" i="18"/>
  <c r="CF79" i="18"/>
  <c r="VP79" i="18"/>
  <c r="TH79" i="18"/>
  <c r="QH79" i="18"/>
  <c r="GD79" i="18"/>
  <c r="DP79" i="18"/>
  <c r="BH79" i="18"/>
  <c r="UX79" i="18"/>
  <c r="KN79" i="18"/>
  <c r="TZ79" i="18"/>
  <c r="PD79" i="18"/>
  <c r="EN79" i="18"/>
  <c r="SJ79" i="18"/>
  <c r="HT79" i="18"/>
  <c r="WE77" i="18"/>
  <c r="OW77" i="18"/>
  <c r="LC77" i="18"/>
  <c r="HK77" i="18"/>
  <c r="XK77" i="18"/>
  <c r="SA77" i="18"/>
  <c r="MS77" i="18"/>
  <c r="DI77" i="18"/>
  <c r="VM77" i="18"/>
  <c r="SH77" i="18"/>
  <c r="EA77" i="18"/>
  <c r="WW77" i="18"/>
  <c r="NL77" i="18"/>
  <c r="PC77" i="18"/>
  <c r="AM77" i="18"/>
  <c r="KW77" i="18"/>
  <c r="EG77" i="18"/>
  <c r="LI77" i="18"/>
  <c r="CC77" i="18"/>
  <c r="RQ77" i="18"/>
  <c r="NX77" i="18"/>
  <c r="KE77" i="18"/>
  <c r="CW77" i="18"/>
  <c r="VT77" i="18"/>
  <c r="QL77" i="18"/>
  <c r="HA77" i="18"/>
  <c r="BQ77" i="18"/>
  <c r="VB77" i="18"/>
  <c r="GU77" i="18"/>
  <c r="DM77" i="18"/>
  <c r="TF77" i="18"/>
  <c r="UW77" i="18"/>
  <c r="IC77" i="18"/>
  <c r="WL77" i="18"/>
  <c r="OQ77" i="18"/>
  <c r="VZ77" i="18"/>
  <c r="UP77" i="18"/>
  <c r="UI77" i="18"/>
  <c r="NA77" i="18"/>
  <c r="JG77" i="18"/>
  <c r="FO77" i="18"/>
  <c r="UE77" i="18"/>
  <c r="PZ77" i="18"/>
  <c r="KQ77" i="18"/>
  <c r="BG77" i="18"/>
  <c r="TX77" i="18"/>
  <c r="PN77" i="18"/>
  <c r="CK77" i="18"/>
  <c r="RV77" i="18"/>
  <c r="JT77" i="18"/>
  <c r="HG77" i="18"/>
  <c r="QF77" i="18"/>
  <c r="EL77" i="18"/>
  <c r="LQ77" i="18"/>
  <c r="HQ77" i="18"/>
  <c r="PH77" i="18"/>
  <c r="SO77" i="18"/>
  <c r="OU77" i="18"/>
  <c r="LD77" i="18"/>
  <c r="DU77" i="18"/>
  <c r="XI77" i="18"/>
  <c r="SB77" i="18"/>
  <c r="IQ77" i="18"/>
  <c r="DG77" i="18"/>
  <c r="VN77" i="18"/>
  <c r="HY77" i="18"/>
  <c r="DY77" i="18"/>
  <c r="WX77" i="18"/>
  <c r="CQ77" i="18"/>
  <c r="PB77" i="18"/>
  <c r="AN77" i="18"/>
  <c r="RK77" i="18"/>
  <c r="EE77" i="18"/>
  <c r="LJ77" i="18"/>
  <c r="VI77" i="18"/>
  <c r="RO77" i="18"/>
  <c r="NW77" i="18"/>
  <c r="GO77" i="18"/>
  <c r="CU77" i="18"/>
  <c r="VS77" i="18"/>
  <c r="MI77" i="18"/>
  <c r="GZ77" i="18"/>
  <c r="BR77" i="18"/>
  <c r="RE77" i="18"/>
  <c r="GS77" i="18"/>
  <c r="DN77" i="18"/>
  <c r="KM77" i="18"/>
  <c r="UU77" i="18"/>
  <c r="ID77" i="18"/>
  <c r="FW77" i="18"/>
  <c r="OO77" i="18"/>
  <c r="VY77" i="18"/>
  <c r="KA77" i="18"/>
  <c r="QS77" i="18"/>
  <c r="MY77" i="18"/>
  <c r="JH77" i="18"/>
  <c r="BY77" i="18"/>
  <c r="UC77" i="18"/>
  <c r="PY77" i="18"/>
  <c r="FK77" i="18"/>
  <c r="BF77" i="18"/>
  <c r="TW77" i="18"/>
  <c r="GI77" i="18"/>
  <c r="CI77" i="18"/>
  <c r="RU77" i="18"/>
  <c r="TA77" i="18"/>
  <c r="HF77" i="18"/>
  <c r="QE77" i="18"/>
  <c r="NG77" i="18"/>
  <c r="LO77" i="18"/>
  <c r="HR77" i="18"/>
  <c r="XH78" i="18"/>
  <c r="WJ78" i="18"/>
  <c r="VL78" i="18"/>
  <c r="UN78" i="18"/>
  <c r="TP78" i="18"/>
  <c r="SR78" i="18"/>
  <c r="RT78" i="18"/>
  <c r="QV78" i="18"/>
  <c r="PX78" i="18"/>
  <c r="OZ78" i="18"/>
  <c r="OB78" i="18"/>
  <c r="ND78" i="18"/>
  <c r="MF78" i="18"/>
  <c r="LH78" i="18"/>
  <c r="WP78" i="18"/>
  <c r="VR78" i="18"/>
  <c r="UT78" i="18"/>
  <c r="TV78" i="18"/>
  <c r="SX78" i="18"/>
  <c r="RZ78" i="18"/>
  <c r="RB78" i="18"/>
  <c r="QD78" i="18"/>
  <c r="PF78" i="18"/>
  <c r="OH78" i="18"/>
  <c r="NJ78" i="18"/>
  <c r="ML78" i="18"/>
  <c r="LN78" i="18"/>
  <c r="KP78" i="18"/>
  <c r="JR78" i="18"/>
  <c r="IT78" i="18"/>
  <c r="HV78" i="18"/>
  <c r="GX78" i="18"/>
  <c r="FZ78" i="18"/>
  <c r="FB78" i="18"/>
  <c r="ED78" i="18"/>
  <c r="DF78" i="18"/>
  <c r="CH78" i="18"/>
  <c r="BJ78" i="18"/>
  <c r="AL78" i="18"/>
  <c r="VX78" i="18"/>
  <c r="UB78" i="18"/>
  <c r="SF78" i="18"/>
  <c r="QJ78" i="18"/>
  <c r="ON78" i="18"/>
  <c r="MR78" i="18"/>
  <c r="KV78" i="18"/>
  <c r="KJ78" i="18"/>
  <c r="JX78" i="18"/>
  <c r="IH78" i="18"/>
  <c r="GR78" i="18"/>
  <c r="GF78" i="18"/>
  <c r="EP78" i="18"/>
  <c r="CZ78" i="18"/>
  <c r="CN78" i="18"/>
  <c r="AX78" i="18"/>
  <c r="TD78" i="18"/>
  <c r="SL78" i="18"/>
  <c r="RN78" i="18"/>
  <c r="LT78" i="18"/>
  <c r="LB78" i="18"/>
  <c r="JF78" i="18"/>
  <c r="IB78" i="18"/>
  <c r="HP78" i="18"/>
  <c r="GL78" i="18"/>
  <c r="FH78" i="18"/>
  <c r="EV78" i="18"/>
  <c r="DR78" i="18"/>
  <c r="CB78" i="18"/>
  <c r="TJ78" i="18"/>
  <c r="NV78" i="18"/>
  <c r="MX78" i="18"/>
  <c r="IZ78" i="18"/>
  <c r="FN78" i="18"/>
  <c r="BV78" i="18"/>
  <c r="BD78" i="18"/>
  <c r="XB78" i="18"/>
  <c r="UH78" i="18"/>
  <c r="RH78" i="18"/>
  <c r="PR78" i="18"/>
  <c r="KD78" i="18"/>
  <c r="EJ78" i="18"/>
  <c r="DL78" i="18"/>
  <c r="WV78" i="18"/>
  <c r="UZ78" i="18"/>
  <c r="IN78" i="18"/>
  <c r="HD78" i="18"/>
  <c r="FT78" i="18"/>
  <c r="AR78" i="18"/>
  <c r="QP78" i="18"/>
  <c r="OT78" i="18"/>
  <c r="JL78" i="18"/>
  <c r="BP78" i="18"/>
  <c r="DX78" i="18"/>
  <c r="PL78" i="18"/>
  <c r="LZ78" i="18"/>
  <c r="WD78" i="18"/>
  <c r="CT78" i="18"/>
  <c r="VF78" i="18"/>
  <c r="HJ78" i="18"/>
  <c r="NP78" i="18"/>
  <c r="WG77" i="18"/>
  <c r="SM77" i="18"/>
  <c r="HM77" i="18"/>
  <c r="DS77" i="18"/>
  <c r="MU77" i="18"/>
  <c r="IO77" i="18"/>
  <c r="SI77" i="18"/>
  <c r="HW77" i="18"/>
  <c r="NM77" i="18"/>
  <c r="CO77" i="18"/>
  <c r="KY77" i="18"/>
  <c r="RI77" i="18"/>
  <c r="CE77" i="18"/>
  <c r="VH77" i="18"/>
  <c r="KG77" i="18"/>
  <c r="GN77" i="18"/>
  <c r="QM77" i="18"/>
  <c r="MH77" i="18"/>
  <c r="VC77" i="18"/>
  <c r="RC77" i="18"/>
  <c r="TG77" i="18"/>
  <c r="KL77" i="18"/>
  <c r="WM77" i="18"/>
  <c r="FU77" i="18"/>
  <c r="UQ77" i="18"/>
  <c r="JY77" i="18"/>
  <c r="UK77" i="18"/>
  <c r="QQ77" i="18"/>
  <c r="FQ77" i="18"/>
  <c r="BW77" i="18"/>
  <c r="KS77" i="18"/>
  <c r="FI77" i="18"/>
  <c r="PO77" i="18"/>
  <c r="GG77" i="18"/>
  <c r="JU77" i="18"/>
  <c r="SY77" i="18"/>
  <c r="EM77" i="18"/>
  <c r="NE77" i="18"/>
  <c r="PI77" i="18"/>
  <c r="XA78" i="18"/>
  <c r="WC78" i="18"/>
  <c r="VE78" i="18"/>
  <c r="UG78" i="18"/>
  <c r="TI78" i="18"/>
  <c r="SK78" i="18"/>
  <c r="RM78" i="18"/>
  <c r="QO78" i="18"/>
  <c r="PQ78" i="18"/>
  <c r="OS78" i="18"/>
  <c r="NU78" i="18"/>
  <c r="NX78" i="18" s="1"/>
  <c r="MW78" i="18"/>
  <c r="NA78" i="18" s="1"/>
  <c r="LY78" i="18"/>
  <c r="LA78" i="18"/>
  <c r="XG78" i="18"/>
  <c r="WI78" i="18"/>
  <c r="VK78" i="18"/>
  <c r="UM78" i="18"/>
  <c r="TO78" i="18"/>
  <c r="SQ78" i="18"/>
  <c r="RS78" i="18"/>
  <c r="QU78" i="18"/>
  <c r="PW78" i="18"/>
  <c r="OY78" i="18"/>
  <c r="OA78" i="18"/>
  <c r="NC78" i="18"/>
  <c r="ME78" i="18"/>
  <c r="LG78" i="18"/>
  <c r="KI78" i="18"/>
  <c r="JK78" i="18"/>
  <c r="IM78" i="18"/>
  <c r="HO78" i="18"/>
  <c r="GQ78" i="18"/>
  <c r="FS78" i="18"/>
  <c r="EU78" i="18"/>
  <c r="DW78" i="18"/>
  <c r="CY78" i="18"/>
  <c r="CA78" i="18"/>
  <c r="BC78" i="18"/>
  <c r="WO78" i="18"/>
  <c r="US78" i="18"/>
  <c r="SW78" i="18"/>
  <c r="RA78" i="18"/>
  <c r="PE78" i="18"/>
  <c r="PI78" i="18" s="1"/>
  <c r="NI78" i="18"/>
  <c r="LM78" i="18"/>
  <c r="JE78" i="18"/>
  <c r="IS78" i="18"/>
  <c r="HC78" i="18"/>
  <c r="FM78" i="18"/>
  <c r="FA78" i="18"/>
  <c r="DK78" i="18"/>
  <c r="BU78" i="18"/>
  <c r="BI78" i="18"/>
  <c r="VQ78" i="18"/>
  <c r="UY78" i="18"/>
  <c r="UA78" i="18"/>
  <c r="OG78" i="18"/>
  <c r="NO78" i="18"/>
  <c r="MQ78" i="18"/>
  <c r="FY78" i="18"/>
  <c r="EI78" i="18"/>
  <c r="DE78" i="18"/>
  <c r="CS78" i="18"/>
  <c r="BO78" i="18"/>
  <c r="AK78" i="18"/>
  <c r="WU78" i="18"/>
  <c r="SE78" i="18"/>
  <c r="RG78" i="18"/>
  <c r="QC78" i="18"/>
  <c r="LS78" i="18"/>
  <c r="KO78" i="18"/>
  <c r="JW78" i="18"/>
  <c r="JY78" i="18" s="1"/>
  <c r="GW78" i="18"/>
  <c r="GE78" i="18"/>
  <c r="CM78" i="18"/>
  <c r="VW78" i="18"/>
  <c r="OM78" i="18"/>
  <c r="IG78" i="18"/>
  <c r="HI78" i="18"/>
  <c r="GK78" i="18"/>
  <c r="FG78" i="18"/>
  <c r="AQ78" i="18"/>
  <c r="TC78" i="18"/>
  <c r="PK78" i="18"/>
  <c r="JQ78" i="18"/>
  <c r="EO78" i="18"/>
  <c r="MK78" i="18"/>
  <c r="KU78" i="18"/>
  <c r="IA78" i="18"/>
  <c r="EC78" i="18"/>
  <c r="TU78" i="18"/>
  <c r="QI78" i="18"/>
  <c r="IY78" i="18"/>
  <c r="DQ78" i="18"/>
  <c r="AW78" i="18"/>
  <c r="AY78" i="18" s="1"/>
  <c r="RY78" i="18"/>
  <c r="SC78" i="18" s="1"/>
  <c r="HU78" i="18"/>
  <c r="KC78" i="18"/>
  <c r="CG78" i="18"/>
  <c r="P76" i="18"/>
  <c r="T75" i="18" s="1"/>
  <c r="R76" i="18"/>
  <c r="Q76" i="18"/>
  <c r="B153" i="9"/>
  <c r="I153" i="9" s="1"/>
  <c r="B153" i="1"/>
  <c r="B153" i="7"/>
  <c r="U142" i="5"/>
  <c r="Q144" i="5"/>
  <c r="U144" i="5" s="1"/>
  <c r="AG149" i="5"/>
  <c r="R151" i="5"/>
  <c r="AG146" i="5"/>
  <c r="AL146" i="5" s="1"/>
  <c r="R148" i="5"/>
  <c r="F148" i="5"/>
  <c r="B155" i="5"/>
  <c r="AE153" i="5"/>
  <c r="K153" i="5"/>
  <c r="AJ148" i="5"/>
  <c r="B152" i="5"/>
  <c r="K150" i="5"/>
  <c r="BQ149" i="1"/>
  <c r="BP149" i="1"/>
  <c r="X149" i="7" s="1"/>
  <c r="O149" i="1"/>
  <c r="O148" i="1"/>
  <c r="R140" i="14"/>
  <c r="Q74" i="15" s="1"/>
  <c r="U140" i="14"/>
  <c r="S140" i="14"/>
  <c r="T140" i="14"/>
  <c r="Q139" i="14"/>
  <c r="K142" i="7" s="1"/>
  <c r="B143" i="14"/>
  <c r="B152" i="1"/>
  <c r="N150" i="1"/>
  <c r="B152" i="9"/>
  <c r="B155" i="8"/>
  <c r="B78" i="15"/>
  <c r="B152" i="7"/>
  <c r="B154" i="8"/>
  <c r="B80" i="18"/>
  <c r="G80" i="18" s="1"/>
  <c r="N79" i="18"/>
  <c r="O79" i="18"/>
  <c r="Q146" i="5" l="1"/>
  <c r="L142" i="19"/>
  <c r="P142" i="19"/>
  <c r="J142" i="19"/>
  <c r="K142" i="19"/>
  <c r="P74" i="15"/>
  <c r="E145" i="8"/>
  <c r="N143" i="7"/>
  <c r="G74" i="15"/>
  <c r="D144" i="19"/>
  <c r="J144" i="19" s="1"/>
  <c r="L143" i="7"/>
  <c r="N142" i="7"/>
  <c r="K143" i="7"/>
  <c r="L142" i="7"/>
  <c r="D144" i="8"/>
  <c r="R144" i="8" s="1"/>
  <c r="E145" i="19"/>
  <c r="P145" i="19"/>
  <c r="R145" i="8"/>
  <c r="P131" i="5"/>
  <c r="SN78" i="18"/>
  <c r="FP78" i="18"/>
  <c r="XD78" i="18"/>
  <c r="HL78" i="18"/>
  <c r="B159" i="19"/>
  <c r="G159" i="19" s="1"/>
  <c r="F157" i="19"/>
  <c r="I155" i="5"/>
  <c r="J155" i="5" s="1"/>
  <c r="F155" i="5" s="1"/>
  <c r="N85" i="7"/>
  <c r="K84" i="7"/>
  <c r="L85" i="7"/>
  <c r="K85" i="7"/>
  <c r="L84" i="7"/>
  <c r="N84" i="7"/>
  <c r="D86" i="19"/>
  <c r="E87" i="19"/>
  <c r="Q45" i="15"/>
  <c r="G45" i="15"/>
  <c r="E87" i="8"/>
  <c r="P45" i="15"/>
  <c r="D86" i="8"/>
  <c r="R86" i="8" s="1"/>
  <c r="VH78" i="18"/>
  <c r="GN78" i="18"/>
  <c r="I150" i="9"/>
  <c r="U149" i="5"/>
  <c r="AF149" i="5" s="1"/>
  <c r="P19" i="7" s="1"/>
  <c r="P151" i="5"/>
  <c r="T151" i="5" s="1"/>
  <c r="Q151" i="5"/>
  <c r="U151" i="5" s="1"/>
  <c r="T133" i="5"/>
  <c r="AF133" i="5" s="1"/>
  <c r="VY78" i="18"/>
  <c r="L150" i="9"/>
  <c r="L151" i="9"/>
  <c r="M148" i="9"/>
  <c r="M149" i="9"/>
  <c r="J151" i="9"/>
  <c r="J150" i="9"/>
  <c r="H153" i="9"/>
  <c r="K153" i="9" s="1"/>
  <c r="RP78" i="18"/>
  <c r="FJ78" i="18"/>
  <c r="EX78" i="18"/>
  <c r="WQ78" i="18"/>
  <c r="F154" i="8"/>
  <c r="G154" i="8"/>
  <c r="G155" i="8"/>
  <c r="F155" i="8"/>
  <c r="I152" i="7"/>
  <c r="J152" i="7"/>
  <c r="J153" i="7"/>
  <c r="I153" i="7"/>
  <c r="H152" i="9"/>
  <c r="K152" i="9" s="1"/>
  <c r="U78" i="15"/>
  <c r="Y78" i="18" s="1"/>
  <c r="E78" i="15"/>
  <c r="D78" i="15"/>
  <c r="E80" i="18"/>
  <c r="D80" i="18"/>
  <c r="F80" i="18" s="1"/>
  <c r="AD152" i="5"/>
  <c r="I152" i="5"/>
  <c r="J152" i="5" s="1"/>
  <c r="H152" i="1"/>
  <c r="I152" i="1" s="1"/>
  <c r="H153" i="1"/>
  <c r="I153" i="1" s="1"/>
  <c r="JT78" i="18"/>
  <c r="FD78" i="18"/>
  <c r="HR78" i="18"/>
  <c r="S75" i="18"/>
  <c r="U75" i="18" s="1"/>
  <c r="BQ78" i="18"/>
  <c r="BR78" i="18"/>
  <c r="EM78" i="18"/>
  <c r="T78" i="15"/>
  <c r="KG78" i="18"/>
  <c r="ES78" i="18"/>
  <c r="DH78" i="18"/>
  <c r="VT78" i="18"/>
  <c r="AS78" i="18"/>
  <c r="NF78" i="18"/>
  <c r="OO78" i="18"/>
  <c r="TF78" i="18"/>
  <c r="KQ78" i="18"/>
  <c r="NR78" i="18"/>
  <c r="MG78" i="18"/>
  <c r="IJ78" i="18"/>
  <c r="RD78" i="18"/>
  <c r="MH78" i="18"/>
  <c r="PY78" i="18"/>
  <c r="TR78" i="18"/>
  <c r="XK78" i="18"/>
  <c r="GB78" i="18"/>
  <c r="UD78" i="18"/>
  <c r="NL78" i="18"/>
  <c r="UV78" i="18"/>
  <c r="CI78" i="18"/>
  <c r="CV78" i="18"/>
  <c r="MS78" i="18"/>
  <c r="DZ78" i="18"/>
  <c r="QR78" i="18"/>
  <c r="UI78" i="18"/>
  <c r="JA78" i="18"/>
  <c r="OP78" i="18"/>
  <c r="GY78" i="18"/>
  <c r="OJ78" i="18"/>
  <c r="CE78" i="18"/>
  <c r="NE78" i="18"/>
  <c r="QY78" i="18"/>
  <c r="UO78" i="18"/>
  <c r="TY78" i="18"/>
  <c r="MO78" i="18"/>
  <c r="CQ78" i="18"/>
  <c r="SG78" i="18"/>
  <c r="VC78" i="18"/>
  <c r="DN78" i="18"/>
  <c r="IW78" i="18"/>
  <c r="LI78" i="18"/>
  <c r="PB78" i="18"/>
  <c r="SS78" i="18"/>
  <c r="WL78" i="18"/>
  <c r="NG78" i="18"/>
  <c r="FO78" i="18"/>
  <c r="ID78" i="18"/>
  <c r="QF78" i="18"/>
  <c r="BK78" i="18"/>
  <c r="KX78" i="18"/>
  <c r="PM78" i="18"/>
  <c r="RI78" i="18"/>
  <c r="BX78" i="18"/>
  <c r="HF78" i="18"/>
  <c r="OQ78" i="18"/>
  <c r="FQ78" i="18"/>
  <c r="PA78" i="18"/>
  <c r="DB78" i="18"/>
  <c r="TM78" i="18"/>
  <c r="EE78" i="18"/>
  <c r="JH78" i="18"/>
  <c r="IQ78" i="18"/>
  <c r="GA78" i="18"/>
  <c r="SH78" i="18"/>
  <c r="KW78" i="18"/>
  <c r="AT78" i="18"/>
  <c r="QQ78" i="18"/>
  <c r="UJ78" i="18"/>
  <c r="WA78" i="18"/>
  <c r="BW78" i="18"/>
  <c r="HE78" i="18"/>
  <c r="VZ78" i="18"/>
  <c r="BS78" i="18"/>
  <c r="KY78" i="18"/>
  <c r="BY78" i="18"/>
  <c r="GC78" i="18"/>
  <c r="HG78" i="18"/>
  <c r="LC78" i="18"/>
  <c r="WF78" i="18"/>
  <c r="JI78" i="18"/>
  <c r="TS78" i="18"/>
  <c r="JG78" i="18"/>
  <c r="MI78" i="18"/>
  <c r="SU78" i="18"/>
  <c r="FK78" i="18"/>
  <c r="FI78" i="18"/>
  <c r="MN78" i="18"/>
  <c r="SI78" i="18"/>
  <c r="QS78" i="18"/>
  <c r="MY78" i="18"/>
  <c r="TQ78" i="18"/>
  <c r="AU78" i="18"/>
  <c r="PG78" i="18"/>
  <c r="EG78" i="18"/>
  <c r="DI78" i="18"/>
  <c r="ST78" i="18"/>
  <c r="HW78" i="18"/>
  <c r="AO78" i="18"/>
  <c r="LP78" i="18"/>
  <c r="SZ78" i="18"/>
  <c r="FW78" i="18"/>
  <c r="JM78" i="18"/>
  <c r="OW78" i="18"/>
  <c r="UK78" i="18"/>
  <c r="MZ78" i="18"/>
  <c r="PH78" i="18"/>
  <c r="PC78" i="18"/>
  <c r="DG78" i="18"/>
  <c r="MM78" i="18"/>
  <c r="QM78" i="18"/>
  <c r="GT78" i="18"/>
  <c r="KL78" i="18"/>
  <c r="OE78" i="18"/>
  <c r="RV78" i="18"/>
  <c r="VN78" i="18"/>
  <c r="MB78" i="18"/>
  <c r="PS78" i="18"/>
  <c r="DT78" i="18"/>
  <c r="EF78" i="18"/>
  <c r="GH78" i="18"/>
  <c r="LW78" i="18"/>
  <c r="WW78" i="18"/>
  <c r="BF78" i="18"/>
  <c r="JC78" i="18"/>
  <c r="JB78" i="18"/>
  <c r="WV79" i="18"/>
  <c r="VX79" i="18"/>
  <c r="UZ79" i="18"/>
  <c r="UB79" i="18"/>
  <c r="TD79" i="18"/>
  <c r="SF79" i="18"/>
  <c r="RH79" i="18"/>
  <c r="QJ79" i="18"/>
  <c r="PL79" i="18"/>
  <c r="ON79" i="18"/>
  <c r="NP79" i="18"/>
  <c r="MR79" i="18"/>
  <c r="LT79" i="18"/>
  <c r="KV79" i="18"/>
  <c r="JX79" i="18"/>
  <c r="IZ79" i="18"/>
  <c r="IB79" i="18"/>
  <c r="HD79" i="18"/>
  <c r="GF79" i="18"/>
  <c r="FH79" i="18"/>
  <c r="EJ79" i="18"/>
  <c r="DL79" i="18"/>
  <c r="XB79" i="18"/>
  <c r="VL79" i="18"/>
  <c r="TV79" i="18"/>
  <c r="TJ79" i="18"/>
  <c r="RT79" i="18"/>
  <c r="QD79" i="18"/>
  <c r="PR79" i="18"/>
  <c r="OB79" i="18"/>
  <c r="ML79" i="18"/>
  <c r="LZ79" i="18"/>
  <c r="KJ79" i="18"/>
  <c r="IT79" i="18"/>
  <c r="IH79" i="18"/>
  <c r="GR79" i="18"/>
  <c r="FB79" i="18"/>
  <c r="EP79" i="18"/>
  <c r="CZ79" i="18"/>
  <c r="CB79" i="18"/>
  <c r="BD79" i="18"/>
  <c r="WP79" i="18"/>
  <c r="WD79" i="18"/>
  <c r="UN79" i="18"/>
  <c r="SX79" i="18"/>
  <c r="SL79" i="18"/>
  <c r="QV79" i="18"/>
  <c r="PF79" i="18"/>
  <c r="OT79" i="18"/>
  <c r="ND79" i="18"/>
  <c r="LN79" i="18"/>
  <c r="LB79" i="18"/>
  <c r="JL79" i="18"/>
  <c r="HV79" i="18"/>
  <c r="HJ79" i="18"/>
  <c r="FT79" i="18"/>
  <c r="ED79" i="18"/>
  <c r="DR79" i="18"/>
  <c r="CH79" i="18"/>
  <c r="BJ79" i="18"/>
  <c r="AL79" i="18"/>
  <c r="VF79" i="18"/>
  <c r="TP79" i="18"/>
  <c r="RZ79" i="18"/>
  <c r="NV79" i="18"/>
  <c r="MF79" i="18"/>
  <c r="KP79" i="18"/>
  <c r="GL79" i="18"/>
  <c r="EV79" i="18"/>
  <c r="DF79" i="18"/>
  <c r="CN79" i="18"/>
  <c r="AR79" i="18"/>
  <c r="XH79" i="18"/>
  <c r="WJ79" i="18"/>
  <c r="LH79" i="18"/>
  <c r="KD79" i="18"/>
  <c r="JF79" i="18"/>
  <c r="GX79" i="18"/>
  <c r="FZ79" i="18"/>
  <c r="CT79" i="18"/>
  <c r="BV79" i="18"/>
  <c r="VR79" i="18"/>
  <c r="UH79" i="18"/>
  <c r="SR79" i="18"/>
  <c r="PX79" i="18"/>
  <c r="OH79" i="18"/>
  <c r="MX79" i="18"/>
  <c r="IN79" i="18"/>
  <c r="FN79" i="18"/>
  <c r="BP79" i="18"/>
  <c r="UT79" i="18"/>
  <c r="QP79" i="18"/>
  <c r="OZ79" i="18"/>
  <c r="RB79" i="18"/>
  <c r="DX79" i="18"/>
  <c r="AX79" i="18"/>
  <c r="JR79" i="18"/>
  <c r="NJ79" i="18"/>
  <c r="RN79" i="18"/>
  <c r="HP79" i="18"/>
  <c r="VA78" i="18"/>
  <c r="RJ78" i="18"/>
  <c r="XE78" i="18"/>
  <c r="TK78" i="18"/>
  <c r="PT78" i="18"/>
  <c r="IK78" i="18"/>
  <c r="EQ78" i="18"/>
  <c r="AZ78" i="18"/>
  <c r="JU78" i="18"/>
  <c r="EK78" i="18"/>
  <c r="WR78" i="18"/>
  <c r="BG78" i="18"/>
  <c r="IO78" i="18"/>
  <c r="DM78" i="18"/>
  <c r="RE78" i="18"/>
  <c r="CD78" i="18"/>
  <c r="GZ78" i="18"/>
  <c r="GI78" i="18"/>
  <c r="SA78" i="18"/>
  <c r="UE78" i="18"/>
  <c r="QL78" i="18"/>
  <c r="MT78" i="18"/>
  <c r="SO78" i="18"/>
  <c r="OU78" i="18"/>
  <c r="LD78" i="18"/>
  <c r="DU78" i="18"/>
  <c r="XI78" i="18"/>
  <c r="PZ78" i="18"/>
  <c r="EA78" i="18"/>
  <c r="QW78" i="18"/>
  <c r="JZ78" i="18"/>
  <c r="HY78" i="18"/>
  <c r="AM78" i="18"/>
  <c r="JN78" i="18"/>
  <c r="WM78" i="18"/>
  <c r="FU78" i="18"/>
  <c r="BL78" i="18"/>
  <c r="FE78" i="18"/>
  <c r="WX78" i="18"/>
  <c r="PO78" i="18"/>
  <c r="LU78" i="18"/>
  <c r="VG78" i="18"/>
  <c r="NY78" i="18"/>
  <c r="KE78" i="18"/>
  <c r="GM78" i="18"/>
  <c r="VO78" i="18"/>
  <c r="OC78" i="18"/>
  <c r="HQ78" i="18"/>
  <c r="QG78" i="18"/>
  <c r="IU78" i="18"/>
  <c r="UP78" i="18"/>
  <c r="TA78" i="18"/>
  <c r="CO78" i="18"/>
  <c r="LJ78" i="18"/>
  <c r="DC78" i="18"/>
  <c r="TW78" i="18"/>
  <c r="KR78" i="18"/>
  <c r="VB78" i="18"/>
  <c r="NS78" i="18"/>
  <c r="XC78" i="18"/>
  <c r="TL78" i="18"/>
  <c r="MC78" i="18"/>
  <c r="II78" i="18"/>
  <c r="ER78" i="18"/>
  <c r="RW78" i="18"/>
  <c r="JS78" i="18"/>
  <c r="EL78" i="18"/>
  <c r="KM78" i="18"/>
  <c r="BE78" i="18"/>
  <c r="IP78" i="18"/>
  <c r="LQ78" i="18"/>
  <c r="RC78" i="18"/>
  <c r="CC78" i="18"/>
  <c r="GU78" i="18"/>
  <c r="GG78" i="18"/>
  <c r="SB78" i="18"/>
  <c r="UC78" i="18"/>
  <c r="QK78" i="18"/>
  <c r="WG78" i="18"/>
  <c r="SM78" i="18"/>
  <c r="OV78" i="18"/>
  <c r="HM78" i="18"/>
  <c r="DS78" i="18"/>
  <c r="XJ78" i="18"/>
  <c r="IE78" i="18"/>
  <c r="DY78" i="18"/>
  <c r="QX78" i="18"/>
  <c r="VU78" i="18"/>
  <c r="HX78" i="18"/>
  <c r="AN78" i="18"/>
  <c r="NM78" i="18"/>
  <c r="WK78" i="18"/>
  <c r="FV78" i="18"/>
  <c r="OK78" i="18"/>
  <c r="FC78" i="18"/>
  <c r="TG78" i="18"/>
  <c r="PN78" i="18"/>
  <c r="LV78" i="18"/>
  <c r="RQ78" i="18"/>
  <c r="NW78" i="18"/>
  <c r="KF78" i="18"/>
  <c r="CW78" i="18"/>
  <c r="VM78" i="18"/>
  <c r="OD78" i="18"/>
  <c r="CK78" i="18"/>
  <c r="QE78" i="18"/>
  <c r="IV78" i="18"/>
  <c r="EY78" i="18"/>
  <c r="SY78" i="18"/>
  <c r="CP78" i="18"/>
  <c r="UW78" i="18"/>
  <c r="DA78" i="18"/>
  <c r="TX78" i="18"/>
  <c r="XF80" i="18"/>
  <c r="WH80" i="18"/>
  <c r="VJ80" i="18"/>
  <c r="UL80" i="18"/>
  <c r="TN80" i="18"/>
  <c r="SP80" i="18"/>
  <c r="RR80" i="18"/>
  <c r="QT80" i="18"/>
  <c r="PV80" i="18"/>
  <c r="OX80" i="18"/>
  <c r="NZ80" i="18"/>
  <c r="NB80" i="18"/>
  <c r="MD80" i="18"/>
  <c r="LF80" i="18"/>
  <c r="KH80" i="18"/>
  <c r="JJ80" i="18"/>
  <c r="IL80" i="18"/>
  <c r="HN80" i="18"/>
  <c r="GP80" i="18"/>
  <c r="FR80" i="18"/>
  <c r="ET80" i="18"/>
  <c r="DV80" i="18"/>
  <c r="CX80" i="18"/>
  <c r="BZ80" i="18"/>
  <c r="BB80" i="18"/>
  <c r="VV80" i="18"/>
  <c r="UF80" i="18"/>
  <c r="TT80" i="18"/>
  <c r="SD80" i="18"/>
  <c r="QN80" i="18"/>
  <c r="QB80" i="18"/>
  <c r="OL80" i="18"/>
  <c r="MV80" i="18"/>
  <c r="MJ80" i="18"/>
  <c r="KT80" i="18"/>
  <c r="JD80" i="18"/>
  <c r="IR80" i="18"/>
  <c r="HB80" i="18"/>
  <c r="FL80" i="18"/>
  <c r="EZ80" i="18"/>
  <c r="DJ80" i="18"/>
  <c r="BT80" i="18"/>
  <c r="BH80" i="18"/>
  <c r="WZ80" i="18"/>
  <c r="WN80" i="18"/>
  <c r="UX80" i="18"/>
  <c r="TH80" i="18"/>
  <c r="SV80" i="18"/>
  <c r="RF80" i="18"/>
  <c r="PP80" i="18"/>
  <c r="PD80" i="18"/>
  <c r="NN80" i="18"/>
  <c r="LX80" i="18"/>
  <c r="LL80" i="18"/>
  <c r="JV80" i="18"/>
  <c r="IF80" i="18"/>
  <c r="HT80" i="18"/>
  <c r="GD80" i="18"/>
  <c r="EN80" i="18"/>
  <c r="EB80" i="18"/>
  <c r="CL80" i="18"/>
  <c r="AV80" i="18"/>
  <c r="AJ80" i="18"/>
  <c r="WB80" i="18"/>
  <c r="RX80" i="18"/>
  <c r="QH80" i="18"/>
  <c r="OR80" i="18"/>
  <c r="KN80" i="18"/>
  <c r="IX80" i="18"/>
  <c r="HH80" i="18"/>
  <c r="DD80" i="18"/>
  <c r="BN80" i="18"/>
  <c r="WT80" i="18"/>
  <c r="VD80" i="18"/>
  <c r="QZ80" i="18"/>
  <c r="PJ80" i="18"/>
  <c r="NT80" i="18"/>
  <c r="VP80" i="18"/>
  <c r="TZ80" i="18"/>
  <c r="SJ80" i="18"/>
  <c r="HZ80" i="18"/>
  <c r="GV80" i="18"/>
  <c r="FX80" i="18"/>
  <c r="DP80" i="18"/>
  <c r="CR80" i="18"/>
  <c r="RL80" i="18"/>
  <c r="MP80" i="18"/>
  <c r="UR80" i="18"/>
  <c r="OF80" i="18"/>
  <c r="LR80" i="18"/>
  <c r="FF80" i="18"/>
  <c r="NH80" i="18"/>
  <c r="JP80" i="18"/>
  <c r="EH80" i="18"/>
  <c r="GJ80" i="18"/>
  <c r="CF80" i="18"/>
  <c r="TB80" i="18"/>
  <c r="KZ80" i="18"/>
  <c r="AP80" i="18"/>
  <c r="KB80" i="18"/>
  <c r="WO79" i="18"/>
  <c r="WQ79" i="18" s="1"/>
  <c r="VQ79" i="18"/>
  <c r="US79" i="18"/>
  <c r="TU79" i="18"/>
  <c r="TW79" i="18" s="1"/>
  <c r="SW79" i="18"/>
  <c r="RY79" i="18"/>
  <c r="RA79" i="18"/>
  <c r="QC79" i="18"/>
  <c r="PE79" i="18"/>
  <c r="OG79" i="18"/>
  <c r="NI79" i="18"/>
  <c r="MK79" i="18"/>
  <c r="LM79" i="18"/>
  <c r="KO79" i="18"/>
  <c r="KQ79" i="18" s="1"/>
  <c r="JQ79" i="18"/>
  <c r="IS79" i="18"/>
  <c r="HU79" i="18"/>
  <c r="HX79" i="18" s="1"/>
  <c r="GW79" i="18"/>
  <c r="FY79" i="18"/>
  <c r="FA79" i="18"/>
  <c r="FE79" i="18" s="1"/>
  <c r="EC79" i="18"/>
  <c r="DE79" i="18"/>
  <c r="WI79" i="18"/>
  <c r="VW79" i="18"/>
  <c r="UG79" i="18"/>
  <c r="SQ79" i="18"/>
  <c r="SE79" i="18"/>
  <c r="QO79" i="18"/>
  <c r="OY79" i="18"/>
  <c r="OM79" i="18"/>
  <c r="MW79" i="18"/>
  <c r="LG79" i="18"/>
  <c r="KU79" i="18"/>
  <c r="KX79" i="18" s="1"/>
  <c r="JE79" i="18"/>
  <c r="HO79" i="18"/>
  <c r="HS79" i="18" s="1"/>
  <c r="HC79" i="18"/>
  <c r="FM79" i="18"/>
  <c r="DW79" i="18"/>
  <c r="DZ79" i="18" s="1"/>
  <c r="DK79" i="18"/>
  <c r="CS79" i="18"/>
  <c r="BU79" i="18"/>
  <c r="AW79" i="18"/>
  <c r="XA79" i="18"/>
  <c r="VK79" i="18"/>
  <c r="UY79" i="18"/>
  <c r="TI79" i="18"/>
  <c r="RS79" i="18"/>
  <c r="RG79" i="18"/>
  <c r="PQ79" i="18"/>
  <c r="OA79" i="18"/>
  <c r="NO79" i="18"/>
  <c r="LY79" i="18"/>
  <c r="KI79" i="18"/>
  <c r="JW79" i="18"/>
  <c r="JY79" i="18" s="1"/>
  <c r="IG79" i="18"/>
  <c r="GQ79" i="18"/>
  <c r="GE79" i="18"/>
  <c r="EO79" i="18"/>
  <c r="CY79" i="18"/>
  <c r="CA79" i="18"/>
  <c r="BC79" i="18"/>
  <c r="WC79" i="18"/>
  <c r="WF79" i="18" s="1"/>
  <c r="UM79" i="18"/>
  <c r="QI79" i="18"/>
  <c r="OS79" i="18"/>
  <c r="NC79" i="18"/>
  <c r="IY79" i="18"/>
  <c r="HI79" i="18"/>
  <c r="FS79" i="18"/>
  <c r="BI79" i="18"/>
  <c r="VE79" i="18"/>
  <c r="UA79" i="18"/>
  <c r="TC79" i="18"/>
  <c r="QU79" i="18"/>
  <c r="PW79" i="18"/>
  <c r="IA79" i="18"/>
  <c r="ID79" i="18" s="1"/>
  <c r="EU79" i="18"/>
  <c r="DQ79" i="18"/>
  <c r="XG79" i="18"/>
  <c r="RM79" i="18"/>
  <c r="LS79" i="18"/>
  <c r="KC79" i="18"/>
  <c r="EI79" i="18"/>
  <c r="AQ79" i="18"/>
  <c r="SK79" i="18"/>
  <c r="SN79" i="18" s="1"/>
  <c r="MQ79" i="18"/>
  <c r="BO79" i="18"/>
  <c r="TO79" i="18"/>
  <c r="JK79" i="18"/>
  <c r="GK79" i="18"/>
  <c r="NU79" i="18"/>
  <c r="LA79" i="18"/>
  <c r="IM79" i="18"/>
  <c r="PK79" i="18"/>
  <c r="FG79" i="18"/>
  <c r="FK79" i="18" s="1"/>
  <c r="AK79" i="18"/>
  <c r="AO79" i="18" s="1"/>
  <c r="CM79" i="18"/>
  <c r="WU79" i="18"/>
  <c r="CG79" i="18"/>
  <c r="ME79" i="18"/>
  <c r="RK78" i="18"/>
  <c r="NQ78" i="18"/>
  <c r="PU78" i="18"/>
  <c r="MA78" i="18"/>
  <c r="BA78" i="18"/>
  <c r="RU78" i="18"/>
  <c r="WS78" i="18"/>
  <c r="KK78" i="18"/>
  <c r="DO78" i="18"/>
  <c r="LO78" i="18"/>
  <c r="HA78" i="18"/>
  <c r="GS78" i="18"/>
  <c r="MU78" i="18"/>
  <c r="WE78" i="18"/>
  <c r="LE78" i="18"/>
  <c r="HK78" i="18"/>
  <c r="QA78" i="18"/>
  <c r="IC78" i="18"/>
  <c r="KA78" i="18"/>
  <c r="VS78" i="18"/>
  <c r="JO78" i="18"/>
  <c r="NK78" i="18"/>
  <c r="BM78" i="18"/>
  <c r="OI78" i="18"/>
  <c r="WY78" i="18"/>
  <c r="TE78" i="18"/>
  <c r="VI78" i="18"/>
  <c r="RO78" i="18"/>
  <c r="GO78" i="18"/>
  <c r="CU78" i="18"/>
  <c r="HS78" i="18"/>
  <c r="CJ78" i="18"/>
  <c r="UQ78" i="18"/>
  <c r="EW78" i="18"/>
  <c r="LK78" i="18"/>
  <c r="UU78" i="18"/>
  <c r="KS78" i="18"/>
  <c r="P77" i="18"/>
  <c r="T76" i="18" s="1"/>
  <c r="R77" i="18"/>
  <c r="Q77" i="18"/>
  <c r="B155" i="1"/>
  <c r="B155" i="9"/>
  <c r="I155" i="9" s="1"/>
  <c r="B155" i="7"/>
  <c r="AG151" i="5"/>
  <c r="R153" i="5"/>
  <c r="AG148" i="5"/>
  <c r="AL148" i="5" s="1"/>
  <c r="R150" i="5"/>
  <c r="AJ150" i="5"/>
  <c r="B157" i="5"/>
  <c r="K155" i="5"/>
  <c r="AE155" i="5"/>
  <c r="B154" i="5"/>
  <c r="K152" i="5"/>
  <c r="F150" i="5"/>
  <c r="R141" i="14"/>
  <c r="R147" i="8" s="1"/>
  <c r="O150" i="1"/>
  <c r="BQ151" i="1"/>
  <c r="BP151" i="1"/>
  <c r="X151" i="7" s="1"/>
  <c r="O151" i="1"/>
  <c r="B144" i="14"/>
  <c r="U141" i="14"/>
  <c r="S141" i="14"/>
  <c r="T141" i="14"/>
  <c r="Q140" i="14"/>
  <c r="K144" i="7" s="1"/>
  <c r="B154" i="7"/>
  <c r="B154" i="1"/>
  <c r="N152" i="1"/>
  <c r="B156" i="8"/>
  <c r="B157" i="8"/>
  <c r="B79" i="15"/>
  <c r="B154" i="9"/>
  <c r="I154" i="9" s="1"/>
  <c r="B81" i="18"/>
  <c r="G81" i="18" s="1"/>
  <c r="N80" i="18"/>
  <c r="O80" i="18"/>
  <c r="L144" i="19" l="1"/>
  <c r="K144" i="19"/>
  <c r="P144" i="19"/>
  <c r="I144" i="19"/>
  <c r="G75" i="15"/>
  <c r="N144" i="7"/>
  <c r="D146" i="19"/>
  <c r="P146" i="19" s="1"/>
  <c r="P147" i="19"/>
  <c r="E147" i="8"/>
  <c r="K145" i="7"/>
  <c r="N145" i="7"/>
  <c r="L145" i="7"/>
  <c r="D146" i="8"/>
  <c r="R146" i="8" s="1"/>
  <c r="P75" i="15"/>
  <c r="L144" i="7"/>
  <c r="Q75" i="15"/>
  <c r="E147" i="19"/>
  <c r="P129" i="5"/>
  <c r="JB79" i="18"/>
  <c r="B161" i="19"/>
  <c r="G161" i="19" s="1"/>
  <c r="F159" i="19"/>
  <c r="I157" i="5"/>
  <c r="J157" i="5" s="1"/>
  <c r="F157" i="5" s="1"/>
  <c r="E89" i="19"/>
  <c r="D88" i="19"/>
  <c r="E89" i="8"/>
  <c r="G46" i="15"/>
  <c r="Q46" i="15"/>
  <c r="P46" i="15"/>
  <c r="D88" i="8"/>
  <c r="R88" i="8" s="1"/>
  <c r="L86" i="7"/>
  <c r="K87" i="7"/>
  <c r="N87" i="7"/>
  <c r="K86" i="7"/>
  <c r="N86" i="7"/>
  <c r="L87" i="7"/>
  <c r="Q153" i="5"/>
  <c r="I152" i="9"/>
  <c r="P153" i="5"/>
  <c r="T131" i="5"/>
  <c r="AF131" i="5" s="1"/>
  <c r="QY79" i="18"/>
  <c r="M150" i="9"/>
  <c r="L153" i="9"/>
  <c r="L152" i="9"/>
  <c r="M151" i="9"/>
  <c r="J153" i="9"/>
  <c r="J152" i="9"/>
  <c r="H155" i="9"/>
  <c r="K155" i="9" s="1"/>
  <c r="F156" i="8"/>
  <c r="G156" i="8"/>
  <c r="F157" i="8"/>
  <c r="G157" i="8"/>
  <c r="H154" i="9"/>
  <c r="K154" i="9" s="1"/>
  <c r="I154" i="7"/>
  <c r="J154" i="7"/>
  <c r="I155" i="7"/>
  <c r="J155" i="7"/>
  <c r="U79" i="15"/>
  <c r="Y79" i="18" s="1"/>
  <c r="D79" i="15"/>
  <c r="E79" i="15"/>
  <c r="E81" i="18"/>
  <c r="D81" i="18"/>
  <c r="F81" i="18" s="1"/>
  <c r="AD154" i="5"/>
  <c r="I154" i="5"/>
  <c r="J154" i="5" s="1"/>
  <c r="H154" i="1"/>
  <c r="I154" i="1" s="1"/>
  <c r="H155" i="1"/>
  <c r="I155" i="1" s="1"/>
  <c r="UP79" i="18"/>
  <c r="S76" i="18"/>
  <c r="U76" i="18" s="1"/>
  <c r="T79" i="15"/>
  <c r="TQ79" i="18"/>
  <c r="RQ79" i="18"/>
  <c r="HK79" i="18"/>
  <c r="RI79" i="18"/>
  <c r="LJ79" i="18"/>
  <c r="MM79" i="18"/>
  <c r="CJ79" i="18"/>
  <c r="DB79" i="18"/>
  <c r="IJ79" i="18"/>
  <c r="NS79" i="18"/>
  <c r="RV79" i="18"/>
  <c r="XD79" i="18"/>
  <c r="GI79" i="18"/>
  <c r="VB79" i="18"/>
  <c r="MY79" i="18"/>
  <c r="GC79" i="18"/>
  <c r="UV79" i="18"/>
  <c r="CP79" i="18"/>
  <c r="UK79" i="18"/>
  <c r="LO79" i="18"/>
  <c r="OK79" i="18"/>
  <c r="WA79" i="18"/>
  <c r="PG79" i="18"/>
  <c r="HQ79" i="18"/>
  <c r="MZ79" i="18"/>
  <c r="PI79" i="18"/>
  <c r="QQ79" i="18"/>
  <c r="UW79" i="18"/>
  <c r="EX79" i="18"/>
  <c r="LI79" i="18"/>
  <c r="MN79" i="18"/>
  <c r="NX79" i="18"/>
  <c r="EK79" i="18"/>
  <c r="XI79" i="18"/>
  <c r="QA79" i="18"/>
  <c r="JS79" i="18"/>
  <c r="LQ79" i="18"/>
  <c r="WS79" i="18"/>
  <c r="WX79" i="18"/>
  <c r="PM79" i="18"/>
  <c r="JH79" i="18"/>
  <c r="JN79" i="18"/>
  <c r="LV79" i="18"/>
  <c r="EW79" i="18"/>
  <c r="TE79" i="18"/>
  <c r="OV79" i="18"/>
  <c r="BF79" i="18"/>
  <c r="KK79" i="18"/>
  <c r="PT79" i="18"/>
  <c r="PA79" i="18"/>
  <c r="TA79" i="18"/>
  <c r="PZ79" i="18"/>
  <c r="OJ79" i="18"/>
  <c r="GY79" i="18"/>
  <c r="MG79" i="18"/>
  <c r="ER79" i="18"/>
  <c r="IU79" i="18"/>
  <c r="TK79" i="18"/>
  <c r="LP79" i="18"/>
  <c r="OI79" i="18"/>
  <c r="PC79" i="18"/>
  <c r="WR79" i="18"/>
  <c r="MH79" i="18"/>
  <c r="HG79" i="18"/>
  <c r="VY79" i="18"/>
  <c r="IV79" i="18"/>
  <c r="HA79" i="18"/>
  <c r="VA79" i="18"/>
  <c r="BS79" i="18"/>
  <c r="VI79" i="18"/>
  <c r="DM79" i="18"/>
  <c r="SH79" i="18"/>
  <c r="WM79" i="18"/>
  <c r="NK79" i="18"/>
  <c r="RC79" i="18"/>
  <c r="SY79" i="18"/>
  <c r="DS79" i="18"/>
  <c r="NE79" i="18"/>
  <c r="ES79" i="18"/>
  <c r="OE79" i="18"/>
  <c r="TL79" i="18"/>
  <c r="OP79" i="18"/>
  <c r="DH79" i="18"/>
  <c r="GZ79" i="18"/>
  <c r="VU79" i="18"/>
  <c r="SS79" i="18"/>
  <c r="CW79" i="18"/>
  <c r="SB79" i="18"/>
  <c r="BL79" i="18"/>
  <c r="CC79" i="18"/>
  <c r="MB79" i="18"/>
  <c r="PB79" i="18"/>
  <c r="XK79" i="18"/>
  <c r="GA79" i="18"/>
  <c r="PH79" i="18"/>
  <c r="TF79" i="18"/>
  <c r="SZ79" i="18"/>
  <c r="GN79" i="18"/>
  <c r="MS79" i="18"/>
  <c r="KG79" i="18"/>
  <c r="BK79" i="18"/>
  <c r="AY79" i="18"/>
  <c r="ST79" i="18"/>
  <c r="SA79" i="18"/>
  <c r="XJ79" i="18"/>
  <c r="SG79" i="18"/>
  <c r="DO79" i="18"/>
  <c r="WK79" i="18"/>
  <c r="SC79" i="18"/>
  <c r="IP79" i="18"/>
  <c r="FV79" i="18"/>
  <c r="NA79" i="18"/>
  <c r="DN79" i="18"/>
  <c r="LC79" i="18"/>
  <c r="AU79" i="18"/>
  <c r="UD79" i="18"/>
  <c r="QM79" i="18"/>
  <c r="CD79" i="18"/>
  <c r="GT79" i="18"/>
  <c r="MA79" i="18"/>
  <c r="VN79" i="18"/>
  <c r="CU79" i="18"/>
  <c r="QR79" i="18"/>
  <c r="QE79" i="18"/>
  <c r="IO79" i="18"/>
  <c r="PN79" i="18"/>
  <c r="MT79" i="18"/>
  <c r="KE79" i="18"/>
  <c r="MU79" i="18"/>
  <c r="TM79" i="18"/>
  <c r="SU79" i="18"/>
  <c r="DY79" i="18"/>
  <c r="TR79" i="18"/>
  <c r="PO79" i="18"/>
  <c r="BM79" i="18"/>
  <c r="KA79" i="18"/>
  <c r="UU79" i="18"/>
  <c r="TS79" i="18"/>
  <c r="AS79" i="18"/>
  <c r="VZ79" i="18"/>
  <c r="MO79" i="18"/>
  <c r="HE79" i="18"/>
  <c r="CV79" i="18"/>
  <c r="MC79" i="18"/>
  <c r="QK79" i="18"/>
  <c r="MI79" i="18"/>
  <c r="KF79" i="18"/>
  <c r="AT79" i="18"/>
  <c r="IW79" i="18"/>
  <c r="CE79" i="18"/>
  <c r="LK79" i="18"/>
  <c r="EA79" i="18"/>
  <c r="QS79" i="18"/>
  <c r="HF79" i="18"/>
  <c r="JZ79" i="18"/>
  <c r="QL79" i="18"/>
  <c r="BY79" i="18"/>
  <c r="FP79" i="18"/>
  <c r="EF79" i="18"/>
  <c r="EQ79" i="18"/>
  <c r="PY79" i="18"/>
  <c r="JU79" i="18"/>
  <c r="NY79" i="18"/>
  <c r="VC79" i="18"/>
  <c r="EL79" i="18"/>
  <c r="BE79" i="18"/>
  <c r="EY79" i="18"/>
  <c r="IQ79" i="18"/>
  <c r="TG79" i="18"/>
  <c r="BG79" i="18"/>
  <c r="FI79" i="18"/>
  <c r="GB79" i="18"/>
  <c r="SI79" i="18"/>
  <c r="XE79" i="18"/>
  <c r="DC79" i="18"/>
  <c r="WL79" i="18"/>
  <c r="HR79" i="18"/>
  <c r="NW79" i="18"/>
  <c r="JT79" i="18"/>
  <c r="FJ79" i="18"/>
  <c r="XC79" i="18"/>
  <c r="DA79" i="18"/>
  <c r="EM79" i="18"/>
  <c r="WV80" i="18"/>
  <c r="VX80" i="18"/>
  <c r="UZ80" i="18"/>
  <c r="UB80" i="18"/>
  <c r="TD80" i="18"/>
  <c r="SF80" i="18"/>
  <c r="RH80" i="18"/>
  <c r="QJ80" i="18"/>
  <c r="PL80" i="18"/>
  <c r="ON80" i="18"/>
  <c r="NP80" i="18"/>
  <c r="MR80" i="18"/>
  <c r="LT80" i="18"/>
  <c r="KV80" i="18"/>
  <c r="JX80" i="18"/>
  <c r="IZ80" i="18"/>
  <c r="IB80" i="18"/>
  <c r="HD80" i="18"/>
  <c r="GF80" i="18"/>
  <c r="FH80" i="18"/>
  <c r="EJ80" i="18"/>
  <c r="DL80" i="18"/>
  <c r="CN80" i="18"/>
  <c r="BP80" i="18"/>
  <c r="AR80" i="18"/>
  <c r="WP80" i="18"/>
  <c r="WD80" i="18"/>
  <c r="UN80" i="18"/>
  <c r="SX80" i="18"/>
  <c r="SL80" i="18"/>
  <c r="QV80" i="18"/>
  <c r="PF80" i="18"/>
  <c r="OT80" i="18"/>
  <c r="ND80" i="18"/>
  <c r="LN80" i="18"/>
  <c r="LB80" i="18"/>
  <c r="JL80" i="18"/>
  <c r="HV80" i="18"/>
  <c r="HJ80" i="18"/>
  <c r="FT80" i="18"/>
  <c r="ED80" i="18"/>
  <c r="DR80" i="18"/>
  <c r="CB80" i="18"/>
  <c r="AL80" i="18"/>
  <c r="XH80" i="18"/>
  <c r="VR80" i="18"/>
  <c r="VF80" i="18"/>
  <c r="TP80" i="18"/>
  <c r="RZ80" i="18"/>
  <c r="RN80" i="18"/>
  <c r="PX80" i="18"/>
  <c r="OH80" i="18"/>
  <c r="NV80" i="18"/>
  <c r="MF80" i="18"/>
  <c r="KP80" i="18"/>
  <c r="KD80" i="18"/>
  <c r="IN80" i="18"/>
  <c r="GX80" i="18"/>
  <c r="GL80" i="18"/>
  <c r="EV80" i="18"/>
  <c r="DF80" i="18"/>
  <c r="CT80" i="18"/>
  <c r="BD80" i="18"/>
  <c r="UH80" i="18"/>
  <c r="SR80" i="18"/>
  <c r="RB80" i="18"/>
  <c r="MX80" i="18"/>
  <c r="LH80" i="18"/>
  <c r="JR80" i="18"/>
  <c r="FN80" i="18"/>
  <c r="DX80" i="18"/>
  <c r="CH80" i="18"/>
  <c r="TJ80" i="18"/>
  <c r="RT80" i="18"/>
  <c r="QD80" i="18"/>
  <c r="LZ80" i="18"/>
  <c r="KJ80" i="18"/>
  <c r="QP80" i="18"/>
  <c r="OZ80" i="18"/>
  <c r="NJ80" i="18"/>
  <c r="EP80" i="18"/>
  <c r="BJ80" i="18"/>
  <c r="VL80" i="18"/>
  <c r="IT80" i="18"/>
  <c r="FZ80" i="18"/>
  <c r="CZ80" i="18"/>
  <c r="XB80" i="18"/>
  <c r="JF80" i="18"/>
  <c r="UT80" i="18"/>
  <c r="GR80" i="18"/>
  <c r="BV80" i="18"/>
  <c r="TV80" i="18"/>
  <c r="ML80" i="18"/>
  <c r="AX80" i="18"/>
  <c r="WJ80" i="18"/>
  <c r="PR80" i="18"/>
  <c r="IH80" i="18"/>
  <c r="OB80" i="18"/>
  <c r="HP80" i="18"/>
  <c r="FB80" i="18"/>
  <c r="RW79" i="18"/>
  <c r="OC79" i="18"/>
  <c r="KL79" i="18"/>
  <c r="WY79" i="18"/>
  <c r="RO79" i="18"/>
  <c r="NL79" i="18"/>
  <c r="CQ79" i="18"/>
  <c r="UI79" i="18"/>
  <c r="QF79" i="18"/>
  <c r="FQ79" i="18"/>
  <c r="BW79" i="18"/>
  <c r="RJ79" i="18"/>
  <c r="OW79" i="18"/>
  <c r="AM79" i="18"/>
  <c r="LD79" i="18"/>
  <c r="CK79" i="18"/>
  <c r="GG79" i="18"/>
  <c r="KR79" i="18"/>
  <c r="UQ79" i="18"/>
  <c r="QW79" i="18"/>
  <c r="NF79" i="18"/>
  <c r="FW79" i="18"/>
  <c r="VG79" i="18"/>
  <c r="RD79" i="18"/>
  <c r="GO79" i="18"/>
  <c r="BQ79" i="18"/>
  <c r="TX79" i="18"/>
  <c r="JI79" i="18"/>
  <c r="FC79" i="18"/>
  <c r="AZ79" i="18"/>
  <c r="EG79" i="18"/>
  <c r="NQ79" i="18"/>
  <c r="HL79" i="18"/>
  <c r="WG79" i="18"/>
  <c r="VS79" i="18"/>
  <c r="DT79" i="18"/>
  <c r="HY79" i="18"/>
  <c r="VO79" i="18"/>
  <c r="RU79" i="18"/>
  <c r="OD79" i="18"/>
  <c r="GU79" i="18"/>
  <c r="WW79" i="18"/>
  <c r="RP79" i="18"/>
  <c r="IE79" i="18"/>
  <c r="CO79" i="18"/>
  <c r="UJ79" i="18"/>
  <c r="KY79" i="18"/>
  <c r="FO79" i="18"/>
  <c r="BX79" i="18"/>
  <c r="IK79" i="18"/>
  <c r="OU79" i="18"/>
  <c r="AN79" i="18"/>
  <c r="DI79" i="18"/>
  <c r="CI79" i="18"/>
  <c r="GH79" i="18"/>
  <c r="SO79" i="18"/>
  <c r="UO79" i="18"/>
  <c r="QX79" i="18"/>
  <c r="JO79" i="18"/>
  <c r="FU79" i="18"/>
  <c r="VH79" i="18"/>
  <c r="LW79" i="18"/>
  <c r="GM79" i="18"/>
  <c r="BR79" i="18"/>
  <c r="OQ79" i="18"/>
  <c r="JG79" i="18"/>
  <c r="FD79" i="18"/>
  <c r="PU79" i="18"/>
  <c r="EE79" i="18"/>
  <c r="NR79" i="18"/>
  <c r="JC79" i="18"/>
  <c r="WE79" i="18"/>
  <c r="VT79" i="18"/>
  <c r="UE79" i="18"/>
  <c r="HW79" i="18"/>
  <c r="VM79" i="18"/>
  <c r="KM79" i="18"/>
  <c r="GS79" i="18"/>
  <c r="NM79" i="18"/>
  <c r="IC79" i="18"/>
  <c r="QG79" i="18"/>
  <c r="KW79" i="18"/>
  <c r="RK79" i="18"/>
  <c r="II79" i="18"/>
  <c r="LE79" i="18"/>
  <c r="DG79" i="18"/>
  <c r="KS79" i="18"/>
  <c r="SM79" i="18"/>
  <c r="NG79" i="18"/>
  <c r="JM79" i="18"/>
  <c r="RE79" i="18"/>
  <c r="LU79" i="18"/>
  <c r="TY79" i="18"/>
  <c r="OO79" i="18"/>
  <c r="BA79" i="18"/>
  <c r="PS79" i="18"/>
  <c r="HM79" i="18"/>
  <c r="JA79" i="18"/>
  <c r="DU79" i="18"/>
  <c r="UC79" i="18"/>
  <c r="WO80" i="18"/>
  <c r="VQ80" i="18"/>
  <c r="VT80" i="18" s="1"/>
  <c r="US80" i="18"/>
  <c r="TU80" i="18"/>
  <c r="TY80" i="18" s="1"/>
  <c r="SW80" i="18"/>
  <c r="SZ80" i="18" s="1"/>
  <c r="RY80" i="18"/>
  <c r="RA80" i="18"/>
  <c r="QC80" i="18"/>
  <c r="PE80" i="18"/>
  <c r="OG80" i="18"/>
  <c r="NI80" i="18"/>
  <c r="MK80" i="18"/>
  <c r="LM80" i="18"/>
  <c r="KO80" i="18"/>
  <c r="JQ80" i="18"/>
  <c r="IS80" i="18"/>
  <c r="IU80" i="18" s="1"/>
  <c r="HU80" i="18"/>
  <c r="GW80" i="18"/>
  <c r="GY80" i="18" s="1"/>
  <c r="FY80" i="18"/>
  <c r="FA80" i="18"/>
  <c r="EC80" i="18"/>
  <c r="EG80" i="18" s="1"/>
  <c r="DE80" i="18"/>
  <c r="CG80" i="18"/>
  <c r="BI80" i="18"/>
  <c r="AK80" i="18"/>
  <c r="XA80" i="18"/>
  <c r="VK80" i="18"/>
  <c r="VM80" i="18" s="1"/>
  <c r="UY80" i="18"/>
  <c r="TI80" i="18"/>
  <c r="RS80" i="18"/>
  <c r="RW80" i="18" s="1"/>
  <c r="RG80" i="18"/>
  <c r="PQ80" i="18"/>
  <c r="PS80" i="18" s="1"/>
  <c r="OA80" i="18"/>
  <c r="NO80" i="18"/>
  <c r="LY80" i="18"/>
  <c r="KI80" i="18"/>
  <c r="JW80" i="18"/>
  <c r="IG80" i="18"/>
  <c r="GQ80" i="18"/>
  <c r="GE80" i="18"/>
  <c r="EO80" i="18"/>
  <c r="ER80" i="18" s="1"/>
  <c r="CY80" i="18"/>
  <c r="CM80" i="18"/>
  <c r="CP80" i="18" s="1"/>
  <c r="AW80" i="18"/>
  <c r="WC80" i="18"/>
  <c r="UM80" i="18"/>
  <c r="UA80" i="18"/>
  <c r="SK80" i="18"/>
  <c r="QU80" i="18"/>
  <c r="QI80" i="18"/>
  <c r="OS80" i="18"/>
  <c r="NC80" i="18"/>
  <c r="MQ80" i="18"/>
  <c r="LA80" i="18"/>
  <c r="JK80" i="18"/>
  <c r="IY80" i="18"/>
  <c r="JA80" i="18" s="1"/>
  <c r="HI80" i="18"/>
  <c r="FS80" i="18"/>
  <c r="FG80" i="18"/>
  <c r="DQ80" i="18"/>
  <c r="CA80" i="18"/>
  <c r="BO80" i="18"/>
  <c r="WU80" i="18"/>
  <c r="VE80" i="18"/>
  <c r="TO80" i="18"/>
  <c r="PK80" i="18"/>
  <c r="NU80" i="18"/>
  <c r="ME80" i="18"/>
  <c r="IA80" i="18"/>
  <c r="GK80" i="18"/>
  <c r="EU80" i="18"/>
  <c r="AQ80" i="18"/>
  <c r="VW80" i="18"/>
  <c r="UG80" i="18"/>
  <c r="SQ80" i="18"/>
  <c r="OM80" i="18"/>
  <c r="MW80" i="18"/>
  <c r="LG80" i="18"/>
  <c r="XG80" i="18"/>
  <c r="LS80" i="18"/>
  <c r="KC80" i="18"/>
  <c r="JE80" i="18"/>
  <c r="TC80" i="18"/>
  <c r="OY80" i="18"/>
  <c r="KU80" i="18"/>
  <c r="HO80" i="18"/>
  <c r="EI80" i="18"/>
  <c r="BU80" i="18"/>
  <c r="RM80" i="18"/>
  <c r="HC80" i="18"/>
  <c r="HE80" i="18" s="1"/>
  <c r="DK80" i="18"/>
  <c r="BC80" i="18"/>
  <c r="QO80" i="18"/>
  <c r="PW80" i="18"/>
  <c r="IM80" i="18"/>
  <c r="DW80" i="18"/>
  <c r="CS80" i="18"/>
  <c r="WI80" i="18"/>
  <c r="FM80" i="18"/>
  <c r="SE80" i="18"/>
  <c r="WZ81" i="18"/>
  <c r="WB81" i="18"/>
  <c r="VD81" i="18"/>
  <c r="UF81" i="18"/>
  <c r="TH81" i="18"/>
  <c r="SJ81" i="18"/>
  <c r="RL81" i="18"/>
  <c r="QN81" i="18"/>
  <c r="PP81" i="18"/>
  <c r="OR81" i="18"/>
  <c r="NT81" i="18"/>
  <c r="MV81" i="18"/>
  <c r="XF81" i="18"/>
  <c r="WH81" i="18"/>
  <c r="VJ81" i="18"/>
  <c r="UL81" i="18"/>
  <c r="TN81" i="18"/>
  <c r="SP81" i="18"/>
  <c r="RR81" i="18"/>
  <c r="QT81" i="18"/>
  <c r="PV81" i="18"/>
  <c r="OX81" i="18"/>
  <c r="NZ81" i="18"/>
  <c r="NB81" i="18"/>
  <c r="MD81" i="18"/>
  <c r="LF81" i="18"/>
  <c r="KH81" i="18"/>
  <c r="JJ81" i="18"/>
  <c r="IL81" i="18"/>
  <c r="HN81" i="18"/>
  <c r="GP81" i="18"/>
  <c r="FR81" i="18"/>
  <c r="ET81" i="18"/>
  <c r="DV81" i="18"/>
  <c r="CX81" i="18"/>
  <c r="BZ81" i="18"/>
  <c r="BB81" i="18"/>
  <c r="VP81" i="18"/>
  <c r="TT81" i="18"/>
  <c r="RX81" i="18"/>
  <c r="QB81" i="18"/>
  <c r="OF81" i="18"/>
  <c r="MJ81" i="18"/>
  <c r="LX81" i="18"/>
  <c r="LL81" i="18"/>
  <c r="JV81" i="18"/>
  <c r="IF81" i="18"/>
  <c r="HT81" i="18"/>
  <c r="GD81" i="18"/>
  <c r="EN81" i="18"/>
  <c r="EB81" i="18"/>
  <c r="CL81" i="18"/>
  <c r="AV81" i="18"/>
  <c r="AJ81" i="18"/>
  <c r="WT81" i="18"/>
  <c r="UX81" i="18"/>
  <c r="TB81" i="18"/>
  <c r="RF81" i="18"/>
  <c r="PJ81" i="18"/>
  <c r="NN81" i="18"/>
  <c r="KZ81" i="18"/>
  <c r="KN81" i="18"/>
  <c r="IX81" i="18"/>
  <c r="HH81" i="18"/>
  <c r="GV81" i="18"/>
  <c r="FF81" i="18"/>
  <c r="DP81" i="18"/>
  <c r="DD81" i="18"/>
  <c r="BN81" i="18"/>
  <c r="UR81" i="18"/>
  <c r="QZ81" i="18"/>
  <c r="NH81" i="18"/>
  <c r="JP81" i="18"/>
  <c r="HZ81" i="18"/>
  <c r="GJ81" i="18"/>
  <c r="CF81" i="18"/>
  <c r="AP81" i="18"/>
  <c r="VV81" i="18"/>
  <c r="SD81" i="18"/>
  <c r="OL81" i="18"/>
  <c r="IR81" i="18"/>
  <c r="HB81" i="18"/>
  <c r="FL81" i="18"/>
  <c r="BH81" i="18"/>
  <c r="SV81" i="18"/>
  <c r="LR81" i="18"/>
  <c r="KB81" i="18"/>
  <c r="EZ81" i="18"/>
  <c r="CR81" i="18"/>
  <c r="QH81" i="18"/>
  <c r="MP81" i="18"/>
  <c r="JD81" i="18"/>
  <c r="FX81" i="18"/>
  <c r="DJ81" i="18"/>
  <c r="TZ81" i="18"/>
  <c r="BT81" i="18"/>
  <c r="EH81" i="18"/>
  <c r="PD81" i="18"/>
  <c r="WN81" i="18"/>
  <c r="KT81" i="18"/>
  <c r="Q78" i="18"/>
  <c r="R78" i="18"/>
  <c r="P78" i="18"/>
  <c r="S77" i="18" s="1"/>
  <c r="B157" i="1"/>
  <c r="B157" i="7"/>
  <c r="B157" i="9"/>
  <c r="I157" i="9" s="1"/>
  <c r="U146" i="5"/>
  <c r="Q148" i="5"/>
  <c r="AG150" i="5"/>
  <c r="AL150" i="5" s="1"/>
  <c r="R152" i="5"/>
  <c r="AG153" i="5"/>
  <c r="R155" i="5"/>
  <c r="B156" i="5"/>
  <c r="K154" i="5"/>
  <c r="F152" i="5"/>
  <c r="B159" i="5"/>
  <c r="K157" i="5"/>
  <c r="AE157" i="5"/>
  <c r="AJ152" i="5"/>
  <c r="AF151" i="5"/>
  <c r="P21" i="7" s="1"/>
  <c r="BP153" i="1"/>
  <c r="X153" i="7" s="1"/>
  <c r="O152" i="1"/>
  <c r="BQ153" i="1"/>
  <c r="O153" i="1"/>
  <c r="R142" i="14"/>
  <c r="R149" i="8" s="1"/>
  <c r="S142" i="14"/>
  <c r="U142" i="14"/>
  <c r="T142" i="14"/>
  <c r="Q141" i="14"/>
  <c r="K146" i="7" s="1"/>
  <c r="B145" i="14"/>
  <c r="B146" i="14" s="1"/>
  <c r="B147" i="14" s="1"/>
  <c r="B148" i="14" s="1"/>
  <c r="B149" i="14" s="1"/>
  <c r="B150" i="14" s="1"/>
  <c r="B151" i="14" s="1"/>
  <c r="B152" i="14" s="1"/>
  <c r="B156" i="9"/>
  <c r="I156" i="9" s="1"/>
  <c r="B158" i="8"/>
  <c r="B80" i="15"/>
  <c r="B159" i="8"/>
  <c r="B156" i="1"/>
  <c r="N154" i="1"/>
  <c r="B156" i="7"/>
  <c r="B82" i="18"/>
  <c r="G82" i="18" s="1"/>
  <c r="N81" i="18"/>
  <c r="O81" i="18"/>
  <c r="I146" i="19" l="1"/>
  <c r="J146" i="19"/>
  <c r="L146" i="19"/>
  <c r="K146" i="19"/>
  <c r="K147" i="7"/>
  <c r="P76" i="15"/>
  <c r="E149" i="19"/>
  <c r="P149" i="19"/>
  <c r="L147" i="7"/>
  <c r="L146" i="7"/>
  <c r="D148" i="8"/>
  <c r="R148" i="8" s="1"/>
  <c r="N147" i="7"/>
  <c r="Q76" i="15"/>
  <c r="E149" i="8"/>
  <c r="N146" i="7"/>
  <c r="G76" i="15"/>
  <c r="D148" i="19"/>
  <c r="I148" i="19" s="1"/>
  <c r="P127" i="5"/>
  <c r="B163" i="19"/>
  <c r="G163" i="19" s="1"/>
  <c r="F161" i="19"/>
  <c r="I159" i="5"/>
  <c r="J159" i="5" s="1"/>
  <c r="F159" i="5" s="1"/>
  <c r="K88" i="7"/>
  <c r="L89" i="7"/>
  <c r="K89" i="7"/>
  <c r="L88" i="7"/>
  <c r="N89" i="7"/>
  <c r="N88" i="7"/>
  <c r="E91" i="19"/>
  <c r="D90" i="19"/>
  <c r="P47" i="15"/>
  <c r="E91" i="8"/>
  <c r="G47" i="15"/>
  <c r="Q47" i="15"/>
  <c r="D90" i="8"/>
  <c r="R90" i="8" s="1"/>
  <c r="FC80" i="18"/>
  <c r="IC80" i="18"/>
  <c r="U153" i="5"/>
  <c r="P155" i="5"/>
  <c r="T153" i="5"/>
  <c r="Q155" i="5"/>
  <c r="U155" i="5" s="1"/>
  <c r="TK80" i="18"/>
  <c r="T129" i="5"/>
  <c r="AF129" i="5" s="1"/>
  <c r="L155" i="9"/>
  <c r="L154" i="9"/>
  <c r="M152" i="9"/>
  <c r="M153" i="9"/>
  <c r="J155" i="9"/>
  <c r="J154" i="9"/>
  <c r="RI80" i="18"/>
  <c r="F159" i="8"/>
  <c r="G159" i="8"/>
  <c r="F158" i="8"/>
  <c r="G158" i="8"/>
  <c r="I157" i="7"/>
  <c r="J157" i="7"/>
  <c r="J156" i="7"/>
  <c r="I156" i="7"/>
  <c r="H156" i="9"/>
  <c r="K156" i="9" s="1"/>
  <c r="H157" i="9"/>
  <c r="K157" i="9" s="1"/>
  <c r="U80" i="15"/>
  <c r="Y80" i="18" s="1"/>
  <c r="E80" i="15"/>
  <c r="D80" i="15"/>
  <c r="DC80" i="18"/>
  <c r="E82" i="18"/>
  <c r="D82" i="18"/>
  <c r="F82" i="18" s="1"/>
  <c r="AD156" i="5"/>
  <c r="I156" i="5"/>
  <c r="J156" i="5" s="1"/>
  <c r="I157" i="1"/>
  <c r="H157" i="1"/>
  <c r="H156" i="1"/>
  <c r="I156" i="1" s="1"/>
  <c r="T77" i="18"/>
  <c r="U77" i="18" s="1"/>
  <c r="T80" i="15"/>
  <c r="WA80" i="18"/>
  <c r="AZ80" i="18"/>
  <c r="QR80" i="18"/>
  <c r="RQ80" i="18"/>
  <c r="EW80" i="18"/>
  <c r="FJ80" i="18"/>
  <c r="UC80" i="18"/>
  <c r="MA80" i="18"/>
  <c r="CJ80" i="18"/>
  <c r="NM80" i="18"/>
  <c r="LJ80" i="18"/>
  <c r="UJ80" i="18"/>
  <c r="BQ80" i="18"/>
  <c r="FU80" i="18"/>
  <c r="LE80" i="18"/>
  <c r="QK80" i="18"/>
  <c r="UO80" i="18"/>
  <c r="OK80" i="18"/>
  <c r="VS80" i="18"/>
  <c r="PT80" i="18"/>
  <c r="MO80" i="18"/>
  <c r="LV80" i="18"/>
  <c r="ST80" i="18"/>
  <c r="LU80" i="18"/>
  <c r="KE80" i="18"/>
  <c r="TQ80" i="18"/>
  <c r="MU80" i="18"/>
  <c r="AM80" i="18"/>
  <c r="PG80" i="18"/>
  <c r="DY80" i="18"/>
  <c r="BW80" i="18"/>
  <c r="PA80" i="18"/>
  <c r="VH80" i="18"/>
  <c r="GG80" i="18"/>
  <c r="EA80" i="18"/>
  <c r="HL80" i="18"/>
  <c r="LQ80" i="18"/>
  <c r="VA80" i="18"/>
  <c r="HM80" i="18"/>
  <c r="LP80" i="18"/>
  <c r="DZ80" i="18"/>
  <c r="PB80" i="18"/>
  <c r="VG80" i="18"/>
  <c r="GH80" i="18"/>
  <c r="VC80" i="18"/>
  <c r="MM80" i="18"/>
  <c r="VZ80" i="18"/>
  <c r="EL80" i="18"/>
  <c r="SU80" i="18"/>
  <c r="QQ80" i="18"/>
  <c r="JG80" i="18"/>
  <c r="PO80" i="18"/>
  <c r="II80" i="18"/>
  <c r="DI80" i="18"/>
  <c r="SA80" i="18"/>
  <c r="PU80" i="18"/>
  <c r="LI80" i="18"/>
  <c r="AY80" i="18"/>
  <c r="LD80" i="18"/>
  <c r="HG80" i="18"/>
  <c r="BX80" i="18"/>
  <c r="WK80" i="18"/>
  <c r="QA80" i="18"/>
  <c r="HQ80" i="18"/>
  <c r="GM80" i="18"/>
  <c r="NQ80" i="18"/>
  <c r="XE80" i="18"/>
  <c r="KQ80" i="18"/>
  <c r="MY80" i="18"/>
  <c r="CC80" i="18"/>
  <c r="HK80" i="18"/>
  <c r="QW80" i="18"/>
  <c r="WF80" i="18"/>
  <c r="KA80" i="18"/>
  <c r="LO80" i="18"/>
  <c r="BG80" i="18"/>
  <c r="BY80" i="18"/>
  <c r="PC80" i="18"/>
  <c r="VI80" i="18"/>
  <c r="GI80" i="18"/>
  <c r="VB80" i="18"/>
  <c r="QE80" i="18"/>
  <c r="BA80" i="18"/>
  <c r="RP80" i="18"/>
  <c r="VY80" i="18"/>
  <c r="MN80" i="18"/>
  <c r="SS80" i="18"/>
  <c r="EK80" i="18"/>
  <c r="LW80" i="18"/>
  <c r="WM80" i="18"/>
  <c r="HS80" i="18"/>
  <c r="HF80" i="18"/>
  <c r="QM80" i="18"/>
  <c r="HA80" i="18"/>
  <c r="LC80" i="18"/>
  <c r="CU80" i="18"/>
  <c r="RO80" i="18"/>
  <c r="KW80" i="18"/>
  <c r="OD80" i="18"/>
  <c r="HY80" i="18"/>
  <c r="WR80" i="18"/>
  <c r="WL80" i="18"/>
  <c r="LK80" i="18"/>
  <c r="HR80" i="18"/>
  <c r="QS80" i="18"/>
  <c r="QL80" i="18"/>
  <c r="VU80" i="18"/>
  <c r="GZ80" i="18"/>
  <c r="SH80" i="18"/>
  <c r="OP80" i="18"/>
  <c r="AS80" i="18"/>
  <c r="MH80" i="18"/>
  <c r="DS80" i="18"/>
  <c r="NG80" i="18"/>
  <c r="SN80" i="18"/>
  <c r="KK80" i="18"/>
  <c r="BL80" i="18"/>
  <c r="FQ80" i="18"/>
  <c r="IO80" i="18"/>
  <c r="DO80" i="18"/>
  <c r="EM80" i="18"/>
  <c r="TE80" i="18"/>
  <c r="XI80" i="18"/>
  <c r="NX80" i="18"/>
  <c r="WY80" i="18"/>
  <c r="JN80" i="18"/>
  <c r="OU80" i="18"/>
  <c r="GS80" i="18"/>
  <c r="GA80" i="18"/>
  <c r="JT80" i="18"/>
  <c r="RD80" i="18"/>
  <c r="UU80" i="18"/>
  <c r="WP81" i="18"/>
  <c r="VR81" i="18"/>
  <c r="UT81" i="18"/>
  <c r="TV81" i="18"/>
  <c r="SX81" i="18"/>
  <c r="RZ81" i="18"/>
  <c r="RB81" i="18"/>
  <c r="QD81" i="18"/>
  <c r="PF81" i="18"/>
  <c r="OH81" i="18"/>
  <c r="NJ81" i="18"/>
  <c r="ML81" i="18"/>
  <c r="WV81" i="18"/>
  <c r="VX81" i="18"/>
  <c r="UZ81" i="18"/>
  <c r="UB81" i="18"/>
  <c r="TD81" i="18"/>
  <c r="SF81" i="18"/>
  <c r="RH81" i="18"/>
  <c r="QJ81" i="18"/>
  <c r="PL81" i="18"/>
  <c r="ON81" i="18"/>
  <c r="NP81" i="18"/>
  <c r="MR81" i="18"/>
  <c r="LT81" i="18"/>
  <c r="KV81" i="18"/>
  <c r="JX81" i="18"/>
  <c r="IZ81" i="18"/>
  <c r="IB81" i="18"/>
  <c r="HD81" i="18"/>
  <c r="GF81" i="18"/>
  <c r="FH81" i="18"/>
  <c r="EJ81" i="18"/>
  <c r="DL81" i="18"/>
  <c r="CN81" i="18"/>
  <c r="BP81" i="18"/>
  <c r="AR81" i="18"/>
  <c r="WD81" i="18"/>
  <c r="UH81" i="18"/>
  <c r="SL81" i="18"/>
  <c r="QP81" i="18"/>
  <c r="OT81" i="18"/>
  <c r="MX81" i="18"/>
  <c r="KP81" i="18"/>
  <c r="KD81" i="18"/>
  <c r="IN81" i="18"/>
  <c r="GX81" i="18"/>
  <c r="GL81" i="18"/>
  <c r="EV81" i="18"/>
  <c r="DF81" i="18"/>
  <c r="CT81" i="18"/>
  <c r="BD81" i="18"/>
  <c r="XH81" i="18"/>
  <c r="VL81" i="18"/>
  <c r="TP81" i="18"/>
  <c r="RT81" i="18"/>
  <c r="PX81" i="18"/>
  <c r="OB81" i="18"/>
  <c r="MF81" i="18"/>
  <c r="LH81" i="18"/>
  <c r="JR81" i="18"/>
  <c r="JF81" i="18"/>
  <c r="HP81" i="18"/>
  <c r="FZ81" i="18"/>
  <c r="FN81" i="18"/>
  <c r="DX81" i="18"/>
  <c r="CH81" i="18"/>
  <c r="BV81" i="18"/>
  <c r="XB81" i="18"/>
  <c r="TJ81" i="18"/>
  <c r="PR81" i="18"/>
  <c r="LZ81" i="18"/>
  <c r="KJ81" i="18"/>
  <c r="IT81" i="18"/>
  <c r="EP81" i="18"/>
  <c r="CZ81" i="18"/>
  <c r="BJ81" i="18"/>
  <c r="UN81" i="18"/>
  <c r="QV81" i="18"/>
  <c r="ND81" i="18"/>
  <c r="LB81" i="18"/>
  <c r="JL81" i="18"/>
  <c r="HV81" i="18"/>
  <c r="DR81" i="18"/>
  <c r="CB81" i="18"/>
  <c r="AL81" i="18"/>
  <c r="VF81" i="18"/>
  <c r="NV81" i="18"/>
  <c r="IH81" i="18"/>
  <c r="GR81" i="18"/>
  <c r="FB81" i="18"/>
  <c r="RN81" i="18"/>
  <c r="OZ81" i="18"/>
  <c r="LN81" i="18"/>
  <c r="HJ81" i="18"/>
  <c r="FT81" i="18"/>
  <c r="SR81" i="18"/>
  <c r="AX81" i="18"/>
  <c r="ED81" i="18"/>
  <c r="WJ81" i="18"/>
  <c r="VO80" i="18"/>
  <c r="RV80" i="18"/>
  <c r="OC80" i="18"/>
  <c r="GU80" i="18"/>
  <c r="DB80" i="18"/>
  <c r="UI80" i="18"/>
  <c r="KY80" i="18"/>
  <c r="FP80" i="18"/>
  <c r="BK80" i="18"/>
  <c r="PI80" i="18"/>
  <c r="JZ80" i="18"/>
  <c r="EQ80" i="18"/>
  <c r="OW80" i="18"/>
  <c r="DH80" i="18"/>
  <c r="RC80" i="18"/>
  <c r="GC80" i="18"/>
  <c r="MT80" i="18"/>
  <c r="FI80" i="18"/>
  <c r="AU80" i="18"/>
  <c r="QY80" i="18"/>
  <c r="NF80" i="18"/>
  <c r="JM80" i="18"/>
  <c r="CE80" i="18"/>
  <c r="TX80" i="18"/>
  <c r="OO80" i="18"/>
  <c r="FE80" i="18"/>
  <c r="XD80" i="18"/>
  <c r="SY80" i="18"/>
  <c r="IK80" i="18"/>
  <c r="EF80" i="18"/>
  <c r="WE80" i="18"/>
  <c r="BS80" i="18"/>
  <c r="PN80" i="18"/>
  <c r="SM80" i="18"/>
  <c r="UW80" i="18"/>
  <c r="NL80" i="18"/>
  <c r="CI80" i="18"/>
  <c r="TS80" i="18"/>
  <c r="PZ80" i="18"/>
  <c r="MG80" i="18"/>
  <c r="EY80" i="18"/>
  <c r="BF80" i="18"/>
  <c r="SG80" i="18"/>
  <c r="IW80" i="18"/>
  <c r="DN80" i="18"/>
  <c r="WQ80" i="18"/>
  <c r="MC80" i="18"/>
  <c r="HX80" i="18"/>
  <c r="CO80" i="18"/>
  <c r="JC80" i="18"/>
  <c r="WX80" i="18"/>
  <c r="NW80" i="18"/>
  <c r="CW80" i="18"/>
  <c r="OJ80" i="18"/>
  <c r="JS80" i="18"/>
  <c r="WT82" i="18"/>
  <c r="VV82" i="18"/>
  <c r="UX82" i="18"/>
  <c r="TZ82" i="18"/>
  <c r="TB82" i="18"/>
  <c r="SD82" i="18"/>
  <c r="RF82" i="18"/>
  <c r="QH82" i="18"/>
  <c r="PJ82" i="18"/>
  <c r="OL82" i="18"/>
  <c r="NN82" i="18"/>
  <c r="MP82" i="18"/>
  <c r="WZ82" i="18"/>
  <c r="VJ82" i="18"/>
  <c r="TT82" i="18"/>
  <c r="TH82" i="18"/>
  <c r="RR82" i="18"/>
  <c r="QB82" i="18"/>
  <c r="PP82" i="18"/>
  <c r="NZ82" i="18"/>
  <c r="MJ82" i="18"/>
  <c r="LX82" i="18"/>
  <c r="KZ82" i="18"/>
  <c r="KB82" i="18"/>
  <c r="JD82" i="18"/>
  <c r="IF82" i="18"/>
  <c r="HH82" i="18"/>
  <c r="GJ82" i="18"/>
  <c r="WH82" i="18"/>
  <c r="VD82" i="18"/>
  <c r="UR82" i="18"/>
  <c r="TN82" i="18"/>
  <c r="SJ82" i="18"/>
  <c r="RX82" i="18"/>
  <c r="QT82" i="18"/>
  <c r="PD82" i="18"/>
  <c r="LL82" i="18"/>
  <c r="JV82" i="18"/>
  <c r="JJ82" i="18"/>
  <c r="HT82" i="18"/>
  <c r="GD82" i="18"/>
  <c r="FL82" i="18"/>
  <c r="EN82" i="18"/>
  <c r="DP82" i="18"/>
  <c r="CR82" i="18"/>
  <c r="BT82" i="18"/>
  <c r="AV82" i="18"/>
  <c r="XF82" i="18"/>
  <c r="WB82" i="18"/>
  <c r="VP82" i="18"/>
  <c r="UL82" i="18"/>
  <c r="SV82" i="18"/>
  <c r="MV82" i="18"/>
  <c r="KN82" i="18"/>
  <c r="IX82" i="18"/>
  <c r="IL82" i="18"/>
  <c r="GV82" i="18"/>
  <c r="FR82" i="18"/>
  <c r="ET82" i="18"/>
  <c r="DV82" i="18"/>
  <c r="CX82" i="18"/>
  <c r="BZ82" i="18"/>
  <c r="BB82" i="18"/>
  <c r="WN82" i="18"/>
  <c r="OX82" i="18"/>
  <c r="NT82" i="18"/>
  <c r="LR82" i="18"/>
  <c r="HN82" i="18"/>
  <c r="FX82" i="18"/>
  <c r="EB82" i="18"/>
  <c r="CF82" i="18"/>
  <c r="AJ82" i="18"/>
  <c r="UF82" i="18"/>
  <c r="QZ82" i="18"/>
  <c r="PV82" i="18"/>
  <c r="OR82" i="18"/>
  <c r="KT82" i="18"/>
  <c r="GP82" i="18"/>
  <c r="FF82" i="18"/>
  <c r="DJ82" i="18"/>
  <c r="BN82" i="18"/>
  <c r="NH82" i="18"/>
  <c r="LF82" i="18"/>
  <c r="JP82" i="18"/>
  <c r="HZ82" i="18"/>
  <c r="EZ82" i="18"/>
  <c r="BH82" i="18"/>
  <c r="RL82" i="18"/>
  <c r="NB82" i="18"/>
  <c r="CL82" i="18"/>
  <c r="QN82" i="18"/>
  <c r="MD82" i="18"/>
  <c r="DD82" i="18"/>
  <c r="OF82" i="18"/>
  <c r="IR82" i="18"/>
  <c r="HB82" i="18"/>
  <c r="SP82" i="18"/>
  <c r="KH82" i="18"/>
  <c r="AP82" i="18"/>
  <c r="EH82" i="18"/>
  <c r="XG81" i="18"/>
  <c r="WI81" i="18"/>
  <c r="VK81" i="18"/>
  <c r="VN81" i="18" s="1"/>
  <c r="UM81" i="18"/>
  <c r="TO81" i="18"/>
  <c r="SQ81" i="18"/>
  <c r="SU81" i="18" s="1"/>
  <c r="RS81" i="18"/>
  <c r="QU81" i="18"/>
  <c r="QY81" i="18" s="1"/>
  <c r="PW81" i="18"/>
  <c r="OY81" i="18"/>
  <c r="PB81" i="18" s="1"/>
  <c r="OA81" i="18"/>
  <c r="OC81" i="18" s="1"/>
  <c r="NC81" i="18"/>
  <c r="ME81" i="18"/>
  <c r="WO81" i="18"/>
  <c r="WQ81" i="18" s="1"/>
  <c r="VQ81" i="18"/>
  <c r="VS81" i="18" s="1"/>
  <c r="US81" i="18"/>
  <c r="TU81" i="18"/>
  <c r="SW81" i="18"/>
  <c r="SZ81" i="18" s="1"/>
  <c r="RY81" i="18"/>
  <c r="SC81" i="18" s="1"/>
  <c r="RA81" i="18"/>
  <c r="RC81" i="18" s="1"/>
  <c r="QC81" i="18"/>
  <c r="PE81" i="18"/>
  <c r="PI81" i="18" s="1"/>
  <c r="OG81" i="18"/>
  <c r="OI81" i="18" s="1"/>
  <c r="NI81" i="18"/>
  <c r="NL81" i="18" s="1"/>
  <c r="MK81" i="18"/>
  <c r="MO81" i="18" s="1"/>
  <c r="LM81" i="18"/>
  <c r="KO81" i="18"/>
  <c r="JQ81" i="18"/>
  <c r="IS81" i="18"/>
  <c r="HU81" i="18"/>
  <c r="GW81" i="18"/>
  <c r="FY81" i="18"/>
  <c r="FA81" i="18"/>
  <c r="EC81" i="18"/>
  <c r="DE81" i="18"/>
  <c r="CG81" i="18"/>
  <c r="CI81" i="18" s="1"/>
  <c r="BI81" i="18"/>
  <c r="AK81" i="18"/>
  <c r="WU81" i="18"/>
  <c r="UY81" i="18"/>
  <c r="VA81" i="18" s="1"/>
  <c r="TC81" i="18"/>
  <c r="RG81" i="18"/>
  <c r="PK81" i="18"/>
  <c r="NO81" i="18"/>
  <c r="NS81" i="18" s="1"/>
  <c r="LA81" i="18"/>
  <c r="JK81" i="18"/>
  <c r="IY81" i="18"/>
  <c r="HI81" i="18"/>
  <c r="HL81" i="18" s="1"/>
  <c r="FS81" i="18"/>
  <c r="FG81" i="18"/>
  <c r="DQ81" i="18"/>
  <c r="CA81" i="18"/>
  <c r="BO81" i="18"/>
  <c r="BQ81" i="18" s="1"/>
  <c r="WC81" i="18"/>
  <c r="UG81" i="18"/>
  <c r="SK81" i="18"/>
  <c r="QO81" i="18"/>
  <c r="OS81" i="18"/>
  <c r="MW81" i="18"/>
  <c r="LS81" i="18"/>
  <c r="KC81" i="18"/>
  <c r="IM81" i="18"/>
  <c r="IA81" i="18"/>
  <c r="GK81" i="18"/>
  <c r="EU81" i="18"/>
  <c r="EI81" i="18"/>
  <c r="CS81" i="18"/>
  <c r="BC81" i="18"/>
  <c r="AQ81" i="18"/>
  <c r="VW81" i="18"/>
  <c r="SE81" i="18"/>
  <c r="SH81" i="18" s="1"/>
  <c r="OM81" i="18"/>
  <c r="LG81" i="18"/>
  <c r="HC81" i="18"/>
  <c r="FM81" i="18"/>
  <c r="DW81" i="18"/>
  <c r="XA81" i="18"/>
  <c r="TI81" i="18"/>
  <c r="PQ81" i="18"/>
  <c r="LY81" i="18"/>
  <c r="KI81" i="18"/>
  <c r="GE81" i="18"/>
  <c r="EO81" i="18"/>
  <c r="CY81" i="18"/>
  <c r="QI81" i="18"/>
  <c r="DK81" i="18"/>
  <c r="BU81" i="18"/>
  <c r="VE81" i="18"/>
  <c r="JE81" i="18"/>
  <c r="AW81" i="18"/>
  <c r="UA81" i="18"/>
  <c r="NU81" i="18"/>
  <c r="JW81" i="18"/>
  <c r="MQ81" i="18"/>
  <c r="IG81" i="18"/>
  <c r="RM81" i="18"/>
  <c r="HO81" i="18"/>
  <c r="GQ81" i="18"/>
  <c r="KU81" i="18"/>
  <c r="CM81" i="18"/>
  <c r="CO81" i="18" s="1"/>
  <c r="VN80" i="18"/>
  <c r="RU80" i="18"/>
  <c r="KM80" i="18"/>
  <c r="GT80" i="18"/>
  <c r="DA80" i="18"/>
  <c r="QG80" i="18"/>
  <c r="KX80" i="18"/>
  <c r="FO80" i="18"/>
  <c r="TM80" i="18"/>
  <c r="PH80" i="18"/>
  <c r="JY80" i="18"/>
  <c r="AO80" i="18"/>
  <c r="OV80" i="18"/>
  <c r="DG80" i="18"/>
  <c r="UE80" i="18"/>
  <c r="GB80" i="18"/>
  <c r="MS80" i="18"/>
  <c r="GO80" i="18"/>
  <c r="AT80" i="18"/>
  <c r="UQ80" i="18"/>
  <c r="QX80" i="18"/>
  <c r="NE80" i="18"/>
  <c r="FW80" i="18"/>
  <c r="CD80" i="18"/>
  <c r="TW80" i="18"/>
  <c r="JI80" i="18"/>
  <c r="FD80" i="18"/>
  <c r="XC80" i="18"/>
  <c r="NS80" i="18"/>
  <c r="IJ80" i="18"/>
  <c r="EE80" i="18"/>
  <c r="KS80" i="18"/>
  <c r="BR80" i="18"/>
  <c r="PM80" i="18"/>
  <c r="DU80" i="18"/>
  <c r="UV80" i="18"/>
  <c r="NK80" i="18"/>
  <c r="KG80" i="18"/>
  <c r="XK80" i="18"/>
  <c r="TR80" i="18"/>
  <c r="PY80" i="18"/>
  <c r="IQ80" i="18"/>
  <c r="EX80" i="18"/>
  <c r="BE80" i="18"/>
  <c r="NA80" i="18"/>
  <c r="IV80" i="18"/>
  <c r="DM80" i="18"/>
  <c r="RK80" i="18"/>
  <c r="MB80" i="18"/>
  <c r="HW80" i="18"/>
  <c r="SC80" i="18"/>
  <c r="JB80" i="18"/>
  <c r="WW80" i="18"/>
  <c r="IE80" i="18"/>
  <c r="CV80" i="18"/>
  <c r="OI80" i="18"/>
  <c r="TG80" i="18"/>
  <c r="OE80" i="18"/>
  <c r="KL80" i="18"/>
  <c r="UK80" i="18"/>
  <c r="QF80" i="18"/>
  <c r="BM80" i="18"/>
  <c r="TL80" i="18"/>
  <c r="ES80" i="18"/>
  <c r="AN80" i="18"/>
  <c r="RE80" i="18"/>
  <c r="UD80" i="18"/>
  <c r="FK80" i="18"/>
  <c r="GN80" i="18"/>
  <c r="UP80" i="18"/>
  <c r="JO80" i="18"/>
  <c r="FV80" i="18"/>
  <c r="OQ80" i="18"/>
  <c r="JH80" i="18"/>
  <c r="TA80" i="18"/>
  <c r="NR80" i="18"/>
  <c r="WG80" i="18"/>
  <c r="KR80" i="18"/>
  <c r="SO80" i="18"/>
  <c r="DT80" i="18"/>
  <c r="CK80" i="18"/>
  <c r="KF80" i="18"/>
  <c r="XJ80" i="18"/>
  <c r="MI80" i="18"/>
  <c r="IP80" i="18"/>
  <c r="SI80" i="18"/>
  <c r="MZ80" i="18"/>
  <c r="WS80" i="18"/>
  <c r="RJ80" i="18"/>
  <c r="CQ80" i="18"/>
  <c r="SB80" i="18"/>
  <c r="NY80" i="18"/>
  <c r="ID80" i="18"/>
  <c r="JU80" i="18"/>
  <c r="TF80" i="18"/>
  <c r="R79" i="18"/>
  <c r="Q79" i="18"/>
  <c r="P79" i="18"/>
  <c r="S78" i="18" s="1"/>
  <c r="B159" i="1"/>
  <c r="B159" i="9"/>
  <c r="I159" i="9" s="1"/>
  <c r="B159" i="7"/>
  <c r="U148" i="5"/>
  <c r="Q150" i="5"/>
  <c r="U150" i="5" s="1"/>
  <c r="AJ154" i="5"/>
  <c r="AG155" i="5"/>
  <c r="R157" i="5"/>
  <c r="AG152" i="5"/>
  <c r="AL152" i="5" s="1"/>
  <c r="R154" i="5"/>
  <c r="F154" i="5"/>
  <c r="B161" i="5"/>
  <c r="AE159" i="5"/>
  <c r="K159" i="5"/>
  <c r="B158" i="5"/>
  <c r="K156" i="5"/>
  <c r="O155" i="1"/>
  <c r="O154" i="1"/>
  <c r="BQ155" i="1"/>
  <c r="BP155" i="1"/>
  <c r="X155" i="7" s="1"/>
  <c r="R143" i="14"/>
  <c r="E151" i="19" s="1"/>
  <c r="S143" i="14"/>
  <c r="U143" i="14"/>
  <c r="T143" i="14"/>
  <c r="Q142" i="14"/>
  <c r="K149" i="7" s="1"/>
  <c r="B158" i="7"/>
  <c r="B161" i="8"/>
  <c r="B81" i="15"/>
  <c r="B160" i="8"/>
  <c r="B158" i="9"/>
  <c r="I158" i="9" s="1"/>
  <c r="B158" i="1"/>
  <c r="N156" i="1"/>
  <c r="B83" i="18"/>
  <c r="G83" i="18" s="1"/>
  <c r="N82" i="18"/>
  <c r="O82" i="18"/>
  <c r="P148" i="19" l="1"/>
  <c r="K148" i="19"/>
  <c r="J148" i="19"/>
  <c r="L148" i="19"/>
  <c r="G77" i="15"/>
  <c r="N149" i="7"/>
  <c r="D150" i="19"/>
  <c r="I150" i="19" s="1"/>
  <c r="P151" i="19"/>
  <c r="Q77" i="15"/>
  <c r="N148" i="7"/>
  <c r="L149" i="7"/>
  <c r="L148" i="7"/>
  <c r="P77" i="15"/>
  <c r="D150" i="8"/>
  <c r="R150" i="8" s="1"/>
  <c r="K148" i="7"/>
  <c r="E151" i="8"/>
  <c r="R151" i="8"/>
  <c r="NK81" i="18"/>
  <c r="Q152" i="5"/>
  <c r="Q157" i="5"/>
  <c r="B165" i="19"/>
  <c r="G165" i="19" s="1"/>
  <c r="F163" i="19"/>
  <c r="I161" i="5"/>
  <c r="J161" i="5" s="1"/>
  <c r="F161" i="5" s="1"/>
  <c r="T155" i="5"/>
  <c r="AF155" i="5" s="1"/>
  <c r="P25" i="7" s="1"/>
  <c r="N90" i="7"/>
  <c r="K91" i="7"/>
  <c r="L90" i="7"/>
  <c r="N91" i="7"/>
  <c r="K90" i="7"/>
  <c r="L91" i="7"/>
  <c r="E93" i="19"/>
  <c r="D92" i="19"/>
  <c r="G48" i="15"/>
  <c r="Q48" i="15"/>
  <c r="E93" i="8"/>
  <c r="D92" i="8"/>
  <c r="R92" i="8" s="1"/>
  <c r="P48" i="15"/>
  <c r="EM81" i="18"/>
  <c r="FV81" i="18"/>
  <c r="P157" i="5"/>
  <c r="P125" i="5"/>
  <c r="KX81" i="18"/>
  <c r="UU81" i="18"/>
  <c r="AF153" i="5"/>
  <c r="P23" i="7" s="1"/>
  <c r="T127" i="5"/>
  <c r="AF127" i="5" s="1"/>
  <c r="TW81" i="18"/>
  <c r="DH81" i="18"/>
  <c r="L156" i="9"/>
  <c r="L157" i="9"/>
  <c r="M154" i="9"/>
  <c r="M155" i="9"/>
  <c r="J157" i="9"/>
  <c r="J156" i="9"/>
  <c r="VG81" i="18"/>
  <c r="F160" i="8"/>
  <c r="G160" i="8"/>
  <c r="F161" i="8"/>
  <c r="G161" i="8"/>
  <c r="H158" i="9"/>
  <c r="K158" i="9" s="1"/>
  <c r="J158" i="7"/>
  <c r="I158" i="7"/>
  <c r="J159" i="7"/>
  <c r="I159" i="7"/>
  <c r="H159" i="9"/>
  <c r="K159" i="9" s="1"/>
  <c r="U81" i="15"/>
  <c r="Y81" i="18" s="1"/>
  <c r="D81" i="15"/>
  <c r="E81" i="15"/>
  <c r="E83" i="18"/>
  <c r="D83" i="18"/>
  <c r="F83" i="18" s="1"/>
  <c r="AD158" i="5"/>
  <c r="AE158" i="5" s="1"/>
  <c r="AI158" i="5" s="1"/>
  <c r="I158" i="5"/>
  <c r="J158" i="5" s="1"/>
  <c r="H159" i="1"/>
  <c r="I159" i="1"/>
  <c r="H158" i="1"/>
  <c r="I158" i="1" s="1"/>
  <c r="T78" i="18"/>
  <c r="U78" i="18"/>
  <c r="T81" i="15"/>
  <c r="GT81" i="18"/>
  <c r="AZ81" i="18"/>
  <c r="DM81" i="18"/>
  <c r="TL81" i="18"/>
  <c r="HG81" i="18"/>
  <c r="VY81" i="18"/>
  <c r="IO81" i="18"/>
  <c r="OU81" i="18"/>
  <c r="WG81" i="18"/>
  <c r="JM81" i="18"/>
  <c r="AN81" i="18"/>
  <c r="LO81" i="18"/>
  <c r="DG81" i="18"/>
  <c r="JH81" i="18"/>
  <c r="IU81" i="18"/>
  <c r="DY81" i="18"/>
  <c r="OO81" i="18"/>
  <c r="UO81" i="18"/>
  <c r="NR81" i="18"/>
  <c r="HX81" i="18"/>
  <c r="QW81" i="18"/>
  <c r="BK81" i="18"/>
  <c r="UP81" i="18"/>
  <c r="CQ81" i="18"/>
  <c r="OQ81" i="18"/>
  <c r="QX81" i="18"/>
  <c r="VC81" i="18"/>
  <c r="ST81" i="18"/>
  <c r="HS81" i="18"/>
  <c r="KA81" i="18"/>
  <c r="FC81" i="18"/>
  <c r="MI81" i="18"/>
  <c r="TQ81" i="18"/>
  <c r="UQ81" i="18"/>
  <c r="NQ81" i="18"/>
  <c r="CK81" i="18"/>
  <c r="LQ81" i="18"/>
  <c r="HK81" i="18"/>
  <c r="MC81" i="18"/>
  <c r="VB81" i="18"/>
  <c r="OP81" i="18"/>
  <c r="UV81" i="18"/>
  <c r="CD81" i="18"/>
  <c r="JS81" i="18"/>
  <c r="XK81" i="18"/>
  <c r="JO81" i="18"/>
  <c r="KM81" i="18"/>
  <c r="XD81" i="18"/>
  <c r="AS81" i="18"/>
  <c r="EX81" i="18"/>
  <c r="KE81" i="18"/>
  <c r="QS81" i="18"/>
  <c r="LD81" i="18"/>
  <c r="TG81" i="18"/>
  <c r="BL81" i="18"/>
  <c r="PZ81" i="18"/>
  <c r="XJ81" i="18"/>
  <c r="CE81" i="18"/>
  <c r="SY81" i="18"/>
  <c r="LU81" i="18"/>
  <c r="CC81" i="18"/>
  <c r="JT81" i="18"/>
  <c r="IJ81" i="18"/>
  <c r="FO81" i="18"/>
  <c r="ID81" i="18"/>
  <c r="PO81" i="18"/>
  <c r="WW81" i="18"/>
  <c r="TK81" i="18"/>
  <c r="WM81" i="18"/>
  <c r="GC81" i="18"/>
  <c r="BE81" i="18"/>
  <c r="KS81" i="18"/>
  <c r="PY81" i="18"/>
  <c r="CV81" i="18"/>
  <c r="MZ81" i="18"/>
  <c r="TF81" i="18"/>
  <c r="FD81" i="18"/>
  <c r="XI81" i="18"/>
  <c r="MH81" i="18"/>
  <c r="LC81" i="18"/>
  <c r="IW81" i="18"/>
  <c r="QR81" i="18"/>
  <c r="CP81" i="18"/>
  <c r="HM81" i="18"/>
  <c r="NM81" i="18"/>
  <c r="CJ81" i="18"/>
  <c r="JI81" i="18"/>
  <c r="XC81" i="18"/>
  <c r="TR81" i="18"/>
  <c r="EW81" i="18"/>
  <c r="JU81" i="18"/>
  <c r="UD81" i="18"/>
  <c r="BX81" i="18"/>
  <c r="EQ81" i="18"/>
  <c r="PU81" i="18"/>
  <c r="CU81" i="18"/>
  <c r="MY81" i="18"/>
  <c r="UK81" i="18"/>
  <c r="DS81" i="18"/>
  <c r="JB81" i="18"/>
  <c r="HA81" i="18"/>
  <c r="KQ81" i="18"/>
  <c r="BM81" i="18"/>
  <c r="JG81" i="18"/>
  <c r="QA81" i="18"/>
  <c r="UW81" i="18"/>
  <c r="GI81" i="18"/>
  <c r="RI81" i="18"/>
  <c r="EE81" i="18"/>
  <c r="HY81" i="18"/>
  <c r="QQ81" i="18"/>
  <c r="FE81" i="18"/>
  <c r="TS81" i="18"/>
  <c r="MG81" i="18"/>
  <c r="TE81" i="18"/>
  <c r="AU81" i="18"/>
  <c r="IV81" i="18"/>
  <c r="OJ81" i="18"/>
  <c r="RO81" i="18"/>
  <c r="NY81" i="18"/>
  <c r="DA81" i="18"/>
  <c r="GO81" i="18"/>
  <c r="SM81" i="18"/>
  <c r="XE81" i="18"/>
  <c r="EY81" i="18"/>
  <c r="LE81" i="18"/>
  <c r="AT81" i="18"/>
  <c r="RU81" i="18"/>
  <c r="KY81" i="18"/>
  <c r="MU81" i="18"/>
  <c r="FK81" i="18"/>
  <c r="WK81" i="18"/>
  <c r="IQ81" i="18"/>
  <c r="DZ81" i="18"/>
  <c r="JZ81" i="18"/>
  <c r="GH81" i="18"/>
  <c r="HQ81" i="18"/>
  <c r="JY81" i="18"/>
  <c r="PA81" i="18"/>
  <c r="UJ81" i="18"/>
  <c r="SB81" i="18"/>
  <c r="DI81" i="18"/>
  <c r="KW81" i="18"/>
  <c r="PT81" i="18"/>
  <c r="GZ81" i="18"/>
  <c r="VT81" i="18"/>
  <c r="UI81" i="18"/>
  <c r="NA81" i="18"/>
  <c r="SA81" i="18"/>
  <c r="PS81" i="18"/>
  <c r="GY81" i="18"/>
  <c r="CW81" i="18"/>
  <c r="OK81" i="18"/>
  <c r="VU81" i="18"/>
  <c r="EL81" i="18"/>
  <c r="EA81" i="18"/>
  <c r="LW81" i="18"/>
  <c r="LV81" i="18"/>
  <c r="AY81" i="18"/>
  <c r="FJ81" i="18"/>
  <c r="HF81" i="18"/>
  <c r="DO81" i="18"/>
  <c r="PH81" i="18"/>
  <c r="AM81" i="18"/>
  <c r="WF81" i="18"/>
  <c r="HR81" i="18"/>
  <c r="ER81" i="18"/>
  <c r="WA81" i="18"/>
  <c r="VM81" i="18"/>
  <c r="MN81" i="18"/>
  <c r="JA81" i="18"/>
  <c r="KG81" i="18"/>
  <c r="OE81" i="18"/>
  <c r="II81" i="18"/>
  <c r="RE81" i="18"/>
  <c r="UC81" i="18"/>
  <c r="RQ81" i="18"/>
  <c r="KL81" i="18"/>
  <c r="WY81" i="18"/>
  <c r="GN81" i="18"/>
  <c r="FW81" i="18"/>
  <c r="NE81" i="18"/>
  <c r="MA81" i="18"/>
  <c r="BY81" i="18"/>
  <c r="GA81" i="18"/>
  <c r="LI81" i="18"/>
  <c r="BF81" i="18"/>
  <c r="SN81" i="18"/>
  <c r="BR81" i="18"/>
  <c r="QK81" i="18"/>
  <c r="QE81" i="18"/>
  <c r="ES81" i="18"/>
  <c r="IC81" i="18"/>
  <c r="NX81" i="18"/>
  <c r="TY81" i="18"/>
  <c r="PN81" i="18"/>
  <c r="SG81" i="18"/>
  <c r="GS81" i="18"/>
  <c r="MT81" i="18"/>
  <c r="XF83" i="18"/>
  <c r="WH83" i="18"/>
  <c r="VV83" i="18"/>
  <c r="UX83" i="18"/>
  <c r="TZ83" i="18"/>
  <c r="TB83" i="18"/>
  <c r="SD83" i="18"/>
  <c r="RF83" i="18"/>
  <c r="QH83" i="18"/>
  <c r="PJ83" i="18"/>
  <c r="OL83" i="18"/>
  <c r="NN83" i="18"/>
  <c r="MP83" i="18"/>
  <c r="LR83" i="18"/>
  <c r="KT83" i="18"/>
  <c r="JV83" i="18"/>
  <c r="IX83" i="18"/>
  <c r="HZ83" i="18"/>
  <c r="HB83" i="18"/>
  <c r="GD83" i="18"/>
  <c r="FF83" i="18"/>
  <c r="EH83" i="18"/>
  <c r="DJ83" i="18"/>
  <c r="CL83" i="18"/>
  <c r="BN83" i="18"/>
  <c r="AP83" i="18"/>
  <c r="VJ83" i="18"/>
  <c r="TT83" i="18"/>
  <c r="TH83" i="18"/>
  <c r="RR83" i="18"/>
  <c r="WT83" i="18"/>
  <c r="UL83" i="18"/>
  <c r="SV83" i="18"/>
  <c r="SJ83" i="18"/>
  <c r="QT83" i="18"/>
  <c r="PD83" i="18"/>
  <c r="OR83" i="18"/>
  <c r="NB83" i="18"/>
  <c r="LL83" i="18"/>
  <c r="KZ83" i="18"/>
  <c r="JJ83" i="18"/>
  <c r="HT83" i="18"/>
  <c r="HH83" i="18"/>
  <c r="FR83" i="18"/>
  <c r="EB83" i="18"/>
  <c r="DP83" i="18"/>
  <c r="BZ83" i="18"/>
  <c r="AJ83" i="18"/>
  <c r="WN83" i="18"/>
  <c r="VP83" i="18"/>
  <c r="RL83" i="18"/>
  <c r="PP83" i="18"/>
  <c r="NZ83" i="18"/>
  <c r="MV83" i="18"/>
  <c r="MJ83" i="18"/>
  <c r="LF83" i="18"/>
  <c r="KB83" i="18"/>
  <c r="JP83" i="18"/>
  <c r="IL83" i="18"/>
  <c r="GV83" i="18"/>
  <c r="AV83" i="18"/>
  <c r="UR83" i="18"/>
  <c r="QN83" i="18"/>
  <c r="QB83" i="18"/>
  <c r="OX83" i="18"/>
  <c r="NT83" i="18"/>
  <c r="NH83" i="18"/>
  <c r="MD83" i="18"/>
  <c r="KN83" i="18"/>
  <c r="EN83" i="18"/>
  <c r="CX83" i="18"/>
  <c r="BT83" i="18"/>
  <c r="BH83" i="18"/>
  <c r="WB83" i="18"/>
  <c r="PV83" i="18"/>
  <c r="IF83" i="18"/>
  <c r="EZ83" i="18"/>
  <c r="DV83" i="18"/>
  <c r="CR83" i="18"/>
  <c r="UF83" i="18"/>
  <c r="SP83" i="18"/>
  <c r="QZ83" i="18"/>
  <c r="KH83" i="18"/>
  <c r="JD83" i="18"/>
  <c r="FX83" i="18"/>
  <c r="ET83" i="18"/>
  <c r="TN83" i="18"/>
  <c r="OF83" i="18"/>
  <c r="FL83" i="18"/>
  <c r="BB83" i="18"/>
  <c r="WZ83" i="18"/>
  <c r="LX83" i="18"/>
  <c r="HN83" i="18"/>
  <c r="DD83" i="18"/>
  <c r="VD83" i="18"/>
  <c r="GP83" i="18"/>
  <c r="CF83" i="18"/>
  <c r="IR83" i="18"/>
  <c r="RX83" i="18"/>
  <c r="GJ83" i="18"/>
  <c r="XH82" i="18"/>
  <c r="WJ82" i="18"/>
  <c r="VL82" i="18"/>
  <c r="UN82" i="18"/>
  <c r="TP82" i="18"/>
  <c r="SR82" i="18"/>
  <c r="RT82" i="18"/>
  <c r="QV82" i="18"/>
  <c r="PX82" i="18"/>
  <c r="OZ82" i="18"/>
  <c r="OB82" i="18"/>
  <c r="ND82" i="18"/>
  <c r="MF82" i="18"/>
  <c r="WD82" i="18"/>
  <c r="VR82" i="18"/>
  <c r="UB82" i="18"/>
  <c r="SL82" i="18"/>
  <c r="RZ82" i="18"/>
  <c r="QJ82" i="18"/>
  <c r="OT82" i="18"/>
  <c r="OH82" i="18"/>
  <c r="MR82" i="18"/>
  <c r="LN82" i="18"/>
  <c r="KP82" i="18"/>
  <c r="JR82" i="18"/>
  <c r="IT82" i="18"/>
  <c r="HV82" i="18"/>
  <c r="GX82" i="18"/>
  <c r="FZ82" i="18"/>
  <c r="SX82" i="18"/>
  <c r="RH82" i="18"/>
  <c r="QD82" i="18"/>
  <c r="PR82" i="18"/>
  <c r="ON82" i="18"/>
  <c r="NJ82" i="18"/>
  <c r="MX82" i="18"/>
  <c r="LT82" i="18"/>
  <c r="KD82" i="18"/>
  <c r="IN82" i="18"/>
  <c r="IB82" i="18"/>
  <c r="GL82" i="18"/>
  <c r="FB82" i="18"/>
  <c r="ED82" i="18"/>
  <c r="DF82" i="18"/>
  <c r="CH82" i="18"/>
  <c r="BJ82" i="18"/>
  <c r="AL82" i="18"/>
  <c r="WP82" i="18"/>
  <c r="UZ82" i="18"/>
  <c r="TV82" i="18"/>
  <c r="TJ82" i="18"/>
  <c r="SF82" i="18"/>
  <c r="RB82" i="18"/>
  <c r="QP82" i="18"/>
  <c r="PL82" i="18"/>
  <c r="NV82" i="18"/>
  <c r="LH82" i="18"/>
  <c r="KV82" i="18"/>
  <c r="JF82" i="18"/>
  <c r="HP82" i="18"/>
  <c r="HD82" i="18"/>
  <c r="FH82" i="18"/>
  <c r="EJ82" i="18"/>
  <c r="DL82" i="18"/>
  <c r="CN82" i="18"/>
  <c r="BP82" i="18"/>
  <c r="AR82" i="18"/>
  <c r="UH82" i="18"/>
  <c r="TD82" i="18"/>
  <c r="JX82" i="18"/>
  <c r="IH82" i="18"/>
  <c r="GR82" i="18"/>
  <c r="EP82" i="18"/>
  <c r="CT82" i="18"/>
  <c r="AX82" i="18"/>
  <c r="VF82" i="18"/>
  <c r="NP82" i="18"/>
  <c r="ML82" i="18"/>
  <c r="IZ82" i="18"/>
  <c r="HJ82" i="18"/>
  <c r="FT82" i="18"/>
  <c r="DX82" i="18"/>
  <c r="CB82" i="18"/>
  <c r="VX82" i="18"/>
  <c r="RN82" i="18"/>
  <c r="GF82" i="18"/>
  <c r="DR82" i="18"/>
  <c r="PF82" i="18"/>
  <c r="LB82" i="18"/>
  <c r="JL82" i="18"/>
  <c r="EV82" i="18"/>
  <c r="BD82" i="18"/>
  <c r="UT82" i="18"/>
  <c r="FN82" i="18"/>
  <c r="LZ82" i="18"/>
  <c r="BV82" i="18"/>
  <c r="CZ82" i="18"/>
  <c r="XB82" i="18"/>
  <c r="WV82" i="18"/>
  <c r="KJ82" i="18"/>
  <c r="NG81" i="18"/>
  <c r="JN81" i="18"/>
  <c r="FU81" i="18"/>
  <c r="MB81" i="18"/>
  <c r="HW81" i="18"/>
  <c r="BW81" i="18"/>
  <c r="IP81" i="18"/>
  <c r="QG81" i="18"/>
  <c r="LP81" i="18"/>
  <c r="GG81" i="18"/>
  <c r="GB81" i="18"/>
  <c r="EK81" i="18"/>
  <c r="WE81" i="18"/>
  <c r="OW81" i="18"/>
  <c r="WL81" i="18"/>
  <c r="SS81" i="18"/>
  <c r="LK81" i="18"/>
  <c r="RK81" i="18"/>
  <c r="KR81" i="18"/>
  <c r="FI81" i="18"/>
  <c r="IE81" i="18"/>
  <c r="VZ81" i="18"/>
  <c r="HE81" i="18"/>
  <c r="QM81" i="18"/>
  <c r="DN81" i="18"/>
  <c r="PG81" i="18"/>
  <c r="VI81" i="18"/>
  <c r="RP81" i="18"/>
  <c r="NW81" i="18"/>
  <c r="RW81" i="18"/>
  <c r="OD81" i="18"/>
  <c r="KK81" i="18"/>
  <c r="DC81" i="18"/>
  <c r="TX81" i="18"/>
  <c r="MM81" i="18"/>
  <c r="EG81" i="18"/>
  <c r="WX81" i="18"/>
  <c r="PM81" i="18"/>
  <c r="DU81" i="18"/>
  <c r="RD81" i="18"/>
  <c r="GM81" i="18"/>
  <c r="FQ81" i="18"/>
  <c r="KF81" i="18"/>
  <c r="MS81" i="18"/>
  <c r="WS81" i="18"/>
  <c r="XA82" i="18"/>
  <c r="WC82" i="18"/>
  <c r="VE82" i="18"/>
  <c r="VH82" i="18" s="1"/>
  <c r="UG82" i="18"/>
  <c r="TI82" i="18"/>
  <c r="SK82" i="18"/>
  <c r="RM82" i="18"/>
  <c r="QO82" i="18"/>
  <c r="PQ82" i="18"/>
  <c r="OS82" i="18"/>
  <c r="NU82" i="18"/>
  <c r="NX82" i="18" s="1"/>
  <c r="MW82" i="18"/>
  <c r="LY82" i="18"/>
  <c r="WO82" i="18"/>
  <c r="UY82" i="18"/>
  <c r="UM82" i="18"/>
  <c r="SW82" i="18"/>
  <c r="RG82" i="18"/>
  <c r="RI82" i="18" s="1"/>
  <c r="QU82" i="18"/>
  <c r="PE82" i="18"/>
  <c r="NO82" i="18"/>
  <c r="NC82" i="18"/>
  <c r="LG82" i="18"/>
  <c r="KI82" i="18"/>
  <c r="JK82" i="18"/>
  <c r="IM82" i="18"/>
  <c r="IQ82" i="18" s="1"/>
  <c r="HO82" i="18"/>
  <c r="GQ82" i="18"/>
  <c r="XG82" i="18"/>
  <c r="WU82" i="18"/>
  <c r="VQ82" i="18"/>
  <c r="UA82" i="18"/>
  <c r="OA82" i="18"/>
  <c r="MK82" i="18"/>
  <c r="LA82" i="18"/>
  <c r="KO82" i="18"/>
  <c r="IY82" i="18"/>
  <c r="HI82" i="18"/>
  <c r="GW82" i="18"/>
  <c r="FS82" i="18"/>
  <c r="EU82" i="18"/>
  <c r="DW82" i="18"/>
  <c r="CY82" i="18"/>
  <c r="CA82" i="18"/>
  <c r="BC82" i="18"/>
  <c r="RS82" i="18"/>
  <c r="RW82" i="18" s="1"/>
  <c r="QC82" i="18"/>
  <c r="QF82" i="18" s="1"/>
  <c r="OY82" i="18"/>
  <c r="OM82" i="18"/>
  <c r="NI82" i="18"/>
  <c r="ME82" i="18"/>
  <c r="LS82" i="18"/>
  <c r="KC82" i="18"/>
  <c r="JQ82" i="18"/>
  <c r="IA82" i="18"/>
  <c r="GK82" i="18"/>
  <c r="GM82" i="18" s="1"/>
  <c r="FY82" i="18"/>
  <c r="FA82" i="18"/>
  <c r="EC82" i="18"/>
  <c r="DE82" i="18"/>
  <c r="CG82" i="18"/>
  <c r="BI82" i="18"/>
  <c r="AK82" i="18"/>
  <c r="VK82" i="18"/>
  <c r="SE82" i="18"/>
  <c r="RA82" i="18"/>
  <c r="PW82" i="18"/>
  <c r="MQ82" i="18"/>
  <c r="KU82" i="18"/>
  <c r="JE82" i="18"/>
  <c r="FG82" i="18"/>
  <c r="DK82" i="18"/>
  <c r="BO82" i="18"/>
  <c r="BS82" i="18" s="1"/>
  <c r="WI82" i="18"/>
  <c r="TC82" i="18"/>
  <c r="RY82" i="18"/>
  <c r="LM82" i="18"/>
  <c r="JW82" i="18"/>
  <c r="IG82" i="18"/>
  <c r="EO82" i="18"/>
  <c r="EQ82" i="18" s="1"/>
  <c r="CS82" i="18"/>
  <c r="CV82" i="18" s="1"/>
  <c r="AW82" i="18"/>
  <c r="TU82" i="18"/>
  <c r="PK82" i="18"/>
  <c r="CM82" i="18"/>
  <c r="VW82" i="18"/>
  <c r="TO82" i="18"/>
  <c r="HU82" i="18"/>
  <c r="GE82" i="18"/>
  <c r="GH82" i="18" s="1"/>
  <c r="DQ82" i="18"/>
  <c r="DT82" i="18" s="1"/>
  <c r="IS82" i="18"/>
  <c r="AQ82" i="18"/>
  <c r="SQ82" i="18"/>
  <c r="EI82" i="18"/>
  <c r="BU82" i="18"/>
  <c r="US82" i="18"/>
  <c r="QI82" i="18"/>
  <c r="HC82" i="18"/>
  <c r="FM82" i="18"/>
  <c r="OG82" i="18"/>
  <c r="OJ82" i="18" s="1"/>
  <c r="NF81" i="18"/>
  <c r="TM81" i="18"/>
  <c r="BG81" i="18"/>
  <c r="QF81" i="18"/>
  <c r="BA81" i="18"/>
  <c r="BS81" i="18"/>
  <c r="TA81" i="18"/>
  <c r="SO81" i="18"/>
  <c r="OV81" i="18"/>
  <c r="PC81" i="18"/>
  <c r="LJ81" i="18"/>
  <c r="AO81" i="18"/>
  <c r="RJ81" i="18"/>
  <c r="QL81" i="18"/>
  <c r="VH81" i="18"/>
  <c r="VO81" i="18"/>
  <c r="RV81" i="18"/>
  <c r="GU81" i="18"/>
  <c r="DB81" i="18"/>
  <c r="IK81" i="18"/>
  <c r="EF81" i="18"/>
  <c r="JC81" i="18"/>
  <c r="DT81" i="18"/>
  <c r="SI81" i="18"/>
  <c r="FP81" i="18"/>
  <c r="UE81" i="18"/>
  <c r="WR81" i="18"/>
  <c r="Q80" i="18"/>
  <c r="R80" i="18"/>
  <c r="P80" i="18"/>
  <c r="T79" i="18" s="1"/>
  <c r="B161" i="9"/>
  <c r="I161" i="9" s="1"/>
  <c r="B161" i="1"/>
  <c r="B161" i="7"/>
  <c r="AG154" i="5"/>
  <c r="AL154" i="5" s="1"/>
  <c r="R156" i="5"/>
  <c r="AG157" i="5"/>
  <c r="R159" i="5"/>
  <c r="F156" i="5"/>
  <c r="AJ156" i="5"/>
  <c r="B163" i="5"/>
  <c r="AE161" i="5"/>
  <c r="K161" i="5"/>
  <c r="B160" i="5"/>
  <c r="K158" i="5"/>
  <c r="BP157" i="1"/>
  <c r="X157" i="7" s="1"/>
  <c r="O157" i="1"/>
  <c r="BQ157" i="1"/>
  <c r="O156" i="1"/>
  <c r="R144" i="14"/>
  <c r="T145" i="14"/>
  <c r="U145" i="14"/>
  <c r="T144" i="14"/>
  <c r="S145" i="14"/>
  <c r="S144" i="14"/>
  <c r="U144" i="14"/>
  <c r="Q143" i="14"/>
  <c r="L151" i="7" s="1"/>
  <c r="B160" i="1"/>
  <c r="N158" i="1"/>
  <c r="B82" i="15"/>
  <c r="B160" i="9"/>
  <c r="I160" i="9" s="1"/>
  <c r="B162" i="8"/>
  <c r="B163" i="8"/>
  <c r="B160" i="7"/>
  <c r="B84" i="18"/>
  <c r="G84" i="18" s="1"/>
  <c r="O83" i="18"/>
  <c r="N83" i="18"/>
  <c r="P150" i="19" l="1"/>
  <c r="J150" i="19"/>
  <c r="L150" i="19"/>
  <c r="K150" i="19"/>
  <c r="P78" i="15"/>
  <c r="K150" i="7"/>
  <c r="N151" i="7"/>
  <c r="N150" i="7"/>
  <c r="K151" i="7"/>
  <c r="E153" i="8"/>
  <c r="D152" i="19"/>
  <c r="I152" i="19" s="1"/>
  <c r="R153" i="8"/>
  <c r="L150" i="7"/>
  <c r="G78" i="15"/>
  <c r="E153" i="19"/>
  <c r="P153" i="19"/>
  <c r="D152" i="8"/>
  <c r="R152" i="8" s="1"/>
  <c r="Q78" i="15"/>
  <c r="OO82" i="18"/>
  <c r="IC82" i="18"/>
  <c r="U157" i="5"/>
  <c r="JO82" i="18"/>
  <c r="UW82" i="18"/>
  <c r="QY82" i="18"/>
  <c r="B167" i="19"/>
  <c r="G167" i="19" s="1"/>
  <c r="F165" i="19"/>
  <c r="I163" i="5"/>
  <c r="J163" i="5" s="1"/>
  <c r="F163" i="5" s="1"/>
  <c r="T157" i="5"/>
  <c r="K92" i="7"/>
  <c r="L93" i="7"/>
  <c r="N93" i="7"/>
  <c r="K93" i="7"/>
  <c r="L92" i="7"/>
  <c r="N92" i="7"/>
  <c r="D94" i="8"/>
  <c r="R94" i="8" s="1"/>
  <c r="G49" i="15"/>
  <c r="D94" i="19"/>
  <c r="E95" i="8"/>
  <c r="E95" i="19"/>
  <c r="Q49" i="15"/>
  <c r="P49" i="15"/>
  <c r="EL82" i="18"/>
  <c r="P123" i="5"/>
  <c r="P159" i="5"/>
  <c r="Q159" i="5"/>
  <c r="HQ82" i="18"/>
  <c r="T125" i="5"/>
  <c r="AF125" i="5" s="1"/>
  <c r="KX82" i="18"/>
  <c r="WY82" i="18"/>
  <c r="SY82" i="18"/>
  <c r="L158" i="9"/>
  <c r="L159" i="9"/>
  <c r="M157" i="9"/>
  <c r="M156" i="9"/>
  <c r="BX82" i="18"/>
  <c r="JH82" i="18"/>
  <c r="J159" i="9"/>
  <c r="J158" i="9"/>
  <c r="KE82" i="18"/>
  <c r="FU82" i="18"/>
  <c r="GZ82" i="18"/>
  <c r="LV82" i="18"/>
  <c r="SU82" i="18"/>
  <c r="F162" i="8"/>
  <c r="G162" i="8"/>
  <c r="G163" i="8"/>
  <c r="F163" i="8"/>
  <c r="J160" i="7"/>
  <c r="I160" i="7"/>
  <c r="J161" i="7"/>
  <c r="I161" i="7"/>
  <c r="H161" i="9"/>
  <c r="K161" i="9" s="1"/>
  <c r="H160" i="9"/>
  <c r="K160" i="9" s="1"/>
  <c r="U82" i="15"/>
  <c r="Y82" i="18" s="1"/>
  <c r="E82" i="15"/>
  <c r="D82" i="15"/>
  <c r="D84" i="18"/>
  <c r="F84" i="18" s="1"/>
  <c r="E84" i="18"/>
  <c r="AD160" i="5"/>
  <c r="AE160" i="5" s="1"/>
  <c r="AI160" i="5" s="1"/>
  <c r="I160" i="5"/>
  <c r="J160" i="5" s="1"/>
  <c r="I161" i="1"/>
  <c r="H161" i="1"/>
  <c r="H160" i="1"/>
  <c r="I160" i="1" s="1"/>
  <c r="NK82" i="18"/>
  <c r="S79" i="18"/>
  <c r="U79" i="18" s="1"/>
  <c r="R145" i="14"/>
  <c r="P155" i="19" s="1"/>
  <c r="AZ82" i="18"/>
  <c r="XD82" i="18"/>
  <c r="T82" i="15"/>
  <c r="RJ82" i="18"/>
  <c r="VA82" i="18"/>
  <c r="MG82" i="18"/>
  <c r="GN82" i="18"/>
  <c r="TS82" i="18"/>
  <c r="TE82" i="18"/>
  <c r="PY82" i="18"/>
  <c r="MH82" i="18"/>
  <c r="LI82" i="18"/>
  <c r="VB82" i="18"/>
  <c r="HE82" i="18"/>
  <c r="RD82" i="18"/>
  <c r="JT82" i="18"/>
  <c r="SO82" i="18"/>
  <c r="CQ82" i="18"/>
  <c r="CK82" i="18"/>
  <c r="GA82" i="18"/>
  <c r="XJ82" i="18"/>
  <c r="PS82" i="18"/>
  <c r="NQ82" i="18"/>
  <c r="UE82" i="18"/>
  <c r="RQ82" i="18"/>
  <c r="UU82" i="18"/>
  <c r="ER82" i="18"/>
  <c r="UV82" i="18"/>
  <c r="LW82" i="18"/>
  <c r="DB82" i="18"/>
  <c r="LC82" i="18"/>
  <c r="ES82" i="18"/>
  <c r="LU82" i="18"/>
  <c r="GO82" i="18"/>
  <c r="HK82" i="18"/>
  <c r="OU82" i="18"/>
  <c r="QR82" i="18"/>
  <c r="MS82" i="18"/>
  <c r="NR82" i="18"/>
  <c r="QS82" i="18"/>
  <c r="PU82" i="18"/>
  <c r="JM82" i="18"/>
  <c r="KG82" i="18"/>
  <c r="IU82" i="18"/>
  <c r="TX82" i="18"/>
  <c r="FI82" i="18"/>
  <c r="BK82" i="18"/>
  <c r="DY82" i="18"/>
  <c r="AY82" i="18"/>
  <c r="JA82" i="18"/>
  <c r="AT82" i="18"/>
  <c r="HY82" i="18"/>
  <c r="DU82" i="18"/>
  <c r="PH82" i="18"/>
  <c r="UD82" i="18"/>
  <c r="UO82" i="18"/>
  <c r="LK82" i="18"/>
  <c r="AU82" i="18"/>
  <c r="IO82" i="18"/>
  <c r="AS82" i="18"/>
  <c r="JU82" i="18"/>
  <c r="BA82" i="18"/>
  <c r="RK82" i="18"/>
  <c r="DS82" i="18"/>
  <c r="IP82" i="18"/>
  <c r="JS82" i="18"/>
  <c r="QK82" i="18"/>
  <c r="LO82" i="18"/>
  <c r="EW82" i="18"/>
  <c r="JC82" i="18"/>
  <c r="OE82" i="18"/>
  <c r="MC82" i="18"/>
  <c r="TL82" i="18"/>
  <c r="LE82" i="18"/>
  <c r="HX82" i="18"/>
  <c r="PN82" i="18"/>
  <c r="VN82" i="18"/>
  <c r="CE82" i="18"/>
  <c r="II82" i="18"/>
  <c r="AN82" i="18"/>
  <c r="EF82" i="18"/>
  <c r="VT82" i="18"/>
  <c r="QA82" i="18"/>
  <c r="HS82" i="18"/>
  <c r="TW82" i="18"/>
  <c r="EA82" i="18"/>
  <c r="QQ82" i="18"/>
  <c r="PG82" i="18"/>
  <c r="HL82" i="18"/>
  <c r="WS82" i="18"/>
  <c r="OV82" i="18"/>
  <c r="UC82" i="18"/>
  <c r="UP82" i="18"/>
  <c r="LD82" i="18"/>
  <c r="QW82" i="18"/>
  <c r="PZ82" i="18"/>
  <c r="LJ82" i="18"/>
  <c r="IW82" i="18"/>
  <c r="PI82" i="18"/>
  <c r="WQ82" i="18"/>
  <c r="HR82" i="18"/>
  <c r="RO82" i="18"/>
  <c r="SI82" i="18"/>
  <c r="BF82" i="18"/>
  <c r="FJ82" i="18"/>
  <c r="BM82" i="18"/>
  <c r="IV82" i="18"/>
  <c r="MT82" i="18"/>
  <c r="VC82" i="18"/>
  <c r="TY82" i="18"/>
  <c r="PT82" i="18"/>
  <c r="HM82" i="18"/>
  <c r="QX82" i="18"/>
  <c r="UQ82" i="18"/>
  <c r="EX82" i="18"/>
  <c r="CI82" i="18"/>
  <c r="QL82" i="18"/>
  <c r="WR82" i="18"/>
  <c r="OW82" i="18"/>
  <c r="RP82" i="18"/>
  <c r="DO82" i="18"/>
  <c r="DH82" i="18"/>
  <c r="KS82" i="18"/>
  <c r="GU82" i="18"/>
  <c r="KL82" i="18"/>
  <c r="MY82" i="18"/>
  <c r="UJ82" i="18"/>
  <c r="NS82" i="18"/>
  <c r="TM82" i="18"/>
  <c r="VZ82" i="18"/>
  <c r="NF82" i="18"/>
  <c r="JN82" i="18"/>
  <c r="JB82" i="18"/>
  <c r="BG82" i="18"/>
  <c r="CJ82" i="18"/>
  <c r="FK82" i="18"/>
  <c r="BL82" i="18"/>
  <c r="MU82" i="18"/>
  <c r="TK82" i="18"/>
  <c r="KF82" i="18"/>
  <c r="TQ82" i="18"/>
  <c r="XI82" i="18"/>
  <c r="DZ82" i="18"/>
  <c r="MI82" i="18"/>
  <c r="SB82" i="18"/>
  <c r="PC82" i="18"/>
  <c r="EY82" i="18"/>
  <c r="BE82" i="18"/>
  <c r="TA82" i="18"/>
  <c r="FO82" i="18"/>
  <c r="QM82" i="18"/>
  <c r="OC82" i="18"/>
  <c r="SZ82" i="18"/>
  <c r="KA82" i="18"/>
  <c r="WL82" i="18"/>
  <c r="FC82" i="18"/>
  <c r="OD82" i="18"/>
  <c r="TR82" i="18"/>
  <c r="XK82" i="18"/>
  <c r="AO82" i="18"/>
  <c r="MM82" i="18"/>
  <c r="WG82" i="18"/>
  <c r="DM82" i="18"/>
  <c r="DN82" i="18"/>
  <c r="HF82" i="18"/>
  <c r="HG82" i="18"/>
  <c r="EK82" i="18"/>
  <c r="HW82" i="18"/>
  <c r="AM82" i="18"/>
  <c r="EM82" i="18"/>
  <c r="CC82" i="18"/>
  <c r="FD82" i="18"/>
  <c r="WW82" i="18"/>
  <c r="TF82" i="18"/>
  <c r="XE82" i="18"/>
  <c r="RU82" i="18"/>
  <c r="MN82" i="18"/>
  <c r="WM82" i="18"/>
  <c r="SM82" i="18"/>
  <c r="LP82" i="18"/>
  <c r="CW82" i="18"/>
  <c r="WE82" i="18"/>
  <c r="MZ82" i="18"/>
  <c r="DC82" i="18"/>
  <c r="PA82" i="18"/>
  <c r="GB82" i="18"/>
  <c r="KY82" i="18"/>
  <c r="BQ82" i="18"/>
  <c r="ID82" i="18"/>
  <c r="DI82" i="18"/>
  <c r="SS82" i="18"/>
  <c r="EG82" i="18"/>
  <c r="CO82" i="18"/>
  <c r="WA82" i="18"/>
  <c r="SG82" i="18"/>
  <c r="OP82" i="18"/>
  <c r="QG82" i="18"/>
  <c r="MA82" i="18"/>
  <c r="IJ82" i="18"/>
  <c r="SC82" i="18"/>
  <c r="JY82" i="18"/>
  <c r="FP82" i="18"/>
  <c r="VU82" i="18"/>
  <c r="KQ82" i="18"/>
  <c r="FV82" i="18"/>
  <c r="RE82" i="18"/>
  <c r="GS82" i="18"/>
  <c r="NL82" i="18"/>
  <c r="CD82" i="18"/>
  <c r="KM82" i="18"/>
  <c r="WX82" i="18"/>
  <c r="PO82" i="18"/>
  <c r="XC82" i="18"/>
  <c r="RV82" i="18"/>
  <c r="JI82" i="18"/>
  <c r="WK82" i="18"/>
  <c r="SN82" i="18"/>
  <c r="GI82" i="18"/>
  <c r="CU82" i="18"/>
  <c r="WF82" i="18"/>
  <c r="HA82" i="18"/>
  <c r="DA82" i="18"/>
  <c r="PB82" i="18"/>
  <c r="UK82" i="18"/>
  <c r="KW82" i="18"/>
  <c r="BR82" i="18"/>
  <c r="NG82" i="18"/>
  <c r="DG82" i="18"/>
  <c r="ST82" i="18"/>
  <c r="EE82" i="18"/>
  <c r="CP82" i="18"/>
  <c r="VY82" i="18"/>
  <c r="SH82" i="18"/>
  <c r="VO82" i="18"/>
  <c r="QE82" i="18"/>
  <c r="MB82" i="18"/>
  <c r="VI82" i="18"/>
  <c r="SA82" i="18"/>
  <c r="JZ82" i="18"/>
  <c r="BY82" i="18"/>
  <c r="VS82" i="18"/>
  <c r="KR82" i="18"/>
  <c r="NY82" i="18"/>
  <c r="RC82" i="18"/>
  <c r="GT82" i="18"/>
  <c r="OK82" i="18"/>
  <c r="FE82" i="18"/>
  <c r="KK82" i="18"/>
  <c r="TG82" i="18"/>
  <c r="PM82" i="18"/>
  <c r="MO82" i="18"/>
  <c r="JG82" i="18"/>
  <c r="LQ82" i="18"/>
  <c r="GG82" i="18"/>
  <c r="NA82" i="18"/>
  <c r="GY82" i="18"/>
  <c r="GC82" i="18"/>
  <c r="UI82" i="18"/>
  <c r="IE82" i="18"/>
  <c r="NE82" i="18"/>
  <c r="OQ82" i="18"/>
  <c r="VM82" i="18"/>
  <c r="IK82" i="18"/>
  <c r="VG82" i="18"/>
  <c r="FQ82" i="18"/>
  <c r="BW82" i="18"/>
  <c r="FW82" i="18"/>
  <c r="NW82" i="18"/>
  <c r="NM82" i="18"/>
  <c r="OI82" i="18"/>
  <c r="WV83" i="18"/>
  <c r="VX83" i="18"/>
  <c r="WP83" i="18"/>
  <c r="WD83" i="18"/>
  <c r="VL83" i="18"/>
  <c r="UN83" i="18"/>
  <c r="TP83" i="18"/>
  <c r="SR83" i="18"/>
  <c r="RT83" i="18"/>
  <c r="QV83" i="18"/>
  <c r="PX83" i="18"/>
  <c r="OZ83" i="18"/>
  <c r="OB83" i="18"/>
  <c r="ND83" i="18"/>
  <c r="MF83" i="18"/>
  <c r="LH83" i="18"/>
  <c r="KJ83" i="18"/>
  <c r="JL83" i="18"/>
  <c r="IN83" i="18"/>
  <c r="HP83" i="18"/>
  <c r="GR83" i="18"/>
  <c r="FT83" i="18"/>
  <c r="EV83" i="18"/>
  <c r="DX83" i="18"/>
  <c r="CZ83" i="18"/>
  <c r="CB83" i="18"/>
  <c r="BD83" i="18"/>
  <c r="XH83" i="18"/>
  <c r="VR83" i="18"/>
  <c r="UB83" i="18"/>
  <c r="SL83" i="18"/>
  <c r="RZ83" i="18"/>
  <c r="VF83" i="18"/>
  <c r="UT83" i="18"/>
  <c r="TD83" i="18"/>
  <c r="RN83" i="18"/>
  <c r="RB83" i="18"/>
  <c r="PL83" i="18"/>
  <c r="NV83" i="18"/>
  <c r="NJ83" i="18"/>
  <c r="LT83" i="18"/>
  <c r="KD83" i="18"/>
  <c r="JR83" i="18"/>
  <c r="IB83" i="18"/>
  <c r="GL83" i="18"/>
  <c r="FZ83" i="18"/>
  <c r="EJ83" i="18"/>
  <c r="CT83" i="18"/>
  <c r="CH83" i="18"/>
  <c r="AR83" i="18"/>
  <c r="TV83" i="18"/>
  <c r="SF83" i="18"/>
  <c r="QP83" i="18"/>
  <c r="KP83" i="18"/>
  <c r="IZ83" i="18"/>
  <c r="HV83" i="18"/>
  <c r="HJ83" i="18"/>
  <c r="GF83" i="18"/>
  <c r="FB83" i="18"/>
  <c r="EP83" i="18"/>
  <c r="DL83" i="18"/>
  <c r="BV83" i="18"/>
  <c r="WJ83" i="18"/>
  <c r="SX83" i="18"/>
  <c r="RH83" i="18"/>
  <c r="OH83" i="18"/>
  <c r="MR83" i="18"/>
  <c r="LN83" i="18"/>
  <c r="LB83" i="18"/>
  <c r="JX83" i="18"/>
  <c r="IT83" i="18"/>
  <c r="IH83" i="18"/>
  <c r="HD83" i="18"/>
  <c r="FN83" i="18"/>
  <c r="UH83" i="18"/>
  <c r="OT83" i="18"/>
  <c r="NP83" i="18"/>
  <c r="ML83" i="18"/>
  <c r="JF83" i="18"/>
  <c r="BP83" i="18"/>
  <c r="AL83" i="18"/>
  <c r="PR83" i="18"/>
  <c r="ON83" i="18"/>
  <c r="GX83" i="18"/>
  <c r="DR83" i="18"/>
  <c r="CN83" i="18"/>
  <c r="BJ83" i="18"/>
  <c r="XB83" i="18"/>
  <c r="QJ83" i="18"/>
  <c r="LZ83" i="18"/>
  <c r="DF83" i="18"/>
  <c r="TJ83" i="18"/>
  <c r="QD83" i="18"/>
  <c r="FH83" i="18"/>
  <c r="AX83" i="18"/>
  <c r="PF83" i="18"/>
  <c r="KV83" i="18"/>
  <c r="UZ83" i="18"/>
  <c r="MX83" i="18"/>
  <c r="ED83" i="18"/>
  <c r="WO83" i="18"/>
  <c r="XA83" i="18"/>
  <c r="VE83" i="18"/>
  <c r="UG83" i="18"/>
  <c r="TI83" i="18"/>
  <c r="SK83" i="18"/>
  <c r="RM83" i="18"/>
  <c r="QO83" i="18"/>
  <c r="PQ83" i="18"/>
  <c r="OS83" i="18"/>
  <c r="NU83" i="18"/>
  <c r="MW83" i="18"/>
  <c r="LY83" i="18"/>
  <c r="LA83" i="18"/>
  <c r="KC83" i="18"/>
  <c r="JE83" i="18"/>
  <c r="IG83" i="18"/>
  <c r="HI83" i="18"/>
  <c r="GK83" i="18"/>
  <c r="FM83" i="18"/>
  <c r="EO83" i="18"/>
  <c r="DQ83" i="18"/>
  <c r="CS83" i="18"/>
  <c r="BU83" i="18"/>
  <c r="AW83" i="18"/>
  <c r="WU83" i="18"/>
  <c r="WI83" i="18"/>
  <c r="WL83" i="18" s="1"/>
  <c r="UY83" i="18"/>
  <c r="UM83" i="18"/>
  <c r="SW83" i="18"/>
  <c r="RG83" i="18"/>
  <c r="QU83" i="18"/>
  <c r="XG83" i="18"/>
  <c r="WC83" i="18"/>
  <c r="VQ83" i="18"/>
  <c r="UA83" i="18"/>
  <c r="TO83" i="18"/>
  <c r="RY83" i="18"/>
  <c r="QI83" i="18"/>
  <c r="PW83" i="18"/>
  <c r="OG83" i="18"/>
  <c r="MQ83" i="18"/>
  <c r="ME83" i="18"/>
  <c r="MG83" i="18" s="1"/>
  <c r="KO83" i="18"/>
  <c r="IY83" i="18"/>
  <c r="IM83" i="18"/>
  <c r="GW83" i="18"/>
  <c r="FG83" i="18"/>
  <c r="EU83" i="18"/>
  <c r="DE83" i="18"/>
  <c r="BO83" i="18"/>
  <c r="BC83" i="18"/>
  <c r="US83" i="18"/>
  <c r="TC83" i="18"/>
  <c r="QC83" i="18"/>
  <c r="OY83" i="18"/>
  <c r="PA83" i="18" s="1"/>
  <c r="OM83" i="18"/>
  <c r="NI83" i="18"/>
  <c r="LS83" i="18"/>
  <c r="FS83" i="18"/>
  <c r="EC83" i="18"/>
  <c r="CY83" i="18"/>
  <c r="CM83" i="18"/>
  <c r="BI83" i="18"/>
  <c r="VK83" i="18"/>
  <c r="TU83" i="18"/>
  <c r="SE83" i="18"/>
  <c r="PK83" i="18"/>
  <c r="JK83" i="18"/>
  <c r="HU83" i="18"/>
  <c r="GQ83" i="18"/>
  <c r="GE83" i="18"/>
  <c r="FA83" i="18"/>
  <c r="DW83" i="18"/>
  <c r="DK83" i="18"/>
  <c r="CG83" i="18"/>
  <c r="AQ83" i="18"/>
  <c r="SQ83" i="18"/>
  <c r="RA83" i="18"/>
  <c r="LM83" i="18"/>
  <c r="LP83" i="18" s="1"/>
  <c r="KI83" i="18"/>
  <c r="HC83" i="18"/>
  <c r="FY83" i="18"/>
  <c r="VW83" i="18"/>
  <c r="NO83" i="18"/>
  <c r="MK83" i="18"/>
  <c r="LG83" i="18"/>
  <c r="IA83" i="18"/>
  <c r="ID83" i="18" s="1"/>
  <c r="AK83" i="18"/>
  <c r="JW83" i="18"/>
  <c r="HO83" i="18"/>
  <c r="OA83" i="18"/>
  <c r="JQ83" i="18"/>
  <c r="NC83" i="18"/>
  <c r="NE83" i="18" s="1"/>
  <c r="CA83" i="18"/>
  <c r="EI83" i="18"/>
  <c r="RS83" i="18"/>
  <c r="RW83" i="18" s="1"/>
  <c r="PE83" i="18"/>
  <c r="KU83" i="18"/>
  <c r="IS83" i="18"/>
  <c r="XF84" i="18"/>
  <c r="WH84" i="18"/>
  <c r="VJ84" i="18"/>
  <c r="UL84" i="18"/>
  <c r="TN84" i="18"/>
  <c r="SP84" i="18"/>
  <c r="RR84" i="18"/>
  <c r="QT84" i="18"/>
  <c r="PV84" i="18"/>
  <c r="OX84" i="18"/>
  <c r="NZ84" i="18"/>
  <c r="NB84" i="18"/>
  <c r="MD84" i="18"/>
  <c r="LF84" i="18"/>
  <c r="KH84" i="18"/>
  <c r="JJ84" i="18"/>
  <c r="IL84" i="18"/>
  <c r="HN84" i="18"/>
  <c r="GP84" i="18"/>
  <c r="FR84" i="18"/>
  <c r="ET84" i="18"/>
  <c r="DV84" i="18"/>
  <c r="CX84" i="18"/>
  <c r="BZ84" i="18"/>
  <c r="BB84" i="18"/>
  <c r="WZ84" i="18"/>
  <c r="WN84" i="18"/>
  <c r="UX84" i="18"/>
  <c r="TH84" i="18"/>
  <c r="SV84" i="18"/>
  <c r="RF84" i="18"/>
  <c r="PP84" i="18"/>
  <c r="PD84" i="18"/>
  <c r="NN84" i="18"/>
  <c r="LX84" i="18"/>
  <c r="LL84" i="18"/>
  <c r="JV84" i="18"/>
  <c r="IF84" i="18"/>
  <c r="HT84" i="18"/>
  <c r="GD84" i="18"/>
  <c r="EN84" i="18"/>
  <c r="EB84" i="18"/>
  <c r="CL84" i="18"/>
  <c r="AV84" i="18"/>
  <c r="AJ84" i="18"/>
  <c r="WT84" i="18"/>
  <c r="VD84" i="18"/>
  <c r="UR84" i="18"/>
  <c r="TB84" i="18"/>
  <c r="RL84" i="18"/>
  <c r="QZ84" i="18"/>
  <c r="WB84" i="18"/>
  <c r="RX84" i="18"/>
  <c r="QH84" i="18"/>
  <c r="MJ84" i="18"/>
  <c r="KT84" i="18"/>
  <c r="JP84" i="18"/>
  <c r="JD84" i="18"/>
  <c r="HZ84" i="18"/>
  <c r="GV84" i="18"/>
  <c r="GJ84" i="18"/>
  <c r="FF84" i="18"/>
  <c r="DP84" i="18"/>
  <c r="VV84" i="18"/>
  <c r="UF84" i="18"/>
  <c r="QB84" i="18"/>
  <c r="OL84" i="18"/>
  <c r="NH84" i="18"/>
  <c r="MV84" i="18"/>
  <c r="LR84" i="18"/>
  <c r="KN84" i="18"/>
  <c r="KB84" i="18"/>
  <c r="IX84" i="18"/>
  <c r="HH84" i="18"/>
  <c r="BH84" i="18"/>
  <c r="NT84" i="18"/>
  <c r="MP84" i="18"/>
  <c r="EZ84" i="18"/>
  <c r="BT84" i="18"/>
  <c r="AP84" i="18"/>
  <c r="OR84" i="18"/>
  <c r="HB84" i="18"/>
  <c r="FX84" i="18"/>
  <c r="CR84" i="18"/>
  <c r="BN84" i="18"/>
  <c r="TZ84" i="18"/>
  <c r="OF84" i="18"/>
  <c r="DJ84" i="18"/>
  <c r="TT84" i="18"/>
  <c r="QN84" i="18"/>
  <c r="FL84" i="18"/>
  <c r="DD84" i="18"/>
  <c r="SJ84" i="18"/>
  <c r="SD84" i="18"/>
  <c r="IR84" i="18"/>
  <c r="EH84" i="18"/>
  <c r="PJ84" i="18"/>
  <c r="VP84" i="18"/>
  <c r="KZ84" i="18"/>
  <c r="CF84" i="18"/>
  <c r="P81" i="18"/>
  <c r="T80" i="18" s="1"/>
  <c r="R81" i="18"/>
  <c r="Q81" i="18"/>
  <c r="B163" i="1"/>
  <c r="B163" i="9"/>
  <c r="I163" i="9" s="1"/>
  <c r="B163" i="7"/>
  <c r="U152" i="5"/>
  <c r="Q154" i="5"/>
  <c r="AG159" i="5"/>
  <c r="R161" i="5"/>
  <c r="AG156" i="5"/>
  <c r="AL156" i="5" s="1"/>
  <c r="R158" i="5"/>
  <c r="B162" i="5"/>
  <c r="K160" i="5"/>
  <c r="B165" i="5"/>
  <c r="K163" i="5"/>
  <c r="AE163" i="5"/>
  <c r="F158" i="5"/>
  <c r="AJ158" i="5"/>
  <c r="O158" i="1"/>
  <c r="BQ159" i="1"/>
  <c r="BP159" i="1"/>
  <c r="X159" i="7" s="1"/>
  <c r="O159" i="1"/>
  <c r="T146" i="14"/>
  <c r="S146" i="14"/>
  <c r="U146" i="14"/>
  <c r="Q144" i="14"/>
  <c r="L153" i="7" s="1"/>
  <c r="B164" i="8"/>
  <c r="B162" i="1"/>
  <c r="N160" i="1"/>
  <c r="B162" i="7"/>
  <c r="B162" i="9"/>
  <c r="I162" i="9" s="1"/>
  <c r="B165" i="8"/>
  <c r="B83" i="15"/>
  <c r="B85" i="18"/>
  <c r="G85" i="18" s="1"/>
  <c r="N84" i="18"/>
  <c r="O84" i="18"/>
  <c r="J152" i="19" l="1"/>
  <c r="L152" i="19"/>
  <c r="K152" i="19"/>
  <c r="P152" i="19"/>
  <c r="N152" i="7"/>
  <c r="E155" i="8"/>
  <c r="P79" i="15"/>
  <c r="N153" i="7"/>
  <c r="G79" i="15"/>
  <c r="K153" i="7"/>
  <c r="E155" i="19"/>
  <c r="L152" i="7"/>
  <c r="Q79" i="15"/>
  <c r="K152" i="7"/>
  <c r="D154" i="19"/>
  <c r="L154" i="19" s="1"/>
  <c r="D154" i="8"/>
  <c r="R154" i="8" s="1"/>
  <c r="R155" i="8"/>
  <c r="NS83" i="18"/>
  <c r="P121" i="5"/>
  <c r="AF157" i="5"/>
  <c r="P27" i="7" s="1"/>
  <c r="KL83" i="18"/>
  <c r="B169" i="19"/>
  <c r="F167" i="19"/>
  <c r="I165" i="5"/>
  <c r="J165" i="5" s="1"/>
  <c r="F165" i="5" s="1"/>
  <c r="T159" i="5"/>
  <c r="K94" i="7"/>
  <c r="L95" i="7"/>
  <c r="K95" i="7"/>
  <c r="N94" i="7"/>
  <c r="L94" i="7"/>
  <c r="N95" i="7"/>
  <c r="E97" i="19"/>
  <c r="D96" i="19"/>
  <c r="G50" i="15"/>
  <c r="D96" i="8"/>
  <c r="R96" i="8" s="1"/>
  <c r="Q50" i="15"/>
  <c r="P50" i="15"/>
  <c r="E97" i="8"/>
  <c r="AN83" i="18"/>
  <c r="P161" i="5"/>
  <c r="U159" i="5"/>
  <c r="Q161" i="5"/>
  <c r="U161" i="5" s="1"/>
  <c r="T123" i="5"/>
  <c r="AF123" i="5" s="1"/>
  <c r="MO83" i="18"/>
  <c r="JZ83" i="18"/>
  <c r="L161" i="9"/>
  <c r="L160" i="9"/>
  <c r="M158" i="9"/>
  <c r="M159" i="9"/>
  <c r="J160" i="9"/>
  <c r="J161" i="9"/>
  <c r="F165" i="8"/>
  <c r="G165" i="8"/>
  <c r="F164" i="8"/>
  <c r="G164" i="8"/>
  <c r="H162" i="9"/>
  <c r="K162" i="9" s="1"/>
  <c r="H163" i="9"/>
  <c r="K163" i="9" s="1"/>
  <c r="I163" i="7"/>
  <c r="J163" i="7"/>
  <c r="I162" i="7"/>
  <c r="J162" i="7"/>
  <c r="U83" i="15"/>
  <c r="Y83" i="18" s="1"/>
  <c r="D83" i="15"/>
  <c r="E83" i="15"/>
  <c r="D85" i="18"/>
  <c r="F85" i="18" s="1"/>
  <c r="E85" i="18"/>
  <c r="AD162" i="5"/>
  <c r="AE162" i="5" s="1"/>
  <c r="AI162" i="5" s="1"/>
  <c r="I162" i="5"/>
  <c r="J162" i="5" s="1"/>
  <c r="H162" i="1"/>
  <c r="I162" i="1" s="1"/>
  <c r="H163" i="1"/>
  <c r="I163" i="1"/>
  <c r="T147" i="14"/>
  <c r="S147" i="14"/>
  <c r="U147" i="14"/>
  <c r="O161" i="1"/>
  <c r="BP161" i="1"/>
  <c r="X161" i="7" s="1"/>
  <c r="BQ161" i="1"/>
  <c r="O160" i="1"/>
  <c r="R146" i="14"/>
  <c r="R157" i="8" s="1"/>
  <c r="Q145" i="14"/>
  <c r="L154" i="7" s="1"/>
  <c r="S80" i="18"/>
  <c r="U80" i="18" s="1"/>
  <c r="NX83" i="18"/>
  <c r="T83" i="15"/>
  <c r="VO83" i="18"/>
  <c r="QS83" i="18"/>
  <c r="DM83" i="18"/>
  <c r="VG83" i="18"/>
  <c r="CD83" i="18"/>
  <c r="SH83" i="18"/>
  <c r="VM83" i="18"/>
  <c r="HE83" i="18"/>
  <c r="DC83" i="18"/>
  <c r="WX83" i="18"/>
  <c r="HL83" i="18"/>
  <c r="DA83" i="18"/>
  <c r="DN83" i="18"/>
  <c r="VI83" i="18"/>
  <c r="NL83" i="18"/>
  <c r="CW83" i="18"/>
  <c r="RP83" i="18"/>
  <c r="XD83" i="18"/>
  <c r="OP83" i="18"/>
  <c r="TQ83" i="18"/>
  <c r="QW83" i="18"/>
  <c r="WA83" i="18"/>
  <c r="OQ83" i="18"/>
  <c r="VH83" i="18"/>
  <c r="IP83" i="18"/>
  <c r="MM83" i="18"/>
  <c r="TR83" i="18"/>
  <c r="JS83" i="18"/>
  <c r="OO83" i="18"/>
  <c r="EW83" i="18"/>
  <c r="TS83" i="18"/>
  <c r="WQ83" i="18"/>
  <c r="KX83" i="18"/>
  <c r="DO83" i="18"/>
  <c r="HG83" i="18"/>
  <c r="IV83" i="18"/>
  <c r="EK83" i="18"/>
  <c r="BE83" i="18"/>
  <c r="PY83" i="18"/>
  <c r="VN83" i="18"/>
  <c r="WW83" i="18"/>
  <c r="HK83" i="18"/>
  <c r="MN83" i="18"/>
  <c r="IO83" i="18"/>
  <c r="DB83" i="18"/>
  <c r="KY83" i="18"/>
  <c r="CE83" i="18"/>
  <c r="GA83" i="18"/>
  <c r="RD83" i="18"/>
  <c r="GT83" i="18"/>
  <c r="LW83" i="18"/>
  <c r="VT83" i="18"/>
  <c r="HF83" i="18"/>
  <c r="HM83" i="18"/>
  <c r="AS83" i="18"/>
  <c r="JO83" i="18"/>
  <c r="UW83" i="18"/>
  <c r="UP83" i="18"/>
  <c r="WY83" i="18"/>
  <c r="IQ83" i="18"/>
  <c r="KK83" i="18"/>
  <c r="OC83" i="18"/>
  <c r="VY83" i="18"/>
  <c r="CI83" i="18"/>
  <c r="GG83" i="18"/>
  <c r="PM83" i="18"/>
  <c r="FW83" i="18"/>
  <c r="KQ83" i="18"/>
  <c r="UC83" i="18"/>
  <c r="QX83" i="18"/>
  <c r="QF83" i="18"/>
  <c r="QM83" i="18"/>
  <c r="RI83" i="18"/>
  <c r="GM83" i="18"/>
  <c r="BW83" i="18"/>
  <c r="QQ83" i="18"/>
  <c r="XE83" i="18"/>
  <c r="SI83" i="18"/>
  <c r="CU83" i="18"/>
  <c r="NM83" i="18"/>
  <c r="RQ83" i="18"/>
  <c r="SA83" i="18"/>
  <c r="VZ83" i="18"/>
  <c r="SG83" i="18"/>
  <c r="LQ83" i="18"/>
  <c r="RO83" i="18"/>
  <c r="QR83" i="18"/>
  <c r="NK83" i="18"/>
  <c r="QA83" i="18"/>
  <c r="CV83" i="18"/>
  <c r="XC83" i="18"/>
  <c r="SC83" i="18"/>
  <c r="QY83" i="18"/>
  <c r="LO83" i="18"/>
  <c r="PZ83" i="18"/>
  <c r="SB83" i="18"/>
  <c r="SS83" i="18"/>
  <c r="EA83" i="18"/>
  <c r="WE83" i="18"/>
  <c r="CO83" i="18"/>
  <c r="FD83" i="18"/>
  <c r="JA83" i="18"/>
  <c r="PG83" i="18"/>
  <c r="HW83" i="18"/>
  <c r="TE83" i="18"/>
  <c r="FI83" i="18"/>
  <c r="VA83" i="18"/>
  <c r="FQ83" i="18"/>
  <c r="BM83" i="18"/>
  <c r="KM83" i="18"/>
  <c r="TY83" i="18"/>
  <c r="KW83" i="18"/>
  <c r="CC83" i="18"/>
  <c r="HR83" i="18"/>
  <c r="LI83" i="18"/>
  <c r="SY83" i="18"/>
  <c r="XI83" i="18"/>
  <c r="DI83" i="18"/>
  <c r="MT83" i="18"/>
  <c r="LC83" i="18"/>
  <c r="SN83" i="18"/>
  <c r="EF83" i="18"/>
  <c r="OI83" i="18"/>
  <c r="BS83" i="18"/>
  <c r="HA83" i="18"/>
  <c r="KG83" i="18"/>
  <c r="AZ83" i="18"/>
  <c r="OU83" i="18"/>
  <c r="EQ83" i="18"/>
  <c r="IK83" i="18"/>
  <c r="MC83" i="18"/>
  <c r="PS83" i="18"/>
  <c r="TL83" i="18"/>
  <c r="DU83" i="18"/>
  <c r="JG83" i="18"/>
  <c r="MY83" i="18"/>
  <c r="UJ83" i="18"/>
  <c r="WN85" i="18"/>
  <c r="VP85" i="18"/>
  <c r="UR85" i="18"/>
  <c r="WZ85" i="18"/>
  <c r="VJ85" i="18"/>
  <c r="UX85" i="18"/>
  <c r="UF85" i="18"/>
  <c r="TH85" i="18"/>
  <c r="SJ85" i="18"/>
  <c r="RL85" i="18"/>
  <c r="QN85" i="18"/>
  <c r="PP85" i="18"/>
  <c r="OR85" i="18"/>
  <c r="NT85" i="18"/>
  <c r="MV85" i="18"/>
  <c r="LX85" i="18"/>
  <c r="KZ85" i="18"/>
  <c r="WT85" i="18"/>
  <c r="WH85" i="18"/>
  <c r="VD85" i="18"/>
  <c r="TT85" i="18"/>
  <c r="SD85" i="18"/>
  <c r="RR85" i="18"/>
  <c r="QB85" i="18"/>
  <c r="OL85" i="18"/>
  <c r="NZ85" i="18"/>
  <c r="MJ85" i="18"/>
  <c r="KT85" i="18"/>
  <c r="KH85" i="18"/>
  <c r="JJ85" i="18"/>
  <c r="IL85" i="18"/>
  <c r="HN85" i="18"/>
  <c r="GP85" i="18"/>
  <c r="FR85" i="18"/>
  <c r="ET85" i="18"/>
  <c r="DV85" i="18"/>
  <c r="CX85" i="18"/>
  <c r="BZ85" i="18"/>
  <c r="BB85" i="18"/>
  <c r="UL85" i="18"/>
  <c r="TZ85" i="18"/>
  <c r="SV85" i="18"/>
  <c r="RF85" i="18"/>
  <c r="LF85" i="18"/>
  <c r="IX85" i="18"/>
  <c r="HH85" i="18"/>
  <c r="GV85" i="18"/>
  <c r="FF85" i="18"/>
  <c r="DP85" i="18"/>
  <c r="DD85" i="18"/>
  <c r="BN85" i="18"/>
  <c r="SP85" i="18"/>
  <c r="QZ85" i="18"/>
  <c r="PV85" i="18"/>
  <c r="PJ85" i="18"/>
  <c r="OF85" i="18"/>
  <c r="NB85" i="18"/>
  <c r="MP85" i="18"/>
  <c r="LL85" i="18"/>
  <c r="JD85" i="18"/>
  <c r="IR85" i="18"/>
  <c r="HB85" i="18"/>
  <c r="FL85" i="18"/>
  <c r="EZ85" i="18"/>
  <c r="DJ85" i="18"/>
  <c r="BT85" i="18"/>
  <c r="BH85" i="18"/>
  <c r="XF85" i="18"/>
  <c r="VV85" i="18"/>
  <c r="OX85" i="18"/>
  <c r="LR85" i="18"/>
  <c r="KN85" i="18"/>
  <c r="JP85" i="18"/>
  <c r="HZ85" i="18"/>
  <c r="GJ85" i="18"/>
  <c r="CF85" i="18"/>
  <c r="AP85" i="18"/>
  <c r="TB85" i="18"/>
  <c r="RX85" i="18"/>
  <c r="QT85" i="18"/>
  <c r="NN85" i="18"/>
  <c r="HT85" i="18"/>
  <c r="GD85" i="18"/>
  <c r="EN85" i="18"/>
  <c r="AJ85" i="18"/>
  <c r="NH85" i="18"/>
  <c r="FX85" i="18"/>
  <c r="EH85" i="18"/>
  <c r="CR85" i="18"/>
  <c r="WB85" i="18"/>
  <c r="TN85" i="18"/>
  <c r="PD85" i="18"/>
  <c r="EB85" i="18"/>
  <c r="CL85" i="18"/>
  <c r="AV85" i="18"/>
  <c r="KB85" i="18"/>
  <c r="JV85" i="18"/>
  <c r="QH85" i="18"/>
  <c r="IF85" i="18"/>
  <c r="MD85" i="18"/>
  <c r="WV84" i="18"/>
  <c r="VX84" i="18"/>
  <c r="UZ84" i="18"/>
  <c r="UB84" i="18"/>
  <c r="TD84" i="18"/>
  <c r="SF84" i="18"/>
  <c r="RH84" i="18"/>
  <c r="QJ84" i="18"/>
  <c r="PL84" i="18"/>
  <c r="ON84" i="18"/>
  <c r="NP84" i="18"/>
  <c r="MR84" i="18"/>
  <c r="LT84" i="18"/>
  <c r="KV84" i="18"/>
  <c r="JX84" i="18"/>
  <c r="IZ84" i="18"/>
  <c r="IB84" i="18"/>
  <c r="HD84" i="18"/>
  <c r="GF84" i="18"/>
  <c r="FH84" i="18"/>
  <c r="EJ84" i="18"/>
  <c r="DL84" i="18"/>
  <c r="CN84" i="18"/>
  <c r="BP84" i="18"/>
  <c r="AR84" i="18"/>
  <c r="XH84" i="18"/>
  <c r="VR84" i="18"/>
  <c r="VF84" i="18"/>
  <c r="TP84" i="18"/>
  <c r="RZ84" i="18"/>
  <c r="RN84" i="18"/>
  <c r="PX84" i="18"/>
  <c r="OH84" i="18"/>
  <c r="NV84" i="18"/>
  <c r="MF84" i="18"/>
  <c r="KP84" i="18"/>
  <c r="KD84" i="18"/>
  <c r="IN84" i="18"/>
  <c r="GX84" i="18"/>
  <c r="GL84" i="18"/>
  <c r="EV84" i="18"/>
  <c r="DF84" i="18"/>
  <c r="CT84" i="18"/>
  <c r="BD84" i="18"/>
  <c r="XB84" i="18"/>
  <c r="VL84" i="18"/>
  <c r="TV84" i="18"/>
  <c r="TJ84" i="18"/>
  <c r="RT84" i="18"/>
  <c r="QD84" i="18"/>
  <c r="UH84" i="18"/>
  <c r="SR84" i="18"/>
  <c r="RB84" i="18"/>
  <c r="OZ84" i="18"/>
  <c r="NJ84" i="18"/>
  <c r="HJ84" i="18"/>
  <c r="FT84" i="18"/>
  <c r="EP84" i="18"/>
  <c r="ED84" i="18"/>
  <c r="CZ84" i="18"/>
  <c r="BV84" i="18"/>
  <c r="BJ84" i="18"/>
  <c r="WP84" i="18"/>
  <c r="SL84" i="18"/>
  <c r="QV84" i="18"/>
  <c r="LB84" i="18"/>
  <c r="JL84" i="18"/>
  <c r="IH84" i="18"/>
  <c r="HV84" i="18"/>
  <c r="GR84" i="18"/>
  <c r="FN84" i="18"/>
  <c r="FB84" i="18"/>
  <c r="DX84" i="18"/>
  <c r="CH84" i="18"/>
  <c r="WJ84" i="18"/>
  <c r="UT84" i="18"/>
  <c r="OT84" i="18"/>
  <c r="LN84" i="18"/>
  <c r="KJ84" i="18"/>
  <c r="JF84" i="18"/>
  <c r="FZ84" i="18"/>
  <c r="WD84" i="18"/>
  <c r="UN84" i="18"/>
  <c r="SX84" i="18"/>
  <c r="PR84" i="18"/>
  <c r="ML84" i="18"/>
  <c r="LH84" i="18"/>
  <c r="DR84" i="18"/>
  <c r="AL84" i="18"/>
  <c r="QP84" i="18"/>
  <c r="LZ84" i="18"/>
  <c r="HP84" i="18"/>
  <c r="OB84" i="18"/>
  <c r="JR84" i="18"/>
  <c r="AX84" i="18"/>
  <c r="ND84" i="18"/>
  <c r="IT84" i="18"/>
  <c r="MX84" i="18"/>
  <c r="PF84" i="18"/>
  <c r="CB84" i="18"/>
  <c r="RK83" i="18"/>
  <c r="NR83" i="18"/>
  <c r="JY83" i="18"/>
  <c r="CQ83" i="18"/>
  <c r="TX83" i="18"/>
  <c r="UO83" i="18"/>
  <c r="LE83" i="18"/>
  <c r="FV83" i="18"/>
  <c r="AM83" i="18"/>
  <c r="LK83" i="18"/>
  <c r="GZ83" i="18"/>
  <c r="QE83" i="18"/>
  <c r="BY83" i="18"/>
  <c r="IJ83" i="18"/>
  <c r="UI83" i="18"/>
  <c r="OK83" i="18"/>
  <c r="MB83" i="18"/>
  <c r="GS83" i="18"/>
  <c r="UE83" i="18"/>
  <c r="QL83" i="18"/>
  <c r="MS83" i="18"/>
  <c r="FK83" i="18"/>
  <c r="BR83" i="18"/>
  <c r="TK83" i="18"/>
  <c r="OW83" i="18"/>
  <c r="JN83" i="18"/>
  <c r="EE83" i="18"/>
  <c r="OE83" i="18"/>
  <c r="KF83" i="18"/>
  <c r="AY83" i="18"/>
  <c r="KS83" i="18"/>
  <c r="BL83" i="18"/>
  <c r="FC83" i="18"/>
  <c r="GC83" i="18"/>
  <c r="FP83" i="18"/>
  <c r="HQ83" i="18"/>
  <c r="WK83" i="18"/>
  <c r="PO83" i="18"/>
  <c r="LV83" i="18"/>
  <c r="IC83" i="18"/>
  <c r="AU83" i="18"/>
  <c r="RV83" i="18"/>
  <c r="SM83" i="18"/>
  <c r="HY83" i="18"/>
  <c r="DT83" i="18"/>
  <c r="VS83" i="18"/>
  <c r="JU83" i="18"/>
  <c r="UV83" i="18"/>
  <c r="NW83" i="18"/>
  <c r="WG83" i="18"/>
  <c r="DZ83" i="18"/>
  <c r="RC83" i="18"/>
  <c r="BG83" i="18"/>
  <c r="DH83" i="18"/>
  <c r="IU83" i="18"/>
  <c r="WO84" i="18"/>
  <c r="VQ84" i="18"/>
  <c r="US84" i="18"/>
  <c r="TU84" i="18"/>
  <c r="SW84" i="18"/>
  <c r="RY84" i="18"/>
  <c r="RA84" i="18"/>
  <c r="QC84" i="18"/>
  <c r="PE84" i="18"/>
  <c r="OG84" i="18"/>
  <c r="OI84" i="18" s="1"/>
  <c r="NI84" i="18"/>
  <c r="MK84" i="18"/>
  <c r="LM84" i="18"/>
  <c r="KO84" i="18"/>
  <c r="JQ84" i="18"/>
  <c r="IS84" i="18"/>
  <c r="HU84" i="18"/>
  <c r="GW84" i="18"/>
  <c r="FY84" i="18"/>
  <c r="FA84" i="18"/>
  <c r="EC84" i="18"/>
  <c r="DE84" i="18"/>
  <c r="CG84" i="18"/>
  <c r="BI84" i="18"/>
  <c r="AK84" i="18"/>
  <c r="WC84" i="18"/>
  <c r="UM84" i="18"/>
  <c r="UA84" i="18"/>
  <c r="SK84" i="18"/>
  <c r="QU84" i="18"/>
  <c r="QW84" i="18" s="1"/>
  <c r="QI84" i="18"/>
  <c r="OS84" i="18"/>
  <c r="NC84" i="18"/>
  <c r="MQ84" i="18"/>
  <c r="LA84" i="18"/>
  <c r="LD84" i="18" s="1"/>
  <c r="JK84" i="18"/>
  <c r="IY84" i="18"/>
  <c r="HI84" i="18"/>
  <c r="FS84" i="18"/>
  <c r="FG84" i="18"/>
  <c r="DQ84" i="18"/>
  <c r="DT84" i="18" s="1"/>
  <c r="CA84" i="18"/>
  <c r="BO84" i="18"/>
  <c r="WI84" i="18"/>
  <c r="VW84" i="18"/>
  <c r="UG84" i="18"/>
  <c r="SQ84" i="18"/>
  <c r="SE84" i="18"/>
  <c r="QO84" i="18"/>
  <c r="WU84" i="18"/>
  <c r="WW84" i="18" s="1"/>
  <c r="VE84" i="18"/>
  <c r="TO84" i="18"/>
  <c r="PQ84" i="18"/>
  <c r="OM84" i="18"/>
  <c r="OA84" i="18"/>
  <c r="MW84" i="18"/>
  <c r="LS84" i="18"/>
  <c r="LG84" i="18"/>
  <c r="KC84" i="18"/>
  <c r="IM84" i="18"/>
  <c r="CM84" i="18"/>
  <c r="AW84" i="18"/>
  <c r="UY84" i="18"/>
  <c r="TI84" i="18"/>
  <c r="RS84" i="18"/>
  <c r="PK84" i="18"/>
  <c r="OY84" i="18"/>
  <c r="PC84" i="18" s="1"/>
  <c r="NU84" i="18"/>
  <c r="ME84" i="18"/>
  <c r="GE84" i="18"/>
  <c r="EO84" i="18"/>
  <c r="DK84" i="18"/>
  <c r="CY84" i="18"/>
  <c r="BU84" i="18"/>
  <c r="BX84" i="18" s="1"/>
  <c r="AQ84" i="18"/>
  <c r="TC84" i="18"/>
  <c r="RM84" i="18"/>
  <c r="PW84" i="18"/>
  <c r="IG84" i="18"/>
  <c r="HC84" i="18"/>
  <c r="DW84" i="18"/>
  <c r="CS84" i="18"/>
  <c r="RG84" i="18"/>
  <c r="NO84" i="18"/>
  <c r="NQ84" i="18" s="1"/>
  <c r="KI84" i="18"/>
  <c r="JE84" i="18"/>
  <c r="IA84" i="18"/>
  <c r="EU84" i="18"/>
  <c r="XG84" i="18"/>
  <c r="JW84" i="18"/>
  <c r="FM84" i="18"/>
  <c r="BC84" i="18"/>
  <c r="XA84" i="18"/>
  <c r="LY84" i="18"/>
  <c r="HO84" i="18"/>
  <c r="EI84" i="18"/>
  <c r="GQ84" i="18"/>
  <c r="KU84" i="18"/>
  <c r="VK84" i="18"/>
  <c r="GK84" i="18"/>
  <c r="VC83" i="18"/>
  <c r="RJ83" i="18"/>
  <c r="NQ83" i="18"/>
  <c r="GI83" i="18"/>
  <c r="CP83" i="18"/>
  <c r="TW83" i="18"/>
  <c r="PI83" i="18"/>
  <c r="LD83" i="18"/>
  <c r="FU83" i="18"/>
  <c r="PU83" i="18"/>
  <c r="LJ83" i="18"/>
  <c r="GY83" i="18"/>
  <c r="MI83" i="18"/>
  <c r="BX83" i="18"/>
  <c r="II83" i="18"/>
  <c r="JI83" i="18"/>
  <c r="OJ83" i="18"/>
  <c r="MA83" i="18"/>
  <c r="GO83" i="18"/>
  <c r="XK83" i="18"/>
  <c r="UD83" i="18"/>
  <c r="QK83" i="18"/>
  <c r="JC83" i="18"/>
  <c r="FJ83" i="18"/>
  <c r="BQ83" i="18"/>
  <c r="TA83" i="18"/>
  <c r="OV83" i="18"/>
  <c r="JM83" i="18"/>
  <c r="WS83" i="18"/>
  <c r="OD83" i="18"/>
  <c r="KE83" i="18"/>
  <c r="PC83" i="18"/>
  <c r="KR83" i="18"/>
  <c r="BK83" i="18"/>
  <c r="SU83" i="18"/>
  <c r="GB83" i="18"/>
  <c r="FO83" i="18"/>
  <c r="CK83" i="18"/>
  <c r="TG83" i="18"/>
  <c r="PN83" i="18"/>
  <c r="LU83" i="18"/>
  <c r="EM83" i="18"/>
  <c r="AT83" i="18"/>
  <c r="RU83" i="18"/>
  <c r="NG83" i="18"/>
  <c r="HX83" i="18"/>
  <c r="DS83" i="18"/>
  <c r="NA83" i="18"/>
  <c r="JT83" i="18"/>
  <c r="UU83" i="18"/>
  <c r="ES83" i="18"/>
  <c r="WF83" i="18"/>
  <c r="DY83" i="18"/>
  <c r="EY83" i="18"/>
  <c r="BF83" i="18"/>
  <c r="DG83" i="18"/>
  <c r="VB83" i="18"/>
  <c r="KA83" i="18"/>
  <c r="GH83" i="18"/>
  <c r="UQ83" i="18"/>
  <c r="PH83" i="18"/>
  <c r="AO83" i="18"/>
  <c r="PT83" i="18"/>
  <c r="QG83" i="18"/>
  <c r="MH83" i="18"/>
  <c r="UK83" i="18"/>
  <c r="JH83" i="18"/>
  <c r="GU83" i="18"/>
  <c r="GN83" i="18"/>
  <c r="XJ83" i="18"/>
  <c r="MU83" i="18"/>
  <c r="JB83" i="18"/>
  <c r="TM83" i="18"/>
  <c r="SZ83" i="18"/>
  <c r="EG83" i="18"/>
  <c r="WR83" i="18"/>
  <c r="BA83" i="18"/>
  <c r="PB83" i="18"/>
  <c r="FE83" i="18"/>
  <c r="ST83" i="18"/>
  <c r="HS83" i="18"/>
  <c r="CJ83" i="18"/>
  <c r="WM83" i="18"/>
  <c r="TF83" i="18"/>
  <c r="IE83" i="18"/>
  <c r="EL83" i="18"/>
  <c r="SO83" i="18"/>
  <c r="NF83" i="18"/>
  <c r="VU83" i="18"/>
  <c r="MZ83" i="18"/>
  <c r="NY83" i="18"/>
  <c r="ER83" i="18"/>
  <c r="RE83" i="18"/>
  <c r="EX83" i="18"/>
  <c r="IW83" i="18"/>
  <c r="P82" i="18"/>
  <c r="S81" i="18" s="1"/>
  <c r="R82" i="18"/>
  <c r="Q82" i="18"/>
  <c r="B165" i="7"/>
  <c r="B165" i="9"/>
  <c r="I165" i="9" s="1"/>
  <c r="B165" i="1"/>
  <c r="U154" i="5"/>
  <c r="Q156" i="5"/>
  <c r="U156" i="5" s="1"/>
  <c r="AJ160" i="5"/>
  <c r="AG161" i="5"/>
  <c r="R163" i="5"/>
  <c r="AG158" i="5"/>
  <c r="AL158" i="5" s="1"/>
  <c r="R160" i="5"/>
  <c r="B167" i="5"/>
  <c r="AE165" i="5"/>
  <c r="K165" i="5"/>
  <c r="B164" i="5"/>
  <c r="K162" i="5"/>
  <c r="F160" i="5"/>
  <c r="B164" i="9"/>
  <c r="I164" i="9" s="1"/>
  <c r="B164" i="7"/>
  <c r="B166" i="8"/>
  <c r="B167" i="8"/>
  <c r="B164" i="1"/>
  <c r="N162" i="1"/>
  <c r="B84" i="15"/>
  <c r="B86" i="18"/>
  <c r="G86" i="18" s="1"/>
  <c r="O85" i="18"/>
  <c r="N85" i="18"/>
  <c r="Q158" i="5" l="1"/>
  <c r="I154" i="19"/>
  <c r="P154" i="19"/>
  <c r="Q80" i="15"/>
  <c r="N154" i="7"/>
  <c r="D156" i="19"/>
  <c r="J156" i="19" s="1"/>
  <c r="K155" i="7"/>
  <c r="E157" i="8"/>
  <c r="E157" i="19"/>
  <c r="J154" i="19"/>
  <c r="N155" i="7"/>
  <c r="P80" i="15"/>
  <c r="G80" i="15"/>
  <c r="K154" i="19"/>
  <c r="P157" i="19"/>
  <c r="L155" i="7"/>
  <c r="K154" i="7"/>
  <c r="D156" i="8"/>
  <c r="R156" i="8" s="1"/>
  <c r="DA84" i="18"/>
  <c r="NG84" i="18"/>
  <c r="P156" i="19"/>
  <c r="PN84" i="18"/>
  <c r="F169" i="19"/>
  <c r="G169" i="19"/>
  <c r="AF159" i="5"/>
  <c r="P29" i="7" s="1"/>
  <c r="Q61" i="15"/>
  <c r="E119" i="19"/>
  <c r="E119" i="8"/>
  <c r="D118" i="8"/>
  <c r="R118" i="8" s="1"/>
  <c r="P61" i="15"/>
  <c r="D118" i="19"/>
  <c r="G61" i="15"/>
  <c r="I167" i="5"/>
  <c r="J167" i="5" s="1"/>
  <c r="F167" i="5" s="1"/>
  <c r="T161" i="5"/>
  <c r="AF161" i="5" s="1"/>
  <c r="P31" i="7" s="1"/>
  <c r="K97" i="7"/>
  <c r="L96" i="7"/>
  <c r="K96" i="7"/>
  <c r="L97" i="7"/>
  <c r="N96" i="7"/>
  <c r="N97" i="7"/>
  <c r="P51" i="15"/>
  <c r="G51" i="15"/>
  <c r="D98" i="19"/>
  <c r="Q51" i="15"/>
  <c r="E99" i="19"/>
  <c r="D98" i="8"/>
  <c r="R98" i="8" s="1"/>
  <c r="E99" i="8"/>
  <c r="VM84" i="18"/>
  <c r="R147" i="14"/>
  <c r="D158" i="8" s="1"/>
  <c r="R158" i="8" s="1"/>
  <c r="WL84" i="18"/>
  <c r="JO84" i="18"/>
  <c r="P119" i="5"/>
  <c r="Q163" i="5"/>
  <c r="P163" i="5"/>
  <c r="SM84" i="18"/>
  <c r="T121" i="5"/>
  <c r="AF121" i="5" s="1"/>
  <c r="CJ84" i="18"/>
  <c r="AJ162" i="5"/>
  <c r="T148" i="14"/>
  <c r="U148" i="14"/>
  <c r="S148" i="14"/>
  <c r="L162" i="9"/>
  <c r="L163" i="9"/>
  <c r="M161" i="9"/>
  <c r="M160" i="9"/>
  <c r="J163" i="9"/>
  <c r="J162" i="9"/>
  <c r="JB84" i="18"/>
  <c r="ER84" i="18"/>
  <c r="F167" i="8"/>
  <c r="G167" i="8"/>
  <c r="G166" i="8"/>
  <c r="F166" i="8"/>
  <c r="SZ84" i="18"/>
  <c r="H164" i="9"/>
  <c r="K164" i="9" s="1"/>
  <c r="H165" i="9"/>
  <c r="K165" i="9" s="1"/>
  <c r="I165" i="7"/>
  <c r="J165" i="7"/>
  <c r="J164" i="7"/>
  <c r="I164" i="7"/>
  <c r="U84" i="15"/>
  <c r="Y84" i="18" s="1"/>
  <c r="E84" i="15"/>
  <c r="D84" i="15"/>
  <c r="D86" i="18"/>
  <c r="F86" i="18" s="1"/>
  <c r="E86" i="18"/>
  <c r="AD164" i="5"/>
  <c r="AE164" i="5" s="1"/>
  <c r="AI164" i="5" s="1"/>
  <c r="I164" i="5"/>
  <c r="J164" i="5" s="1"/>
  <c r="I165" i="1"/>
  <c r="H165" i="1"/>
  <c r="H164" i="1"/>
  <c r="I164" i="1" s="1"/>
  <c r="O163" i="1"/>
  <c r="BP163" i="1"/>
  <c r="X163" i="7" s="1"/>
  <c r="BQ163" i="1"/>
  <c r="O162" i="1"/>
  <c r="T81" i="18"/>
  <c r="U81" i="18" s="1"/>
  <c r="Q146" i="14"/>
  <c r="L157" i="7" s="1"/>
  <c r="JS84" i="18"/>
  <c r="T84" i="15"/>
  <c r="XD84" i="18"/>
  <c r="DZ84" i="18"/>
  <c r="RV84" i="18"/>
  <c r="LW84" i="18"/>
  <c r="QY84" i="18"/>
  <c r="EL84" i="18"/>
  <c r="EW84" i="18"/>
  <c r="TG84" i="18"/>
  <c r="TQ84" i="18"/>
  <c r="KG84" i="18"/>
  <c r="JU84" i="18"/>
  <c r="PT84" i="18"/>
  <c r="DM84" i="18"/>
  <c r="IO84" i="18"/>
  <c r="NA84" i="18"/>
  <c r="AS84" i="18"/>
  <c r="FV84" i="18"/>
  <c r="BA84" i="18"/>
  <c r="PO84" i="18"/>
  <c r="HW84" i="18"/>
  <c r="OV84" i="18"/>
  <c r="AM84" i="18"/>
  <c r="OW84" i="18"/>
  <c r="TW84" i="18"/>
  <c r="EK84" i="18"/>
  <c r="TX84" i="18"/>
  <c r="JN84" i="18"/>
  <c r="CI84" i="18"/>
  <c r="TF84" i="18"/>
  <c r="EX84" i="18"/>
  <c r="PM84" i="18"/>
  <c r="AY84" i="18"/>
  <c r="UO84" i="18"/>
  <c r="UI84" i="18"/>
  <c r="CV84" i="18"/>
  <c r="GY84" i="18"/>
  <c r="VU84" i="18"/>
  <c r="GI84" i="18"/>
  <c r="JY84" i="18"/>
  <c r="VB84" i="18"/>
  <c r="JM84" i="18"/>
  <c r="TR84" i="18"/>
  <c r="FQ84" i="18"/>
  <c r="RI84" i="18"/>
  <c r="VC84" i="18"/>
  <c r="UP84" i="18"/>
  <c r="NL84" i="18"/>
  <c r="HA84" i="18"/>
  <c r="TY84" i="18"/>
  <c r="MA84" i="18"/>
  <c r="KA84" i="18"/>
  <c r="CU84" i="18"/>
  <c r="GG84" i="18"/>
  <c r="AZ84" i="18"/>
  <c r="LK84" i="18"/>
  <c r="UJ84" i="18"/>
  <c r="GZ84" i="18"/>
  <c r="VT84" i="18"/>
  <c r="KK84" i="18"/>
  <c r="RQ84" i="18"/>
  <c r="MG84" i="18"/>
  <c r="CQ84" i="18"/>
  <c r="EF84" i="18"/>
  <c r="PI84" i="18"/>
  <c r="WS84" i="18"/>
  <c r="CE84" i="18"/>
  <c r="AT84" i="18"/>
  <c r="UU84" i="18"/>
  <c r="MY84" i="18"/>
  <c r="WF84" i="18"/>
  <c r="DG84" i="18"/>
  <c r="IP84" i="18"/>
  <c r="NX84" i="18"/>
  <c r="SA84" i="18"/>
  <c r="DO84" i="18"/>
  <c r="VA84" i="18"/>
  <c r="NM84" i="18"/>
  <c r="NY84" i="18"/>
  <c r="DN84" i="18"/>
  <c r="ES84" i="18"/>
  <c r="JT84" i="18"/>
  <c r="MZ84" i="18"/>
  <c r="KW84" i="18"/>
  <c r="OO84" i="18"/>
  <c r="WE84" i="18"/>
  <c r="DH84" i="18"/>
  <c r="SC84" i="18"/>
  <c r="UQ84" i="18"/>
  <c r="NW84" i="18"/>
  <c r="DI84" i="18"/>
  <c r="IQ84" i="18"/>
  <c r="EQ84" i="18"/>
  <c r="GS84" i="18"/>
  <c r="VZ84" i="18"/>
  <c r="NK84" i="18"/>
  <c r="CK84" i="18"/>
  <c r="SB84" i="18"/>
  <c r="XK84" i="18"/>
  <c r="QS84" i="18"/>
  <c r="LP84" i="18"/>
  <c r="PG84" i="18"/>
  <c r="HE84" i="18"/>
  <c r="SH84" i="18"/>
  <c r="BM84" i="18"/>
  <c r="MM84" i="18"/>
  <c r="QE84" i="18"/>
  <c r="TM84" i="18"/>
  <c r="GO84" i="18"/>
  <c r="BQ84" i="18"/>
  <c r="MU84" i="18"/>
  <c r="MI84" i="18"/>
  <c r="AO84" i="18"/>
  <c r="NE84" i="18"/>
  <c r="PS84" i="18"/>
  <c r="VY84" i="18"/>
  <c r="RO84" i="18"/>
  <c r="PZ84" i="18"/>
  <c r="CD84" i="18"/>
  <c r="HM84" i="18"/>
  <c r="MT84" i="18"/>
  <c r="XI84" i="18"/>
  <c r="JZ84" i="18"/>
  <c r="XC84" i="18"/>
  <c r="KY84" i="18"/>
  <c r="UK84" i="18"/>
  <c r="SO84" i="18"/>
  <c r="EG84" i="18"/>
  <c r="UV84" i="18"/>
  <c r="TK84" i="18"/>
  <c r="BE84" i="18"/>
  <c r="GM84" i="18"/>
  <c r="PY84" i="18"/>
  <c r="BR84" i="18"/>
  <c r="WY84" i="18"/>
  <c r="OU84" i="18"/>
  <c r="FU84" i="18"/>
  <c r="EY84" i="18"/>
  <c r="KF84" i="18"/>
  <c r="TS84" i="18"/>
  <c r="AU84" i="18"/>
  <c r="EM84" i="18"/>
  <c r="TE84" i="18"/>
  <c r="QX84" i="18"/>
  <c r="NF84" i="18"/>
  <c r="FW84" i="18"/>
  <c r="CC84" i="18"/>
  <c r="LQ84" i="18"/>
  <c r="GH84" i="18"/>
  <c r="WG84" i="18"/>
  <c r="KX84" i="18"/>
  <c r="KE84" i="18"/>
  <c r="CW84" i="18"/>
  <c r="XJ84" i="18"/>
  <c r="QA84" i="18"/>
  <c r="MH84" i="18"/>
  <c r="BG84" i="18"/>
  <c r="TL84" i="18"/>
  <c r="PH84" i="18"/>
  <c r="AN84" i="18"/>
  <c r="GN84" i="18"/>
  <c r="JC84" i="18"/>
  <c r="MS84" i="18"/>
  <c r="SN84" i="18"/>
  <c r="TA84" i="18"/>
  <c r="EE84" i="18"/>
  <c r="LV84" i="18"/>
  <c r="FI84" i="18"/>
  <c r="UD84" i="18"/>
  <c r="FD84" i="18"/>
  <c r="PU84" i="18"/>
  <c r="LO84" i="18"/>
  <c r="UW84" i="18"/>
  <c r="WA84" i="18"/>
  <c r="BF84" i="18"/>
  <c r="JA84" i="18"/>
  <c r="BS84" i="18"/>
  <c r="EA84" i="18"/>
  <c r="SY84" i="18"/>
  <c r="HR84" i="18"/>
  <c r="IE84" i="18"/>
  <c r="II84" i="18"/>
  <c r="OE84" i="18"/>
  <c r="VH84" i="18"/>
  <c r="SS84" i="18"/>
  <c r="QL84" i="18"/>
  <c r="GA84" i="18"/>
  <c r="RD84" i="18"/>
  <c r="DY84" i="18"/>
  <c r="QR84" i="18"/>
  <c r="JH84" i="18"/>
  <c r="HL84" i="18"/>
  <c r="KQ84" i="18"/>
  <c r="HS84" i="18"/>
  <c r="XE84" i="18"/>
  <c r="LU84" i="18"/>
  <c r="QQ84" i="18"/>
  <c r="WM84" i="18"/>
  <c r="QG84" i="18"/>
  <c r="QM84" i="18"/>
  <c r="PA84" i="18"/>
  <c r="NS84" i="18"/>
  <c r="UC84" i="18"/>
  <c r="SG84" i="18"/>
  <c r="PB84" i="18"/>
  <c r="WX84" i="18"/>
  <c r="HG84" i="18"/>
  <c r="IJ84" i="18"/>
  <c r="RP84" i="18"/>
  <c r="JG84" i="18"/>
  <c r="ST84" i="18"/>
  <c r="LI84" i="18"/>
  <c r="IK84" i="18"/>
  <c r="JI84" i="18"/>
  <c r="IU84" i="18"/>
  <c r="SU84" i="18"/>
  <c r="LJ84" i="18"/>
  <c r="QK84" i="18"/>
  <c r="HK84" i="18"/>
  <c r="VS84" i="18"/>
  <c r="FJ84" i="18"/>
  <c r="FC84" i="18"/>
  <c r="UE84" i="18"/>
  <c r="XB85" i="18"/>
  <c r="WD85" i="18"/>
  <c r="VF85" i="18"/>
  <c r="XH85" i="18"/>
  <c r="VR85" i="18"/>
  <c r="TV85" i="18"/>
  <c r="SX85" i="18"/>
  <c r="RZ85" i="18"/>
  <c r="RB85" i="18"/>
  <c r="QD85" i="18"/>
  <c r="PF85" i="18"/>
  <c r="OH85" i="18"/>
  <c r="NJ85" i="18"/>
  <c r="ML85" i="18"/>
  <c r="LN85" i="18"/>
  <c r="KP85" i="18"/>
  <c r="UN85" i="18"/>
  <c r="UB85" i="18"/>
  <c r="SL85" i="18"/>
  <c r="QV85" i="18"/>
  <c r="QJ85" i="18"/>
  <c r="OT85" i="18"/>
  <c r="ND85" i="18"/>
  <c r="MR85" i="18"/>
  <c r="LB85" i="18"/>
  <c r="JX85" i="18"/>
  <c r="IZ85" i="18"/>
  <c r="IB85" i="18"/>
  <c r="HD85" i="18"/>
  <c r="GF85" i="18"/>
  <c r="FH85" i="18"/>
  <c r="EJ85" i="18"/>
  <c r="DL85" i="18"/>
  <c r="CN85" i="18"/>
  <c r="BP85" i="18"/>
  <c r="AR85" i="18"/>
  <c r="WP85" i="18"/>
  <c r="VX85" i="18"/>
  <c r="TJ85" i="18"/>
  <c r="SF85" i="18"/>
  <c r="RT85" i="18"/>
  <c r="QP85" i="18"/>
  <c r="PL85" i="18"/>
  <c r="OZ85" i="18"/>
  <c r="NV85" i="18"/>
  <c r="MF85" i="18"/>
  <c r="JR85" i="18"/>
  <c r="JF85" i="18"/>
  <c r="HP85" i="18"/>
  <c r="FZ85" i="18"/>
  <c r="FN85" i="18"/>
  <c r="DX85" i="18"/>
  <c r="CH85" i="18"/>
  <c r="BV85" i="18"/>
  <c r="VL85" i="18"/>
  <c r="UT85" i="18"/>
  <c r="TP85" i="18"/>
  <c r="NP85" i="18"/>
  <c r="LZ85" i="18"/>
  <c r="KV85" i="18"/>
  <c r="KJ85" i="18"/>
  <c r="JL85" i="18"/>
  <c r="HV85" i="18"/>
  <c r="HJ85" i="18"/>
  <c r="FT85" i="18"/>
  <c r="ED85" i="18"/>
  <c r="DR85" i="18"/>
  <c r="CB85" i="18"/>
  <c r="AL85" i="18"/>
  <c r="UH85" i="18"/>
  <c r="TD85" i="18"/>
  <c r="PX85" i="18"/>
  <c r="IT85" i="18"/>
  <c r="EP85" i="18"/>
  <c r="CZ85" i="18"/>
  <c r="BJ85" i="18"/>
  <c r="WV85" i="18"/>
  <c r="PR85" i="18"/>
  <c r="ON85" i="18"/>
  <c r="LH85" i="18"/>
  <c r="KD85" i="18"/>
  <c r="IN85" i="18"/>
  <c r="GX85" i="18"/>
  <c r="CT85" i="18"/>
  <c r="BD85" i="18"/>
  <c r="WJ85" i="18"/>
  <c r="RN85" i="18"/>
  <c r="AX85" i="18"/>
  <c r="RH85" i="18"/>
  <c r="MX85" i="18"/>
  <c r="SR85" i="18"/>
  <c r="GR85" i="18"/>
  <c r="OB85" i="18"/>
  <c r="GL85" i="18"/>
  <c r="DF85" i="18"/>
  <c r="IH85" i="18"/>
  <c r="UZ85" i="18"/>
  <c r="FB85" i="18"/>
  <c r="LT85" i="18"/>
  <c r="EV85" i="18"/>
  <c r="WK84" i="18"/>
  <c r="HQ84" i="18"/>
  <c r="NR84" i="18"/>
  <c r="FK84" i="18"/>
  <c r="QF84" i="18"/>
  <c r="FE84" i="18"/>
  <c r="HF84" i="18"/>
  <c r="SI84" i="18"/>
  <c r="RW84" i="18"/>
  <c r="OD84" i="18"/>
  <c r="KL84" i="18"/>
  <c r="DC84" i="18"/>
  <c r="WR84" i="18"/>
  <c r="RJ84" i="18"/>
  <c r="HY84" i="18"/>
  <c r="CP84" i="18"/>
  <c r="VG84" i="18"/>
  <c r="MO84" i="18"/>
  <c r="ID84" i="18"/>
  <c r="DS84" i="18"/>
  <c r="KS84" i="18"/>
  <c r="BK84" i="18"/>
  <c r="BW84" i="18"/>
  <c r="OK84" i="18"/>
  <c r="FO84" i="18"/>
  <c r="IV84" i="18"/>
  <c r="WU85" i="18"/>
  <c r="VW85" i="18"/>
  <c r="UY85" i="18"/>
  <c r="WO85" i="18"/>
  <c r="WC85" i="18"/>
  <c r="UM85" i="18"/>
  <c r="TO85" i="18"/>
  <c r="SQ85" i="18"/>
  <c r="RS85" i="18"/>
  <c r="QU85" i="18"/>
  <c r="PW85" i="18"/>
  <c r="OY85" i="18"/>
  <c r="OA85" i="18"/>
  <c r="NC85" i="18"/>
  <c r="ME85" i="18"/>
  <c r="LG85" i="18"/>
  <c r="KI85" i="18"/>
  <c r="XG85" i="18"/>
  <c r="XK85" i="18" s="1"/>
  <c r="VQ85" i="18"/>
  <c r="TI85" i="18"/>
  <c r="SW85" i="18"/>
  <c r="TA85" i="18" s="1"/>
  <c r="RG85" i="18"/>
  <c r="PQ85" i="18"/>
  <c r="PE85" i="18"/>
  <c r="NO85" i="18"/>
  <c r="LY85" i="18"/>
  <c r="LM85" i="18"/>
  <c r="JQ85" i="18"/>
  <c r="IS85" i="18"/>
  <c r="HU85" i="18"/>
  <c r="GW85" i="18"/>
  <c r="FY85" i="18"/>
  <c r="FA85" i="18"/>
  <c r="EC85" i="18"/>
  <c r="DE85" i="18"/>
  <c r="CG85" i="18"/>
  <c r="BI85" i="18"/>
  <c r="AK85" i="18"/>
  <c r="VE85" i="18"/>
  <c r="QC85" i="18"/>
  <c r="QF85" i="18" s="1"/>
  <c r="OM85" i="18"/>
  <c r="NI85" i="18"/>
  <c r="MW85" i="18"/>
  <c r="LS85" i="18"/>
  <c r="KO85" i="18"/>
  <c r="KC85" i="18"/>
  <c r="IM85" i="18"/>
  <c r="IA85" i="18"/>
  <c r="GK85" i="18"/>
  <c r="EU85" i="18"/>
  <c r="EI85" i="18"/>
  <c r="CS85" i="18"/>
  <c r="BC85" i="18"/>
  <c r="AQ85" i="18"/>
  <c r="XA85" i="18"/>
  <c r="WI85" i="18"/>
  <c r="WM85" i="18" s="1"/>
  <c r="UG85" i="18"/>
  <c r="TC85" i="18"/>
  <c r="RY85" i="18"/>
  <c r="RM85" i="18"/>
  <c r="QI85" i="18"/>
  <c r="OS85" i="18"/>
  <c r="JW85" i="18"/>
  <c r="IG85" i="18"/>
  <c r="GQ85" i="18"/>
  <c r="GE85" i="18"/>
  <c r="EO85" i="18"/>
  <c r="CY85" i="18"/>
  <c r="CM85" i="18"/>
  <c r="AW85" i="18"/>
  <c r="SE85" i="18"/>
  <c r="RA85" i="18"/>
  <c r="NU85" i="18"/>
  <c r="MQ85" i="18"/>
  <c r="HC85" i="18"/>
  <c r="HF85" i="18" s="1"/>
  <c r="FM85" i="18"/>
  <c r="DW85" i="18"/>
  <c r="VK85" i="18"/>
  <c r="UA85" i="18"/>
  <c r="MK85" i="18"/>
  <c r="JK85" i="18"/>
  <c r="FG85" i="18"/>
  <c r="DQ85" i="18"/>
  <c r="CA85" i="18"/>
  <c r="TU85" i="18"/>
  <c r="PK85" i="18"/>
  <c r="LA85" i="18"/>
  <c r="LD85" i="18" s="1"/>
  <c r="JE85" i="18"/>
  <c r="HO85" i="18"/>
  <c r="KU85" i="18"/>
  <c r="IY85" i="18"/>
  <c r="HI85" i="18"/>
  <c r="FS85" i="18"/>
  <c r="OG85" i="18"/>
  <c r="OJ85" i="18" s="1"/>
  <c r="DK85" i="18"/>
  <c r="SK85" i="18"/>
  <c r="QO85" i="18"/>
  <c r="BU85" i="18"/>
  <c r="BO85" i="18"/>
  <c r="US85" i="18"/>
  <c r="VO84" i="18"/>
  <c r="RU84" i="18"/>
  <c r="OC84" i="18"/>
  <c r="GU84" i="18"/>
  <c r="DB84" i="18"/>
  <c r="WQ84" i="18"/>
  <c r="MC84" i="18"/>
  <c r="HX84" i="18"/>
  <c r="CO84" i="18"/>
  <c r="RE84" i="18"/>
  <c r="MN84" i="18"/>
  <c r="IC84" i="18"/>
  <c r="OQ84" i="18"/>
  <c r="KR84" i="18"/>
  <c r="BL84" i="18"/>
  <c r="GC84" i="18"/>
  <c r="OJ84" i="18"/>
  <c r="FP84" i="18"/>
  <c r="LE84" i="18"/>
  <c r="VN84" i="18"/>
  <c r="KM84" i="18"/>
  <c r="GT84" i="18"/>
  <c r="RK84" i="18"/>
  <c r="MB84" i="18"/>
  <c r="VI84" i="18"/>
  <c r="RC84" i="18"/>
  <c r="DU84" i="18"/>
  <c r="OP84" i="18"/>
  <c r="BY84" i="18"/>
  <c r="GB84" i="18"/>
  <c r="IW84" i="18"/>
  <c r="LC84" i="18"/>
  <c r="WN86" i="18"/>
  <c r="VP86" i="18"/>
  <c r="UR86" i="18"/>
  <c r="TT86" i="18"/>
  <c r="SV86" i="18"/>
  <c r="RX86" i="18"/>
  <c r="QZ86" i="18"/>
  <c r="QB86" i="18"/>
  <c r="PD86" i="18"/>
  <c r="OF86" i="18"/>
  <c r="NH86" i="18"/>
  <c r="MJ86" i="18"/>
  <c r="LL86" i="18"/>
  <c r="KN86" i="18"/>
  <c r="JP86" i="18"/>
  <c r="IR86" i="18"/>
  <c r="HT86" i="18"/>
  <c r="GV86" i="18"/>
  <c r="FX86" i="18"/>
  <c r="EZ86" i="18"/>
  <c r="EB86" i="18"/>
  <c r="DD86" i="18"/>
  <c r="CF86" i="18"/>
  <c r="BH86" i="18"/>
  <c r="AJ86" i="18"/>
  <c r="WT86" i="18"/>
  <c r="VV86" i="18"/>
  <c r="UX86" i="18"/>
  <c r="TZ86" i="18"/>
  <c r="TB86" i="18"/>
  <c r="SD86" i="18"/>
  <c r="RF86" i="18"/>
  <c r="QH86" i="18"/>
  <c r="PJ86" i="18"/>
  <c r="OL86" i="18"/>
  <c r="NN86" i="18"/>
  <c r="MP86" i="18"/>
  <c r="LR86" i="18"/>
  <c r="KT86" i="18"/>
  <c r="JV86" i="18"/>
  <c r="IX86" i="18"/>
  <c r="XF86" i="18"/>
  <c r="WB86" i="18"/>
  <c r="UF86" i="18"/>
  <c r="SJ86" i="18"/>
  <c r="QN86" i="18"/>
  <c r="OR86" i="18"/>
  <c r="MV86" i="18"/>
  <c r="KZ86" i="18"/>
  <c r="JD86" i="18"/>
  <c r="VJ86" i="18"/>
  <c r="TN86" i="18"/>
  <c r="RR86" i="18"/>
  <c r="PV86" i="18"/>
  <c r="NZ86" i="18"/>
  <c r="MD86" i="18"/>
  <c r="KH86" i="18"/>
  <c r="HH86" i="18"/>
  <c r="FR86" i="18"/>
  <c r="FF86" i="18"/>
  <c r="DP86" i="18"/>
  <c r="BZ86" i="18"/>
  <c r="BN86" i="18"/>
  <c r="WZ86" i="18"/>
  <c r="TH86" i="18"/>
  <c r="PP86" i="18"/>
  <c r="LX86" i="18"/>
  <c r="IL86" i="18"/>
  <c r="CL86" i="18"/>
  <c r="AV86" i="18"/>
  <c r="VD86" i="18"/>
  <c r="OX86" i="18"/>
  <c r="NB86" i="18"/>
  <c r="GD86" i="18"/>
  <c r="FL86" i="18"/>
  <c r="ET86" i="18"/>
  <c r="BT86" i="18"/>
  <c r="BB86" i="18"/>
  <c r="RL86" i="18"/>
  <c r="LF86" i="18"/>
  <c r="JJ86" i="18"/>
  <c r="IF86" i="18"/>
  <c r="HN86" i="18"/>
  <c r="EN86" i="18"/>
  <c r="DV86" i="18"/>
  <c r="WH86" i="18"/>
  <c r="UL86" i="18"/>
  <c r="NT86" i="18"/>
  <c r="HZ86" i="18"/>
  <c r="GP86" i="18"/>
  <c r="EH86" i="18"/>
  <c r="CX86" i="18"/>
  <c r="AP86" i="18"/>
  <c r="CR86" i="18"/>
  <c r="SP86" i="18"/>
  <c r="HB86" i="18"/>
  <c r="QT86" i="18"/>
  <c r="GJ86" i="18"/>
  <c r="KB86" i="18"/>
  <c r="DJ86" i="18"/>
  <c r="P83" i="18"/>
  <c r="S82" i="18" s="1"/>
  <c r="Q83" i="18"/>
  <c r="R83" i="18"/>
  <c r="B167" i="1"/>
  <c r="B167" i="7"/>
  <c r="B167" i="9"/>
  <c r="I167" i="9" s="1"/>
  <c r="AG160" i="5"/>
  <c r="AL160" i="5" s="1"/>
  <c r="R162" i="5"/>
  <c r="AG163" i="5"/>
  <c r="R165" i="5"/>
  <c r="B166" i="5"/>
  <c r="K164" i="5"/>
  <c r="B169" i="5"/>
  <c r="AE167" i="5"/>
  <c r="K167" i="5"/>
  <c r="B85" i="15"/>
  <c r="B166" i="9"/>
  <c r="I166" i="9" s="1"/>
  <c r="B169" i="8"/>
  <c r="B166" i="1"/>
  <c r="N164" i="1"/>
  <c r="B168" i="8"/>
  <c r="B166" i="7"/>
  <c r="O86" i="18"/>
  <c r="N86" i="18"/>
  <c r="I156" i="19" l="1"/>
  <c r="K156" i="19"/>
  <c r="L156" i="19"/>
  <c r="Q81" i="15"/>
  <c r="P81" i="15"/>
  <c r="G81" i="15"/>
  <c r="E159" i="19"/>
  <c r="L156" i="7"/>
  <c r="K157" i="7"/>
  <c r="P159" i="19"/>
  <c r="R159" i="8"/>
  <c r="N157" i="7"/>
  <c r="N156" i="7"/>
  <c r="K156" i="7"/>
  <c r="E159" i="8"/>
  <c r="D158" i="19"/>
  <c r="I158" i="19" s="1"/>
  <c r="GA85" i="18"/>
  <c r="GB85" i="18"/>
  <c r="P117" i="5"/>
  <c r="MT85" i="18"/>
  <c r="QW85" i="18"/>
  <c r="K119" i="7"/>
  <c r="N119" i="7"/>
  <c r="L119" i="7"/>
  <c r="N118" i="7"/>
  <c r="K118" i="7"/>
  <c r="L118" i="7"/>
  <c r="P62" i="15"/>
  <c r="G62" i="15"/>
  <c r="Q62" i="15"/>
  <c r="E121" i="8"/>
  <c r="D120" i="19"/>
  <c r="D120" i="8"/>
  <c r="R120" i="8" s="1"/>
  <c r="E121" i="19"/>
  <c r="I169" i="5"/>
  <c r="J169" i="5" s="1"/>
  <c r="F169" i="5" s="1"/>
  <c r="K98" i="7"/>
  <c r="L99" i="7"/>
  <c r="K99" i="7"/>
  <c r="N99" i="7"/>
  <c r="N98" i="7"/>
  <c r="L98" i="7"/>
  <c r="Q52" i="15"/>
  <c r="D100" i="8"/>
  <c r="R100" i="8" s="1"/>
  <c r="E101" i="19"/>
  <c r="E101" i="8"/>
  <c r="G52" i="15"/>
  <c r="D100" i="19"/>
  <c r="P52" i="15"/>
  <c r="R148" i="14"/>
  <c r="MM85" i="18"/>
  <c r="T163" i="5"/>
  <c r="P165" i="5"/>
  <c r="U163" i="5"/>
  <c r="Q165" i="5"/>
  <c r="VC85" i="18"/>
  <c r="EY85" i="18"/>
  <c r="T119" i="5"/>
  <c r="AF119" i="5" s="1"/>
  <c r="XE85" i="18"/>
  <c r="OP85" i="18"/>
  <c r="F162" i="5"/>
  <c r="VT85" i="18"/>
  <c r="KW85" i="18"/>
  <c r="F164" i="5"/>
  <c r="Q147" i="14"/>
  <c r="L159" i="7" s="1"/>
  <c r="T149" i="14"/>
  <c r="S149" i="14"/>
  <c r="U149" i="14"/>
  <c r="BP165" i="1"/>
  <c r="X165" i="7" s="1"/>
  <c r="O165" i="1"/>
  <c r="BQ165" i="1"/>
  <c r="O164" i="1"/>
  <c r="L164" i="9"/>
  <c r="L165" i="9"/>
  <c r="M162" i="9"/>
  <c r="M163" i="9"/>
  <c r="BA85" i="18"/>
  <c r="J165" i="9"/>
  <c r="J164" i="9"/>
  <c r="F169" i="8"/>
  <c r="G169" i="8"/>
  <c r="F168" i="8"/>
  <c r="G168" i="8"/>
  <c r="TQ85" i="18"/>
  <c r="I166" i="7"/>
  <c r="J166" i="7"/>
  <c r="H166" i="9"/>
  <c r="K166" i="9" s="1"/>
  <c r="I167" i="7"/>
  <c r="J167" i="7"/>
  <c r="H167" i="9"/>
  <c r="K167" i="9" s="1"/>
  <c r="U85" i="15"/>
  <c r="Y85" i="18" s="1"/>
  <c r="D85" i="15"/>
  <c r="E85" i="15"/>
  <c r="AT85" i="18"/>
  <c r="AD166" i="5"/>
  <c r="AE166" i="5" s="1"/>
  <c r="AI166" i="5" s="1"/>
  <c r="I166" i="5"/>
  <c r="J166" i="5" s="1"/>
  <c r="H166" i="1"/>
  <c r="I166" i="1" s="1"/>
  <c r="I167" i="1"/>
  <c r="H167" i="1"/>
  <c r="T82" i="18"/>
  <c r="DN85" i="18"/>
  <c r="U82" i="18"/>
  <c r="T85" i="15"/>
  <c r="LQ85" i="18"/>
  <c r="CU85" i="18"/>
  <c r="OV85" i="18"/>
  <c r="WQ85" i="18"/>
  <c r="ID85" i="18"/>
  <c r="PC85" i="18"/>
  <c r="VS85" i="18"/>
  <c r="VN85" i="18"/>
  <c r="CV85" i="18"/>
  <c r="AN85" i="18"/>
  <c r="VY85" i="18"/>
  <c r="UD85" i="18"/>
  <c r="UE85" i="18"/>
  <c r="JZ85" i="18"/>
  <c r="BX85" i="18"/>
  <c r="GH85" i="18"/>
  <c r="OU85" i="18"/>
  <c r="EE85" i="18"/>
  <c r="WA85" i="18"/>
  <c r="AS85" i="18"/>
  <c r="QS85" i="18"/>
  <c r="TX85" i="18"/>
  <c r="JN85" i="18"/>
  <c r="CP85" i="18"/>
  <c r="WG85" i="18"/>
  <c r="GS85" i="18"/>
  <c r="CW85" i="18"/>
  <c r="PA85" i="18"/>
  <c r="VZ85" i="18"/>
  <c r="EG85" i="18"/>
  <c r="GU85" i="18"/>
  <c r="UJ85" i="18"/>
  <c r="NQ85" i="18"/>
  <c r="OW85" i="18"/>
  <c r="AU85" i="18"/>
  <c r="EF85" i="18"/>
  <c r="UV85" i="18"/>
  <c r="HL85" i="18"/>
  <c r="CE85" i="18"/>
  <c r="IC85" i="18"/>
  <c r="IE85" i="18"/>
  <c r="ES85" i="18"/>
  <c r="IP85" i="18"/>
  <c r="MI85" i="18"/>
  <c r="CO85" i="18"/>
  <c r="LW85" i="18"/>
  <c r="CC85" i="18"/>
  <c r="WK85" i="18"/>
  <c r="GI85" i="18"/>
  <c r="BK85" i="18"/>
  <c r="HK85" i="18"/>
  <c r="EX85" i="18"/>
  <c r="GO85" i="18"/>
  <c r="FD85" i="18"/>
  <c r="MY85" i="18"/>
  <c r="AM85" i="18"/>
  <c r="WR85" i="18"/>
  <c r="RE85" i="18"/>
  <c r="LE85" i="18"/>
  <c r="RC85" i="18"/>
  <c r="AO85" i="18"/>
  <c r="FV85" i="18"/>
  <c r="NW85" i="18"/>
  <c r="QL85" i="18"/>
  <c r="IV85" i="18"/>
  <c r="KK85" i="18"/>
  <c r="OE85" i="18"/>
  <c r="DG85" i="18"/>
  <c r="RO85" i="18"/>
  <c r="DB85" i="18"/>
  <c r="JS85" i="18"/>
  <c r="NG85" i="18"/>
  <c r="SO85" i="18"/>
  <c r="WS85" i="18"/>
  <c r="RD85" i="18"/>
  <c r="JY85" i="18"/>
  <c r="TS85" i="18"/>
  <c r="WL85" i="18"/>
  <c r="GC85" i="18"/>
  <c r="GN85" i="18"/>
  <c r="TW85" i="18"/>
  <c r="SY85" i="18"/>
  <c r="UK85" i="18"/>
  <c r="JB85" i="18"/>
  <c r="KM85" i="18"/>
  <c r="IW85" i="18"/>
  <c r="WE85" i="18"/>
  <c r="MZ85" i="18"/>
  <c r="WW85" i="18"/>
  <c r="QQ85" i="18"/>
  <c r="RK85" i="18"/>
  <c r="LC85" i="18"/>
  <c r="LV85" i="18"/>
  <c r="RQ85" i="18"/>
  <c r="GZ85" i="18"/>
  <c r="DA85" i="18"/>
  <c r="DS85" i="18"/>
  <c r="HY85" i="18"/>
  <c r="VM85" i="18"/>
  <c r="FO85" i="18"/>
  <c r="JU85" i="18"/>
  <c r="PO85" i="18"/>
  <c r="JC85" i="18"/>
  <c r="NE85" i="18"/>
  <c r="SN85" i="18"/>
  <c r="UC85" i="18"/>
  <c r="DM85" i="18"/>
  <c r="OQ85" i="18"/>
  <c r="KL85" i="18"/>
  <c r="GT85" i="18"/>
  <c r="IU85" i="18"/>
  <c r="JT85" i="18"/>
  <c r="NS85" i="18"/>
  <c r="RP85" i="18"/>
  <c r="JO85" i="18"/>
  <c r="SZ85" i="18"/>
  <c r="WF85" i="18"/>
  <c r="UI85" i="18"/>
  <c r="QR85" i="18"/>
  <c r="FQ85" i="18"/>
  <c r="LU85" i="18"/>
  <c r="GM85" i="18"/>
  <c r="FP85" i="18"/>
  <c r="PH85" i="18"/>
  <c r="TL85" i="18"/>
  <c r="VO85" i="18"/>
  <c r="SM85" i="18"/>
  <c r="TY85" i="18"/>
  <c r="OO85" i="18"/>
  <c r="DC85" i="18"/>
  <c r="NF85" i="18"/>
  <c r="NR85" i="18"/>
  <c r="JM85" i="18"/>
  <c r="CQ85" i="18"/>
  <c r="BQ85" i="18"/>
  <c r="JA85" i="18"/>
  <c r="DT85" i="18"/>
  <c r="VI85" i="18"/>
  <c r="DH85" i="18"/>
  <c r="GY85" i="18"/>
  <c r="LP85" i="18"/>
  <c r="PS85" i="18"/>
  <c r="UU85" i="18"/>
  <c r="PM85" i="18"/>
  <c r="FJ85" i="18"/>
  <c r="TE85" i="18"/>
  <c r="HW85" i="18"/>
  <c r="MB85" i="18"/>
  <c r="MO85" i="18"/>
  <c r="UW85" i="18"/>
  <c r="MN85" i="18"/>
  <c r="BY85" i="18"/>
  <c r="AZ85" i="18"/>
  <c r="IJ85" i="18"/>
  <c r="BM85" i="18"/>
  <c r="CD85" i="18"/>
  <c r="HM85" i="18"/>
  <c r="PB85" i="18"/>
  <c r="MU85" i="18"/>
  <c r="BW85" i="18"/>
  <c r="TG85" i="18"/>
  <c r="HX85" i="18"/>
  <c r="EW85" i="18"/>
  <c r="PN85" i="18"/>
  <c r="BL85" i="18"/>
  <c r="GG85" i="18"/>
  <c r="AY85" i="18"/>
  <c r="EA85" i="18"/>
  <c r="KQ85" i="18"/>
  <c r="MS85" i="18"/>
  <c r="TF85" i="18"/>
  <c r="JG85" i="18"/>
  <c r="II85" i="18"/>
  <c r="LJ85" i="18"/>
  <c r="SI85" i="18"/>
  <c r="SA85" i="18"/>
  <c r="EL85" i="18"/>
  <c r="QA85" i="18"/>
  <c r="HE85" i="18"/>
  <c r="IO85" i="18"/>
  <c r="SU85" i="18"/>
  <c r="IK85" i="18"/>
  <c r="BR85" i="18"/>
  <c r="SB85" i="18"/>
  <c r="OC85" i="18"/>
  <c r="RJ85" i="18"/>
  <c r="BG85" i="18"/>
  <c r="WX85" i="18"/>
  <c r="FU85" i="18"/>
  <c r="NX85" i="18"/>
  <c r="RW85" i="18"/>
  <c r="QK85" i="18"/>
  <c r="NM85" i="18"/>
  <c r="VU85" i="18"/>
  <c r="VB85" i="18"/>
  <c r="WY85" i="18"/>
  <c r="SG85" i="18"/>
  <c r="OD85" i="18"/>
  <c r="FW85" i="18"/>
  <c r="DI85" i="18"/>
  <c r="PY85" i="18"/>
  <c r="NK85" i="18"/>
  <c r="QM85" i="18"/>
  <c r="RU85" i="18"/>
  <c r="BE85" i="18"/>
  <c r="RI85" i="18"/>
  <c r="BS85" i="18"/>
  <c r="LO85" i="18"/>
  <c r="TR85" i="18"/>
  <c r="HQ85" i="18"/>
  <c r="DU85" i="18"/>
  <c r="DO85" i="18"/>
  <c r="KA85" i="18"/>
  <c r="VA85" i="18"/>
  <c r="NY85" i="18"/>
  <c r="SH85" i="18"/>
  <c r="PZ85" i="18"/>
  <c r="HG85" i="18"/>
  <c r="NL85" i="18"/>
  <c r="NA85" i="18"/>
  <c r="RV85" i="18"/>
  <c r="IQ85" i="18"/>
  <c r="BF85" i="18"/>
  <c r="HA85" i="18"/>
  <c r="SC85" i="18"/>
  <c r="CI85" i="18"/>
  <c r="KE85" i="18"/>
  <c r="UP85" i="18"/>
  <c r="XH86" i="18"/>
  <c r="XB86" i="18"/>
  <c r="WD86" i="18"/>
  <c r="VF86" i="18"/>
  <c r="UH86" i="18"/>
  <c r="TJ86" i="18"/>
  <c r="SL86" i="18"/>
  <c r="RN86" i="18"/>
  <c r="QP86" i="18"/>
  <c r="PR86" i="18"/>
  <c r="OT86" i="18"/>
  <c r="NV86" i="18"/>
  <c r="MX86" i="18"/>
  <c r="LZ86" i="18"/>
  <c r="LB86" i="18"/>
  <c r="KD86" i="18"/>
  <c r="JF86" i="18"/>
  <c r="IH86" i="18"/>
  <c r="HJ86" i="18"/>
  <c r="GL86" i="18"/>
  <c r="FN86" i="18"/>
  <c r="EP86" i="18"/>
  <c r="DR86" i="18"/>
  <c r="CT86" i="18"/>
  <c r="BV86" i="18"/>
  <c r="AX86" i="18"/>
  <c r="WJ86" i="18"/>
  <c r="VL86" i="18"/>
  <c r="UN86" i="18"/>
  <c r="TP86" i="18"/>
  <c r="SR86" i="18"/>
  <c r="RT86" i="18"/>
  <c r="QV86" i="18"/>
  <c r="PX86" i="18"/>
  <c r="OZ86" i="18"/>
  <c r="OB86" i="18"/>
  <c r="ND86" i="18"/>
  <c r="MF86" i="18"/>
  <c r="LH86" i="18"/>
  <c r="KJ86" i="18"/>
  <c r="JL86" i="18"/>
  <c r="WP86" i="18"/>
  <c r="UT86" i="18"/>
  <c r="SX86" i="18"/>
  <c r="RB86" i="18"/>
  <c r="PF86" i="18"/>
  <c r="NJ86" i="18"/>
  <c r="LN86" i="18"/>
  <c r="JR86" i="18"/>
  <c r="IN86" i="18"/>
  <c r="VX86" i="18"/>
  <c r="UB86" i="18"/>
  <c r="SF86" i="18"/>
  <c r="QJ86" i="18"/>
  <c r="ON86" i="18"/>
  <c r="MR86" i="18"/>
  <c r="KV86" i="18"/>
  <c r="IZ86" i="18"/>
  <c r="IB86" i="18"/>
  <c r="HP86" i="18"/>
  <c r="FZ86" i="18"/>
  <c r="EJ86" i="18"/>
  <c r="DX86" i="18"/>
  <c r="CH86" i="18"/>
  <c r="AR86" i="18"/>
  <c r="VR86" i="18"/>
  <c r="RZ86" i="18"/>
  <c r="OH86" i="18"/>
  <c r="KP86" i="18"/>
  <c r="HV86" i="18"/>
  <c r="GR86" i="18"/>
  <c r="GF86" i="18"/>
  <c r="FB86" i="18"/>
  <c r="DL86" i="18"/>
  <c r="WV86" i="18"/>
  <c r="QD86" i="18"/>
  <c r="JX86" i="18"/>
  <c r="GX86" i="18"/>
  <c r="DF86" i="18"/>
  <c r="CN86" i="18"/>
  <c r="UZ86" i="18"/>
  <c r="TD86" i="18"/>
  <c r="ML86" i="18"/>
  <c r="FH86" i="18"/>
  <c r="RH86" i="18"/>
  <c r="PL86" i="18"/>
  <c r="IT86" i="18"/>
  <c r="HD86" i="18"/>
  <c r="FT86" i="18"/>
  <c r="CB86" i="18"/>
  <c r="BJ86" i="18"/>
  <c r="CZ86" i="18"/>
  <c r="BP86" i="18"/>
  <c r="TV86" i="18"/>
  <c r="NP86" i="18"/>
  <c r="EV86" i="18"/>
  <c r="BD86" i="18"/>
  <c r="LT86" i="18"/>
  <c r="AL86" i="18"/>
  <c r="ED86" i="18"/>
  <c r="WU86" i="18"/>
  <c r="VW86" i="18"/>
  <c r="UY86" i="18"/>
  <c r="UA86" i="18"/>
  <c r="UE86" i="18" s="1"/>
  <c r="TC86" i="18"/>
  <c r="SE86" i="18"/>
  <c r="RG86" i="18"/>
  <c r="QI86" i="18"/>
  <c r="PK86" i="18"/>
  <c r="OM86" i="18"/>
  <c r="NO86" i="18"/>
  <c r="MQ86" i="18"/>
  <c r="MT86" i="18" s="1"/>
  <c r="LS86" i="18"/>
  <c r="KU86" i="18"/>
  <c r="JW86" i="18"/>
  <c r="IY86" i="18"/>
  <c r="IA86" i="18"/>
  <c r="HC86" i="18"/>
  <c r="GE86" i="18"/>
  <c r="FG86" i="18"/>
  <c r="EI86" i="18"/>
  <c r="DK86" i="18"/>
  <c r="DN86" i="18" s="1"/>
  <c r="CM86" i="18"/>
  <c r="BO86" i="18"/>
  <c r="AQ86" i="18"/>
  <c r="AS86" i="18" s="1"/>
  <c r="XG86" i="18"/>
  <c r="XA86" i="18"/>
  <c r="WC86" i="18"/>
  <c r="VE86" i="18"/>
  <c r="UG86" i="18"/>
  <c r="TI86" i="18"/>
  <c r="SK86" i="18"/>
  <c r="RM86" i="18"/>
  <c r="QO86" i="18"/>
  <c r="PQ86" i="18"/>
  <c r="OS86" i="18"/>
  <c r="NU86" i="18"/>
  <c r="MW86" i="18"/>
  <c r="LY86" i="18"/>
  <c r="LA86" i="18"/>
  <c r="KC86" i="18"/>
  <c r="JE86" i="18"/>
  <c r="VK86" i="18"/>
  <c r="TO86" i="18"/>
  <c r="RS86" i="18"/>
  <c r="PW86" i="18"/>
  <c r="QA86" i="18" s="1"/>
  <c r="OA86" i="18"/>
  <c r="ME86" i="18"/>
  <c r="KI86" i="18"/>
  <c r="WO86" i="18"/>
  <c r="US86" i="18"/>
  <c r="SW86" i="18"/>
  <c r="RA86" i="18"/>
  <c r="PE86" i="18"/>
  <c r="PG86" i="18" s="1"/>
  <c r="NI86" i="18"/>
  <c r="LM86" i="18"/>
  <c r="JQ86" i="18"/>
  <c r="IM86" i="18"/>
  <c r="GW86" i="18"/>
  <c r="GK86" i="18"/>
  <c r="EU86" i="18"/>
  <c r="DE86" i="18"/>
  <c r="CS86" i="18"/>
  <c r="BC86" i="18"/>
  <c r="UM86" i="18"/>
  <c r="UP86" i="18" s="1"/>
  <c r="QU86" i="18"/>
  <c r="NC86" i="18"/>
  <c r="JK86" i="18"/>
  <c r="HI86" i="18"/>
  <c r="FS86" i="18"/>
  <c r="EO86" i="18"/>
  <c r="EC86" i="18"/>
  <c r="CY86" i="18"/>
  <c r="BU86" i="18"/>
  <c r="BI86" i="18"/>
  <c r="TU86" i="18"/>
  <c r="RY86" i="18"/>
  <c r="LG86" i="18"/>
  <c r="IG86" i="18"/>
  <c r="HO86" i="18"/>
  <c r="DW86" i="18"/>
  <c r="AK86" i="18"/>
  <c r="WI86" i="18"/>
  <c r="QC86" i="18"/>
  <c r="OG86" i="18"/>
  <c r="GQ86" i="18"/>
  <c r="FY86" i="18"/>
  <c r="SQ86" i="18"/>
  <c r="MK86" i="18"/>
  <c r="KO86" i="18"/>
  <c r="FA86" i="18"/>
  <c r="DQ86" i="18"/>
  <c r="VQ86" i="18"/>
  <c r="OY86" i="18"/>
  <c r="IS86" i="18"/>
  <c r="FM86" i="18"/>
  <c r="HU86" i="18"/>
  <c r="CG86" i="18"/>
  <c r="CA86" i="18"/>
  <c r="AW86" i="18"/>
  <c r="XD85" i="18"/>
  <c r="TK85" i="18"/>
  <c r="MC85" i="18"/>
  <c r="VG85" i="18"/>
  <c r="QE85" i="18"/>
  <c r="HS85" i="18"/>
  <c r="DY85" i="18"/>
  <c r="UO85" i="18"/>
  <c r="FK85" i="18"/>
  <c r="SS85" i="18"/>
  <c r="OI85" i="18"/>
  <c r="FE85" i="18"/>
  <c r="XI85" i="18"/>
  <c r="KR85" i="18"/>
  <c r="QY85" i="18"/>
  <c r="EQ85" i="18"/>
  <c r="EK85" i="18"/>
  <c r="KG85" i="18"/>
  <c r="MH85" i="18"/>
  <c r="XC85" i="18"/>
  <c r="PU85" i="18"/>
  <c r="MA85" i="18"/>
  <c r="VH85" i="18"/>
  <c r="KY85" i="18"/>
  <c r="HR85" i="18"/>
  <c r="DZ85" i="18"/>
  <c r="LK85" i="18"/>
  <c r="FI85" i="18"/>
  <c r="ST85" i="18"/>
  <c r="JI85" i="18"/>
  <c r="FC85" i="18"/>
  <c r="XJ85" i="18"/>
  <c r="CK85" i="18"/>
  <c r="QX85" i="18"/>
  <c r="ER85" i="18"/>
  <c r="PI85" i="18"/>
  <c r="KF85" i="18"/>
  <c r="MG85" i="18"/>
  <c r="TM85" i="18"/>
  <c r="PT85" i="18"/>
  <c r="QG85" i="18"/>
  <c r="KX85" i="18"/>
  <c r="UQ85" i="18"/>
  <c r="LI85" i="18"/>
  <c r="OK85" i="18"/>
  <c r="JH85" i="18"/>
  <c r="KS85" i="18"/>
  <c r="CJ85" i="18"/>
  <c r="EM85" i="18"/>
  <c r="PG85" i="18"/>
  <c r="Q84" i="18"/>
  <c r="R84" i="18"/>
  <c r="P84" i="18"/>
  <c r="S83" i="18" s="1"/>
  <c r="B169" i="7"/>
  <c r="B169" i="9"/>
  <c r="I169" i="9" s="1"/>
  <c r="B169" i="1"/>
  <c r="U158" i="5"/>
  <c r="Q160" i="5"/>
  <c r="AG162" i="5"/>
  <c r="AL162" i="5" s="1"/>
  <c r="R164" i="5"/>
  <c r="AG165" i="5"/>
  <c r="R167" i="5"/>
  <c r="B168" i="5"/>
  <c r="K166" i="5"/>
  <c r="B171" i="5"/>
  <c r="K169" i="5"/>
  <c r="AE169" i="5"/>
  <c r="B168" i="7"/>
  <c r="B168" i="1"/>
  <c r="N166" i="1"/>
  <c r="B168" i="9"/>
  <c r="I168" i="9" s="1"/>
  <c r="B86" i="15"/>
  <c r="Q162" i="5" l="1"/>
  <c r="P158" i="19"/>
  <c r="K158" i="19"/>
  <c r="L158" i="19"/>
  <c r="J158" i="19"/>
  <c r="N159" i="7"/>
  <c r="K158" i="7"/>
  <c r="Q82" i="15"/>
  <c r="D160" i="8"/>
  <c r="R160" i="8" s="1"/>
  <c r="L158" i="7"/>
  <c r="K159" i="7"/>
  <c r="E161" i="8"/>
  <c r="E161" i="19"/>
  <c r="P161" i="19"/>
  <c r="R161" i="8"/>
  <c r="N158" i="7"/>
  <c r="P82" i="15"/>
  <c r="D160" i="19"/>
  <c r="P160" i="19" s="1"/>
  <c r="G82" i="15"/>
  <c r="IO86" i="18"/>
  <c r="NL86" i="18"/>
  <c r="D110" i="19"/>
  <c r="D110" i="8"/>
  <c r="R110" i="8" s="1"/>
  <c r="E111" i="8"/>
  <c r="Q57" i="15"/>
  <c r="G57" i="15"/>
  <c r="P57" i="15"/>
  <c r="E111" i="19"/>
  <c r="L120" i="7"/>
  <c r="L121" i="7"/>
  <c r="K120" i="7"/>
  <c r="N120" i="7"/>
  <c r="K121" i="7"/>
  <c r="N121" i="7"/>
  <c r="Q63" i="15"/>
  <c r="E123" i="8"/>
  <c r="G63" i="15"/>
  <c r="E123" i="19"/>
  <c r="D122" i="8"/>
  <c r="R122" i="8" s="1"/>
  <c r="D122" i="19"/>
  <c r="P63" i="15"/>
  <c r="I171" i="5"/>
  <c r="J171" i="5" s="1"/>
  <c r="F171" i="5" s="1"/>
  <c r="T165" i="5"/>
  <c r="K101" i="7"/>
  <c r="K100" i="7"/>
  <c r="L100" i="7"/>
  <c r="N100" i="7"/>
  <c r="L101" i="7"/>
  <c r="N101" i="7"/>
  <c r="E103" i="19"/>
  <c r="E103" i="8"/>
  <c r="P53" i="15"/>
  <c r="D102" i="19"/>
  <c r="Q53" i="15"/>
  <c r="D102" i="8"/>
  <c r="R102" i="8" s="1"/>
  <c r="G53" i="15"/>
  <c r="LQ86" i="18"/>
  <c r="M165" i="9"/>
  <c r="IV86" i="18"/>
  <c r="R149" i="14"/>
  <c r="R163" i="8" s="1"/>
  <c r="AF163" i="5"/>
  <c r="P33" i="7" s="1"/>
  <c r="P115" i="5"/>
  <c r="JT86" i="18"/>
  <c r="P167" i="5"/>
  <c r="NR86" i="18"/>
  <c r="U165" i="5"/>
  <c r="Q167" i="5"/>
  <c r="U167" i="5" s="1"/>
  <c r="T117" i="5"/>
  <c r="AF117" i="5" s="1"/>
  <c r="AT86" i="18"/>
  <c r="AJ164" i="5"/>
  <c r="F166" i="5"/>
  <c r="Q148" i="14"/>
  <c r="N160" i="7" s="1"/>
  <c r="T150" i="14"/>
  <c r="S150" i="14"/>
  <c r="U150" i="14"/>
  <c r="O166" i="1"/>
  <c r="BQ167" i="1"/>
  <c r="O167" i="1"/>
  <c r="BP167" i="1"/>
  <c r="X167" i="7" s="1"/>
  <c r="M164" i="9"/>
  <c r="L167" i="9"/>
  <c r="L166" i="9"/>
  <c r="RE86" i="18"/>
  <c r="J167" i="9"/>
  <c r="J166" i="9"/>
  <c r="WM86" i="18"/>
  <c r="QE86" i="18"/>
  <c r="WS86" i="18"/>
  <c r="J169" i="7"/>
  <c r="I169" i="7"/>
  <c r="H168" i="9"/>
  <c r="K168" i="9" s="1"/>
  <c r="J168" i="7"/>
  <c r="I168" i="7"/>
  <c r="H169" i="9"/>
  <c r="K169" i="9" s="1"/>
  <c r="U86" i="15"/>
  <c r="Y86" i="18" s="1"/>
  <c r="E86" i="15"/>
  <c r="D86" i="15"/>
  <c r="AD168" i="5"/>
  <c r="AE168" i="5" s="1"/>
  <c r="AI168" i="5" s="1"/>
  <c r="I168" i="5"/>
  <c r="J168" i="5" s="1"/>
  <c r="H168" i="1"/>
  <c r="I168" i="1" s="1"/>
  <c r="I169" i="1"/>
  <c r="H169" i="1"/>
  <c r="FK86" i="18"/>
  <c r="UU86" i="18"/>
  <c r="HR86" i="18"/>
  <c r="GM86" i="18"/>
  <c r="T83" i="18"/>
  <c r="BL86" i="18"/>
  <c r="SZ86" i="18"/>
  <c r="U83" i="18"/>
  <c r="EF86" i="18"/>
  <c r="T86" i="15"/>
  <c r="WY86" i="18"/>
  <c r="SA86" i="18"/>
  <c r="RQ86" i="18"/>
  <c r="PN86" i="18"/>
  <c r="AY86" i="18"/>
  <c r="CC86" i="18"/>
  <c r="FC86" i="18"/>
  <c r="GB86" i="18"/>
  <c r="IJ86" i="18"/>
  <c r="ER86" i="18"/>
  <c r="GZ86" i="18"/>
  <c r="MA86" i="18"/>
  <c r="PT86" i="18"/>
  <c r="TK86" i="18"/>
  <c r="XD86" i="18"/>
  <c r="UO86" i="18"/>
  <c r="WE86" i="18"/>
  <c r="JS86" i="18"/>
  <c r="UV86" i="18"/>
  <c r="NS86" i="18"/>
  <c r="VS86" i="18"/>
  <c r="BR86" i="18"/>
  <c r="GH86" i="18"/>
  <c r="OJ86" i="18"/>
  <c r="KE86" i="18"/>
  <c r="CU86" i="18"/>
  <c r="OD86" i="18"/>
  <c r="VM86" i="18"/>
  <c r="CI86" i="18"/>
  <c r="HG86" i="18"/>
  <c r="GO86" i="18"/>
  <c r="FI86" i="18"/>
  <c r="OI86" i="18"/>
  <c r="DA86" i="18"/>
  <c r="KL86" i="18"/>
  <c r="RU86" i="18"/>
  <c r="KF86" i="18"/>
  <c r="NW86" i="18"/>
  <c r="RO86" i="18"/>
  <c r="VG86" i="18"/>
  <c r="GG86" i="18"/>
  <c r="WK86" i="18"/>
  <c r="CV86" i="18"/>
  <c r="PU86" i="18"/>
  <c r="VN86" i="18"/>
  <c r="BM86" i="18"/>
  <c r="JZ86" i="18"/>
  <c r="RK86" i="18"/>
  <c r="IC86" i="18"/>
  <c r="OQ86" i="18"/>
  <c r="VZ86" i="18"/>
  <c r="HM86" i="18"/>
  <c r="OV86" i="18"/>
  <c r="IW86" i="18"/>
  <c r="IK86" i="18"/>
  <c r="WL86" i="18"/>
  <c r="NM86" i="18"/>
  <c r="OE86" i="18"/>
  <c r="IU86" i="18"/>
  <c r="BK86" i="18"/>
  <c r="NQ86" i="18"/>
  <c r="XE86" i="18"/>
  <c r="PB86" i="18"/>
  <c r="GS86" i="18"/>
  <c r="AM86" i="18"/>
  <c r="LI86" i="18"/>
  <c r="DG86" i="18"/>
  <c r="HA86" i="18"/>
  <c r="GI86" i="18"/>
  <c r="CW86" i="18"/>
  <c r="UW86" i="18"/>
  <c r="NK86" i="18"/>
  <c r="VO86" i="18"/>
  <c r="OC86" i="18"/>
  <c r="XC86" i="18"/>
  <c r="MO86" i="18"/>
  <c r="DY86" i="18"/>
  <c r="SB86" i="18"/>
  <c r="HK86" i="18"/>
  <c r="EK86" i="18"/>
  <c r="ID86" i="18"/>
  <c r="LU86" i="18"/>
  <c r="PO86" i="18"/>
  <c r="TE86" i="18"/>
  <c r="WW86" i="18"/>
  <c r="DU86" i="18"/>
  <c r="SS86" i="18"/>
  <c r="LC86" i="18"/>
  <c r="OU86" i="18"/>
  <c r="SO86" i="18"/>
  <c r="WF86" i="18"/>
  <c r="NX86" i="18"/>
  <c r="RI86" i="18"/>
  <c r="VC86" i="18"/>
  <c r="EA86" i="18"/>
  <c r="BS86" i="18"/>
  <c r="JY86" i="18"/>
  <c r="FD86" i="18"/>
  <c r="KS86" i="18"/>
  <c r="GA86" i="18"/>
  <c r="NE86" i="18"/>
  <c r="BY86" i="18"/>
  <c r="QQ86" i="18"/>
  <c r="XK86" i="18"/>
  <c r="OK86" i="18"/>
  <c r="HL86" i="18"/>
  <c r="RC86" i="18"/>
  <c r="GC86" i="18"/>
  <c r="VI86" i="18"/>
  <c r="RP86" i="18"/>
  <c r="MM86" i="18"/>
  <c r="VA86" i="18"/>
  <c r="RJ86" i="18"/>
  <c r="KA86" i="18"/>
  <c r="NY86" i="18"/>
  <c r="KM86" i="18"/>
  <c r="NF86" i="18"/>
  <c r="DZ86" i="18"/>
  <c r="AU86" i="18"/>
  <c r="NG86" i="18"/>
  <c r="SC86" i="18"/>
  <c r="RD86" i="18"/>
  <c r="JU86" i="18"/>
  <c r="UQ86" i="18"/>
  <c r="KG86" i="18"/>
  <c r="MN86" i="18"/>
  <c r="FE86" i="18"/>
  <c r="VB86" i="18"/>
  <c r="IE86" i="18"/>
  <c r="KQ86" i="18"/>
  <c r="BW86" i="18"/>
  <c r="FV86" i="18"/>
  <c r="QX86" i="18"/>
  <c r="JG86" i="18"/>
  <c r="MY86" i="18"/>
  <c r="QR86" i="18"/>
  <c r="UK86" i="18"/>
  <c r="XI86" i="18"/>
  <c r="KW86" i="18"/>
  <c r="OP86" i="18"/>
  <c r="SH86" i="18"/>
  <c r="VY86" i="18"/>
  <c r="FQ86" i="18"/>
  <c r="JN86" i="18"/>
  <c r="BF86" i="18"/>
  <c r="BQ86" i="18"/>
  <c r="LW86" i="18"/>
  <c r="CE86" i="18"/>
  <c r="PM86" i="18"/>
  <c r="TF86" i="18"/>
  <c r="GY86" i="18"/>
  <c r="HX86" i="18"/>
  <c r="EM86" i="18"/>
  <c r="GT86" i="18"/>
  <c r="UI86" i="18"/>
  <c r="VU86" i="18"/>
  <c r="EQ86" i="18"/>
  <c r="II86" i="18"/>
  <c r="MC86" i="18"/>
  <c r="PS86" i="18"/>
  <c r="TM86" i="18"/>
  <c r="VT86" i="18"/>
  <c r="KR86" i="18"/>
  <c r="DI86" i="18"/>
  <c r="TG86" i="18"/>
  <c r="LV86" i="18"/>
  <c r="JI86" i="18"/>
  <c r="CD86" i="18"/>
  <c r="BE86" i="18"/>
  <c r="GN86" i="18"/>
  <c r="CJ86" i="18"/>
  <c r="SI86" i="18"/>
  <c r="OO86" i="18"/>
  <c r="OW86" i="18"/>
  <c r="MB86" i="18"/>
  <c r="EL86" i="18"/>
  <c r="MZ86" i="18"/>
  <c r="HF86" i="18"/>
  <c r="HY86" i="18"/>
  <c r="TL86" i="18"/>
  <c r="DH86" i="18"/>
  <c r="JH86" i="18"/>
  <c r="WA86" i="18"/>
  <c r="SG86" i="18"/>
  <c r="ES86" i="18"/>
  <c r="HW86" i="18"/>
  <c r="BA86" i="18"/>
  <c r="TX86" i="18"/>
  <c r="MG86" i="18"/>
  <c r="TR86" i="18"/>
  <c r="JA86" i="18"/>
  <c r="QK86" i="18"/>
  <c r="XJ86" i="18"/>
  <c r="PY86" i="18"/>
  <c r="KX86" i="18"/>
  <c r="HQ86" i="18"/>
  <c r="QF86" i="18"/>
  <c r="IP86" i="18"/>
  <c r="EW86" i="18"/>
  <c r="CQ86" i="18"/>
  <c r="QS86" i="18"/>
  <c r="PZ86" i="18"/>
  <c r="AZ86" i="18"/>
  <c r="BG86" i="18"/>
  <c r="WG86" i="18"/>
  <c r="FW86" i="18"/>
  <c r="UJ86" i="18"/>
  <c r="MI86" i="18"/>
  <c r="DO86" i="18"/>
  <c r="GU86" i="18"/>
  <c r="CK86" i="18"/>
  <c r="KY86" i="18"/>
  <c r="FU86" i="18"/>
  <c r="NA86" i="18"/>
  <c r="IQ86" i="18"/>
  <c r="LK86" i="18"/>
  <c r="DM86" i="18"/>
  <c r="HS86" i="18"/>
  <c r="ST86" i="18"/>
  <c r="LJ86" i="18"/>
  <c r="PI86" i="18"/>
  <c r="UC86" i="18"/>
  <c r="FO86" i="18"/>
  <c r="SU86" i="18"/>
  <c r="TW86" i="18"/>
  <c r="PA86" i="18"/>
  <c r="JB86" i="18"/>
  <c r="FP86" i="18"/>
  <c r="QG86" i="18"/>
  <c r="TQ86" i="18"/>
  <c r="QM86" i="18"/>
  <c r="TY86" i="18"/>
  <c r="MH86" i="18"/>
  <c r="PC86" i="18"/>
  <c r="WQ86" i="18"/>
  <c r="MS86" i="18"/>
  <c r="PH86" i="18"/>
  <c r="CP86" i="18"/>
  <c r="LO86" i="18"/>
  <c r="EE86" i="18"/>
  <c r="AN86" i="18"/>
  <c r="LE86" i="18"/>
  <c r="EY86" i="18"/>
  <c r="DC86" i="18"/>
  <c r="CO86" i="18"/>
  <c r="JC86" i="18"/>
  <c r="LD86" i="18"/>
  <c r="DS86" i="18"/>
  <c r="QW86" i="18"/>
  <c r="HE86" i="18"/>
  <c r="KK86" i="18"/>
  <c r="RV86" i="18"/>
  <c r="SY86" i="18"/>
  <c r="AO86" i="18"/>
  <c r="QL86" i="18"/>
  <c r="SM86" i="18"/>
  <c r="BX86" i="18"/>
  <c r="TS86" i="18"/>
  <c r="FJ86" i="18"/>
  <c r="EX86" i="18"/>
  <c r="DB86" i="18"/>
  <c r="TA86" i="18"/>
  <c r="LP86" i="18"/>
  <c r="EG86" i="18"/>
  <c r="UD86" i="18"/>
  <c r="MU86" i="18"/>
  <c r="SN86" i="18"/>
  <c r="RW86" i="18"/>
  <c r="JO86" i="18"/>
  <c r="QY86" i="18"/>
  <c r="WX86" i="18"/>
  <c r="JM86" i="18"/>
  <c r="VH86" i="18"/>
  <c r="DT86" i="18"/>
  <c r="WR86" i="18"/>
  <c r="R85" i="18"/>
  <c r="P85" i="18"/>
  <c r="S84" i="18" s="1"/>
  <c r="Q85" i="18"/>
  <c r="U160" i="5"/>
  <c r="AG167" i="5"/>
  <c r="R169" i="5"/>
  <c r="AG164" i="5"/>
  <c r="R166" i="5"/>
  <c r="B170" i="5"/>
  <c r="K168" i="5"/>
  <c r="B173" i="5"/>
  <c r="K171" i="5"/>
  <c r="AE171" i="5"/>
  <c r="N168" i="1"/>
  <c r="J160" i="19" l="1"/>
  <c r="G83" i="15"/>
  <c r="P83" i="15"/>
  <c r="N161" i="7"/>
  <c r="D162" i="8"/>
  <c r="R162" i="8" s="1"/>
  <c r="L160" i="7"/>
  <c r="Q83" i="15"/>
  <c r="L161" i="7"/>
  <c r="K160" i="7"/>
  <c r="K160" i="19"/>
  <c r="L160" i="19"/>
  <c r="E163" i="19"/>
  <c r="K161" i="7"/>
  <c r="E163" i="8"/>
  <c r="I160" i="19"/>
  <c r="P163" i="19"/>
  <c r="D162" i="19"/>
  <c r="L162" i="19" s="1"/>
  <c r="P113" i="5"/>
  <c r="P169" i="5"/>
  <c r="T169" i="5" s="1"/>
  <c r="D112" i="19"/>
  <c r="E113" i="8"/>
  <c r="G58" i="15"/>
  <c r="E113" i="19"/>
  <c r="P58" i="15"/>
  <c r="Q58" i="15"/>
  <c r="D112" i="8"/>
  <c r="R112" i="8" s="1"/>
  <c r="L111" i="7"/>
  <c r="L110" i="7"/>
  <c r="K110" i="7"/>
  <c r="K111" i="7"/>
  <c r="N111" i="7"/>
  <c r="N110" i="7"/>
  <c r="K123" i="7"/>
  <c r="N123" i="7"/>
  <c r="L123" i="7"/>
  <c r="L122" i="7"/>
  <c r="K122" i="7"/>
  <c r="N122" i="7"/>
  <c r="G64" i="15"/>
  <c r="P64" i="15"/>
  <c r="E125" i="8"/>
  <c r="D124" i="19"/>
  <c r="Q64" i="15"/>
  <c r="E125" i="19"/>
  <c r="D124" i="8"/>
  <c r="R124" i="8" s="1"/>
  <c r="AF165" i="5"/>
  <c r="P35" i="7" s="1"/>
  <c r="I173" i="5"/>
  <c r="J173" i="5" s="1"/>
  <c r="F173" i="5" s="1"/>
  <c r="T167" i="5"/>
  <c r="AF167" i="5" s="1"/>
  <c r="P37" i="7" s="1"/>
  <c r="N103" i="7"/>
  <c r="N102" i="7"/>
  <c r="L103" i="7"/>
  <c r="K103" i="7"/>
  <c r="K102" i="7"/>
  <c r="L102" i="7"/>
  <c r="D104" i="19"/>
  <c r="E105" i="8"/>
  <c r="E105" i="19"/>
  <c r="D104" i="8"/>
  <c r="R104" i="8" s="1"/>
  <c r="P54" i="15"/>
  <c r="G54" i="15"/>
  <c r="Q54" i="15"/>
  <c r="R150" i="14"/>
  <c r="Q84" i="15" s="1"/>
  <c r="U151" i="14"/>
  <c r="T151" i="14"/>
  <c r="S151" i="14"/>
  <c r="Q169" i="5"/>
  <c r="AL164" i="5"/>
  <c r="U162" i="5"/>
  <c r="Q164" i="5"/>
  <c r="T115" i="5"/>
  <c r="AF115" i="5" s="1"/>
  <c r="AJ166" i="5"/>
  <c r="AJ168" i="5" s="1"/>
  <c r="Q149" i="14"/>
  <c r="O169" i="1"/>
  <c r="BQ169" i="1"/>
  <c r="O168" i="1"/>
  <c r="BP169" i="1"/>
  <c r="X169" i="7" s="1"/>
  <c r="L169" i="9"/>
  <c r="L168" i="9"/>
  <c r="M167" i="9"/>
  <c r="M166" i="9"/>
  <c r="J169" i="9"/>
  <c r="J168" i="9"/>
  <c r="AD170" i="5"/>
  <c r="AE170" i="5" s="1"/>
  <c r="AI170" i="5" s="1"/>
  <c r="I170" i="5"/>
  <c r="J170" i="5" s="1"/>
  <c r="T84" i="18"/>
  <c r="U84" i="18"/>
  <c r="P86" i="18"/>
  <c r="S86" i="18" s="1"/>
  <c r="Q86" i="18"/>
  <c r="T86" i="18" s="1"/>
  <c r="R86" i="18"/>
  <c r="AG169" i="5"/>
  <c r="R171" i="5"/>
  <c r="AG166" i="5"/>
  <c r="R168" i="5"/>
  <c r="B172" i="5"/>
  <c r="K170" i="5"/>
  <c r="B175" i="5"/>
  <c r="K173" i="5"/>
  <c r="AE173" i="5"/>
  <c r="F168" i="5"/>
  <c r="N163" i="7" l="1"/>
  <c r="T152" i="14"/>
  <c r="U152" i="14"/>
  <c r="S152" i="14"/>
  <c r="L162" i="7"/>
  <c r="K162" i="19"/>
  <c r="E165" i="19"/>
  <c r="P162" i="19"/>
  <c r="P84" i="15"/>
  <c r="G84" i="15"/>
  <c r="D164" i="8"/>
  <c r="R164" i="8" s="1"/>
  <c r="E165" i="8"/>
  <c r="I162" i="19"/>
  <c r="L163" i="7"/>
  <c r="K162" i="7"/>
  <c r="J162" i="19"/>
  <c r="K163" i="7"/>
  <c r="N162" i="7"/>
  <c r="D164" i="19"/>
  <c r="K164" i="19" s="1"/>
  <c r="P165" i="19"/>
  <c r="R165" i="8"/>
  <c r="P111" i="5"/>
  <c r="P171" i="5"/>
  <c r="N113" i="7"/>
  <c r="K112" i="7"/>
  <c r="L112" i="7"/>
  <c r="L113" i="7"/>
  <c r="K113" i="7"/>
  <c r="N112" i="7"/>
  <c r="D114" i="19"/>
  <c r="Q59" i="15"/>
  <c r="G59" i="15"/>
  <c r="E115" i="8"/>
  <c r="P59" i="15"/>
  <c r="E115" i="19"/>
  <c r="D114" i="8"/>
  <c r="R114" i="8" s="1"/>
  <c r="N125" i="7"/>
  <c r="L124" i="7"/>
  <c r="K124" i="7"/>
  <c r="K125" i="7"/>
  <c r="L125" i="7"/>
  <c r="N124" i="7"/>
  <c r="P65" i="15"/>
  <c r="Q65" i="15"/>
  <c r="E127" i="19"/>
  <c r="D126" i="8"/>
  <c r="R126" i="8" s="1"/>
  <c r="E127" i="8"/>
  <c r="G65" i="15"/>
  <c r="D126" i="19"/>
  <c r="I175" i="5"/>
  <c r="J175" i="5" s="1"/>
  <c r="F175" i="5" s="1"/>
  <c r="N104" i="7"/>
  <c r="K105" i="7"/>
  <c r="K104" i="7"/>
  <c r="N105" i="7"/>
  <c r="L105" i="7"/>
  <c r="L104" i="7"/>
  <c r="D106" i="19"/>
  <c r="P55" i="15"/>
  <c r="E107" i="19"/>
  <c r="G55" i="15"/>
  <c r="E107" i="8"/>
  <c r="Q55" i="15"/>
  <c r="D106" i="8"/>
  <c r="R106" i="8" s="1"/>
  <c r="R151" i="14"/>
  <c r="P85" i="15" s="1"/>
  <c r="K164" i="8"/>
  <c r="U169" i="5"/>
  <c r="AF169" i="5" s="1"/>
  <c r="P39" i="7" s="1"/>
  <c r="Q171" i="5"/>
  <c r="T113" i="5"/>
  <c r="AF113" i="5" s="1"/>
  <c r="AL166" i="5"/>
  <c r="Q150" i="14"/>
  <c r="L165" i="7" s="1"/>
  <c r="M168" i="9"/>
  <c r="M169" i="9"/>
  <c r="AD172" i="5"/>
  <c r="AE172" i="5" s="1"/>
  <c r="AI172" i="5" s="1"/>
  <c r="I172" i="5"/>
  <c r="J172" i="5" s="1"/>
  <c r="T85" i="18"/>
  <c r="S85" i="18"/>
  <c r="U85" i="18" s="1"/>
  <c r="U86" i="18"/>
  <c r="U164" i="5"/>
  <c r="Q166" i="5"/>
  <c r="AJ170" i="5"/>
  <c r="AG168" i="5"/>
  <c r="AL168" i="5" s="1"/>
  <c r="R170" i="5"/>
  <c r="AG171" i="5"/>
  <c r="R173" i="5"/>
  <c r="B177" i="5"/>
  <c r="K175" i="5"/>
  <c r="AE175" i="5"/>
  <c r="B174" i="5"/>
  <c r="K172" i="5"/>
  <c r="F170" i="5"/>
  <c r="J164" i="8" l="1"/>
  <c r="R152" i="14"/>
  <c r="R169" i="8" s="1"/>
  <c r="D166" i="8"/>
  <c r="R166" i="8" s="1"/>
  <c r="D166" i="19"/>
  <c r="P166" i="19" s="1"/>
  <c r="G85" i="15"/>
  <c r="Q85" i="15"/>
  <c r="P164" i="19"/>
  <c r="I164" i="19"/>
  <c r="E167" i="8"/>
  <c r="J164" i="19"/>
  <c r="L164" i="19"/>
  <c r="BB165" i="1"/>
  <c r="BB164" i="1"/>
  <c r="N164" i="7"/>
  <c r="E167" i="19"/>
  <c r="K164" i="7"/>
  <c r="K165" i="7"/>
  <c r="BA165" i="1"/>
  <c r="X84" i="18"/>
  <c r="AD84" i="18" s="1"/>
  <c r="BA164" i="1"/>
  <c r="BN164" i="1" s="1"/>
  <c r="BI164" i="1"/>
  <c r="BO164" i="1" s="1"/>
  <c r="N165" i="7"/>
  <c r="BI165" i="1"/>
  <c r="BO165" i="1" s="1"/>
  <c r="L164" i="7"/>
  <c r="P167" i="19"/>
  <c r="R167" i="8"/>
  <c r="P109" i="5"/>
  <c r="T171" i="5"/>
  <c r="P173" i="5"/>
  <c r="P169" i="19"/>
  <c r="N114" i="7"/>
  <c r="L114" i="7"/>
  <c r="N115" i="7"/>
  <c r="K115" i="7"/>
  <c r="L115" i="7"/>
  <c r="K114" i="7"/>
  <c r="D116" i="8"/>
  <c r="R116" i="8" s="1"/>
  <c r="D116" i="19"/>
  <c r="Q60" i="15"/>
  <c r="G60" i="15"/>
  <c r="E117" i="19"/>
  <c r="P60" i="15"/>
  <c r="E117" i="8"/>
  <c r="G66" i="15"/>
  <c r="P66" i="15"/>
  <c r="D128" i="8"/>
  <c r="R128" i="8" s="1"/>
  <c r="D128" i="19"/>
  <c r="E129" i="8"/>
  <c r="Q66" i="15"/>
  <c r="E129" i="19"/>
  <c r="L126" i="7"/>
  <c r="N126" i="7"/>
  <c r="L127" i="7"/>
  <c r="K127" i="7"/>
  <c r="N127" i="7"/>
  <c r="K126" i="7"/>
  <c r="I177" i="5"/>
  <c r="J177" i="5" s="1"/>
  <c r="F177" i="5" s="1"/>
  <c r="L107" i="7"/>
  <c r="N107" i="7"/>
  <c r="L106" i="7"/>
  <c r="K106" i="7"/>
  <c r="N106" i="7"/>
  <c r="K107" i="7"/>
  <c r="G56" i="15"/>
  <c r="D108" i="19"/>
  <c r="Q56" i="15"/>
  <c r="E109" i="19"/>
  <c r="D108" i="8"/>
  <c r="R108" i="8" s="1"/>
  <c r="P56" i="15"/>
  <c r="E109" i="8"/>
  <c r="E169" i="19"/>
  <c r="D168" i="19"/>
  <c r="Q86" i="15"/>
  <c r="P86" i="15"/>
  <c r="G86" i="15"/>
  <c r="D168" i="8"/>
  <c r="R168" i="8" s="1"/>
  <c r="E169" i="8"/>
  <c r="Q151" i="14"/>
  <c r="BB167" i="1" s="1"/>
  <c r="U171" i="5"/>
  <c r="Q173" i="5"/>
  <c r="T111" i="5"/>
  <c r="AF111" i="5" s="1"/>
  <c r="P164" i="8"/>
  <c r="P165" i="8"/>
  <c r="AD174" i="5"/>
  <c r="AE174" i="5" s="1"/>
  <c r="AI174" i="5" s="1"/>
  <c r="I174" i="5"/>
  <c r="J174" i="5" s="1"/>
  <c r="U166" i="5"/>
  <c r="Q168" i="5"/>
  <c r="U168" i="5" s="1"/>
  <c r="AJ172" i="5"/>
  <c r="AG170" i="5"/>
  <c r="AL170" i="5" s="1"/>
  <c r="R172" i="5"/>
  <c r="AG173" i="5"/>
  <c r="R175" i="5"/>
  <c r="F172" i="5"/>
  <c r="B179" i="5"/>
  <c r="K177" i="5"/>
  <c r="AE177" i="5"/>
  <c r="B176" i="5"/>
  <c r="K174" i="5"/>
  <c r="Q170" i="5" l="1"/>
  <c r="J166" i="8"/>
  <c r="K166" i="8"/>
  <c r="BN165" i="1"/>
  <c r="T165" i="7" s="1"/>
  <c r="J166" i="19"/>
  <c r="K166" i="19"/>
  <c r="L166" i="19"/>
  <c r="I166" i="19"/>
  <c r="Q152" i="14"/>
  <c r="BA169" i="1" s="1"/>
  <c r="BA166" i="1"/>
  <c r="BN166" i="1" s="1"/>
  <c r="BI166" i="1"/>
  <c r="BO166" i="1" s="1"/>
  <c r="X85" i="18"/>
  <c r="AD85" i="18" s="1"/>
  <c r="K167" i="7"/>
  <c r="N166" i="7"/>
  <c r="BB166" i="1"/>
  <c r="L166" i="7"/>
  <c r="K166" i="7"/>
  <c r="BA167" i="1"/>
  <c r="L167" i="7"/>
  <c r="BI167" i="1"/>
  <c r="BO167" i="1" s="1"/>
  <c r="N167" i="7"/>
  <c r="P107" i="5"/>
  <c r="AF171" i="5"/>
  <c r="P41" i="7" s="1"/>
  <c r="P175" i="5"/>
  <c r="T175" i="5" s="1"/>
  <c r="T173" i="5"/>
  <c r="P168" i="19"/>
  <c r="L168" i="19"/>
  <c r="K168" i="19"/>
  <c r="J168" i="19"/>
  <c r="I168" i="19"/>
  <c r="N116" i="7"/>
  <c r="N117" i="7"/>
  <c r="L116" i="7"/>
  <c r="L117" i="7"/>
  <c r="K116" i="7"/>
  <c r="K117" i="7"/>
  <c r="L128" i="7"/>
  <c r="K128" i="7"/>
  <c r="L129" i="7"/>
  <c r="N128" i="7"/>
  <c r="N129" i="7"/>
  <c r="K129" i="7"/>
  <c r="I179" i="5"/>
  <c r="J179" i="5" s="1"/>
  <c r="F179" i="5" s="1"/>
  <c r="BI169" i="1"/>
  <c r="BO169" i="1" s="1"/>
  <c r="K109" i="7"/>
  <c r="N108" i="7"/>
  <c r="N109" i="7"/>
  <c r="K108" i="7"/>
  <c r="L109" i="7"/>
  <c r="L108" i="7"/>
  <c r="N168" i="7"/>
  <c r="K168" i="8"/>
  <c r="J168" i="8"/>
  <c r="L168" i="7"/>
  <c r="BA168" i="1"/>
  <c r="K168" i="7"/>
  <c r="BI168" i="1"/>
  <c r="BO168" i="1" s="1"/>
  <c r="L169" i="7"/>
  <c r="BB169" i="1"/>
  <c r="K169" i="7"/>
  <c r="X86" i="18"/>
  <c r="AD86" i="18" s="1"/>
  <c r="N169" i="7"/>
  <c r="BB168" i="1"/>
  <c r="BT164" i="1"/>
  <c r="T164" i="7"/>
  <c r="U173" i="5"/>
  <c r="Q175" i="5"/>
  <c r="U175" i="5" s="1"/>
  <c r="T109" i="5"/>
  <c r="AF109" i="5" s="1"/>
  <c r="AD176" i="5"/>
  <c r="AE176" i="5" s="1"/>
  <c r="AI176" i="5" s="1"/>
  <c r="I176" i="5"/>
  <c r="J176" i="5" s="1"/>
  <c r="AG172" i="5"/>
  <c r="AL172" i="5" s="1"/>
  <c r="R174" i="5"/>
  <c r="AG175" i="5"/>
  <c r="R177" i="5"/>
  <c r="B178" i="5"/>
  <c r="K176" i="5"/>
  <c r="F174" i="5"/>
  <c r="AJ174" i="5"/>
  <c r="B181" i="5"/>
  <c r="K179" i="5"/>
  <c r="AE179" i="5"/>
  <c r="AF173" i="5" l="1"/>
  <c r="P43" i="7" s="1"/>
  <c r="BN169" i="1"/>
  <c r="T169" i="7" s="1"/>
  <c r="BN167" i="1"/>
  <c r="T167" i="7" s="1"/>
  <c r="P105" i="5"/>
  <c r="P177" i="5"/>
  <c r="Q177" i="5"/>
  <c r="I181" i="5"/>
  <c r="J181" i="5" s="1"/>
  <c r="F181" i="5" s="1"/>
  <c r="BN168" i="1"/>
  <c r="T168" i="7" s="1"/>
  <c r="BT166" i="1"/>
  <c r="T166" i="7"/>
  <c r="T107" i="5"/>
  <c r="AF107" i="5" s="1"/>
  <c r="P166" i="8"/>
  <c r="P167" i="8"/>
  <c r="P168" i="8"/>
  <c r="P169" i="8"/>
  <c r="AD178" i="5"/>
  <c r="I178" i="5"/>
  <c r="J178" i="5" s="1"/>
  <c r="U170" i="5"/>
  <c r="Q172" i="5"/>
  <c r="AJ176" i="5"/>
  <c r="AG174" i="5"/>
  <c r="AL174" i="5" s="1"/>
  <c r="R176" i="5"/>
  <c r="AG177" i="5"/>
  <c r="R179" i="5"/>
  <c r="B183" i="5"/>
  <c r="AE181" i="5"/>
  <c r="K181" i="5"/>
  <c r="B180" i="5"/>
  <c r="K178" i="5"/>
  <c r="F176" i="5"/>
  <c r="AF175" i="5"/>
  <c r="P45" i="7" s="1"/>
  <c r="P103" i="5" l="1"/>
  <c r="P179" i="5"/>
  <c r="T177" i="5"/>
  <c r="U177" i="5"/>
  <c r="Q179" i="5"/>
  <c r="I183" i="5"/>
  <c r="J183" i="5" s="1"/>
  <c r="F183" i="5" s="1"/>
  <c r="BT168" i="1"/>
  <c r="T105" i="5"/>
  <c r="AF105" i="5" s="1"/>
  <c r="AD180" i="5"/>
  <c r="I180" i="5"/>
  <c r="J180" i="5" s="1"/>
  <c r="U172" i="5"/>
  <c r="Q174" i="5"/>
  <c r="AJ178" i="5"/>
  <c r="AG179" i="5"/>
  <c r="R181" i="5"/>
  <c r="AG176" i="5"/>
  <c r="AL176" i="5" s="1"/>
  <c r="R178" i="5"/>
  <c r="B185" i="5"/>
  <c r="K183" i="5"/>
  <c r="AE183" i="5"/>
  <c r="B182" i="5"/>
  <c r="K180" i="5"/>
  <c r="F178" i="5"/>
  <c r="P101" i="5" l="1"/>
  <c r="AF177" i="5"/>
  <c r="P47" i="7" s="1"/>
  <c r="T179" i="5"/>
  <c r="P181" i="5"/>
  <c r="U179" i="5"/>
  <c r="Q181" i="5"/>
  <c r="I185" i="5"/>
  <c r="J185" i="5" s="1"/>
  <c r="F185" i="5" s="1"/>
  <c r="T103" i="5"/>
  <c r="AF103" i="5" s="1"/>
  <c r="AD182" i="5"/>
  <c r="AE182" i="5" s="1"/>
  <c r="AI182" i="5" s="1"/>
  <c r="I182" i="5"/>
  <c r="J182" i="5" s="1"/>
  <c r="U174" i="5"/>
  <c r="Q176" i="5"/>
  <c r="U176" i="5" s="1"/>
  <c r="AG181" i="5"/>
  <c r="R183" i="5"/>
  <c r="AG178" i="5"/>
  <c r="AL178" i="5" s="1"/>
  <c r="R180" i="5"/>
  <c r="B184" i="5"/>
  <c r="K182" i="5"/>
  <c r="F180" i="5"/>
  <c r="AJ180" i="5"/>
  <c r="B187" i="5"/>
  <c r="AE185" i="5"/>
  <c r="K185" i="5"/>
  <c r="E14" i="12"/>
  <c r="Q178" i="5" l="1"/>
  <c r="P99" i="5"/>
  <c r="AF179" i="5"/>
  <c r="P49" i="7" s="1"/>
  <c r="P183" i="5"/>
  <c r="T181" i="5"/>
  <c r="U181" i="5"/>
  <c r="Q183" i="5"/>
  <c r="I187" i="5"/>
  <c r="J187" i="5" s="1"/>
  <c r="F187" i="5" s="1"/>
  <c r="T101" i="5"/>
  <c r="AF101" i="5" s="1"/>
  <c r="AD184" i="5"/>
  <c r="AE184" i="5" s="1"/>
  <c r="AI184" i="5" s="1"/>
  <c r="I184" i="5"/>
  <c r="J184" i="5" s="1"/>
  <c r="AJ182" i="5"/>
  <c r="AG180" i="5"/>
  <c r="AL180" i="5" s="1"/>
  <c r="R182" i="5"/>
  <c r="AG183" i="5"/>
  <c r="R185" i="5"/>
  <c r="B189" i="5"/>
  <c r="AE187" i="5"/>
  <c r="K187" i="5"/>
  <c r="B186" i="5"/>
  <c r="K184" i="5"/>
  <c r="F182" i="5"/>
  <c r="P97" i="5" l="1"/>
  <c r="AF181" i="5"/>
  <c r="P51" i="7" s="1"/>
  <c r="T183" i="5"/>
  <c r="P185" i="5"/>
  <c r="T185" i="5" s="1"/>
  <c r="U183" i="5"/>
  <c r="I189" i="5"/>
  <c r="J189" i="5" s="1"/>
  <c r="F189" i="5" s="1"/>
  <c r="Q185" i="5"/>
  <c r="U185" i="5" s="1"/>
  <c r="T99" i="5"/>
  <c r="AF99" i="5" s="1"/>
  <c r="AD186" i="5"/>
  <c r="AE186" i="5" s="1"/>
  <c r="AI186" i="5" s="1"/>
  <c r="I186" i="5"/>
  <c r="J186" i="5" s="1"/>
  <c r="U178" i="5"/>
  <c r="Q180" i="5"/>
  <c r="AG182" i="5"/>
  <c r="AL182" i="5" s="1"/>
  <c r="R184" i="5"/>
  <c r="AG185" i="5"/>
  <c r="R187" i="5"/>
  <c r="B188" i="5"/>
  <c r="K186" i="5"/>
  <c r="B191" i="5"/>
  <c r="K189" i="5"/>
  <c r="AE189" i="5"/>
  <c r="F184" i="5"/>
  <c r="AJ184" i="5"/>
  <c r="P95" i="5" l="1"/>
  <c r="P187" i="5"/>
  <c r="Q187" i="5"/>
  <c r="AF183" i="5"/>
  <c r="P53" i="7" s="1"/>
  <c r="I191" i="5"/>
  <c r="J191" i="5" s="1"/>
  <c r="F191" i="5" s="1"/>
  <c r="T97" i="5"/>
  <c r="AF97" i="5" s="1"/>
  <c r="AD188" i="5"/>
  <c r="AE188" i="5" s="1"/>
  <c r="AI188" i="5" s="1"/>
  <c r="I188" i="5"/>
  <c r="J188" i="5" s="1"/>
  <c r="U180" i="5"/>
  <c r="Q182" i="5"/>
  <c r="U182" i="5" s="1"/>
  <c r="AJ186" i="5"/>
  <c r="AG187" i="5"/>
  <c r="R189" i="5"/>
  <c r="AG184" i="5"/>
  <c r="AL184" i="5" s="1"/>
  <c r="R186" i="5"/>
  <c r="AF185" i="5"/>
  <c r="P55" i="7" s="1"/>
  <c r="B193" i="5"/>
  <c r="K191" i="5"/>
  <c r="AE191" i="5"/>
  <c r="B190" i="5"/>
  <c r="K188" i="5"/>
  <c r="F186" i="5"/>
  <c r="Q184" i="5" l="1"/>
  <c r="P93" i="5"/>
  <c r="T187" i="5"/>
  <c r="P189" i="5"/>
  <c r="U187" i="5"/>
  <c r="Q189" i="5"/>
  <c r="I193" i="5"/>
  <c r="J193" i="5" s="1"/>
  <c r="F193" i="5" s="1"/>
  <c r="T95" i="5"/>
  <c r="AF95" i="5" s="1"/>
  <c r="AD190" i="5"/>
  <c r="AE190" i="5" s="1"/>
  <c r="AI190" i="5" s="1"/>
  <c r="I190" i="5"/>
  <c r="J190" i="5" s="1"/>
  <c r="AG186" i="5"/>
  <c r="AL186" i="5" s="1"/>
  <c r="R188" i="5"/>
  <c r="AG189" i="5"/>
  <c r="R191" i="5"/>
  <c r="B192" i="5"/>
  <c r="K190" i="5"/>
  <c r="F188" i="5"/>
  <c r="B195" i="5"/>
  <c r="AE193" i="5"/>
  <c r="K193" i="5"/>
  <c r="AJ188" i="5"/>
  <c r="P91" i="5" l="1"/>
  <c r="AF187" i="5"/>
  <c r="P57" i="7" s="1"/>
  <c r="P191" i="5"/>
  <c r="T189" i="5"/>
  <c r="U189" i="5"/>
  <c r="I195" i="5"/>
  <c r="J195" i="5" s="1"/>
  <c r="F195" i="5" s="1"/>
  <c r="Q191" i="5"/>
  <c r="U191" i="5" s="1"/>
  <c r="T93" i="5"/>
  <c r="AF93" i="5" s="1"/>
  <c r="AD192" i="5"/>
  <c r="AE192" i="5" s="1"/>
  <c r="AI192" i="5" s="1"/>
  <c r="I192" i="5"/>
  <c r="J192" i="5" s="1"/>
  <c r="U184" i="5"/>
  <c r="Q186" i="5"/>
  <c r="AJ190" i="5"/>
  <c r="AG188" i="5"/>
  <c r="AL188" i="5" s="1"/>
  <c r="R190" i="5"/>
  <c r="AG191" i="5"/>
  <c r="R193" i="5"/>
  <c r="B197" i="5"/>
  <c r="AE195" i="5"/>
  <c r="K195" i="5"/>
  <c r="F190" i="5"/>
  <c r="B194" i="5"/>
  <c r="K192" i="5"/>
  <c r="Q193" i="5" l="1"/>
  <c r="P89" i="5"/>
  <c r="AF189" i="5"/>
  <c r="P59" i="7" s="1"/>
  <c r="P193" i="5"/>
  <c r="T193" i="5" s="1"/>
  <c r="T191" i="5"/>
  <c r="AF191" i="5" s="1"/>
  <c r="P61" i="7" s="1"/>
  <c r="I197" i="5"/>
  <c r="J197" i="5" s="1"/>
  <c r="F197" i="5" s="1"/>
  <c r="T91" i="5"/>
  <c r="AF91" i="5" s="1"/>
  <c r="AD194" i="5"/>
  <c r="AE194" i="5" s="1"/>
  <c r="AI194" i="5" s="1"/>
  <c r="I194" i="5"/>
  <c r="J194" i="5" s="1"/>
  <c r="U186" i="5"/>
  <c r="Q188" i="5"/>
  <c r="AG190" i="5"/>
  <c r="AL190" i="5" s="1"/>
  <c r="R192" i="5"/>
  <c r="AG193" i="5"/>
  <c r="R195" i="5"/>
  <c r="F192" i="5"/>
  <c r="AJ192" i="5"/>
  <c r="B196" i="5"/>
  <c r="K194" i="5"/>
  <c r="B199" i="5"/>
  <c r="AE197" i="5"/>
  <c r="K197" i="5"/>
  <c r="P195" i="5" l="1"/>
  <c r="P87" i="5"/>
  <c r="U193" i="5"/>
  <c r="AF193" i="5" s="1"/>
  <c r="P63" i="7" s="1"/>
  <c r="Q195" i="5"/>
  <c r="T89" i="5"/>
  <c r="AF89" i="5" s="1"/>
  <c r="AD196" i="5"/>
  <c r="AE196" i="5" s="1"/>
  <c r="AI196" i="5" s="1"/>
  <c r="I196" i="5"/>
  <c r="J196" i="5" s="1"/>
  <c r="I199" i="5"/>
  <c r="J199" i="5" s="1"/>
  <c r="U188" i="5"/>
  <c r="Q190" i="5"/>
  <c r="U190" i="5" s="1"/>
  <c r="R194" i="5"/>
  <c r="AG192" i="5"/>
  <c r="AL192" i="5" s="1"/>
  <c r="AG195" i="5"/>
  <c r="R197" i="5"/>
  <c r="F194" i="5"/>
  <c r="AJ194" i="5"/>
  <c r="B201" i="5"/>
  <c r="AE199" i="5"/>
  <c r="K199" i="5"/>
  <c r="B198" i="5"/>
  <c r="K196" i="5"/>
  <c r="Q192" i="5" l="1"/>
  <c r="P85" i="5"/>
  <c r="P197" i="5"/>
  <c r="T197" i="5" s="1"/>
  <c r="T195" i="5"/>
  <c r="U195" i="5"/>
  <c r="Q197" i="5"/>
  <c r="U197" i="5" s="1"/>
  <c r="I201" i="5"/>
  <c r="J201" i="5" s="1"/>
  <c r="F201" i="5" s="1"/>
  <c r="T87" i="5"/>
  <c r="AF87" i="5" s="1"/>
  <c r="U25" i="15"/>
  <c r="Y25" i="18" s="1"/>
  <c r="F199" i="5"/>
  <c r="AD198" i="5"/>
  <c r="AE198" i="5" s="1"/>
  <c r="AI198" i="5" s="1"/>
  <c r="I198" i="5"/>
  <c r="U26" i="15"/>
  <c r="Y26" i="18" s="1"/>
  <c r="U34" i="15"/>
  <c r="Y34" i="18" s="1"/>
  <c r="U38" i="15"/>
  <c r="Y38" i="18" s="1"/>
  <c r="U33" i="15"/>
  <c r="Y33" i="18" s="1"/>
  <c r="U28" i="15"/>
  <c r="Y28" i="18" s="1"/>
  <c r="U20" i="15"/>
  <c r="Y20" i="18" s="1"/>
  <c r="Y32" i="18"/>
  <c r="Y30" i="18"/>
  <c r="Y7" i="18"/>
  <c r="Y17" i="18"/>
  <c r="Y8" i="18"/>
  <c r="Y12" i="18"/>
  <c r="Y18" i="18"/>
  <c r="R196" i="5"/>
  <c r="AG194" i="5"/>
  <c r="AL194" i="5" s="1"/>
  <c r="AG197" i="5"/>
  <c r="R199" i="5"/>
  <c r="B200" i="5"/>
  <c r="K198" i="5"/>
  <c r="F196" i="5"/>
  <c r="B203" i="5"/>
  <c r="K201" i="5"/>
  <c r="AE201" i="5"/>
  <c r="AJ196" i="5"/>
  <c r="I107" i="4"/>
  <c r="Q199" i="5" l="1"/>
  <c r="P199" i="5"/>
  <c r="P83" i="5"/>
  <c r="I203" i="5"/>
  <c r="J203" i="5" s="1"/>
  <c r="F203" i="5" s="1"/>
  <c r="AF195" i="5"/>
  <c r="P65" i="7" s="1"/>
  <c r="BI11" i="1"/>
  <c r="BB11" i="1"/>
  <c r="BA11" i="1"/>
  <c r="J9" i="1"/>
  <c r="J198" i="5"/>
  <c r="AJ198" i="5" s="1"/>
  <c r="E17" i="12"/>
  <c r="E19" i="12" s="1"/>
  <c r="T85" i="5"/>
  <c r="AF85" i="5" s="1"/>
  <c r="AD200" i="5"/>
  <c r="AE200" i="5" s="1"/>
  <c r="AI200" i="5" s="1"/>
  <c r="I200" i="5"/>
  <c r="J200" i="5" s="1"/>
  <c r="V7" i="15"/>
  <c r="S8" i="15" s="1"/>
  <c r="Y15" i="18"/>
  <c r="U192" i="5"/>
  <c r="Q194" i="5"/>
  <c r="U194" i="5" s="1"/>
  <c r="R198" i="5"/>
  <c r="AG196" i="5"/>
  <c r="AL196" i="5" s="1"/>
  <c r="AG199" i="5"/>
  <c r="R201" i="5"/>
  <c r="AF197" i="5"/>
  <c r="P67" i="7" s="1"/>
  <c r="B202" i="5"/>
  <c r="K200" i="5"/>
  <c r="B205" i="5"/>
  <c r="AE203" i="5"/>
  <c r="K203" i="5"/>
  <c r="I89" i="4"/>
  <c r="I63" i="4"/>
  <c r="Q196" i="5" l="1"/>
  <c r="U31" i="15"/>
  <c r="Y31" i="18" s="1"/>
  <c r="U23" i="15"/>
  <c r="Y23" i="18" s="1"/>
  <c r="P81" i="5"/>
  <c r="I205" i="5"/>
  <c r="J205" i="5" s="1"/>
  <c r="F205" i="5" s="1"/>
  <c r="F198" i="5"/>
  <c r="U27" i="15"/>
  <c r="Y27" i="18" s="1"/>
  <c r="U29" i="15"/>
  <c r="Y29" i="18" s="1"/>
  <c r="U36" i="15"/>
  <c r="Y36" i="18" s="1"/>
  <c r="U24" i="15"/>
  <c r="Y24" i="18" s="1"/>
  <c r="BI13" i="1"/>
  <c r="BB13" i="1"/>
  <c r="BA13" i="1"/>
  <c r="BB10" i="1"/>
  <c r="BA10" i="1"/>
  <c r="BI10" i="1"/>
  <c r="H6" i="18"/>
  <c r="H7" i="18"/>
  <c r="X7" i="18" s="1"/>
  <c r="AD7" i="18" s="1"/>
  <c r="J8" i="1"/>
  <c r="T83" i="5"/>
  <c r="AF83" i="5" s="1"/>
  <c r="P201" i="5"/>
  <c r="U199" i="5"/>
  <c r="Q201" i="5"/>
  <c r="U201" i="5" s="1"/>
  <c r="T199" i="5"/>
  <c r="AD202" i="5"/>
  <c r="AE202" i="5" s="1"/>
  <c r="AI202" i="5" s="1"/>
  <c r="I202" i="5"/>
  <c r="J202" i="5" s="1"/>
  <c r="V8" i="15"/>
  <c r="S9" i="15" s="1"/>
  <c r="R200" i="5"/>
  <c r="AG198" i="5"/>
  <c r="AL198" i="5" s="1"/>
  <c r="AJ200" i="5"/>
  <c r="AG201" i="5"/>
  <c r="R203" i="5"/>
  <c r="B207" i="5"/>
  <c r="AE205" i="5"/>
  <c r="K205" i="5"/>
  <c r="B204" i="5"/>
  <c r="K202" i="5"/>
  <c r="F200" i="5"/>
  <c r="I88" i="4"/>
  <c r="Q198" i="5" l="1"/>
  <c r="BB12" i="1"/>
  <c r="BA12" i="1"/>
  <c r="BI12" i="1"/>
  <c r="H8" i="18"/>
  <c r="X8" i="18" s="1"/>
  <c r="AD8" i="18" s="1"/>
  <c r="BI15" i="1"/>
  <c r="BA15" i="1"/>
  <c r="BB15" i="1"/>
  <c r="AN11" i="1"/>
  <c r="AU11" i="1"/>
  <c r="AM11" i="1"/>
  <c r="P79" i="5"/>
  <c r="T81" i="5"/>
  <c r="AF81" i="5" s="1"/>
  <c r="I207" i="5"/>
  <c r="J207" i="5" s="1"/>
  <c r="F207" i="5" s="1"/>
  <c r="Q203" i="5"/>
  <c r="AF199" i="5"/>
  <c r="P69" i="7" s="1"/>
  <c r="T201" i="5"/>
  <c r="P203" i="5"/>
  <c r="AD204" i="5"/>
  <c r="AE204" i="5" s="1"/>
  <c r="AI204" i="5" s="1"/>
  <c r="I204" i="5"/>
  <c r="J204" i="5" s="1"/>
  <c r="U196" i="5"/>
  <c r="R202" i="5"/>
  <c r="AG200" i="5"/>
  <c r="AL200" i="5" s="1"/>
  <c r="AG203" i="5"/>
  <c r="R205" i="5"/>
  <c r="B206" i="5"/>
  <c r="K204" i="5"/>
  <c r="F202" i="5"/>
  <c r="B209" i="5"/>
  <c r="K207" i="5"/>
  <c r="AE207" i="5"/>
  <c r="AJ202" i="5"/>
  <c r="P77" i="5" l="1"/>
  <c r="K10" i="8"/>
  <c r="K11" i="8"/>
  <c r="BA14" i="1"/>
  <c r="H9" i="18"/>
  <c r="X9" i="18" s="1"/>
  <c r="AD9" i="18" s="1"/>
  <c r="BB14" i="1"/>
  <c r="BI14" i="1"/>
  <c r="BA17" i="1"/>
  <c r="BI17" i="1"/>
  <c r="BB17" i="1"/>
  <c r="Y11" i="1"/>
  <c r="BN11" i="1" s="1"/>
  <c r="T11" i="7" s="1"/>
  <c r="AG11" i="1"/>
  <c r="BO11" i="1" s="1"/>
  <c r="Z11" i="1"/>
  <c r="T79" i="5"/>
  <c r="AF79" i="5" s="1"/>
  <c r="I209" i="5"/>
  <c r="J209" i="5" s="1"/>
  <c r="F209" i="5" s="1"/>
  <c r="AF201" i="5"/>
  <c r="P71" i="7" s="1"/>
  <c r="T203" i="5"/>
  <c r="U203" i="5"/>
  <c r="Q205" i="5"/>
  <c r="P205" i="5"/>
  <c r="AD206" i="5"/>
  <c r="AE206" i="5" s="1"/>
  <c r="AI206" i="5" s="1"/>
  <c r="I206" i="5"/>
  <c r="J206" i="5" s="1"/>
  <c r="U198" i="5"/>
  <c r="Q200" i="5"/>
  <c r="AG202" i="5"/>
  <c r="AL202" i="5" s="1"/>
  <c r="R204" i="5"/>
  <c r="AJ204" i="5"/>
  <c r="AG205" i="5"/>
  <c r="R207" i="5"/>
  <c r="B211" i="5"/>
  <c r="K209" i="5"/>
  <c r="AE209" i="5"/>
  <c r="B208" i="5"/>
  <c r="K206" i="5"/>
  <c r="F204" i="5"/>
  <c r="BA16" i="1" l="1"/>
  <c r="BI16" i="1"/>
  <c r="H10" i="18"/>
  <c r="X10" i="18" s="1"/>
  <c r="AD10" i="18" s="1"/>
  <c r="BB16" i="1"/>
  <c r="K13" i="8"/>
  <c r="K12" i="8"/>
  <c r="AM13" i="1"/>
  <c r="AU13" i="1"/>
  <c r="AN13" i="1"/>
  <c r="AG13" i="1"/>
  <c r="Y13" i="1"/>
  <c r="Z13" i="1"/>
  <c r="BA19" i="1"/>
  <c r="BB19" i="1"/>
  <c r="BI19" i="1"/>
  <c r="P75" i="5"/>
  <c r="T77" i="5"/>
  <c r="AF77" i="5" s="1"/>
  <c r="I211" i="5"/>
  <c r="J211" i="5" s="1"/>
  <c r="F211" i="5" s="1"/>
  <c r="T205" i="5"/>
  <c r="AF203" i="5"/>
  <c r="P73" i="7" s="1"/>
  <c r="P207" i="5"/>
  <c r="U205" i="5"/>
  <c r="Q207" i="5"/>
  <c r="U207" i="5" s="1"/>
  <c r="AD208" i="5"/>
  <c r="AE208" i="5" s="1"/>
  <c r="AI208" i="5" s="1"/>
  <c r="I208" i="5"/>
  <c r="J208" i="5" s="1"/>
  <c r="U200" i="5"/>
  <c r="Q202" i="5"/>
  <c r="U202" i="5" s="1"/>
  <c r="R206" i="5"/>
  <c r="AG204" i="5"/>
  <c r="AL204" i="5" s="1"/>
  <c r="AJ206" i="5"/>
  <c r="AG207" i="5"/>
  <c r="R209" i="5"/>
  <c r="B210" i="5"/>
  <c r="K208" i="5"/>
  <c r="F206" i="5"/>
  <c r="B213" i="5"/>
  <c r="AE211" i="5"/>
  <c r="K211" i="5"/>
  <c r="Q204" i="5" l="1"/>
  <c r="BN13" i="1"/>
  <c r="T13" i="7" s="1"/>
  <c r="AU12" i="1"/>
  <c r="AN12" i="1"/>
  <c r="AM12" i="1"/>
  <c r="BI21" i="1"/>
  <c r="BA21" i="1"/>
  <c r="BB21" i="1"/>
  <c r="BB18" i="1"/>
  <c r="BI18" i="1"/>
  <c r="H11" i="18"/>
  <c r="X11" i="18" s="1"/>
  <c r="AD11" i="18" s="1"/>
  <c r="BA18" i="1"/>
  <c r="AM10" i="1"/>
  <c r="AU10" i="1"/>
  <c r="AN10" i="1"/>
  <c r="AM17" i="1"/>
  <c r="AU17" i="1"/>
  <c r="AN17" i="1"/>
  <c r="Y15" i="1"/>
  <c r="Z15" i="1"/>
  <c r="AG15" i="1"/>
  <c r="K15" i="8"/>
  <c r="K14" i="8"/>
  <c r="AU15" i="1"/>
  <c r="AM15" i="1"/>
  <c r="AN15" i="1"/>
  <c r="BO13" i="1"/>
  <c r="P73" i="5"/>
  <c r="T75" i="5"/>
  <c r="AF75" i="5" s="1"/>
  <c r="I213" i="5"/>
  <c r="J213" i="5" s="1"/>
  <c r="F213" i="5" s="1"/>
  <c r="Q209" i="5"/>
  <c r="AF205" i="5"/>
  <c r="P75" i="7" s="1"/>
  <c r="T207" i="5"/>
  <c r="P209" i="5"/>
  <c r="AD210" i="5"/>
  <c r="AE210" i="5" s="1"/>
  <c r="AI210" i="5" s="1"/>
  <c r="I210" i="5"/>
  <c r="J210" i="5" s="1"/>
  <c r="AG206" i="5"/>
  <c r="AL206" i="5" s="1"/>
  <c r="R208" i="5"/>
  <c r="AG209" i="5"/>
  <c r="R211" i="5"/>
  <c r="B215" i="5"/>
  <c r="AE213" i="5"/>
  <c r="K213" i="5"/>
  <c r="B212" i="5"/>
  <c r="K210" i="5"/>
  <c r="F208" i="5"/>
  <c r="AJ208" i="5"/>
  <c r="K16" i="8" l="1"/>
  <c r="K17" i="8"/>
  <c r="AF207" i="5"/>
  <c r="P77" i="7" s="1"/>
  <c r="AG17" i="1"/>
  <c r="BO17" i="1" s="1"/>
  <c r="Z17" i="1"/>
  <c r="Y17" i="1"/>
  <c r="BN17" i="1" s="1"/>
  <c r="T17" i="7" s="1"/>
  <c r="H12" i="18"/>
  <c r="X12" i="18" s="1"/>
  <c r="AD12" i="18" s="1"/>
  <c r="BB20" i="1"/>
  <c r="BA20" i="1"/>
  <c r="BI20" i="1"/>
  <c r="BN15" i="1"/>
  <c r="T15" i="7" s="1"/>
  <c r="BA63" i="1"/>
  <c r="BA23" i="1"/>
  <c r="BI23" i="1"/>
  <c r="BB23" i="1"/>
  <c r="BO15" i="1"/>
  <c r="P71" i="5"/>
  <c r="T73" i="5"/>
  <c r="AF73" i="5" s="1"/>
  <c r="I215" i="5"/>
  <c r="J215" i="5" s="1"/>
  <c r="F215" i="5" s="1"/>
  <c r="T209" i="5"/>
  <c r="P211" i="5"/>
  <c r="U209" i="5"/>
  <c r="Q211" i="5"/>
  <c r="AD212" i="5"/>
  <c r="AE212" i="5" s="1"/>
  <c r="AI212" i="5" s="1"/>
  <c r="I212" i="5"/>
  <c r="J212" i="5" s="1"/>
  <c r="BB63" i="1"/>
  <c r="BI63" i="1"/>
  <c r="U204" i="5"/>
  <c r="Q206" i="5"/>
  <c r="R210" i="5"/>
  <c r="AG208" i="5"/>
  <c r="AL208" i="5" s="1"/>
  <c r="AJ210" i="5"/>
  <c r="AG211" i="5"/>
  <c r="R213" i="5"/>
  <c r="B217" i="5"/>
  <c r="AE215" i="5"/>
  <c r="K215" i="5"/>
  <c r="B214" i="5"/>
  <c r="K212" i="5"/>
  <c r="F210" i="5"/>
  <c r="I62" i="4"/>
  <c r="BI65" i="1" l="1"/>
  <c r="BA25" i="1"/>
  <c r="BB25" i="1"/>
  <c r="BI25" i="1"/>
  <c r="AG19" i="1"/>
  <c r="Z19" i="1"/>
  <c r="Y19" i="1"/>
  <c r="AN14" i="1"/>
  <c r="AU14" i="1"/>
  <c r="AM14" i="1"/>
  <c r="H13" i="18"/>
  <c r="X13" i="18" s="1"/>
  <c r="AD13" i="18" s="1"/>
  <c r="BA22" i="1"/>
  <c r="BB22" i="1"/>
  <c r="BI22" i="1"/>
  <c r="K19" i="8"/>
  <c r="K18" i="8"/>
  <c r="AM19" i="1"/>
  <c r="AU19" i="1"/>
  <c r="AN19" i="1"/>
  <c r="BA62" i="1"/>
  <c r="S141" i="5"/>
  <c r="P69" i="5"/>
  <c r="T71" i="5"/>
  <c r="AF71" i="5" s="1"/>
  <c r="I217" i="5"/>
  <c r="J217" i="5" s="1"/>
  <c r="F217" i="5" s="1"/>
  <c r="T211" i="5"/>
  <c r="P213" i="5"/>
  <c r="T213" i="5" s="1"/>
  <c r="AF209" i="5"/>
  <c r="P79" i="7" s="1"/>
  <c r="U211" i="5"/>
  <c r="Q213" i="5"/>
  <c r="U213" i="5" s="1"/>
  <c r="AD214" i="5"/>
  <c r="AE214" i="5" s="1"/>
  <c r="AI214" i="5" s="1"/>
  <c r="Z34" i="18" s="1"/>
  <c r="I214" i="5"/>
  <c r="J214" i="5" s="1"/>
  <c r="AN63" i="1"/>
  <c r="BI62" i="1"/>
  <c r="BA65" i="1"/>
  <c r="AU63" i="1"/>
  <c r="H33" i="18"/>
  <c r="X33" i="18" s="1"/>
  <c r="AD33" i="18" s="1"/>
  <c r="BB62" i="1"/>
  <c r="BB65" i="1"/>
  <c r="U206" i="5"/>
  <c r="Q208" i="5"/>
  <c r="R212" i="5"/>
  <c r="AG210" i="5"/>
  <c r="AL210" i="5" s="1"/>
  <c r="AG213" i="5"/>
  <c r="R215" i="5"/>
  <c r="B216" i="5"/>
  <c r="K214" i="5"/>
  <c r="F212" i="5"/>
  <c r="B219" i="5"/>
  <c r="K217" i="5"/>
  <c r="AE217" i="5"/>
  <c r="AJ212" i="5"/>
  <c r="Q215" i="5" l="1"/>
  <c r="P215" i="5"/>
  <c r="S143" i="5"/>
  <c r="S139" i="5"/>
  <c r="X141" i="5"/>
  <c r="BI24" i="1"/>
  <c r="BA24" i="1"/>
  <c r="BB24" i="1"/>
  <c r="H14" i="18"/>
  <c r="X14" i="18" s="1"/>
  <c r="AD14" i="18" s="1"/>
  <c r="K21" i="8"/>
  <c r="K20" i="8"/>
  <c r="AU21" i="1"/>
  <c r="AN21" i="1"/>
  <c r="AM21" i="1"/>
  <c r="BO19" i="1"/>
  <c r="Y23" i="1"/>
  <c r="Z23" i="1"/>
  <c r="AG23" i="1"/>
  <c r="BA27" i="1"/>
  <c r="BI27" i="1"/>
  <c r="BB27" i="1"/>
  <c r="AM16" i="1"/>
  <c r="AU16" i="1"/>
  <c r="AN16" i="1"/>
  <c r="AM63" i="1"/>
  <c r="AN23" i="1"/>
  <c r="AU23" i="1"/>
  <c r="AM23" i="1"/>
  <c r="Y21" i="1"/>
  <c r="Z21" i="1"/>
  <c r="AG21" i="1"/>
  <c r="BN19" i="1"/>
  <c r="T19" i="7" s="1"/>
  <c r="BB64" i="1"/>
  <c r="W141" i="5"/>
  <c r="V141" i="5"/>
  <c r="AM141" i="5"/>
  <c r="AN141" i="5" s="1"/>
  <c r="P67" i="5"/>
  <c r="AF211" i="5"/>
  <c r="P81" i="7" s="1"/>
  <c r="T69" i="5"/>
  <c r="AF69" i="5" s="1"/>
  <c r="I219" i="5"/>
  <c r="J219" i="5" s="1"/>
  <c r="F219" i="5" s="1"/>
  <c r="Z63" i="1"/>
  <c r="AD216" i="5"/>
  <c r="AE216" i="5" s="1"/>
  <c r="AI216" i="5" s="1"/>
  <c r="Z35" i="18" s="1"/>
  <c r="I216" i="5"/>
  <c r="J216" i="5" s="1"/>
  <c r="AG63" i="1"/>
  <c r="BO63" i="1" s="1"/>
  <c r="BI67" i="1"/>
  <c r="H34" i="18"/>
  <c r="X34" i="18" s="1"/>
  <c r="AD34" i="18" s="1"/>
  <c r="AU65" i="1"/>
  <c r="Y63" i="1"/>
  <c r="BB67" i="1"/>
  <c r="BA64" i="1"/>
  <c r="AN65" i="1"/>
  <c r="BA67" i="1"/>
  <c r="BI64" i="1"/>
  <c r="U208" i="5"/>
  <c r="Q210" i="5"/>
  <c r="U210" i="5" s="1"/>
  <c r="R214" i="5"/>
  <c r="AG212" i="5"/>
  <c r="AL212" i="5" s="1"/>
  <c r="AJ214" i="5"/>
  <c r="AG215" i="5"/>
  <c r="R217" i="5"/>
  <c r="F214" i="5"/>
  <c r="AF213" i="5"/>
  <c r="P83" i="7" s="1"/>
  <c r="B221" i="5"/>
  <c r="K219" i="5"/>
  <c r="AE219" i="5"/>
  <c r="B218" i="5"/>
  <c r="K216" i="5"/>
  <c r="Q212" i="5" l="1"/>
  <c r="Y141" i="5"/>
  <c r="AA11" i="7" s="1"/>
  <c r="Z11" i="7"/>
  <c r="X139" i="5"/>
  <c r="Y139" i="5" s="1"/>
  <c r="S137" i="5"/>
  <c r="T215" i="5"/>
  <c r="P217" i="5"/>
  <c r="W139" i="5"/>
  <c r="AM139" i="5"/>
  <c r="AN139" i="5" s="1"/>
  <c r="V139" i="5"/>
  <c r="X143" i="5"/>
  <c r="BO21" i="1"/>
  <c r="BN21" i="1"/>
  <c r="T21" i="7" s="1"/>
  <c r="BN23" i="1"/>
  <c r="T23" i="7" s="1"/>
  <c r="BN63" i="1"/>
  <c r="T63" i="7" s="1"/>
  <c r="BA69" i="1"/>
  <c r="BB29" i="1"/>
  <c r="BA29" i="1"/>
  <c r="BI29" i="1"/>
  <c r="AN20" i="1"/>
  <c r="AU20" i="1"/>
  <c r="AM20" i="1"/>
  <c r="Y25" i="1"/>
  <c r="AG25" i="1"/>
  <c r="Z25" i="1"/>
  <c r="BO23" i="1"/>
  <c r="H15" i="18"/>
  <c r="X15" i="18" s="1"/>
  <c r="AD15" i="18" s="1"/>
  <c r="BI26" i="1"/>
  <c r="BA26" i="1"/>
  <c r="BB26" i="1"/>
  <c r="AN18" i="1"/>
  <c r="AM18" i="1"/>
  <c r="AU18" i="1"/>
  <c r="K22" i="8"/>
  <c r="K23" i="8"/>
  <c r="BA66" i="1"/>
  <c r="K63" i="8"/>
  <c r="S145" i="5"/>
  <c r="AM143" i="5"/>
  <c r="AN143" i="5" s="1"/>
  <c r="V143" i="5"/>
  <c r="W143" i="5"/>
  <c r="P65" i="5"/>
  <c r="T67" i="5"/>
  <c r="AF67" i="5" s="1"/>
  <c r="I221" i="5"/>
  <c r="J221" i="5" s="1"/>
  <c r="F221" i="5" s="1"/>
  <c r="U215" i="5"/>
  <c r="Q217" i="5"/>
  <c r="AD218" i="5"/>
  <c r="AE218" i="5" s="1"/>
  <c r="AI218" i="5" s="1"/>
  <c r="Z36" i="18" s="1"/>
  <c r="I218" i="5"/>
  <c r="J218" i="5" s="1"/>
  <c r="AE152" i="5"/>
  <c r="AI152" i="5" s="1"/>
  <c r="AM67" i="1"/>
  <c r="BI66" i="1"/>
  <c r="K62" i="8"/>
  <c r="Z65" i="1"/>
  <c r="AN67" i="1"/>
  <c r="H35" i="18"/>
  <c r="X35" i="18" s="1"/>
  <c r="AD35" i="18" s="1"/>
  <c r="BI69" i="1"/>
  <c r="AG65" i="1"/>
  <c r="BO65" i="1" s="1"/>
  <c r="BB66" i="1"/>
  <c r="BB69" i="1"/>
  <c r="Y65" i="1"/>
  <c r="AG214" i="5"/>
  <c r="AL214" i="5" s="1"/>
  <c r="R216" i="5"/>
  <c r="AG217" i="5"/>
  <c r="R219" i="5"/>
  <c r="F216" i="5"/>
  <c r="AJ216" i="5"/>
  <c r="B223" i="5"/>
  <c r="AE221" i="5"/>
  <c r="K221" i="5"/>
  <c r="B220" i="5"/>
  <c r="K218" i="5"/>
  <c r="Y143" i="5" l="1"/>
  <c r="AA13" i="7" s="1"/>
  <c r="Z13" i="7"/>
  <c r="S135" i="5"/>
  <c r="V137" i="5"/>
  <c r="W137" i="5"/>
  <c r="AM137" i="5"/>
  <c r="AN137" i="5" s="1"/>
  <c r="X137" i="5"/>
  <c r="Y137" i="5" s="1"/>
  <c r="X145" i="5"/>
  <c r="BB51" i="1"/>
  <c r="BA51" i="1"/>
  <c r="BI51" i="1"/>
  <c r="BI28" i="1"/>
  <c r="H16" i="18"/>
  <c r="X16" i="18" s="1"/>
  <c r="AD16" i="18" s="1"/>
  <c r="BA28" i="1"/>
  <c r="BB28" i="1"/>
  <c r="BB71" i="1"/>
  <c r="BA31" i="1"/>
  <c r="BI31" i="1"/>
  <c r="BB31" i="1"/>
  <c r="K25" i="8"/>
  <c r="K24" i="8"/>
  <c r="AM65" i="1"/>
  <c r="BN65" i="1" s="1"/>
  <c r="T65" i="7" s="1"/>
  <c r="AU25" i="1"/>
  <c r="BO25" i="1" s="1"/>
  <c r="AM25" i="1"/>
  <c r="BN25" i="1" s="1"/>
  <c r="T25" i="7" s="1"/>
  <c r="AN25" i="1"/>
  <c r="BI68" i="1"/>
  <c r="K65" i="8"/>
  <c r="S147" i="5"/>
  <c r="W145" i="5"/>
  <c r="AM145" i="5"/>
  <c r="AN145" i="5" s="1"/>
  <c r="V145" i="5"/>
  <c r="P63" i="5"/>
  <c r="T65" i="5"/>
  <c r="AF65" i="5" s="1"/>
  <c r="AF215" i="5"/>
  <c r="P85" i="7" s="1"/>
  <c r="P219" i="5"/>
  <c r="T217" i="5"/>
  <c r="U217" i="5"/>
  <c r="Q219" i="5"/>
  <c r="U219" i="5" s="1"/>
  <c r="I223" i="5"/>
  <c r="J223" i="5" s="1"/>
  <c r="AD220" i="5"/>
  <c r="AE220" i="5" s="1"/>
  <c r="AI220" i="5" s="1"/>
  <c r="Z37" i="18" s="1"/>
  <c r="I220" i="5"/>
  <c r="J220" i="5" s="1"/>
  <c r="BB68" i="1"/>
  <c r="BI71" i="1"/>
  <c r="K64" i="8"/>
  <c r="Y67" i="1"/>
  <c r="BN67" i="1" s="1"/>
  <c r="T67" i="7" s="1"/>
  <c r="BA71" i="1"/>
  <c r="AN69" i="1"/>
  <c r="BA68" i="1"/>
  <c r="AG67" i="1"/>
  <c r="AM69" i="1"/>
  <c r="H36" i="18"/>
  <c r="X36" i="18" s="1"/>
  <c r="AD36" i="18" s="1"/>
  <c r="Z67" i="1"/>
  <c r="U212" i="5"/>
  <c r="Q214" i="5"/>
  <c r="BB85" i="1"/>
  <c r="BA85" i="1"/>
  <c r="BI85" i="1"/>
  <c r="R218" i="5"/>
  <c r="AG216" i="5"/>
  <c r="AL216" i="5" s="1"/>
  <c r="AG219" i="5"/>
  <c r="R221" i="5"/>
  <c r="B225" i="5"/>
  <c r="AE223" i="5"/>
  <c r="K223" i="5"/>
  <c r="B222" i="5"/>
  <c r="K220" i="5"/>
  <c r="AJ218" i="5"/>
  <c r="F218" i="5"/>
  <c r="Y145" i="5" l="1"/>
  <c r="AA15" i="7" s="1"/>
  <c r="Z15" i="7"/>
  <c r="S133" i="5"/>
  <c r="S131" i="5" s="1"/>
  <c r="AM135" i="5"/>
  <c r="AN135" i="5" s="1"/>
  <c r="W135" i="5"/>
  <c r="X135" i="5"/>
  <c r="Y135" i="5" s="1"/>
  <c r="V135" i="5"/>
  <c r="X147" i="5"/>
  <c r="BI41" i="1"/>
  <c r="BB41" i="1"/>
  <c r="BA41" i="1"/>
  <c r="BB53" i="1"/>
  <c r="BA53" i="1"/>
  <c r="BI53" i="1"/>
  <c r="BI50" i="1"/>
  <c r="BA50" i="1"/>
  <c r="H27" i="18"/>
  <c r="X27" i="18" s="1"/>
  <c r="AD27" i="18" s="1"/>
  <c r="BB50" i="1"/>
  <c r="AG27" i="1"/>
  <c r="Y27" i="1"/>
  <c r="Z27" i="1"/>
  <c r="BA33" i="1"/>
  <c r="BI33" i="1"/>
  <c r="BB33" i="1"/>
  <c r="AN22" i="1"/>
  <c r="AM22" i="1"/>
  <c r="AU22" i="1"/>
  <c r="AU69" i="1"/>
  <c r="AM29" i="1"/>
  <c r="AN29" i="1"/>
  <c r="AU29" i="1"/>
  <c r="K26" i="8"/>
  <c r="K27" i="8"/>
  <c r="AU67" i="1"/>
  <c r="BO67" i="1" s="1"/>
  <c r="AN27" i="1"/>
  <c r="AU27" i="1"/>
  <c r="AM27" i="1"/>
  <c r="BA30" i="1"/>
  <c r="BI30" i="1"/>
  <c r="BB30" i="1"/>
  <c r="H17" i="18"/>
  <c r="X17" i="18" s="1"/>
  <c r="AD17" i="18" s="1"/>
  <c r="K67" i="8"/>
  <c r="H37" i="18"/>
  <c r="X37" i="18" s="1"/>
  <c r="AD37" i="18" s="1"/>
  <c r="S149" i="5"/>
  <c r="W147" i="5"/>
  <c r="V147" i="5"/>
  <c r="AM147" i="5"/>
  <c r="AN147" i="5" s="1"/>
  <c r="P61" i="5"/>
  <c r="T63" i="5"/>
  <c r="AF63" i="5" s="1"/>
  <c r="I225" i="5"/>
  <c r="J225" i="5" s="1"/>
  <c r="Z225" i="5" s="1"/>
  <c r="Q221" i="5"/>
  <c r="U221" i="5" s="1"/>
  <c r="T219" i="5"/>
  <c r="P221" i="5"/>
  <c r="T221" i="5" s="1"/>
  <c r="AF217" i="5"/>
  <c r="P87" i="7" s="1"/>
  <c r="Y69" i="1"/>
  <c r="BN69" i="1" s="1"/>
  <c r="T69" i="7" s="1"/>
  <c r="F223" i="5"/>
  <c r="Z223" i="5"/>
  <c r="Z221" i="5" s="1"/>
  <c r="AD222" i="5"/>
  <c r="AE222" i="5" s="1"/>
  <c r="AI222" i="5" s="1"/>
  <c r="I222" i="5"/>
  <c r="J222" i="5" s="1"/>
  <c r="Z219" i="5"/>
  <c r="K66" i="8"/>
  <c r="Z69" i="1"/>
  <c r="BA70" i="1"/>
  <c r="BB73" i="1"/>
  <c r="AU71" i="1"/>
  <c r="BI70" i="1"/>
  <c r="BA73" i="1"/>
  <c r="AM62" i="1"/>
  <c r="AN62" i="1"/>
  <c r="AU62" i="1"/>
  <c r="AM71" i="1"/>
  <c r="AG69" i="1"/>
  <c r="BB70" i="1"/>
  <c r="BI73" i="1"/>
  <c r="AU85" i="1"/>
  <c r="U214" i="5"/>
  <c r="Q216" i="5"/>
  <c r="BA84" i="1"/>
  <c r="BI84" i="1"/>
  <c r="AM85" i="1"/>
  <c r="BB87" i="1"/>
  <c r="AN85" i="1"/>
  <c r="BI87" i="1"/>
  <c r="BA87" i="1"/>
  <c r="H44" i="18"/>
  <c r="X44" i="18" s="1"/>
  <c r="BB84" i="1"/>
  <c r="Z44" i="18"/>
  <c r="AG218" i="5"/>
  <c r="AL218" i="5" s="1"/>
  <c r="R220" i="5"/>
  <c r="AG221" i="5"/>
  <c r="R223" i="5"/>
  <c r="B224" i="5"/>
  <c r="K222" i="5"/>
  <c r="F220" i="5"/>
  <c r="B227" i="5"/>
  <c r="K225" i="5"/>
  <c r="AE225" i="5"/>
  <c r="AJ220" i="5"/>
  <c r="P223" i="5" l="1"/>
  <c r="Y147" i="5"/>
  <c r="AA17" i="7" s="1"/>
  <c r="Z17" i="7"/>
  <c r="V133" i="5"/>
  <c r="AM133" i="5"/>
  <c r="AN133" i="5" s="1"/>
  <c r="W133" i="5"/>
  <c r="X133" i="5"/>
  <c r="Y133" i="5" s="1"/>
  <c r="V131" i="5"/>
  <c r="X131" i="5"/>
  <c r="Y131" i="5" s="1"/>
  <c r="S129" i="5"/>
  <c r="AM131" i="5"/>
  <c r="AN131" i="5" s="1"/>
  <c r="W131" i="5"/>
  <c r="X149" i="5"/>
  <c r="BB43" i="1"/>
  <c r="BA43" i="1"/>
  <c r="BI43" i="1"/>
  <c r="BI40" i="1"/>
  <c r="BB40" i="1"/>
  <c r="BA40" i="1"/>
  <c r="H22" i="18"/>
  <c r="X22" i="18" s="1"/>
  <c r="AD22" i="18" s="1"/>
  <c r="Z38" i="18"/>
  <c r="Z22" i="18"/>
  <c r="Z51" i="1"/>
  <c r="AG51" i="1"/>
  <c r="Y51" i="1"/>
  <c r="BB52" i="1"/>
  <c r="BI52" i="1"/>
  <c r="H28" i="18"/>
  <c r="X28" i="18" s="1"/>
  <c r="AD28" i="18" s="1"/>
  <c r="BA52" i="1"/>
  <c r="BB55" i="1"/>
  <c r="BI55" i="1"/>
  <c r="BA55" i="1"/>
  <c r="AM51" i="1"/>
  <c r="AN51" i="1"/>
  <c r="AU51" i="1"/>
  <c r="BO69" i="1"/>
  <c r="BN27" i="1"/>
  <c r="T27" i="7" s="1"/>
  <c r="H18" i="18"/>
  <c r="X18" i="18" s="1"/>
  <c r="AD18" i="18" s="1"/>
  <c r="BA32" i="1"/>
  <c r="BI32" i="1"/>
  <c r="BB32" i="1"/>
  <c r="BB79" i="1"/>
  <c r="BI35" i="1"/>
  <c r="BB35" i="1"/>
  <c r="BA35" i="1"/>
  <c r="K28" i="8"/>
  <c r="K29" i="8"/>
  <c r="Y31" i="1"/>
  <c r="Z31" i="1"/>
  <c r="AG31" i="1"/>
  <c r="BO27" i="1"/>
  <c r="AF219" i="5"/>
  <c r="P89" i="7" s="1"/>
  <c r="Z29" i="1"/>
  <c r="Y29" i="1"/>
  <c r="BN29" i="1" s="1"/>
  <c r="T29" i="7" s="1"/>
  <c r="AG29" i="1"/>
  <c r="BO29" i="1" s="1"/>
  <c r="AN64" i="1"/>
  <c r="AU24" i="1"/>
  <c r="AM24" i="1"/>
  <c r="AN24" i="1"/>
  <c r="AN71" i="1"/>
  <c r="AM31" i="1"/>
  <c r="AU31" i="1"/>
  <c r="AN31" i="1"/>
  <c r="BA72" i="1"/>
  <c r="K69" i="8"/>
  <c r="F225" i="5"/>
  <c r="S151" i="5"/>
  <c r="V149" i="5"/>
  <c r="W149" i="5"/>
  <c r="AM149" i="5"/>
  <c r="AN149" i="5" s="1"/>
  <c r="Q223" i="5"/>
  <c r="P59" i="5"/>
  <c r="T61" i="5"/>
  <c r="AF61" i="5" s="1"/>
  <c r="I227" i="5"/>
  <c r="J227" i="5" s="1"/>
  <c r="Z227" i="5" s="1"/>
  <c r="Z71" i="1"/>
  <c r="AD224" i="5"/>
  <c r="AE224" i="5" s="1"/>
  <c r="AI224" i="5" s="1"/>
  <c r="I224" i="5"/>
  <c r="J224" i="5" s="1"/>
  <c r="Z217" i="5"/>
  <c r="AG71" i="1"/>
  <c r="BO71" i="1" s="1"/>
  <c r="AU64" i="1"/>
  <c r="BI72" i="1"/>
  <c r="BB75" i="1"/>
  <c r="AN73" i="1"/>
  <c r="BB72" i="1"/>
  <c r="BI75" i="1"/>
  <c r="Y71" i="1"/>
  <c r="BN71" i="1" s="1"/>
  <c r="T71" i="7" s="1"/>
  <c r="K68" i="8"/>
  <c r="AM64" i="1"/>
  <c r="H38" i="18"/>
  <c r="X38" i="18" s="1"/>
  <c r="AD38" i="18" s="1"/>
  <c r="AM73" i="1"/>
  <c r="BA75" i="1"/>
  <c r="BI79" i="1"/>
  <c r="BA79" i="1"/>
  <c r="BI49" i="1"/>
  <c r="BB49" i="1"/>
  <c r="BA49" i="1"/>
  <c r="BA77" i="1"/>
  <c r="BI77" i="1"/>
  <c r="BB77" i="1"/>
  <c r="AD44" i="18"/>
  <c r="BI61" i="1"/>
  <c r="BA61" i="1"/>
  <c r="BB61" i="1"/>
  <c r="BI86" i="1"/>
  <c r="U216" i="5"/>
  <c r="Q218" i="5"/>
  <c r="U218" i="5" s="1"/>
  <c r="BA89" i="1"/>
  <c r="BB86" i="1"/>
  <c r="BA86" i="1"/>
  <c r="BI89" i="1"/>
  <c r="Y85" i="1"/>
  <c r="BN85" i="1" s="1"/>
  <c r="T85" i="7" s="1"/>
  <c r="AG85" i="1"/>
  <c r="BO85" i="1" s="1"/>
  <c r="AU87" i="1"/>
  <c r="H45" i="18"/>
  <c r="X45" i="18" s="1"/>
  <c r="Z45" i="18"/>
  <c r="Z85" i="1"/>
  <c r="BB89" i="1"/>
  <c r="AN87" i="1"/>
  <c r="AM87" i="1"/>
  <c r="BB81" i="1"/>
  <c r="BI81" i="1"/>
  <c r="BA81" i="1"/>
  <c r="BA91" i="1"/>
  <c r="BA83" i="1"/>
  <c r="BB83" i="1"/>
  <c r="BI83" i="1"/>
  <c r="BI91" i="1"/>
  <c r="BB91" i="1"/>
  <c r="AN84" i="1"/>
  <c r="BA93" i="1"/>
  <c r="BB93" i="1"/>
  <c r="BI93" i="1"/>
  <c r="R222" i="5"/>
  <c r="AG220" i="5"/>
  <c r="AL220" i="5" s="1"/>
  <c r="AJ222" i="5"/>
  <c r="AG223" i="5"/>
  <c r="R225" i="5"/>
  <c r="B226" i="5"/>
  <c r="K224" i="5"/>
  <c r="F222" i="5"/>
  <c r="AF221" i="5"/>
  <c r="P91" i="7" s="1"/>
  <c r="B229" i="5"/>
  <c r="AE227" i="5"/>
  <c r="K227" i="5"/>
  <c r="BA95" i="1" s="1"/>
  <c r="Q220" i="5" l="1"/>
  <c r="BB95" i="1"/>
  <c r="BI95" i="1"/>
  <c r="P225" i="5"/>
  <c r="Y149" i="5"/>
  <c r="AA19" i="7" s="1"/>
  <c r="Z19" i="7"/>
  <c r="Q225" i="5"/>
  <c r="W129" i="5"/>
  <c r="S127" i="5"/>
  <c r="X129" i="5"/>
  <c r="Y129" i="5" s="1"/>
  <c r="AM129" i="5"/>
  <c r="AN129" i="5" s="1"/>
  <c r="V129" i="5"/>
  <c r="X151" i="5"/>
  <c r="BB45" i="1"/>
  <c r="BI45" i="1"/>
  <c r="BA45" i="1"/>
  <c r="Z41" i="18"/>
  <c r="Z23" i="18"/>
  <c r="H23" i="18"/>
  <c r="X23" i="18" s="1"/>
  <c r="AD23" i="18" s="1"/>
  <c r="BA42" i="1"/>
  <c r="BB42" i="1"/>
  <c r="BI42" i="1"/>
  <c r="K51" i="8"/>
  <c r="K50" i="8"/>
  <c r="BA57" i="1"/>
  <c r="BB57" i="1"/>
  <c r="BI57" i="1"/>
  <c r="BN51" i="1"/>
  <c r="T51" i="7" s="1"/>
  <c r="BO51" i="1"/>
  <c r="H29" i="18"/>
  <c r="X29" i="18" s="1"/>
  <c r="AD29" i="18" s="1"/>
  <c r="BA54" i="1"/>
  <c r="BB54" i="1"/>
  <c r="BI54" i="1"/>
  <c r="AU28" i="1"/>
  <c r="AM28" i="1"/>
  <c r="AN28" i="1"/>
  <c r="BN31" i="1"/>
  <c r="T31" i="7" s="1"/>
  <c r="BA37" i="1"/>
  <c r="BB37" i="1"/>
  <c r="BI37" i="1"/>
  <c r="AN66" i="1"/>
  <c r="AN26" i="1"/>
  <c r="AM26" i="1"/>
  <c r="AU26" i="1"/>
  <c r="BB34" i="1"/>
  <c r="BA34" i="1"/>
  <c r="BI34" i="1"/>
  <c r="H19" i="18"/>
  <c r="X19" i="18" s="1"/>
  <c r="AD19" i="18" s="1"/>
  <c r="BO31" i="1"/>
  <c r="K31" i="8"/>
  <c r="K30" i="8"/>
  <c r="K71" i="8"/>
  <c r="BA78" i="1"/>
  <c r="F227" i="5"/>
  <c r="S153" i="5"/>
  <c r="V151" i="5"/>
  <c r="W151" i="5"/>
  <c r="AM151" i="5"/>
  <c r="AN151" i="5" s="1"/>
  <c r="P57" i="5"/>
  <c r="T59" i="5"/>
  <c r="AF59" i="5" s="1"/>
  <c r="I229" i="5"/>
  <c r="J229" i="5" s="1"/>
  <c r="F229" i="5" s="1"/>
  <c r="U223" i="5"/>
  <c r="T223" i="5"/>
  <c r="AD226" i="5"/>
  <c r="AE226" i="5" s="1"/>
  <c r="AI226" i="5" s="1"/>
  <c r="Z49" i="18" s="1"/>
  <c r="I226" i="5"/>
  <c r="J226" i="5" s="1"/>
  <c r="Z215" i="5"/>
  <c r="BB74" i="1"/>
  <c r="AU66" i="1"/>
  <c r="Z73" i="1"/>
  <c r="AM75" i="1"/>
  <c r="K70" i="8"/>
  <c r="BI74" i="1"/>
  <c r="Y73" i="1"/>
  <c r="BN73" i="1" s="1"/>
  <c r="T73" i="7" s="1"/>
  <c r="AU75" i="1"/>
  <c r="BA74" i="1"/>
  <c r="AM66" i="1"/>
  <c r="H39" i="18"/>
  <c r="X39" i="18" s="1"/>
  <c r="AD39" i="18" s="1"/>
  <c r="AN75" i="1"/>
  <c r="Z39" i="18"/>
  <c r="BB78" i="1"/>
  <c r="BI78" i="1"/>
  <c r="H41" i="18"/>
  <c r="X41" i="18" s="1"/>
  <c r="AD41" i="18" s="1"/>
  <c r="AM79" i="1"/>
  <c r="AN79" i="1"/>
  <c r="Z40" i="18"/>
  <c r="AU49" i="1"/>
  <c r="AM49" i="1"/>
  <c r="AN49" i="1"/>
  <c r="H26" i="18"/>
  <c r="X26" i="18" s="1"/>
  <c r="AD26" i="18" s="1"/>
  <c r="BA48" i="1"/>
  <c r="BB48" i="1"/>
  <c r="BI48" i="1"/>
  <c r="AU77" i="1"/>
  <c r="AN77" i="1"/>
  <c r="AM77" i="1"/>
  <c r="BB76" i="1"/>
  <c r="H40" i="18"/>
  <c r="X40" i="18" s="1"/>
  <c r="AD40" i="18" s="1"/>
  <c r="BI76" i="1"/>
  <c r="BA76" i="1"/>
  <c r="AU68" i="1"/>
  <c r="AN68" i="1"/>
  <c r="AM68" i="1"/>
  <c r="AD45" i="18"/>
  <c r="H42" i="18"/>
  <c r="X42" i="18" s="1"/>
  <c r="BB60" i="1"/>
  <c r="H32" i="18"/>
  <c r="X32" i="18" s="1"/>
  <c r="BI60" i="1"/>
  <c r="BA60" i="1"/>
  <c r="Z42" i="18"/>
  <c r="AM81" i="1"/>
  <c r="AU61" i="1"/>
  <c r="AN61" i="1"/>
  <c r="AM61" i="1"/>
  <c r="BA88" i="1"/>
  <c r="AN89" i="1"/>
  <c r="BI88" i="1"/>
  <c r="Z46" i="18"/>
  <c r="AU89" i="1"/>
  <c r="Z87" i="1"/>
  <c r="AM89" i="1"/>
  <c r="K85" i="8"/>
  <c r="AG87" i="1"/>
  <c r="BO87" i="1" s="1"/>
  <c r="Y87" i="1"/>
  <c r="BN87" i="1" s="1"/>
  <c r="T87" i="7" s="1"/>
  <c r="K84" i="8"/>
  <c r="H46" i="18"/>
  <c r="X46" i="18" s="1"/>
  <c r="AM84" i="1"/>
  <c r="AU84" i="1"/>
  <c r="BB88" i="1"/>
  <c r="BA80" i="1"/>
  <c r="AU81" i="1"/>
  <c r="BB80" i="1"/>
  <c r="AN81" i="1"/>
  <c r="BI80" i="1"/>
  <c r="BI92" i="1"/>
  <c r="BI82" i="1"/>
  <c r="H43" i="18"/>
  <c r="X43" i="18" s="1"/>
  <c r="BA82" i="1"/>
  <c r="BB82" i="1"/>
  <c r="Z48" i="18"/>
  <c r="Z43" i="18"/>
  <c r="AU83" i="1"/>
  <c r="AM83" i="1"/>
  <c r="AN83" i="1"/>
  <c r="AU91" i="1"/>
  <c r="BA90" i="1"/>
  <c r="AM91" i="1"/>
  <c r="AN91" i="1"/>
  <c r="BI90" i="1"/>
  <c r="BB90" i="1"/>
  <c r="Z47" i="18"/>
  <c r="H47" i="18"/>
  <c r="X47" i="18" s="1"/>
  <c r="BA92" i="1"/>
  <c r="BB92" i="1"/>
  <c r="R224" i="5"/>
  <c r="H48" i="18"/>
  <c r="X48" i="18" s="1"/>
  <c r="AG222" i="5"/>
  <c r="AL222" i="5" s="1"/>
  <c r="AG225" i="5"/>
  <c r="R227" i="5"/>
  <c r="F224" i="5"/>
  <c r="B231" i="5"/>
  <c r="AE229" i="5"/>
  <c r="K229" i="5"/>
  <c r="BI97" i="1" s="1"/>
  <c r="AJ224" i="5"/>
  <c r="B228" i="5"/>
  <c r="K226" i="5"/>
  <c r="BB94" i="1" s="1"/>
  <c r="BI94" i="1" l="1"/>
  <c r="H49" i="18"/>
  <c r="X49" i="18" s="1"/>
  <c r="BA94" i="1"/>
  <c r="BA97" i="1"/>
  <c r="BB97" i="1"/>
  <c r="Q227" i="5"/>
  <c r="P227" i="5"/>
  <c r="Y151" i="5"/>
  <c r="AA21" i="7" s="1"/>
  <c r="Z21" i="7"/>
  <c r="AM127" i="5"/>
  <c r="AN127" i="5" s="1"/>
  <c r="W127" i="5"/>
  <c r="V127" i="5"/>
  <c r="S125" i="5"/>
  <c r="X127" i="5"/>
  <c r="Y127" i="5" s="1"/>
  <c r="X153" i="5"/>
  <c r="Z24" i="18"/>
  <c r="BA47" i="1"/>
  <c r="BB47" i="1"/>
  <c r="BI47" i="1"/>
  <c r="Z41" i="1"/>
  <c r="AG41" i="1"/>
  <c r="Y41" i="1"/>
  <c r="H24" i="18"/>
  <c r="X24" i="18" s="1"/>
  <c r="AD24" i="18" s="1"/>
  <c r="BI44" i="1"/>
  <c r="BB44" i="1"/>
  <c r="BA44" i="1"/>
  <c r="K41" i="8"/>
  <c r="K40" i="8"/>
  <c r="AM41" i="1"/>
  <c r="AN41" i="1"/>
  <c r="AU41" i="1"/>
  <c r="BB56" i="1"/>
  <c r="BI56" i="1"/>
  <c r="H30" i="18"/>
  <c r="X30" i="18" s="1"/>
  <c r="AD30" i="18" s="1"/>
  <c r="BA56" i="1"/>
  <c r="AG53" i="1"/>
  <c r="Z53" i="1"/>
  <c r="Y53" i="1"/>
  <c r="BB59" i="1"/>
  <c r="BA59" i="1"/>
  <c r="BI59" i="1"/>
  <c r="AM53" i="1"/>
  <c r="AN53" i="1"/>
  <c r="AU53" i="1"/>
  <c r="K53" i="8"/>
  <c r="K52" i="8"/>
  <c r="BA39" i="1"/>
  <c r="BI39" i="1"/>
  <c r="BB39" i="1"/>
  <c r="AU73" i="1"/>
  <c r="AU33" i="1"/>
  <c r="AN33" i="1"/>
  <c r="AM33" i="1"/>
  <c r="BB36" i="1"/>
  <c r="H20" i="18"/>
  <c r="X20" i="18" s="1"/>
  <c r="AD20" i="18" s="1"/>
  <c r="BA36" i="1"/>
  <c r="BI36" i="1"/>
  <c r="K33" i="8"/>
  <c r="K32" i="8"/>
  <c r="AG33" i="1"/>
  <c r="Z33" i="1"/>
  <c r="Y33" i="1"/>
  <c r="K72" i="8"/>
  <c r="S155" i="5"/>
  <c r="V153" i="5"/>
  <c r="W153" i="5"/>
  <c r="AM153" i="5"/>
  <c r="AN153" i="5" s="1"/>
  <c r="Z229" i="5"/>
  <c r="P55" i="5"/>
  <c r="T57" i="5"/>
  <c r="AF57" i="5" s="1"/>
  <c r="AG73" i="1"/>
  <c r="AF223" i="5"/>
  <c r="P93" i="7" s="1"/>
  <c r="U225" i="5"/>
  <c r="AM93" i="1" s="1"/>
  <c r="AU79" i="1"/>
  <c r="T225" i="5"/>
  <c r="AD228" i="5"/>
  <c r="AE228" i="5" s="1"/>
  <c r="AI228" i="5" s="1"/>
  <c r="I228" i="5"/>
  <c r="J228" i="5" s="1"/>
  <c r="I231" i="5"/>
  <c r="J231" i="5" s="1"/>
  <c r="Z213" i="5"/>
  <c r="K73" i="8"/>
  <c r="Y75" i="1"/>
  <c r="BN75" i="1" s="1"/>
  <c r="T75" i="7" s="1"/>
  <c r="AG75" i="1"/>
  <c r="BO75" i="1" s="1"/>
  <c r="Z75" i="1"/>
  <c r="Z79" i="1"/>
  <c r="Y79" i="1"/>
  <c r="BN79" i="1" s="1"/>
  <c r="T79" i="7" s="1"/>
  <c r="Z49" i="1"/>
  <c r="Y49" i="1"/>
  <c r="BN49" i="1" s="1"/>
  <c r="T49" i="7" s="1"/>
  <c r="AG49" i="1"/>
  <c r="BO49" i="1" s="1"/>
  <c r="Z77" i="1"/>
  <c r="Y77" i="1"/>
  <c r="BN77" i="1" s="1"/>
  <c r="T77" i="7" s="1"/>
  <c r="AG77" i="1"/>
  <c r="BO77" i="1" s="1"/>
  <c r="AD48" i="18"/>
  <c r="AD47" i="18"/>
  <c r="AD42" i="18"/>
  <c r="AD49" i="18"/>
  <c r="AD43" i="18"/>
  <c r="AD46" i="18"/>
  <c r="AD32" i="18"/>
  <c r="U220" i="5"/>
  <c r="Y61" i="1"/>
  <c r="BN61" i="1" s="1"/>
  <c r="T61" i="7" s="1"/>
  <c r="Z61" i="1"/>
  <c r="AG61" i="1"/>
  <c r="BO61" i="1" s="1"/>
  <c r="Q222" i="5"/>
  <c r="U222" i="5" s="1"/>
  <c r="K87" i="8"/>
  <c r="Z89" i="1"/>
  <c r="AM86" i="1"/>
  <c r="AN86" i="1"/>
  <c r="K86" i="8"/>
  <c r="AG89" i="1"/>
  <c r="BO89" i="1" s="1"/>
  <c r="Y89" i="1"/>
  <c r="BN89" i="1" s="1"/>
  <c r="T89" i="7" s="1"/>
  <c r="AU86" i="1"/>
  <c r="Z81" i="1"/>
  <c r="AG81" i="1"/>
  <c r="BO81" i="1" s="1"/>
  <c r="Y81" i="1"/>
  <c r="BN81" i="1" s="1"/>
  <c r="T81" i="7" s="1"/>
  <c r="AG83" i="1"/>
  <c r="BO83" i="1" s="1"/>
  <c r="Y83" i="1"/>
  <c r="BN83" i="1" s="1"/>
  <c r="T83" i="7" s="1"/>
  <c r="Z83" i="1"/>
  <c r="AG91" i="1"/>
  <c r="BO91" i="1" s="1"/>
  <c r="Y91" i="1"/>
  <c r="BN91" i="1" s="1"/>
  <c r="T91" i="7" s="1"/>
  <c r="Z91" i="1"/>
  <c r="R226" i="5"/>
  <c r="AG224" i="5"/>
  <c r="AL224" i="5" s="1"/>
  <c r="AG93" i="1"/>
  <c r="Y93" i="1"/>
  <c r="Z93" i="1"/>
  <c r="AG227" i="5"/>
  <c r="R229" i="5"/>
  <c r="B230" i="5"/>
  <c r="K228" i="5"/>
  <c r="BA96" i="1" s="1"/>
  <c r="B233" i="5"/>
  <c r="K231" i="5"/>
  <c r="BA99" i="1" s="1"/>
  <c r="AE231" i="5"/>
  <c r="F226" i="5"/>
  <c r="AJ226" i="5"/>
  <c r="H50" i="18" l="1"/>
  <c r="X50" i="18" s="1"/>
  <c r="AD50" i="18" s="1"/>
  <c r="AU93" i="1"/>
  <c r="BB96" i="1"/>
  <c r="AN93" i="1"/>
  <c r="BB99" i="1"/>
  <c r="BI96" i="1"/>
  <c r="BI99" i="1"/>
  <c r="Z50" i="18"/>
  <c r="Y153" i="5"/>
  <c r="AA23" i="7" s="1"/>
  <c r="Z23" i="7"/>
  <c r="X125" i="5"/>
  <c r="Y125" i="5" s="1"/>
  <c r="V125" i="5"/>
  <c r="S123" i="5"/>
  <c r="AM125" i="5"/>
  <c r="AN125" i="5" s="1"/>
  <c r="W125" i="5"/>
  <c r="X155" i="5"/>
  <c r="S157" i="5"/>
  <c r="BA46" i="1"/>
  <c r="BI46" i="1"/>
  <c r="H25" i="18"/>
  <c r="X25" i="18" s="1"/>
  <c r="AD25" i="18" s="1"/>
  <c r="BB46" i="1"/>
  <c r="K43" i="8"/>
  <c r="K42" i="8"/>
  <c r="AN43" i="1"/>
  <c r="AM43" i="1"/>
  <c r="AU43" i="1"/>
  <c r="BN41" i="1"/>
  <c r="T41" i="7" s="1"/>
  <c r="AM40" i="1"/>
  <c r="AU40" i="1"/>
  <c r="AN40" i="1"/>
  <c r="BO41" i="1"/>
  <c r="AG43" i="1"/>
  <c r="Z43" i="1"/>
  <c r="Y43" i="1"/>
  <c r="AM55" i="1"/>
  <c r="AN55" i="1"/>
  <c r="AU55" i="1"/>
  <c r="K54" i="8"/>
  <c r="K55" i="8"/>
  <c r="BN53" i="1"/>
  <c r="T53" i="7" s="1"/>
  <c r="BI58" i="1"/>
  <c r="BB58" i="1"/>
  <c r="BA58" i="1"/>
  <c r="H31" i="18"/>
  <c r="X31" i="18" s="1"/>
  <c r="AD31" i="18" s="1"/>
  <c r="AM52" i="1"/>
  <c r="AU52" i="1"/>
  <c r="AN52" i="1"/>
  <c r="AG55" i="1"/>
  <c r="Y55" i="1"/>
  <c r="Z55" i="1"/>
  <c r="AN50" i="1"/>
  <c r="AU50" i="1"/>
  <c r="AM50" i="1"/>
  <c r="BO53" i="1"/>
  <c r="BO73" i="1"/>
  <c r="BO33" i="1"/>
  <c r="BN33" i="1"/>
  <c r="T33" i="7" s="1"/>
  <c r="BI38" i="1"/>
  <c r="H21" i="18"/>
  <c r="X21" i="18" s="1"/>
  <c r="AD21" i="18" s="1"/>
  <c r="BA38" i="1"/>
  <c r="BB38" i="1"/>
  <c r="AM32" i="1"/>
  <c r="AN32" i="1"/>
  <c r="AU32" i="1"/>
  <c r="Z35" i="1"/>
  <c r="AG35" i="1"/>
  <c r="Y35" i="1"/>
  <c r="K34" i="8"/>
  <c r="K35" i="8"/>
  <c r="AU30" i="1"/>
  <c r="AM30" i="1"/>
  <c r="AN30" i="1"/>
  <c r="AN35" i="1"/>
  <c r="AM35" i="1"/>
  <c r="AU35" i="1"/>
  <c r="K78" i="8"/>
  <c r="V155" i="5"/>
  <c r="W155" i="5"/>
  <c r="AM155" i="5"/>
  <c r="AN155" i="5" s="1"/>
  <c r="P53" i="5"/>
  <c r="T55" i="5"/>
  <c r="AF55" i="5" s="1"/>
  <c r="I233" i="5"/>
  <c r="J233" i="5" s="1"/>
  <c r="Z233" i="5" s="1"/>
  <c r="BN93" i="1"/>
  <c r="T93" i="7" s="1"/>
  <c r="BO93" i="1"/>
  <c r="AG79" i="1"/>
  <c r="BO79" i="1" s="1"/>
  <c r="Q224" i="5"/>
  <c r="T227" i="5"/>
  <c r="AG95" i="1" s="1"/>
  <c r="AF225" i="5"/>
  <c r="P95" i="7" s="1"/>
  <c r="P229" i="5"/>
  <c r="T229" i="5" s="1"/>
  <c r="U227" i="5"/>
  <c r="AU95" i="1" s="1"/>
  <c r="Q229" i="5"/>
  <c r="U229" i="5" s="1"/>
  <c r="F231" i="5"/>
  <c r="Z231" i="5"/>
  <c r="AD230" i="5"/>
  <c r="AE230" i="5" s="1"/>
  <c r="AI230" i="5" s="1"/>
  <c r="Z51" i="18" s="1"/>
  <c r="I230" i="5"/>
  <c r="J230" i="5" s="1"/>
  <c r="Z211" i="5"/>
  <c r="AN70" i="1"/>
  <c r="AU70" i="1"/>
  <c r="AM70" i="1"/>
  <c r="K75" i="8"/>
  <c r="K74" i="8"/>
  <c r="K79" i="8"/>
  <c r="K49" i="8"/>
  <c r="K48" i="8"/>
  <c r="K77" i="8"/>
  <c r="K76" i="8"/>
  <c r="AM72" i="1"/>
  <c r="AU72" i="1"/>
  <c r="AN72" i="1"/>
  <c r="K81" i="8"/>
  <c r="K61" i="8"/>
  <c r="K60" i="8"/>
  <c r="K88" i="8"/>
  <c r="K89" i="8"/>
  <c r="AM88" i="1"/>
  <c r="AN88" i="1"/>
  <c r="AU88" i="1"/>
  <c r="AM80" i="1"/>
  <c r="K80" i="8"/>
  <c r="AN80" i="1"/>
  <c r="K92" i="8"/>
  <c r="K82" i="8"/>
  <c r="K83" i="8"/>
  <c r="AM82" i="1"/>
  <c r="AN82" i="1"/>
  <c r="AU82" i="1"/>
  <c r="AM90" i="1"/>
  <c r="AU90" i="1"/>
  <c r="K91" i="8"/>
  <c r="AN90" i="1"/>
  <c r="K90" i="8"/>
  <c r="R228" i="5"/>
  <c r="AG226" i="5"/>
  <c r="AL226" i="5" s="1"/>
  <c r="K95" i="8" s="1"/>
  <c r="AJ228" i="5"/>
  <c r="AG229" i="5"/>
  <c r="R231" i="5"/>
  <c r="B232" i="5"/>
  <c r="K230" i="5"/>
  <c r="BB98" i="1" s="1"/>
  <c r="B235" i="5"/>
  <c r="AE233" i="5"/>
  <c r="K233" i="5"/>
  <c r="BA101" i="1" s="1"/>
  <c r="F228" i="5"/>
  <c r="K93" i="8"/>
  <c r="AN95" i="1" l="1"/>
  <c r="K94" i="8"/>
  <c r="BB101" i="1"/>
  <c r="BI98" i="1"/>
  <c r="Z95" i="1"/>
  <c r="BI101" i="1"/>
  <c r="H51" i="18"/>
  <c r="X51" i="18" s="1"/>
  <c r="AD51" i="18" s="1"/>
  <c r="Y95" i="1"/>
  <c r="BA98" i="1"/>
  <c r="AM95" i="1"/>
  <c r="Q231" i="5"/>
  <c r="P231" i="5"/>
  <c r="BN55" i="1"/>
  <c r="T55" i="7" s="1"/>
  <c r="Y155" i="5"/>
  <c r="AA25" i="7" s="1"/>
  <c r="Z25" i="7"/>
  <c r="BO43" i="1"/>
  <c r="W123" i="5"/>
  <c r="S121" i="5"/>
  <c r="AM123" i="5"/>
  <c r="AN123" i="5" s="1"/>
  <c r="X123" i="5"/>
  <c r="Y123" i="5" s="1"/>
  <c r="V123" i="5"/>
  <c r="BN43" i="1"/>
  <c r="T43" i="7" s="1"/>
  <c r="X157" i="5"/>
  <c r="AU47" i="1"/>
  <c r="AM47" i="1"/>
  <c r="AN47" i="1"/>
  <c r="Y45" i="1"/>
  <c r="AG45" i="1"/>
  <c r="Z45" i="1"/>
  <c r="K45" i="8"/>
  <c r="K44" i="8"/>
  <c r="AU45" i="1"/>
  <c r="AM45" i="1"/>
  <c r="AN45" i="1"/>
  <c r="Y47" i="1"/>
  <c r="AG47" i="1"/>
  <c r="Z47" i="1"/>
  <c r="BO55" i="1"/>
  <c r="K56" i="8"/>
  <c r="K57" i="8"/>
  <c r="AG59" i="1"/>
  <c r="Z59" i="1"/>
  <c r="Y59" i="1"/>
  <c r="AM59" i="1"/>
  <c r="AN59" i="1"/>
  <c r="AU59" i="1"/>
  <c r="Z57" i="1"/>
  <c r="Y57" i="1"/>
  <c r="AG57" i="1"/>
  <c r="AN57" i="1"/>
  <c r="AU57" i="1"/>
  <c r="AM57" i="1"/>
  <c r="BN35" i="1"/>
  <c r="T35" i="7" s="1"/>
  <c r="K37" i="8"/>
  <c r="K36" i="8"/>
  <c r="AM39" i="1"/>
  <c r="AN39" i="1"/>
  <c r="AU39" i="1"/>
  <c r="AG37" i="1"/>
  <c r="Y37" i="1"/>
  <c r="Z37" i="1"/>
  <c r="AM97" i="1"/>
  <c r="AM37" i="1"/>
  <c r="AN37" i="1"/>
  <c r="AU37" i="1"/>
  <c r="AG39" i="1"/>
  <c r="Z39" i="1"/>
  <c r="Y39" i="1"/>
  <c r="BO35" i="1"/>
  <c r="S159" i="5"/>
  <c r="V157" i="5"/>
  <c r="W157" i="5"/>
  <c r="AM157" i="5"/>
  <c r="AN157" i="5" s="1"/>
  <c r="P51" i="5"/>
  <c r="BO95" i="1"/>
  <c r="T53" i="5"/>
  <c r="AF53" i="5" s="1"/>
  <c r="F233" i="5"/>
  <c r="I235" i="5"/>
  <c r="J235" i="5" s="1"/>
  <c r="F235" i="5" s="1"/>
  <c r="Y97" i="1"/>
  <c r="AU97" i="1"/>
  <c r="AN97" i="1"/>
  <c r="Z97" i="1"/>
  <c r="AG97" i="1"/>
  <c r="AF227" i="5"/>
  <c r="P97" i="7" s="1"/>
  <c r="AD232" i="5"/>
  <c r="AE232" i="5" s="1"/>
  <c r="AI232" i="5" s="1"/>
  <c r="Z52" i="18" s="1"/>
  <c r="I232" i="5"/>
  <c r="J232" i="5" s="1"/>
  <c r="Z209" i="5"/>
  <c r="U224" i="5"/>
  <c r="AU80" i="1"/>
  <c r="Q226" i="5"/>
  <c r="U226" i="5" s="1"/>
  <c r="R230" i="5"/>
  <c r="AG228" i="5"/>
  <c r="AL228" i="5" s="1"/>
  <c r="K96" i="8" s="1"/>
  <c r="AJ230" i="5"/>
  <c r="AG231" i="5"/>
  <c r="R233" i="5"/>
  <c r="B237" i="5"/>
  <c r="K235" i="5"/>
  <c r="BB103" i="1" s="1"/>
  <c r="AE235" i="5"/>
  <c r="AF229" i="5"/>
  <c r="P99" i="7" s="1"/>
  <c r="B234" i="5"/>
  <c r="K232" i="5"/>
  <c r="BB100" i="1" s="1"/>
  <c r="F230" i="5"/>
  <c r="Q228" i="5" l="1"/>
  <c r="BN95" i="1"/>
  <c r="T95" i="7" s="1"/>
  <c r="BI100" i="1"/>
  <c r="K97" i="8"/>
  <c r="H52" i="18"/>
  <c r="X52" i="18" s="1"/>
  <c r="AD52" i="18" s="1"/>
  <c r="AU92" i="1"/>
  <c r="AN92" i="1"/>
  <c r="AM92" i="1"/>
  <c r="BI103" i="1"/>
  <c r="BA100" i="1"/>
  <c r="BA103" i="1"/>
  <c r="Q233" i="5"/>
  <c r="P233" i="5"/>
  <c r="Y157" i="5"/>
  <c r="AA27" i="7" s="1"/>
  <c r="Z27" i="7"/>
  <c r="BN47" i="1"/>
  <c r="T47" i="7" s="1"/>
  <c r="BO47" i="1"/>
  <c r="S119" i="5"/>
  <c r="V121" i="5"/>
  <c r="AM121" i="5"/>
  <c r="AN121" i="5" s="1"/>
  <c r="W121" i="5"/>
  <c r="X121" i="5"/>
  <c r="Y121" i="5" s="1"/>
  <c r="X159" i="5"/>
  <c r="BO45" i="1"/>
  <c r="AU44" i="1"/>
  <c r="AN44" i="1"/>
  <c r="AM44" i="1"/>
  <c r="K46" i="8"/>
  <c r="K47" i="8"/>
  <c r="AU42" i="1"/>
  <c r="AN42" i="1"/>
  <c r="AM42" i="1"/>
  <c r="BN45" i="1"/>
  <c r="T45" i="7" s="1"/>
  <c r="BN59" i="1"/>
  <c r="T59" i="7" s="1"/>
  <c r="BN57" i="1"/>
  <c r="T57" i="7" s="1"/>
  <c r="BO59" i="1"/>
  <c r="AU56" i="1"/>
  <c r="AM56" i="1"/>
  <c r="AN56" i="1"/>
  <c r="K58" i="8"/>
  <c r="K59" i="8"/>
  <c r="AU54" i="1"/>
  <c r="AM54" i="1"/>
  <c r="AN54" i="1"/>
  <c r="BO57" i="1"/>
  <c r="BN97" i="1"/>
  <c r="T97" i="7" s="1"/>
  <c r="BN39" i="1"/>
  <c r="T39" i="7" s="1"/>
  <c r="BO39" i="1"/>
  <c r="K39" i="8"/>
  <c r="K38" i="8"/>
  <c r="AM34" i="1"/>
  <c r="AN34" i="1"/>
  <c r="AU34" i="1"/>
  <c r="BN37" i="1"/>
  <c r="T37" i="7" s="1"/>
  <c r="BO37" i="1"/>
  <c r="AN36" i="1"/>
  <c r="AM36" i="1"/>
  <c r="AU36" i="1"/>
  <c r="S161" i="5"/>
  <c r="AM159" i="5"/>
  <c r="AN159" i="5" s="1"/>
  <c r="W159" i="5"/>
  <c r="V159" i="5"/>
  <c r="Z235" i="5"/>
  <c r="P49" i="5"/>
  <c r="T51" i="5"/>
  <c r="AF51" i="5" s="1"/>
  <c r="I237" i="5"/>
  <c r="J237" i="5" s="1"/>
  <c r="Z237" i="5" s="1"/>
  <c r="BO97" i="1"/>
  <c r="U231" i="5"/>
  <c r="T231" i="5"/>
  <c r="AD234" i="5"/>
  <c r="AE234" i="5" s="1"/>
  <c r="AI234" i="5" s="1"/>
  <c r="Z53" i="18" s="1"/>
  <c r="I234" i="5"/>
  <c r="J234" i="5" s="1"/>
  <c r="Z207" i="5"/>
  <c r="AN74" i="1"/>
  <c r="AU74" i="1"/>
  <c r="AM74" i="1"/>
  <c r="AN78" i="1"/>
  <c r="AU78" i="1"/>
  <c r="AM78" i="1"/>
  <c r="AU48" i="1"/>
  <c r="AM48" i="1"/>
  <c r="AN48" i="1"/>
  <c r="AM76" i="1"/>
  <c r="AN76" i="1"/>
  <c r="AU76" i="1"/>
  <c r="AM60" i="1"/>
  <c r="AU60" i="1"/>
  <c r="AN60" i="1"/>
  <c r="AU94" i="1"/>
  <c r="AN94" i="1"/>
  <c r="AM94" i="1"/>
  <c r="R232" i="5"/>
  <c r="AG230" i="5"/>
  <c r="AL230" i="5" s="1"/>
  <c r="K98" i="8" s="1"/>
  <c r="R235" i="5"/>
  <c r="AG233" i="5"/>
  <c r="F232" i="5"/>
  <c r="AJ232" i="5"/>
  <c r="B236" i="5"/>
  <c r="K234" i="5"/>
  <c r="BI102" i="1" s="1"/>
  <c r="B239" i="5"/>
  <c r="K237" i="5"/>
  <c r="BB105" i="1" s="1"/>
  <c r="AE237" i="5"/>
  <c r="Z99" i="1" l="1"/>
  <c r="AG99" i="1"/>
  <c r="Y99" i="1"/>
  <c r="K99" i="8"/>
  <c r="BB102" i="1"/>
  <c r="BA105" i="1"/>
  <c r="AU99" i="1"/>
  <c r="AN99" i="1"/>
  <c r="AM99" i="1"/>
  <c r="BI105" i="1"/>
  <c r="H53" i="18"/>
  <c r="X53" i="18" s="1"/>
  <c r="AD53" i="18" s="1"/>
  <c r="BA102" i="1"/>
  <c r="Y159" i="5"/>
  <c r="AA29" i="7" s="1"/>
  <c r="Z29" i="7"/>
  <c r="U233" i="5"/>
  <c r="AU101" i="1" s="1"/>
  <c r="V119" i="5"/>
  <c r="X119" i="5"/>
  <c r="Y119" i="5" s="1"/>
  <c r="S117" i="5"/>
  <c r="AM119" i="5"/>
  <c r="AN119" i="5" s="1"/>
  <c r="W119" i="5"/>
  <c r="X161" i="5"/>
  <c r="S163" i="5"/>
  <c r="AM161" i="5"/>
  <c r="AN161" i="5" s="1"/>
  <c r="W161" i="5"/>
  <c r="V161" i="5"/>
  <c r="F237" i="5"/>
  <c r="P47" i="5"/>
  <c r="T49" i="5"/>
  <c r="AF49" i="5" s="1"/>
  <c r="Q235" i="5"/>
  <c r="AN101" i="1"/>
  <c r="AM101" i="1"/>
  <c r="AF231" i="5"/>
  <c r="P101" i="7" s="1"/>
  <c r="T233" i="5"/>
  <c r="AG101" i="1" s="1"/>
  <c r="P235" i="5"/>
  <c r="AD236" i="5"/>
  <c r="AE236" i="5" s="1"/>
  <c r="AI236" i="5" s="1"/>
  <c r="Z54" i="18" s="1"/>
  <c r="I236" i="5"/>
  <c r="J236" i="5" s="1"/>
  <c r="I239" i="5"/>
  <c r="J239" i="5" s="1"/>
  <c r="Z205" i="5"/>
  <c r="U228" i="5"/>
  <c r="Q230" i="5"/>
  <c r="U230" i="5" s="1"/>
  <c r="R234" i="5"/>
  <c r="AG232" i="5"/>
  <c r="AL232" i="5" s="1"/>
  <c r="K101" i="8" s="1"/>
  <c r="R237" i="5"/>
  <c r="AG235" i="5"/>
  <c r="B238" i="5"/>
  <c r="K236" i="5"/>
  <c r="BA104" i="1" s="1"/>
  <c r="F234" i="5"/>
  <c r="AJ234" i="5"/>
  <c r="B241" i="5"/>
  <c r="AE239" i="5"/>
  <c r="K239" i="5"/>
  <c r="BB107" i="1" s="1"/>
  <c r="Q232" i="5" l="1"/>
  <c r="AU96" i="1"/>
  <c r="AM96" i="1"/>
  <c r="AN96" i="1"/>
  <c r="H54" i="18"/>
  <c r="X54" i="18" s="1"/>
  <c r="AD54" i="18" s="1"/>
  <c r="BI107" i="1"/>
  <c r="Y101" i="1"/>
  <c r="K100" i="8"/>
  <c r="BN99" i="1"/>
  <c r="T99" i="7" s="1"/>
  <c r="Z101" i="1"/>
  <c r="BB104" i="1"/>
  <c r="BI104" i="1"/>
  <c r="BO99" i="1"/>
  <c r="BA107" i="1"/>
  <c r="Q237" i="5"/>
  <c r="U237" i="5" s="1"/>
  <c r="P237" i="5"/>
  <c r="T237" i="5" s="1"/>
  <c r="Y161" i="5"/>
  <c r="AA31" i="7" s="1"/>
  <c r="Z31" i="7"/>
  <c r="S115" i="5"/>
  <c r="X117" i="5"/>
  <c r="Y117" i="5" s="1"/>
  <c r="W117" i="5"/>
  <c r="AM117" i="5"/>
  <c r="AN117" i="5" s="1"/>
  <c r="V117" i="5"/>
  <c r="X163" i="5"/>
  <c r="AN46" i="1"/>
  <c r="AM46" i="1"/>
  <c r="AU46" i="1"/>
  <c r="AN58" i="1"/>
  <c r="AM58" i="1"/>
  <c r="AU58" i="1"/>
  <c r="AU38" i="1"/>
  <c r="AM38" i="1"/>
  <c r="AN38" i="1"/>
  <c r="S165" i="5"/>
  <c r="AM163" i="5"/>
  <c r="AN163" i="5" s="1"/>
  <c r="W163" i="5"/>
  <c r="V163" i="5"/>
  <c r="P45" i="5"/>
  <c r="T47" i="5"/>
  <c r="AF47" i="5" s="1"/>
  <c r="I241" i="5"/>
  <c r="J241" i="5" s="1"/>
  <c r="F241" i="5" s="1"/>
  <c r="BO101" i="1"/>
  <c r="AU98" i="1"/>
  <c r="AN98" i="1"/>
  <c r="AM98" i="1"/>
  <c r="BN101" i="1"/>
  <c r="T101" i="7" s="1"/>
  <c r="AF233" i="5"/>
  <c r="P103" i="7" s="1"/>
  <c r="T235" i="5"/>
  <c r="Y105" i="1" s="1"/>
  <c r="U235" i="5"/>
  <c r="Z239" i="5"/>
  <c r="F239" i="5"/>
  <c r="AD238" i="5"/>
  <c r="AE238" i="5" s="1"/>
  <c r="AI238" i="5" s="1"/>
  <c r="Z55" i="18" s="1"/>
  <c r="I238" i="5"/>
  <c r="J238" i="5" s="1"/>
  <c r="Z203" i="5"/>
  <c r="R236" i="5"/>
  <c r="AG234" i="5"/>
  <c r="AL234" i="5" s="1"/>
  <c r="K102" i="8" s="1"/>
  <c r="R239" i="5"/>
  <c r="AG237" i="5"/>
  <c r="AJ236" i="5"/>
  <c r="B240" i="5"/>
  <c r="K238" i="5"/>
  <c r="BI106" i="1" s="1"/>
  <c r="F236" i="5"/>
  <c r="B243" i="5"/>
  <c r="AE241" i="5"/>
  <c r="K241" i="5"/>
  <c r="BI109" i="1" s="1"/>
  <c r="AG103" i="1" l="1"/>
  <c r="BA109" i="1"/>
  <c r="BA106" i="1"/>
  <c r="Z103" i="1"/>
  <c r="BB109" i="1"/>
  <c r="BB106" i="1"/>
  <c r="H55" i="18"/>
  <c r="X55" i="18" s="1"/>
  <c r="AD55" i="18" s="1"/>
  <c r="K103" i="8"/>
  <c r="Y103" i="1"/>
  <c r="AN103" i="1"/>
  <c r="AM103" i="1"/>
  <c r="AU103" i="1"/>
  <c r="Q239" i="5"/>
  <c r="P239" i="5"/>
  <c r="Y163" i="5"/>
  <c r="AA33" i="7" s="1"/>
  <c r="Z33" i="7"/>
  <c r="X115" i="5"/>
  <c r="Y115" i="5" s="1"/>
  <c r="S113" i="5"/>
  <c r="V115" i="5"/>
  <c r="AM115" i="5"/>
  <c r="AN115" i="5" s="1"/>
  <c r="W115" i="5"/>
  <c r="X165" i="5"/>
  <c r="S167" i="5"/>
  <c r="AM165" i="5"/>
  <c r="AN165" i="5" s="1"/>
  <c r="W165" i="5"/>
  <c r="V165" i="5"/>
  <c r="P43" i="5"/>
  <c r="Z241" i="5"/>
  <c r="T45" i="5"/>
  <c r="AF45" i="5" s="1"/>
  <c r="S75" i="5"/>
  <c r="I243" i="5"/>
  <c r="J243" i="5" s="1"/>
  <c r="Z243" i="5" s="1"/>
  <c r="AG105" i="1"/>
  <c r="Z105" i="1"/>
  <c r="AM105" i="1"/>
  <c r="BN105" i="1" s="1"/>
  <c r="T105" i="7" s="1"/>
  <c r="AN105" i="1"/>
  <c r="AU105" i="1"/>
  <c r="AF235" i="5"/>
  <c r="P105" i="7" s="1"/>
  <c r="AD240" i="5"/>
  <c r="AE240" i="5" s="1"/>
  <c r="AI240" i="5" s="1"/>
  <c r="Z56" i="18" s="1"/>
  <c r="I240" i="5"/>
  <c r="J240" i="5" s="1"/>
  <c r="Z201" i="5"/>
  <c r="U232" i="5"/>
  <c r="Q234" i="5"/>
  <c r="U234" i="5" s="1"/>
  <c r="R238" i="5"/>
  <c r="AG236" i="5"/>
  <c r="AL236" i="5" s="1"/>
  <c r="R241" i="5"/>
  <c r="AG239" i="5"/>
  <c r="AJ238" i="5"/>
  <c r="AF237" i="5"/>
  <c r="P107" i="7" s="1"/>
  <c r="B242" i="5"/>
  <c r="K240" i="5"/>
  <c r="BB108" i="1" s="1"/>
  <c r="F238" i="5"/>
  <c r="B245" i="5"/>
  <c r="AE243" i="5"/>
  <c r="K243" i="5"/>
  <c r="BA111" i="1" s="1"/>
  <c r="BI111" i="1" l="1"/>
  <c r="BI108" i="1"/>
  <c r="BA108" i="1"/>
  <c r="K105" i="8"/>
  <c r="H56" i="18"/>
  <c r="X56" i="18" s="1"/>
  <c r="AD56" i="18" s="1"/>
  <c r="BB111" i="1"/>
  <c r="BN103" i="1"/>
  <c r="T103" i="7" s="1"/>
  <c r="AU100" i="1"/>
  <c r="AM100" i="1"/>
  <c r="AN100" i="1"/>
  <c r="K104" i="8"/>
  <c r="BO103" i="1"/>
  <c r="Y165" i="5"/>
  <c r="AA35" i="7" s="1"/>
  <c r="Z35" i="7"/>
  <c r="Q236" i="5"/>
  <c r="BI113" i="1"/>
  <c r="V113" i="5"/>
  <c r="S111" i="5"/>
  <c r="AM113" i="5"/>
  <c r="AN113" i="5" s="1"/>
  <c r="W113" i="5"/>
  <c r="X113" i="5"/>
  <c r="Y113" i="5" s="1"/>
  <c r="X167" i="5"/>
  <c r="S169" i="5"/>
  <c r="AM167" i="5"/>
  <c r="AN167" i="5" s="1"/>
  <c r="W167" i="5"/>
  <c r="V167" i="5"/>
  <c r="F243" i="5"/>
  <c r="P41" i="5"/>
  <c r="S73" i="5"/>
  <c r="AM75" i="5"/>
  <c r="AN75" i="5" s="1"/>
  <c r="X75" i="5"/>
  <c r="Y75" i="5" s="1"/>
  <c r="V75" i="5"/>
  <c r="W75" i="5"/>
  <c r="T43" i="5"/>
  <c r="I245" i="5"/>
  <c r="J245" i="5" s="1"/>
  <c r="Z245" i="5" s="1"/>
  <c r="BO105" i="1"/>
  <c r="BB113" i="1"/>
  <c r="AM102" i="1"/>
  <c r="AN102" i="1"/>
  <c r="AU102" i="1"/>
  <c r="BA113" i="1"/>
  <c r="U239" i="5"/>
  <c r="Q241" i="5"/>
  <c r="T239" i="5"/>
  <c r="P241" i="5"/>
  <c r="AD242" i="5"/>
  <c r="AE242" i="5" s="1"/>
  <c r="AI242" i="5" s="1"/>
  <c r="Z58" i="18" s="1"/>
  <c r="I242" i="5"/>
  <c r="J242" i="5" s="1"/>
  <c r="Z199" i="5"/>
  <c r="AG238" i="5"/>
  <c r="AL238" i="5" s="1"/>
  <c r="K107" i="8" s="1"/>
  <c r="R240" i="5"/>
  <c r="R243" i="5"/>
  <c r="AG241" i="5"/>
  <c r="F240" i="5"/>
  <c r="B247" i="5"/>
  <c r="AE245" i="5"/>
  <c r="K245" i="5"/>
  <c r="B244" i="5"/>
  <c r="K242" i="5"/>
  <c r="BB110" i="1" s="1"/>
  <c r="AJ240" i="5"/>
  <c r="BA110" i="1" l="1"/>
  <c r="K106" i="8"/>
  <c r="BI110" i="1"/>
  <c r="H57" i="18"/>
  <c r="X57" i="18" s="1"/>
  <c r="AD57" i="18" s="1"/>
  <c r="Z57" i="18"/>
  <c r="AG107" i="1"/>
  <c r="Z107" i="1"/>
  <c r="Y107" i="1"/>
  <c r="AM107" i="1"/>
  <c r="AU107" i="1"/>
  <c r="AN107" i="1"/>
  <c r="Q243" i="5"/>
  <c r="U243" i="5" s="1"/>
  <c r="P243" i="5"/>
  <c r="Y167" i="5"/>
  <c r="AA37" i="7" s="1"/>
  <c r="Z37" i="7"/>
  <c r="BB112" i="1"/>
  <c r="BA115" i="1"/>
  <c r="AM111" i="5"/>
  <c r="AN111" i="5" s="1"/>
  <c r="X111" i="5"/>
  <c r="Y111" i="5" s="1"/>
  <c r="V111" i="5"/>
  <c r="S109" i="5"/>
  <c r="W111" i="5"/>
  <c r="X169" i="5"/>
  <c r="F245" i="5"/>
  <c r="S171" i="5"/>
  <c r="AM169" i="5"/>
  <c r="AN169" i="5" s="1"/>
  <c r="W169" i="5"/>
  <c r="V169" i="5"/>
  <c r="P39" i="5"/>
  <c r="T41" i="5"/>
  <c r="AF41" i="5" s="1"/>
  <c r="AF43" i="5"/>
  <c r="S71" i="5"/>
  <c r="AM73" i="5"/>
  <c r="AN73" i="5" s="1"/>
  <c r="X73" i="5"/>
  <c r="Y73" i="5" s="1"/>
  <c r="W73" i="5"/>
  <c r="V73" i="5"/>
  <c r="H58" i="18"/>
  <c r="X58" i="18" s="1"/>
  <c r="AD58" i="18" s="1"/>
  <c r="BI112" i="1"/>
  <c r="BI115" i="1"/>
  <c r="BA112" i="1"/>
  <c r="BB115" i="1"/>
  <c r="AF239" i="5"/>
  <c r="P109" i="7" s="1"/>
  <c r="T241" i="5"/>
  <c r="AG109" i="1" s="1"/>
  <c r="U241" i="5"/>
  <c r="AN111" i="1" s="1"/>
  <c r="I247" i="5"/>
  <c r="J247" i="5" s="1"/>
  <c r="AD244" i="5"/>
  <c r="AE244" i="5" s="1"/>
  <c r="AI244" i="5" s="1"/>
  <c r="Z59" i="18" s="1"/>
  <c r="I244" i="5"/>
  <c r="J244" i="5" s="1"/>
  <c r="Z197" i="5"/>
  <c r="U236" i="5"/>
  <c r="Q238" i="5"/>
  <c r="U238" i="5" s="1"/>
  <c r="R242" i="5"/>
  <c r="AG240" i="5"/>
  <c r="AL240" i="5" s="1"/>
  <c r="K108" i="8" s="1"/>
  <c r="R245" i="5"/>
  <c r="AG243" i="5"/>
  <c r="AJ242" i="5"/>
  <c r="B246" i="5"/>
  <c r="K244" i="5"/>
  <c r="F242" i="5"/>
  <c r="B249" i="5"/>
  <c r="AE247" i="5"/>
  <c r="K247" i="5"/>
  <c r="Q240" i="5" l="1"/>
  <c r="BN107" i="1"/>
  <c r="T107" i="7" s="1"/>
  <c r="AU104" i="1"/>
  <c r="AN104" i="1"/>
  <c r="AM104" i="1"/>
  <c r="AM109" i="1"/>
  <c r="AN109" i="1"/>
  <c r="Z109" i="1"/>
  <c r="K109" i="8"/>
  <c r="Y109" i="1"/>
  <c r="BN109" i="1" s="1"/>
  <c r="T109" i="7" s="1"/>
  <c r="AU109" i="1"/>
  <c r="BO109" i="1" s="1"/>
  <c r="BO107" i="1"/>
  <c r="Y169" i="5"/>
  <c r="AA39" i="7" s="1"/>
  <c r="Z39" i="7"/>
  <c r="Q245" i="5"/>
  <c r="U245" i="5" s="1"/>
  <c r="AU115" i="1" s="1"/>
  <c r="P245" i="5"/>
  <c r="T245" i="5" s="1"/>
  <c r="BI114" i="1"/>
  <c r="S107" i="5"/>
  <c r="W109" i="5"/>
  <c r="V109" i="5"/>
  <c r="AM109" i="5"/>
  <c r="AN109" i="5" s="1"/>
  <c r="X109" i="5"/>
  <c r="Y109" i="5" s="1"/>
  <c r="X171" i="5"/>
  <c r="S173" i="5"/>
  <c r="V171" i="5"/>
  <c r="W171" i="5"/>
  <c r="AM171" i="5"/>
  <c r="AN171" i="5" s="1"/>
  <c r="P37" i="5"/>
  <c r="T39" i="5"/>
  <c r="S69" i="5"/>
  <c r="AM71" i="5"/>
  <c r="AN71" i="5" s="1"/>
  <c r="W71" i="5"/>
  <c r="V71" i="5"/>
  <c r="X71" i="5"/>
  <c r="Y71" i="5" s="1"/>
  <c r="I249" i="5"/>
  <c r="J249" i="5" s="1"/>
  <c r="F249" i="5" s="1"/>
  <c r="AM111" i="1"/>
  <c r="H59" i="18"/>
  <c r="X59" i="18" s="1"/>
  <c r="AD59" i="18" s="1"/>
  <c r="AU111" i="1"/>
  <c r="BA114" i="1"/>
  <c r="BB117" i="1"/>
  <c r="AU106" i="1"/>
  <c r="AM106" i="1"/>
  <c r="AN106" i="1"/>
  <c r="BB114" i="1"/>
  <c r="BA117" i="1"/>
  <c r="BI117" i="1"/>
  <c r="AF241" i="5"/>
  <c r="P111" i="7" s="1"/>
  <c r="T243" i="5"/>
  <c r="Y111" i="1" s="1"/>
  <c r="AM113" i="1"/>
  <c r="AU113" i="1"/>
  <c r="AN113" i="1"/>
  <c r="Z247" i="5"/>
  <c r="F247" i="5"/>
  <c r="AD246" i="5"/>
  <c r="AE246" i="5" s="1"/>
  <c r="AI246" i="5" s="1"/>
  <c r="Z60" i="18" s="1"/>
  <c r="I246" i="5"/>
  <c r="J246" i="5" s="1"/>
  <c r="Z195" i="5"/>
  <c r="AG242" i="5"/>
  <c r="AL242" i="5" s="1"/>
  <c r="K112" i="8" s="1"/>
  <c r="R244" i="5"/>
  <c r="R247" i="5"/>
  <c r="AG245" i="5"/>
  <c r="B251" i="5"/>
  <c r="AE249" i="5"/>
  <c r="K249" i="5"/>
  <c r="B248" i="5"/>
  <c r="K246" i="5"/>
  <c r="F244" i="5"/>
  <c r="AJ244" i="5"/>
  <c r="AG111" i="1" l="1"/>
  <c r="Z111" i="1"/>
  <c r="K110" i="8"/>
  <c r="K111" i="8"/>
  <c r="P247" i="5"/>
  <c r="Y171" i="5"/>
  <c r="AA41" i="7" s="1"/>
  <c r="Z41" i="7"/>
  <c r="BI116" i="1"/>
  <c r="BI119" i="1"/>
  <c r="W107" i="5"/>
  <c r="AM107" i="5"/>
  <c r="AN107" i="5" s="1"/>
  <c r="V107" i="5"/>
  <c r="S105" i="5"/>
  <c r="X107" i="5"/>
  <c r="Y107" i="5" s="1"/>
  <c r="X173" i="5"/>
  <c r="S175" i="5"/>
  <c r="Z249" i="5"/>
  <c r="W173" i="5"/>
  <c r="V173" i="5"/>
  <c r="AM173" i="5"/>
  <c r="AN173" i="5" s="1"/>
  <c r="Q247" i="5"/>
  <c r="P35" i="5"/>
  <c r="AF39" i="5"/>
  <c r="T37" i="5"/>
  <c r="S67" i="5"/>
  <c r="V69" i="5"/>
  <c r="X69" i="5"/>
  <c r="Y69" i="5" s="1"/>
  <c r="W69" i="5"/>
  <c r="AM69" i="5"/>
  <c r="AN69" i="5" s="1"/>
  <c r="I251" i="5"/>
  <c r="J251" i="5" s="1"/>
  <c r="Z251" i="5" s="1"/>
  <c r="Y113" i="1"/>
  <c r="BN113" i="1" s="1"/>
  <c r="T113" i="7" s="1"/>
  <c r="BO111" i="1"/>
  <c r="BA116" i="1"/>
  <c r="BN111" i="1"/>
  <c r="T111" i="7" s="1"/>
  <c r="AM115" i="1"/>
  <c r="K113" i="8"/>
  <c r="BB116" i="1"/>
  <c r="AN115" i="1"/>
  <c r="AG113" i="1"/>
  <c r="BO113" i="1" s="1"/>
  <c r="BB119" i="1"/>
  <c r="Z113" i="1"/>
  <c r="H60" i="18"/>
  <c r="X60" i="18" s="1"/>
  <c r="AD60" i="18" s="1"/>
  <c r="BA119" i="1"/>
  <c r="AG115" i="1"/>
  <c r="BO115" i="1" s="1"/>
  <c r="Z115" i="1"/>
  <c r="Y115" i="1"/>
  <c r="AF243" i="5"/>
  <c r="P113" i="7" s="1"/>
  <c r="AD248" i="5"/>
  <c r="AE248" i="5" s="1"/>
  <c r="AI248" i="5" s="1"/>
  <c r="I248" i="5"/>
  <c r="J248" i="5" s="1"/>
  <c r="Z193" i="5"/>
  <c r="U240" i="5"/>
  <c r="Q242" i="5"/>
  <c r="U242" i="5" s="1"/>
  <c r="R246" i="5"/>
  <c r="AG244" i="5"/>
  <c r="AL244" i="5" s="1"/>
  <c r="AJ246" i="5"/>
  <c r="R249" i="5"/>
  <c r="AG247" i="5"/>
  <c r="AF245" i="5"/>
  <c r="P115" i="7" s="1"/>
  <c r="B250" i="5"/>
  <c r="K248" i="5"/>
  <c r="F246" i="5"/>
  <c r="B253" i="5"/>
  <c r="K251" i="5"/>
  <c r="AE251" i="5"/>
  <c r="AM108" i="1" l="1"/>
  <c r="AU108" i="1"/>
  <c r="AN108" i="1"/>
  <c r="Y173" i="5"/>
  <c r="AA43" i="7" s="1"/>
  <c r="Z43" i="7"/>
  <c r="BI121" i="1"/>
  <c r="BA118" i="1"/>
  <c r="S103" i="5"/>
  <c r="AM105" i="5"/>
  <c r="AN105" i="5" s="1"/>
  <c r="W105" i="5"/>
  <c r="V105" i="5"/>
  <c r="X105" i="5"/>
  <c r="Y105" i="5" s="1"/>
  <c r="X175" i="5"/>
  <c r="S177" i="5"/>
  <c r="V175" i="5"/>
  <c r="AM175" i="5"/>
  <c r="AN175" i="5" s="1"/>
  <c r="W175" i="5"/>
  <c r="F251" i="5"/>
  <c r="P33" i="5"/>
  <c r="AF37" i="5"/>
  <c r="T35" i="5"/>
  <c r="S65" i="5"/>
  <c r="W67" i="5"/>
  <c r="V67" i="5"/>
  <c r="X67" i="5"/>
  <c r="Y67" i="5" s="1"/>
  <c r="AM67" i="5"/>
  <c r="AN67" i="5" s="1"/>
  <c r="I253" i="5"/>
  <c r="J253" i="5"/>
  <c r="F253" i="5" s="1"/>
  <c r="AE134" i="5"/>
  <c r="AI134" i="5" s="1"/>
  <c r="BN115" i="1"/>
  <c r="T115" i="7" s="1"/>
  <c r="BI118" i="1"/>
  <c r="AN110" i="1"/>
  <c r="AM110" i="1"/>
  <c r="AU110" i="1"/>
  <c r="H61" i="18"/>
  <c r="X61" i="18" s="1"/>
  <c r="AD61" i="18" s="1"/>
  <c r="BB121" i="1"/>
  <c r="Z61" i="18"/>
  <c r="K115" i="8"/>
  <c r="K114" i="8"/>
  <c r="BB118" i="1"/>
  <c r="BA121" i="1"/>
  <c r="Q244" i="5"/>
  <c r="T247" i="5"/>
  <c r="P249" i="5"/>
  <c r="U247" i="5"/>
  <c r="Q249" i="5"/>
  <c r="U249" i="5" s="1"/>
  <c r="AD250" i="5"/>
  <c r="AE250" i="5" s="1"/>
  <c r="AI250" i="5" s="1"/>
  <c r="I250" i="5"/>
  <c r="J250" i="5" s="1"/>
  <c r="Z191" i="5"/>
  <c r="AN112" i="1"/>
  <c r="AU112" i="1"/>
  <c r="AM112" i="1"/>
  <c r="R248" i="5"/>
  <c r="AG246" i="5"/>
  <c r="AL246" i="5" s="1"/>
  <c r="K117" i="8" s="1"/>
  <c r="AJ248" i="5"/>
  <c r="AG249" i="5"/>
  <c r="R251" i="5"/>
  <c r="B255" i="5"/>
  <c r="K253" i="5"/>
  <c r="AE253" i="5"/>
  <c r="B252" i="5"/>
  <c r="K250" i="5"/>
  <c r="F248" i="5"/>
  <c r="P251" i="5" l="1"/>
  <c r="Q251" i="5"/>
  <c r="Y175" i="5"/>
  <c r="AA45" i="7" s="1"/>
  <c r="Z45" i="7"/>
  <c r="BI120" i="1"/>
  <c r="V103" i="5"/>
  <c r="X103" i="5"/>
  <c r="Y103" i="5" s="1"/>
  <c r="W103" i="5"/>
  <c r="S101" i="5"/>
  <c r="AM103" i="5"/>
  <c r="AN103" i="5" s="1"/>
  <c r="Z253" i="5"/>
  <c r="X177" i="5"/>
  <c r="S179" i="5"/>
  <c r="V177" i="5"/>
  <c r="W177" i="5"/>
  <c r="AM177" i="5"/>
  <c r="AN177" i="5" s="1"/>
  <c r="P31" i="5"/>
  <c r="AF35" i="5"/>
  <c r="T33" i="5"/>
  <c r="AE136" i="5"/>
  <c r="AI136" i="5" s="1"/>
  <c r="S63" i="5"/>
  <c r="V65" i="5"/>
  <c r="W65" i="5"/>
  <c r="X65" i="5"/>
  <c r="Y65" i="5" s="1"/>
  <c r="AM65" i="5"/>
  <c r="AN65" i="5" s="1"/>
  <c r="BA123" i="1"/>
  <c r="BB123" i="1"/>
  <c r="K116" i="8"/>
  <c r="BI123" i="1"/>
  <c r="AU117" i="1"/>
  <c r="AM117" i="1"/>
  <c r="AN117" i="1"/>
  <c r="Y117" i="1"/>
  <c r="AG117" i="1"/>
  <c r="Z117" i="1"/>
  <c r="BA120" i="1"/>
  <c r="BB120" i="1"/>
  <c r="Z62" i="18"/>
  <c r="H62" i="18"/>
  <c r="X62" i="18" s="1"/>
  <c r="AD62" i="18" s="1"/>
  <c r="AU119" i="1"/>
  <c r="AF247" i="5"/>
  <c r="P117" i="7" s="1"/>
  <c r="T249" i="5"/>
  <c r="AN119" i="1"/>
  <c r="AM119" i="1"/>
  <c r="I255" i="5"/>
  <c r="J255" i="5" s="1"/>
  <c r="AD252" i="5"/>
  <c r="AE252" i="5" s="1"/>
  <c r="AI252" i="5" s="1"/>
  <c r="I252" i="5"/>
  <c r="J252" i="5" s="1"/>
  <c r="Z189" i="5"/>
  <c r="U244" i="5"/>
  <c r="Q246" i="5"/>
  <c r="R250" i="5"/>
  <c r="AG248" i="5"/>
  <c r="AL248" i="5" s="1"/>
  <c r="K118" i="8" s="1"/>
  <c r="R253" i="5"/>
  <c r="AG251" i="5"/>
  <c r="F250" i="5"/>
  <c r="AJ250" i="5"/>
  <c r="B254" i="5"/>
  <c r="K252" i="5"/>
  <c r="B257" i="5"/>
  <c r="K255" i="5"/>
  <c r="AE255" i="5"/>
  <c r="Y177" i="5" l="1"/>
  <c r="AA47" i="7" s="1"/>
  <c r="Z47" i="7"/>
  <c r="T251" i="5"/>
  <c r="Y121" i="1" s="1"/>
  <c r="BI122" i="1"/>
  <c r="BI125" i="1"/>
  <c r="W101" i="5"/>
  <c r="S99" i="5"/>
  <c r="V101" i="5"/>
  <c r="AM101" i="5"/>
  <c r="AN101" i="5" s="1"/>
  <c r="X101" i="5"/>
  <c r="Y101" i="5" s="1"/>
  <c r="X179" i="5"/>
  <c r="S181" i="5"/>
  <c r="W179" i="5"/>
  <c r="AM179" i="5"/>
  <c r="AN179" i="5" s="1"/>
  <c r="V179" i="5"/>
  <c r="P29" i="5"/>
  <c r="T31" i="5"/>
  <c r="AF33" i="5"/>
  <c r="AE130" i="5"/>
  <c r="AI130" i="5" s="1"/>
  <c r="S61" i="5"/>
  <c r="W63" i="5"/>
  <c r="AM63" i="5"/>
  <c r="AN63" i="5" s="1"/>
  <c r="X63" i="5"/>
  <c r="Y63" i="5" s="1"/>
  <c r="V63" i="5"/>
  <c r="I257" i="5"/>
  <c r="J257" i="5" s="1"/>
  <c r="Z257" i="5" s="1"/>
  <c r="P253" i="5"/>
  <c r="T253" i="5" s="1"/>
  <c r="BO117" i="1"/>
  <c r="Z119" i="1"/>
  <c r="AM114" i="1"/>
  <c r="AU114" i="1"/>
  <c r="AN114" i="1"/>
  <c r="AG119" i="1"/>
  <c r="BO119" i="1" s="1"/>
  <c r="H63" i="18"/>
  <c r="X63" i="18" s="1"/>
  <c r="AD63" i="18" s="1"/>
  <c r="BN117" i="1"/>
  <c r="T117" i="7" s="1"/>
  <c r="BB122" i="1"/>
  <c r="BB125" i="1"/>
  <c r="K119" i="8"/>
  <c r="BA122" i="1"/>
  <c r="Y119" i="1"/>
  <c r="BN119" i="1" s="1"/>
  <c r="T119" i="7" s="1"/>
  <c r="BA125" i="1"/>
  <c r="Z63" i="18"/>
  <c r="AG121" i="1"/>
  <c r="U251" i="5"/>
  <c r="Q253" i="5"/>
  <c r="U253" i="5" s="1"/>
  <c r="AF249" i="5"/>
  <c r="P119" i="7" s="1"/>
  <c r="F255" i="5"/>
  <c r="Z255" i="5"/>
  <c r="AD254" i="5"/>
  <c r="AE254" i="5" s="1"/>
  <c r="AI254" i="5" s="1"/>
  <c r="Z64" i="18" s="1"/>
  <c r="I254" i="5"/>
  <c r="J254" i="5" s="1"/>
  <c r="Z187" i="5"/>
  <c r="U246" i="5"/>
  <c r="AM116" i="1" s="1"/>
  <c r="Q248" i="5"/>
  <c r="U248" i="5" s="1"/>
  <c r="AG250" i="5"/>
  <c r="AL250" i="5" s="1"/>
  <c r="K120" i="8" s="1"/>
  <c r="R252" i="5"/>
  <c r="R255" i="5"/>
  <c r="AG253" i="5"/>
  <c r="B259" i="5"/>
  <c r="AE257" i="5"/>
  <c r="K257" i="5"/>
  <c r="B256" i="5"/>
  <c r="K254" i="5"/>
  <c r="F252" i="5"/>
  <c r="AJ252" i="5"/>
  <c r="P255" i="5" l="1"/>
  <c r="Q255" i="5"/>
  <c r="Y179" i="5"/>
  <c r="AA49" i="7" s="1"/>
  <c r="Z49" i="7"/>
  <c r="Z121" i="1"/>
  <c r="H64" i="18"/>
  <c r="X64" i="18" s="1"/>
  <c r="AD64" i="18" s="1"/>
  <c r="S97" i="5"/>
  <c r="AM99" i="5"/>
  <c r="AN99" i="5" s="1"/>
  <c r="W99" i="5"/>
  <c r="V99" i="5"/>
  <c r="X99" i="5"/>
  <c r="Y99" i="5" s="1"/>
  <c r="X181" i="5"/>
  <c r="S183" i="5"/>
  <c r="AM181" i="5"/>
  <c r="AN181" i="5" s="1"/>
  <c r="V181" i="5"/>
  <c r="W181" i="5"/>
  <c r="P27" i="5"/>
  <c r="T29" i="5"/>
  <c r="AE128" i="5"/>
  <c r="AI128" i="5" s="1"/>
  <c r="AF31" i="5"/>
  <c r="F257" i="5"/>
  <c r="S59" i="5"/>
  <c r="W61" i="5"/>
  <c r="V61" i="5"/>
  <c r="X61" i="5"/>
  <c r="Y61" i="5" s="1"/>
  <c r="AM61" i="5"/>
  <c r="AN61" i="5" s="1"/>
  <c r="I259" i="5"/>
  <c r="J259" i="5" s="1"/>
  <c r="Z259" i="5" s="1"/>
  <c r="AG123" i="1"/>
  <c r="Z123" i="1"/>
  <c r="Y123" i="1"/>
  <c r="K121" i="8"/>
  <c r="AN118" i="1"/>
  <c r="BB127" i="1"/>
  <c r="AN116" i="1"/>
  <c r="AF251" i="5"/>
  <c r="P121" i="7" s="1"/>
  <c r="AN121" i="1"/>
  <c r="AU121" i="1"/>
  <c r="BO121" i="1" s="1"/>
  <c r="AM121" i="1"/>
  <c r="BN121" i="1" s="1"/>
  <c r="T121" i="7" s="1"/>
  <c r="BA127" i="1"/>
  <c r="BI124" i="1"/>
  <c r="AU116" i="1"/>
  <c r="BI127" i="1"/>
  <c r="BB124" i="1"/>
  <c r="BA124" i="1"/>
  <c r="AM123" i="1"/>
  <c r="AN123" i="1"/>
  <c r="AU123" i="1"/>
  <c r="AD256" i="5"/>
  <c r="AE256" i="5" s="1"/>
  <c r="AI256" i="5" s="1"/>
  <c r="Z65" i="18" s="1"/>
  <c r="I256" i="5"/>
  <c r="J256" i="5" s="1"/>
  <c r="Q250" i="5"/>
  <c r="Z185" i="5"/>
  <c r="AU118" i="1"/>
  <c r="AM118" i="1"/>
  <c r="R254" i="5"/>
  <c r="AG252" i="5"/>
  <c r="AL252" i="5" s="1"/>
  <c r="K122" i="8" s="1"/>
  <c r="R257" i="5"/>
  <c r="AG255" i="5"/>
  <c r="AJ254" i="5"/>
  <c r="AF253" i="5"/>
  <c r="P123" i="7" s="1"/>
  <c r="B258" i="5"/>
  <c r="K256" i="5"/>
  <c r="F254" i="5"/>
  <c r="Z254" i="5"/>
  <c r="Z252" i="5" s="1"/>
  <c r="Z250" i="5" s="1"/>
  <c r="Z248" i="5" s="1"/>
  <c r="Z246" i="5" s="1"/>
  <c r="Z244" i="5" s="1"/>
  <c r="Z242" i="5" s="1"/>
  <c r="Z240" i="5" s="1"/>
  <c r="Z238" i="5" s="1"/>
  <c r="Z236" i="5" s="1"/>
  <c r="Z234" i="5" s="1"/>
  <c r="Z232" i="5" s="1"/>
  <c r="Z230" i="5" s="1"/>
  <c r="Z228" i="5" s="1"/>
  <c r="Z226" i="5" s="1"/>
  <c r="Z224" i="5" s="1"/>
  <c r="Z222" i="5" s="1"/>
  <c r="Z220" i="5" s="1"/>
  <c r="Z218" i="5" s="1"/>
  <c r="Z216" i="5" s="1"/>
  <c r="Z214" i="5" s="1"/>
  <c r="Z212" i="5" s="1"/>
  <c r="Z210" i="5" s="1"/>
  <c r="Z208" i="5" s="1"/>
  <c r="Z206" i="5" s="1"/>
  <c r="Z204" i="5" s="1"/>
  <c r="Z202" i="5" s="1"/>
  <c r="Z200" i="5" s="1"/>
  <c r="Z198" i="5" s="1"/>
  <c r="Z196" i="5" s="1"/>
  <c r="Z194" i="5" s="1"/>
  <c r="Z192" i="5" s="1"/>
  <c r="Z190" i="5" s="1"/>
  <c r="Z188" i="5" s="1"/>
  <c r="Z186" i="5" s="1"/>
  <c r="Z184" i="5" s="1"/>
  <c r="Z182" i="5" s="1"/>
  <c r="Z180" i="5" s="1"/>
  <c r="Z178" i="5" s="1"/>
  <c r="Z176" i="5" s="1"/>
  <c r="Z174" i="5" s="1"/>
  <c r="B261" i="5"/>
  <c r="K259" i="5"/>
  <c r="AE259" i="5"/>
  <c r="P257" i="5" l="1"/>
  <c r="Q257" i="5"/>
  <c r="U257" i="5" s="1"/>
  <c r="Y181" i="5"/>
  <c r="AA51" i="7" s="1"/>
  <c r="Z51" i="7"/>
  <c r="BA126" i="1"/>
  <c r="V97" i="5"/>
  <c r="S95" i="5"/>
  <c r="W97" i="5"/>
  <c r="X97" i="5"/>
  <c r="Y97" i="5" s="1"/>
  <c r="AM97" i="5"/>
  <c r="AN97" i="5" s="1"/>
  <c r="X183" i="5"/>
  <c r="S185" i="5"/>
  <c r="W183" i="5"/>
  <c r="AM183" i="5"/>
  <c r="AN183" i="5" s="1"/>
  <c r="V183" i="5"/>
  <c r="P25" i="5"/>
  <c r="AF29" i="5"/>
  <c r="T27" i="5"/>
  <c r="AE140" i="5"/>
  <c r="AI140" i="5" s="1"/>
  <c r="AE142" i="5"/>
  <c r="AI142" i="5" s="1"/>
  <c r="S57" i="5"/>
  <c r="AM59" i="5"/>
  <c r="AN59" i="5" s="1"/>
  <c r="W59" i="5"/>
  <c r="V59" i="5"/>
  <c r="X59" i="5"/>
  <c r="Y59" i="5" s="1"/>
  <c r="F259" i="5"/>
  <c r="I261" i="5"/>
  <c r="J261" i="5" s="1"/>
  <c r="F261" i="5" s="1"/>
  <c r="Z172" i="5"/>
  <c r="BO123" i="1"/>
  <c r="BN123" i="1"/>
  <c r="T123" i="7" s="1"/>
  <c r="BB126" i="1"/>
  <c r="BI129" i="1"/>
  <c r="K123" i="8"/>
  <c r="BB129" i="1"/>
  <c r="BI126" i="1"/>
  <c r="H65" i="18"/>
  <c r="X65" i="18" s="1"/>
  <c r="AD65" i="18" s="1"/>
  <c r="BA129" i="1"/>
  <c r="U255" i="5"/>
  <c r="T255" i="5"/>
  <c r="AD258" i="5"/>
  <c r="AE258" i="5" s="1"/>
  <c r="AI258" i="5" s="1"/>
  <c r="I258" i="5"/>
  <c r="J258" i="5" s="1"/>
  <c r="Z183" i="5"/>
  <c r="U250" i="5"/>
  <c r="Q252" i="5"/>
  <c r="AG254" i="5"/>
  <c r="AL254" i="5" s="1"/>
  <c r="R256" i="5"/>
  <c r="R259" i="5"/>
  <c r="AG257" i="5"/>
  <c r="AJ256" i="5"/>
  <c r="B263" i="5"/>
  <c r="AE261" i="5"/>
  <c r="K261" i="5"/>
  <c r="B260" i="5"/>
  <c r="K258" i="5"/>
  <c r="Z256" i="5"/>
  <c r="F256" i="5"/>
  <c r="Q259" i="5" l="1"/>
  <c r="P259" i="5"/>
  <c r="Y183" i="5"/>
  <c r="AA53" i="7" s="1"/>
  <c r="Z53" i="7"/>
  <c r="S93" i="5"/>
  <c r="BI131" i="1"/>
  <c r="BB128" i="1"/>
  <c r="AM95" i="5"/>
  <c r="AN95" i="5" s="1"/>
  <c r="X95" i="5"/>
  <c r="Y95" i="5" s="1"/>
  <c r="V95" i="5"/>
  <c r="W95" i="5"/>
  <c r="X185" i="5"/>
  <c r="S187" i="5"/>
  <c r="W185" i="5"/>
  <c r="V185" i="5"/>
  <c r="AM185" i="5"/>
  <c r="AN185" i="5" s="1"/>
  <c r="P23" i="5"/>
  <c r="T25" i="5"/>
  <c r="AF27" i="5"/>
  <c r="AE138" i="5"/>
  <c r="AI138" i="5" s="1"/>
  <c r="Z12" i="18" s="1"/>
  <c r="AE144" i="5"/>
  <c r="AI144" i="5" s="1"/>
  <c r="Z261" i="5"/>
  <c r="S55" i="5"/>
  <c r="X57" i="5"/>
  <c r="Y57" i="5" s="1"/>
  <c r="W57" i="5"/>
  <c r="V57" i="5"/>
  <c r="AM57" i="5"/>
  <c r="AN57" i="5" s="1"/>
  <c r="Z170" i="5"/>
  <c r="BA128" i="1"/>
  <c r="AM120" i="1"/>
  <c r="AN120" i="1"/>
  <c r="AU120" i="1"/>
  <c r="AG125" i="1"/>
  <c r="Y125" i="1"/>
  <c r="Z125" i="1"/>
  <c r="H66" i="18"/>
  <c r="X66" i="18" s="1"/>
  <c r="AD66" i="18" s="1"/>
  <c r="BB131" i="1"/>
  <c r="Z66" i="18"/>
  <c r="BI128" i="1"/>
  <c r="AU125" i="1"/>
  <c r="AN125" i="1"/>
  <c r="AM125" i="1"/>
  <c r="K124" i="8"/>
  <c r="BA131" i="1"/>
  <c r="K125" i="8"/>
  <c r="T257" i="5"/>
  <c r="AF255" i="5"/>
  <c r="P125" i="7" s="1"/>
  <c r="AN127" i="1"/>
  <c r="AM127" i="1"/>
  <c r="AU127" i="1"/>
  <c r="I263" i="5"/>
  <c r="J263" i="5" s="1"/>
  <c r="AD260" i="5"/>
  <c r="AE260" i="5" s="1"/>
  <c r="AI260" i="5" s="1"/>
  <c r="Z67" i="18" s="1"/>
  <c r="I260" i="5"/>
  <c r="J260" i="5" s="1"/>
  <c r="Z181" i="5"/>
  <c r="U252" i="5"/>
  <c r="AN122" i="1" s="1"/>
  <c r="Q254" i="5"/>
  <c r="U254" i="5" s="1"/>
  <c r="R258" i="5"/>
  <c r="AG256" i="5"/>
  <c r="AL256" i="5" s="1"/>
  <c r="R261" i="5"/>
  <c r="AG259" i="5"/>
  <c r="AJ258" i="5"/>
  <c r="B262" i="5"/>
  <c r="K260" i="5"/>
  <c r="F258" i="5"/>
  <c r="Z258" i="5"/>
  <c r="B265" i="5"/>
  <c r="AE263" i="5"/>
  <c r="K263" i="5"/>
  <c r="Z55" i="7" l="1"/>
  <c r="AA183" i="5"/>
  <c r="S91" i="5"/>
  <c r="S89" i="5" s="1"/>
  <c r="X93" i="5"/>
  <c r="Y93" i="5" s="1"/>
  <c r="AM93" i="5"/>
  <c r="AN93" i="5" s="1"/>
  <c r="V93" i="5"/>
  <c r="W93" i="5"/>
  <c r="BB130" i="1"/>
  <c r="X187" i="5"/>
  <c r="Y185" i="5"/>
  <c r="S189" i="5"/>
  <c r="AM187" i="5"/>
  <c r="AN187" i="5" s="1"/>
  <c r="W187" i="5"/>
  <c r="V187" i="5"/>
  <c r="Z10" i="18"/>
  <c r="Z11" i="18"/>
  <c r="Z8" i="18"/>
  <c r="P21" i="5"/>
  <c r="AF25" i="5"/>
  <c r="T23" i="5"/>
  <c r="S53" i="5"/>
  <c r="AM55" i="5"/>
  <c r="AN55" i="5" s="1"/>
  <c r="W55" i="5"/>
  <c r="V55" i="5"/>
  <c r="X55" i="5"/>
  <c r="Y55" i="5" s="1"/>
  <c r="I265" i="5"/>
  <c r="J265" i="5"/>
  <c r="F265" i="5" s="1"/>
  <c r="Z168" i="5"/>
  <c r="AM122" i="1"/>
  <c r="AU122" i="1"/>
  <c r="Y127" i="1"/>
  <c r="BN127" i="1" s="1"/>
  <c r="T127" i="7" s="1"/>
  <c r="AG127" i="1"/>
  <c r="BO127" i="1" s="1"/>
  <c r="Z127" i="1"/>
  <c r="BB133" i="1"/>
  <c r="BI130" i="1"/>
  <c r="BO125" i="1"/>
  <c r="H67" i="18"/>
  <c r="X67" i="18" s="1"/>
  <c r="AD67" i="18" s="1"/>
  <c r="BI133" i="1"/>
  <c r="BA130" i="1"/>
  <c r="K127" i="8"/>
  <c r="K126" i="8"/>
  <c r="BA133" i="1"/>
  <c r="BN125" i="1"/>
  <c r="T125" i="7" s="1"/>
  <c r="AF257" i="5"/>
  <c r="P127" i="7" s="1"/>
  <c r="U259" i="5"/>
  <c r="Q261" i="5"/>
  <c r="U261" i="5" s="1"/>
  <c r="P261" i="5"/>
  <c r="T261" i="5" s="1"/>
  <c r="T259" i="5"/>
  <c r="F263" i="5"/>
  <c r="Z263" i="5"/>
  <c r="AD262" i="5"/>
  <c r="AE262" i="5" s="1"/>
  <c r="AI262" i="5" s="1"/>
  <c r="Z68" i="18" s="1"/>
  <c r="I262" i="5"/>
  <c r="J262" i="5" s="1"/>
  <c r="Z179" i="5"/>
  <c r="AA181" i="5"/>
  <c r="Q256" i="5"/>
  <c r="AU124" i="1"/>
  <c r="AM124" i="1"/>
  <c r="AN124" i="1"/>
  <c r="R260" i="5"/>
  <c r="AG258" i="5"/>
  <c r="AL258" i="5" s="1"/>
  <c r="R263" i="5"/>
  <c r="AG261" i="5"/>
  <c r="AJ260" i="5"/>
  <c r="B264" i="5"/>
  <c r="K262" i="5"/>
  <c r="B267" i="5"/>
  <c r="AE265" i="5"/>
  <c r="K265" i="5"/>
  <c r="F260" i="5"/>
  <c r="Z260" i="5"/>
  <c r="Q263" i="5" l="1"/>
  <c r="P263" i="5"/>
  <c r="AA185" i="5"/>
  <c r="AA55" i="7"/>
  <c r="Y187" i="5"/>
  <c r="Z57" i="7"/>
  <c r="AM91" i="5"/>
  <c r="AN91" i="5" s="1"/>
  <c r="W91" i="5"/>
  <c r="X91" i="5"/>
  <c r="Y91" i="5" s="1"/>
  <c r="V91" i="5"/>
  <c r="S87" i="5"/>
  <c r="W89" i="5"/>
  <c r="AM89" i="5"/>
  <c r="AN89" i="5" s="1"/>
  <c r="V89" i="5"/>
  <c r="X89" i="5"/>
  <c r="Y89" i="5" s="1"/>
  <c r="X189" i="5"/>
  <c r="S191" i="5"/>
  <c r="V189" i="5"/>
  <c r="W189" i="5"/>
  <c r="AM189" i="5"/>
  <c r="AN189" i="5" s="1"/>
  <c r="P19" i="5"/>
  <c r="AF23" i="5"/>
  <c r="T21" i="5"/>
  <c r="Z265" i="5"/>
  <c r="S51" i="5"/>
  <c r="W53" i="5"/>
  <c r="X53" i="5"/>
  <c r="Y53" i="5" s="1"/>
  <c r="V53" i="5"/>
  <c r="AM53" i="5"/>
  <c r="AN53" i="5" s="1"/>
  <c r="I267" i="5"/>
  <c r="J267" i="5"/>
  <c r="F267" i="5" s="1"/>
  <c r="Z166" i="5"/>
  <c r="BB135" i="1"/>
  <c r="BA135" i="1"/>
  <c r="BI135" i="1"/>
  <c r="Y129" i="1"/>
  <c r="BI132" i="1"/>
  <c r="BB132" i="1"/>
  <c r="AM131" i="1"/>
  <c r="AN129" i="1"/>
  <c r="AU129" i="1"/>
  <c r="AM129" i="1"/>
  <c r="K129" i="8"/>
  <c r="Z129" i="1"/>
  <c r="BA132" i="1"/>
  <c r="H68" i="18"/>
  <c r="X68" i="18" s="1"/>
  <c r="AD68" i="18" s="1"/>
  <c r="AG129" i="1"/>
  <c r="K128" i="8"/>
  <c r="AG131" i="1"/>
  <c r="AU131" i="1"/>
  <c r="AN131" i="1"/>
  <c r="AF259" i="5"/>
  <c r="P129" i="7" s="1"/>
  <c r="Z131" i="1"/>
  <c r="Y131" i="1"/>
  <c r="AD264" i="5"/>
  <c r="AE264" i="5" s="1"/>
  <c r="AI264" i="5" s="1"/>
  <c r="Z69" i="18" s="1"/>
  <c r="I264" i="5"/>
  <c r="J264" i="5" s="1"/>
  <c r="AA179" i="5"/>
  <c r="Z177" i="5"/>
  <c r="U256" i="5"/>
  <c r="Q258" i="5"/>
  <c r="U258" i="5" s="1"/>
  <c r="R262" i="5"/>
  <c r="AG260" i="5"/>
  <c r="AL260" i="5" s="1"/>
  <c r="K131" i="8" s="1"/>
  <c r="R265" i="5"/>
  <c r="AG263" i="5"/>
  <c r="F262" i="5"/>
  <c r="Z262" i="5"/>
  <c r="AF261" i="5"/>
  <c r="P131" i="7" s="1"/>
  <c r="B269" i="5"/>
  <c r="K267" i="5"/>
  <c r="AE267" i="5"/>
  <c r="AJ262" i="5"/>
  <c r="B266" i="5"/>
  <c r="K264" i="5"/>
  <c r="Y189" i="5" l="1"/>
  <c r="Z59" i="7"/>
  <c r="AA187" i="5"/>
  <c r="AA57" i="7"/>
  <c r="S85" i="5"/>
  <c r="V87" i="5"/>
  <c r="AM87" i="5"/>
  <c r="AN87" i="5" s="1"/>
  <c r="W87" i="5"/>
  <c r="X87" i="5"/>
  <c r="Y87" i="5" s="1"/>
  <c r="BI134" i="1"/>
  <c r="X191" i="5"/>
  <c r="S193" i="5"/>
  <c r="AM191" i="5"/>
  <c r="AN191" i="5" s="1"/>
  <c r="W191" i="5"/>
  <c r="V191" i="5"/>
  <c r="Q260" i="5"/>
  <c r="P17" i="5"/>
  <c r="AF21" i="5"/>
  <c r="T19" i="5"/>
  <c r="S49" i="5"/>
  <c r="AM51" i="5"/>
  <c r="AN51" i="5" s="1"/>
  <c r="W51" i="5"/>
  <c r="V51" i="5"/>
  <c r="X51" i="5"/>
  <c r="Y51" i="5" s="1"/>
  <c r="Z267" i="5"/>
  <c r="I269" i="5"/>
  <c r="J269" i="5"/>
  <c r="Z269" i="5" s="1"/>
  <c r="Z164" i="5"/>
  <c r="BI137" i="1"/>
  <c r="H69" i="18"/>
  <c r="X69" i="18" s="1"/>
  <c r="AD69" i="18" s="1"/>
  <c r="BB137" i="1"/>
  <c r="BA134" i="1"/>
  <c r="BA137" i="1"/>
  <c r="BB134" i="1"/>
  <c r="BN131" i="1"/>
  <c r="T131" i="7" s="1"/>
  <c r="BN129" i="1"/>
  <c r="T129" i="7" s="1"/>
  <c r="BO129" i="1"/>
  <c r="BO131" i="1"/>
  <c r="K130" i="8"/>
  <c r="AN128" i="1"/>
  <c r="AM126" i="1"/>
  <c r="AU126" i="1"/>
  <c r="AN126" i="1"/>
  <c r="U263" i="5"/>
  <c r="Q265" i="5"/>
  <c r="T263" i="5"/>
  <c r="P265" i="5"/>
  <c r="AD266" i="5"/>
  <c r="AE266" i="5" s="1"/>
  <c r="AI266" i="5" s="1"/>
  <c r="Z70" i="18" s="1"/>
  <c r="I266" i="5"/>
  <c r="J266" i="5" s="1"/>
  <c r="AA177" i="5"/>
  <c r="Z175" i="5"/>
  <c r="AU128" i="1"/>
  <c r="AM128" i="1"/>
  <c r="R264" i="5"/>
  <c r="AG262" i="5"/>
  <c r="AL262" i="5" s="1"/>
  <c r="AG265" i="5"/>
  <c r="R267" i="5"/>
  <c r="B271" i="5"/>
  <c r="AE269" i="5"/>
  <c r="K269" i="5"/>
  <c r="B268" i="5"/>
  <c r="K266" i="5"/>
  <c r="F264" i="5"/>
  <c r="Z264" i="5"/>
  <c r="AJ264" i="5"/>
  <c r="AA189" i="5" l="1"/>
  <c r="AA59" i="7"/>
  <c r="Y191" i="5"/>
  <c r="Z61" i="7"/>
  <c r="S83" i="5"/>
  <c r="AM85" i="5"/>
  <c r="AN85" i="5" s="1"/>
  <c r="W85" i="5"/>
  <c r="V85" i="5"/>
  <c r="X85" i="5"/>
  <c r="Y85" i="5" s="1"/>
  <c r="BI136" i="1"/>
  <c r="BI139" i="1"/>
  <c r="X193" i="5"/>
  <c r="S195" i="5"/>
  <c r="V193" i="5"/>
  <c r="W193" i="5"/>
  <c r="AM193" i="5"/>
  <c r="AN193" i="5" s="1"/>
  <c r="F269" i="5"/>
  <c r="P15" i="5"/>
  <c r="T17" i="5"/>
  <c r="AF19" i="5"/>
  <c r="S47" i="5"/>
  <c r="AM49" i="5"/>
  <c r="AN49" i="5" s="1"/>
  <c r="V49" i="5"/>
  <c r="X49" i="5"/>
  <c r="Y49" i="5" s="1"/>
  <c r="W49" i="5"/>
  <c r="I271" i="5"/>
  <c r="J271" i="5"/>
  <c r="Z271" i="5" s="1"/>
  <c r="Z162" i="5"/>
  <c r="BA136" i="1"/>
  <c r="BA139" i="1"/>
  <c r="H70" i="18"/>
  <c r="X70" i="18" s="1"/>
  <c r="AD70" i="18" s="1"/>
  <c r="BB139" i="1"/>
  <c r="BB136" i="1"/>
  <c r="K133" i="8"/>
  <c r="AU133" i="1"/>
  <c r="AN133" i="1"/>
  <c r="AM133" i="1"/>
  <c r="Y133" i="1"/>
  <c r="AG133" i="1"/>
  <c r="Z133" i="1"/>
  <c r="K132" i="8"/>
  <c r="AF263" i="5"/>
  <c r="P133" i="7" s="1"/>
  <c r="P267" i="5"/>
  <c r="T265" i="5"/>
  <c r="Z135" i="1" s="1"/>
  <c r="U265" i="5"/>
  <c r="AU135" i="1" s="1"/>
  <c r="Q267" i="5"/>
  <c r="U267" i="5" s="1"/>
  <c r="AD268" i="5"/>
  <c r="AE268" i="5" s="1"/>
  <c r="AI268" i="5" s="1"/>
  <c r="Z71" i="18" s="1"/>
  <c r="I268" i="5"/>
  <c r="J268" i="5" s="1"/>
  <c r="U260" i="5"/>
  <c r="Q262" i="5"/>
  <c r="AA175" i="5"/>
  <c r="Z173" i="5"/>
  <c r="R266" i="5"/>
  <c r="AG264" i="5"/>
  <c r="AL264" i="5" s="1"/>
  <c r="K134" i="8" s="1"/>
  <c r="R269" i="5"/>
  <c r="AG267" i="5"/>
  <c r="AJ266" i="5"/>
  <c r="B270" i="5"/>
  <c r="K268" i="5"/>
  <c r="F266" i="5"/>
  <c r="Z266" i="5"/>
  <c r="B273" i="5"/>
  <c r="K271" i="5"/>
  <c r="AE271" i="5"/>
  <c r="Q269" i="5" l="1"/>
  <c r="P269" i="5"/>
  <c r="AA191" i="5"/>
  <c r="AA61" i="7"/>
  <c r="Y193" i="5"/>
  <c r="Z63" i="7"/>
  <c r="S81" i="5"/>
  <c r="V83" i="5"/>
  <c r="AM83" i="5"/>
  <c r="AN83" i="5" s="1"/>
  <c r="W83" i="5"/>
  <c r="X83" i="5"/>
  <c r="Y83" i="5" s="1"/>
  <c r="F271" i="5"/>
  <c r="BI141" i="1"/>
  <c r="BA138" i="1"/>
  <c r="X195" i="5"/>
  <c r="S197" i="5"/>
  <c r="V195" i="5"/>
  <c r="W195" i="5"/>
  <c r="AM195" i="5"/>
  <c r="AN195" i="5" s="1"/>
  <c r="S45" i="5"/>
  <c r="AF17" i="5"/>
  <c r="P13" i="5"/>
  <c r="T15" i="5"/>
  <c r="AE154" i="5"/>
  <c r="AI154" i="5" s="1"/>
  <c r="Z13" i="18" s="1"/>
  <c r="V47" i="5"/>
  <c r="AM47" i="5"/>
  <c r="AN47" i="5" s="1"/>
  <c r="X47" i="5"/>
  <c r="Y47" i="5" s="1"/>
  <c r="W47" i="5"/>
  <c r="I273" i="5"/>
  <c r="J273" i="5"/>
  <c r="F273" i="5" s="1"/>
  <c r="Z160" i="5"/>
  <c r="AG135" i="1"/>
  <c r="BO135" i="1" s="1"/>
  <c r="Y135" i="1"/>
  <c r="BI138" i="1"/>
  <c r="BB141" i="1"/>
  <c r="K135" i="8"/>
  <c r="BB138" i="1"/>
  <c r="BA141" i="1"/>
  <c r="H71" i="18"/>
  <c r="X71" i="18" s="1"/>
  <c r="AD71" i="18" s="1"/>
  <c r="AM135" i="1"/>
  <c r="AN135" i="1"/>
  <c r="BO133" i="1"/>
  <c r="BN133" i="1"/>
  <c r="T133" i="7" s="1"/>
  <c r="AM130" i="1"/>
  <c r="AU130" i="1"/>
  <c r="AN130" i="1"/>
  <c r="T267" i="5"/>
  <c r="AG137" i="1" s="1"/>
  <c r="AF265" i="5"/>
  <c r="P135" i="7" s="1"/>
  <c r="AN137" i="1"/>
  <c r="AM137" i="1"/>
  <c r="AU137" i="1"/>
  <c r="AD270" i="5"/>
  <c r="AE270" i="5" s="1"/>
  <c r="AI270" i="5" s="1"/>
  <c r="Z72" i="18" s="1"/>
  <c r="I270" i="5"/>
  <c r="J270" i="5" s="1"/>
  <c r="U262" i="5"/>
  <c r="AN132" i="1" s="1"/>
  <c r="Q264" i="5"/>
  <c r="U264" i="5" s="1"/>
  <c r="Z171" i="5"/>
  <c r="AA173" i="5"/>
  <c r="AG266" i="5"/>
  <c r="AL266" i="5" s="1"/>
  <c r="K137" i="8" s="1"/>
  <c r="R268" i="5"/>
  <c r="AG269" i="5"/>
  <c r="R271" i="5"/>
  <c r="Z268" i="5"/>
  <c r="F268" i="5"/>
  <c r="B275" i="5"/>
  <c r="AE273" i="5"/>
  <c r="K273" i="5"/>
  <c r="B272" i="5"/>
  <c r="K270" i="5"/>
  <c r="AJ268" i="5"/>
  <c r="P271" i="5" l="1"/>
  <c r="Y195" i="5"/>
  <c r="Z65" i="7"/>
  <c r="AA193" i="5"/>
  <c r="AA63" i="7"/>
  <c r="S79" i="5"/>
  <c r="W81" i="5"/>
  <c r="X81" i="5"/>
  <c r="Y81" i="5" s="1"/>
  <c r="V81" i="5"/>
  <c r="AM81" i="5"/>
  <c r="AN81" i="5" s="1"/>
  <c r="BI143" i="1"/>
  <c r="BB140" i="1"/>
  <c r="X197" i="5"/>
  <c r="S199" i="5"/>
  <c r="AM197" i="5"/>
  <c r="AN197" i="5" s="1"/>
  <c r="W197" i="5"/>
  <c r="V197" i="5"/>
  <c r="Z20" i="18"/>
  <c r="Z18" i="18"/>
  <c r="Z16" i="18"/>
  <c r="P11" i="5"/>
  <c r="S43" i="5"/>
  <c r="V45" i="5"/>
  <c r="W45" i="5"/>
  <c r="X45" i="5"/>
  <c r="Y45" i="5" s="1"/>
  <c r="AM45" i="5"/>
  <c r="AN45" i="5" s="1"/>
  <c r="AF15" i="5"/>
  <c r="T13" i="5"/>
  <c r="AE156" i="5"/>
  <c r="AI156" i="5" s="1"/>
  <c r="Z14" i="18" s="1"/>
  <c r="Z273" i="5"/>
  <c r="I275" i="5"/>
  <c r="J275" i="5"/>
  <c r="F275" i="5" s="1"/>
  <c r="BN135" i="1"/>
  <c r="T135" i="7" s="1"/>
  <c r="Q266" i="5"/>
  <c r="Z158" i="5"/>
  <c r="Z137" i="1"/>
  <c r="Y137" i="1"/>
  <c r="BN137" i="1" s="1"/>
  <c r="T137" i="7" s="1"/>
  <c r="BA140" i="1"/>
  <c r="BB143" i="1"/>
  <c r="H72" i="18"/>
  <c r="X72" i="18" s="1"/>
  <c r="AD72" i="18" s="1"/>
  <c r="BI140" i="1"/>
  <c r="BA143" i="1"/>
  <c r="K136" i="8"/>
  <c r="AU132" i="1"/>
  <c r="AM132" i="1"/>
  <c r="AF267" i="5"/>
  <c r="P137" i="7" s="1"/>
  <c r="BO137" i="1"/>
  <c r="T269" i="5"/>
  <c r="AG139" i="1" s="1"/>
  <c r="U269" i="5"/>
  <c r="Q271" i="5"/>
  <c r="AD272" i="5"/>
  <c r="AE272" i="5" s="1"/>
  <c r="AI272" i="5" s="1"/>
  <c r="Z73" i="18" s="1"/>
  <c r="I272" i="5"/>
  <c r="J272" i="5" s="1"/>
  <c r="AM134" i="1"/>
  <c r="AU134" i="1"/>
  <c r="AN134" i="1"/>
  <c r="Z169" i="5"/>
  <c r="AA171" i="5"/>
  <c r="R270" i="5"/>
  <c r="AG268" i="5"/>
  <c r="AL268" i="5" s="1"/>
  <c r="K139" i="8" s="1"/>
  <c r="R273" i="5"/>
  <c r="AG271" i="5"/>
  <c r="B274" i="5"/>
  <c r="K272" i="5"/>
  <c r="Z270" i="5"/>
  <c r="F270" i="5"/>
  <c r="AJ270" i="5"/>
  <c r="B277" i="5"/>
  <c r="K275" i="5"/>
  <c r="AE275" i="5"/>
  <c r="Y197" i="5" l="1"/>
  <c r="Z67" i="7"/>
  <c r="AA195" i="5"/>
  <c r="AA65" i="7"/>
  <c r="S77" i="5"/>
  <c r="AM79" i="5"/>
  <c r="AN79" i="5" s="1"/>
  <c r="W79" i="5"/>
  <c r="X79" i="5"/>
  <c r="Y79" i="5" s="1"/>
  <c r="V79" i="5"/>
  <c r="BB142" i="1"/>
  <c r="BB145" i="1"/>
  <c r="X199" i="5"/>
  <c r="S201" i="5"/>
  <c r="AM199" i="5"/>
  <c r="AN199" i="5" s="1"/>
  <c r="V199" i="5"/>
  <c r="W199" i="5"/>
  <c r="Z21" i="18"/>
  <c r="Z19" i="18"/>
  <c r="Z275" i="5"/>
  <c r="Z15" i="18"/>
  <c r="Z17" i="18"/>
  <c r="P9" i="5"/>
  <c r="S41" i="5"/>
  <c r="W43" i="5"/>
  <c r="AM43" i="5"/>
  <c r="AN43" i="5" s="1"/>
  <c r="V43" i="5"/>
  <c r="X43" i="5"/>
  <c r="Y43" i="5" s="1"/>
  <c r="AF13" i="5"/>
  <c r="T11" i="5"/>
  <c r="I277" i="5"/>
  <c r="J277" i="5"/>
  <c r="F277" i="5" s="1"/>
  <c r="Z156" i="5"/>
  <c r="H73" i="18"/>
  <c r="X73" i="18" s="1"/>
  <c r="AD73" i="18" s="1"/>
  <c r="BI145" i="1"/>
  <c r="AN139" i="1"/>
  <c r="AM139" i="1"/>
  <c r="AU139" i="1"/>
  <c r="BO139" i="1" s="1"/>
  <c r="K138" i="8"/>
  <c r="Y139" i="1"/>
  <c r="BA142" i="1"/>
  <c r="BA145" i="1"/>
  <c r="BI142" i="1"/>
  <c r="Z139" i="1"/>
  <c r="P273" i="5"/>
  <c r="T273" i="5" s="1"/>
  <c r="T271" i="5"/>
  <c r="AF269" i="5"/>
  <c r="P139" i="7" s="1"/>
  <c r="U271" i="5"/>
  <c r="AN141" i="1" s="1"/>
  <c r="Q273" i="5"/>
  <c r="AD274" i="5"/>
  <c r="AE274" i="5" s="1"/>
  <c r="AI274" i="5" s="1"/>
  <c r="Z74" i="18" s="1"/>
  <c r="I274" i="5"/>
  <c r="J274" i="5" s="1"/>
  <c r="U266" i="5"/>
  <c r="Q268" i="5"/>
  <c r="U268" i="5" s="1"/>
  <c r="Z167" i="5"/>
  <c r="AA169" i="5"/>
  <c r="AG270" i="5"/>
  <c r="AL270" i="5" s="1"/>
  <c r="K140" i="8" s="1"/>
  <c r="R272" i="5"/>
  <c r="R275" i="5"/>
  <c r="AG273" i="5"/>
  <c r="AJ272" i="5"/>
  <c r="F272" i="5"/>
  <c r="Z272" i="5"/>
  <c r="B279" i="5"/>
  <c r="K277" i="5"/>
  <c r="AE277" i="5"/>
  <c r="B276" i="5"/>
  <c r="K274" i="5"/>
  <c r="Y199" i="5" l="1"/>
  <c r="Z69" i="7"/>
  <c r="AA197" i="5"/>
  <c r="AA67" i="7"/>
  <c r="AM77" i="5"/>
  <c r="AN77" i="5" s="1"/>
  <c r="V77" i="5"/>
  <c r="W77" i="5"/>
  <c r="X77" i="5"/>
  <c r="Y77" i="5" s="1"/>
  <c r="J279" i="5"/>
  <c r="BI147" i="1"/>
  <c r="BB144" i="1"/>
  <c r="X201" i="5"/>
  <c r="S203" i="5"/>
  <c r="V201" i="5"/>
  <c r="W201" i="5"/>
  <c r="AM201" i="5"/>
  <c r="AN201" i="5" s="1"/>
  <c r="AE132" i="5"/>
  <c r="AI132" i="5" s="1"/>
  <c r="Z277" i="5"/>
  <c r="S39" i="5"/>
  <c r="X41" i="5"/>
  <c r="Y41" i="5" s="1"/>
  <c r="W41" i="5"/>
  <c r="V41" i="5"/>
  <c r="AM41" i="5"/>
  <c r="AN41" i="5" s="1"/>
  <c r="P7" i="5"/>
  <c r="T9" i="5"/>
  <c r="AF11" i="5"/>
  <c r="Q270" i="5"/>
  <c r="U270" i="5" s="1"/>
  <c r="AU140" i="1" s="1"/>
  <c r="Z154" i="5"/>
  <c r="P275" i="5"/>
  <c r="AU141" i="1"/>
  <c r="AM141" i="1"/>
  <c r="AG143" i="1"/>
  <c r="BN139" i="1"/>
  <c r="T139" i="7" s="1"/>
  <c r="BI144" i="1"/>
  <c r="BA147" i="1"/>
  <c r="K141" i="8"/>
  <c r="AN136" i="1"/>
  <c r="AM136" i="1"/>
  <c r="AU136" i="1"/>
  <c r="BA144" i="1"/>
  <c r="BB147" i="1"/>
  <c r="Z141" i="1"/>
  <c r="H74" i="18"/>
  <c r="X74" i="18" s="1"/>
  <c r="AD74" i="18" s="1"/>
  <c r="AG141" i="1"/>
  <c r="Y141" i="1"/>
  <c r="Z143" i="1"/>
  <c r="Y143" i="1"/>
  <c r="AF271" i="5"/>
  <c r="P141" i="7" s="1"/>
  <c r="U273" i="5"/>
  <c r="AU143" i="1" s="1"/>
  <c r="Q275" i="5"/>
  <c r="AD276" i="5"/>
  <c r="AE276" i="5" s="1"/>
  <c r="AI276" i="5" s="1"/>
  <c r="Z75" i="18" s="1"/>
  <c r="I276" i="5"/>
  <c r="J276" i="5" s="1"/>
  <c r="I279" i="5"/>
  <c r="AU138" i="1"/>
  <c r="AM138" i="1"/>
  <c r="AN138" i="1"/>
  <c r="Z165" i="5"/>
  <c r="AA167" i="5"/>
  <c r="AG272" i="5"/>
  <c r="AL272" i="5" s="1"/>
  <c r="K142" i="8" s="1"/>
  <c r="R274" i="5"/>
  <c r="R277" i="5"/>
  <c r="AG275" i="5"/>
  <c r="F274" i="5"/>
  <c r="Z274" i="5"/>
  <c r="B278" i="5"/>
  <c r="K276" i="5"/>
  <c r="B281" i="5"/>
  <c r="K279" i="5"/>
  <c r="AE279" i="5"/>
  <c r="AJ274" i="5"/>
  <c r="Y201" i="5" l="1"/>
  <c r="Z71" i="7"/>
  <c r="AA199" i="5"/>
  <c r="AA69" i="7"/>
  <c r="J281" i="5"/>
  <c r="BA146" i="1"/>
  <c r="X203" i="5"/>
  <c r="S205" i="5"/>
  <c r="BO141" i="1"/>
  <c r="V203" i="5"/>
  <c r="W203" i="5"/>
  <c r="AM203" i="5"/>
  <c r="AN203" i="5" s="1"/>
  <c r="Z9" i="18"/>
  <c r="AM39" i="5"/>
  <c r="AN39" i="5" s="1"/>
  <c r="S37" i="5"/>
  <c r="X39" i="5"/>
  <c r="Y39" i="5" s="1"/>
  <c r="W39" i="5"/>
  <c r="V39" i="5"/>
  <c r="AN140" i="1"/>
  <c r="AM140" i="1"/>
  <c r="AF9" i="5"/>
  <c r="T7" i="5"/>
  <c r="BI149" i="1"/>
  <c r="BA149" i="1"/>
  <c r="BB149" i="1"/>
  <c r="Q272" i="5"/>
  <c r="U272" i="5" s="1"/>
  <c r="AN142" i="1" s="1"/>
  <c r="Z152" i="5"/>
  <c r="BO143" i="1"/>
  <c r="BN141" i="1"/>
  <c r="T141" i="7" s="1"/>
  <c r="AM143" i="1"/>
  <c r="BN143" i="1" s="1"/>
  <c r="T143" i="7" s="1"/>
  <c r="AN143" i="1"/>
  <c r="H75" i="18"/>
  <c r="X75" i="18" s="1"/>
  <c r="AD75" i="18" s="1"/>
  <c r="BB146" i="1"/>
  <c r="K143" i="8"/>
  <c r="BI146" i="1"/>
  <c r="T275" i="5"/>
  <c r="P277" i="5"/>
  <c r="T277" i="5" s="1"/>
  <c r="AF273" i="5"/>
  <c r="P143" i="7" s="1"/>
  <c r="U275" i="5"/>
  <c r="AM145" i="1" s="1"/>
  <c r="Q277" i="5"/>
  <c r="U277" i="5" s="1"/>
  <c r="F279" i="5"/>
  <c r="Z279" i="5"/>
  <c r="AD278" i="5"/>
  <c r="AE278" i="5" s="1"/>
  <c r="AI278" i="5" s="1"/>
  <c r="Z76" i="18" s="1"/>
  <c r="I278" i="5"/>
  <c r="J278" i="5" s="1"/>
  <c r="I281" i="5"/>
  <c r="Z163" i="5"/>
  <c r="AA165" i="5"/>
  <c r="R276" i="5"/>
  <c r="AG274" i="5"/>
  <c r="AL274" i="5" s="1"/>
  <c r="K144" i="8" s="1"/>
  <c r="R279" i="5"/>
  <c r="AG277" i="5"/>
  <c r="AJ276" i="5"/>
  <c r="B280" i="5"/>
  <c r="K278" i="5"/>
  <c r="F276" i="5"/>
  <c r="Z276" i="5"/>
  <c r="B283" i="5"/>
  <c r="K281" i="5"/>
  <c r="AE281" i="5"/>
  <c r="Q279" i="5" l="1"/>
  <c r="U279" i="5" s="1"/>
  <c r="P279" i="5"/>
  <c r="T279" i="5" s="1"/>
  <c r="AA201" i="5"/>
  <c r="AA71" i="7"/>
  <c r="Y203" i="5"/>
  <c r="Z73" i="7"/>
  <c r="H76" i="18"/>
  <c r="X76" i="18" s="1"/>
  <c r="AD76" i="18" s="1"/>
  <c r="BB151" i="1"/>
  <c r="X205" i="5"/>
  <c r="AU142" i="1"/>
  <c r="S207" i="5"/>
  <c r="AM205" i="5"/>
  <c r="AN205" i="5" s="1"/>
  <c r="W205" i="5"/>
  <c r="V205" i="5"/>
  <c r="W37" i="5"/>
  <c r="S35" i="5"/>
  <c r="W35" i="5" s="1"/>
  <c r="V37" i="5"/>
  <c r="AM37" i="5"/>
  <c r="AN37" i="5" s="1"/>
  <c r="X37" i="5"/>
  <c r="Y37" i="5" s="1"/>
  <c r="AM142" i="1"/>
  <c r="S33" i="5"/>
  <c r="X35" i="5"/>
  <c r="Y35" i="5" s="1"/>
  <c r="AF7" i="5"/>
  <c r="BI148" i="1"/>
  <c r="I283" i="5"/>
  <c r="J283" i="5"/>
  <c r="F283" i="5" s="1"/>
  <c r="Q274" i="5"/>
  <c r="BA151" i="1"/>
  <c r="BB148" i="1"/>
  <c r="Z150" i="5"/>
  <c r="BA148" i="1"/>
  <c r="BI151" i="1"/>
  <c r="AN145" i="1"/>
  <c r="AU145" i="1"/>
  <c r="K145" i="8"/>
  <c r="Z147" i="1"/>
  <c r="AG145" i="1"/>
  <c r="Z145" i="1"/>
  <c r="Y145" i="1"/>
  <c r="BN145" i="1" s="1"/>
  <c r="T145" i="7" s="1"/>
  <c r="AG147" i="1"/>
  <c r="Y147" i="1"/>
  <c r="AF275" i="5"/>
  <c r="P145" i="7" s="1"/>
  <c r="AM147" i="1"/>
  <c r="AU147" i="1"/>
  <c r="AN147" i="1"/>
  <c r="F281" i="5"/>
  <c r="Z281" i="5"/>
  <c r="AD280" i="5"/>
  <c r="AE280" i="5" s="1"/>
  <c r="AI280" i="5" s="1"/>
  <c r="Z77" i="18" s="1"/>
  <c r="I280" i="5"/>
  <c r="J280" i="5" s="1"/>
  <c r="Z161" i="5"/>
  <c r="AA163" i="5"/>
  <c r="AG276" i="5"/>
  <c r="AL276" i="5" s="1"/>
  <c r="K147" i="8" s="1"/>
  <c r="R278" i="5"/>
  <c r="R281" i="5"/>
  <c r="AG279" i="5"/>
  <c r="AJ278" i="5"/>
  <c r="B285" i="5"/>
  <c r="K283" i="5"/>
  <c r="AE283" i="5"/>
  <c r="AF277" i="5"/>
  <c r="P147" i="7" s="1"/>
  <c r="B282" i="5"/>
  <c r="K280" i="5"/>
  <c r="F278" i="5"/>
  <c r="Z278" i="5"/>
  <c r="P281" i="5" l="1"/>
  <c r="Y205" i="5"/>
  <c r="Z75" i="7"/>
  <c r="AA203" i="5"/>
  <c r="AA73" i="7"/>
  <c r="Q281" i="5"/>
  <c r="J285" i="5"/>
  <c r="BA150" i="1"/>
  <c r="BA153" i="1"/>
  <c r="X207" i="5"/>
  <c r="Z149" i="1"/>
  <c r="Y149" i="1"/>
  <c r="AG149" i="1"/>
  <c r="AU149" i="1"/>
  <c r="AN149" i="1"/>
  <c r="S209" i="5"/>
  <c r="W207" i="5"/>
  <c r="V207" i="5"/>
  <c r="AM207" i="5"/>
  <c r="AN207" i="5" s="1"/>
  <c r="AM35" i="5"/>
  <c r="AN35" i="5" s="1"/>
  <c r="V35" i="5"/>
  <c r="AM149" i="1"/>
  <c r="AM33" i="5"/>
  <c r="AN33" i="5" s="1"/>
  <c r="W33" i="5"/>
  <c r="S31" i="5"/>
  <c r="X33" i="5"/>
  <c r="Y33" i="5" s="1"/>
  <c r="V33" i="5"/>
  <c r="BB150" i="1"/>
  <c r="Z283" i="5"/>
  <c r="U274" i="5"/>
  <c r="Q276" i="5"/>
  <c r="U276" i="5" s="1"/>
  <c r="AN146" i="1" s="1"/>
  <c r="H77" i="18"/>
  <c r="X77" i="18" s="1"/>
  <c r="AD77" i="18" s="1"/>
  <c r="BB153" i="1"/>
  <c r="Z148" i="5"/>
  <c r="BI150" i="1"/>
  <c r="BI153" i="1"/>
  <c r="BO145" i="1"/>
  <c r="K146" i="8"/>
  <c r="BO147" i="1"/>
  <c r="BN147" i="1"/>
  <c r="T147" i="7" s="1"/>
  <c r="AD282" i="5"/>
  <c r="AE282" i="5" s="1"/>
  <c r="AI282" i="5" s="1"/>
  <c r="Z78" i="18" s="1"/>
  <c r="I282" i="5"/>
  <c r="J282" i="5" s="1"/>
  <c r="I285" i="5"/>
  <c r="Z159" i="5"/>
  <c r="AA161" i="5"/>
  <c r="P28" i="5"/>
  <c r="R280" i="5"/>
  <c r="AG278" i="5"/>
  <c r="AL278" i="5" s="1"/>
  <c r="K148" i="8" s="1"/>
  <c r="AG281" i="5"/>
  <c r="R283" i="5"/>
  <c r="Z280" i="5"/>
  <c r="F280" i="5"/>
  <c r="AF279" i="5"/>
  <c r="P149" i="7" s="1"/>
  <c r="B287" i="5"/>
  <c r="K285" i="5"/>
  <c r="AE285" i="5"/>
  <c r="B284" i="5"/>
  <c r="K282" i="5"/>
  <c r="AJ280" i="5"/>
  <c r="Y207" i="5" l="1"/>
  <c r="Z77" i="7"/>
  <c r="AA205" i="5"/>
  <c r="AA75" i="7"/>
  <c r="J287" i="5"/>
  <c r="J284" i="5"/>
  <c r="BB155" i="1"/>
  <c r="BB152" i="1"/>
  <c r="X209" i="5"/>
  <c r="BN149" i="1"/>
  <c r="T149" i="7" s="1"/>
  <c r="BO149" i="1"/>
  <c r="S211" i="5"/>
  <c r="V209" i="5"/>
  <c r="AM209" i="5"/>
  <c r="AN209" i="5" s="1"/>
  <c r="W209" i="5"/>
  <c r="K149" i="8"/>
  <c r="AU146" i="1"/>
  <c r="AM146" i="1"/>
  <c r="W31" i="5"/>
  <c r="S29" i="5"/>
  <c r="AM31" i="5"/>
  <c r="AN31" i="5" s="1"/>
  <c r="X31" i="5"/>
  <c r="Y31" i="5" s="1"/>
  <c r="V31" i="5"/>
  <c r="AU144" i="1"/>
  <c r="AN144" i="1"/>
  <c r="AM144" i="1"/>
  <c r="Q278" i="5"/>
  <c r="BA152" i="1"/>
  <c r="BA155" i="1"/>
  <c r="H78" i="18"/>
  <c r="X78" i="18" s="1"/>
  <c r="AD78" i="18" s="1"/>
  <c r="BI152" i="1"/>
  <c r="BI155" i="1"/>
  <c r="Z146" i="5"/>
  <c r="Z285" i="5"/>
  <c r="F285" i="5"/>
  <c r="T281" i="5"/>
  <c r="P283" i="5"/>
  <c r="T283" i="5" s="1"/>
  <c r="U281" i="5"/>
  <c r="Q283" i="5"/>
  <c r="U283" i="5" s="1"/>
  <c r="AD284" i="5"/>
  <c r="AE284" i="5" s="1"/>
  <c r="AI284" i="5" s="1"/>
  <c r="I284" i="5"/>
  <c r="Z287" i="5"/>
  <c r="I287" i="5"/>
  <c r="Z79" i="18"/>
  <c r="AA159" i="5"/>
  <c r="Z157" i="5"/>
  <c r="S28" i="5"/>
  <c r="P26" i="5"/>
  <c r="T28" i="5"/>
  <c r="R282" i="5"/>
  <c r="AG280" i="5"/>
  <c r="AL280" i="5" s="1"/>
  <c r="K150" i="8" s="1"/>
  <c r="R285" i="5"/>
  <c r="AG283" i="5"/>
  <c r="AJ282" i="5"/>
  <c r="B289" i="5"/>
  <c r="AE287" i="5"/>
  <c r="K287" i="5"/>
  <c r="F282" i="5"/>
  <c r="Z282" i="5"/>
  <c r="B286" i="5"/>
  <c r="K284" i="5"/>
  <c r="Q285" i="5" l="1"/>
  <c r="U285" i="5" s="1"/>
  <c r="AU155" i="1" s="1"/>
  <c r="P142" i="5"/>
  <c r="Y209" i="5"/>
  <c r="Z79" i="7"/>
  <c r="AA207" i="5"/>
  <c r="AA77" i="7"/>
  <c r="P285" i="5"/>
  <c r="T285" i="5" s="1"/>
  <c r="J289" i="5"/>
  <c r="Z289" i="5" s="1"/>
  <c r="J286" i="5"/>
  <c r="BI154" i="1"/>
  <c r="BA157" i="1"/>
  <c r="X211" i="5"/>
  <c r="S213" i="5"/>
  <c r="AM211" i="5"/>
  <c r="AN211" i="5" s="1"/>
  <c r="V211" i="5"/>
  <c r="W211" i="5"/>
  <c r="AM29" i="5"/>
  <c r="AN29" i="5" s="1"/>
  <c r="X29" i="5"/>
  <c r="S27" i="5"/>
  <c r="W29" i="5"/>
  <c r="V29" i="5"/>
  <c r="Y29" i="5"/>
  <c r="U278" i="5"/>
  <c r="Q280" i="5"/>
  <c r="K151" i="8"/>
  <c r="BB154" i="1"/>
  <c r="BB157" i="1"/>
  <c r="AN151" i="1"/>
  <c r="AM151" i="1"/>
  <c r="AU151" i="1"/>
  <c r="H79" i="18"/>
  <c r="X79" i="18" s="1"/>
  <c r="AD79" i="18" s="1"/>
  <c r="BI157" i="1"/>
  <c r="BA154" i="1"/>
  <c r="Y153" i="1"/>
  <c r="AG151" i="1"/>
  <c r="Y151" i="1"/>
  <c r="Z151" i="1"/>
  <c r="Z144" i="5"/>
  <c r="F287" i="5"/>
  <c r="AG153" i="1"/>
  <c r="Z153" i="1"/>
  <c r="AF281" i="5"/>
  <c r="P151" i="7" s="1"/>
  <c r="AM155" i="1"/>
  <c r="AN155" i="1"/>
  <c r="AU153" i="1"/>
  <c r="AM153" i="1"/>
  <c r="AN153" i="1"/>
  <c r="AD286" i="5"/>
  <c r="AE286" i="5" s="1"/>
  <c r="AI286" i="5" s="1"/>
  <c r="I286" i="5"/>
  <c r="I289" i="5"/>
  <c r="B291" i="5"/>
  <c r="AA157" i="5"/>
  <c r="Z155" i="5"/>
  <c r="Z155" i="1"/>
  <c r="Y155" i="1"/>
  <c r="AG155" i="1"/>
  <c r="AM28" i="5"/>
  <c r="AN28" i="5" s="1"/>
  <c r="W28" i="5"/>
  <c r="AF28" i="5"/>
  <c r="AK28" i="5" s="1"/>
  <c r="X28" i="5"/>
  <c r="Y28" i="5" s="1"/>
  <c r="V28" i="5"/>
  <c r="S26" i="5"/>
  <c r="P24" i="5"/>
  <c r="T26" i="5"/>
  <c r="R284" i="5"/>
  <c r="AG282" i="5"/>
  <c r="AL282" i="5" s="1"/>
  <c r="K153" i="8" s="1"/>
  <c r="R287" i="5"/>
  <c r="AG285" i="5"/>
  <c r="B288" i="5"/>
  <c r="K286" i="5"/>
  <c r="F284" i="5"/>
  <c r="Z284" i="5"/>
  <c r="AJ284" i="5"/>
  <c r="AF283" i="5"/>
  <c r="P153" i="7" s="1"/>
  <c r="AE289" i="5"/>
  <c r="K289" i="5"/>
  <c r="P140" i="5" l="1"/>
  <c r="P144" i="5"/>
  <c r="T142" i="5"/>
  <c r="AF142" i="5" s="1"/>
  <c r="AK142" i="5" s="1"/>
  <c r="Q287" i="5"/>
  <c r="U287" i="5" s="1"/>
  <c r="P287" i="5"/>
  <c r="T287" i="5" s="1"/>
  <c r="Y211" i="5"/>
  <c r="Z81" i="7"/>
  <c r="AA209" i="5"/>
  <c r="AA79" i="7"/>
  <c r="J288" i="5"/>
  <c r="BI159" i="1"/>
  <c r="BB156" i="1"/>
  <c r="X213" i="5"/>
  <c r="J291" i="5"/>
  <c r="B293" i="5"/>
  <c r="S215" i="5"/>
  <c r="AM213" i="5"/>
  <c r="AN213" i="5" s="1"/>
  <c r="W213" i="5"/>
  <c r="V213" i="5"/>
  <c r="W27" i="5"/>
  <c r="V27" i="5"/>
  <c r="X27" i="5"/>
  <c r="Y27" i="5" s="1"/>
  <c r="S25" i="5"/>
  <c r="AM27" i="5"/>
  <c r="AN27" i="5" s="1"/>
  <c r="AM148" i="1"/>
  <c r="AU148" i="1"/>
  <c r="AN148" i="1"/>
  <c r="BO151" i="1"/>
  <c r="BN153" i="1"/>
  <c r="T153" i="7" s="1"/>
  <c r="BN151" i="1"/>
  <c r="T151" i="7" s="1"/>
  <c r="U280" i="5"/>
  <c r="AN150" i="1" s="1"/>
  <c r="Q282" i="5"/>
  <c r="H80" i="18"/>
  <c r="X80" i="18" s="1"/>
  <c r="AD80" i="18" s="1"/>
  <c r="BB159" i="1"/>
  <c r="BI156" i="1"/>
  <c r="BA159" i="1"/>
  <c r="Z80" i="18"/>
  <c r="K152" i="8"/>
  <c r="BA156" i="1"/>
  <c r="Z142" i="5"/>
  <c r="BO155" i="1"/>
  <c r="BN155" i="1"/>
  <c r="T155" i="7" s="1"/>
  <c r="BO153" i="1"/>
  <c r="I291" i="5"/>
  <c r="I288" i="5"/>
  <c r="F289" i="5"/>
  <c r="AD288" i="5"/>
  <c r="AE288" i="5" s="1"/>
  <c r="AI288" i="5" s="1"/>
  <c r="B290" i="5"/>
  <c r="AE291" i="5"/>
  <c r="K291" i="5"/>
  <c r="BB161" i="1"/>
  <c r="BI161" i="1"/>
  <c r="BA161" i="1"/>
  <c r="Z157" i="1"/>
  <c r="Y157" i="1"/>
  <c r="AG157" i="1"/>
  <c r="Z153" i="5"/>
  <c r="AA155" i="5"/>
  <c r="X26" i="5"/>
  <c r="Y26" i="5" s="1"/>
  <c r="AF26" i="5"/>
  <c r="AK26" i="5" s="1"/>
  <c r="V26" i="5"/>
  <c r="S24" i="5"/>
  <c r="W24" i="5" s="1"/>
  <c r="P22" i="5"/>
  <c r="T24" i="5"/>
  <c r="AM26" i="5"/>
  <c r="AN26" i="5" s="1"/>
  <c r="W26" i="5"/>
  <c r="AG284" i="5"/>
  <c r="AL284" i="5" s="1"/>
  <c r="K155" i="8" s="1"/>
  <c r="R286" i="5"/>
  <c r="R289" i="5"/>
  <c r="AG287" i="5"/>
  <c r="F286" i="5"/>
  <c r="Z286" i="5"/>
  <c r="AJ286" i="5"/>
  <c r="AF285" i="5"/>
  <c r="P155" i="7" s="1"/>
  <c r="K288" i="5"/>
  <c r="P138" i="5" l="1"/>
  <c r="T140" i="5"/>
  <c r="AF140" i="5" s="1"/>
  <c r="AK140" i="5" s="1"/>
  <c r="P146" i="5"/>
  <c r="T144" i="5"/>
  <c r="AF144" i="5" s="1"/>
  <c r="Q289" i="5"/>
  <c r="U289" i="5" s="1"/>
  <c r="P289" i="5"/>
  <c r="T289" i="5" s="1"/>
  <c r="Y213" i="5"/>
  <c r="Z83" i="7"/>
  <c r="AA211" i="5"/>
  <c r="AA81" i="7"/>
  <c r="B292" i="5"/>
  <c r="BA158" i="1"/>
  <c r="I293" i="5"/>
  <c r="J293" i="5"/>
  <c r="X215" i="5"/>
  <c r="AK144" i="5"/>
  <c r="B295" i="5"/>
  <c r="AE293" i="5"/>
  <c r="K293" i="5"/>
  <c r="S217" i="5"/>
  <c r="AM215" i="5"/>
  <c r="AN215" i="5" s="1"/>
  <c r="W215" i="5"/>
  <c r="V215" i="5"/>
  <c r="AU150" i="1"/>
  <c r="AM150" i="1"/>
  <c r="W25" i="5"/>
  <c r="AM25" i="5"/>
  <c r="AN25" i="5" s="1"/>
  <c r="V25" i="5"/>
  <c r="S23" i="5"/>
  <c r="X25" i="5"/>
  <c r="Y25" i="5" s="1"/>
  <c r="AD290" i="5"/>
  <c r="AE290" i="5" s="1"/>
  <c r="AI290" i="5" s="1"/>
  <c r="Z83" i="18" s="1"/>
  <c r="J290" i="5"/>
  <c r="U282" i="5"/>
  <c r="AU152" i="1" s="1"/>
  <c r="Q284" i="5"/>
  <c r="U284" i="5" s="1"/>
  <c r="AU154" i="1" s="1"/>
  <c r="AM154" i="1"/>
  <c r="K154" i="8"/>
  <c r="H81" i="18"/>
  <c r="X81" i="18" s="1"/>
  <c r="AD81" i="18" s="1"/>
  <c r="Z81" i="18"/>
  <c r="AN154" i="1"/>
  <c r="BI158" i="1"/>
  <c r="AM157" i="1"/>
  <c r="BN157" i="1" s="1"/>
  <c r="T157" i="7" s="1"/>
  <c r="AU157" i="1"/>
  <c r="BO157" i="1" s="1"/>
  <c r="AN157" i="1"/>
  <c r="BB158" i="1"/>
  <c r="Z140" i="5"/>
  <c r="I290" i="5"/>
  <c r="F291" i="5"/>
  <c r="Z291" i="5"/>
  <c r="K290" i="5"/>
  <c r="BI163" i="1"/>
  <c r="BB163" i="1"/>
  <c r="BA163" i="1"/>
  <c r="AG289" i="5"/>
  <c r="R291" i="5"/>
  <c r="BA160" i="1"/>
  <c r="BI160" i="1"/>
  <c r="BB160" i="1"/>
  <c r="Z159" i="1"/>
  <c r="Y159" i="1"/>
  <c r="AG159" i="1"/>
  <c r="K156" i="8"/>
  <c r="Z151" i="5"/>
  <c r="AA153" i="5"/>
  <c r="AM156" i="1"/>
  <c r="AN156" i="1"/>
  <c r="AU156" i="1"/>
  <c r="AM24" i="5"/>
  <c r="AN24" i="5" s="1"/>
  <c r="X24" i="5"/>
  <c r="Y24" i="5" s="1"/>
  <c r="AF24" i="5"/>
  <c r="AK24" i="5" s="1"/>
  <c r="V24" i="5"/>
  <c r="S22" i="5"/>
  <c r="W22" i="5" s="1"/>
  <c r="P20" i="5"/>
  <c r="T22" i="5"/>
  <c r="R288" i="5"/>
  <c r="AG286" i="5"/>
  <c r="AL286" i="5" s="1"/>
  <c r="K157" i="8" s="1"/>
  <c r="F288" i="5"/>
  <c r="Z288" i="5"/>
  <c r="AJ288" i="5"/>
  <c r="AF287" i="5"/>
  <c r="P157" i="7" s="1"/>
  <c r="P136" i="5" l="1"/>
  <c r="P291" i="5"/>
  <c r="T291" i="5" s="1"/>
  <c r="T138" i="5"/>
  <c r="AF138" i="5" s="1"/>
  <c r="AK138" i="5" s="1"/>
  <c r="P148" i="5"/>
  <c r="T146" i="5"/>
  <c r="AF146" i="5" s="1"/>
  <c r="Q291" i="5"/>
  <c r="U291" i="5" s="1"/>
  <c r="AA213" i="5"/>
  <c r="AA83" i="7"/>
  <c r="Y215" i="5"/>
  <c r="Z85" i="7"/>
  <c r="AE292" i="5"/>
  <c r="AI292" i="5" s="1"/>
  <c r="I292" i="5"/>
  <c r="B294" i="5"/>
  <c r="J292" i="5"/>
  <c r="AJ292" i="5" s="1"/>
  <c r="K292" i="5"/>
  <c r="H82" i="18"/>
  <c r="X82" i="18" s="1"/>
  <c r="AD82" i="18" s="1"/>
  <c r="J295" i="5"/>
  <c r="I295" i="5"/>
  <c r="X293" i="5"/>
  <c r="F293" i="5"/>
  <c r="Y293" i="5"/>
  <c r="AA293" i="5"/>
  <c r="Z293" i="5"/>
  <c r="X217" i="5"/>
  <c r="AK146" i="5"/>
  <c r="B297" i="5"/>
  <c r="K295" i="5"/>
  <c r="AE295" i="5"/>
  <c r="S219" i="5"/>
  <c r="V217" i="5"/>
  <c r="W217" i="5"/>
  <c r="AM217" i="5"/>
  <c r="AN217" i="5" s="1"/>
  <c r="R293" i="5"/>
  <c r="W23" i="5"/>
  <c r="AM23" i="5"/>
  <c r="AN23" i="5" s="1"/>
  <c r="X23" i="5"/>
  <c r="Y23" i="5" s="1"/>
  <c r="V23" i="5"/>
  <c r="S21" i="5"/>
  <c r="AM152" i="1"/>
  <c r="AN152" i="1"/>
  <c r="Q286" i="5"/>
  <c r="Z138" i="5"/>
  <c r="Z82" i="18"/>
  <c r="AU159" i="1"/>
  <c r="BO159" i="1" s="1"/>
  <c r="AN159" i="1"/>
  <c r="AM159" i="1"/>
  <c r="BN159" i="1" s="1"/>
  <c r="T159" i="7" s="1"/>
  <c r="H83" i="18"/>
  <c r="X83" i="18" s="1"/>
  <c r="AD83" i="18" s="1"/>
  <c r="BB162" i="1"/>
  <c r="BI162" i="1"/>
  <c r="BA162" i="1"/>
  <c r="F290" i="5"/>
  <c r="Z290" i="5"/>
  <c r="AJ290" i="5"/>
  <c r="AG288" i="5"/>
  <c r="AL288" i="5" s="1"/>
  <c r="K159" i="8" s="1"/>
  <c r="R290" i="5"/>
  <c r="AG291" i="5"/>
  <c r="K158" i="8"/>
  <c r="Z149" i="5"/>
  <c r="AA151" i="5"/>
  <c r="AM22" i="5"/>
  <c r="AN22" i="5" s="1"/>
  <c r="AF22" i="5"/>
  <c r="AK22" i="5" s="1"/>
  <c r="V22" i="5"/>
  <c r="X22" i="5"/>
  <c r="Y22" i="5" s="1"/>
  <c r="S20" i="5"/>
  <c r="W20" i="5" s="1"/>
  <c r="P18" i="5"/>
  <c r="T20" i="5"/>
  <c r="AF289" i="5"/>
  <c r="P159" i="7" s="1"/>
  <c r="P134" i="5" l="1"/>
  <c r="T136" i="5"/>
  <c r="AF136" i="5" s="1"/>
  <c r="AK136" i="5" s="1"/>
  <c r="P150" i="5"/>
  <c r="T148" i="5"/>
  <c r="AF148" i="5" s="1"/>
  <c r="AK148" i="5" s="1"/>
  <c r="Q293" i="5"/>
  <c r="U293" i="5" s="1"/>
  <c r="P293" i="5"/>
  <c r="T293" i="5" s="1"/>
  <c r="F292" i="5"/>
  <c r="Y217" i="5"/>
  <c r="Z87" i="7"/>
  <c r="AA215" i="5"/>
  <c r="AA85" i="7"/>
  <c r="K294" i="5"/>
  <c r="I294" i="5"/>
  <c r="B296" i="5"/>
  <c r="J294" i="5"/>
  <c r="AJ294" i="5" s="1"/>
  <c r="AE294" i="5"/>
  <c r="AI294" i="5" s="1"/>
  <c r="Z292" i="5"/>
  <c r="AA292" i="5"/>
  <c r="X292" i="5"/>
  <c r="Y292" i="5"/>
  <c r="I297" i="5"/>
  <c r="J297" i="5"/>
  <c r="Y295" i="5"/>
  <c r="Z295" i="5"/>
  <c r="AA295" i="5"/>
  <c r="X295" i="5"/>
  <c r="F295" i="5"/>
  <c r="X219" i="5"/>
  <c r="B299" i="5"/>
  <c r="K297" i="5"/>
  <c r="AE297" i="5"/>
  <c r="S221" i="5"/>
  <c r="V219" i="5"/>
  <c r="W219" i="5"/>
  <c r="AM219" i="5"/>
  <c r="AN219" i="5" s="1"/>
  <c r="R295" i="5"/>
  <c r="AG293" i="5"/>
  <c r="R292" i="5"/>
  <c r="AM21" i="5"/>
  <c r="AN21" i="5" s="1"/>
  <c r="V21" i="5"/>
  <c r="W21" i="5"/>
  <c r="S19" i="5"/>
  <c r="X21" i="5"/>
  <c r="Y21" i="5" s="1"/>
  <c r="AE178" i="5"/>
  <c r="AI178" i="5" s="1"/>
  <c r="Z25" i="18" s="1"/>
  <c r="Z136" i="5"/>
  <c r="Z134" i="5" s="1"/>
  <c r="U286" i="5"/>
  <c r="Q288" i="5"/>
  <c r="AN158" i="1"/>
  <c r="AU158" i="1"/>
  <c r="AM158" i="1"/>
  <c r="Y161" i="1"/>
  <c r="Z161" i="1"/>
  <c r="AG161" i="1"/>
  <c r="AN161" i="1"/>
  <c r="AM161" i="1"/>
  <c r="AU161" i="1"/>
  <c r="AN163" i="1"/>
  <c r="AM163" i="1"/>
  <c r="AU163" i="1"/>
  <c r="AG163" i="1"/>
  <c r="Z163" i="1"/>
  <c r="AF291" i="5"/>
  <c r="P161" i="7" s="1"/>
  <c r="Y163" i="1"/>
  <c r="AG290" i="5"/>
  <c r="AL290" i="5" s="1"/>
  <c r="K161" i="8" s="1"/>
  <c r="K160" i="8"/>
  <c r="AA149" i="5"/>
  <c r="Z147" i="5"/>
  <c r="AM20" i="5"/>
  <c r="AN20" i="5" s="1"/>
  <c r="V20" i="5"/>
  <c r="X20" i="5"/>
  <c r="Y20" i="5" s="1"/>
  <c r="AF20" i="5"/>
  <c r="AK20" i="5" s="1"/>
  <c r="S18" i="5"/>
  <c r="P16" i="5"/>
  <c r="T18" i="5"/>
  <c r="P132" i="5" l="1"/>
  <c r="P292" i="5"/>
  <c r="T292" i="5" s="1"/>
  <c r="T134" i="5"/>
  <c r="AF134" i="5" s="1"/>
  <c r="AK134" i="5" s="1"/>
  <c r="Q292" i="5"/>
  <c r="U292" i="5" s="1"/>
  <c r="P152" i="5"/>
  <c r="T150" i="5"/>
  <c r="AF150" i="5" s="1"/>
  <c r="AK150" i="5" s="1"/>
  <c r="P295" i="5"/>
  <c r="T295" i="5" s="1"/>
  <c r="B301" i="5"/>
  <c r="I296" i="5"/>
  <c r="Q295" i="5"/>
  <c r="U295" i="5" s="1"/>
  <c r="AA217" i="5"/>
  <c r="AA87" i="7"/>
  <c r="Y219" i="5"/>
  <c r="Z89" i="7"/>
  <c r="J296" i="5"/>
  <c r="Y296" i="5" s="1"/>
  <c r="K296" i="5"/>
  <c r="B298" i="5"/>
  <c r="AE296" i="5"/>
  <c r="AI296" i="5" s="1"/>
  <c r="Z294" i="5"/>
  <c r="AA294" i="5"/>
  <c r="Y294" i="5"/>
  <c r="X294" i="5"/>
  <c r="F294" i="5"/>
  <c r="AF293" i="5"/>
  <c r="P163" i="7" s="1"/>
  <c r="J299" i="5"/>
  <c r="I299" i="5"/>
  <c r="F297" i="5"/>
  <c r="AA297" i="5"/>
  <c r="Z297" i="5"/>
  <c r="Y297" i="5"/>
  <c r="X297" i="5"/>
  <c r="X221" i="5"/>
  <c r="K299" i="5"/>
  <c r="AE299" i="5"/>
  <c r="S223" i="5"/>
  <c r="AM221" i="5"/>
  <c r="AN221" i="5" s="1"/>
  <c r="V221" i="5"/>
  <c r="W221" i="5"/>
  <c r="S140" i="5"/>
  <c r="Z28" i="18"/>
  <c r="Z30" i="18"/>
  <c r="R294" i="5"/>
  <c r="AG292" i="5"/>
  <c r="AL292" i="5" s="1"/>
  <c r="R297" i="5"/>
  <c r="AG295" i="5"/>
  <c r="S17" i="5"/>
  <c r="AM19" i="5"/>
  <c r="AN19" i="5" s="1"/>
  <c r="X19" i="5"/>
  <c r="Y19" i="5" s="1"/>
  <c r="W19" i="5"/>
  <c r="V19" i="5"/>
  <c r="Z32" i="18"/>
  <c r="AE180" i="5"/>
  <c r="AI180" i="5" s="1"/>
  <c r="Z7" i="18" s="1"/>
  <c r="Z132" i="5"/>
  <c r="U288" i="5"/>
  <c r="AN160" i="1" s="1"/>
  <c r="Q290" i="5"/>
  <c r="U290" i="5" s="1"/>
  <c r="AM160" i="1"/>
  <c r="AU160" i="1"/>
  <c r="BN161" i="1"/>
  <c r="T161" i="7" s="1"/>
  <c r="BO161" i="1"/>
  <c r="BN163" i="1"/>
  <c r="T163" i="7" s="1"/>
  <c r="BO163" i="1"/>
  <c r="K163" i="8"/>
  <c r="K162" i="8"/>
  <c r="AA147" i="5"/>
  <c r="Z145" i="5"/>
  <c r="V18" i="5"/>
  <c r="AF18" i="5"/>
  <c r="AK18" i="5" s="1"/>
  <c r="X18" i="5"/>
  <c r="Y18" i="5" s="1"/>
  <c r="S16" i="5"/>
  <c r="W16" i="5" s="1"/>
  <c r="P14" i="5"/>
  <c r="T16" i="5"/>
  <c r="AM18" i="5"/>
  <c r="AN18" i="5" s="1"/>
  <c r="W18" i="5"/>
  <c r="P130" i="5" l="1"/>
  <c r="P294" i="5"/>
  <c r="T294" i="5" s="1"/>
  <c r="K301" i="5"/>
  <c r="AE301" i="5"/>
  <c r="P297" i="5"/>
  <c r="T297" i="5" s="1"/>
  <c r="T132" i="5"/>
  <c r="AF132" i="5" s="1"/>
  <c r="AK132" i="5" s="1"/>
  <c r="P154" i="5"/>
  <c r="T152" i="5"/>
  <c r="AF152" i="5" s="1"/>
  <c r="AK152" i="5" s="1"/>
  <c r="AF292" i="5"/>
  <c r="B300" i="5"/>
  <c r="J300" i="5"/>
  <c r="Z26" i="18"/>
  <c r="Q294" i="5"/>
  <c r="U294" i="5" s="1"/>
  <c r="S142" i="5"/>
  <c r="S138" i="5"/>
  <c r="AA219" i="5"/>
  <c r="AA89" i="7"/>
  <c r="Y221" i="5"/>
  <c r="Z91" i="7"/>
  <c r="Q297" i="5"/>
  <c r="U297" i="5" s="1"/>
  <c r="I298" i="5"/>
  <c r="AE298" i="5"/>
  <c r="AI298" i="5" s="1"/>
  <c r="K298" i="5"/>
  <c r="Z296" i="5"/>
  <c r="X296" i="5"/>
  <c r="AA296" i="5"/>
  <c r="AJ296" i="5"/>
  <c r="AJ300" i="5" s="1"/>
  <c r="J298" i="5"/>
  <c r="X298" i="5" s="1"/>
  <c r="F296" i="5"/>
  <c r="AK292" i="5"/>
  <c r="AF295" i="5"/>
  <c r="P165" i="7" s="1"/>
  <c r="Z299" i="5"/>
  <c r="X299" i="5"/>
  <c r="AA299" i="5"/>
  <c r="F299" i="5"/>
  <c r="Y299" i="5"/>
  <c r="X223" i="5"/>
  <c r="W140" i="5"/>
  <c r="V140" i="5"/>
  <c r="AM140" i="5"/>
  <c r="AN140" i="5" s="1"/>
  <c r="X140" i="5"/>
  <c r="S225" i="5"/>
  <c r="AM223" i="5"/>
  <c r="AN223" i="5" s="1"/>
  <c r="V223" i="5"/>
  <c r="W223" i="5"/>
  <c r="Z29" i="18"/>
  <c r="Z31" i="18"/>
  <c r="R296" i="5"/>
  <c r="AG294" i="5"/>
  <c r="AL294" i="5" s="1"/>
  <c r="R299" i="5"/>
  <c r="AG297" i="5"/>
  <c r="S15" i="5"/>
  <c r="AM17" i="5"/>
  <c r="AN17" i="5" s="1"/>
  <c r="W17" i="5"/>
  <c r="X17" i="5"/>
  <c r="Y17" i="5" s="1"/>
  <c r="V17" i="5"/>
  <c r="Z33" i="18"/>
  <c r="Z27" i="18"/>
  <c r="Z130" i="5"/>
  <c r="AU162" i="1"/>
  <c r="AN162" i="1"/>
  <c r="AM162" i="1"/>
  <c r="AA145" i="5"/>
  <c r="Z143" i="5"/>
  <c r="AM16" i="5"/>
  <c r="AN16" i="5" s="1"/>
  <c r="AF16" i="5"/>
  <c r="AK16" i="5" s="1"/>
  <c r="V16" i="5"/>
  <c r="X16" i="5"/>
  <c r="Y16" i="5" s="1"/>
  <c r="S14" i="5"/>
  <c r="AM14" i="5" s="1"/>
  <c r="AN14" i="5" s="1"/>
  <c r="P12" i="5"/>
  <c r="T14" i="5"/>
  <c r="P128" i="5" l="1"/>
  <c r="P301" i="5"/>
  <c r="T301" i="5" s="1"/>
  <c r="P296" i="5"/>
  <c r="T296" i="5" s="1"/>
  <c r="P299" i="5"/>
  <c r="T299" i="5" s="1"/>
  <c r="Q301" i="5"/>
  <c r="U301" i="5" s="1"/>
  <c r="I300" i="5"/>
  <c r="T130" i="5"/>
  <c r="AF130" i="5" s="1"/>
  <c r="AK130" i="5" s="1"/>
  <c r="K300" i="5"/>
  <c r="AE300" i="5"/>
  <c r="AI300" i="5" s="1"/>
  <c r="P156" i="5"/>
  <c r="T154" i="5"/>
  <c r="AF154" i="5" s="1"/>
  <c r="AK154" i="5" s="1"/>
  <c r="Z300" i="5"/>
  <c r="AA300" i="5"/>
  <c r="X300" i="5"/>
  <c r="Y300" i="5"/>
  <c r="F300" i="5"/>
  <c r="AG299" i="5"/>
  <c r="R301" i="5"/>
  <c r="AG301" i="5" s="1"/>
  <c r="Q299" i="5"/>
  <c r="U299" i="5" s="1"/>
  <c r="Q296" i="5"/>
  <c r="U296" i="5" s="1"/>
  <c r="Y223" i="5"/>
  <c r="Z93" i="7"/>
  <c r="AA221" i="5"/>
  <c r="AA91" i="7"/>
  <c r="AJ298" i="5"/>
  <c r="Z298" i="5"/>
  <c r="AA298" i="5"/>
  <c r="Y298" i="5"/>
  <c r="F298" i="5"/>
  <c r="AF294" i="5"/>
  <c r="AK294" i="5" s="1"/>
  <c r="AF297" i="5"/>
  <c r="P167" i="7" s="1"/>
  <c r="X225" i="5"/>
  <c r="S136" i="5"/>
  <c r="W138" i="5"/>
  <c r="X138" i="5"/>
  <c r="Y138" i="5" s="1"/>
  <c r="V138" i="5"/>
  <c r="AM138" i="5"/>
  <c r="AN138" i="5" s="1"/>
  <c r="Y140" i="5"/>
  <c r="AA140" i="5" s="1"/>
  <c r="S144" i="5"/>
  <c r="AM142" i="5"/>
  <c r="AN142" i="5" s="1"/>
  <c r="X142" i="5"/>
  <c r="W142" i="5"/>
  <c r="V142" i="5"/>
  <c r="S227" i="5"/>
  <c r="V225" i="5"/>
  <c r="AM225" i="5"/>
  <c r="AN225" i="5" s="1"/>
  <c r="W225" i="5"/>
  <c r="R298" i="5"/>
  <c r="AG296" i="5"/>
  <c r="AL296" i="5" s="1"/>
  <c r="W15" i="5"/>
  <c r="AM15" i="5"/>
  <c r="AN15" i="5" s="1"/>
  <c r="S13" i="5"/>
  <c r="V15" i="5"/>
  <c r="X15" i="5"/>
  <c r="Y15" i="5" s="1"/>
  <c r="X265" i="5"/>
  <c r="Z128" i="5"/>
  <c r="AA143" i="5"/>
  <c r="Z141" i="5"/>
  <c r="W14" i="5"/>
  <c r="X14" i="5"/>
  <c r="V14" i="5"/>
  <c r="AF14" i="5"/>
  <c r="AK14" i="5" s="1"/>
  <c r="S12" i="5"/>
  <c r="P10" i="5"/>
  <c r="T12" i="5"/>
  <c r="AF301" i="5" l="1"/>
  <c r="P126" i="5"/>
  <c r="P298" i="5"/>
  <c r="T298" i="5" s="1"/>
  <c r="T128" i="5"/>
  <c r="AF128" i="5" s="1"/>
  <c r="AK128" i="5" s="1"/>
  <c r="R300" i="5"/>
  <c r="AG300" i="5" s="1"/>
  <c r="AL300" i="5" s="1"/>
  <c r="P158" i="5"/>
  <c r="T156" i="5"/>
  <c r="AF156" i="5" s="1"/>
  <c r="Q300" i="5"/>
  <c r="U300" i="5" s="1"/>
  <c r="P300" i="5"/>
  <c r="T300" i="5" s="1"/>
  <c r="AG298" i="5"/>
  <c r="AL298" i="5" s="1"/>
  <c r="Y265" i="5"/>
  <c r="Y225" i="5"/>
  <c r="Z95" i="7"/>
  <c r="AA223" i="5"/>
  <c r="AA93" i="7"/>
  <c r="Q298" i="5"/>
  <c r="U298" i="5" s="1"/>
  <c r="AF296" i="5"/>
  <c r="AK296" i="5" s="1"/>
  <c r="AF299" i="5"/>
  <c r="P169" i="7" s="1"/>
  <c r="X227" i="5"/>
  <c r="AA138" i="5"/>
  <c r="S134" i="5"/>
  <c r="V136" i="5"/>
  <c r="W136" i="5"/>
  <c r="AM136" i="5"/>
  <c r="AN136" i="5" s="1"/>
  <c r="X136" i="5"/>
  <c r="Y136" i="5" s="1"/>
  <c r="AA136" i="5" s="1"/>
  <c r="AK156" i="5"/>
  <c r="S229" i="5"/>
  <c r="W227" i="5"/>
  <c r="V227" i="5"/>
  <c r="AM227" i="5"/>
  <c r="AN227" i="5" s="1"/>
  <c r="S146" i="5"/>
  <c r="V144" i="5"/>
  <c r="W144" i="5"/>
  <c r="X144" i="5"/>
  <c r="AM144" i="5"/>
  <c r="AN144" i="5" s="1"/>
  <c r="Y142" i="5"/>
  <c r="AA142" i="5" s="1"/>
  <c r="W13" i="5"/>
  <c r="AM13" i="5"/>
  <c r="AN13" i="5" s="1"/>
  <c r="S11" i="5"/>
  <c r="V13" i="5"/>
  <c r="X13" i="5"/>
  <c r="Y13" i="5" s="1"/>
  <c r="X267" i="5"/>
  <c r="Z126" i="5"/>
  <c r="Z139" i="5"/>
  <c r="AA141" i="5"/>
  <c r="AF12" i="5"/>
  <c r="AK12" i="5" s="1"/>
  <c r="X12" i="5"/>
  <c r="Y12" i="5" s="1"/>
  <c r="V12" i="5"/>
  <c r="S10" i="5"/>
  <c r="P8" i="5"/>
  <c r="T10" i="5"/>
  <c r="AM12" i="5"/>
  <c r="AN12" i="5" s="1"/>
  <c r="W12" i="5"/>
  <c r="Y14" i="5"/>
  <c r="P124" i="5" l="1"/>
  <c r="T126" i="5"/>
  <c r="AF126" i="5" s="1"/>
  <c r="AK126" i="5" s="1"/>
  <c r="P160" i="5"/>
  <c r="T158" i="5"/>
  <c r="AF158" i="5" s="1"/>
  <c r="AK158" i="5" s="1"/>
  <c r="AF300" i="5"/>
  <c r="AK300" i="5" s="1"/>
  <c r="AA265" i="5"/>
  <c r="Y227" i="5"/>
  <c r="Z97" i="7"/>
  <c r="Y267" i="5"/>
  <c r="AA225" i="5"/>
  <c r="AA95" i="7"/>
  <c r="AF298" i="5"/>
  <c r="AK298" i="5" s="1"/>
  <c r="X229" i="5"/>
  <c r="S132" i="5"/>
  <c r="V134" i="5"/>
  <c r="X134" i="5"/>
  <c r="W134" i="5"/>
  <c r="AM134" i="5"/>
  <c r="AN134" i="5" s="1"/>
  <c r="Y144" i="5"/>
  <c r="S148" i="5"/>
  <c r="X146" i="5"/>
  <c r="W146" i="5"/>
  <c r="AM146" i="5"/>
  <c r="AN146" i="5" s="1"/>
  <c r="V146" i="5"/>
  <c r="S231" i="5"/>
  <c r="V229" i="5"/>
  <c r="AM229" i="5"/>
  <c r="AN229" i="5" s="1"/>
  <c r="W229" i="5"/>
  <c r="AM11" i="5"/>
  <c r="AN11" i="5" s="1"/>
  <c r="X11" i="5"/>
  <c r="Y11" i="5" s="1"/>
  <c r="S9" i="5"/>
  <c r="V11" i="5"/>
  <c r="W11" i="5"/>
  <c r="X269" i="5"/>
  <c r="Z124" i="5"/>
  <c r="Z137" i="5"/>
  <c r="AA139" i="5"/>
  <c r="AM10" i="5"/>
  <c r="AN10" i="5" s="1"/>
  <c r="W10" i="5"/>
  <c r="X10" i="5"/>
  <c r="Y10" i="5" s="1"/>
  <c r="V10" i="5"/>
  <c r="AF10" i="5"/>
  <c r="AK10" i="5" s="1"/>
  <c r="S8" i="5"/>
  <c r="AM8" i="5" s="1"/>
  <c r="AN8" i="5" s="1"/>
  <c r="P6" i="5"/>
  <c r="T8" i="5"/>
  <c r="P122" i="5" l="1"/>
  <c r="T124" i="5"/>
  <c r="AF124" i="5" s="1"/>
  <c r="AK124" i="5" s="1"/>
  <c r="P162" i="5"/>
  <c r="T160" i="5"/>
  <c r="AF160" i="5" s="1"/>
  <c r="AK160" i="5" s="1"/>
  <c r="Y269" i="5"/>
  <c r="AA227" i="5"/>
  <c r="AA97" i="7"/>
  <c r="Y229" i="5"/>
  <c r="Z99" i="7"/>
  <c r="AA267" i="5"/>
  <c r="X231" i="5"/>
  <c r="Y134" i="5"/>
  <c r="AA134" i="5" s="1"/>
  <c r="S130" i="5"/>
  <c r="X132" i="5"/>
  <c r="W132" i="5"/>
  <c r="AM132" i="5"/>
  <c r="AN132" i="5" s="1"/>
  <c r="V132" i="5"/>
  <c r="AA144" i="5"/>
  <c r="S150" i="5"/>
  <c r="V148" i="5"/>
  <c r="AM148" i="5"/>
  <c r="AN148" i="5" s="1"/>
  <c r="W148" i="5"/>
  <c r="X148" i="5"/>
  <c r="S233" i="5"/>
  <c r="V231" i="5"/>
  <c r="AM231" i="5"/>
  <c r="AN231" i="5" s="1"/>
  <c r="W231" i="5"/>
  <c r="Y146" i="5"/>
  <c r="W9" i="5"/>
  <c r="X9" i="5"/>
  <c r="Y9" i="5" s="1"/>
  <c r="V9" i="5"/>
  <c r="AM9" i="5"/>
  <c r="AN9" i="5" s="1"/>
  <c r="S7" i="5"/>
  <c r="X271" i="5"/>
  <c r="Z122" i="5"/>
  <c r="AC122" i="5" s="1"/>
  <c r="AC124" i="5" s="1"/>
  <c r="AC126" i="5" s="1"/>
  <c r="AC128" i="5" s="1"/>
  <c r="AC130" i="5" s="1"/>
  <c r="AC132" i="5" s="1"/>
  <c r="AC134" i="5" s="1"/>
  <c r="AC136" i="5" s="1"/>
  <c r="AC138" i="5" s="1"/>
  <c r="AC140" i="5" s="1"/>
  <c r="AC142" i="5" s="1"/>
  <c r="AC144" i="5" s="1"/>
  <c r="AC146" i="5" s="1"/>
  <c r="AC148" i="5" s="1"/>
  <c r="AC150" i="5" s="1"/>
  <c r="AC152" i="5" s="1"/>
  <c r="AC154" i="5" s="1"/>
  <c r="AC156" i="5" s="1"/>
  <c r="AC158" i="5" s="1"/>
  <c r="AC160" i="5" s="1"/>
  <c r="AC162" i="5" s="1"/>
  <c r="AC164" i="5" s="1"/>
  <c r="AC166" i="5" s="1"/>
  <c r="AC168" i="5" s="1"/>
  <c r="AC170" i="5" s="1"/>
  <c r="AC172" i="5" s="1"/>
  <c r="AC174" i="5" s="1"/>
  <c r="AC176" i="5" s="1"/>
  <c r="AC178" i="5" s="1"/>
  <c r="AC180" i="5" s="1"/>
  <c r="AC182" i="5" s="1"/>
  <c r="AC184" i="5" s="1"/>
  <c r="AC186" i="5" s="1"/>
  <c r="AC188" i="5" s="1"/>
  <c r="AC190" i="5" s="1"/>
  <c r="AC192" i="5" s="1"/>
  <c r="AC194" i="5" s="1"/>
  <c r="AC196" i="5" s="1"/>
  <c r="AC198" i="5" s="1"/>
  <c r="AC200" i="5" s="1"/>
  <c r="AC202" i="5" s="1"/>
  <c r="AC204" i="5" s="1"/>
  <c r="AC206" i="5" s="1"/>
  <c r="AC208" i="5" s="1"/>
  <c r="AC210" i="5" s="1"/>
  <c r="AC212" i="5" s="1"/>
  <c r="AC214" i="5" s="1"/>
  <c r="AC216" i="5" s="1"/>
  <c r="AC218" i="5" s="1"/>
  <c r="AC220" i="5" s="1"/>
  <c r="AC222" i="5" s="1"/>
  <c r="AC224" i="5" s="1"/>
  <c r="AC226" i="5" s="1"/>
  <c r="AC228" i="5" s="1"/>
  <c r="AC230" i="5" s="1"/>
  <c r="AC232" i="5" s="1"/>
  <c r="AC234" i="5" s="1"/>
  <c r="AC236" i="5" s="1"/>
  <c r="AC238" i="5" s="1"/>
  <c r="AC240" i="5" s="1"/>
  <c r="AC242" i="5" s="1"/>
  <c r="AC244" i="5" s="1"/>
  <c r="AC246" i="5" s="1"/>
  <c r="AC248" i="5" s="1"/>
  <c r="AC250" i="5" s="1"/>
  <c r="AC252" i="5" s="1"/>
  <c r="AC254" i="5" s="1"/>
  <c r="AC256" i="5" s="1"/>
  <c r="AC258" i="5" s="1"/>
  <c r="AC260" i="5" s="1"/>
  <c r="AC262" i="5" s="1"/>
  <c r="AC264" i="5" s="1"/>
  <c r="AC266" i="5" s="1"/>
  <c r="AC268" i="5" s="1"/>
  <c r="AC270" i="5" s="1"/>
  <c r="AC272" i="5" s="1"/>
  <c r="AC274" i="5" s="1"/>
  <c r="AC276" i="5" s="1"/>
  <c r="AC278" i="5" s="1"/>
  <c r="AC280" i="5" s="1"/>
  <c r="AC282" i="5" s="1"/>
  <c r="AC284" i="5" s="1"/>
  <c r="AC286" i="5" s="1"/>
  <c r="AC288" i="5" s="1"/>
  <c r="AC290" i="5" s="1"/>
  <c r="AC292" i="5" s="1"/>
  <c r="AC294" i="5" s="1"/>
  <c r="AC296" i="5" s="1"/>
  <c r="AC298" i="5" s="1"/>
  <c r="AC300" i="5" s="1"/>
  <c r="AA137" i="5"/>
  <c r="Z135" i="5"/>
  <c r="X8" i="5"/>
  <c r="Y8" i="5" s="1"/>
  <c r="AF8" i="5"/>
  <c r="AK8" i="5" s="1"/>
  <c r="V8" i="5"/>
  <c r="S6" i="5"/>
  <c r="T6" i="5"/>
  <c r="W8" i="5"/>
  <c r="P120" i="5" l="1"/>
  <c r="T122" i="5"/>
  <c r="AF122" i="5" s="1"/>
  <c r="AK122" i="5" s="1"/>
  <c r="P164" i="5"/>
  <c r="T162" i="5"/>
  <c r="AF162" i="5" s="1"/>
  <c r="AK162" i="5" s="1"/>
  <c r="Y271" i="5"/>
  <c r="Y231" i="5"/>
  <c r="Z101" i="7"/>
  <c r="AA229" i="5"/>
  <c r="AA99" i="7"/>
  <c r="AA269" i="5"/>
  <c r="X233" i="5"/>
  <c r="Y132" i="5"/>
  <c r="AA132" i="5" s="1"/>
  <c r="W130" i="5"/>
  <c r="V130" i="5"/>
  <c r="S128" i="5"/>
  <c r="AM130" i="5"/>
  <c r="AN130" i="5" s="1"/>
  <c r="X130" i="5"/>
  <c r="AA146" i="5"/>
  <c r="S235" i="5"/>
  <c r="V233" i="5"/>
  <c r="W233" i="5"/>
  <c r="AM233" i="5"/>
  <c r="AN233" i="5" s="1"/>
  <c r="Y148" i="5"/>
  <c r="S152" i="5"/>
  <c r="V150" i="5"/>
  <c r="AM150" i="5"/>
  <c r="AN150" i="5" s="1"/>
  <c r="W150" i="5"/>
  <c r="X150" i="5"/>
  <c r="W7" i="5"/>
  <c r="AM7" i="5"/>
  <c r="AN7" i="5" s="1"/>
  <c r="X7" i="5"/>
  <c r="V7" i="5"/>
  <c r="X273" i="5"/>
  <c r="Z120" i="5"/>
  <c r="AC120" i="5" s="1"/>
  <c r="Z133" i="5"/>
  <c r="AA135" i="5"/>
  <c r="W6" i="5"/>
  <c r="AM6" i="5"/>
  <c r="AN6" i="5" s="1"/>
  <c r="AF6" i="5"/>
  <c r="AK6" i="5" s="1"/>
  <c r="X6" i="5"/>
  <c r="V6" i="5"/>
  <c r="P118" i="5" l="1"/>
  <c r="T120" i="5"/>
  <c r="AF120" i="5" s="1"/>
  <c r="AK120" i="5" s="1"/>
  <c r="P166" i="5"/>
  <c r="T164" i="5"/>
  <c r="AF164" i="5" s="1"/>
  <c r="AK164" i="5" s="1"/>
  <c r="Y7" i="5"/>
  <c r="AA231" i="5"/>
  <c r="AA101" i="7"/>
  <c r="Y233" i="5"/>
  <c r="Z103" i="7"/>
  <c r="Y273" i="5"/>
  <c r="AA271" i="5"/>
  <c r="X235" i="5"/>
  <c r="Y130" i="5"/>
  <c r="AA130" i="5" s="1"/>
  <c r="W128" i="5"/>
  <c r="S126" i="5"/>
  <c r="AM128" i="5"/>
  <c r="AN128" i="5" s="1"/>
  <c r="V128" i="5"/>
  <c r="X128" i="5"/>
  <c r="Y150" i="5"/>
  <c r="S154" i="5"/>
  <c r="V152" i="5"/>
  <c r="AM152" i="5"/>
  <c r="AN152" i="5" s="1"/>
  <c r="W152" i="5"/>
  <c r="X152" i="5"/>
  <c r="S237" i="5"/>
  <c r="W235" i="5"/>
  <c r="V235" i="5"/>
  <c r="AM235" i="5"/>
  <c r="AN235" i="5" s="1"/>
  <c r="AA148" i="5"/>
  <c r="X275" i="5"/>
  <c r="Z118" i="5"/>
  <c r="AC118" i="5" s="1"/>
  <c r="Z131" i="5"/>
  <c r="AA133" i="5"/>
  <c r="P32" i="5"/>
  <c r="Y6" i="5"/>
  <c r="P116" i="5" l="1"/>
  <c r="T118" i="5"/>
  <c r="AF118" i="5" s="1"/>
  <c r="AK118" i="5" s="1"/>
  <c r="P168" i="5"/>
  <c r="T166" i="5"/>
  <c r="AF166" i="5" s="1"/>
  <c r="AK166" i="5" s="1"/>
  <c r="AA233" i="5"/>
  <c r="AA103" i="7"/>
  <c r="Y235" i="5"/>
  <c r="Z105" i="7"/>
  <c r="Y275" i="5"/>
  <c r="AA273" i="5"/>
  <c r="X237" i="5"/>
  <c r="AM126" i="5"/>
  <c r="AN126" i="5" s="1"/>
  <c r="W126" i="5"/>
  <c r="S124" i="5"/>
  <c r="X126" i="5"/>
  <c r="V126" i="5"/>
  <c r="Y128" i="5"/>
  <c r="AA128" i="5" s="1"/>
  <c r="S239" i="5"/>
  <c r="W237" i="5"/>
  <c r="V237" i="5"/>
  <c r="AM237" i="5"/>
  <c r="AN237" i="5" s="1"/>
  <c r="Y152" i="5"/>
  <c r="S156" i="5"/>
  <c r="AM154" i="5"/>
  <c r="AN154" i="5" s="1"/>
  <c r="X154" i="5"/>
  <c r="W154" i="5"/>
  <c r="V154" i="5"/>
  <c r="AA150" i="5"/>
  <c r="X277" i="5"/>
  <c r="Z116" i="5"/>
  <c r="AC116" i="5" s="1"/>
  <c r="Z129" i="5"/>
  <c r="AA131" i="5"/>
  <c r="S32" i="5"/>
  <c r="W32" i="5" s="1"/>
  <c r="P30" i="5"/>
  <c r="T32" i="5"/>
  <c r="P114" i="5" l="1"/>
  <c r="T116" i="5"/>
  <c r="AF116" i="5" s="1"/>
  <c r="AK116" i="5" s="1"/>
  <c r="P170" i="5"/>
  <c r="T168" i="5"/>
  <c r="AF168" i="5" s="1"/>
  <c r="AK168" i="5" s="1"/>
  <c r="AA235" i="5"/>
  <c r="AA105" i="7"/>
  <c r="Y237" i="5"/>
  <c r="Z107" i="7"/>
  <c r="Y277" i="5"/>
  <c r="AA275" i="5"/>
  <c r="X239" i="5"/>
  <c r="Y126" i="5"/>
  <c r="AA126" i="5" s="1"/>
  <c r="AM124" i="5"/>
  <c r="AN124" i="5" s="1"/>
  <c r="V124" i="5"/>
  <c r="S122" i="5"/>
  <c r="W124" i="5"/>
  <c r="X124" i="5"/>
  <c r="Y154" i="5"/>
  <c r="S158" i="5"/>
  <c r="X156" i="5"/>
  <c r="V156" i="5"/>
  <c r="W156" i="5"/>
  <c r="AM156" i="5"/>
  <c r="AN156" i="5" s="1"/>
  <c r="AA152" i="5"/>
  <c r="S241" i="5"/>
  <c r="W239" i="5"/>
  <c r="AM239" i="5"/>
  <c r="AN239" i="5" s="1"/>
  <c r="V239" i="5"/>
  <c r="X279" i="5"/>
  <c r="Z114" i="5"/>
  <c r="AC114" i="5" s="1"/>
  <c r="AA129" i="5"/>
  <c r="Z127" i="5"/>
  <c r="AM32" i="5"/>
  <c r="AN32" i="5" s="1"/>
  <c r="AF32" i="5"/>
  <c r="AK32" i="5" s="1"/>
  <c r="V32" i="5"/>
  <c r="X32" i="5"/>
  <c r="Y32" i="5" s="1"/>
  <c r="S30" i="5"/>
  <c r="W30" i="5" s="1"/>
  <c r="T30" i="5"/>
  <c r="P112" i="5" l="1"/>
  <c r="T114" i="5"/>
  <c r="AF114" i="5" s="1"/>
  <c r="AK114" i="5" s="1"/>
  <c r="P172" i="5"/>
  <c r="T170" i="5"/>
  <c r="AF170" i="5" s="1"/>
  <c r="AK170" i="5" s="1"/>
  <c r="AA237" i="5"/>
  <c r="AA107" i="7"/>
  <c r="Y239" i="5"/>
  <c r="Z109" i="7"/>
  <c r="Y279" i="5"/>
  <c r="AA277" i="5"/>
  <c r="X241" i="5"/>
  <c r="Y124" i="5"/>
  <c r="AA124" i="5" s="1"/>
  <c r="W122" i="5"/>
  <c r="V122" i="5"/>
  <c r="AM122" i="5"/>
  <c r="AN122" i="5" s="1"/>
  <c r="S120" i="5"/>
  <c r="X122" i="5"/>
  <c r="AA154" i="5"/>
  <c r="S160" i="5"/>
  <c r="W158" i="5"/>
  <c r="X158" i="5"/>
  <c r="AM158" i="5"/>
  <c r="AN158" i="5" s="1"/>
  <c r="V158" i="5"/>
  <c r="S243" i="5"/>
  <c r="AM241" i="5"/>
  <c r="AN241" i="5" s="1"/>
  <c r="W241" i="5"/>
  <c r="V241" i="5"/>
  <c r="Y156" i="5"/>
  <c r="X281" i="5"/>
  <c r="Z112" i="5"/>
  <c r="AC112" i="5" s="1"/>
  <c r="AA127" i="5"/>
  <c r="Z125" i="5"/>
  <c r="AM30" i="5"/>
  <c r="AN30" i="5" s="1"/>
  <c r="X30" i="5"/>
  <c r="Y30" i="5" s="1"/>
  <c r="AF30" i="5"/>
  <c r="AK30" i="5" s="1"/>
  <c r="V30" i="5"/>
  <c r="P110" i="5" l="1"/>
  <c r="T112" i="5"/>
  <c r="AF112" i="5" s="1"/>
  <c r="AK112" i="5" s="1"/>
  <c r="P174" i="5"/>
  <c r="T172" i="5"/>
  <c r="AF172" i="5" s="1"/>
  <c r="AA239" i="5"/>
  <c r="AA109" i="7"/>
  <c r="Y241" i="5"/>
  <c r="Z111" i="7"/>
  <c r="Y281" i="5"/>
  <c r="AA279" i="5"/>
  <c r="X243" i="5"/>
  <c r="Y122" i="5"/>
  <c r="AA122" i="5" s="1"/>
  <c r="AM120" i="5"/>
  <c r="AN120" i="5" s="1"/>
  <c r="V120" i="5"/>
  <c r="S118" i="5"/>
  <c r="W120" i="5"/>
  <c r="X120" i="5"/>
  <c r="AK172" i="5"/>
  <c r="Y158" i="5"/>
  <c r="AA156" i="5"/>
  <c r="S245" i="5"/>
  <c r="AM243" i="5"/>
  <c r="AN243" i="5" s="1"/>
  <c r="V243" i="5"/>
  <c r="W243" i="5"/>
  <c r="S162" i="5"/>
  <c r="AM160" i="5"/>
  <c r="AN160" i="5" s="1"/>
  <c r="X160" i="5"/>
  <c r="W160" i="5"/>
  <c r="V160" i="5"/>
  <c r="X283" i="5"/>
  <c r="Z110" i="5"/>
  <c r="AC110" i="5" s="1"/>
  <c r="AA125" i="5"/>
  <c r="Z123" i="5"/>
  <c r="P108" i="5" l="1"/>
  <c r="T110" i="5"/>
  <c r="AF110" i="5" s="1"/>
  <c r="AK110" i="5" s="1"/>
  <c r="P176" i="5"/>
  <c r="T174" i="5"/>
  <c r="AF174" i="5" s="1"/>
  <c r="AA241" i="5"/>
  <c r="AA111" i="7"/>
  <c r="Y243" i="5"/>
  <c r="Z113" i="7"/>
  <c r="Y283" i="5"/>
  <c r="AA281" i="5"/>
  <c r="X245" i="5"/>
  <c r="Y120" i="5"/>
  <c r="AA120" i="5" s="1"/>
  <c r="W118" i="5"/>
  <c r="AM118" i="5"/>
  <c r="AN118" i="5" s="1"/>
  <c r="X118" i="5"/>
  <c r="S116" i="5"/>
  <c r="V118" i="5"/>
  <c r="AK174" i="5"/>
  <c r="Y160" i="5"/>
  <c r="S164" i="5"/>
  <c r="X162" i="5"/>
  <c r="Y162" i="5" s="1"/>
  <c r="V162" i="5"/>
  <c r="W162" i="5"/>
  <c r="AM162" i="5"/>
  <c r="AN162" i="5" s="1"/>
  <c r="S247" i="5"/>
  <c r="V245" i="5"/>
  <c r="W245" i="5"/>
  <c r="AM245" i="5"/>
  <c r="AN245" i="5" s="1"/>
  <c r="AA158" i="5"/>
  <c r="X285" i="5"/>
  <c r="P40" i="5"/>
  <c r="Z108" i="5"/>
  <c r="AC108" i="5" s="1"/>
  <c r="Z121" i="5"/>
  <c r="AA123" i="5"/>
  <c r="P106" i="5" l="1"/>
  <c r="T108" i="5"/>
  <c r="AF108" i="5" s="1"/>
  <c r="AK108" i="5" s="1"/>
  <c r="P178" i="5"/>
  <c r="T176" i="5"/>
  <c r="AF176" i="5" s="1"/>
  <c r="AK176" i="5" s="1"/>
  <c r="AA243" i="5"/>
  <c r="AA113" i="7"/>
  <c r="Y245" i="5"/>
  <c r="Z115" i="7"/>
  <c r="Y285" i="5"/>
  <c r="AA283" i="5"/>
  <c r="X247" i="5"/>
  <c r="W116" i="5"/>
  <c r="AM116" i="5"/>
  <c r="AN116" i="5" s="1"/>
  <c r="X116" i="5"/>
  <c r="V116" i="5"/>
  <c r="S114" i="5"/>
  <c r="Y118" i="5"/>
  <c r="AA118" i="5" s="1"/>
  <c r="AA162" i="5"/>
  <c r="S166" i="5"/>
  <c r="W164" i="5"/>
  <c r="V164" i="5"/>
  <c r="AM164" i="5"/>
  <c r="AN164" i="5" s="1"/>
  <c r="X164" i="5"/>
  <c r="AA160" i="5"/>
  <c r="S249" i="5"/>
  <c r="AM247" i="5"/>
  <c r="AN247" i="5" s="1"/>
  <c r="W247" i="5"/>
  <c r="V247" i="5"/>
  <c r="X287" i="5"/>
  <c r="S40" i="5"/>
  <c r="P38" i="5"/>
  <c r="T40" i="5"/>
  <c r="AF40" i="5" s="1"/>
  <c r="AK40" i="5" s="1"/>
  <c r="Z106" i="5"/>
  <c r="AC106" i="5" s="1"/>
  <c r="AA121" i="5"/>
  <c r="Z119" i="5"/>
  <c r="P104" i="5" l="1"/>
  <c r="T106" i="5"/>
  <c r="AF106" i="5" s="1"/>
  <c r="AK106" i="5" s="1"/>
  <c r="P180" i="5"/>
  <c r="T178" i="5"/>
  <c r="AF178" i="5" s="1"/>
  <c r="AA245" i="5"/>
  <c r="AA115" i="7"/>
  <c r="Y247" i="5"/>
  <c r="Z117" i="7"/>
  <c r="Y287" i="5"/>
  <c r="AA285" i="5"/>
  <c r="X249" i="5"/>
  <c r="Y116" i="5"/>
  <c r="AA116" i="5" s="1"/>
  <c r="AM114" i="5"/>
  <c r="AN114" i="5" s="1"/>
  <c r="V114" i="5"/>
  <c r="W114" i="5"/>
  <c r="S112" i="5"/>
  <c r="X114" i="5"/>
  <c r="AK178" i="5"/>
  <c r="Y164" i="5"/>
  <c r="S168" i="5"/>
  <c r="X166" i="5"/>
  <c r="W166" i="5"/>
  <c r="AM166" i="5"/>
  <c r="AN166" i="5" s="1"/>
  <c r="V166" i="5"/>
  <c r="S251" i="5"/>
  <c r="W249" i="5"/>
  <c r="V249" i="5"/>
  <c r="AM249" i="5"/>
  <c r="AN249" i="5" s="1"/>
  <c r="X289" i="5"/>
  <c r="S38" i="5"/>
  <c r="P36" i="5"/>
  <c r="T38" i="5"/>
  <c r="AF38" i="5" s="1"/>
  <c r="AK38" i="5" s="1"/>
  <c r="X40" i="5"/>
  <c r="Y40" i="5" s="1"/>
  <c r="V40" i="5"/>
  <c r="W40" i="5"/>
  <c r="AM40" i="5"/>
  <c r="AN40" i="5" s="1"/>
  <c r="Z104" i="5"/>
  <c r="AC104" i="5" s="1"/>
  <c r="AA119" i="5"/>
  <c r="Z117" i="5"/>
  <c r="P102" i="5" l="1"/>
  <c r="T104" i="5"/>
  <c r="AF104" i="5" s="1"/>
  <c r="AK104" i="5" s="1"/>
  <c r="P182" i="5"/>
  <c r="T180" i="5"/>
  <c r="AF180" i="5" s="1"/>
  <c r="AA247" i="5"/>
  <c r="AA117" i="7"/>
  <c r="Y249" i="5"/>
  <c r="Z119" i="7"/>
  <c r="Y289" i="5"/>
  <c r="AA287" i="5"/>
  <c r="X251" i="5"/>
  <c r="Y114" i="5"/>
  <c r="AA114" i="5" s="1"/>
  <c r="AM112" i="5"/>
  <c r="AN112" i="5" s="1"/>
  <c r="X112" i="5"/>
  <c r="V112" i="5"/>
  <c r="S110" i="5"/>
  <c r="W112" i="5"/>
  <c r="AK180" i="5"/>
  <c r="AA164" i="5"/>
  <c r="S170" i="5"/>
  <c r="V168" i="5"/>
  <c r="W168" i="5"/>
  <c r="AM168" i="5"/>
  <c r="AN168" i="5" s="1"/>
  <c r="X168" i="5"/>
  <c r="S253" i="5"/>
  <c r="AM251" i="5"/>
  <c r="AN251" i="5" s="1"/>
  <c r="W251" i="5"/>
  <c r="V251" i="5"/>
  <c r="Y166" i="5"/>
  <c r="X291" i="5"/>
  <c r="S36" i="5"/>
  <c r="P34" i="5"/>
  <c r="AM38" i="5"/>
  <c r="AN38" i="5" s="1"/>
  <c r="V38" i="5"/>
  <c r="X38" i="5"/>
  <c r="Y38" i="5" s="1"/>
  <c r="W38" i="5"/>
  <c r="T36" i="5"/>
  <c r="Z102" i="5"/>
  <c r="AC102" i="5" s="1"/>
  <c r="AA117" i="5"/>
  <c r="Z115" i="5"/>
  <c r="P100" i="5" l="1"/>
  <c r="T102" i="5"/>
  <c r="AF102" i="5" s="1"/>
  <c r="AK102" i="5" s="1"/>
  <c r="P184" i="5"/>
  <c r="T182" i="5"/>
  <c r="AF182" i="5" s="1"/>
  <c r="AK182" i="5" s="1"/>
  <c r="AA249" i="5"/>
  <c r="AA119" i="7"/>
  <c r="Y251" i="5"/>
  <c r="Z121" i="7"/>
  <c r="Y291" i="5"/>
  <c r="AA289" i="5"/>
  <c r="P92" i="5"/>
  <c r="X253" i="5"/>
  <c r="Y112" i="5"/>
  <c r="AA112" i="5" s="1"/>
  <c r="V110" i="5"/>
  <c r="W110" i="5"/>
  <c r="AM110" i="5"/>
  <c r="AN110" i="5" s="1"/>
  <c r="S108" i="5"/>
  <c r="X110" i="5"/>
  <c r="AA166" i="5"/>
  <c r="S255" i="5"/>
  <c r="V253" i="5"/>
  <c r="AM253" i="5"/>
  <c r="AN253" i="5" s="1"/>
  <c r="W253" i="5"/>
  <c r="Y168" i="5"/>
  <c r="S172" i="5"/>
  <c r="AM170" i="5"/>
  <c r="AN170" i="5" s="1"/>
  <c r="W170" i="5"/>
  <c r="V170" i="5"/>
  <c r="X170" i="5"/>
  <c r="S34" i="5"/>
  <c r="T34" i="5"/>
  <c r="AF34" i="5" s="1"/>
  <c r="AK34" i="5" s="1"/>
  <c r="V36" i="5"/>
  <c r="AF36" i="5"/>
  <c r="AK36" i="5" s="1"/>
  <c r="X36" i="5"/>
  <c r="Y36" i="5" s="1"/>
  <c r="W36" i="5"/>
  <c r="AM36" i="5"/>
  <c r="AN36" i="5" s="1"/>
  <c r="Z100" i="5"/>
  <c r="AC100" i="5" s="1"/>
  <c r="Z113" i="5"/>
  <c r="AA115" i="5"/>
  <c r="P98" i="5" l="1"/>
  <c r="T100" i="5"/>
  <c r="AF100" i="5" s="1"/>
  <c r="AK100" i="5" s="1"/>
  <c r="P186" i="5"/>
  <c r="T184" i="5"/>
  <c r="AF184" i="5" s="1"/>
  <c r="AA251" i="5"/>
  <c r="AA121" i="7"/>
  <c r="Y253" i="5"/>
  <c r="Z123" i="7"/>
  <c r="AA291" i="5"/>
  <c r="P90" i="5"/>
  <c r="X255" i="5"/>
  <c r="T92" i="5"/>
  <c r="Y110" i="5"/>
  <c r="AA110" i="5" s="1"/>
  <c r="AM108" i="5"/>
  <c r="AN108" i="5" s="1"/>
  <c r="W108" i="5"/>
  <c r="X108" i="5"/>
  <c r="S106" i="5"/>
  <c r="V108" i="5"/>
  <c r="AK184" i="5"/>
  <c r="AA168" i="5"/>
  <c r="S257" i="5"/>
  <c r="V255" i="5"/>
  <c r="W255" i="5"/>
  <c r="AM255" i="5"/>
  <c r="AN255" i="5" s="1"/>
  <c r="Y170" i="5"/>
  <c r="S174" i="5"/>
  <c r="X172" i="5"/>
  <c r="V172" i="5"/>
  <c r="W172" i="5"/>
  <c r="AM172" i="5"/>
  <c r="AN172" i="5" s="1"/>
  <c r="P42" i="5"/>
  <c r="W34" i="5"/>
  <c r="X34" i="5"/>
  <c r="Y34" i="5" s="1"/>
  <c r="V34" i="5"/>
  <c r="AM34" i="5"/>
  <c r="AN34" i="5" s="1"/>
  <c r="Z98" i="5"/>
  <c r="AC98" i="5" s="1"/>
  <c r="AA113" i="5"/>
  <c r="Z111" i="5"/>
  <c r="P96" i="5" l="1"/>
  <c r="T98" i="5"/>
  <c r="AF98" i="5" s="1"/>
  <c r="AK98" i="5" s="1"/>
  <c r="T186" i="5"/>
  <c r="AF186" i="5" s="1"/>
  <c r="P188" i="5"/>
  <c r="Y255" i="5"/>
  <c r="Z125" i="7"/>
  <c r="AA253" i="5"/>
  <c r="AA123" i="7"/>
  <c r="P88" i="5"/>
  <c r="X257" i="5"/>
  <c r="AF92" i="5"/>
  <c r="AK92" i="5" s="1"/>
  <c r="T90" i="5"/>
  <c r="W106" i="5"/>
  <c r="AM106" i="5"/>
  <c r="AN106" i="5" s="1"/>
  <c r="V106" i="5"/>
  <c r="S104" i="5"/>
  <c r="X106" i="5"/>
  <c r="Y108" i="5"/>
  <c r="AA108" i="5" s="1"/>
  <c r="AK186" i="5"/>
  <c r="Y172" i="5"/>
  <c r="S176" i="5"/>
  <c r="W174" i="5"/>
  <c r="V174" i="5"/>
  <c r="AM174" i="5"/>
  <c r="AN174" i="5" s="1"/>
  <c r="X174" i="5"/>
  <c r="AA170" i="5"/>
  <c r="S259" i="5"/>
  <c r="W257" i="5"/>
  <c r="AM257" i="5"/>
  <c r="AN257" i="5" s="1"/>
  <c r="V257" i="5"/>
  <c r="S42" i="5"/>
  <c r="T42" i="5"/>
  <c r="AF42" i="5" s="1"/>
  <c r="AK42" i="5" s="1"/>
  <c r="Z96" i="5"/>
  <c r="AC96" i="5" s="1"/>
  <c r="AA111" i="5"/>
  <c r="Z109" i="5"/>
  <c r="P94" i="5" l="1"/>
  <c r="T96" i="5"/>
  <c r="AF96" i="5" s="1"/>
  <c r="AK96" i="5" s="1"/>
  <c r="P190" i="5"/>
  <c r="T188" i="5"/>
  <c r="AF188" i="5" s="1"/>
  <c r="Y257" i="5"/>
  <c r="Z127" i="7"/>
  <c r="AA255" i="5"/>
  <c r="AA125" i="7"/>
  <c r="P86" i="5"/>
  <c r="X259" i="5"/>
  <c r="AF90" i="5"/>
  <c r="AK90" i="5" s="1"/>
  <c r="T88" i="5"/>
  <c r="W104" i="5"/>
  <c r="AM104" i="5"/>
  <c r="AN104" i="5" s="1"/>
  <c r="V104" i="5"/>
  <c r="S102" i="5"/>
  <c r="X104" i="5"/>
  <c r="Y106" i="5"/>
  <c r="AA106" i="5" s="1"/>
  <c r="AA172" i="5"/>
  <c r="AK188" i="5"/>
  <c r="S261" i="5"/>
  <c r="V259" i="5"/>
  <c r="W259" i="5"/>
  <c r="AM259" i="5"/>
  <c r="AN259" i="5" s="1"/>
  <c r="Y174" i="5"/>
  <c r="S178" i="5"/>
  <c r="W176" i="5"/>
  <c r="AM176" i="5"/>
  <c r="AN176" i="5" s="1"/>
  <c r="X176" i="5"/>
  <c r="V176" i="5"/>
  <c r="W42" i="5"/>
  <c r="AM42" i="5"/>
  <c r="AN42" i="5" s="1"/>
  <c r="X42" i="5"/>
  <c r="V42" i="5"/>
  <c r="Z94" i="5"/>
  <c r="AC94" i="5" s="1"/>
  <c r="Z107" i="5"/>
  <c r="AA109" i="5"/>
  <c r="T94" i="5" l="1"/>
  <c r="AF94" i="5" s="1"/>
  <c r="AK94" i="5" s="1"/>
  <c r="P192" i="5"/>
  <c r="T190" i="5"/>
  <c r="AF190" i="5" s="1"/>
  <c r="Y259" i="5"/>
  <c r="Z129" i="7"/>
  <c r="AA257" i="5"/>
  <c r="AA127" i="7"/>
  <c r="P84" i="5"/>
  <c r="X261" i="5"/>
  <c r="Y42" i="5"/>
  <c r="AF88" i="5"/>
  <c r="AK88" i="5" s="1"/>
  <c r="T86" i="5"/>
  <c r="AM102" i="5"/>
  <c r="AN102" i="5" s="1"/>
  <c r="V102" i="5"/>
  <c r="W102" i="5"/>
  <c r="X102" i="5"/>
  <c r="S100" i="5"/>
  <c r="Y104" i="5"/>
  <c r="AA104" i="5" s="1"/>
  <c r="AK190" i="5"/>
  <c r="Y176" i="5"/>
  <c r="S180" i="5"/>
  <c r="W178" i="5"/>
  <c r="V178" i="5"/>
  <c r="X178" i="5"/>
  <c r="AM178" i="5"/>
  <c r="AN178" i="5" s="1"/>
  <c r="AA174" i="5"/>
  <c r="S263" i="5"/>
  <c r="AM261" i="5"/>
  <c r="AN261" i="5" s="1"/>
  <c r="V261" i="5"/>
  <c r="W261" i="5"/>
  <c r="Z92" i="5"/>
  <c r="AC92" i="5" s="1"/>
  <c r="Z105" i="5"/>
  <c r="AA107" i="5"/>
  <c r="P194" i="5" l="1"/>
  <c r="T192" i="5"/>
  <c r="Y261" i="5"/>
  <c r="Z131" i="7"/>
  <c r="AA259" i="5"/>
  <c r="AA129" i="7"/>
  <c r="P82" i="5"/>
  <c r="X263" i="5"/>
  <c r="AF86" i="5"/>
  <c r="AK86" i="5" s="1"/>
  <c r="T84" i="5"/>
  <c r="Y102" i="5"/>
  <c r="AA102" i="5" s="1"/>
  <c r="V100" i="5"/>
  <c r="X100" i="5"/>
  <c r="W100" i="5"/>
  <c r="S98" i="5"/>
  <c r="AM100" i="5"/>
  <c r="AN100" i="5" s="1"/>
  <c r="AA176" i="5"/>
  <c r="S265" i="5"/>
  <c r="W263" i="5"/>
  <c r="V263" i="5"/>
  <c r="AM263" i="5"/>
  <c r="AN263" i="5" s="1"/>
  <c r="S182" i="5"/>
  <c r="W180" i="5"/>
  <c r="AM180" i="5"/>
  <c r="AN180" i="5" s="1"/>
  <c r="V180" i="5"/>
  <c r="X180" i="5"/>
  <c r="Y178" i="5"/>
  <c r="Z90" i="5"/>
  <c r="AC90" i="5" s="1"/>
  <c r="Z103" i="5"/>
  <c r="AA105" i="5"/>
  <c r="Z60" i="1" l="1"/>
  <c r="AG60" i="1"/>
  <c r="BO60" i="1" s="1"/>
  <c r="Y60" i="1"/>
  <c r="BN60" i="1" s="1"/>
  <c r="AF192" i="5"/>
  <c r="AK192" i="5" s="1"/>
  <c r="J60" i="8" s="1"/>
  <c r="P196" i="5"/>
  <c r="T194" i="5"/>
  <c r="Y263" i="5"/>
  <c r="Z133" i="7"/>
  <c r="AA261" i="5"/>
  <c r="AA131" i="7"/>
  <c r="P80" i="5"/>
  <c r="AF84" i="5"/>
  <c r="AK84" i="5" s="1"/>
  <c r="T82" i="5"/>
  <c r="Y100" i="5"/>
  <c r="AA100" i="5" s="1"/>
  <c r="W98" i="5"/>
  <c r="AM98" i="5"/>
  <c r="AN98" i="5" s="1"/>
  <c r="V98" i="5"/>
  <c r="S96" i="5"/>
  <c r="X98" i="5"/>
  <c r="Y180" i="5"/>
  <c r="S184" i="5"/>
  <c r="X182" i="5"/>
  <c r="W182" i="5"/>
  <c r="AM182" i="5"/>
  <c r="AN182" i="5" s="1"/>
  <c r="V182" i="5"/>
  <c r="S267" i="5"/>
  <c r="W265" i="5"/>
  <c r="AA135" i="7" s="1"/>
  <c r="AM265" i="5"/>
  <c r="AN265" i="5" s="1"/>
  <c r="V265" i="5"/>
  <c r="Z135" i="7" s="1"/>
  <c r="AA178" i="5"/>
  <c r="Z88" i="5"/>
  <c r="AC88" i="5" s="1"/>
  <c r="Z101" i="5"/>
  <c r="AA103" i="5"/>
  <c r="J61" i="8" l="1"/>
  <c r="T60" i="7"/>
  <c r="BT60" i="1"/>
  <c r="Y62" i="1"/>
  <c r="BN62" i="1" s="1"/>
  <c r="T62" i="7" s="1"/>
  <c r="Z62" i="1"/>
  <c r="AF194" i="5"/>
  <c r="AK194" i="5" s="1"/>
  <c r="J62" i="8" s="1"/>
  <c r="AG62" i="1"/>
  <c r="BO62" i="1" s="1"/>
  <c r="P198" i="5"/>
  <c r="T196" i="5"/>
  <c r="J63" i="8"/>
  <c r="AA263" i="5"/>
  <c r="AA133" i="7"/>
  <c r="P78" i="5"/>
  <c r="AF82" i="5"/>
  <c r="AK82" i="5" s="1"/>
  <c r="T80" i="5"/>
  <c r="Y98" i="5"/>
  <c r="AA98" i="5" s="1"/>
  <c r="V96" i="5"/>
  <c r="X96" i="5"/>
  <c r="AM96" i="5"/>
  <c r="AN96" i="5" s="1"/>
  <c r="S94" i="5"/>
  <c r="W96" i="5"/>
  <c r="S269" i="5"/>
  <c r="V267" i="5"/>
  <c r="Z137" i="7" s="1"/>
  <c r="AM267" i="5"/>
  <c r="AN267" i="5" s="1"/>
  <c r="W267" i="5"/>
  <c r="AA137" i="7" s="1"/>
  <c r="Y182" i="5"/>
  <c r="S186" i="5"/>
  <c r="X184" i="5"/>
  <c r="W184" i="5"/>
  <c r="V184" i="5"/>
  <c r="AM184" i="5"/>
  <c r="AN184" i="5" s="1"/>
  <c r="AA180" i="5"/>
  <c r="Z86" i="5"/>
  <c r="AC86" i="5" s="1"/>
  <c r="AA101" i="5"/>
  <c r="Z99" i="5"/>
  <c r="BT62" i="1" l="1"/>
  <c r="Y64" i="1"/>
  <c r="BN64" i="1" s="1"/>
  <c r="T64" i="7" s="1"/>
  <c r="AG64" i="1"/>
  <c r="BO64" i="1" s="1"/>
  <c r="AF196" i="5"/>
  <c r="AK196" i="5" s="1"/>
  <c r="J65" i="8" s="1"/>
  <c r="Z64" i="1"/>
  <c r="P200" i="5"/>
  <c r="T198" i="5"/>
  <c r="P62" i="8"/>
  <c r="P63" i="8"/>
  <c r="P60" i="8"/>
  <c r="P61" i="8"/>
  <c r="J64" i="8"/>
  <c r="P76" i="5"/>
  <c r="S92" i="5"/>
  <c r="AF80" i="5"/>
  <c r="AK80" i="5" s="1"/>
  <c r="T78" i="5"/>
  <c r="Z10" i="1"/>
  <c r="Y10" i="1"/>
  <c r="BN10" i="1" s="1"/>
  <c r="AG10" i="1"/>
  <c r="BO10" i="1" s="1"/>
  <c r="Y96" i="5"/>
  <c r="AA96" i="5" s="1"/>
  <c r="W94" i="5"/>
  <c r="AM94" i="5"/>
  <c r="AN94" i="5" s="1"/>
  <c r="V94" i="5"/>
  <c r="X94" i="5"/>
  <c r="Y184" i="5"/>
  <c r="S188" i="5"/>
  <c r="V186" i="5"/>
  <c r="W186" i="5"/>
  <c r="AM186" i="5"/>
  <c r="AN186" i="5" s="1"/>
  <c r="X186" i="5"/>
  <c r="AA182" i="5"/>
  <c r="S271" i="5"/>
  <c r="AM269" i="5"/>
  <c r="AN269" i="5" s="1"/>
  <c r="W269" i="5"/>
  <c r="AA139" i="7" s="1"/>
  <c r="V269" i="5"/>
  <c r="Z139" i="7" s="1"/>
  <c r="Z97" i="5"/>
  <c r="AA97" i="5" s="1"/>
  <c r="Z84" i="5"/>
  <c r="AC84" i="5" s="1"/>
  <c r="AA99" i="5"/>
  <c r="AG66" i="1" l="1"/>
  <c r="BO66" i="1" s="1"/>
  <c r="Z66" i="1"/>
  <c r="Y66" i="1"/>
  <c r="BN66" i="1" s="1"/>
  <c r="AF198" i="5"/>
  <c r="AK198" i="5" s="1"/>
  <c r="J67" i="8" s="1"/>
  <c r="BT64" i="1"/>
  <c r="P202" i="5"/>
  <c r="T200" i="5"/>
  <c r="J66" i="8"/>
  <c r="P74" i="5"/>
  <c r="S90" i="5"/>
  <c r="W92" i="5"/>
  <c r="AM92" i="5"/>
  <c r="AN92" i="5" s="1"/>
  <c r="X92" i="5"/>
  <c r="Y92" i="5" s="1"/>
  <c r="AA92" i="5" s="1"/>
  <c r="V92" i="5"/>
  <c r="AF78" i="5"/>
  <c r="AK78" i="5" s="1"/>
  <c r="T76" i="5"/>
  <c r="T10" i="7"/>
  <c r="BT10" i="1"/>
  <c r="Y12" i="1"/>
  <c r="BN12" i="1" s="1"/>
  <c r="AG12" i="1"/>
  <c r="BO12" i="1" s="1"/>
  <c r="Z12" i="1"/>
  <c r="Y94" i="5"/>
  <c r="AA94" i="5" s="1"/>
  <c r="Y186" i="5"/>
  <c r="S190" i="5"/>
  <c r="X188" i="5"/>
  <c r="AM188" i="5"/>
  <c r="AN188" i="5" s="1"/>
  <c r="V188" i="5"/>
  <c r="W188" i="5"/>
  <c r="S273" i="5"/>
  <c r="W271" i="5"/>
  <c r="AA141" i="7" s="1"/>
  <c r="AM271" i="5"/>
  <c r="AN271" i="5" s="1"/>
  <c r="V271" i="5"/>
  <c r="Z141" i="7" s="1"/>
  <c r="AA184" i="5"/>
  <c r="Z95" i="5"/>
  <c r="Z82" i="5"/>
  <c r="AC82" i="5" s="1"/>
  <c r="Z68" i="1" l="1"/>
  <c r="AF200" i="5"/>
  <c r="AG68" i="1"/>
  <c r="BO68" i="1" s="1"/>
  <c r="Y68" i="1"/>
  <c r="BN68" i="1" s="1"/>
  <c r="T66" i="7"/>
  <c r="BT66" i="1"/>
  <c r="P204" i="5"/>
  <c r="T202" i="5"/>
  <c r="P65" i="8"/>
  <c r="P64" i="8"/>
  <c r="P72" i="5"/>
  <c r="S88" i="5"/>
  <c r="V90" i="5"/>
  <c r="W90" i="5"/>
  <c r="AM90" i="5"/>
  <c r="AN90" i="5" s="1"/>
  <c r="X90" i="5"/>
  <c r="Y90" i="5" s="1"/>
  <c r="AA90" i="5" s="1"/>
  <c r="T74" i="5"/>
  <c r="AF76" i="5"/>
  <c r="AK76" i="5" s="1"/>
  <c r="T12" i="7"/>
  <c r="BT12" i="1"/>
  <c r="J10" i="8"/>
  <c r="J11" i="8"/>
  <c r="P11" i="8"/>
  <c r="P10" i="8"/>
  <c r="Z14" i="1"/>
  <c r="AG14" i="1"/>
  <c r="BO14" i="1" s="1"/>
  <c r="Y14" i="1"/>
  <c r="BN14" i="1" s="1"/>
  <c r="Y188" i="5"/>
  <c r="S275" i="5"/>
  <c r="W273" i="5"/>
  <c r="AA143" i="7" s="1"/>
  <c r="V273" i="5"/>
  <c r="Z143" i="7" s="1"/>
  <c r="AM273" i="5"/>
  <c r="AN273" i="5" s="1"/>
  <c r="S192" i="5"/>
  <c r="V190" i="5"/>
  <c r="X190" i="5"/>
  <c r="AM190" i="5"/>
  <c r="AN190" i="5" s="1"/>
  <c r="W190" i="5"/>
  <c r="AA186" i="5"/>
  <c r="Z93" i="5"/>
  <c r="AA95" i="5"/>
  <c r="Z80" i="5"/>
  <c r="AC80" i="5" s="1"/>
  <c r="AG70" i="1" l="1"/>
  <c r="BO70" i="1" s="1"/>
  <c r="Z70" i="1"/>
  <c r="AF202" i="5"/>
  <c r="Y70" i="1"/>
  <c r="BN70" i="1" s="1"/>
  <c r="T68" i="7"/>
  <c r="BT68" i="1"/>
  <c r="P206" i="5"/>
  <c r="T204" i="5"/>
  <c r="P67" i="8"/>
  <c r="P66" i="8"/>
  <c r="P10" i="7"/>
  <c r="AK200" i="5"/>
  <c r="S86" i="5"/>
  <c r="V88" i="5"/>
  <c r="W88" i="5"/>
  <c r="AM88" i="5"/>
  <c r="AN88" i="5" s="1"/>
  <c r="X88" i="5"/>
  <c r="Y88" i="5" s="1"/>
  <c r="AA88" i="5" s="1"/>
  <c r="P70" i="5"/>
  <c r="AF74" i="5"/>
  <c r="AK74" i="5" s="1"/>
  <c r="T72" i="5"/>
  <c r="Y16" i="1"/>
  <c r="BN16" i="1" s="1"/>
  <c r="AG16" i="1"/>
  <c r="BO16" i="1" s="1"/>
  <c r="Z16" i="1"/>
  <c r="J12" i="8"/>
  <c r="J13" i="8"/>
  <c r="T14" i="7"/>
  <c r="BT14" i="1"/>
  <c r="P13" i="8"/>
  <c r="P12" i="8"/>
  <c r="AA188" i="5"/>
  <c r="S194" i="5"/>
  <c r="W192" i="5"/>
  <c r="V192" i="5"/>
  <c r="AM192" i="5"/>
  <c r="AN192" i="5" s="1"/>
  <c r="X192" i="5"/>
  <c r="Y190" i="5"/>
  <c r="S277" i="5"/>
  <c r="AM275" i="5"/>
  <c r="AN275" i="5" s="1"/>
  <c r="V275" i="5"/>
  <c r="Z145" i="7" s="1"/>
  <c r="W275" i="5"/>
  <c r="AA145" i="7" s="1"/>
  <c r="AA93" i="5"/>
  <c r="Z91" i="5"/>
  <c r="Z89" i="5" s="1"/>
  <c r="Z78" i="5"/>
  <c r="AC78" i="5" s="1"/>
  <c r="J68" i="8" l="1"/>
  <c r="J69" i="8"/>
  <c r="AG72" i="1"/>
  <c r="BO72" i="1" s="1"/>
  <c r="Y72" i="1"/>
  <c r="BN72" i="1" s="1"/>
  <c r="Z72" i="1"/>
  <c r="AF204" i="5"/>
  <c r="BT70" i="1"/>
  <c r="T70" i="7"/>
  <c r="T206" i="5"/>
  <c r="P208" i="5"/>
  <c r="P12" i="7"/>
  <c r="AK202" i="5"/>
  <c r="P68" i="8"/>
  <c r="P69" i="8"/>
  <c r="S84" i="5"/>
  <c r="AM86" i="5"/>
  <c r="AN86" i="5" s="1"/>
  <c r="W86" i="5"/>
  <c r="V86" i="5"/>
  <c r="X86" i="5"/>
  <c r="Y86" i="5" s="1"/>
  <c r="AA86" i="5" s="1"/>
  <c r="P68" i="5"/>
  <c r="AF72" i="5"/>
  <c r="AK72" i="5" s="1"/>
  <c r="T70" i="5"/>
  <c r="P15" i="8"/>
  <c r="P14" i="8"/>
  <c r="J15" i="8"/>
  <c r="J14" i="8"/>
  <c r="AG18" i="1"/>
  <c r="BO18" i="1" s="1"/>
  <c r="Z18" i="1"/>
  <c r="Y18" i="1"/>
  <c r="BN18" i="1" s="1"/>
  <c r="T16" i="7"/>
  <c r="BT16" i="1"/>
  <c r="Y192" i="5"/>
  <c r="S196" i="5"/>
  <c r="V194" i="5"/>
  <c r="W194" i="5"/>
  <c r="AM194" i="5"/>
  <c r="AN194" i="5" s="1"/>
  <c r="X194" i="5"/>
  <c r="S279" i="5"/>
  <c r="W277" i="5"/>
  <c r="AA147" i="7" s="1"/>
  <c r="V277" i="5"/>
  <c r="Z147" i="7" s="1"/>
  <c r="AM277" i="5"/>
  <c r="AN277" i="5" s="1"/>
  <c r="AA190" i="5"/>
  <c r="AA91" i="5"/>
  <c r="Z76" i="5"/>
  <c r="AC76" i="5" s="1"/>
  <c r="Z87" i="5"/>
  <c r="AA89" i="5"/>
  <c r="J70" i="8" l="1"/>
  <c r="J71" i="8"/>
  <c r="T72" i="7"/>
  <c r="BT72" i="1"/>
  <c r="P70" i="8"/>
  <c r="P71" i="8"/>
  <c r="P210" i="5"/>
  <c r="T208" i="5"/>
  <c r="P14" i="7"/>
  <c r="AK204" i="5"/>
  <c r="AG74" i="1"/>
  <c r="BO74" i="1" s="1"/>
  <c r="Z74" i="1"/>
  <c r="AF206" i="5"/>
  <c r="Y74" i="1"/>
  <c r="BN74" i="1" s="1"/>
  <c r="S82" i="5"/>
  <c r="V84" i="5"/>
  <c r="X84" i="5"/>
  <c r="Y84" i="5" s="1"/>
  <c r="AA84" i="5" s="1"/>
  <c r="W84" i="5"/>
  <c r="AM84" i="5"/>
  <c r="AN84" i="5" s="1"/>
  <c r="P66" i="5"/>
  <c r="AF70" i="5"/>
  <c r="AK70" i="5" s="1"/>
  <c r="T68" i="5"/>
  <c r="Y20" i="1"/>
  <c r="BN20" i="1" s="1"/>
  <c r="AG20" i="1"/>
  <c r="BO20" i="1" s="1"/>
  <c r="Z20" i="1"/>
  <c r="J17" i="8"/>
  <c r="J16" i="8"/>
  <c r="BT18" i="1"/>
  <c r="T18" i="7"/>
  <c r="P17" i="8"/>
  <c r="P16" i="8"/>
  <c r="S281" i="5"/>
  <c r="W279" i="5"/>
  <c r="AA149" i="7" s="1"/>
  <c r="V279" i="5"/>
  <c r="Z149" i="7" s="1"/>
  <c r="AM279" i="5"/>
  <c r="AN279" i="5" s="1"/>
  <c r="Y194" i="5"/>
  <c r="S198" i="5"/>
  <c r="AM196" i="5"/>
  <c r="AN196" i="5" s="1"/>
  <c r="W196" i="5"/>
  <c r="X196" i="5"/>
  <c r="V196" i="5"/>
  <c r="AA192" i="5"/>
  <c r="Z74" i="5"/>
  <c r="AC74" i="5" s="1"/>
  <c r="Z85" i="5"/>
  <c r="AA87" i="5"/>
  <c r="Z76" i="1" l="1"/>
  <c r="AF208" i="5"/>
  <c r="AG76" i="1"/>
  <c r="BO76" i="1" s="1"/>
  <c r="Y76" i="1"/>
  <c r="BN76" i="1" s="1"/>
  <c r="P72" i="8"/>
  <c r="P73" i="8"/>
  <c r="P212" i="5"/>
  <c r="T210" i="5"/>
  <c r="T74" i="7"/>
  <c r="BT74" i="1"/>
  <c r="J73" i="8"/>
  <c r="J72" i="8"/>
  <c r="P16" i="7"/>
  <c r="AK206" i="5"/>
  <c r="S80" i="5"/>
  <c r="AM82" i="5"/>
  <c r="AN82" i="5" s="1"/>
  <c r="W82" i="5"/>
  <c r="V82" i="5"/>
  <c r="X82" i="5"/>
  <c r="Y82" i="5" s="1"/>
  <c r="AA82" i="5" s="1"/>
  <c r="P64" i="5"/>
  <c r="AF68" i="5"/>
  <c r="AK68" i="5" s="1"/>
  <c r="T66" i="5"/>
  <c r="J18" i="8"/>
  <c r="J19" i="8"/>
  <c r="Z22" i="1"/>
  <c r="AG22" i="1"/>
  <c r="BO22" i="1" s="1"/>
  <c r="Y22" i="1"/>
  <c r="BN22" i="1" s="1"/>
  <c r="P19" i="8"/>
  <c r="P18" i="8"/>
  <c r="T20" i="7"/>
  <c r="BT20" i="1"/>
  <c r="Y196" i="5"/>
  <c r="S200" i="5"/>
  <c r="AM198" i="5"/>
  <c r="AN198" i="5" s="1"/>
  <c r="X198" i="5"/>
  <c r="W198" i="5"/>
  <c r="V198" i="5"/>
  <c r="AA194" i="5"/>
  <c r="S283" i="5"/>
  <c r="AM281" i="5"/>
  <c r="AN281" i="5" s="1"/>
  <c r="V281" i="5"/>
  <c r="Z151" i="7" s="1"/>
  <c r="W281" i="5"/>
  <c r="AA151" i="7" s="1"/>
  <c r="Z72" i="5"/>
  <c r="AC72" i="5" s="1"/>
  <c r="AA85" i="5"/>
  <c r="Z83" i="5"/>
  <c r="AG78" i="1" l="1"/>
  <c r="BO78" i="1" s="1"/>
  <c r="AF210" i="5"/>
  <c r="Z78" i="1"/>
  <c r="Y78" i="1"/>
  <c r="BN78" i="1" s="1"/>
  <c r="T76" i="7"/>
  <c r="BT76" i="1"/>
  <c r="P214" i="5"/>
  <c r="T212" i="5"/>
  <c r="J75" i="8"/>
  <c r="J74" i="8"/>
  <c r="P74" i="8"/>
  <c r="P75" i="8"/>
  <c r="P18" i="7"/>
  <c r="AK208" i="5"/>
  <c r="S78" i="5"/>
  <c r="W78" i="5" s="1"/>
  <c r="V80" i="5"/>
  <c r="X80" i="5"/>
  <c r="Y80" i="5" s="1"/>
  <c r="AA80" i="5" s="1"/>
  <c r="W80" i="5"/>
  <c r="AM80" i="5"/>
  <c r="AN80" i="5" s="1"/>
  <c r="P62" i="5"/>
  <c r="S76" i="5"/>
  <c r="AF66" i="5"/>
  <c r="AK66" i="5" s="1"/>
  <c r="T64" i="5"/>
  <c r="J21" i="8"/>
  <c r="J20" i="8"/>
  <c r="Y24" i="1"/>
  <c r="BN24" i="1" s="1"/>
  <c r="AG24" i="1"/>
  <c r="BO24" i="1" s="1"/>
  <c r="Z24" i="1"/>
  <c r="P20" i="8"/>
  <c r="P21" i="8"/>
  <c r="BT22" i="1"/>
  <c r="T22" i="7"/>
  <c r="Y198" i="5"/>
  <c r="S202" i="5"/>
  <c r="AM200" i="5"/>
  <c r="AN200" i="5" s="1"/>
  <c r="X200" i="5"/>
  <c r="Z10" i="7" s="1"/>
  <c r="W200" i="5"/>
  <c r="V200" i="5"/>
  <c r="S285" i="5"/>
  <c r="AM283" i="5"/>
  <c r="AN283" i="5" s="1"/>
  <c r="V283" i="5"/>
  <c r="Z153" i="7" s="1"/>
  <c r="W283" i="5"/>
  <c r="AA153" i="7" s="1"/>
  <c r="AA196" i="5"/>
  <c r="Z70" i="5"/>
  <c r="AC70" i="5" s="1"/>
  <c r="P284" i="5"/>
  <c r="Z154" i="1"/>
  <c r="Y154" i="1"/>
  <c r="BN154" i="1" s="1"/>
  <c r="T154" i="7" s="1"/>
  <c r="AG154" i="1"/>
  <c r="BO154" i="1" s="1"/>
  <c r="AA83" i="5"/>
  <c r="Z81" i="5"/>
  <c r="AG80" i="1" l="1"/>
  <c r="BO80" i="1" s="1"/>
  <c r="AF212" i="5"/>
  <c r="Z80" i="1"/>
  <c r="Y80" i="1"/>
  <c r="BN80" i="1" s="1"/>
  <c r="T78" i="7"/>
  <c r="BT78" i="1"/>
  <c r="T214" i="5"/>
  <c r="P216" i="5"/>
  <c r="J77" i="8"/>
  <c r="J76" i="8"/>
  <c r="P77" i="8"/>
  <c r="P76" i="8"/>
  <c r="P20" i="7"/>
  <c r="AK210" i="5"/>
  <c r="AM78" i="5"/>
  <c r="AN78" i="5" s="1"/>
  <c r="X78" i="5"/>
  <c r="Y78" i="5" s="1"/>
  <c r="AA78" i="5" s="1"/>
  <c r="V78" i="5"/>
  <c r="P60" i="5"/>
  <c r="W76" i="5"/>
  <c r="AM76" i="5"/>
  <c r="AN76" i="5" s="1"/>
  <c r="V76" i="5"/>
  <c r="S74" i="5"/>
  <c r="X76" i="5"/>
  <c r="AF64" i="5"/>
  <c r="AK64" i="5" s="1"/>
  <c r="T62" i="5"/>
  <c r="Y26" i="1"/>
  <c r="BN26" i="1" s="1"/>
  <c r="AG26" i="1"/>
  <c r="BO26" i="1" s="1"/>
  <c r="Z26" i="1"/>
  <c r="T24" i="7"/>
  <c r="BT24" i="1"/>
  <c r="J22" i="8"/>
  <c r="J23" i="8"/>
  <c r="P23" i="8"/>
  <c r="P22" i="8"/>
  <c r="AA198" i="5"/>
  <c r="Y200" i="5"/>
  <c r="AA10" i="7" s="1"/>
  <c r="S287" i="5"/>
  <c r="V285" i="5"/>
  <c r="Z155" i="7" s="1"/>
  <c r="AM285" i="5"/>
  <c r="AN285" i="5" s="1"/>
  <c r="W285" i="5"/>
  <c r="AA155" i="7" s="1"/>
  <c r="S204" i="5"/>
  <c r="V202" i="5"/>
  <c r="AM202" i="5"/>
  <c r="AN202" i="5" s="1"/>
  <c r="X202" i="5"/>
  <c r="Z12" i="7" s="1"/>
  <c r="W202" i="5"/>
  <c r="P244" i="5"/>
  <c r="Z68" i="5"/>
  <c r="AC68" i="5" s="1"/>
  <c r="P286" i="5"/>
  <c r="T284" i="5"/>
  <c r="AF284" i="5" s="1"/>
  <c r="BT154" i="1"/>
  <c r="Y156" i="1"/>
  <c r="BN156" i="1" s="1"/>
  <c r="T156" i="7" s="1"/>
  <c r="Z156" i="1"/>
  <c r="AG156" i="1"/>
  <c r="BO156" i="1" s="1"/>
  <c r="Z79" i="5"/>
  <c r="AA81" i="5"/>
  <c r="P218" i="5" l="1"/>
  <c r="T216" i="5"/>
  <c r="T80" i="7"/>
  <c r="BT80" i="1"/>
  <c r="Z82" i="1"/>
  <c r="AF214" i="5"/>
  <c r="Y82" i="1"/>
  <c r="BN82" i="1" s="1"/>
  <c r="AG82" i="1"/>
  <c r="BO82" i="1" s="1"/>
  <c r="J78" i="8"/>
  <c r="J79" i="8"/>
  <c r="P79" i="8"/>
  <c r="P78" i="8"/>
  <c r="P22" i="7"/>
  <c r="AK212" i="5"/>
  <c r="P58" i="5"/>
  <c r="W74" i="5"/>
  <c r="X74" i="5"/>
  <c r="AM74" i="5"/>
  <c r="AN74" i="5" s="1"/>
  <c r="S72" i="5"/>
  <c r="V74" i="5"/>
  <c r="Y76" i="5"/>
  <c r="AA76" i="5" s="1"/>
  <c r="AF62" i="5"/>
  <c r="AK62" i="5" s="1"/>
  <c r="T60" i="5"/>
  <c r="AG48" i="1"/>
  <c r="BO48" i="1" s="1"/>
  <c r="Y48" i="1"/>
  <c r="BN48" i="1" s="1"/>
  <c r="Z48" i="1"/>
  <c r="AG28" i="1"/>
  <c r="BO28" i="1" s="1"/>
  <c r="Y28" i="1"/>
  <c r="BN28" i="1" s="1"/>
  <c r="Z28" i="1"/>
  <c r="J25" i="8"/>
  <c r="J24" i="8"/>
  <c r="P24" i="8"/>
  <c r="P25" i="8"/>
  <c r="T26" i="7"/>
  <c r="BT26" i="1"/>
  <c r="AA200" i="5"/>
  <c r="S206" i="5"/>
  <c r="X204" i="5"/>
  <c r="W204" i="5"/>
  <c r="AM204" i="5"/>
  <c r="AN204" i="5" s="1"/>
  <c r="V204" i="5"/>
  <c r="S289" i="5"/>
  <c r="W287" i="5"/>
  <c r="AA157" i="7" s="1"/>
  <c r="AM287" i="5"/>
  <c r="AN287" i="5" s="1"/>
  <c r="V287" i="5"/>
  <c r="Z157" i="7" s="1"/>
  <c r="Y202" i="5"/>
  <c r="AA12" i="7" s="1"/>
  <c r="P246" i="5"/>
  <c r="T244" i="5"/>
  <c r="AK284" i="5"/>
  <c r="Z66" i="5"/>
  <c r="AC66" i="5" s="1"/>
  <c r="T286" i="5"/>
  <c r="AF286" i="5" s="1"/>
  <c r="P288" i="5"/>
  <c r="AG158" i="1"/>
  <c r="BO158" i="1" s="1"/>
  <c r="Z158" i="1"/>
  <c r="Y158" i="1"/>
  <c r="BN158" i="1" s="1"/>
  <c r="T158" i="7" s="1"/>
  <c r="J155" i="8"/>
  <c r="J154" i="8"/>
  <c r="P155" i="8"/>
  <c r="P154" i="8"/>
  <c r="BT156" i="1"/>
  <c r="Z77" i="5"/>
  <c r="AA79" i="5"/>
  <c r="P80" i="8" l="1"/>
  <c r="P81" i="8"/>
  <c r="T82" i="7"/>
  <c r="BT82" i="1"/>
  <c r="J81" i="8"/>
  <c r="J80" i="8"/>
  <c r="P24" i="7"/>
  <c r="AK214" i="5"/>
  <c r="Y84" i="1"/>
  <c r="BN84" i="1" s="1"/>
  <c r="T84" i="7" s="1"/>
  <c r="Z84" i="1"/>
  <c r="AG84" i="1"/>
  <c r="BO84" i="1" s="1"/>
  <c r="BT84" i="1" s="1"/>
  <c r="AF216" i="5"/>
  <c r="T218" i="5"/>
  <c r="P220" i="5"/>
  <c r="P56" i="5"/>
  <c r="W72" i="5"/>
  <c r="V72" i="5"/>
  <c r="AM72" i="5"/>
  <c r="AN72" i="5" s="1"/>
  <c r="X72" i="5"/>
  <c r="S70" i="5"/>
  <c r="Y74" i="5"/>
  <c r="AA74" i="5" s="1"/>
  <c r="AF60" i="5"/>
  <c r="AK60" i="5" s="1"/>
  <c r="T58" i="5"/>
  <c r="AG50" i="1"/>
  <c r="BO50" i="1" s="1"/>
  <c r="Z50" i="1"/>
  <c r="Y50" i="1"/>
  <c r="BN50" i="1" s="1"/>
  <c r="T48" i="7"/>
  <c r="BT48" i="1"/>
  <c r="Z14" i="7"/>
  <c r="J26" i="8"/>
  <c r="J27" i="8"/>
  <c r="BT28" i="1"/>
  <c r="T28" i="7"/>
  <c r="Y30" i="1"/>
  <c r="BN30" i="1" s="1"/>
  <c r="Z30" i="1"/>
  <c r="AG30" i="1"/>
  <c r="BO30" i="1" s="1"/>
  <c r="P26" i="8"/>
  <c r="P27" i="8"/>
  <c r="AA202" i="5"/>
  <c r="S291" i="5"/>
  <c r="W289" i="5"/>
  <c r="AA159" i="7" s="1"/>
  <c r="V289" i="5"/>
  <c r="Z159" i="7" s="1"/>
  <c r="AM289" i="5"/>
  <c r="AN289" i="5" s="1"/>
  <c r="S208" i="5"/>
  <c r="X206" i="5"/>
  <c r="W206" i="5"/>
  <c r="AM206" i="5"/>
  <c r="AN206" i="5" s="1"/>
  <c r="V206" i="5"/>
  <c r="Y204" i="5"/>
  <c r="Y114" i="1"/>
  <c r="BN114" i="1" s="1"/>
  <c r="T114" i="7" s="1"/>
  <c r="AF244" i="5"/>
  <c r="Z114" i="1"/>
  <c r="AG114" i="1"/>
  <c r="BO114" i="1" s="1"/>
  <c r="P248" i="5"/>
  <c r="T246" i="5"/>
  <c r="AK286" i="5"/>
  <c r="Z64" i="5"/>
  <c r="AC64" i="5" s="1"/>
  <c r="T288" i="5"/>
  <c r="P290" i="5"/>
  <c r="T290" i="5" s="1"/>
  <c r="BT158" i="1"/>
  <c r="J156" i="8"/>
  <c r="J157" i="8"/>
  <c r="P156" i="8"/>
  <c r="P157" i="8"/>
  <c r="Z75" i="5"/>
  <c r="AA77" i="5"/>
  <c r="P26" i="7" l="1"/>
  <c r="AK216" i="5"/>
  <c r="J83" i="8"/>
  <c r="J82" i="8"/>
  <c r="P82" i="8"/>
  <c r="P83" i="8"/>
  <c r="P85" i="8"/>
  <c r="P84" i="8"/>
  <c r="P222" i="5"/>
  <c r="T220" i="5"/>
  <c r="AG86" i="1"/>
  <c r="BO86" i="1" s="1"/>
  <c r="Y86" i="1"/>
  <c r="BN86" i="1" s="1"/>
  <c r="AF218" i="5"/>
  <c r="Z86" i="1"/>
  <c r="P54" i="5"/>
  <c r="Y72" i="5"/>
  <c r="AA72" i="5" s="1"/>
  <c r="W70" i="5"/>
  <c r="AM70" i="5"/>
  <c r="AN70" i="5" s="1"/>
  <c r="X70" i="5"/>
  <c r="S68" i="5"/>
  <c r="V70" i="5"/>
  <c r="AF58" i="5"/>
  <c r="AK58" i="5" s="1"/>
  <c r="T56" i="5"/>
  <c r="Z40" i="1"/>
  <c r="AG40" i="1"/>
  <c r="BO40" i="1" s="1"/>
  <c r="Y40" i="1"/>
  <c r="BN40" i="1" s="1"/>
  <c r="J49" i="8"/>
  <c r="J48" i="8"/>
  <c r="Z52" i="1"/>
  <c r="AG52" i="1"/>
  <c r="BO52" i="1" s="1"/>
  <c r="Y52" i="1"/>
  <c r="BN52" i="1" s="1"/>
  <c r="P49" i="8"/>
  <c r="P48" i="8"/>
  <c r="T50" i="7"/>
  <c r="BT50" i="1"/>
  <c r="Z16" i="7"/>
  <c r="AA14" i="7"/>
  <c r="P29" i="8"/>
  <c r="P28" i="8"/>
  <c r="J29" i="8"/>
  <c r="J28" i="8"/>
  <c r="AG32" i="1"/>
  <c r="BO32" i="1" s="1"/>
  <c r="Z32" i="1"/>
  <c r="Y32" i="1"/>
  <c r="BN32" i="1" s="1"/>
  <c r="T30" i="7"/>
  <c r="BT30" i="1"/>
  <c r="Y206" i="5"/>
  <c r="AA204" i="5"/>
  <c r="S210" i="5"/>
  <c r="W208" i="5"/>
  <c r="AM208" i="5"/>
  <c r="AN208" i="5" s="1"/>
  <c r="X208" i="5"/>
  <c r="V208" i="5"/>
  <c r="S293" i="5"/>
  <c r="AM291" i="5"/>
  <c r="AN291" i="5" s="1"/>
  <c r="W291" i="5"/>
  <c r="AA161" i="7" s="1"/>
  <c r="V291" i="5"/>
  <c r="Z161" i="7" s="1"/>
  <c r="AK244" i="5"/>
  <c r="Y116" i="1"/>
  <c r="BN116" i="1" s="1"/>
  <c r="T116" i="7" s="1"/>
  <c r="AF246" i="5"/>
  <c r="P114" i="7" s="1"/>
  <c r="AG116" i="1"/>
  <c r="BO116" i="1" s="1"/>
  <c r="Z116" i="1"/>
  <c r="BT114" i="1"/>
  <c r="T248" i="5"/>
  <c r="P250" i="5"/>
  <c r="Z62" i="5"/>
  <c r="AC62" i="5" s="1"/>
  <c r="AG162" i="1"/>
  <c r="BO162" i="1" s="1"/>
  <c r="Y162" i="1"/>
  <c r="BN162" i="1" s="1"/>
  <c r="T162" i="7" s="1"/>
  <c r="Z162" i="1"/>
  <c r="AF290" i="5"/>
  <c r="P168" i="7" s="1"/>
  <c r="Y160" i="1"/>
  <c r="BN160" i="1" s="1"/>
  <c r="T160" i="7" s="1"/>
  <c r="AG160" i="1"/>
  <c r="BO160" i="1" s="1"/>
  <c r="AF288" i="5"/>
  <c r="P166" i="7" s="1"/>
  <c r="Z160" i="1"/>
  <c r="J158" i="8"/>
  <c r="J159" i="8"/>
  <c r="P158" i="8"/>
  <c r="P159" i="8"/>
  <c r="Z73" i="5"/>
  <c r="AA75" i="5"/>
  <c r="T86" i="7" l="1"/>
  <c r="BT86" i="1"/>
  <c r="Y88" i="1"/>
  <c r="BN88" i="1" s="1"/>
  <c r="T88" i="7" s="1"/>
  <c r="Z88" i="1"/>
  <c r="AF220" i="5"/>
  <c r="AG88" i="1"/>
  <c r="BO88" i="1" s="1"/>
  <c r="J84" i="8"/>
  <c r="J85" i="8"/>
  <c r="P28" i="7"/>
  <c r="AK218" i="5"/>
  <c r="P224" i="5"/>
  <c r="T222" i="5"/>
  <c r="P52" i="5"/>
  <c r="W68" i="5"/>
  <c r="X68" i="5"/>
  <c r="V68" i="5"/>
  <c r="AM68" i="5"/>
  <c r="AN68" i="5" s="1"/>
  <c r="S66" i="5"/>
  <c r="Y70" i="5"/>
  <c r="AA70" i="5" s="1"/>
  <c r="AF56" i="5"/>
  <c r="AK56" i="5" s="1"/>
  <c r="T54" i="5"/>
  <c r="Y42" i="1"/>
  <c r="BN42" i="1" s="1"/>
  <c r="AG42" i="1"/>
  <c r="BO42" i="1" s="1"/>
  <c r="Z42" i="1"/>
  <c r="BT40" i="1"/>
  <c r="T40" i="7"/>
  <c r="J51" i="8"/>
  <c r="J50" i="8"/>
  <c r="P50" i="8"/>
  <c r="P51" i="8"/>
  <c r="Z54" i="1"/>
  <c r="Y54" i="1"/>
  <c r="BN54" i="1" s="1"/>
  <c r="AG54" i="1"/>
  <c r="BO54" i="1" s="1"/>
  <c r="T52" i="7"/>
  <c r="BT52" i="1"/>
  <c r="Z18" i="7"/>
  <c r="J30" i="8"/>
  <c r="J31" i="8"/>
  <c r="AA206" i="5"/>
  <c r="AA16" i="7"/>
  <c r="AG34" i="1"/>
  <c r="BO34" i="1" s="1"/>
  <c r="Y34" i="1"/>
  <c r="BN34" i="1" s="1"/>
  <c r="Z34" i="1"/>
  <c r="P30" i="8"/>
  <c r="P31" i="8"/>
  <c r="T32" i="7"/>
  <c r="BT32" i="1"/>
  <c r="Y208" i="5"/>
  <c r="S295" i="5"/>
  <c r="W293" i="5"/>
  <c r="AA163" i="7" s="1"/>
  <c r="V293" i="5"/>
  <c r="Z163" i="7" s="1"/>
  <c r="AM293" i="5"/>
  <c r="AN293" i="5" s="1"/>
  <c r="S212" i="5"/>
  <c r="W210" i="5"/>
  <c r="AM210" i="5"/>
  <c r="AN210" i="5" s="1"/>
  <c r="X210" i="5"/>
  <c r="V210" i="5"/>
  <c r="T250" i="5"/>
  <c r="P252" i="5"/>
  <c r="AG118" i="1"/>
  <c r="BO118" i="1" s="1"/>
  <c r="Z118" i="1"/>
  <c r="Y118" i="1"/>
  <c r="BN118" i="1" s="1"/>
  <c r="T118" i="7" s="1"/>
  <c r="AF248" i="5"/>
  <c r="P115" i="8"/>
  <c r="P114" i="8"/>
  <c r="AK246" i="5"/>
  <c r="P116" i="7"/>
  <c r="J114" i="8"/>
  <c r="J115" i="8"/>
  <c r="BT116" i="1"/>
  <c r="Z60" i="5"/>
  <c r="AK290" i="5"/>
  <c r="AK288" i="5"/>
  <c r="BT162" i="1"/>
  <c r="BT160" i="1"/>
  <c r="Z71" i="5"/>
  <c r="AA73" i="5"/>
  <c r="BT88" i="1" l="1"/>
  <c r="Y90" i="1"/>
  <c r="BN90" i="1" s="1"/>
  <c r="T90" i="7" s="1"/>
  <c r="AG90" i="1"/>
  <c r="BO90" i="1" s="1"/>
  <c r="AF222" i="5"/>
  <c r="Z90" i="1"/>
  <c r="T224" i="5"/>
  <c r="P226" i="5"/>
  <c r="J86" i="8"/>
  <c r="J87" i="8"/>
  <c r="P88" i="8"/>
  <c r="P89" i="8"/>
  <c r="P87" i="8"/>
  <c r="P86" i="8"/>
  <c r="P30" i="7"/>
  <c r="AK220" i="5"/>
  <c r="P50" i="5"/>
  <c r="Y68" i="5"/>
  <c r="AA68" i="5" s="1"/>
  <c r="W66" i="5"/>
  <c r="V66" i="5"/>
  <c r="AM66" i="5"/>
  <c r="AN66" i="5" s="1"/>
  <c r="S64" i="5"/>
  <c r="X66" i="5"/>
  <c r="AF54" i="5"/>
  <c r="AK54" i="5" s="1"/>
  <c r="T52" i="5"/>
  <c r="P40" i="8"/>
  <c r="P41" i="8"/>
  <c r="J40" i="8"/>
  <c r="J41" i="8"/>
  <c r="Z44" i="1"/>
  <c r="Y44" i="1"/>
  <c r="BN44" i="1" s="1"/>
  <c r="AG44" i="1"/>
  <c r="BO44" i="1" s="1"/>
  <c r="BT42" i="1"/>
  <c r="T42" i="7"/>
  <c r="J53" i="8"/>
  <c r="J52" i="8"/>
  <c r="P34" i="7"/>
  <c r="BT54" i="1"/>
  <c r="T54" i="7"/>
  <c r="P53" i="8"/>
  <c r="P52" i="8"/>
  <c r="Z56" i="1"/>
  <c r="Y56" i="1"/>
  <c r="BN56" i="1" s="1"/>
  <c r="AG56" i="1"/>
  <c r="BO56" i="1" s="1"/>
  <c r="Z20" i="7"/>
  <c r="Y36" i="1"/>
  <c r="BN36" i="1" s="1"/>
  <c r="AG36" i="1"/>
  <c r="BO36" i="1" s="1"/>
  <c r="Z36" i="1"/>
  <c r="P32" i="8"/>
  <c r="P33" i="8"/>
  <c r="AA208" i="5"/>
  <c r="AA18" i="7"/>
  <c r="BT34" i="1"/>
  <c r="T34" i="7"/>
  <c r="J33" i="8"/>
  <c r="J32" i="8"/>
  <c r="Y210" i="5"/>
  <c r="S214" i="5"/>
  <c r="V212" i="5"/>
  <c r="X212" i="5"/>
  <c r="W212" i="5"/>
  <c r="AM212" i="5"/>
  <c r="AN212" i="5" s="1"/>
  <c r="S297" i="5"/>
  <c r="AM295" i="5"/>
  <c r="AN295" i="5" s="1"/>
  <c r="V295" i="5"/>
  <c r="Z165" i="7" s="1"/>
  <c r="W295" i="5"/>
  <c r="AA165" i="7" s="1"/>
  <c r="AC60" i="5"/>
  <c r="P117" i="8"/>
  <c r="P116" i="8"/>
  <c r="J116" i="8"/>
  <c r="J117" i="8"/>
  <c r="AK248" i="5"/>
  <c r="P254" i="5"/>
  <c r="T252" i="5"/>
  <c r="BT118" i="1"/>
  <c r="AF250" i="5"/>
  <c r="P118" i="7" s="1"/>
  <c r="Z120" i="1"/>
  <c r="Y120" i="1"/>
  <c r="BN120" i="1" s="1"/>
  <c r="T120" i="7" s="1"/>
  <c r="AG120" i="1"/>
  <c r="BO120" i="1" s="1"/>
  <c r="Z58" i="5"/>
  <c r="AC58" i="5" s="1"/>
  <c r="P160" i="8"/>
  <c r="P161" i="8"/>
  <c r="J161" i="8"/>
  <c r="J160" i="8"/>
  <c r="P162" i="8"/>
  <c r="P163" i="8"/>
  <c r="J163" i="8"/>
  <c r="J162" i="8"/>
  <c r="Z69" i="5"/>
  <c r="AA71" i="5"/>
  <c r="BT90" i="1" l="1"/>
  <c r="P32" i="7"/>
  <c r="AK222" i="5"/>
  <c r="J89" i="8"/>
  <c r="J88" i="8"/>
  <c r="P228" i="5"/>
  <c r="T226" i="5"/>
  <c r="P90" i="8"/>
  <c r="P91" i="8"/>
  <c r="AG92" i="1"/>
  <c r="BO92" i="1" s="1"/>
  <c r="Z92" i="1"/>
  <c r="Y92" i="1"/>
  <c r="BN92" i="1" s="1"/>
  <c r="AF224" i="5"/>
  <c r="AK224" i="5" s="1"/>
  <c r="J92" i="8" s="1"/>
  <c r="J93" i="8"/>
  <c r="P48" i="5"/>
  <c r="Y66" i="5"/>
  <c r="AA66" i="5" s="1"/>
  <c r="W64" i="5"/>
  <c r="V64" i="5"/>
  <c r="AM64" i="5"/>
  <c r="AN64" i="5" s="1"/>
  <c r="S62" i="5"/>
  <c r="X64" i="5"/>
  <c r="AF52" i="5"/>
  <c r="AK52" i="5" s="1"/>
  <c r="T50" i="5"/>
  <c r="P43" i="8"/>
  <c r="P42" i="8"/>
  <c r="AG46" i="1"/>
  <c r="BO46" i="1" s="1"/>
  <c r="Z46" i="1"/>
  <c r="Y46" i="1"/>
  <c r="BN46" i="1" s="1"/>
  <c r="T44" i="7"/>
  <c r="BT44" i="1"/>
  <c r="J42" i="8"/>
  <c r="J43" i="8"/>
  <c r="P36" i="7"/>
  <c r="T56" i="7"/>
  <c r="BT56" i="1"/>
  <c r="J54" i="8"/>
  <c r="J55" i="8"/>
  <c r="Y58" i="1"/>
  <c r="BN58" i="1" s="1"/>
  <c r="AG58" i="1"/>
  <c r="BO58" i="1" s="1"/>
  <c r="Z58" i="1"/>
  <c r="P55" i="8"/>
  <c r="P54" i="8"/>
  <c r="Z22" i="7"/>
  <c r="P35" i="8"/>
  <c r="P34" i="8"/>
  <c r="AA20" i="7"/>
  <c r="J35" i="8"/>
  <c r="J34" i="8"/>
  <c r="Y38" i="1"/>
  <c r="BN38" i="1" s="1"/>
  <c r="AG38" i="1"/>
  <c r="BO38" i="1" s="1"/>
  <c r="Z38" i="1"/>
  <c r="BT36" i="1"/>
  <c r="T36" i="7"/>
  <c r="AA210" i="5"/>
  <c r="Y212" i="5"/>
  <c r="AA22" i="7" s="1"/>
  <c r="S216" i="5"/>
  <c r="X214" i="5"/>
  <c r="W214" i="5"/>
  <c r="V214" i="5"/>
  <c r="AM214" i="5"/>
  <c r="AN214" i="5" s="1"/>
  <c r="S299" i="5"/>
  <c r="AM297" i="5"/>
  <c r="AN297" i="5" s="1"/>
  <c r="V297" i="5"/>
  <c r="Z167" i="7" s="1"/>
  <c r="W297" i="5"/>
  <c r="AA167" i="7" s="1"/>
  <c r="AK250" i="5"/>
  <c r="T254" i="5"/>
  <c r="P256" i="5"/>
  <c r="BT120" i="1"/>
  <c r="P119" i="8"/>
  <c r="P118" i="8"/>
  <c r="J119" i="8"/>
  <c r="J118" i="8"/>
  <c r="AG122" i="1"/>
  <c r="BO122" i="1" s="1"/>
  <c r="AF252" i="5"/>
  <c r="P120" i="7" s="1"/>
  <c r="Y122" i="1"/>
  <c r="BN122" i="1" s="1"/>
  <c r="T122" i="7" s="1"/>
  <c r="Z122" i="1"/>
  <c r="Z56" i="5"/>
  <c r="AC56" i="5" s="1"/>
  <c r="AA69" i="5"/>
  <c r="Z67" i="5"/>
  <c r="S301" i="5" l="1"/>
  <c r="T92" i="7"/>
  <c r="BT92" i="1"/>
  <c r="Y94" i="1"/>
  <c r="BN94" i="1" s="1"/>
  <c r="T94" i="7" s="1"/>
  <c r="Z94" i="1"/>
  <c r="AG94" i="1"/>
  <c r="BO94" i="1" s="1"/>
  <c r="AF226" i="5"/>
  <c r="AK226" i="5" s="1"/>
  <c r="J91" i="8"/>
  <c r="J90" i="8"/>
  <c r="T228" i="5"/>
  <c r="P230" i="5"/>
  <c r="P46" i="5"/>
  <c r="Y64" i="5"/>
  <c r="AA64" i="5" s="1"/>
  <c r="W62" i="5"/>
  <c r="X62" i="5"/>
  <c r="AM62" i="5"/>
  <c r="AN62" i="5" s="1"/>
  <c r="S60" i="5"/>
  <c r="V62" i="5"/>
  <c r="AF50" i="5"/>
  <c r="AK50" i="5" s="1"/>
  <c r="T48" i="5"/>
  <c r="P45" i="8"/>
  <c r="P44" i="8"/>
  <c r="J44" i="8"/>
  <c r="J45" i="8"/>
  <c r="BT46" i="1"/>
  <c r="T46" i="7"/>
  <c r="BT58" i="1"/>
  <c r="T58" i="7"/>
  <c r="P38" i="7"/>
  <c r="J57" i="8"/>
  <c r="J56" i="8"/>
  <c r="P56" i="8"/>
  <c r="P57" i="8"/>
  <c r="BT38" i="1"/>
  <c r="T38" i="7"/>
  <c r="Z24" i="7"/>
  <c r="J36" i="8"/>
  <c r="J37" i="8"/>
  <c r="P36" i="8"/>
  <c r="P37" i="8"/>
  <c r="AA212" i="5"/>
  <c r="AM299" i="5"/>
  <c r="AN299" i="5" s="1"/>
  <c r="V299" i="5"/>
  <c r="Z169" i="7" s="1"/>
  <c r="W299" i="5"/>
  <c r="AA169" i="7" s="1"/>
  <c r="Y214" i="5"/>
  <c r="AA24" i="7" s="1"/>
  <c r="S218" i="5"/>
  <c r="V216" i="5"/>
  <c r="W216" i="5"/>
  <c r="AM216" i="5"/>
  <c r="AN216" i="5" s="1"/>
  <c r="X216" i="5"/>
  <c r="P258" i="5"/>
  <c r="T256" i="5"/>
  <c r="BT122" i="1"/>
  <c r="AG124" i="1"/>
  <c r="BO124" i="1" s="1"/>
  <c r="Z124" i="1"/>
  <c r="AF254" i="5"/>
  <c r="P122" i="7" s="1"/>
  <c r="Y124" i="1"/>
  <c r="BN124" i="1" s="1"/>
  <c r="T124" i="7" s="1"/>
  <c r="AK252" i="5"/>
  <c r="P120" i="8"/>
  <c r="P121" i="8"/>
  <c r="J121" i="8"/>
  <c r="J120" i="8"/>
  <c r="AA67" i="5"/>
  <c r="Z54" i="5"/>
  <c r="AC54" i="5" s="1"/>
  <c r="Z65" i="5"/>
  <c r="BT94" i="1" l="1"/>
  <c r="V301" i="5"/>
  <c r="W301" i="5"/>
  <c r="P232" i="5"/>
  <c r="T230" i="5"/>
  <c r="J95" i="8"/>
  <c r="J94" i="8"/>
  <c r="P93" i="8"/>
  <c r="P92" i="8"/>
  <c r="Z96" i="1"/>
  <c r="Y96" i="1"/>
  <c r="BN96" i="1" s="1"/>
  <c r="AG96" i="1"/>
  <c r="BO96" i="1" s="1"/>
  <c r="AF228" i="5"/>
  <c r="AK228" i="5" s="1"/>
  <c r="J97" i="8" s="1"/>
  <c r="P94" i="8"/>
  <c r="P95" i="8"/>
  <c r="J96" i="8"/>
  <c r="Y62" i="5"/>
  <c r="AA62" i="5" s="1"/>
  <c r="AM60" i="5"/>
  <c r="AN60" i="5" s="1"/>
  <c r="X60" i="5"/>
  <c r="W60" i="5"/>
  <c r="S58" i="5"/>
  <c r="V60" i="5"/>
  <c r="P44" i="5"/>
  <c r="AF48" i="5"/>
  <c r="AK48" i="5" s="1"/>
  <c r="T46" i="5"/>
  <c r="J46" i="8"/>
  <c r="J47" i="8"/>
  <c r="P46" i="8"/>
  <c r="P47" i="8"/>
  <c r="P40" i="7"/>
  <c r="J59" i="8"/>
  <c r="J58" i="8"/>
  <c r="P59" i="8"/>
  <c r="P58" i="8"/>
  <c r="Z26" i="7"/>
  <c r="J38" i="8"/>
  <c r="J39" i="8"/>
  <c r="P38" i="8"/>
  <c r="P39" i="8"/>
  <c r="AA214" i="5"/>
  <c r="Y216" i="5"/>
  <c r="AA26" i="7" s="1"/>
  <c r="S220" i="5"/>
  <c r="X218" i="5"/>
  <c r="AM218" i="5"/>
  <c r="AN218" i="5" s="1"/>
  <c r="V218" i="5"/>
  <c r="W218" i="5"/>
  <c r="AK254" i="5"/>
  <c r="P122" i="8"/>
  <c r="P123" i="8"/>
  <c r="J123" i="8"/>
  <c r="J122" i="8"/>
  <c r="AF256" i="5"/>
  <c r="P124" i="7" s="1"/>
  <c r="AG126" i="1"/>
  <c r="BO126" i="1" s="1"/>
  <c r="Z126" i="1"/>
  <c r="Y126" i="1"/>
  <c r="BN126" i="1" s="1"/>
  <c r="T126" i="7" s="1"/>
  <c r="BT124" i="1"/>
  <c r="P260" i="5"/>
  <c r="T258" i="5"/>
  <c r="Z52" i="5"/>
  <c r="AC52" i="5" s="1"/>
  <c r="Z63" i="5"/>
  <c r="AA65" i="5"/>
  <c r="BT96" i="1" l="1"/>
  <c r="T96" i="7"/>
  <c r="Y98" i="1"/>
  <c r="BN98" i="1" s="1"/>
  <c r="T98" i="7" s="1"/>
  <c r="Z98" i="1"/>
  <c r="AG98" i="1"/>
  <c r="BO98" i="1" s="1"/>
  <c r="AF230" i="5"/>
  <c r="AK230" i="5" s="1"/>
  <c r="J99" i="8" s="1"/>
  <c r="P234" i="5"/>
  <c r="T232" i="5"/>
  <c r="Y60" i="5"/>
  <c r="J98" i="8"/>
  <c r="AA60" i="5"/>
  <c r="W58" i="5"/>
  <c r="V58" i="5"/>
  <c r="AM58" i="5"/>
  <c r="AN58" i="5" s="1"/>
  <c r="S56" i="5"/>
  <c r="X58" i="5"/>
  <c r="AF46" i="5"/>
  <c r="AK46" i="5" s="1"/>
  <c r="T44" i="5"/>
  <c r="P42" i="7"/>
  <c r="P62" i="7"/>
  <c r="Z28" i="7"/>
  <c r="AA216" i="5"/>
  <c r="S222" i="5"/>
  <c r="W220" i="5"/>
  <c r="AM220" i="5"/>
  <c r="AN220" i="5" s="1"/>
  <c r="V220" i="5"/>
  <c r="X220" i="5"/>
  <c r="Z30" i="7" s="1"/>
  <c r="Y218" i="5"/>
  <c r="AA28" i="7" s="1"/>
  <c r="AG128" i="1"/>
  <c r="BO128" i="1" s="1"/>
  <c r="Z128" i="1"/>
  <c r="AF258" i="5"/>
  <c r="P126" i="7" s="1"/>
  <c r="Y128" i="1"/>
  <c r="BN128" i="1" s="1"/>
  <c r="T128" i="7" s="1"/>
  <c r="AK256" i="5"/>
  <c r="P262" i="5"/>
  <c r="T260" i="5"/>
  <c r="BT126" i="1"/>
  <c r="P125" i="8"/>
  <c r="P124" i="8"/>
  <c r="J125" i="8"/>
  <c r="J124" i="8"/>
  <c r="Z50" i="5"/>
  <c r="AC50" i="5" s="1"/>
  <c r="AA63" i="5"/>
  <c r="Z61" i="5"/>
  <c r="AC61" i="5" s="1"/>
  <c r="AC63" i="5" s="1"/>
  <c r="AC65" i="5" s="1"/>
  <c r="AC67" i="5" s="1"/>
  <c r="AC69" i="5" s="1"/>
  <c r="AC71" i="5" s="1"/>
  <c r="AC73" i="5" s="1"/>
  <c r="AC75" i="5" s="1"/>
  <c r="AC77" i="5" s="1"/>
  <c r="AC79" i="5" s="1"/>
  <c r="AC81" i="5" s="1"/>
  <c r="AC83" i="5" s="1"/>
  <c r="AC85" i="5" s="1"/>
  <c r="AC87" i="5" s="1"/>
  <c r="AC89" i="5" s="1"/>
  <c r="AC91" i="5" s="1"/>
  <c r="AC93" i="5" s="1"/>
  <c r="AC95" i="5" s="1"/>
  <c r="AC97" i="5" s="1"/>
  <c r="AC99" i="5" s="1"/>
  <c r="AC101" i="5" s="1"/>
  <c r="AC103" i="5" s="1"/>
  <c r="AC105" i="5" s="1"/>
  <c r="AC107" i="5" s="1"/>
  <c r="AC109" i="5" s="1"/>
  <c r="AC111" i="5" s="1"/>
  <c r="AC113" i="5" s="1"/>
  <c r="AC115" i="5" s="1"/>
  <c r="AC117" i="5" s="1"/>
  <c r="AC119" i="5" s="1"/>
  <c r="AC121" i="5" s="1"/>
  <c r="AC123" i="5" s="1"/>
  <c r="AC125" i="5" s="1"/>
  <c r="AC127" i="5" s="1"/>
  <c r="AC129" i="5" s="1"/>
  <c r="AC131" i="5" s="1"/>
  <c r="AC133" i="5" s="1"/>
  <c r="AC135" i="5" s="1"/>
  <c r="AC137" i="5" s="1"/>
  <c r="AC139" i="5" s="1"/>
  <c r="AC141" i="5" s="1"/>
  <c r="AC143" i="5" s="1"/>
  <c r="AC145" i="5" s="1"/>
  <c r="AC147" i="5" s="1"/>
  <c r="AC149" i="5" s="1"/>
  <c r="AC151" i="5" s="1"/>
  <c r="AC153" i="5" s="1"/>
  <c r="AC155" i="5" s="1"/>
  <c r="AC157" i="5" s="1"/>
  <c r="AC159" i="5" s="1"/>
  <c r="AC161" i="5" s="1"/>
  <c r="AC163" i="5" s="1"/>
  <c r="AC165" i="5" s="1"/>
  <c r="AC167" i="5" s="1"/>
  <c r="AC169" i="5" s="1"/>
  <c r="AC171" i="5" s="1"/>
  <c r="AC173" i="5" s="1"/>
  <c r="AC175" i="5" s="1"/>
  <c r="AC177" i="5" s="1"/>
  <c r="AC179" i="5" s="1"/>
  <c r="AC181" i="5" s="1"/>
  <c r="AC183" i="5" s="1"/>
  <c r="AC185" i="5" s="1"/>
  <c r="AC187" i="5" s="1"/>
  <c r="AC189" i="5" s="1"/>
  <c r="AC191" i="5" s="1"/>
  <c r="AC193" i="5" s="1"/>
  <c r="AC195" i="5" s="1"/>
  <c r="AC197" i="5" s="1"/>
  <c r="AC199" i="5" s="1"/>
  <c r="AC201" i="5" s="1"/>
  <c r="AC203" i="5" s="1"/>
  <c r="AC205" i="5" s="1"/>
  <c r="AC207" i="5" s="1"/>
  <c r="AC209" i="5" s="1"/>
  <c r="AC211" i="5" s="1"/>
  <c r="AC213" i="5" s="1"/>
  <c r="AC215" i="5" s="1"/>
  <c r="AC217" i="5" s="1"/>
  <c r="AC219" i="5" s="1"/>
  <c r="AC221" i="5" s="1"/>
  <c r="AC223" i="5" s="1"/>
  <c r="AC225" i="5" s="1"/>
  <c r="AC227" i="5" s="1"/>
  <c r="AC229" i="5" s="1"/>
  <c r="AC231" i="5" s="1"/>
  <c r="AC233" i="5" s="1"/>
  <c r="AC235" i="5" s="1"/>
  <c r="AC237" i="5" s="1"/>
  <c r="AC239" i="5" s="1"/>
  <c r="AC241" i="5" s="1"/>
  <c r="AC243" i="5" s="1"/>
  <c r="AC245" i="5" s="1"/>
  <c r="AC247" i="5" s="1"/>
  <c r="AC249" i="5" s="1"/>
  <c r="AC251" i="5" s="1"/>
  <c r="AC253" i="5" s="1"/>
  <c r="AC255" i="5" s="1"/>
  <c r="AC257" i="5" s="1"/>
  <c r="AC259" i="5" s="1"/>
  <c r="AC261" i="5" s="1"/>
  <c r="AC263" i="5" s="1"/>
  <c r="AC265" i="5" s="1"/>
  <c r="AC267" i="5" s="1"/>
  <c r="AC269" i="5" s="1"/>
  <c r="AC271" i="5" s="1"/>
  <c r="AC273" i="5" s="1"/>
  <c r="AC275" i="5" s="1"/>
  <c r="AC277" i="5" s="1"/>
  <c r="AC279" i="5" s="1"/>
  <c r="AC281" i="5" s="1"/>
  <c r="AC283" i="5" s="1"/>
  <c r="AC285" i="5" s="1"/>
  <c r="AC287" i="5" s="1"/>
  <c r="AC289" i="5" s="1"/>
  <c r="AC291" i="5" s="1"/>
  <c r="AC293" i="5" s="1"/>
  <c r="AC295" i="5" s="1"/>
  <c r="AC297" i="5" s="1"/>
  <c r="AC299" i="5" s="1"/>
  <c r="AG100" i="1" l="1"/>
  <c r="BO100" i="1" s="1"/>
  <c r="Y100" i="1"/>
  <c r="BN100" i="1" s="1"/>
  <c r="AF232" i="5"/>
  <c r="AK232" i="5" s="1"/>
  <c r="J100" i="8" s="1"/>
  <c r="Z100" i="1"/>
  <c r="P236" i="5"/>
  <c r="T234" i="5"/>
  <c r="BT98" i="1"/>
  <c r="P96" i="8"/>
  <c r="P97" i="8"/>
  <c r="J101" i="8"/>
  <c r="Y58" i="5"/>
  <c r="AA58" i="5" s="1"/>
  <c r="W56" i="5"/>
  <c r="X56" i="5"/>
  <c r="AM56" i="5"/>
  <c r="AN56" i="5" s="1"/>
  <c r="S54" i="5"/>
  <c r="V56" i="5"/>
  <c r="AF44" i="5"/>
  <c r="AK44" i="5" s="1"/>
  <c r="P44" i="7"/>
  <c r="P64" i="7"/>
  <c r="Y220" i="5"/>
  <c r="AA30" i="7" s="1"/>
  <c r="AA218" i="5"/>
  <c r="S224" i="5"/>
  <c r="AM222" i="5"/>
  <c r="AN222" i="5" s="1"/>
  <c r="X222" i="5"/>
  <c r="Z32" i="7" s="1"/>
  <c r="W222" i="5"/>
  <c r="V222" i="5"/>
  <c r="BT128" i="1"/>
  <c r="P126" i="8"/>
  <c r="P127" i="8"/>
  <c r="J126" i="8"/>
  <c r="J127" i="8"/>
  <c r="AK258" i="5"/>
  <c r="AG130" i="1"/>
  <c r="BO130" i="1" s="1"/>
  <c r="AF260" i="5"/>
  <c r="P128" i="7" s="1"/>
  <c r="Y130" i="1"/>
  <c r="BN130" i="1" s="1"/>
  <c r="T130" i="7" s="1"/>
  <c r="Z130" i="1"/>
  <c r="P264" i="5"/>
  <c r="T262" i="5"/>
  <c r="X284" i="5"/>
  <c r="Z48" i="5"/>
  <c r="AC48" i="5" s="1"/>
  <c r="Z59" i="5"/>
  <c r="AC59" i="5" s="1"/>
  <c r="AA61" i="5"/>
  <c r="P99" i="8" l="1"/>
  <c r="P98" i="8"/>
  <c r="Z102" i="1"/>
  <c r="Y102" i="1"/>
  <c r="BN102" i="1" s="1"/>
  <c r="AF234" i="5"/>
  <c r="AK234" i="5" s="1"/>
  <c r="J103" i="8" s="1"/>
  <c r="AG102" i="1"/>
  <c r="BO102" i="1" s="1"/>
  <c r="T100" i="7"/>
  <c r="BT100" i="1"/>
  <c r="P238" i="5"/>
  <c r="T236" i="5"/>
  <c r="J102" i="8"/>
  <c r="Y56" i="5"/>
  <c r="AA56" i="5" s="1"/>
  <c r="W54" i="5"/>
  <c r="X54" i="5"/>
  <c r="AM54" i="5"/>
  <c r="AN54" i="5" s="1"/>
  <c r="S52" i="5"/>
  <c r="V54" i="5"/>
  <c r="P46" i="7"/>
  <c r="P66" i="7"/>
  <c r="AA220" i="5"/>
  <c r="Y222" i="5"/>
  <c r="AA32" i="7" s="1"/>
  <c r="S226" i="5"/>
  <c r="AM224" i="5"/>
  <c r="AN224" i="5" s="1"/>
  <c r="X224" i="5"/>
  <c r="Z34" i="7" s="1"/>
  <c r="W224" i="5"/>
  <c r="V224" i="5"/>
  <c r="AG132" i="1"/>
  <c r="BO132" i="1" s="1"/>
  <c r="Y132" i="1"/>
  <c r="BN132" i="1" s="1"/>
  <c r="T132" i="7" s="1"/>
  <c r="Z132" i="1"/>
  <c r="AF262" i="5"/>
  <c r="BT130" i="1"/>
  <c r="J128" i="8"/>
  <c r="J129" i="8"/>
  <c r="P266" i="5"/>
  <c r="T264" i="5"/>
  <c r="P130" i="7"/>
  <c r="AK260" i="5"/>
  <c r="P128" i="8"/>
  <c r="P129" i="8"/>
  <c r="Y284" i="5"/>
  <c r="AA284" i="5" s="1"/>
  <c r="X286" i="5"/>
  <c r="Z46" i="5"/>
  <c r="AC46" i="5" s="1"/>
  <c r="Z57" i="5"/>
  <c r="AC57" i="5" s="1"/>
  <c r="AA59" i="5"/>
  <c r="P100" i="8" l="1"/>
  <c r="P101" i="8"/>
  <c r="BT102" i="1"/>
  <c r="T102" i="7"/>
  <c r="AG104" i="1"/>
  <c r="BO104" i="1" s="1"/>
  <c r="Y104" i="1"/>
  <c r="BN104" i="1" s="1"/>
  <c r="AF236" i="5"/>
  <c r="Z104" i="1"/>
  <c r="P240" i="5"/>
  <c r="T238" i="5"/>
  <c r="Y54" i="5"/>
  <c r="AA54" i="5" s="1"/>
  <c r="W52" i="5"/>
  <c r="V52" i="5"/>
  <c r="AM52" i="5"/>
  <c r="AN52" i="5" s="1"/>
  <c r="S50" i="5"/>
  <c r="X52" i="5"/>
  <c r="P48" i="7"/>
  <c r="P68" i="7"/>
  <c r="AA222" i="5"/>
  <c r="Z112" i="1"/>
  <c r="Y112" i="1"/>
  <c r="BN112" i="1" s="1"/>
  <c r="AG112" i="1"/>
  <c r="BO112" i="1" s="1"/>
  <c r="X226" i="5"/>
  <c r="S228" i="5"/>
  <c r="Y224" i="5"/>
  <c r="AA34" i="7" s="1"/>
  <c r="V226" i="5"/>
  <c r="AM226" i="5"/>
  <c r="AN226" i="5" s="1"/>
  <c r="W226" i="5"/>
  <c r="AK262" i="5"/>
  <c r="P132" i="7"/>
  <c r="AF264" i="5"/>
  <c r="AG134" i="1"/>
  <c r="BO134" i="1" s="1"/>
  <c r="Y134" i="1"/>
  <c r="BN134" i="1" s="1"/>
  <c r="T134" i="7" s="1"/>
  <c r="Z134" i="1"/>
  <c r="P131" i="8"/>
  <c r="P130" i="8"/>
  <c r="J130" i="8"/>
  <c r="J131" i="8"/>
  <c r="T266" i="5"/>
  <c r="P268" i="5"/>
  <c r="BT132" i="1"/>
  <c r="Y286" i="5"/>
  <c r="X288" i="5"/>
  <c r="Y288" i="5" s="1"/>
  <c r="AA288" i="5" s="1"/>
  <c r="Z44" i="5"/>
  <c r="AC44" i="5" s="1"/>
  <c r="Z55" i="5"/>
  <c r="AC55" i="5" s="1"/>
  <c r="AA57" i="5"/>
  <c r="P54" i="7" l="1"/>
  <c r="AK236" i="5"/>
  <c r="P102" i="8"/>
  <c r="P103" i="8"/>
  <c r="AG106" i="1"/>
  <c r="BO106" i="1" s="1"/>
  <c r="Y106" i="1"/>
  <c r="BN106" i="1" s="1"/>
  <c r="Z106" i="1"/>
  <c r="AF238" i="5"/>
  <c r="BT104" i="1"/>
  <c r="T104" i="7"/>
  <c r="P242" i="5"/>
  <c r="T242" i="5" s="1"/>
  <c r="T240" i="5"/>
  <c r="Y52" i="5"/>
  <c r="AA52" i="5" s="1"/>
  <c r="W50" i="5"/>
  <c r="V50" i="5"/>
  <c r="AM50" i="5"/>
  <c r="AN50" i="5" s="1"/>
  <c r="S48" i="5"/>
  <c r="X50" i="5"/>
  <c r="P52" i="7"/>
  <c r="P60" i="7"/>
  <c r="P74" i="7"/>
  <c r="P50" i="7"/>
  <c r="P70" i="7"/>
  <c r="P72" i="7"/>
  <c r="Y226" i="5"/>
  <c r="AA36" i="7" s="1"/>
  <c r="Z36" i="7"/>
  <c r="T112" i="7"/>
  <c r="BT112" i="1"/>
  <c r="X228" i="5"/>
  <c r="S230" i="5"/>
  <c r="V228" i="5"/>
  <c r="AM228" i="5"/>
  <c r="AN228" i="5" s="1"/>
  <c r="W228" i="5"/>
  <c r="AA224" i="5"/>
  <c r="AK264" i="5"/>
  <c r="AF266" i="5"/>
  <c r="P134" i="7" s="1"/>
  <c r="Z136" i="1"/>
  <c r="AG136" i="1"/>
  <c r="BO136" i="1" s="1"/>
  <c r="Y136" i="1"/>
  <c r="BN136" i="1" s="1"/>
  <c r="T136" i="7" s="1"/>
  <c r="P133" i="8"/>
  <c r="P132" i="8"/>
  <c r="T268" i="5"/>
  <c r="P270" i="5"/>
  <c r="BT134" i="1"/>
  <c r="J133" i="8"/>
  <c r="J132" i="8"/>
  <c r="AA286" i="5"/>
  <c r="X290" i="5"/>
  <c r="Y290" i="5" s="1"/>
  <c r="Z42" i="5"/>
  <c r="AA55" i="5"/>
  <c r="Z53" i="5"/>
  <c r="AC53" i="5" s="1"/>
  <c r="Y108" i="1" l="1"/>
  <c r="BN108" i="1" s="1"/>
  <c r="T108" i="7" s="1"/>
  <c r="AG108" i="1"/>
  <c r="BO108" i="1" s="1"/>
  <c r="AF240" i="5"/>
  <c r="Z108" i="1"/>
  <c r="P56" i="7"/>
  <c r="AK238" i="5"/>
  <c r="Y110" i="1"/>
  <c r="BN110" i="1" s="1"/>
  <c r="Z110" i="1"/>
  <c r="AF242" i="5"/>
  <c r="AK242" i="5" s="1"/>
  <c r="AG110" i="1"/>
  <c r="BO110" i="1" s="1"/>
  <c r="T106" i="7"/>
  <c r="BT106" i="1"/>
  <c r="J104" i="8"/>
  <c r="J105" i="8"/>
  <c r="P105" i="8"/>
  <c r="P104" i="8"/>
  <c r="Y50" i="5"/>
  <c r="AA50" i="5" s="1"/>
  <c r="W48" i="5"/>
  <c r="S46" i="5"/>
  <c r="V48" i="5"/>
  <c r="X48" i="5"/>
  <c r="AM48" i="5"/>
  <c r="AN48" i="5" s="1"/>
  <c r="P76" i="7"/>
  <c r="Y228" i="5"/>
  <c r="AA38" i="7" s="1"/>
  <c r="Z38" i="7"/>
  <c r="AA226" i="5"/>
  <c r="J111" i="8"/>
  <c r="J110" i="8"/>
  <c r="P113" i="8"/>
  <c r="P112" i="8"/>
  <c r="S232" i="5"/>
  <c r="X230" i="5"/>
  <c r="J112" i="8"/>
  <c r="J113" i="8"/>
  <c r="W230" i="5"/>
  <c r="V230" i="5"/>
  <c r="AM230" i="5"/>
  <c r="AN230" i="5" s="1"/>
  <c r="BT136" i="1"/>
  <c r="P137" i="8" s="1"/>
  <c r="P135" i="8"/>
  <c r="P134" i="8"/>
  <c r="T270" i="5"/>
  <c r="P272" i="5"/>
  <c r="AK266" i="5"/>
  <c r="AF268" i="5"/>
  <c r="P136" i="7" s="1"/>
  <c r="Z138" i="1"/>
  <c r="AG138" i="1"/>
  <c r="BO138" i="1" s="1"/>
  <c r="Y138" i="1"/>
  <c r="BN138" i="1" s="1"/>
  <c r="T138" i="7" s="1"/>
  <c r="J134" i="8"/>
  <c r="J135" i="8"/>
  <c r="AA290" i="5"/>
  <c r="AC42" i="5"/>
  <c r="Z40" i="5"/>
  <c r="AA42" i="5"/>
  <c r="Z51" i="5"/>
  <c r="AC51" i="5" s="1"/>
  <c r="AA53" i="5"/>
  <c r="P106" i="8" l="1"/>
  <c r="P107" i="8"/>
  <c r="T110" i="7"/>
  <c r="BT110" i="1"/>
  <c r="P58" i="7"/>
  <c r="AK240" i="5"/>
  <c r="J107" i="8"/>
  <c r="J106" i="8"/>
  <c r="BT108" i="1"/>
  <c r="W46" i="5"/>
  <c r="S44" i="5"/>
  <c r="X46" i="5"/>
  <c r="V46" i="5"/>
  <c r="AM46" i="5"/>
  <c r="AN46" i="5" s="1"/>
  <c r="Y48" i="5"/>
  <c r="AA48" i="5" s="1"/>
  <c r="P78" i="7"/>
  <c r="Y230" i="5"/>
  <c r="AA40" i="7" s="1"/>
  <c r="Z40" i="7"/>
  <c r="AA228" i="5"/>
  <c r="P136" i="8"/>
  <c r="X232" i="5"/>
  <c r="S234" i="5"/>
  <c r="V232" i="5"/>
  <c r="AM232" i="5"/>
  <c r="AN232" i="5" s="1"/>
  <c r="W232" i="5"/>
  <c r="AK268" i="5"/>
  <c r="P274" i="5"/>
  <c r="T272" i="5"/>
  <c r="BT138" i="1"/>
  <c r="J137" i="8"/>
  <c r="J136" i="8"/>
  <c r="AF270" i="5"/>
  <c r="P138" i="7" s="1"/>
  <c r="Z140" i="1"/>
  <c r="AG140" i="1"/>
  <c r="BO140" i="1" s="1"/>
  <c r="Y140" i="1"/>
  <c r="BN140" i="1" s="1"/>
  <c r="T140" i="7" s="1"/>
  <c r="AC40" i="5"/>
  <c r="AA40" i="5"/>
  <c r="Z38" i="5"/>
  <c r="AA51" i="5"/>
  <c r="Z49" i="5"/>
  <c r="AC49" i="5" s="1"/>
  <c r="P110" i="8" l="1"/>
  <c r="P111" i="8"/>
  <c r="J109" i="8"/>
  <c r="J108" i="8"/>
  <c r="P108" i="8"/>
  <c r="P109" i="8"/>
  <c r="AA230" i="5"/>
  <c r="Y46" i="5"/>
  <c r="AA46" i="5" s="1"/>
  <c r="W44" i="5"/>
  <c r="AM44" i="5"/>
  <c r="AN44" i="5" s="1"/>
  <c r="X44" i="5"/>
  <c r="V44" i="5"/>
  <c r="P80" i="7"/>
  <c r="Y232" i="5"/>
  <c r="AA42" i="7" s="1"/>
  <c r="Z42" i="7"/>
  <c r="X234" i="5"/>
  <c r="S236" i="5"/>
  <c r="AM234" i="5"/>
  <c r="AN234" i="5" s="1"/>
  <c r="V234" i="5"/>
  <c r="W234" i="5"/>
  <c r="AK270" i="5"/>
  <c r="AF272" i="5"/>
  <c r="P140" i="7" s="1"/>
  <c r="Y142" i="1"/>
  <c r="BN142" i="1" s="1"/>
  <c r="T142" i="7" s="1"/>
  <c r="Z142" i="1"/>
  <c r="AG142" i="1"/>
  <c r="BO142" i="1" s="1"/>
  <c r="BT140" i="1"/>
  <c r="P276" i="5"/>
  <c r="T274" i="5"/>
  <c r="P139" i="8"/>
  <c r="P138" i="8"/>
  <c r="J138" i="8"/>
  <c r="J139" i="8"/>
  <c r="AC38" i="5"/>
  <c r="AA38" i="5"/>
  <c r="Z36" i="5"/>
  <c r="AA49" i="5"/>
  <c r="Z47" i="5"/>
  <c r="AC47" i="5" s="1"/>
  <c r="Y44" i="5" l="1"/>
  <c r="AA44" i="5" s="1"/>
  <c r="P82" i="7"/>
  <c r="P102" i="7"/>
  <c r="AA232" i="5"/>
  <c r="Y234" i="5"/>
  <c r="AA44" i="7" s="1"/>
  <c r="Z44" i="7"/>
  <c r="X236" i="5"/>
  <c r="S238" i="5"/>
  <c r="AM236" i="5"/>
  <c r="AN236" i="5" s="1"/>
  <c r="W236" i="5"/>
  <c r="V236" i="5"/>
  <c r="P141" i="8"/>
  <c r="P140" i="8"/>
  <c r="BT142" i="1"/>
  <c r="AF274" i="5"/>
  <c r="P142" i="7" s="1"/>
  <c r="Y144" i="1"/>
  <c r="BN144" i="1" s="1"/>
  <c r="T144" i="7" s="1"/>
  <c r="AG144" i="1"/>
  <c r="BO144" i="1" s="1"/>
  <c r="Z144" i="1"/>
  <c r="AK272" i="5"/>
  <c r="P278" i="5"/>
  <c r="T276" i="5"/>
  <c r="J140" i="8"/>
  <c r="J141" i="8"/>
  <c r="AC36" i="5"/>
  <c r="AA36" i="5"/>
  <c r="Z34" i="5"/>
  <c r="Z45" i="5"/>
  <c r="AC45" i="5" s="1"/>
  <c r="AA47" i="5"/>
  <c r="P84" i="7" l="1"/>
  <c r="P104" i="7"/>
  <c r="AA234" i="5"/>
  <c r="Y236" i="5"/>
  <c r="AA46" i="7" s="1"/>
  <c r="Z46" i="7"/>
  <c r="S240" i="5"/>
  <c r="X238" i="5"/>
  <c r="V238" i="5"/>
  <c r="W238" i="5"/>
  <c r="AM238" i="5"/>
  <c r="AN238" i="5" s="1"/>
  <c r="P280" i="5"/>
  <c r="T278" i="5"/>
  <c r="P143" i="8"/>
  <c r="P142" i="8"/>
  <c r="J142" i="8"/>
  <c r="J143" i="8"/>
  <c r="BT144" i="1"/>
  <c r="AF276" i="5"/>
  <c r="P94" i="7" s="1"/>
  <c r="Y146" i="1"/>
  <c r="BN146" i="1" s="1"/>
  <c r="T146" i="7" s="1"/>
  <c r="AG146" i="1"/>
  <c r="BO146" i="1" s="1"/>
  <c r="Z146" i="1"/>
  <c r="AK274" i="5"/>
  <c r="AC34" i="5"/>
  <c r="Z32" i="5"/>
  <c r="AA34" i="5"/>
  <c r="Z43" i="5"/>
  <c r="AC43" i="5" s="1"/>
  <c r="AA45" i="5"/>
  <c r="P144" i="7" l="1"/>
  <c r="P86" i="7"/>
  <c r="P106" i="7"/>
  <c r="AA236" i="5"/>
  <c r="Y238" i="5"/>
  <c r="AA48" i="7" s="1"/>
  <c r="Z48" i="7"/>
  <c r="S242" i="5"/>
  <c r="X240" i="5"/>
  <c r="AM240" i="5"/>
  <c r="AN240" i="5" s="1"/>
  <c r="W240" i="5"/>
  <c r="V240" i="5"/>
  <c r="BT146" i="1"/>
  <c r="P147" i="8" s="1"/>
  <c r="P144" i="8"/>
  <c r="P145" i="8"/>
  <c r="J145" i="8"/>
  <c r="J144" i="8"/>
  <c r="AF278" i="5"/>
  <c r="P96" i="7" s="1"/>
  <c r="Z148" i="1"/>
  <c r="AG148" i="1"/>
  <c r="BO148" i="1" s="1"/>
  <c r="Y148" i="1"/>
  <c r="BN148" i="1" s="1"/>
  <c r="T148" i="7" s="1"/>
  <c r="AK276" i="5"/>
  <c r="P282" i="5"/>
  <c r="T282" i="5" s="1"/>
  <c r="T280" i="5"/>
  <c r="AC32" i="5"/>
  <c r="Z30" i="5"/>
  <c r="AA32" i="5"/>
  <c r="Z41" i="5"/>
  <c r="AC41" i="5" s="1"/>
  <c r="AA43" i="5"/>
  <c r="P146" i="7" l="1"/>
  <c r="P88" i="7"/>
  <c r="P108" i="7"/>
  <c r="AA238" i="5"/>
  <c r="Y240" i="5"/>
  <c r="AA50" i="7" s="1"/>
  <c r="Z50" i="7"/>
  <c r="P146" i="8"/>
  <c r="S244" i="5"/>
  <c r="X242" i="5"/>
  <c r="W242" i="5"/>
  <c r="AM242" i="5"/>
  <c r="AN242" i="5" s="1"/>
  <c r="V242" i="5"/>
  <c r="J146" i="8"/>
  <c r="J147" i="8"/>
  <c r="AF280" i="5"/>
  <c r="P148" i="7" s="1"/>
  <c r="Z150" i="1"/>
  <c r="Y150" i="1"/>
  <c r="BN150" i="1" s="1"/>
  <c r="T150" i="7" s="1"/>
  <c r="AG150" i="1"/>
  <c r="BO150" i="1" s="1"/>
  <c r="AK278" i="5"/>
  <c r="AF282" i="5"/>
  <c r="Y152" i="1"/>
  <c r="BN152" i="1" s="1"/>
  <c r="T152" i="7" s="1"/>
  <c r="AG152" i="1"/>
  <c r="BO152" i="1" s="1"/>
  <c r="Z152" i="1"/>
  <c r="BT148" i="1"/>
  <c r="AC30" i="5"/>
  <c r="Z28" i="5"/>
  <c r="AA30" i="5"/>
  <c r="AA41" i="5"/>
  <c r="Z39" i="5"/>
  <c r="AC39" i="5" s="1"/>
  <c r="P112" i="7" l="1"/>
  <c r="P100" i="7"/>
  <c r="P110" i="7"/>
  <c r="P98" i="7"/>
  <c r="AA240" i="5"/>
  <c r="P160" i="7"/>
  <c r="P92" i="7"/>
  <c r="Y242" i="5"/>
  <c r="AA52" i="7" s="1"/>
  <c r="Z52" i="7"/>
  <c r="P158" i="7"/>
  <c r="P90" i="7"/>
  <c r="X244" i="5"/>
  <c r="S246" i="5"/>
  <c r="V244" i="5"/>
  <c r="W244" i="5"/>
  <c r="AM244" i="5"/>
  <c r="AN244" i="5" s="1"/>
  <c r="P162" i="7"/>
  <c r="P164" i="7"/>
  <c r="P156" i="7"/>
  <c r="P154" i="7"/>
  <c r="BT150" i="1"/>
  <c r="P151" i="8" s="1"/>
  <c r="X282" i="5"/>
  <c r="P149" i="8"/>
  <c r="P148" i="8"/>
  <c r="J148" i="8"/>
  <c r="J149" i="8"/>
  <c r="BT152" i="1"/>
  <c r="P150" i="7"/>
  <c r="AK280" i="5"/>
  <c r="P152" i="7"/>
  <c r="AK282" i="5"/>
  <c r="AC28" i="5"/>
  <c r="AA28" i="5"/>
  <c r="Z26" i="5"/>
  <c r="Z37" i="5"/>
  <c r="AC37" i="5" s="1"/>
  <c r="AA39" i="5"/>
  <c r="AA242" i="5" l="1"/>
  <c r="Y282" i="5"/>
  <c r="Y244" i="5"/>
  <c r="Z54" i="7"/>
  <c r="P150" i="8"/>
  <c r="X246" i="5"/>
  <c r="S248" i="5"/>
  <c r="W246" i="5"/>
  <c r="V246" i="5"/>
  <c r="AM246" i="5"/>
  <c r="AN246" i="5" s="1"/>
  <c r="J153" i="8"/>
  <c r="J152" i="8"/>
  <c r="J150" i="8"/>
  <c r="J151" i="8"/>
  <c r="P153" i="8"/>
  <c r="P152" i="8"/>
  <c r="AC26" i="5"/>
  <c r="Z24" i="5"/>
  <c r="AA26" i="5"/>
  <c r="Z35" i="5"/>
  <c r="AC35" i="5" s="1"/>
  <c r="AA37" i="5"/>
  <c r="Y246" i="5" l="1"/>
  <c r="Z56" i="7"/>
  <c r="AA244" i="5"/>
  <c r="AA54" i="7"/>
  <c r="AA282" i="5"/>
  <c r="X248" i="5"/>
  <c r="S250" i="5"/>
  <c r="V248" i="5"/>
  <c r="AM248" i="5"/>
  <c r="AN248" i="5" s="1"/>
  <c r="W248" i="5"/>
  <c r="AC24" i="5"/>
  <c r="Z22" i="5"/>
  <c r="AA24" i="5"/>
  <c r="Z33" i="5"/>
  <c r="AC33" i="5" s="1"/>
  <c r="AA35" i="5"/>
  <c r="M7" i="15"/>
  <c r="N7" i="15"/>
  <c r="Y248" i="5" l="1"/>
  <c r="Z58" i="7"/>
  <c r="AA246" i="5"/>
  <c r="AA56" i="7"/>
  <c r="X250" i="5"/>
  <c r="S252" i="5"/>
  <c r="AM250" i="5"/>
  <c r="AN250" i="5" s="1"/>
  <c r="W250" i="5"/>
  <c r="V250" i="5"/>
  <c r="AC22" i="5"/>
  <c r="AA22" i="5"/>
  <c r="Z20" i="5"/>
  <c r="Z31" i="5"/>
  <c r="AC31" i="5" s="1"/>
  <c r="AA33" i="5"/>
  <c r="Y7" i="15" a="1"/>
  <c r="Y7" i="15" s="1"/>
  <c r="AF11" i="7" s="1"/>
  <c r="X7" i="15" a="1"/>
  <c r="X7" i="15" s="1"/>
  <c r="Z7" i="15"/>
  <c r="I8" i="15"/>
  <c r="W8" i="15" s="1"/>
  <c r="P13" i="19" l="1"/>
  <c r="P12" i="19"/>
  <c r="Y250" i="5"/>
  <c r="Z60" i="7"/>
  <c r="AA248" i="5"/>
  <c r="AA58" i="7"/>
  <c r="Q11" i="8"/>
  <c r="X252" i="5"/>
  <c r="S254" i="5"/>
  <c r="V252" i="5"/>
  <c r="AM252" i="5"/>
  <c r="AN252" i="5" s="1"/>
  <c r="W252" i="5"/>
  <c r="AC20" i="5"/>
  <c r="Z18" i="5"/>
  <c r="AA20" i="5"/>
  <c r="AA31" i="5"/>
  <c r="Z29" i="5"/>
  <c r="AC29" i="5" s="1"/>
  <c r="AF10" i="7"/>
  <c r="V9" i="15"/>
  <c r="S10" i="15" s="1"/>
  <c r="K8" i="15"/>
  <c r="J8" i="15"/>
  <c r="Q10" i="8"/>
  <c r="Y252" i="5" l="1"/>
  <c r="Z62" i="7"/>
  <c r="AA250" i="5"/>
  <c r="AA60" i="7"/>
  <c r="X254" i="5"/>
  <c r="S256" i="5"/>
  <c r="AM254" i="5"/>
  <c r="AN254" i="5" s="1"/>
  <c r="V254" i="5"/>
  <c r="W254" i="5"/>
  <c r="AC18" i="5"/>
  <c r="Z16" i="5"/>
  <c r="AA18" i="5"/>
  <c r="AA29" i="5"/>
  <c r="Z27" i="5"/>
  <c r="AC27" i="5" s="1"/>
  <c r="L8" i="15"/>
  <c r="Y254" i="5" l="1"/>
  <c r="Z64" i="7"/>
  <c r="AA252" i="5"/>
  <c r="AA62" i="7"/>
  <c r="X256" i="5"/>
  <c r="S258" i="5"/>
  <c r="AM256" i="5"/>
  <c r="AN256" i="5" s="1"/>
  <c r="V256" i="5"/>
  <c r="W256" i="5"/>
  <c r="Z14" i="5"/>
  <c r="AC16" i="5"/>
  <c r="AA16" i="5"/>
  <c r="AA27" i="5"/>
  <c r="Z25" i="5"/>
  <c r="AC25" i="5" s="1"/>
  <c r="M8" i="15"/>
  <c r="I9" i="15" s="1"/>
  <c r="W9" i="15" s="1"/>
  <c r="N8" i="15"/>
  <c r="P15" i="19" l="1"/>
  <c r="P14" i="19"/>
  <c r="Y256" i="5"/>
  <c r="Z66" i="7"/>
  <c r="AA254" i="5"/>
  <c r="AA64" i="7"/>
  <c r="X258" i="5"/>
  <c r="S260" i="5"/>
  <c r="W258" i="5"/>
  <c r="AM258" i="5"/>
  <c r="AN258" i="5" s="1"/>
  <c r="V258" i="5"/>
  <c r="AC14" i="5"/>
  <c r="Z12" i="5"/>
  <c r="AA14" i="5"/>
  <c r="Z23" i="5"/>
  <c r="AC23" i="5" s="1"/>
  <c r="AA25" i="5"/>
  <c r="X8" i="15" a="1"/>
  <c r="X8" i="15" s="1"/>
  <c r="K9" i="15"/>
  <c r="J9" i="15"/>
  <c r="Y8" i="15" a="1"/>
  <c r="Y8" i="15" s="1"/>
  <c r="AF13" i="7" s="1"/>
  <c r="Z8" i="15"/>
  <c r="Y258" i="5" l="1"/>
  <c r="Z68" i="7"/>
  <c r="AA256" i="5"/>
  <c r="AA66" i="7"/>
  <c r="X260" i="5"/>
  <c r="S262" i="5"/>
  <c r="AM260" i="5"/>
  <c r="AN260" i="5" s="1"/>
  <c r="W260" i="5"/>
  <c r="V260" i="5"/>
  <c r="Z21" i="5"/>
  <c r="AC21" i="5" s="1"/>
  <c r="AA23" i="5"/>
  <c r="AC12" i="5"/>
  <c r="Z10" i="5"/>
  <c r="AA12" i="5"/>
  <c r="AF12" i="7"/>
  <c r="V10" i="15"/>
  <c r="S11" i="15" s="1"/>
  <c r="L9" i="15"/>
  <c r="M9" i="15" s="1"/>
  <c r="Q12" i="8"/>
  <c r="Q13" i="8"/>
  <c r="Y260" i="5" l="1"/>
  <c r="Z70" i="7"/>
  <c r="AA258" i="5"/>
  <c r="AA68" i="7"/>
  <c r="X262" i="5"/>
  <c r="S264" i="5"/>
  <c r="W262" i="5"/>
  <c r="V262" i="5"/>
  <c r="Z130" i="7" s="1"/>
  <c r="AM262" i="5"/>
  <c r="AN262" i="5" s="1"/>
  <c r="AA21" i="5"/>
  <c r="Z19" i="5"/>
  <c r="AC19" i="5" s="1"/>
  <c r="AC10" i="5"/>
  <c r="Z8" i="5"/>
  <c r="Z6" i="5" s="1"/>
  <c r="AA10" i="5"/>
  <c r="N9" i="15"/>
  <c r="X9" i="15" s="1" a="1"/>
  <c r="X9" i="15" s="1"/>
  <c r="I10" i="15"/>
  <c r="AB6" i="5" l="1" a="1"/>
  <c r="AB6" i="5" s="1"/>
  <c r="Y262" i="5"/>
  <c r="Z72" i="7"/>
  <c r="AA260" i="5"/>
  <c r="AA70" i="7"/>
  <c r="X264" i="5"/>
  <c r="S266" i="5"/>
  <c r="W264" i="5"/>
  <c r="AM264" i="5"/>
  <c r="AN264" i="5" s="1"/>
  <c r="V264" i="5"/>
  <c r="Z17" i="5"/>
  <c r="AC17" i="5" s="1"/>
  <c r="AA19" i="5"/>
  <c r="AC6" i="5"/>
  <c r="AA6" i="5"/>
  <c r="AC8" i="5"/>
  <c r="AA8" i="5"/>
  <c r="K10" i="15"/>
  <c r="W10" i="15"/>
  <c r="Y9" i="15" a="1"/>
  <c r="Y9" i="15" s="1"/>
  <c r="Z9" i="15"/>
  <c r="J10" i="15"/>
  <c r="L10" i="15" s="1"/>
  <c r="Z132" i="7" l="1"/>
  <c r="AA130" i="7"/>
  <c r="AF14" i="7"/>
  <c r="AF15" i="7"/>
  <c r="N10" i="9"/>
  <c r="N94" i="9"/>
  <c r="N88" i="9"/>
  <c r="N54" i="9"/>
  <c r="N78" i="9"/>
  <c r="N80" i="9"/>
  <c r="N38" i="9"/>
  <c r="N128" i="9"/>
  <c r="N62" i="9"/>
  <c r="N70" i="9"/>
  <c r="N22" i="9"/>
  <c r="N120" i="9"/>
  <c r="N122" i="9"/>
  <c r="N46" i="9"/>
  <c r="N64" i="9"/>
  <c r="N108" i="9"/>
  <c r="N126" i="9"/>
  <c r="N68" i="9"/>
  <c r="N114" i="9"/>
  <c r="N92" i="9"/>
  <c r="N34" i="9"/>
  <c r="N48" i="9"/>
  <c r="N82" i="9"/>
  <c r="N100" i="9"/>
  <c r="N90" i="9"/>
  <c r="N12" i="9"/>
  <c r="N72" i="9"/>
  <c r="N42" i="9"/>
  <c r="N14" i="9"/>
  <c r="N28" i="9"/>
  <c r="N50" i="9"/>
  <c r="N76" i="9"/>
  <c r="N56" i="9"/>
  <c r="N124" i="9"/>
  <c r="N16" i="9"/>
  <c r="N98" i="9"/>
  <c r="N86" i="9"/>
  <c r="N20" i="9"/>
  <c r="N130" i="9"/>
  <c r="N30" i="9"/>
  <c r="N24" i="9"/>
  <c r="N106" i="9"/>
  <c r="N36" i="9"/>
  <c r="N102" i="9"/>
  <c r="N58" i="9"/>
  <c r="N104" i="9"/>
  <c r="N44" i="9"/>
  <c r="N18" i="9"/>
  <c r="N32" i="9"/>
  <c r="N96" i="9"/>
  <c r="N116" i="9"/>
  <c r="N52" i="9"/>
  <c r="N110" i="9"/>
  <c r="N118" i="9"/>
  <c r="N66" i="9"/>
  <c r="N112" i="9"/>
  <c r="N60" i="9"/>
  <c r="N26" i="9"/>
  <c r="N40" i="9"/>
  <c r="N74" i="9"/>
  <c r="N84" i="9"/>
  <c r="P17" i="19"/>
  <c r="P16" i="19"/>
  <c r="Y264" i="5"/>
  <c r="Z74" i="7"/>
  <c r="AA262" i="5"/>
  <c r="N132" i="9" s="1"/>
  <c r="AA72" i="7"/>
  <c r="Q15" i="8"/>
  <c r="X266" i="5"/>
  <c r="S268" i="5"/>
  <c r="AM266" i="5"/>
  <c r="AN266" i="5" s="1"/>
  <c r="V266" i="5"/>
  <c r="W266" i="5"/>
  <c r="Z15" i="5"/>
  <c r="AC15" i="5" s="1"/>
  <c r="AA17" i="5"/>
  <c r="V11" i="15"/>
  <c r="S12" i="15" s="1"/>
  <c r="Q14" i="8"/>
  <c r="M10" i="15"/>
  <c r="N10" i="15"/>
  <c r="Z134" i="7" l="1"/>
  <c r="AA132" i="7"/>
  <c r="O124" i="9"/>
  <c r="P124" i="9" s="1"/>
  <c r="O120" i="9"/>
  <c r="P120" i="9" s="1"/>
  <c r="O114" i="9"/>
  <c r="P114" i="9" s="1"/>
  <c r="O128" i="9"/>
  <c r="P128" i="9" s="1"/>
  <c r="O116" i="9"/>
  <c r="P116" i="9" s="1"/>
  <c r="O130" i="9"/>
  <c r="P130" i="9" s="1"/>
  <c r="O132" i="9"/>
  <c r="P132" i="9" s="1"/>
  <c r="O118" i="9"/>
  <c r="P118" i="9" s="1"/>
  <c r="O126" i="9"/>
  <c r="P126" i="9" s="1"/>
  <c r="O122" i="9"/>
  <c r="P122" i="9" s="1"/>
  <c r="Y266" i="5"/>
  <c r="Z76" i="7"/>
  <c r="AA264" i="5"/>
  <c r="N134" i="9" s="1"/>
  <c r="AA74" i="7"/>
  <c r="X268" i="5"/>
  <c r="S270" i="5"/>
  <c r="W268" i="5"/>
  <c r="V268" i="5"/>
  <c r="AM268" i="5"/>
  <c r="AN268" i="5" s="1"/>
  <c r="Z13" i="5"/>
  <c r="AC13" i="5" s="1"/>
  <c r="AA15" i="5"/>
  <c r="X10" i="15" a="1"/>
  <c r="X10" i="15" s="1"/>
  <c r="I11" i="15"/>
  <c r="Y10" i="15" a="1"/>
  <c r="Y10" i="15" s="1"/>
  <c r="AF17" i="7" s="1"/>
  <c r="Z10" i="15"/>
  <c r="Z136" i="7" l="1"/>
  <c r="AA134" i="7"/>
  <c r="O134" i="9"/>
  <c r="P134" i="9" s="1"/>
  <c r="Y268" i="5"/>
  <c r="AA136" i="7" s="1"/>
  <c r="Z78" i="7"/>
  <c r="AA266" i="5"/>
  <c r="N136" i="9" s="1"/>
  <c r="AA76" i="7"/>
  <c r="Q16" i="8"/>
  <c r="X270" i="5"/>
  <c r="S272" i="5"/>
  <c r="V270" i="5"/>
  <c r="AM270" i="5"/>
  <c r="AN270" i="5" s="1"/>
  <c r="W270" i="5"/>
  <c r="AA13" i="5"/>
  <c r="Z11" i="5"/>
  <c r="AC11" i="5" s="1"/>
  <c r="K11" i="15"/>
  <c r="W11" i="15"/>
  <c r="V12" i="15"/>
  <c r="S13" i="15" s="1"/>
  <c r="J11" i="15"/>
  <c r="L11" i="15" s="1"/>
  <c r="Q17" i="8"/>
  <c r="AF16" i="7"/>
  <c r="Z138" i="7" l="1"/>
  <c r="O136" i="9"/>
  <c r="P136" i="9" s="1"/>
  <c r="P19" i="19"/>
  <c r="P18" i="19"/>
  <c r="Y270" i="5"/>
  <c r="Z80" i="7"/>
  <c r="AA268" i="5"/>
  <c r="N138" i="9" s="1"/>
  <c r="AA78" i="7"/>
  <c r="X272" i="5"/>
  <c r="S274" i="5"/>
  <c r="W272" i="5"/>
  <c r="AM272" i="5"/>
  <c r="AN272" i="5" s="1"/>
  <c r="V272" i="5"/>
  <c r="Z140" i="7" s="1"/>
  <c r="Z9" i="5"/>
  <c r="Z7" i="5" s="1"/>
  <c r="AA11" i="5"/>
  <c r="M11" i="15"/>
  <c r="N11" i="15"/>
  <c r="AA138" i="7" l="1"/>
  <c r="AB41" i="5" a="1"/>
  <c r="AB41" i="5" s="1"/>
  <c r="AB11" i="5" a="1"/>
  <c r="AB11" i="5" s="1"/>
  <c r="AB23" i="5" a="1"/>
  <c r="AB23" i="5" s="1"/>
  <c r="AB22" i="5" a="1"/>
  <c r="AB22" i="5" s="1"/>
  <c r="AB18" i="5" a="1"/>
  <c r="AB18" i="5" s="1"/>
  <c r="AB19" i="5" a="1"/>
  <c r="AB19" i="5" s="1"/>
  <c r="AB31" i="5" a="1"/>
  <c r="AB31" i="5" s="1"/>
  <c r="AB30" i="5" a="1"/>
  <c r="AB30" i="5" s="1"/>
  <c r="AB26" i="5" a="1"/>
  <c r="AB26" i="5" s="1"/>
  <c r="AB42" i="5" a="1"/>
  <c r="AB42" i="5" s="1"/>
  <c r="AB260" i="5" a="1"/>
  <c r="AB260" i="5" s="1"/>
  <c r="AB162" i="5" a="1"/>
  <c r="AB162" i="5" s="1"/>
  <c r="AB214" i="5" a="1"/>
  <c r="AB214" i="5" s="1"/>
  <c r="AB152" i="5" a="1"/>
  <c r="AB152" i="5" s="1"/>
  <c r="AB168" i="5" a="1"/>
  <c r="AB168" i="5" s="1"/>
  <c r="AB56" i="5" a="1"/>
  <c r="AB56" i="5" s="1"/>
  <c r="AB216" i="5" a="1"/>
  <c r="AB216" i="5" s="1"/>
  <c r="AB165" i="5" a="1"/>
  <c r="AB165" i="5" s="1"/>
  <c r="AB98" i="5" a="1"/>
  <c r="AB98" i="5" s="1"/>
  <c r="AB78" i="5" a="1"/>
  <c r="AB78" i="5" s="1"/>
  <c r="AB97" i="5" a="1"/>
  <c r="AB97" i="5" s="1"/>
  <c r="AB85" i="5" a="1"/>
  <c r="AB85" i="5" s="1"/>
  <c r="AB134" i="5" a="1"/>
  <c r="AB134" i="5" s="1"/>
  <c r="AB186" i="5" a="1"/>
  <c r="AB186" i="5" s="1"/>
  <c r="AB187" i="5" a="1"/>
  <c r="AB187" i="5" s="1"/>
  <c r="AB57" i="5" a="1"/>
  <c r="AB57" i="5" s="1"/>
  <c r="AB215" i="5" a="1"/>
  <c r="AB215" i="5" s="1"/>
  <c r="AB235" i="5" a="1"/>
  <c r="AB235" i="5" s="1"/>
  <c r="AB250" i="5" a="1"/>
  <c r="AB250" i="5" s="1"/>
  <c r="AB87" i="5" a="1"/>
  <c r="AB87" i="5" s="1"/>
  <c r="AB64" i="5" a="1"/>
  <c r="AB64" i="5" s="1"/>
  <c r="AB246" i="5" a="1"/>
  <c r="AB246" i="5" s="1"/>
  <c r="AB75" i="5" a="1"/>
  <c r="AB75" i="5" s="1"/>
  <c r="AB114" i="5" a="1"/>
  <c r="AB114" i="5" s="1"/>
  <c r="AB230" i="5" a="1"/>
  <c r="AB230" i="5" s="1"/>
  <c r="O100" i="9" s="1"/>
  <c r="P100" i="9" s="1"/>
  <c r="AB128" i="5" a="1"/>
  <c r="AB128" i="5" s="1"/>
  <c r="AB193" i="5" a="1"/>
  <c r="AB193" i="5" s="1"/>
  <c r="AB150" i="5" a="1"/>
  <c r="AB150" i="5" s="1"/>
  <c r="AB223" i="5" a="1"/>
  <c r="AB223" i="5" s="1"/>
  <c r="AB149" i="5" a="1"/>
  <c r="AB149" i="5" s="1"/>
  <c r="AB110" i="5" a="1"/>
  <c r="AB110" i="5" s="1"/>
  <c r="AB272" i="5" a="1"/>
  <c r="AB272" i="5" s="1"/>
  <c r="AB116" i="5" a="1"/>
  <c r="AB116" i="5" s="1"/>
  <c r="AB181" i="5" a="1"/>
  <c r="AB181" i="5" s="1"/>
  <c r="AB111" i="5" a="1"/>
  <c r="AB111" i="5" s="1"/>
  <c r="AB72" i="5" a="1"/>
  <c r="AB72" i="5" s="1"/>
  <c r="AB121" i="5" a="1"/>
  <c r="AB121" i="5" s="1"/>
  <c r="AB102" i="5" a="1"/>
  <c r="AB102" i="5" s="1"/>
  <c r="AB257" i="5" a="1"/>
  <c r="AB257" i="5" s="1"/>
  <c r="AB104" i="5" a="1"/>
  <c r="AB104" i="5" s="1"/>
  <c r="AB229" i="5" a="1"/>
  <c r="AB229" i="5" s="1"/>
  <c r="AB196" i="5" a="1"/>
  <c r="AB196" i="5" s="1"/>
  <c r="AB241" i="5" a="1"/>
  <c r="AB241" i="5" s="1"/>
  <c r="AB70" i="5" a="1"/>
  <c r="AB70" i="5" s="1"/>
  <c r="AB47" i="5" a="1"/>
  <c r="AB47" i="5" s="1"/>
  <c r="AB203" i="5" a="1"/>
  <c r="AB203" i="5" s="1"/>
  <c r="AB136" i="5" a="1"/>
  <c r="AB136" i="5" s="1"/>
  <c r="AB204" i="5" a="1"/>
  <c r="AB204" i="5" s="1"/>
  <c r="AB263" i="5" a="1"/>
  <c r="AB263" i="5" s="1"/>
  <c r="AB266" i="5" a="1"/>
  <c r="AB266" i="5" s="1"/>
  <c r="AB200" i="5" a="1"/>
  <c r="AB200" i="5" s="1"/>
  <c r="AB183" i="5" a="1"/>
  <c r="AB183" i="5" s="1"/>
  <c r="AB248" i="5" a="1"/>
  <c r="AB248" i="5" s="1"/>
  <c r="AB69" i="5" a="1"/>
  <c r="AB69" i="5" s="1"/>
  <c r="AB261" i="5" a="1"/>
  <c r="AB261" i="5" s="1"/>
  <c r="AB112" i="5" a="1"/>
  <c r="AB112" i="5" s="1"/>
  <c r="AB145" i="5" a="1"/>
  <c r="AB145" i="5" s="1"/>
  <c r="AB159" i="5" a="1"/>
  <c r="AB159" i="5" s="1"/>
  <c r="AB233" i="5" a="1"/>
  <c r="AB233" i="5" s="1"/>
  <c r="AB267" i="5" a="1"/>
  <c r="AB267" i="5" s="1"/>
  <c r="AB207" i="5" a="1"/>
  <c r="AB207" i="5" s="1"/>
  <c r="AB25" i="5" a="1"/>
  <c r="AB25" i="5" s="1"/>
  <c r="AB32" i="5" a="1"/>
  <c r="AB32" i="5" s="1"/>
  <c r="AB36" i="5" a="1"/>
  <c r="AB36" i="5" s="1"/>
  <c r="AB29" i="5" a="1"/>
  <c r="AB29" i="5" s="1"/>
  <c r="AB33" i="5" a="1"/>
  <c r="AB33" i="5" s="1"/>
  <c r="AB40" i="5" a="1"/>
  <c r="AB40" i="5" s="1"/>
  <c r="AB15" i="5" a="1"/>
  <c r="AB15" i="5" s="1"/>
  <c r="AB14" i="5" a="1"/>
  <c r="AB14" i="5" s="1"/>
  <c r="AB9" i="5" a="1"/>
  <c r="AB9" i="5" s="1"/>
  <c r="AB44" i="5" a="1"/>
  <c r="AB44" i="5" s="1"/>
  <c r="AB268" i="5" a="1"/>
  <c r="AB268" i="5" s="1"/>
  <c r="AB178" i="5" a="1"/>
  <c r="AB178" i="5" s="1"/>
  <c r="AB219" i="5" a="1"/>
  <c r="AB219" i="5" s="1"/>
  <c r="AB157" i="5" a="1"/>
  <c r="AB157" i="5" s="1"/>
  <c r="AB173" i="5" a="1"/>
  <c r="AB173" i="5" s="1"/>
  <c r="AB58" i="5" a="1"/>
  <c r="AB58" i="5" s="1"/>
  <c r="AB221" i="5" a="1"/>
  <c r="AB221" i="5" s="1"/>
  <c r="AB232" i="5" a="1"/>
  <c r="AB232" i="5" s="1"/>
  <c r="O102" i="9" s="1"/>
  <c r="P102" i="9" s="1"/>
  <c r="AB101" i="5" a="1"/>
  <c r="AB101" i="5" s="1"/>
  <c r="AB81" i="5" a="1"/>
  <c r="AB81" i="5" s="1"/>
  <c r="AB180" i="5" a="1"/>
  <c r="AB180" i="5" s="1"/>
  <c r="AB139" i="5" a="1"/>
  <c r="AB139" i="5" s="1"/>
  <c r="AB191" i="5" a="1"/>
  <c r="AB191" i="5" s="1"/>
  <c r="AB190" i="5" a="1"/>
  <c r="AB190" i="5" s="1"/>
  <c r="AB61" i="5" a="1"/>
  <c r="AB61" i="5" s="1"/>
  <c r="AB231" i="5" a="1"/>
  <c r="AB231" i="5" s="1"/>
  <c r="AB238" i="5" a="1"/>
  <c r="AB238" i="5" s="1"/>
  <c r="O108" i="9" s="1"/>
  <c r="P108" i="9" s="1"/>
  <c r="AB254" i="5" a="1"/>
  <c r="AB254" i="5" s="1"/>
  <c r="AB95" i="5" a="1"/>
  <c r="AB95" i="5" s="1"/>
  <c r="AB66" i="5" a="1"/>
  <c r="AB66" i="5" s="1"/>
  <c r="AB63" i="5" a="1"/>
  <c r="AB63" i="5" s="1"/>
  <c r="AB80" i="5" a="1"/>
  <c r="AB80" i="5" s="1"/>
  <c r="AB117" i="5" a="1"/>
  <c r="AB117" i="5" s="1"/>
  <c r="AB105" i="5" a="1"/>
  <c r="AB105" i="5" s="1"/>
  <c r="AB138" i="5" a="1"/>
  <c r="AB138" i="5" s="1"/>
  <c r="AB209" i="5" a="1"/>
  <c r="AB209" i="5" s="1"/>
  <c r="AB155" i="5" a="1"/>
  <c r="AB155" i="5" s="1"/>
  <c r="AB234" i="5" a="1"/>
  <c r="AB234" i="5" s="1"/>
  <c r="O104" i="9" s="1"/>
  <c r="P104" i="9" s="1"/>
  <c r="AB124" i="5" a="1"/>
  <c r="AB124" i="5" s="1"/>
  <c r="AB118" i="5" a="1"/>
  <c r="AB118" i="5" s="1"/>
  <c r="AB50" i="5" a="1"/>
  <c r="AB50" i="5" s="1"/>
  <c r="AB184" i="5" a="1"/>
  <c r="AB184" i="5" s="1"/>
  <c r="AB119" i="5" a="1"/>
  <c r="AB119" i="5" s="1"/>
  <c r="AB74" i="5" a="1"/>
  <c r="AB74" i="5" s="1"/>
  <c r="AB48" i="5" a="1"/>
  <c r="AB48" i="5" s="1"/>
  <c r="AB245" i="5" a="1"/>
  <c r="AB245" i="5" s="1"/>
  <c r="AB91" i="5" a="1"/>
  <c r="AB91" i="5" s="1"/>
  <c r="AB137" i="5" a="1"/>
  <c r="AB137" i="5" s="1"/>
  <c r="AB201" i="5" a="1"/>
  <c r="AB201" i="5" s="1"/>
  <c r="AB255" i="5" a="1"/>
  <c r="AB255" i="5" s="1"/>
  <c r="AB171" i="5" a="1"/>
  <c r="AB171" i="5" s="1"/>
  <c r="AB51" i="5" a="1"/>
  <c r="AB51" i="5" s="1"/>
  <c r="AB206" i="5" a="1"/>
  <c r="AB206" i="5" s="1"/>
  <c r="AB141" i="5" a="1"/>
  <c r="AB141" i="5" s="1"/>
  <c r="AB199" i="5" a="1"/>
  <c r="AB199" i="5" s="1"/>
  <c r="AB270" i="5" a="1"/>
  <c r="AB270" i="5" s="1"/>
  <c r="AB205" i="5" a="1"/>
  <c r="AB205" i="5" s="1"/>
  <c r="AB120" i="5" a="1"/>
  <c r="AB120" i="5" s="1"/>
  <c r="AB264" i="5" a="1"/>
  <c r="AB264" i="5" s="1"/>
  <c r="AB71" i="5" a="1"/>
  <c r="AB71" i="5" s="1"/>
  <c r="AB265" i="5" a="1"/>
  <c r="AB265" i="5" s="1"/>
  <c r="AB115" i="5" a="1"/>
  <c r="AB115" i="5" s="1"/>
  <c r="AB161" i="5" a="1"/>
  <c r="AB161" i="5" s="1"/>
  <c r="AB170" i="5" a="1"/>
  <c r="AB170" i="5" s="1"/>
  <c r="AB220" i="5" a="1"/>
  <c r="AB220" i="5" s="1"/>
  <c r="AB8" i="5" a="1"/>
  <c r="AB8" i="5" s="1"/>
  <c r="AB16" i="5" a="1"/>
  <c r="AB16" i="5" s="1"/>
  <c r="AB20" i="5" a="1"/>
  <c r="AB20" i="5" s="1"/>
  <c r="AB13" i="5" a="1"/>
  <c r="AB13" i="5" s="1"/>
  <c r="AB17" i="5" a="1"/>
  <c r="AB17" i="5" s="1"/>
  <c r="AB24" i="5" a="1"/>
  <c r="AB24" i="5" s="1"/>
  <c r="AB28" i="5" a="1"/>
  <c r="AB28" i="5" s="1"/>
  <c r="AB37" i="5" a="1"/>
  <c r="AB37" i="5" s="1"/>
  <c r="AB7" i="5" a="1"/>
  <c r="AB7" i="5" s="1"/>
  <c r="AB43" i="5" a="1"/>
  <c r="AB43" i="5" s="1"/>
  <c r="AB194" i="5" a="1"/>
  <c r="AB194" i="5" s="1"/>
  <c r="O64" i="9" s="1"/>
  <c r="AB222" i="5" a="1"/>
  <c r="AB222" i="5" s="1"/>
  <c r="AB224" i="5" a="1"/>
  <c r="AB224" i="5" s="1"/>
  <c r="AB176" i="5" a="1"/>
  <c r="AB176" i="5" s="1"/>
  <c r="O46" i="9" s="1"/>
  <c r="AB60" i="5" a="1"/>
  <c r="AB60" i="5" s="1"/>
  <c r="AB237" i="5" a="1"/>
  <c r="AB237" i="5" s="1"/>
  <c r="AB106" i="5" a="1"/>
  <c r="AB106" i="5" s="1"/>
  <c r="AB86" i="5" a="1"/>
  <c r="AB86" i="5" s="1"/>
  <c r="AB185" i="5" a="1"/>
  <c r="AB185" i="5" s="1"/>
  <c r="AB142" i="5" a="1"/>
  <c r="AB142" i="5" s="1"/>
  <c r="AB202" i="5" a="1"/>
  <c r="AB202" i="5" s="1"/>
  <c r="O72" i="9" s="1"/>
  <c r="AB195" i="5" a="1"/>
  <c r="AB195" i="5" s="1"/>
  <c r="AB94" i="5" a="1"/>
  <c r="AB94" i="5" s="1"/>
  <c r="AB242" i="5" a="1"/>
  <c r="AB242" i="5" s="1"/>
  <c r="O112" i="9" s="1"/>
  <c r="P112" i="9" s="1"/>
  <c r="AB123" i="5" a="1"/>
  <c r="AB123" i="5" s="1"/>
  <c r="AB258" i="5" a="1"/>
  <c r="AB258" i="5" s="1"/>
  <c r="AB103" i="5" a="1"/>
  <c r="AB103" i="5" s="1"/>
  <c r="AB68" i="5" a="1"/>
  <c r="AB68" i="5" s="1"/>
  <c r="AB164" i="5" a="1"/>
  <c r="AB164" i="5" s="1"/>
  <c r="AB49" i="5" a="1"/>
  <c r="AB49" i="5" s="1"/>
  <c r="AB83" i="5" a="1"/>
  <c r="AB83" i="5" s="1"/>
  <c r="AB122" i="5" a="1"/>
  <c r="AB122" i="5" s="1"/>
  <c r="AB113" i="5" a="1"/>
  <c r="AB113" i="5" s="1"/>
  <c r="AB143" i="5" a="1"/>
  <c r="AB143" i="5" s="1"/>
  <c r="AB225" i="5" a="1"/>
  <c r="AB225" i="5" s="1"/>
  <c r="AB158" i="5" a="1"/>
  <c r="AB158" i="5" s="1"/>
  <c r="AB160" i="5" a="1"/>
  <c r="AB160" i="5" s="1"/>
  <c r="O30" i="9" s="1"/>
  <c r="AB130" i="5" a="1"/>
  <c r="AB130" i="5" s="1"/>
  <c r="AB126" i="5" a="1"/>
  <c r="AB126" i="5" s="1"/>
  <c r="AB77" i="5" a="1"/>
  <c r="AB77" i="5" s="1"/>
  <c r="AB52" i="5" a="1"/>
  <c r="AB52" i="5" s="1"/>
  <c r="AB189" i="5" a="1"/>
  <c r="AB189" i="5" s="1"/>
  <c r="AB127" i="5" a="1"/>
  <c r="AB127" i="5" s="1"/>
  <c r="AB153" i="5" a="1"/>
  <c r="AB153" i="5" s="1"/>
  <c r="AB90" i="5" a="1"/>
  <c r="AB90" i="5" s="1"/>
  <c r="AB249" i="5" a="1"/>
  <c r="AB249" i="5" s="1"/>
  <c r="AB96" i="5" a="1"/>
  <c r="AB96" i="5" s="1"/>
  <c r="AB148" i="5" a="1"/>
  <c r="AB148" i="5" s="1"/>
  <c r="O18" i="9" s="1"/>
  <c r="AB129" i="5" a="1"/>
  <c r="AB129" i="5" s="1"/>
  <c r="AB212" i="5" a="1"/>
  <c r="AB212" i="5" s="1"/>
  <c r="O82" i="9" s="1"/>
  <c r="AB271" i="5" a="1"/>
  <c r="AB271" i="5" s="1"/>
  <c r="AB243" i="5" a="1"/>
  <c r="AB243" i="5" s="1"/>
  <c r="AB108" i="5" a="1"/>
  <c r="AB108" i="5" s="1"/>
  <c r="AB211" i="5" a="1"/>
  <c r="AB211" i="5" s="1"/>
  <c r="AB144" i="5" a="1"/>
  <c r="AB144" i="5" s="1"/>
  <c r="AB82" i="5" a="1"/>
  <c r="AB82" i="5" s="1"/>
  <c r="AB208" i="5" a="1"/>
  <c r="AB208" i="5" s="1"/>
  <c r="AB76" i="5" a="1"/>
  <c r="AB76" i="5" s="1"/>
  <c r="AB73" i="5" a="1"/>
  <c r="AB73" i="5" s="1"/>
  <c r="AB269" i="5" a="1"/>
  <c r="AB269" i="5" s="1"/>
  <c r="AB239" i="5" a="1"/>
  <c r="AB239" i="5" s="1"/>
  <c r="AB259" i="5" a="1"/>
  <c r="AB259" i="5" s="1"/>
  <c r="AB175" i="5" a="1"/>
  <c r="AB175" i="5" s="1"/>
  <c r="AB100" i="5" a="1"/>
  <c r="AB100" i="5" s="1"/>
  <c r="AB251" i="5" a="1"/>
  <c r="AB251" i="5" s="1"/>
  <c r="AB27" i="5" a="1"/>
  <c r="AB27" i="5" s="1"/>
  <c r="AB39" i="5" a="1"/>
  <c r="AB39" i="5" s="1"/>
  <c r="AB38" i="5" a="1"/>
  <c r="AB38" i="5" s="1"/>
  <c r="AB34" i="5" a="1"/>
  <c r="AB34" i="5" s="1"/>
  <c r="AB35" i="5" a="1"/>
  <c r="AB35" i="5" s="1"/>
  <c r="AB10" i="5" a="1"/>
  <c r="AB10" i="5" s="1"/>
  <c r="AB12" i="5" a="1"/>
  <c r="AB12" i="5" s="1"/>
  <c r="AB21" i="5" a="1"/>
  <c r="AB21" i="5" s="1"/>
  <c r="AB107" i="5" a="1"/>
  <c r="AB107" i="5" s="1"/>
  <c r="AB146" i="5" a="1"/>
  <c r="AB146" i="5" s="1"/>
  <c r="O16" i="9" s="1"/>
  <c r="AB227" i="5" a="1"/>
  <c r="AB227" i="5" s="1"/>
  <c r="AB252" i="5" a="1"/>
  <c r="AB252" i="5" s="1"/>
  <c r="AB54" i="5" a="1"/>
  <c r="AB54" i="5" s="1"/>
  <c r="AB45" i="5" a="1"/>
  <c r="AB45" i="5" s="1"/>
  <c r="AB240" i="5" a="1"/>
  <c r="AB240" i="5" s="1"/>
  <c r="O110" i="9" s="1"/>
  <c r="P110" i="9" s="1"/>
  <c r="AB109" i="5" a="1"/>
  <c r="AB109" i="5" s="1"/>
  <c r="AB89" i="5" a="1"/>
  <c r="AB89" i="5" s="1"/>
  <c r="AB179" i="5" a="1"/>
  <c r="AB179" i="5" s="1"/>
  <c r="AB55" i="5" a="1"/>
  <c r="AB55" i="5" s="1"/>
  <c r="AB147" i="5" a="1"/>
  <c r="AB147" i="5" s="1"/>
  <c r="AB46" i="5" a="1"/>
  <c r="AB46" i="5" s="1"/>
  <c r="AB53" i="5" a="1"/>
  <c r="AB53" i="5" s="1"/>
  <c r="AB210" i="5" a="1"/>
  <c r="AB210" i="5" s="1"/>
  <c r="O80" i="9" s="1"/>
  <c r="AB151" i="5" a="1"/>
  <c r="AB151" i="5" s="1"/>
  <c r="AB182" i="5" a="1"/>
  <c r="AB182" i="5" s="1"/>
  <c r="O52" i="9" s="1"/>
  <c r="AB79" i="5" a="1"/>
  <c r="AB79" i="5" s="1"/>
  <c r="AB62" i="5" a="1"/>
  <c r="AB62" i="5" s="1"/>
  <c r="AB213" i="5" a="1"/>
  <c r="AB213" i="5" s="1"/>
  <c r="AB132" i="5" a="1"/>
  <c r="AB132" i="5" s="1"/>
  <c r="AB65" i="5" a="1"/>
  <c r="AB65" i="5" s="1"/>
  <c r="AB88" i="5" a="1"/>
  <c r="AB88" i="5" s="1"/>
  <c r="AB125" i="5" a="1"/>
  <c r="AB125" i="5" s="1"/>
  <c r="AB226" i="5" a="1"/>
  <c r="AB226" i="5" s="1"/>
  <c r="AB177" i="5" a="1"/>
  <c r="AB177" i="5" s="1"/>
  <c r="AB172" i="5" a="1"/>
  <c r="AB172" i="5" s="1"/>
  <c r="AB163" i="5" a="1"/>
  <c r="AB163" i="5" s="1"/>
  <c r="AB174" i="5" a="1"/>
  <c r="AB174" i="5" s="1"/>
  <c r="O44" i="9" s="1"/>
  <c r="AB218" i="5" a="1"/>
  <c r="AB218" i="5" s="1"/>
  <c r="O88" i="9" s="1"/>
  <c r="AB156" i="5" a="1"/>
  <c r="AB156" i="5" s="1"/>
  <c r="O26" i="9" s="1"/>
  <c r="AB169" i="5" a="1"/>
  <c r="AB169" i="5" s="1"/>
  <c r="AB166" i="5" a="1"/>
  <c r="AB166" i="5" s="1"/>
  <c r="O36" i="9" s="1"/>
  <c r="AB192" i="5" a="1"/>
  <c r="AB192" i="5" s="1"/>
  <c r="O62" i="9" s="1"/>
  <c r="AB135" i="5" a="1"/>
  <c r="AB135" i="5" s="1"/>
  <c r="AB140" i="5" a="1"/>
  <c r="AB140" i="5" s="1"/>
  <c r="O10" i="9" s="1"/>
  <c r="AB93" i="5" a="1"/>
  <c r="AB93" i="5" s="1"/>
  <c r="AB253" i="5" a="1"/>
  <c r="AB253" i="5" s="1"/>
  <c r="AB99" i="5" a="1"/>
  <c r="AB99" i="5" s="1"/>
  <c r="AB131" i="5" a="1"/>
  <c r="AB131" i="5" s="1"/>
  <c r="AB217" i="5" a="1"/>
  <c r="AB217" i="5" s="1"/>
  <c r="AB198" i="5" a="1"/>
  <c r="AB198" i="5" s="1"/>
  <c r="O68" i="9" s="1"/>
  <c r="AB133" i="5" a="1"/>
  <c r="AB133" i="5" s="1"/>
  <c r="AB188" i="5" a="1"/>
  <c r="AB188" i="5" s="1"/>
  <c r="O58" i="9" s="1"/>
  <c r="AB247" i="5" a="1"/>
  <c r="AB247" i="5" s="1"/>
  <c r="AB262" i="5" a="1"/>
  <c r="AB262" i="5" s="1"/>
  <c r="AB197" i="5" a="1"/>
  <c r="AB197" i="5" s="1"/>
  <c r="AB167" i="5" a="1"/>
  <c r="AB167" i="5" s="1"/>
  <c r="AB236" i="5" a="1"/>
  <c r="AB236" i="5" s="1"/>
  <c r="O106" i="9" s="1"/>
  <c r="P106" i="9" s="1"/>
  <c r="AB67" i="5" a="1"/>
  <c r="AB67" i="5" s="1"/>
  <c r="AB256" i="5" a="1"/>
  <c r="AB256" i="5" s="1"/>
  <c r="AB59" i="5" a="1"/>
  <c r="AB59" i="5" s="1"/>
  <c r="AB154" i="5" a="1"/>
  <c r="AB154" i="5" s="1"/>
  <c r="O24" i="9" s="1"/>
  <c r="AB228" i="5" a="1"/>
  <c r="AB228" i="5" s="1"/>
  <c r="O98" i="9" s="1"/>
  <c r="AB244" i="5" a="1"/>
  <c r="AB244" i="5" s="1"/>
  <c r="AB92" i="5" a="1"/>
  <c r="AB92" i="5" s="1"/>
  <c r="AB84" i="5" a="1"/>
  <c r="AB84" i="5" s="1"/>
  <c r="O138" i="9"/>
  <c r="P138" i="9" s="1"/>
  <c r="Y272" i="5"/>
  <c r="AA140" i="7" s="1"/>
  <c r="Z82" i="7"/>
  <c r="AA270" i="5"/>
  <c r="N140" i="9" s="1"/>
  <c r="AA80" i="7"/>
  <c r="X274" i="5"/>
  <c r="O66" i="9"/>
  <c r="O56" i="9"/>
  <c r="O84" i="9"/>
  <c r="O92" i="9"/>
  <c r="O20" i="9"/>
  <c r="O74" i="9"/>
  <c r="O32" i="9"/>
  <c r="O76" i="9"/>
  <c r="O86" i="9"/>
  <c r="O50" i="9"/>
  <c r="O48" i="9"/>
  <c r="O38" i="9"/>
  <c r="O54" i="9"/>
  <c r="S276" i="5"/>
  <c r="AM274" i="5"/>
  <c r="AN274" i="5" s="1"/>
  <c r="W274" i="5"/>
  <c r="V274" i="5"/>
  <c r="AC7" i="5"/>
  <c r="AA9" i="5"/>
  <c r="AC9" i="5"/>
  <c r="AA7" i="5"/>
  <c r="X11" i="15" a="1"/>
  <c r="X11" i="15" s="1"/>
  <c r="I12" i="15"/>
  <c r="Z11" i="15"/>
  <c r="Y11" i="15" a="1"/>
  <c r="Y11" i="15" s="1"/>
  <c r="AF19" i="7" s="1"/>
  <c r="O42" i="9" l="1"/>
  <c r="O14" i="9"/>
  <c r="O40" i="9"/>
  <c r="O60" i="9"/>
  <c r="O96" i="9"/>
  <c r="O22" i="9"/>
  <c r="O78" i="9"/>
  <c r="O34" i="9"/>
  <c r="P34" i="9" s="1"/>
  <c r="O94" i="9"/>
  <c r="O70" i="9"/>
  <c r="O28" i="9"/>
  <c r="O12" i="9"/>
  <c r="O90" i="9"/>
  <c r="Z142" i="7"/>
  <c r="O140" i="9"/>
  <c r="P140" i="9" s="1"/>
  <c r="AB273" i="5" a="1"/>
  <c r="AB273" i="5" s="1"/>
  <c r="AB274" i="5" a="1"/>
  <c r="AB274" i="5" s="1"/>
  <c r="N167" i="9"/>
  <c r="N135" i="9"/>
  <c r="N103" i="9"/>
  <c r="N71" i="9"/>
  <c r="N39" i="9"/>
  <c r="N59" i="9"/>
  <c r="N149" i="9"/>
  <c r="N117" i="9"/>
  <c r="N85" i="9"/>
  <c r="N53" i="9"/>
  <c r="N21" i="9"/>
  <c r="N163" i="9"/>
  <c r="N131" i="9"/>
  <c r="N99" i="9"/>
  <c r="N67" i="9"/>
  <c r="N153" i="9"/>
  <c r="N121" i="9"/>
  <c r="N89" i="9"/>
  <c r="N57" i="9"/>
  <c r="N25" i="9"/>
  <c r="N159" i="9"/>
  <c r="N127" i="9"/>
  <c r="N95" i="9"/>
  <c r="N63" i="9"/>
  <c r="N31" i="9"/>
  <c r="N19" i="9"/>
  <c r="N141" i="9"/>
  <c r="N109" i="9"/>
  <c r="N77" i="9"/>
  <c r="N45" i="9"/>
  <c r="N13" i="9"/>
  <c r="N155" i="9"/>
  <c r="N123" i="9"/>
  <c r="N91" i="9"/>
  <c r="N35" i="9"/>
  <c r="N145" i="9"/>
  <c r="N113" i="9"/>
  <c r="N81" i="9"/>
  <c r="N49" i="9"/>
  <c r="N17" i="9"/>
  <c r="N151" i="9"/>
  <c r="N119" i="9"/>
  <c r="N87" i="9"/>
  <c r="N55" i="9"/>
  <c r="N23" i="9"/>
  <c r="N165" i="9"/>
  <c r="N133" i="9"/>
  <c r="N101" i="9"/>
  <c r="N69" i="9"/>
  <c r="N37" i="9"/>
  <c r="N43" i="9"/>
  <c r="N147" i="9"/>
  <c r="N115" i="9"/>
  <c r="N83" i="9"/>
  <c r="N169" i="9"/>
  <c r="N137" i="9"/>
  <c r="N105" i="9"/>
  <c r="N73" i="9"/>
  <c r="N41" i="9"/>
  <c r="N51" i="9"/>
  <c r="N143" i="9"/>
  <c r="N111" i="9"/>
  <c r="N79" i="9"/>
  <c r="N47" i="9"/>
  <c r="N15" i="9"/>
  <c r="N157" i="9"/>
  <c r="N125" i="9"/>
  <c r="N93" i="9"/>
  <c r="N61" i="9"/>
  <c r="N29" i="9"/>
  <c r="N11" i="9"/>
  <c r="N139" i="9"/>
  <c r="N107" i="9"/>
  <c r="N75" i="9"/>
  <c r="N161" i="9"/>
  <c r="N129" i="9"/>
  <c r="N97" i="9"/>
  <c r="N65" i="9"/>
  <c r="N33" i="9"/>
  <c r="N27" i="9"/>
  <c r="P78" i="9"/>
  <c r="P54" i="9"/>
  <c r="P42" i="9"/>
  <c r="P28" i="9"/>
  <c r="P26" i="9"/>
  <c r="P96" i="9"/>
  <c r="P24" i="9"/>
  <c r="P66" i="9"/>
  <c r="P44" i="9"/>
  <c r="P40" i="9"/>
  <c r="P52" i="9"/>
  <c r="P12" i="9"/>
  <c r="P94" i="9"/>
  <c r="P14" i="9"/>
  <c r="P10" i="9"/>
  <c r="P30" i="9"/>
  <c r="P74" i="9"/>
  <c r="P98" i="9"/>
  <c r="P82" i="9"/>
  <c r="P36" i="9"/>
  <c r="P80" i="9"/>
  <c r="P20" i="9"/>
  <c r="P62" i="9"/>
  <c r="P92" i="9"/>
  <c r="P56" i="9"/>
  <c r="P22" i="9"/>
  <c r="P64" i="9"/>
  <c r="P70" i="9"/>
  <c r="P50" i="9"/>
  <c r="P58" i="9"/>
  <c r="P76" i="9"/>
  <c r="P72" i="9"/>
  <c r="P88" i="9"/>
  <c r="P68" i="9"/>
  <c r="P48" i="9"/>
  <c r="P38" i="9"/>
  <c r="P16" i="9"/>
  <c r="P86" i="9"/>
  <c r="P32" i="9"/>
  <c r="P90" i="9"/>
  <c r="P18" i="9"/>
  <c r="P60" i="9"/>
  <c r="P84" i="9"/>
  <c r="P46" i="9"/>
  <c r="Y274" i="5"/>
  <c r="AA142" i="7" s="1"/>
  <c r="Z84" i="7"/>
  <c r="AA272" i="5"/>
  <c r="N142" i="9" s="1"/>
  <c r="O142" i="9" s="1"/>
  <c r="P142" i="9" s="1"/>
  <c r="AA82" i="7"/>
  <c r="Q19" i="8"/>
  <c r="X276" i="5"/>
  <c r="S278" i="5"/>
  <c r="V276" i="5"/>
  <c r="AM276" i="5"/>
  <c r="AN276" i="5" s="1"/>
  <c r="W276" i="5"/>
  <c r="AF18" i="7"/>
  <c r="K12" i="15"/>
  <c r="W12" i="15"/>
  <c r="V13" i="15"/>
  <c r="S14" i="15" s="1"/>
  <c r="J12" i="15"/>
  <c r="Q18" i="8"/>
  <c r="Z144" i="7" l="1"/>
  <c r="Q65" i="9"/>
  <c r="O65" i="9"/>
  <c r="R65" i="9"/>
  <c r="Q75" i="9"/>
  <c r="R75" i="9"/>
  <c r="O75" i="9"/>
  <c r="Q29" i="9"/>
  <c r="O29" i="9"/>
  <c r="R29" i="9"/>
  <c r="R157" i="9"/>
  <c r="O157" i="9"/>
  <c r="P157" i="9" s="1"/>
  <c r="Q157" i="9"/>
  <c r="R111" i="9"/>
  <c r="O111" i="9"/>
  <c r="Q111" i="9"/>
  <c r="R73" i="9"/>
  <c r="O73" i="9"/>
  <c r="Q73" i="9"/>
  <c r="R83" i="9"/>
  <c r="O83" i="9"/>
  <c r="Q83" i="9"/>
  <c r="Q37" i="9"/>
  <c r="O37" i="9"/>
  <c r="R37" i="9"/>
  <c r="R165" i="9"/>
  <c r="O165" i="9"/>
  <c r="P165" i="9" s="1"/>
  <c r="Q165" i="9"/>
  <c r="O119" i="9"/>
  <c r="R119" i="9"/>
  <c r="Q119" i="9"/>
  <c r="R81" i="9"/>
  <c r="Q81" i="9"/>
  <c r="O81" i="9"/>
  <c r="R91" i="9"/>
  <c r="O91" i="9"/>
  <c r="Q91" i="9"/>
  <c r="Q45" i="9"/>
  <c r="O45" i="9"/>
  <c r="R45" i="9"/>
  <c r="Q19" i="9"/>
  <c r="O19" i="9"/>
  <c r="R19" i="9"/>
  <c r="O127" i="9"/>
  <c r="R127" i="9"/>
  <c r="Q127" i="9"/>
  <c r="R89" i="9"/>
  <c r="O89" i="9"/>
  <c r="Q89" i="9"/>
  <c r="R99" i="9"/>
  <c r="O99" i="9"/>
  <c r="Q99" i="9"/>
  <c r="Q53" i="9"/>
  <c r="O53" i="9"/>
  <c r="R53" i="9"/>
  <c r="Q59" i="9"/>
  <c r="O59" i="9"/>
  <c r="R59" i="9"/>
  <c r="Q135" i="9"/>
  <c r="R135" i="9"/>
  <c r="O135" i="9"/>
  <c r="AB276" i="5" a="1"/>
  <c r="AB276" i="5" s="1"/>
  <c r="R97" i="9"/>
  <c r="Q97" i="9"/>
  <c r="O97" i="9"/>
  <c r="O107" i="9"/>
  <c r="Q107" i="9"/>
  <c r="R107" i="9"/>
  <c r="Q61" i="9"/>
  <c r="O61" i="9"/>
  <c r="R61" i="9"/>
  <c r="Q15" i="9"/>
  <c r="R15" i="9"/>
  <c r="O15" i="9"/>
  <c r="R143" i="9"/>
  <c r="O143" i="9"/>
  <c r="Q143" i="9"/>
  <c r="Q105" i="9"/>
  <c r="O105" i="9"/>
  <c r="R105" i="9"/>
  <c r="R115" i="9"/>
  <c r="O115" i="9"/>
  <c r="Q115" i="9"/>
  <c r="R69" i="9"/>
  <c r="O69" i="9"/>
  <c r="Q69" i="9"/>
  <c r="Q23" i="9"/>
  <c r="O23" i="9"/>
  <c r="R23" i="9"/>
  <c r="R151" i="9"/>
  <c r="O151" i="9"/>
  <c r="P151" i="9" s="1"/>
  <c r="Q151" i="9"/>
  <c r="R113" i="9"/>
  <c r="O113" i="9"/>
  <c r="Q113" i="9"/>
  <c r="Q123" i="9"/>
  <c r="R123" i="9"/>
  <c r="O123" i="9"/>
  <c r="Q77" i="9"/>
  <c r="O77" i="9"/>
  <c r="R77" i="9"/>
  <c r="Q31" i="9"/>
  <c r="R31" i="9"/>
  <c r="O31" i="9"/>
  <c r="O159" i="9"/>
  <c r="P159" i="9" s="1"/>
  <c r="Q159" i="9"/>
  <c r="R159" i="9"/>
  <c r="O121" i="9"/>
  <c r="R121" i="9"/>
  <c r="Q121" i="9"/>
  <c r="Q131" i="9"/>
  <c r="R131" i="9"/>
  <c r="O131" i="9"/>
  <c r="R85" i="9"/>
  <c r="Q85" i="9"/>
  <c r="O85" i="9"/>
  <c r="Q39" i="9"/>
  <c r="R39" i="9"/>
  <c r="O39" i="9"/>
  <c r="O167" i="9"/>
  <c r="P167" i="9" s="1"/>
  <c r="Q167" i="9"/>
  <c r="R167" i="9"/>
  <c r="AB275" i="5" a="1"/>
  <c r="AB275" i="5" s="1"/>
  <c r="Q27" i="9"/>
  <c r="R27" i="9"/>
  <c r="O27" i="9"/>
  <c r="Q129" i="9"/>
  <c r="O129" i="9"/>
  <c r="R129" i="9"/>
  <c r="O139" i="9"/>
  <c r="Q139" i="9"/>
  <c r="R139" i="9"/>
  <c r="R93" i="9"/>
  <c r="Q93" i="9"/>
  <c r="O93" i="9"/>
  <c r="Q47" i="9"/>
  <c r="O47" i="9"/>
  <c r="R47" i="9"/>
  <c r="Q51" i="9"/>
  <c r="R51" i="9"/>
  <c r="O51" i="9"/>
  <c r="R137" i="9"/>
  <c r="Q137" i="9"/>
  <c r="O137" i="9"/>
  <c r="R147" i="9"/>
  <c r="O147" i="9"/>
  <c r="P147" i="9" s="1"/>
  <c r="Q147" i="9"/>
  <c r="R101" i="9"/>
  <c r="Q101" i="9"/>
  <c r="O101" i="9"/>
  <c r="Q55" i="9"/>
  <c r="O55" i="9"/>
  <c r="R55" i="9"/>
  <c r="Q17" i="9"/>
  <c r="R17" i="9"/>
  <c r="O17" i="9"/>
  <c r="R145" i="9"/>
  <c r="Q145" i="9"/>
  <c r="O145" i="9"/>
  <c r="P145" i="9" s="1"/>
  <c r="Q155" i="9"/>
  <c r="R155" i="9"/>
  <c r="O155" i="9"/>
  <c r="P155" i="9" s="1"/>
  <c r="R109" i="9"/>
  <c r="O109" i="9"/>
  <c r="Q109" i="9"/>
  <c r="Q63" i="9"/>
  <c r="R63" i="9"/>
  <c r="O63" i="9"/>
  <c r="Q25" i="9"/>
  <c r="O25" i="9"/>
  <c r="R25" i="9"/>
  <c r="R153" i="9"/>
  <c r="Q153" i="9"/>
  <c r="O153" i="9"/>
  <c r="P153" i="9" s="1"/>
  <c r="O163" i="9"/>
  <c r="P163" i="9" s="1"/>
  <c r="Q163" i="9"/>
  <c r="R163" i="9"/>
  <c r="R117" i="9"/>
  <c r="O117" i="9"/>
  <c r="Q117" i="9"/>
  <c r="R71" i="9"/>
  <c r="Q71" i="9"/>
  <c r="O71" i="9"/>
  <c r="Q33" i="9"/>
  <c r="O33" i="9"/>
  <c r="R33" i="9"/>
  <c r="R161" i="9"/>
  <c r="Q161" i="9"/>
  <c r="O161" i="9"/>
  <c r="P161" i="9" s="1"/>
  <c r="Q11" i="9"/>
  <c r="R11" i="9"/>
  <c r="O11" i="9"/>
  <c r="O125" i="9"/>
  <c r="R125" i="9"/>
  <c r="Q125" i="9"/>
  <c r="O79" i="9"/>
  <c r="Q79" i="9"/>
  <c r="R79" i="9"/>
  <c r="Q41" i="9"/>
  <c r="R41" i="9"/>
  <c r="O41" i="9"/>
  <c r="O169" i="9"/>
  <c r="P169" i="9" s="1"/>
  <c r="R169" i="9"/>
  <c r="Q169" i="9"/>
  <c r="Q43" i="9"/>
  <c r="O43" i="9"/>
  <c r="R43" i="9"/>
  <c r="R133" i="9"/>
  <c r="O133" i="9"/>
  <c r="Q133" i="9"/>
  <c r="R87" i="9"/>
  <c r="Q87" i="9"/>
  <c r="O87" i="9"/>
  <c r="Q49" i="9"/>
  <c r="R49" i="9"/>
  <c r="O49" i="9"/>
  <c r="Q35" i="9"/>
  <c r="R35" i="9"/>
  <c r="O35" i="9"/>
  <c r="Q13" i="9"/>
  <c r="R13" i="9"/>
  <c r="O13" i="9"/>
  <c r="R141" i="9"/>
  <c r="O141" i="9"/>
  <c r="Q141" i="9"/>
  <c r="R95" i="9"/>
  <c r="O95" i="9"/>
  <c r="Q95" i="9"/>
  <c r="Q57" i="9"/>
  <c r="O57" i="9"/>
  <c r="R57" i="9"/>
  <c r="R67" i="9"/>
  <c r="Q67" i="9"/>
  <c r="O67" i="9"/>
  <c r="Q21" i="9"/>
  <c r="O21" i="9"/>
  <c r="R21" i="9"/>
  <c r="R149" i="9"/>
  <c r="O149" i="9"/>
  <c r="P149" i="9" s="1"/>
  <c r="Q149" i="9"/>
  <c r="Q103" i="9"/>
  <c r="R103" i="9"/>
  <c r="O103" i="9"/>
  <c r="T131" i="9"/>
  <c r="T139" i="9"/>
  <c r="T115" i="9"/>
  <c r="T121" i="9"/>
  <c r="T149" i="9"/>
  <c r="T125" i="9"/>
  <c r="T137" i="9"/>
  <c r="T167" i="9"/>
  <c r="T129" i="9"/>
  <c r="T161" i="9"/>
  <c r="T123" i="9"/>
  <c r="T145" i="9"/>
  <c r="T151" i="9"/>
  <c r="T163" i="9"/>
  <c r="T135" i="9"/>
  <c r="T159" i="9"/>
  <c r="T165" i="9"/>
  <c r="T127" i="9"/>
  <c r="T153" i="9"/>
  <c r="T117" i="9"/>
  <c r="T133" i="9"/>
  <c r="T143" i="9"/>
  <c r="T169" i="9"/>
  <c r="T157" i="9"/>
  <c r="T155" i="9"/>
  <c r="T147" i="9"/>
  <c r="T119" i="9"/>
  <c r="T141" i="9"/>
  <c r="P21" i="19"/>
  <c r="P20" i="19"/>
  <c r="Y276" i="5"/>
  <c r="AA144" i="7" s="1"/>
  <c r="Z86" i="7"/>
  <c r="AA274" i="5"/>
  <c r="AA84" i="7"/>
  <c r="X278" i="5"/>
  <c r="Z146" i="7"/>
  <c r="S280" i="5"/>
  <c r="V278" i="5"/>
  <c r="AM278" i="5"/>
  <c r="AN278" i="5" s="1"/>
  <c r="W278" i="5"/>
  <c r="L12" i="15"/>
  <c r="M12" i="15" s="1"/>
  <c r="N144" i="9" l="1"/>
  <c r="R144" i="9" s="1"/>
  <c r="S149" i="9"/>
  <c r="S169" i="9"/>
  <c r="S163" i="9"/>
  <c r="S145" i="9"/>
  <c r="S159" i="9"/>
  <c r="S165" i="9"/>
  <c r="P87" i="9"/>
  <c r="S87" i="9" s="1"/>
  <c r="R86" i="9"/>
  <c r="S86" i="9" s="1"/>
  <c r="Q86" i="9"/>
  <c r="P133" i="9"/>
  <c r="S133" i="9" s="1"/>
  <c r="Q132" i="9"/>
  <c r="R132" i="9"/>
  <c r="S132" i="9" s="1"/>
  <c r="P41" i="9"/>
  <c r="S41" i="9" s="1"/>
  <c r="R40" i="9"/>
  <c r="S40" i="9" s="1"/>
  <c r="Q40" i="9"/>
  <c r="P125" i="9"/>
  <c r="S125" i="9" s="1"/>
  <c r="R124" i="9"/>
  <c r="S124" i="9" s="1"/>
  <c r="Q124" i="9"/>
  <c r="S161" i="9"/>
  <c r="P33" i="9"/>
  <c r="S33" i="9" s="1"/>
  <c r="R32" i="9"/>
  <c r="S32" i="9" s="1"/>
  <c r="Q32" i="9"/>
  <c r="AB277" i="5" a="1"/>
  <c r="AB277" i="5" s="1"/>
  <c r="P71" i="9"/>
  <c r="S71" i="9" s="1"/>
  <c r="R70" i="9"/>
  <c r="S70" i="9" s="1"/>
  <c r="Q70" i="9"/>
  <c r="P117" i="9"/>
  <c r="S117" i="9" s="1"/>
  <c r="R116" i="9"/>
  <c r="S116" i="9" s="1"/>
  <c r="Q116" i="9"/>
  <c r="P93" i="9"/>
  <c r="S93" i="9" s="1"/>
  <c r="R92" i="9"/>
  <c r="S92" i="9" s="1"/>
  <c r="Q92" i="9"/>
  <c r="S167" i="9"/>
  <c r="P85" i="9"/>
  <c r="S85" i="9" s="1"/>
  <c r="R84" i="9"/>
  <c r="S84" i="9" s="1"/>
  <c r="Q84" i="9"/>
  <c r="P121" i="9"/>
  <c r="S121" i="9" s="1"/>
  <c r="R120" i="9"/>
  <c r="S120" i="9" s="1"/>
  <c r="Q120" i="9"/>
  <c r="P31" i="9"/>
  <c r="S31" i="9" s="1"/>
  <c r="R30" i="9"/>
  <c r="S30" i="9" s="1"/>
  <c r="Q30" i="9"/>
  <c r="P77" i="9"/>
  <c r="S77" i="9" s="1"/>
  <c r="R76" i="9"/>
  <c r="S76" i="9" s="1"/>
  <c r="Q76" i="9"/>
  <c r="P23" i="9"/>
  <c r="S23" i="9" s="1"/>
  <c r="R22" i="9"/>
  <c r="S22" i="9" s="1"/>
  <c r="Q22" i="9"/>
  <c r="P143" i="9"/>
  <c r="S143" i="9" s="1"/>
  <c r="R142" i="9"/>
  <c r="S142" i="9" s="1"/>
  <c r="Q142" i="9"/>
  <c r="P53" i="9"/>
  <c r="S53" i="9" s="1"/>
  <c r="R52" i="9"/>
  <c r="S52" i="9" s="1"/>
  <c r="Q52" i="9"/>
  <c r="P19" i="9"/>
  <c r="S19" i="9" s="1"/>
  <c r="R18" i="9"/>
  <c r="S18" i="9" s="1"/>
  <c r="Q18" i="9"/>
  <c r="P81" i="9"/>
  <c r="S81" i="9" s="1"/>
  <c r="R80" i="9"/>
  <c r="S80" i="9" s="1"/>
  <c r="Q80" i="9"/>
  <c r="P73" i="9"/>
  <c r="S73" i="9" s="1"/>
  <c r="R72" i="9"/>
  <c r="S72" i="9" s="1"/>
  <c r="Q72" i="9"/>
  <c r="P21" i="9"/>
  <c r="S21" i="9" s="1"/>
  <c r="R20" i="9"/>
  <c r="S20" i="9" s="1"/>
  <c r="Q20" i="9"/>
  <c r="P141" i="9"/>
  <c r="S141" i="9" s="1"/>
  <c r="R140" i="9"/>
  <c r="S140" i="9" s="1"/>
  <c r="Q140" i="9"/>
  <c r="P49" i="9"/>
  <c r="S49" i="9" s="1"/>
  <c r="R48" i="9"/>
  <c r="S48" i="9" s="1"/>
  <c r="Q48" i="9"/>
  <c r="P79" i="9"/>
  <c r="S79" i="9" s="1"/>
  <c r="R78" i="9"/>
  <c r="S78" i="9" s="1"/>
  <c r="Q78" i="9"/>
  <c r="P11" i="9"/>
  <c r="S11" i="9" s="1"/>
  <c r="R10" i="9"/>
  <c r="S10" i="9" s="1"/>
  <c r="Q10" i="9"/>
  <c r="S153" i="9"/>
  <c r="P25" i="9"/>
  <c r="S25" i="9" s="1"/>
  <c r="R24" i="9"/>
  <c r="S24" i="9" s="1"/>
  <c r="Q24" i="9"/>
  <c r="S155" i="9"/>
  <c r="P101" i="9"/>
  <c r="S101" i="9" s="1"/>
  <c r="Q100" i="9"/>
  <c r="R100" i="9"/>
  <c r="S100" i="9" s="1"/>
  <c r="S147" i="9"/>
  <c r="P139" i="9"/>
  <c r="S139" i="9" s="1"/>
  <c r="R138" i="9"/>
  <c r="S138" i="9" s="1"/>
  <c r="Q138" i="9"/>
  <c r="P27" i="9"/>
  <c r="S27" i="9" s="1"/>
  <c r="R26" i="9"/>
  <c r="S26" i="9" s="1"/>
  <c r="Q26" i="9"/>
  <c r="P39" i="9"/>
  <c r="S39" i="9" s="1"/>
  <c r="R38" i="9"/>
  <c r="S38" i="9" s="1"/>
  <c r="Q38" i="9"/>
  <c r="S151" i="9"/>
  <c r="P105" i="9"/>
  <c r="S105" i="9" s="1"/>
  <c r="R104" i="9"/>
  <c r="S104" i="9" s="1"/>
  <c r="Q104" i="9"/>
  <c r="P135" i="9"/>
  <c r="S135" i="9" s="1"/>
  <c r="R134" i="9"/>
  <c r="S134" i="9" s="1"/>
  <c r="Q134" i="9"/>
  <c r="P59" i="9"/>
  <c r="S59" i="9" s="1"/>
  <c r="R58" i="9"/>
  <c r="S58" i="9" s="1"/>
  <c r="Q58" i="9"/>
  <c r="P119" i="9"/>
  <c r="S119" i="9" s="1"/>
  <c r="R118" i="9"/>
  <c r="S118" i="9" s="1"/>
  <c r="Q118" i="9"/>
  <c r="P83" i="9"/>
  <c r="S83" i="9" s="1"/>
  <c r="R82" i="9"/>
  <c r="S82" i="9" s="1"/>
  <c r="Q82" i="9"/>
  <c r="P29" i="9"/>
  <c r="S29" i="9" s="1"/>
  <c r="R28" i="9"/>
  <c r="S28" i="9" s="1"/>
  <c r="Q28" i="9"/>
  <c r="P103" i="9"/>
  <c r="S103" i="9" s="1"/>
  <c r="R102" i="9"/>
  <c r="S102" i="9" s="1"/>
  <c r="Q102" i="9"/>
  <c r="P95" i="9"/>
  <c r="S95" i="9" s="1"/>
  <c r="R94" i="9"/>
  <c r="S94" i="9" s="1"/>
  <c r="Q94" i="9"/>
  <c r="P35" i="9"/>
  <c r="S35" i="9" s="1"/>
  <c r="R34" i="9"/>
  <c r="S34" i="9" s="1"/>
  <c r="Q34" i="9"/>
  <c r="P51" i="9"/>
  <c r="S51" i="9" s="1"/>
  <c r="R50" i="9"/>
  <c r="S50" i="9" s="1"/>
  <c r="Q50" i="9"/>
  <c r="P47" i="9"/>
  <c r="S47" i="9" s="1"/>
  <c r="R46" i="9"/>
  <c r="S46" i="9" s="1"/>
  <c r="Q46" i="9"/>
  <c r="P123" i="9"/>
  <c r="S123" i="9" s="1"/>
  <c r="R122" i="9"/>
  <c r="S122" i="9" s="1"/>
  <c r="Q122" i="9"/>
  <c r="P113" i="9"/>
  <c r="S113" i="9" s="1"/>
  <c r="R112" i="9"/>
  <c r="S112" i="9" s="1"/>
  <c r="Q112" i="9"/>
  <c r="P115" i="9"/>
  <c r="S115" i="9" s="1"/>
  <c r="R114" i="9"/>
  <c r="S114" i="9" s="1"/>
  <c r="Q114" i="9"/>
  <c r="P15" i="9"/>
  <c r="S15" i="9" s="1"/>
  <c r="R14" i="9"/>
  <c r="S14" i="9" s="1"/>
  <c r="Q14" i="9"/>
  <c r="P61" i="9"/>
  <c r="S61" i="9" s="1"/>
  <c r="R60" i="9"/>
  <c r="S60" i="9" s="1"/>
  <c r="Q60" i="9"/>
  <c r="P107" i="9"/>
  <c r="S107" i="9" s="1"/>
  <c r="R106" i="9"/>
  <c r="S106" i="9" s="1"/>
  <c r="Q106" i="9"/>
  <c r="P89" i="9"/>
  <c r="S89" i="9" s="1"/>
  <c r="R88" i="9"/>
  <c r="S88" i="9" s="1"/>
  <c r="Q88" i="9"/>
  <c r="P127" i="9"/>
  <c r="S127" i="9" s="1"/>
  <c r="Q126" i="9"/>
  <c r="R126" i="9"/>
  <c r="S126" i="9" s="1"/>
  <c r="P91" i="9"/>
  <c r="S91" i="9" s="1"/>
  <c r="R90" i="9"/>
  <c r="S90" i="9" s="1"/>
  <c r="Q90" i="9"/>
  <c r="P37" i="9"/>
  <c r="S37" i="9" s="1"/>
  <c r="R36" i="9"/>
  <c r="S36" i="9" s="1"/>
  <c r="Q36" i="9"/>
  <c r="S157" i="9"/>
  <c r="P67" i="9"/>
  <c r="S67" i="9" s="1"/>
  <c r="R66" i="9"/>
  <c r="S66" i="9" s="1"/>
  <c r="Q66" i="9"/>
  <c r="P57" i="9"/>
  <c r="S57" i="9" s="1"/>
  <c r="R56" i="9"/>
  <c r="S56" i="9" s="1"/>
  <c r="Q56" i="9"/>
  <c r="P13" i="9"/>
  <c r="S13" i="9" s="1"/>
  <c r="R12" i="9"/>
  <c r="S12" i="9" s="1"/>
  <c r="Q12" i="9"/>
  <c r="P43" i="9"/>
  <c r="S43" i="9" s="1"/>
  <c r="R42" i="9"/>
  <c r="S42" i="9" s="1"/>
  <c r="Q42" i="9"/>
  <c r="AB278" i="5" a="1"/>
  <c r="AB278" i="5" s="1"/>
  <c r="P63" i="9"/>
  <c r="S63" i="9" s="1"/>
  <c r="R62" i="9"/>
  <c r="S62" i="9" s="1"/>
  <c r="Q62" i="9"/>
  <c r="P109" i="9"/>
  <c r="S109" i="9" s="1"/>
  <c r="R108" i="9"/>
  <c r="S108" i="9" s="1"/>
  <c r="Q108" i="9"/>
  <c r="P17" i="9"/>
  <c r="S17" i="9" s="1"/>
  <c r="R16" i="9"/>
  <c r="S16" i="9" s="1"/>
  <c r="Q16" i="9"/>
  <c r="P55" i="9"/>
  <c r="S55" i="9" s="1"/>
  <c r="R54" i="9"/>
  <c r="S54" i="9" s="1"/>
  <c r="Q54" i="9"/>
  <c r="P137" i="9"/>
  <c r="S137" i="9" s="1"/>
  <c r="R136" i="9"/>
  <c r="S136" i="9" s="1"/>
  <c r="Q136" i="9"/>
  <c r="P129" i="9"/>
  <c r="S129" i="9" s="1"/>
  <c r="R128" i="9"/>
  <c r="S128" i="9" s="1"/>
  <c r="Q128" i="9"/>
  <c r="P131" i="9"/>
  <c r="S131" i="9" s="1"/>
  <c r="R130" i="9"/>
  <c r="S130" i="9" s="1"/>
  <c r="Q130" i="9"/>
  <c r="P69" i="9"/>
  <c r="S69" i="9" s="1"/>
  <c r="R68" i="9"/>
  <c r="S68" i="9" s="1"/>
  <c r="Q68" i="9"/>
  <c r="P97" i="9"/>
  <c r="S97" i="9" s="1"/>
  <c r="R96" i="9"/>
  <c r="S96" i="9" s="1"/>
  <c r="Q96" i="9"/>
  <c r="P99" i="9"/>
  <c r="S99" i="9" s="1"/>
  <c r="R98" i="9"/>
  <c r="S98" i="9" s="1"/>
  <c r="Q98" i="9"/>
  <c r="P45" i="9"/>
  <c r="S45" i="9" s="1"/>
  <c r="R44" i="9"/>
  <c r="S44" i="9" s="1"/>
  <c r="Q44" i="9"/>
  <c r="P111" i="9"/>
  <c r="S111" i="9" s="1"/>
  <c r="R110" i="9"/>
  <c r="S110" i="9" s="1"/>
  <c r="Q110" i="9"/>
  <c r="P75" i="9"/>
  <c r="S75" i="9" s="1"/>
  <c r="R74" i="9"/>
  <c r="S74" i="9" s="1"/>
  <c r="Q74" i="9"/>
  <c r="P65" i="9"/>
  <c r="S65" i="9" s="1"/>
  <c r="R64" i="9"/>
  <c r="S64" i="9" s="1"/>
  <c r="Q64" i="9"/>
  <c r="AA276" i="5"/>
  <c r="AA86" i="7"/>
  <c r="Y278" i="5"/>
  <c r="AA146" i="7" s="1"/>
  <c r="Z88" i="7"/>
  <c r="X280" i="5"/>
  <c r="AA278" i="5"/>
  <c r="S282" i="5"/>
  <c r="W280" i="5"/>
  <c r="V280" i="5"/>
  <c r="AM280" i="5"/>
  <c r="AN280" i="5" s="1"/>
  <c r="N12" i="15"/>
  <c r="Y12" i="15" s="1" a="1"/>
  <c r="Y12" i="15" s="1"/>
  <c r="AF21" i="7" s="1"/>
  <c r="I13" i="15"/>
  <c r="Z148" i="7" l="1"/>
  <c r="O144" i="9"/>
  <c r="P144" i="9" s="1"/>
  <c r="S144" i="9" s="1"/>
  <c r="N148" i="9"/>
  <c r="R148" i="9" s="1"/>
  <c r="N146" i="9"/>
  <c r="AB279" i="5" a="1"/>
  <c r="AB279" i="5" s="1"/>
  <c r="AB280" i="5" a="1"/>
  <c r="AB280" i="5" s="1"/>
  <c r="Y280" i="5"/>
  <c r="Z90" i="7"/>
  <c r="AA88" i="7"/>
  <c r="S284" i="5"/>
  <c r="V282" i="5"/>
  <c r="Z150" i="7" s="1"/>
  <c r="AM282" i="5"/>
  <c r="AN282" i="5" s="1"/>
  <c r="W282" i="5"/>
  <c r="K13" i="15"/>
  <c r="W13" i="15"/>
  <c r="Z12" i="15"/>
  <c r="X12" i="15" a="1"/>
  <c r="X12" i="15" s="1"/>
  <c r="AF20" i="7" s="1"/>
  <c r="J13" i="15"/>
  <c r="Q144" i="9" l="1"/>
  <c r="AA148" i="7"/>
  <c r="AB300" i="5" a="1"/>
  <c r="AB300" i="5" s="1"/>
  <c r="AB301" i="5" a="1"/>
  <c r="AB301" i="5" s="1"/>
  <c r="O148" i="9"/>
  <c r="P148" i="9" s="1"/>
  <c r="S148" i="9" s="1"/>
  <c r="R146" i="9"/>
  <c r="O146" i="9"/>
  <c r="P146" i="9" s="1"/>
  <c r="Q148" i="9"/>
  <c r="AB282" i="5" a="1"/>
  <c r="AB282" i="5" s="1"/>
  <c r="AB286" i="5" a="1"/>
  <c r="AB286" i="5" s="1"/>
  <c r="AB283" i="5" a="1"/>
  <c r="AB283" i="5" s="1"/>
  <c r="AB287" i="5" a="1"/>
  <c r="AB287" i="5" s="1"/>
  <c r="AB293" i="5" a="1"/>
  <c r="AB293" i="5" s="1"/>
  <c r="AB285" i="5" a="1"/>
  <c r="AB285" i="5" s="1"/>
  <c r="AB289" i="5" a="1"/>
  <c r="AB289" i="5" s="1"/>
  <c r="AB298" i="5" a="1"/>
  <c r="AB298" i="5" s="1"/>
  <c r="AB291" i="5" a="1"/>
  <c r="AB291" i="5" s="1"/>
  <c r="AB297" i="5" a="1"/>
  <c r="AB297" i="5" s="1"/>
  <c r="AB288" i="5" a="1"/>
  <c r="AB288" i="5" s="1"/>
  <c r="AB296" i="5" a="1"/>
  <c r="AB296" i="5" s="1"/>
  <c r="AB290" i="5" a="1"/>
  <c r="AB290" i="5" s="1"/>
  <c r="AB284" i="5" a="1"/>
  <c r="AB284" i="5" s="1"/>
  <c r="AB281" i="5" a="1"/>
  <c r="AB281" i="5" s="1"/>
  <c r="AB295" i="5" a="1"/>
  <c r="AB295" i="5" s="1"/>
  <c r="AB299" i="5" a="1"/>
  <c r="AB299" i="5" s="1"/>
  <c r="AB292" i="5" a="1"/>
  <c r="AB292" i="5" s="1"/>
  <c r="AB294" i="5" a="1"/>
  <c r="AB294" i="5" s="1"/>
  <c r="P23" i="19"/>
  <c r="P22" i="19"/>
  <c r="AA150" i="7"/>
  <c r="AA92" i="7"/>
  <c r="Z92" i="7"/>
  <c r="AA280" i="5"/>
  <c r="N150" i="9" s="1"/>
  <c r="R150" i="9" s="1"/>
  <c r="AA90" i="7"/>
  <c r="Q21" i="8"/>
  <c r="S286" i="5"/>
  <c r="AM284" i="5"/>
  <c r="AN284" i="5" s="1"/>
  <c r="W284" i="5"/>
  <c r="AA152" i="7" s="1"/>
  <c r="V284" i="5"/>
  <c r="Z152" i="7" s="1"/>
  <c r="V14" i="15"/>
  <c r="S15" i="15" s="1"/>
  <c r="Q20" i="8"/>
  <c r="L13" i="15"/>
  <c r="S146" i="9" l="1"/>
  <c r="Q146" i="9"/>
  <c r="O150" i="9"/>
  <c r="P150" i="9" s="1"/>
  <c r="S150" i="9" s="1"/>
  <c r="N156" i="9"/>
  <c r="N166" i="9"/>
  <c r="N164" i="9"/>
  <c r="N168" i="9"/>
  <c r="N160" i="9"/>
  <c r="N162" i="9"/>
  <c r="N158" i="9"/>
  <c r="N154" i="9"/>
  <c r="N152" i="9"/>
  <c r="AA94" i="7"/>
  <c r="Z94" i="7"/>
  <c r="S288" i="5"/>
  <c r="V286" i="5"/>
  <c r="Z154" i="7" s="1"/>
  <c r="AM286" i="5"/>
  <c r="AN286" i="5" s="1"/>
  <c r="W286" i="5"/>
  <c r="AA154" i="7" s="1"/>
  <c r="N13" i="15"/>
  <c r="M13" i="15"/>
  <c r="Q150" i="9" l="1"/>
  <c r="O154" i="9"/>
  <c r="P154" i="9" s="1"/>
  <c r="R154" i="9"/>
  <c r="O168" i="9"/>
  <c r="P168" i="9" s="1"/>
  <c r="R168" i="9"/>
  <c r="O158" i="9"/>
  <c r="P158" i="9" s="1"/>
  <c r="R158" i="9"/>
  <c r="R164" i="9"/>
  <c r="O164" i="9"/>
  <c r="P164" i="9" s="1"/>
  <c r="O162" i="9"/>
  <c r="P162" i="9" s="1"/>
  <c r="R162" i="9"/>
  <c r="O166" i="9"/>
  <c r="P166" i="9" s="1"/>
  <c r="R166" i="9"/>
  <c r="O152" i="9"/>
  <c r="P152" i="9" s="1"/>
  <c r="R152" i="9"/>
  <c r="O160" i="9"/>
  <c r="P160" i="9" s="1"/>
  <c r="R160" i="9"/>
  <c r="O156" i="9"/>
  <c r="P156" i="9" s="1"/>
  <c r="R156" i="9"/>
  <c r="AA96" i="7"/>
  <c r="Z96" i="7"/>
  <c r="T158" i="9"/>
  <c r="V158" i="9" s="1"/>
  <c r="T160" i="9"/>
  <c r="V160" i="9" s="1"/>
  <c r="T168" i="9"/>
  <c r="V168" i="9" s="1"/>
  <c r="T156" i="9"/>
  <c r="V156" i="9" s="1"/>
  <c r="T164" i="9"/>
  <c r="V164" i="9" s="1"/>
  <c r="T154" i="9"/>
  <c r="V154" i="9" s="1"/>
  <c r="T166" i="9"/>
  <c r="V166" i="9" s="1"/>
  <c r="T162" i="9"/>
  <c r="V162" i="9" s="1"/>
  <c r="S290" i="5"/>
  <c r="W288" i="5"/>
  <c r="AA118" i="7" s="1"/>
  <c r="AM288" i="5"/>
  <c r="AN288" i="5" s="1"/>
  <c r="V288" i="5"/>
  <c r="Z118" i="7" s="1"/>
  <c r="Y13" i="15" a="1"/>
  <c r="Y13" i="15" s="1"/>
  <c r="AF23" i="7" s="1"/>
  <c r="V15" i="15"/>
  <c r="S16" i="15" s="1"/>
  <c r="X13" i="15" a="1"/>
  <c r="X13" i="15" s="1"/>
  <c r="I14" i="15"/>
  <c r="Z13" i="15"/>
  <c r="AA156" i="7" l="1"/>
  <c r="Z156" i="7"/>
  <c r="S156" i="9"/>
  <c r="S152" i="9"/>
  <c r="S162" i="9"/>
  <c r="S158" i="9"/>
  <c r="S154" i="9"/>
  <c r="S160" i="9"/>
  <c r="S168" i="9"/>
  <c r="S164" i="9"/>
  <c r="S166" i="9"/>
  <c r="Q160" i="9"/>
  <c r="Q158" i="9"/>
  <c r="Q164" i="9"/>
  <c r="Q162" i="9"/>
  <c r="Q154" i="9"/>
  <c r="Q156" i="9"/>
  <c r="Q166" i="9"/>
  <c r="Q168" i="9"/>
  <c r="Q152" i="9"/>
  <c r="AA98" i="7"/>
  <c r="Z98" i="7"/>
  <c r="Q23" i="8"/>
  <c r="S292" i="5"/>
  <c r="AM290" i="5"/>
  <c r="AN290" i="5" s="1"/>
  <c r="W290" i="5"/>
  <c r="AA120" i="7" s="1"/>
  <c r="V290" i="5"/>
  <c r="Z120" i="7" s="1"/>
  <c r="AF22" i="7"/>
  <c r="J14" i="15"/>
  <c r="L14" i="15" s="1"/>
  <c r="M14" i="15" s="1"/>
  <c r="W14" i="15"/>
  <c r="Q22" i="8"/>
  <c r="K14" i="15"/>
  <c r="AA158" i="7" l="1"/>
  <c r="Z158" i="7"/>
  <c r="P25" i="19"/>
  <c r="P24" i="19"/>
  <c r="U167" i="9"/>
  <c r="S167" i="7" s="1"/>
  <c r="U155" i="9"/>
  <c r="S155" i="7" s="1"/>
  <c r="U162" i="9"/>
  <c r="U165" i="9"/>
  <c r="S165" i="7" s="1"/>
  <c r="U169" i="9"/>
  <c r="S169" i="7" s="1"/>
  <c r="U156" i="9"/>
  <c r="U159" i="9"/>
  <c r="S159" i="7" s="1"/>
  <c r="U157" i="9"/>
  <c r="S157" i="7" s="1"/>
  <c r="U163" i="9"/>
  <c r="S163" i="7" s="1"/>
  <c r="U161" i="9"/>
  <c r="S161" i="7" s="1"/>
  <c r="U160" i="9"/>
  <c r="U154" i="9"/>
  <c r="AA100" i="7"/>
  <c r="U164" i="9"/>
  <c r="Z100" i="7"/>
  <c r="U166" i="9"/>
  <c r="U168" i="9"/>
  <c r="U158" i="9"/>
  <c r="S294" i="5"/>
  <c r="W292" i="5"/>
  <c r="AA160" i="7" s="1"/>
  <c r="V292" i="5"/>
  <c r="Z160" i="7" s="1"/>
  <c r="AM292" i="5"/>
  <c r="AN292" i="5" s="1"/>
  <c r="N14" i="15"/>
  <c r="Z14" i="15" s="1"/>
  <c r="I15" i="15"/>
  <c r="Z122" i="7" l="1"/>
  <c r="Z110" i="7"/>
  <c r="AA122" i="7"/>
  <c r="AA110" i="7"/>
  <c r="Z102" i="7"/>
  <c r="AA102" i="7"/>
  <c r="Q24" i="8"/>
  <c r="S296" i="5"/>
  <c r="AM294" i="5"/>
  <c r="AN294" i="5" s="1"/>
  <c r="W294" i="5"/>
  <c r="AA162" i="7" s="1"/>
  <c r="V294" i="5"/>
  <c r="Z162" i="7" s="1"/>
  <c r="J15" i="15"/>
  <c r="L15" i="15" s="1"/>
  <c r="W15" i="15"/>
  <c r="X14" i="15" a="1"/>
  <c r="X14" i="15" s="1"/>
  <c r="Y14" i="15" a="1"/>
  <c r="Y14" i="15" s="1"/>
  <c r="AF25" i="7" s="1"/>
  <c r="K15" i="15"/>
  <c r="Q25" i="8"/>
  <c r="P27" i="19" l="1"/>
  <c r="P26" i="19"/>
  <c r="Z124" i="7"/>
  <c r="Z112" i="7"/>
  <c r="AA124" i="7"/>
  <c r="AA112" i="7"/>
  <c r="Z104" i="7"/>
  <c r="AA104" i="7"/>
  <c r="S298" i="5"/>
  <c r="V296" i="5"/>
  <c r="Z164" i="7" s="1"/>
  <c r="W296" i="5"/>
  <c r="AA164" i="7" s="1"/>
  <c r="AM296" i="5"/>
  <c r="AN296" i="5" s="1"/>
  <c r="AF24" i="7"/>
  <c r="V16" i="15"/>
  <c r="S17" i="15" s="1"/>
  <c r="M15" i="15"/>
  <c r="N15" i="15"/>
  <c r="S300" i="5" l="1"/>
  <c r="Z126" i="7"/>
  <c r="Z114" i="7"/>
  <c r="AA126" i="7"/>
  <c r="AA114" i="7"/>
  <c r="AA106" i="7"/>
  <c r="Z106" i="7"/>
  <c r="AM298" i="5"/>
  <c r="AN298" i="5" s="1"/>
  <c r="V298" i="5"/>
  <c r="Z166" i="7" s="1"/>
  <c r="W298" i="5"/>
  <c r="AA166" i="7" s="1"/>
  <c r="Y15" i="15" a="1"/>
  <c r="Y15" i="15" s="1"/>
  <c r="AF27" i="7" s="1"/>
  <c r="I16" i="15"/>
  <c r="X15" i="15" a="1"/>
  <c r="X15" i="15" s="1"/>
  <c r="Z15" i="15"/>
  <c r="W300" i="5" l="1"/>
  <c r="V300" i="5"/>
  <c r="AA128" i="7"/>
  <c r="AA116" i="7"/>
  <c r="Z128" i="7"/>
  <c r="Z116" i="7"/>
  <c r="AA168" i="7"/>
  <c r="AA108" i="7"/>
  <c r="Z168" i="7"/>
  <c r="Z108" i="7"/>
  <c r="Q27" i="8"/>
  <c r="AF26" i="7"/>
  <c r="J16" i="15"/>
  <c r="L16" i="15" s="1"/>
  <c r="W16" i="15"/>
  <c r="V17" i="15"/>
  <c r="S18" i="15" s="1"/>
  <c r="K16" i="15"/>
  <c r="Q26" i="8"/>
  <c r="P29" i="19" l="1"/>
  <c r="P28" i="19"/>
  <c r="M16" i="15"/>
  <c r="N16" i="15"/>
  <c r="Z16" i="15" l="1"/>
  <c r="X16" i="15" a="1"/>
  <c r="X16" i="15" s="1"/>
  <c r="Y16" i="15" a="1"/>
  <c r="Y16" i="15" s="1"/>
  <c r="AF29" i="7" s="1"/>
  <c r="I17" i="15"/>
  <c r="W17" i="15" s="1"/>
  <c r="P31" i="19" l="1"/>
  <c r="P30" i="19"/>
  <c r="Q28" i="8"/>
  <c r="V18" i="15"/>
  <c r="S19" i="15" s="1"/>
  <c r="Q29" i="8"/>
  <c r="K17" i="15"/>
  <c r="J17" i="15"/>
  <c r="AF28" i="7"/>
  <c r="L17" i="15" l="1"/>
  <c r="M17" i="15" s="1"/>
  <c r="N17" i="15" l="1"/>
  <c r="X17" i="15" s="1" a="1"/>
  <c r="X17" i="15" s="1"/>
  <c r="I18" i="15"/>
  <c r="K18" i="15" l="1"/>
  <c r="W18" i="15"/>
  <c r="J18" i="15"/>
  <c r="L18" i="15" s="1"/>
  <c r="Y17" i="15" a="1"/>
  <c r="Y17" i="15" s="1"/>
  <c r="Z17" i="15"/>
  <c r="AF30" i="7" l="1"/>
  <c r="AF31" i="7"/>
  <c r="P33" i="19"/>
  <c r="P32" i="19"/>
  <c r="Q31" i="8"/>
  <c r="V19" i="15"/>
  <c r="S20" i="15" s="1"/>
  <c r="Q30" i="8"/>
  <c r="M18" i="15"/>
  <c r="N18" i="15"/>
  <c r="Z18" i="15" l="1"/>
  <c r="I19" i="15"/>
  <c r="X18" i="15" a="1"/>
  <c r="X18" i="15" s="1"/>
  <c r="Y18" i="15" a="1"/>
  <c r="Y18" i="15" s="1"/>
  <c r="AF33" i="7" s="1"/>
  <c r="Q32" i="8"/>
  <c r="Q33" i="8" l="1"/>
  <c r="AF32" i="7"/>
  <c r="J19" i="15"/>
  <c r="L19" i="15" s="1"/>
  <c r="M19" i="15" s="1"/>
  <c r="W19" i="15"/>
  <c r="V20" i="15"/>
  <c r="S21" i="15" s="1"/>
  <c r="K19" i="15"/>
  <c r="P35" i="19" l="1"/>
  <c r="P34" i="19"/>
  <c r="N19" i="15"/>
  <c r="Z19" i="15" s="1"/>
  <c r="I20" i="15"/>
  <c r="J20" i="15" l="1"/>
  <c r="L20" i="15" s="1"/>
  <c r="N20" i="15" s="1"/>
  <c r="W20" i="15"/>
  <c r="Y19" i="15" a="1"/>
  <c r="Y19" i="15" s="1"/>
  <c r="AF35" i="7" s="1"/>
  <c r="X19" i="15" a="1"/>
  <c r="X19" i="15" s="1"/>
  <c r="Q35" i="8"/>
  <c r="Q34" i="8"/>
  <c r="K20" i="15"/>
  <c r="P37" i="19" l="1"/>
  <c r="P36" i="19"/>
  <c r="AF34" i="7"/>
  <c r="V21" i="15"/>
  <c r="S22" i="15" s="1"/>
  <c r="M20" i="15"/>
  <c r="I21" i="15" s="1"/>
  <c r="K21" i="15" s="1"/>
  <c r="W21" i="15" l="1"/>
  <c r="Y20" i="15" a="1"/>
  <c r="Y20" i="15" s="1"/>
  <c r="AF37" i="7" s="1"/>
  <c r="X20" i="15" a="1"/>
  <c r="X20" i="15" s="1"/>
  <c r="Z20" i="15"/>
  <c r="J21" i="15"/>
  <c r="P39" i="19" l="1"/>
  <c r="P38" i="19"/>
  <c r="Q36" i="8"/>
  <c r="AF36" i="7"/>
  <c r="V22" i="15"/>
  <c r="S23" i="15" s="1"/>
  <c r="Q37" i="8"/>
  <c r="L21" i="15"/>
  <c r="M21" i="15" s="1"/>
  <c r="N21" i="15" l="1"/>
  <c r="Z21" i="15" s="1"/>
  <c r="I22" i="15"/>
  <c r="K22" i="15" l="1"/>
  <c r="W22" i="15"/>
  <c r="X21" i="15" a="1"/>
  <c r="X21" i="15" s="1"/>
  <c r="Y21" i="15" a="1"/>
  <c r="Y21" i="15" s="1"/>
  <c r="AF39" i="7" s="1"/>
  <c r="Q38" i="8"/>
  <c r="Q39" i="8"/>
  <c r="J22" i="15"/>
  <c r="P41" i="19" l="1"/>
  <c r="P40" i="19"/>
  <c r="AF38" i="7"/>
  <c r="V23" i="15"/>
  <c r="S24" i="15" s="1"/>
  <c r="L22" i="15"/>
  <c r="M22" i="15" s="1"/>
  <c r="N22" i="15" l="1"/>
  <c r="Z22" i="15" s="1"/>
  <c r="I23" i="15"/>
  <c r="J23" i="15" l="1"/>
  <c r="L23" i="15" s="1"/>
  <c r="W23" i="15"/>
  <c r="K23" i="15"/>
  <c r="X22" i="15" a="1"/>
  <c r="X22" i="15" s="1"/>
  <c r="Y22" i="15" a="1"/>
  <c r="Y22" i="15" s="1"/>
  <c r="AF41" i="7" s="1"/>
  <c r="Q40" i="8"/>
  <c r="Q41" i="8"/>
  <c r="P43" i="19" l="1"/>
  <c r="P42" i="19"/>
  <c r="AF40" i="7"/>
  <c r="V24" i="15"/>
  <c r="S25" i="15" s="1"/>
  <c r="M23" i="15"/>
  <c r="N23" i="15"/>
  <c r="Z23" i="15" l="1"/>
  <c r="I24" i="15"/>
  <c r="X23" i="15" a="1"/>
  <c r="X23" i="15" s="1"/>
  <c r="Y23" i="15" a="1"/>
  <c r="Y23" i="15" s="1"/>
  <c r="AF43" i="7" s="1"/>
  <c r="Q42" i="8" l="1"/>
  <c r="AF42" i="7"/>
  <c r="J24" i="15"/>
  <c r="L24" i="15" s="1"/>
  <c r="M24" i="15" s="1"/>
  <c r="W24" i="15"/>
  <c r="V25" i="15"/>
  <c r="S26" i="15" s="1"/>
  <c r="Q43" i="8"/>
  <c r="K24" i="15"/>
  <c r="P45" i="19" l="1"/>
  <c r="P44" i="19"/>
  <c r="N24" i="15"/>
  <c r="Z24" i="15" s="1"/>
  <c r="I25" i="15"/>
  <c r="J25" i="15" l="1"/>
  <c r="L25" i="15" s="1"/>
  <c r="W25" i="15"/>
  <c r="Y24" i="15" a="1"/>
  <c r="Y24" i="15" s="1"/>
  <c r="AF45" i="7" s="1"/>
  <c r="K25" i="15"/>
  <c r="X24" i="15" a="1"/>
  <c r="X24" i="15" s="1"/>
  <c r="Q44" i="8"/>
  <c r="Q45" i="8"/>
  <c r="P47" i="19" l="1"/>
  <c r="P46" i="19"/>
  <c r="AF44" i="7"/>
  <c r="V26" i="15"/>
  <c r="S27" i="15" s="1"/>
  <c r="M25" i="15"/>
  <c r="N25" i="15"/>
  <c r="Z25" i="15" l="1"/>
  <c r="Q46" i="8" s="1"/>
  <c r="I26" i="15"/>
  <c r="X25" i="15" a="1"/>
  <c r="X25" i="15" s="1"/>
  <c r="Y25" i="15" a="1"/>
  <c r="Y25" i="15" s="1"/>
  <c r="AF47" i="7" s="1"/>
  <c r="Q47" i="8" l="1"/>
  <c r="AF46" i="7"/>
  <c r="J26" i="15"/>
  <c r="L26" i="15" s="1"/>
  <c r="M26" i="15" s="1"/>
  <c r="W26" i="15"/>
  <c r="V27" i="15"/>
  <c r="S28" i="15" s="1"/>
  <c r="K26" i="15"/>
  <c r="P49" i="19" l="1"/>
  <c r="P48" i="19"/>
  <c r="N26" i="15"/>
  <c r="X26" i="15" s="1" a="1"/>
  <c r="X26" i="15" s="1"/>
  <c r="I27" i="15"/>
  <c r="J27" i="15" l="1"/>
  <c r="L27" i="15" s="1"/>
  <c r="W27" i="15"/>
  <c r="Y26" i="15" a="1"/>
  <c r="Y26" i="15" s="1"/>
  <c r="K27" i="15"/>
  <c r="Z26" i="15"/>
  <c r="AF48" i="7" l="1"/>
  <c r="AF49" i="7"/>
  <c r="P51" i="19"/>
  <c r="P50" i="19"/>
  <c r="V28" i="15"/>
  <c r="S29" i="15" s="1"/>
  <c r="Q49" i="8"/>
  <c r="Q48" i="8"/>
  <c r="M27" i="15"/>
  <c r="N27" i="15"/>
  <c r="Z27" i="15" l="1"/>
  <c r="Q51" i="8" s="1"/>
  <c r="I28" i="15"/>
  <c r="X27" i="15" a="1"/>
  <c r="X27" i="15" s="1"/>
  <c r="Y27" i="15" a="1"/>
  <c r="Y27" i="15" s="1"/>
  <c r="AF51" i="7" s="1"/>
  <c r="Q50" i="8" l="1"/>
  <c r="J28" i="15"/>
  <c r="L28" i="15" s="1"/>
  <c r="W28" i="15"/>
  <c r="V29" i="15"/>
  <c r="S30" i="15" s="1"/>
  <c r="K28" i="15"/>
  <c r="AF50" i="7"/>
  <c r="P53" i="19" l="1"/>
  <c r="P52" i="19"/>
  <c r="M28" i="15"/>
  <c r="N28" i="15"/>
  <c r="X28" i="15" l="1" a="1"/>
  <c r="X28" i="15" s="1"/>
  <c r="Z28" i="15"/>
  <c r="Y28" i="15" a="1"/>
  <c r="Y28" i="15" s="1"/>
  <c r="AF53" i="7" s="1"/>
  <c r="I29" i="15"/>
  <c r="W29" i="15" s="1"/>
  <c r="P55" i="19" l="1"/>
  <c r="P54" i="19"/>
  <c r="Q53" i="8"/>
  <c r="AF52" i="7"/>
  <c r="V30" i="15"/>
  <c r="S31" i="15" s="1"/>
  <c r="Q52" i="8"/>
  <c r="K29" i="15"/>
  <c r="J29" i="15"/>
  <c r="L29" i="15" l="1"/>
  <c r="M29" i="15" s="1"/>
  <c r="N29" i="15" l="1"/>
  <c r="Y29" i="15" s="1" a="1"/>
  <c r="Y29" i="15" s="1"/>
  <c r="AF55" i="7" s="1"/>
  <c r="I30" i="15"/>
  <c r="J30" i="15" l="1"/>
  <c r="L30" i="15" s="1"/>
  <c r="W30" i="15"/>
  <c r="K30" i="15"/>
  <c r="Z29" i="15"/>
  <c r="X29" i="15" a="1"/>
  <c r="X29" i="15" s="1"/>
  <c r="AF54" i="7" s="1"/>
  <c r="P57" i="19" l="1"/>
  <c r="P56" i="19"/>
  <c r="Q55" i="8"/>
  <c r="V31" i="15"/>
  <c r="S32" i="15" s="1"/>
  <c r="Q54" i="8"/>
  <c r="M30" i="15"/>
  <c r="N30" i="15"/>
  <c r="X30" i="15" l="1" a="1"/>
  <c r="X30" i="15" s="1"/>
  <c r="Z30" i="15"/>
  <c r="Y30" i="15" a="1"/>
  <c r="Y30" i="15" s="1"/>
  <c r="AF57" i="7" s="1"/>
  <c r="I31" i="15"/>
  <c r="W31" i="15" s="1"/>
  <c r="P59" i="19" l="1"/>
  <c r="P58" i="19"/>
  <c r="Q56" i="8"/>
  <c r="V32" i="15"/>
  <c r="S33" i="15" s="1"/>
  <c r="AF56" i="7"/>
  <c r="Q57" i="8"/>
  <c r="K31" i="15"/>
  <c r="J31" i="15"/>
  <c r="L31" i="15" l="1"/>
  <c r="M31" i="15" s="1"/>
  <c r="N31" i="15" l="1"/>
  <c r="Z31" i="15" s="1"/>
  <c r="I32" i="15"/>
  <c r="J32" i="15" l="1"/>
  <c r="L32" i="15" s="1"/>
  <c r="W32" i="15"/>
  <c r="K32" i="15"/>
  <c r="X31" i="15" a="1"/>
  <c r="X31" i="15" s="1"/>
  <c r="Y31" i="15" a="1"/>
  <c r="Y31" i="15" s="1"/>
  <c r="AF59" i="7" s="1"/>
  <c r="Q58" i="8"/>
  <c r="Q59" i="8"/>
  <c r="P61" i="19" l="1"/>
  <c r="P60" i="19"/>
  <c r="AF58" i="7"/>
  <c r="V33" i="15"/>
  <c r="S34" i="15" s="1"/>
  <c r="M32" i="15"/>
  <c r="N32" i="15"/>
  <c r="X32" i="15" l="1" a="1"/>
  <c r="X32" i="15" s="1"/>
  <c r="I33" i="15"/>
  <c r="Y32" i="15" a="1"/>
  <c r="Y32" i="15" s="1"/>
  <c r="AF61" i="7" s="1"/>
  <c r="Z32" i="15"/>
  <c r="Q60" i="8" l="1"/>
  <c r="AF60" i="7"/>
  <c r="K33" i="15"/>
  <c r="W33" i="15"/>
  <c r="V34" i="15"/>
  <c r="S35" i="15" s="1"/>
  <c r="J33" i="15"/>
  <c r="L33" i="15" s="1"/>
  <c r="M33" i="15" s="1"/>
  <c r="Q61" i="8"/>
  <c r="P63" i="19" l="1"/>
  <c r="P62" i="19"/>
  <c r="N33" i="15"/>
  <c r="Z33" i="15" s="1"/>
  <c r="I34" i="15"/>
  <c r="W34" i="15" s="1"/>
  <c r="P65" i="19" l="1"/>
  <c r="P64" i="19"/>
  <c r="Y33" i="15" a="1"/>
  <c r="Y33" i="15" s="1"/>
  <c r="AF63" i="7" s="1"/>
  <c r="X33" i="15" a="1"/>
  <c r="X33" i="15" s="1"/>
  <c r="K34" i="15"/>
  <c r="J34" i="15"/>
  <c r="Q63" i="8"/>
  <c r="Q62" i="8"/>
  <c r="AF62" i="7" l="1"/>
  <c r="V35" i="15"/>
  <c r="S36" i="15" s="1"/>
  <c r="L34" i="15"/>
  <c r="M34" i="15" s="1"/>
  <c r="N34" i="15" l="1"/>
  <c r="Y34" i="15" s="1" a="1"/>
  <c r="Y34" i="15" s="1"/>
  <c r="I35" i="15"/>
  <c r="W35" i="15" s="1"/>
  <c r="AF65" i="7" l="1"/>
  <c r="P67" i="19"/>
  <c r="P66" i="19"/>
  <c r="X34" i="15" a="1"/>
  <c r="X34" i="15" s="1"/>
  <c r="AF64" i="7" s="1"/>
  <c r="Z34" i="15"/>
  <c r="K35" i="15"/>
  <c r="J35" i="15"/>
  <c r="Q64" i="8" l="1"/>
  <c r="V36" i="15"/>
  <c r="S37" i="15" s="1"/>
  <c r="Q65" i="8"/>
  <c r="L35" i="15"/>
  <c r="M35" i="15" s="1"/>
  <c r="N35" i="15" l="1"/>
  <c r="X35" i="15" s="1" a="1"/>
  <c r="X35" i="15" s="1"/>
  <c r="I36" i="15"/>
  <c r="W36" i="15" s="1"/>
  <c r="P69" i="19" l="1"/>
  <c r="P68" i="19"/>
  <c r="Y35" i="15" a="1"/>
  <c r="Y35" i="15" s="1"/>
  <c r="Z35" i="15"/>
  <c r="K36" i="15"/>
  <c r="J36" i="15"/>
  <c r="AF66" i="7" l="1"/>
  <c r="AF67" i="7"/>
  <c r="Q66" i="8"/>
  <c r="V37" i="15"/>
  <c r="S38" i="15" s="1"/>
  <c r="Q67" i="8"/>
  <c r="L36" i="15"/>
  <c r="M36" i="15" s="1"/>
  <c r="N36" i="15" l="1"/>
  <c r="X36" i="15" s="1" a="1"/>
  <c r="X36" i="15" s="1"/>
  <c r="I37" i="15"/>
  <c r="K37" i="15" l="1"/>
  <c r="W37" i="15"/>
  <c r="J37" i="15"/>
  <c r="L37" i="15" s="1"/>
  <c r="M37" i="15" s="1"/>
  <c r="Y36" i="15" a="1"/>
  <c r="Y36" i="15" s="1"/>
  <c r="Z36" i="15"/>
  <c r="AF68" i="7" l="1"/>
  <c r="AF69" i="7"/>
  <c r="P71" i="19"/>
  <c r="P70" i="19"/>
  <c r="V38" i="15"/>
  <c r="S39" i="15" s="1"/>
  <c r="Q68" i="8"/>
  <c r="Q69" i="8"/>
  <c r="N37" i="15"/>
  <c r="X37" i="15" s="1" a="1"/>
  <c r="X37" i="15" s="1"/>
  <c r="I38" i="15"/>
  <c r="W38" i="15" s="1"/>
  <c r="P73" i="19" l="1"/>
  <c r="P72" i="19"/>
  <c r="Z37" i="15"/>
  <c r="Y37" i="15" a="1"/>
  <c r="Y37" i="15" s="1"/>
  <c r="K38" i="15"/>
  <c r="J38" i="15"/>
  <c r="AF70" i="7" l="1"/>
  <c r="AF71" i="7"/>
  <c r="Q71" i="8"/>
  <c r="V39" i="15"/>
  <c r="S40" i="15" s="1"/>
  <c r="Q70" i="8"/>
  <c r="L38" i="15"/>
  <c r="M38" i="15" s="1"/>
  <c r="N38" i="15" l="1"/>
  <c r="X38" i="15" s="1" a="1"/>
  <c r="X38" i="15" s="1"/>
  <c r="I39" i="15"/>
  <c r="K39" i="15" l="1"/>
  <c r="W39" i="15"/>
  <c r="J39" i="15"/>
  <c r="L39" i="15" s="1"/>
  <c r="M39" i="15" s="1"/>
  <c r="Z38" i="15"/>
  <c r="Y38" i="15" a="1"/>
  <c r="Y38" i="15" s="1"/>
  <c r="AF72" i="7" l="1"/>
  <c r="AF73" i="7"/>
  <c r="P75" i="19"/>
  <c r="P74" i="19"/>
  <c r="V40" i="15"/>
  <c r="S41" i="15" s="1"/>
  <c r="Q73" i="8"/>
  <c r="Q72" i="8"/>
  <c r="N39" i="15"/>
  <c r="Z39" i="15" s="1"/>
  <c r="I40" i="15"/>
  <c r="W40" i="15" s="1"/>
  <c r="P77" i="19" l="1"/>
  <c r="P76" i="19"/>
  <c r="X39" i="15" a="1"/>
  <c r="X39" i="15" s="1"/>
  <c r="Y39" i="15" a="1"/>
  <c r="Y39" i="15" s="1"/>
  <c r="K40" i="15"/>
  <c r="J40" i="15"/>
  <c r="Q75" i="8"/>
  <c r="Q74" i="8"/>
  <c r="AF75" i="7" l="1"/>
  <c r="AF74" i="7"/>
  <c r="V41" i="15"/>
  <c r="S42" i="15" s="1"/>
  <c r="L40" i="15"/>
  <c r="M40" i="15" s="1"/>
  <c r="I41" i="15" l="1"/>
  <c r="N40" i="15"/>
  <c r="Z40" i="15" s="1"/>
  <c r="Q77" i="8" l="1"/>
  <c r="Q76" i="8"/>
  <c r="K41" i="15"/>
  <c r="W41" i="15"/>
  <c r="J41" i="15"/>
  <c r="L41" i="15" s="1"/>
  <c r="M41" i="15" s="1"/>
  <c r="Y40" i="15" a="1"/>
  <c r="Y40" i="15" s="1"/>
  <c r="X40" i="15" a="1"/>
  <c r="X40" i="15" s="1"/>
  <c r="AF77" i="7" l="1"/>
  <c r="P79" i="19"/>
  <c r="P78" i="19"/>
  <c r="AF76" i="7"/>
  <c r="V42" i="15"/>
  <c r="S43" i="15" s="1"/>
  <c r="N41" i="15"/>
  <c r="Z41" i="15" s="1"/>
  <c r="I42" i="15"/>
  <c r="W42" i="15" s="1"/>
  <c r="P81" i="19" l="1"/>
  <c r="P80" i="19"/>
  <c r="Y41" i="15" a="1"/>
  <c r="Y41" i="15" s="1"/>
  <c r="X41" i="15" a="1"/>
  <c r="X41" i="15" s="1"/>
  <c r="K42" i="15"/>
  <c r="J42" i="15"/>
  <c r="Q79" i="8"/>
  <c r="Q78" i="8"/>
  <c r="AF79" i="7" l="1"/>
  <c r="AF78" i="7"/>
  <c r="V43" i="15"/>
  <c r="S44" i="15" s="1"/>
  <c r="L42" i="15"/>
  <c r="N42" i="15" s="1"/>
  <c r="M42" i="15" l="1"/>
  <c r="Y42" i="15" s="1" a="1"/>
  <c r="Y42" i="15" s="1"/>
  <c r="AF81" i="7" s="1"/>
  <c r="I43" i="15" l="1"/>
  <c r="W43" i="15" s="1"/>
  <c r="X42" i="15" a="1"/>
  <c r="X42" i="15" s="1"/>
  <c r="AF80" i="7" s="1"/>
  <c r="Z42" i="15"/>
  <c r="P83" i="19" l="1"/>
  <c r="P82" i="19"/>
  <c r="V44" i="15"/>
  <c r="S45" i="15" s="1"/>
  <c r="Q80" i="8"/>
  <c r="Q81" i="8"/>
  <c r="K43" i="15"/>
  <c r="J43" i="15"/>
  <c r="L43" i="15" l="1"/>
  <c r="N43" i="15" l="1"/>
  <c r="M43" i="15"/>
  <c r="X43" i="15" l="1" a="1"/>
  <c r="X43" i="15" s="1"/>
  <c r="Z43" i="15"/>
  <c r="I44" i="15"/>
  <c r="W44" i="15" s="1"/>
  <c r="Y43" i="15" a="1"/>
  <c r="Y43" i="15" s="1"/>
  <c r="AF83" i="7" s="1"/>
  <c r="P85" i="19" l="1"/>
  <c r="P84" i="19"/>
  <c r="AF82" i="7"/>
  <c r="V45" i="15"/>
  <c r="S46" i="15" s="1"/>
  <c r="Q82" i="8"/>
  <c r="Q83" i="8"/>
  <c r="K44" i="15"/>
  <c r="J44" i="15"/>
  <c r="L44" i="15" l="1"/>
  <c r="N44" i="15" l="1"/>
  <c r="M44" i="15"/>
  <c r="X44" i="15" l="1" a="1"/>
  <c r="X44" i="15" s="1"/>
  <c r="Z44" i="15"/>
  <c r="Y44" i="15" a="1"/>
  <c r="Y44" i="15" s="1"/>
  <c r="AF85" i="7" s="1"/>
  <c r="I45" i="15"/>
  <c r="W45" i="15" s="1"/>
  <c r="P87" i="19" l="1"/>
  <c r="P86" i="19"/>
  <c r="AF84" i="7"/>
  <c r="V46" i="15"/>
  <c r="S47" i="15" s="1"/>
  <c r="Q85" i="8"/>
  <c r="Q84" i="8"/>
  <c r="J45" i="15"/>
  <c r="K45" i="15"/>
  <c r="L45" i="15" l="1"/>
  <c r="M45" i="15" l="1"/>
  <c r="N45" i="15"/>
  <c r="X45" i="15" l="1" a="1"/>
  <c r="X45" i="15" s="1"/>
  <c r="Z45" i="15"/>
  <c r="Y45" i="15" a="1"/>
  <c r="Y45" i="15" s="1"/>
  <c r="AF87" i="7" s="1"/>
  <c r="I46" i="15"/>
  <c r="W46" i="15" s="1"/>
  <c r="P89" i="19" l="1"/>
  <c r="P88" i="19"/>
  <c r="AF86" i="7"/>
  <c r="V47" i="15"/>
  <c r="S48" i="15" s="1"/>
  <c r="Q86" i="8"/>
  <c r="Q87" i="8"/>
  <c r="J46" i="15"/>
  <c r="K46" i="15"/>
  <c r="L46" i="15" l="1"/>
  <c r="N46" i="15" l="1"/>
  <c r="M46" i="15"/>
  <c r="I47" i="15" l="1"/>
  <c r="W47" i="15" s="1"/>
  <c r="Z46" i="15"/>
  <c r="Y46" i="15" a="1"/>
  <c r="Y46" i="15" s="1"/>
  <c r="AF89" i="7" s="1"/>
  <c r="X46" i="15" a="1"/>
  <c r="X46" i="15" s="1"/>
  <c r="P91" i="19" l="1"/>
  <c r="P90" i="19"/>
  <c r="AF88" i="7"/>
  <c r="V48" i="15"/>
  <c r="S49" i="15" s="1"/>
  <c r="Q88" i="8"/>
  <c r="Q89" i="8"/>
  <c r="K47" i="15"/>
  <c r="J47" i="15"/>
  <c r="L47" i="15" l="1"/>
  <c r="N47" i="15" l="1"/>
  <c r="M47" i="15"/>
  <c r="Y47" i="15" l="1" a="1"/>
  <c r="Y47" i="15" s="1"/>
  <c r="AF91" i="7" s="1"/>
  <c r="X47" i="15" a="1"/>
  <c r="X47" i="15" s="1"/>
  <c r="Z47" i="15"/>
  <c r="I48" i="15"/>
  <c r="W48" i="15" s="1"/>
  <c r="P93" i="19" l="1"/>
  <c r="P92" i="19"/>
  <c r="AF90" i="7"/>
  <c r="V49" i="15"/>
  <c r="S50" i="15" s="1"/>
  <c r="Q91" i="8"/>
  <c r="Q90" i="8"/>
  <c r="K48" i="15"/>
  <c r="J48" i="15"/>
  <c r="L48" i="15" l="1"/>
  <c r="N48" i="15" l="1"/>
  <c r="M48" i="15"/>
  <c r="I49" i="15" l="1"/>
  <c r="W49" i="15" s="1"/>
  <c r="X48" i="15" a="1"/>
  <c r="X48" i="15" s="1"/>
  <c r="Z48" i="15"/>
  <c r="Y48" i="15" a="1"/>
  <c r="Y48" i="15" s="1"/>
  <c r="AF93" i="7" s="1"/>
  <c r="P95" i="19" l="1"/>
  <c r="P94" i="19"/>
  <c r="AF92" i="7"/>
  <c r="V50" i="15"/>
  <c r="S51" i="15" s="1"/>
  <c r="Q92" i="8"/>
  <c r="Q93" i="8"/>
  <c r="K49" i="15"/>
  <c r="J49" i="15"/>
  <c r="L49" i="15" l="1"/>
  <c r="M49" i="15" l="1"/>
  <c r="N49" i="15"/>
  <c r="I50" i="15" l="1"/>
  <c r="W50" i="15" s="1"/>
  <c r="X49" i="15" a="1"/>
  <c r="X49" i="15" s="1"/>
  <c r="Z49" i="15"/>
  <c r="Y49" i="15" a="1"/>
  <c r="Y49" i="15" s="1"/>
  <c r="AF95" i="7" s="1"/>
  <c r="P97" i="19" l="1"/>
  <c r="P96" i="19"/>
  <c r="AF94" i="7"/>
  <c r="V51" i="15"/>
  <c r="S52" i="15" s="1"/>
  <c r="Q95" i="8"/>
  <c r="Q94" i="8"/>
  <c r="K50" i="15"/>
  <c r="J50" i="15"/>
  <c r="L50" i="15" l="1"/>
  <c r="N50" i="15" l="1"/>
  <c r="M50" i="15"/>
  <c r="Y50" i="15" l="1" a="1"/>
  <c r="Y50" i="15" s="1"/>
  <c r="AF97" i="7" s="1"/>
  <c r="I51" i="15"/>
  <c r="W51" i="15" s="1"/>
  <c r="Z50" i="15"/>
  <c r="X50" i="15" a="1"/>
  <c r="X50" i="15" s="1"/>
  <c r="P99" i="19" l="1"/>
  <c r="P98" i="19"/>
  <c r="AF96" i="7"/>
  <c r="V52" i="15"/>
  <c r="S53" i="15" s="1"/>
  <c r="Q96" i="8"/>
  <c r="Q97" i="8"/>
  <c r="K51" i="15"/>
  <c r="J51" i="15"/>
  <c r="L51" i="15" l="1"/>
  <c r="M51" i="15" l="1"/>
  <c r="N51" i="15"/>
  <c r="X51" i="15" l="1" a="1"/>
  <c r="X51" i="15" s="1"/>
  <c r="Z51" i="15"/>
  <c r="Y51" i="15" a="1"/>
  <c r="Y51" i="15" s="1"/>
  <c r="AF99" i="7" s="1"/>
  <c r="I52" i="15"/>
  <c r="W52" i="15" s="1"/>
  <c r="P101" i="19" l="1"/>
  <c r="P100" i="19"/>
  <c r="AF98" i="7"/>
  <c r="V53" i="15"/>
  <c r="S54" i="15" s="1"/>
  <c r="Q98" i="8"/>
  <c r="Q99" i="8"/>
  <c r="J52" i="15"/>
  <c r="K52" i="15"/>
  <c r="L52" i="15" l="1"/>
  <c r="N52" i="15" l="1"/>
  <c r="M52" i="15"/>
  <c r="I53" i="15" l="1"/>
  <c r="W53" i="15" s="1"/>
  <c r="Z52" i="15"/>
  <c r="Y52" i="15" a="1"/>
  <c r="Y52" i="15" s="1"/>
  <c r="X52" i="15" a="1"/>
  <c r="X52" i="15" s="1"/>
  <c r="AF101" i="7" l="1"/>
  <c r="P103" i="19"/>
  <c r="P102" i="19"/>
  <c r="AF100" i="7"/>
  <c r="V54" i="15"/>
  <c r="S55" i="15" s="1"/>
  <c r="Q100" i="8"/>
  <c r="Q101" i="8"/>
  <c r="J53" i="15"/>
  <c r="K53" i="15"/>
  <c r="L53" i="15" l="1"/>
  <c r="N53" i="15" l="1"/>
  <c r="M53" i="15"/>
  <c r="Y53" i="15" l="1" a="1"/>
  <c r="Y53" i="15" s="1"/>
  <c r="AF103" i="7" s="1"/>
  <c r="Z53" i="15"/>
  <c r="X53" i="15" a="1"/>
  <c r="X53" i="15" s="1"/>
  <c r="I54" i="15"/>
  <c r="W54" i="15" s="1"/>
  <c r="P105" i="19" l="1"/>
  <c r="P104" i="19"/>
  <c r="AF102" i="7"/>
  <c r="V55" i="15"/>
  <c r="S56" i="15" s="1"/>
  <c r="Q102" i="8"/>
  <c r="Q103" i="8"/>
  <c r="J54" i="15"/>
  <c r="K54" i="15"/>
  <c r="L54" i="15" l="1"/>
  <c r="M54" i="15" l="1"/>
  <c r="N54" i="15"/>
  <c r="Z54" i="15" l="1"/>
  <c r="I55" i="15"/>
  <c r="W55" i="15" s="1"/>
  <c r="X54" i="15" a="1"/>
  <c r="X54" i="15" s="1"/>
  <c r="Y54" i="15" a="1"/>
  <c r="Y54" i="15" s="1"/>
  <c r="AF105" i="7" s="1"/>
  <c r="P107" i="19" l="1"/>
  <c r="P106" i="19"/>
  <c r="AF104" i="7"/>
  <c r="V56" i="15"/>
  <c r="S57" i="15" s="1"/>
  <c r="Q105" i="8"/>
  <c r="Q104" i="8"/>
  <c r="J55" i="15"/>
  <c r="K55" i="15"/>
  <c r="L55" i="15" l="1"/>
  <c r="M55" i="15" l="1"/>
  <c r="N55" i="15"/>
  <c r="X55" i="15" l="1" a="1"/>
  <c r="X55" i="15" s="1"/>
  <c r="Y55" i="15" a="1"/>
  <c r="Y55" i="15" s="1"/>
  <c r="Z55" i="15"/>
  <c r="I56" i="15"/>
  <c r="W56" i="15" s="1"/>
  <c r="AF107" i="7" l="1"/>
  <c r="P109" i="19"/>
  <c r="P108" i="19"/>
  <c r="AF106" i="7"/>
  <c r="V57" i="15"/>
  <c r="S58" i="15" s="1"/>
  <c r="Q107" i="8"/>
  <c r="Q106" i="8"/>
  <c r="J56" i="15"/>
  <c r="K56" i="15"/>
  <c r="L56" i="15" l="1"/>
  <c r="M56" i="15" l="1"/>
  <c r="N56" i="15"/>
  <c r="X56" i="15" l="1" a="1"/>
  <c r="X56" i="15" s="1"/>
  <c r="Y56" i="15" a="1"/>
  <c r="Y56" i="15" s="1"/>
  <c r="Z56" i="15"/>
  <c r="I57" i="15"/>
  <c r="W57" i="15" s="1"/>
  <c r="AF109" i="7" l="1"/>
  <c r="P111" i="19"/>
  <c r="P110" i="19"/>
  <c r="AF108" i="7"/>
  <c r="V58" i="15"/>
  <c r="S59" i="15" s="1"/>
  <c r="Q108" i="8"/>
  <c r="Q109" i="8"/>
  <c r="K57" i="15"/>
  <c r="J57" i="15"/>
  <c r="L57" i="15" l="1"/>
  <c r="N57" i="15" l="1"/>
  <c r="M57" i="15"/>
  <c r="X57" i="15" l="1" a="1"/>
  <c r="X57" i="15" s="1"/>
  <c r="Y57" i="15" a="1"/>
  <c r="Y57" i="15" s="1"/>
  <c r="Z57" i="15"/>
  <c r="I58" i="15"/>
  <c r="W58" i="15" s="1"/>
  <c r="AF111" i="7" l="1"/>
  <c r="P113" i="19"/>
  <c r="P112" i="19"/>
  <c r="AF110" i="7"/>
  <c r="V59" i="15"/>
  <c r="S60" i="15" s="1"/>
  <c r="Q111" i="8"/>
  <c r="Q110" i="8"/>
  <c r="J58" i="15"/>
  <c r="K58" i="15"/>
  <c r="L58" i="15" l="1"/>
  <c r="M58" i="15" l="1"/>
  <c r="N58" i="15"/>
  <c r="Z58" i="15" l="1"/>
  <c r="X58" i="15" a="1"/>
  <c r="X58" i="15" s="1"/>
  <c r="Y58" i="15" a="1"/>
  <c r="Y58" i="15" s="1"/>
  <c r="I59" i="15"/>
  <c r="W59" i="15" s="1"/>
  <c r="AF113" i="7" l="1"/>
  <c r="P115" i="19"/>
  <c r="P114" i="19"/>
  <c r="AF112" i="7"/>
  <c r="V60" i="15"/>
  <c r="S61" i="15" s="1"/>
  <c r="Q112" i="8"/>
  <c r="Q113" i="8"/>
  <c r="K59" i="15"/>
  <c r="J59" i="15"/>
  <c r="L59" i="15" l="1"/>
  <c r="M59" i="15" l="1"/>
  <c r="N59" i="15"/>
  <c r="X59" i="15" l="1" a="1"/>
  <c r="X59" i="15" s="1"/>
  <c r="Z59" i="15"/>
  <c r="Y59" i="15" a="1"/>
  <c r="Y59" i="15" s="1"/>
  <c r="AF115" i="7" s="1"/>
  <c r="I60" i="15"/>
  <c r="W60" i="15" s="1"/>
  <c r="P117" i="19" l="1"/>
  <c r="P116" i="19"/>
  <c r="AF114" i="7"/>
  <c r="V61" i="15"/>
  <c r="S62" i="15" s="1"/>
  <c r="Q114" i="8"/>
  <c r="Q115" i="8"/>
  <c r="K60" i="15"/>
  <c r="J60" i="15"/>
  <c r="L60" i="15" l="1"/>
  <c r="N60" i="15" l="1"/>
  <c r="M60" i="15"/>
  <c r="I61" i="15" l="1"/>
  <c r="W61" i="15" s="1"/>
  <c r="X60" i="15" a="1"/>
  <c r="X60" i="15" s="1"/>
  <c r="Z60" i="15"/>
  <c r="Y60" i="15" a="1"/>
  <c r="Y60" i="15" s="1"/>
  <c r="AF117" i="7" l="1"/>
  <c r="P119" i="19"/>
  <c r="P118" i="19"/>
  <c r="AF116" i="7"/>
  <c r="Q116" i="8"/>
  <c r="Q117" i="8"/>
  <c r="V62" i="15"/>
  <c r="S63" i="15" s="1"/>
  <c r="J61" i="15"/>
  <c r="K61" i="15"/>
  <c r="L61" i="15" l="1"/>
  <c r="N61" i="15" l="1"/>
  <c r="M61" i="15"/>
  <c r="X61" i="15" l="1" a="1"/>
  <c r="X61" i="15" s="1"/>
  <c r="Y61" i="15" a="1"/>
  <c r="Y61" i="15" s="1"/>
  <c r="AF119" i="7" s="1"/>
  <c r="Z61" i="15"/>
  <c r="I62" i="15"/>
  <c r="W62" i="15" s="1"/>
  <c r="P121" i="19" l="1"/>
  <c r="P120" i="19"/>
  <c r="AF118" i="7"/>
  <c r="Q118" i="8"/>
  <c r="Q119" i="8"/>
  <c r="V63" i="15"/>
  <c r="S64" i="15" s="1"/>
  <c r="J62" i="15"/>
  <c r="K62" i="15"/>
  <c r="L62" i="15" l="1"/>
  <c r="N62" i="15" l="1"/>
  <c r="M62" i="15"/>
  <c r="I63" i="15" l="1"/>
  <c r="W63" i="15" s="1"/>
  <c r="X62" i="15" a="1"/>
  <c r="X62" i="15" s="1"/>
  <c r="Z62" i="15"/>
  <c r="Y62" i="15" a="1"/>
  <c r="Y62" i="15" s="1"/>
  <c r="AF121" i="7" s="1"/>
  <c r="P123" i="19" l="1"/>
  <c r="P122" i="19"/>
  <c r="AF120" i="7"/>
  <c r="Q121" i="8"/>
  <c r="Q120" i="8"/>
  <c r="V64" i="15"/>
  <c r="S65" i="15" s="1"/>
  <c r="K63" i="15"/>
  <c r="J63" i="15"/>
  <c r="L63" i="15" l="1"/>
  <c r="M63" i="15" l="1"/>
  <c r="N63" i="15"/>
  <c r="Z63" i="15" l="1"/>
  <c r="Y63" i="15" a="1"/>
  <c r="Y63" i="15" s="1"/>
  <c r="X63" i="15" a="1"/>
  <c r="X63" i="15" s="1"/>
  <c r="AF122" i="7" s="1"/>
  <c r="I64" i="15"/>
  <c r="W64" i="15" s="1"/>
  <c r="AF123" i="7" l="1"/>
  <c r="P125" i="19"/>
  <c r="P124" i="19"/>
  <c r="Q122" i="8"/>
  <c r="Q123" i="8"/>
  <c r="V65" i="15"/>
  <c r="S66" i="15" s="1"/>
  <c r="K64" i="15"/>
  <c r="J64" i="15"/>
  <c r="L64" i="15" l="1"/>
  <c r="N64" i="15" l="1"/>
  <c r="M64" i="15"/>
  <c r="X64" i="15" l="1" a="1"/>
  <c r="X64" i="15" s="1"/>
  <c r="Z64" i="15"/>
  <c r="Y64" i="15" a="1"/>
  <c r="Y64" i="15" s="1"/>
  <c r="I65" i="15"/>
  <c r="W65" i="15" s="1"/>
  <c r="AF125" i="7" l="1"/>
  <c r="P127" i="19"/>
  <c r="P126" i="19"/>
  <c r="AF124" i="7"/>
  <c r="Q125" i="8"/>
  <c r="Q124" i="8"/>
  <c r="V66" i="15"/>
  <c r="S67" i="15" s="1"/>
  <c r="K65" i="15"/>
  <c r="J65" i="15"/>
  <c r="L65" i="15" l="1"/>
  <c r="M65" i="15" l="1"/>
  <c r="N65" i="15"/>
  <c r="X65" i="15" l="1" a="1"/>
  <c r="X65" i="15" s="1"/>
  <c r="Y65" i="15" a="1"/>
  <c r="Y65" i="15" s="1"/>
  <c r="Z65" i="15"/>
  <c r="I66" i="15"/>
  <c r="W66" i="15" s="1"/>
  <c r="AF127" i="7" l="1"/>
  <c r="P129" i="19"/>
  <c r="P128" i="19"/>
  <c r="AF126" i="7"/>
  <c r="Q127" i="8"/>
  <c r="Q126" i="8"/>
  <c r="V67" i="15"/>
  <c r="S68" i="15" s="1"/>
  <c r="J66" i="15"/>
  <c r="K66" i="15"/>
  <c r="L66" i="15" l="1"/>
  <c r="M66" i="15" l="1"/>
  <c r="N66" i="15"/>
  <c r="Z66" i="15" l="1"/>
  <c r="Y66" i="15" a="1"/>
  <c r="Y66" i="15" s="1"/>
  <c r="AF129" i="7" s="1"/>
  <c r="X66" i="15" a="1"/>
  <c r="X66" i="15" s="1"/>
  <c r="I67" i="15"/>
  <c r="W67" i="15" s="1"/>
  <c r="P131" i="19" l="1"/>
  <c r="P130" i="19"/>
  <c r="AF128" i="7"/>
  <c r="Q129" i="8"/>
  <c r="Q128" i="8"/>
  <c r="V68" i="15"/>
  <c r="S69" i="15" s="1"/>
  <c r="J67" i="15"/>
  <c r="K67" i="15"/>
  <c r="L67" i="15" l="1"/>
  <c r="N67" i="15" l="1"/>
  <c r="M67" i="15"/>
  <c r="Y67" i="15" l="1" a="1"/>
  <c r="Y67" i="15" s="1"/>
  <c r="X67" i="15" a="1"/>
  <c r="X67" i="15" s="1"/>
  <c r="Z67" i="15"/>
  <c r="I68" i="15"/>
  <c r="W68" i="15" s="1"/>
  <c r="AF131" i="7" l="1"/>
  <c r="P133" i="19"/>
  <c r="P132" i="19"/>
  <c r="AF130" i="7"/>
  <c r="Q130" i="8"/>
  <c r="Q131" i="8"/>
  <c r="V69" i="15"/>
  <c r="S70" i="15" s="1"/>
  <c r="K68" i="15"/>
  <c r="J68" i="15"/>
  <c r="L68" i="15" l="1"/>
  <c r="N68" i="15" l="1"/>
  <c r="M68" i="15"/>
  <c r="I69" i="15" l="1"/>
  <c r="W69" i="15" s="1"/>
  <c r="X68" i="15" a="1"/>
  <c r="X68" i="15" s="1"/>
  <c r="Y68" i="15" a="1"/>
  <c r="Y68" i="15" s="1"/>
  <c r="AF133" i="7" s="1"/>
  <c r="Z68" i="15"/>
  <c r="AF132" i="7" l="1"/>
  <c r="Q132" i="8"/>
  <c r="Q133" i="8"/>
  <c r="V70" i="15"/>
  <c r="S71" i="15" s="1"/>
  <c r="J69" i="15"/>
  <c r="K69" i="15"/>
  <c r="L69" i="15" l="1"/>
  <c r="M69" i="15" l="1"/>
  <c r="N69" i="15"/>
  <c r="I70" i="15" l="1"/>
  <c r="W70" i="15" s="1"/>
  <c r="X69" i="15" a="1"/>
  <c r="X69" i="15" s="1"/>
  <c r="Z69" i="15"/>
  <c r="Y69" i="15" a="1"/>
  <c r="Y69" i="15" s="1"/>
  <c r="AF135" i="7" l="1"/>
  <c r="AF134" i="7"/>
  <c r="Q134" i="8"/>
  <c r="Q135" i="8"/>
  <c r="V71" i="15"/>
  <c r="S72" i="15" s="1"/>
  <c r="K70" i="15"/>
  <c r="J70" i="15"/>
  <c r="L70" i="15" l="1"/>
  <c r="M70" i="15" l="1"/>
  <c r="N70" i="15"/>
  <c r="X70" i="15" l="1" a="1"/>
  <c r="X70" i="15" s="1"/>
  <c r="Y70" i="15" a="1"/>
  <c r="Y70" i="15" s="1"/>
  <c r="Z70" i="15"/>
  <c r="I71" i="15"/>
  <c r="W71" i="15" s="1"/>
  <c r="AF137" i="7" l="1"/>
  <c r="AF136" i="7"/>
  <c r="Q136" i="8"/>
  <c r="Q137" i="8"/>
  <c r="V72" i="15"/>
  <c r="S73" i="15" s="1"/>
  <c r="J71" i="15"/>
  <c r="K71" i="15"/>
  <c r="L71" i="15" l="1"/>
  <c r="N71" i="15" l="1"/>
  <c r="M71" i="15"/>
  <c r="T29" i="9"/>
  <c r="T61" i="9"/>
  <c r="T67" i="9"/>
  <c r="T97" i="9"/>
  <c r="T124" i="9"/>
  <c r="T126" i="9"/>
  <c r="T53" i="9"/>
  <c r="T105" i="9"/>
  <c r="T57" i="9"/>
  <c r="T91" i="9"/>
  <c r="T19" i="9"/>
  <c r="T37" i="9"/>
  <c r="T87" i="9"/>
  <c r="T132" i="9"/>
  <c r="T79" i="9"/>
  <c r="T103" i="9"/>
  <c r="T51" i="9"/>
  <c r="T109" i="9"/>
  <c r="T111" i="9"/>
  <c r="T101" i="9"/>
  <c r="T93" i="9"/>
  <c r="T25" i="9"/>
  <c r="T83" i="9"/>
  <c r="T27" i="9"/>
  <c r="T41" i="9"/>
  <c r="T75" i="9"/>
  <c r="T55" i="9"/>
  <c r="T95" i="9"/>
  <c r="T31" i="9"/>
  <c r="T122" i="9"/>
  <c r="T45" i="9"/>
  <c r="T69" i="9"/>
  <c r="T99" i="9"/>
  <c r="T65" i="9"/>
  <c r="T128" i="9"/>
  <c r="T23" i="9"/>
  <c r="T116" i="9"/>
  <c r="T15" i="9"/>
  <c r="T71" i="9"/>
  <c r="T120" i="9"/>
  <c r="T77" i="9"/>
  <c r="T43" i="9"/>
  <c r="T59" i="9"/>
  <c r="T49" i="9"/>
  <c r="T114" i="9"/>
  <c r="T107" i="9"/>
  <c r="T85" i="9"/>
  <c r="T118" i="9"/>
  <c r="T89" i="9"/>
  <c r="T130" i="9"/>
  <c r="T63" i="9"/>
  <c r="T35" i="9"/>
  <c r="T26" i="9"/>
  <c r="T47" i="9"/>
  <c r="T13" i="9"/>
  <c r="T21" i="9"/>
  <c r="T73" i="9"/>
  <c r="T17" i="9"/>
  <c r="T81" i="9"/>
  <c r="T39" i="9"/>
  <c r="T33" i="9"/>
  <c r="T113" i="9"/>
  <c r="T134" i="9" l="1"/>
  <c r="V134" i="9" s="1"/>
  <c r="T152" i="9"/>
  <c r="V152" i="9" s="1"/>
  <c r="T140" i="9"/>
  <c r="V140" i="9" s="1"/>
  <c r="T136" i="9"/>
  <c r="V136" i="9" s="1"/>
  <c r="T144" i="9"/>
  <c r="V144" i="9" s="1"/>
  <c r="T138" i="9"/>
  <c r="V138" i="9" s="1"/>
  <c r="T150" i="9"/>
  <c r="V150" i="9" s="1"/>
  <c r="T146" i="9"/>
  <c r="V146" i="9" s="1"/>
  <c r="T148" i="9"/>
  <c r="V148" i="9" s="1"/>
  <c r="T142" i="9"/>
  <c r="V142" i="9" s="1"/>
  <c r="V130" i="9"/>
  <c r="V118" i="9"/>
  <c r="V116" i="9"/>
  <c r="V128" i="9"/>
  <c r="V122" i="9"/>
  <c r="V126" i="9"/>
  <c r="V26" i="9"/>
  <c r="V114" i="9"/>
  <c r="V132" i="9"/>
  <c r="V124" i="9"/>
  <c r="V120" i="9"/>
  <c r="T16" i="9"/>
  <c r="T14" i="9"/>
  <c r="T30" i="9"/>
  <c r="T10" i="9"/>
  <c r="T12" i="9"/>
  <c r="T28" i="9"/>
  <c r="T32" i="9"/>
  <c r="T24" i="9"/>
  <c r="T18" i="9"/>
  <c r="T20" i="9"/>
  <c r="Z71" i="15"/>
  <c r="I72" i="15"/>
  <c r="W72" i="15" s="1"/>
  <c r="X71" i="15" a="1"/>
  <c r="X71" i="15" s="1"/>
  <c r="Y71" i="15" a="1"/>
  <c r="Y71" i="15" s="1"/>
  <c r="AF139" i="7" s="1"/>
  <c r="U152" i="9" l="1"/>
  <c r="U138" i="9"/>
  <c r="U135" i="9"/>
  <c r="S135" i="7" s="1"/>
  <c r="U153" i="9"/>
  <c r="S153" i="7" s="1"/>
  <c r="U137" i="9"/>
  <c r="S137" i="7" s="1"/>
  <c r="U147" i="9"/>
  <c r="S147" i="7" s="1"/>
  <c r="U151" i="9"/>
  <c r="S151" i="7" s="1"/>
  <c r="U143" i="9"/>
  <c r="S143" i="7" s="1"/>
  <c r="U139" i="9"/>
  <c r="S139" i="7" s="1"/>
  <c r="U149" i="9"/>
  <c r="S149" i="7" s="1"/>
  <c r="T22" i="9"/>
  <c r="V22" i="9" s="1"/>
  <c r="U145" i="9"/>
  <c r="S145" i="7" s="1"/>
  <c r="U140" i="9"/>
  <c r="U150" i="9"/>
  <c r="U148" i="9"/>
  <c r="U142" i="9"/>
  <c r="U136" i="9"/>
  <c r="U144" i="9"/>
  <c r="U146" i="9"/>
  <c r="U134" i="9"/>
  <c r="U141" i="9"/>
  <c r="S141" i="7" s="1"/>
  <c r="V20" i="9"/>
  <c r="V16" i="9"/>
  <c r="V14" i="9"/>
  <c r="V32" i="9"/>
  <c r="V12" i="9"/>
  <c r="V30" i="9"/>
  <c r="V18" i="9"/>
  <c r="V28" i="9"/>
  <c r="V24" i="9"/>
  <c r="U119" i="9"/>
  <c r="S119" i="7" s="1"/>
  <c r="U129" i="9"/>
  <c r="S129" i="7" s="1"/>
  <c r="U121" i="9"/>
  <c r="S121" i="7" s="1"/>
  <c r="U131" i="9"/>
  <c r="S131" i="7" s="1"/>
  <c r="U117" i="9"/>
  <c r="S117" i="7" s="1"/>
  <c r="U123" i="9"/>
  <c r="S123" i="7" s="1"/>
  <c r="U127" i="9"/>
  <c r="S127" i="7" s="1"/>
  <c r="U133" i="9"/>
  <c r="S133" i="7" s="1"/>
  <c r="U125" i="9"/>
  <c r="S125" i="7" s="1"/>
  <c r="U115" i="9"/>
  <c r="S115" i="7" s="1"/>
  <c r="U120" i="9"/>
  <c r="U124" i="9"/>
  <c r="U132" i="9"/>
  <c r="U126" i="9"/>
  <c r="U128" i="9"/>
  <c r="U118" i="9"/>
  <c r="U114" i="9"/>
  <c r="U122" i="9"/>
  <c r="U116" i="9"/>
  <c r="U130" i="9"/>
  <c r="U26" i="9"/>
  <c r="AF138" i="7"/>
  <c r="Q138" i="8"/>
  <c r="Q139" i="8"/>
  <c r="V73" i="15"/>
  <c r="S74" i="15" s="1"/>
  <c r="J72" i="15"/>
  <c r="K72" i="15"/>
  <c r="U16" i="9" l="1"/>
  <c r="U30" i="9"/>
  <c r="U14" i="9"/>
  <c r="U17" i="9"/>
  <c r="S17" i="7" s="1"/>
  <c r="U24" i="9"/>
  <c r="U19" i="9"/>
  <c r="S19" i="7" s="1"/>
  <c r="U33" i="9"/>
  <c r="S33" i="7" s="1"/>
  <c r="U21" i="9"/>
  <c r="S21" i="7" s="1"/>
  <c r="U12" i="9"/>
  <c r="U28" i="9"/>
  <c r="U15" i="9"/>
  <c r="S15" i="7" s="1"/>
  <c r="U22" i="9"/>
  <c r="U18" i="9"/>
  <c r="U27" i="9"/>
  <c r="S27" i="7" s="1"/>
  <c r="U23" i="9"/>
  <c r="S23" i="7" s="1"/>
  <c r="U29" i="9"/>
  <c r="S29" i="7" s="1"/>
  <c r="U25" i="9"/>
  <c r="S25" i="7" s="1"/>
  <c r="U32" i="9"/>
  <c r="U13" i="9"/>
  <c r="S13" i="7" s="1"/>
  <c r="U20" i="9"/>
  <c r="U31" i="9"/>
  <c r="S31" i="7" s="1"/>
  <c r="L72" i="15"/>
  <c r="N72" i="15" l="1"/>
  <c r="M72" i="15"/>
  <c r="Z72" i="15" l="1"/>
  <c r="I73" i="15"/>
  <c r="W73" i="15" s="1"/>
  <c r="X72" i="15" a="1"/>
  <c r="X72" i="15" s="1"/>
  <c r="Y72" i="15" a="1"/>
  <c r="Y72" i="15" s="1"/>
  <c r="AF141" i="7" s="1"/>
  <c r="Q141" i="8" l="1"/>
  <c r="Q140" i="8"/>
  <c r="V74" i="15"/>
  <c r="S75" i="15" s="1"/>
  <c r="AF140" i="7"/>
  <c r="K73" i="15"/>
  <c r="J73" i="15"/>
  <c r="L73" i="15" l="1"/>
  <c r="M73" i="15" l="1"/>
  <c r="N73" i="15"/>
  <c r="I74" i="15" l="1"/>
  <c r="W74" i="15" s="1"/>
  <c r="X73" i="15" a="1"/>
  <c r="X73" i="15" s="1"/>
  <c r="Z73" i="15"/>
  <c r="Y73" i="15" a="1"/>
  <c r="Y73" i="15" s="1"/>
  <c r="AF143" i="7" l="1"/>
  <c r="Q142" i="8"/>
  <c r="Q143" i="8"/>
  <c r="V75" i="15"/>
  <c r="S76" i="15" s="1"/>
  <c r="K74" i="15"/>
  <c r="J74" i="15"/>
  <c r="AF142" i="7"/>
  <c r="L74" i="15" l="1"/>
  <c r="M74" i="15" l="1"/>
  <c r="N74" i="15"/>
  <c r="Z74" i="15" l="1"/>
  <c r="X74" i="15" a="1"/>
  <c r="X74" i="15" s="1"/>
  <c r="Y74" i="15" a="1"/>
  <c r="Y74" i="15" s="1"/>
  <c r="AF145" i="7" s="1"/>
  <c r="I75" i="15"/>
  <c r="W75" i="15" s="1"/>
  <c r="Q145" i="8" l="1"/>
  <c r="Q144" i="8"/>
  <c r="V76" i="15"/>
  <c r="S77" i="15" s="1"/>
  <c r="K75" i="15"/>
  <c r="J75" i="15"/>
  <c r="AF144" i="7"/>
  <c r="L75" i="15" l="1"/>
  <c r="M75" i="15" l="1"/>
  <c r="N75" i="15"/>
  <c r="I76" i="15" l="1"/>
  <c r="W76" i="15" s="1"/>
  <c r="X75" i="15" a="1"/>
  <c r="X75" i="15" s="1"/>
  <c r="Y75" i="15" a="1"/>
  <c r="Y75" i="15" s="1"/>
  <c r="AF147" i="7" s="1"/>
  <c r="Z75" i="15"/>
  <c r="Q146" i="8" l="1"/>
  <c r="Q147" i="8"/>
  <c r="V77" i="15"/>
  <c r="S78" i="15" s="1"/>
  <c r="AF146" i="7"/>
  <c r="K76" i="15"/>
  <c r="J76" i="15"/>
  <c r="L76" i="15" l="1"/>
  <c r="N76" i="15" l="1"/>
  <c r="M76" i="15"/>
  <c r="X76" i="15" l="1" a="1"/>
  <c r="X76" i="15" s="1"/>
  <c r="Y76" i="15" a="1"/>
  <c r="Y76" i="15" s="1"/>
  <c r="I77" i="15"/>
  <c r="W77" i="15" s="1"/>
  <c r="Z76" i="15"/>
  <c r="AF149" i="7" l="1"/>
  <c r="Q149" i="8"/>
  <c r="Q148" i="8"/>
  <c r="V78" i="15"/>
  <c r="S79" i="15" s="1"/>
  <c r="K77" i="15"/>
  <c r="J77" i="15"/>
  <c r="AF148" i="7"/>
  <c r="L77" i="15" l="1"/>
  <c r="M77" i="15" l="1"/>
  <c r="N77" i="15"/>
  <c r="X77" i="15" l="1" a="1"/>
  <c r="X77" i="15" s="1"/>
  <c r="Z77" i="15"/>
  <c r="Y77" i="15" a="1"/>
  <c r="Y77" i="15" s="1"/>
  <c r="AF151" i="7" s="1"/>
  <c r="I78" i="15"/>
  <c r="W78" i="15" s="1"/>
  <c r="Q150" i="8" l="1"/>
  <c r="Q151" i="8"/>
  <c r="V79" i="15"/>
  <c r="S80" i="15" s="1"/>
  <c r="J78" i="15"/>
  <c r="K78" i="15"/>
  <c r="AF150" i="7"/>
  <c r="L78" i="15" l="1"/>
  <c r="N78" i="15" l="1"/>
  <c r="M78" i="15"/>
  <c r="X78" i="15" l="1" a="1"/>
  <c r="X78" i="15" s="1"/>
  <c r="Z78" i="15"/>
  <c r="Y78" i="15" a="1"/>
  <c r="Y78" i="15" s="1"/>
  <c r="AF153" i="7" s="1"/>
  <c r="I79" i="15"/>
  <c r="W79" i="15" s="1"/>
  <c r="Q152" i="8" l="1"/>
  <c r="Q153" i="8"/>
  <c r="V80" i="15"/>
  <c r="S81" i="15" s="1"/>
  <c r="J79" i="15"/>
  <c r="K79" i="15"/>
  <c r="AF152" i="7"/>
  <c r="L79" i="15" l="1"/>
  <c r="M79" i="15" l="1"/>
  <c r="N79" i="15"/>
  <c r="Y79" i="15" l="1" a="1"/>
  <c r="Y79" i="15" s="1"/>
  <c r="AF155" i="7" s="1"/>
  <c r="X79" i="15" a="1"/>
  <c r="X79" i="15" s="1"/>
  <c r="Z79" i="15"/>
  <c r="I80" i="15"/>
  <c r="W80" i="15" s="1"/>
  <c r="Q155" i="8" l="1"/>
  <c r="Q154" i="8"/>
  <c r="V81" i="15"/>
  <c r="S82" i="15" s="1"/>
  <c r="J80" i="15"/>
  <c r="K80" i="15"/>
  <c r="AF154" i="7"/>
  <c r="L80" i="15" l="1"/>
  <c r="N80" i="15" l="1"/>
  <c r="M80" i="15"/>
  <c r="I81" i="15" l="1"/>
  <c r="W81" i="15" s="1"/>
  <c r="Y80" i="15" a="1"/>
  <c r="Y80" i="15" s="1"/>
  <c r="AF157" i="7" s="1"/>
  <c r="X80" i="15" a="1"/>
  <c r="X80" i="15" s="1"/>
  <c r="Z80" i="15"/>
  <c r="Q156" i="8" l="1"/>
  <c r="Q157" i="8"/>
  <c r="V82" i="15"/>
  <c r="S83" i="15" s="1"/>
  <c r="AF156" i="7"/>
  <c r="K81" i="15"/>
  <c r="J81" i="15"/>
  <c r="L81" i="15" l="1"/>
  <c r="M81" i="15" l="1"/>
  <c r="N81" i="15"/>
  <c r="I82" i="15" l="1"/>
  <c r="W82" i="15" s="1"/>
  <c r="X81" i="15" a="1"/>
  <c r="X81" i="15" s="1"/>
  <c r="Y81" i="15" a="1"/>
  <c r="Y81" i="15" s="1"/>
  <c r="Z81" i="15"/>
  <c r="AF159" i="7" l="1"/>
  <c r="Q159" i="8"/>
  <c r="Q158" i="8"/>
  <c r="V83" i="15"/>
  <c r="S84" i="15" s="1"/>
  <c r="AF158" i="7"/>
  <c r="K82" i="15"/>
  <c r="J82" i="15"/>
  <c r="L82" i="15" l="1"/>
  <c r="M82" i="15" l="1"/>
  <c r="N82" i="15"/>
  <c r="I83" i="15" l="1"/>
  <c r="W83" i="15" s="1"/>
  <c r="Y82" i="15" a="1"/>
  <c r="Y82" i="15" s="1"/>
  <c r="X82" i="15" a="1"/>
  <c r="X82" i="15" s="1"/>
  <c r="Z82" i="15"/>
  <c r="AF161" i="7" l="1"/>
  <c r="Q161" i="8"/>
  <c r="Q160" i="8"/>
  <c r="V84" i="15"/>
  <c r="S85" i="15" s="1"/>
  <c r="AF160" i="7"/>
  <c r="K83" i="15"/>
  <c r="J83" i="15"/>
  <c r="L83" i="15" l="1"/>
  <c r="N83" i="15" l="1"/>
  <c r="M83" i="15"/>
  <c r="I84" i="15" l="1"/>
  <c r="W84" i="15" s="1"/>
  <c r="Y83" i="15" a="1"/>
  <c r="Y83" i="15" s="1"/>
  <c r="X83" i="15" a="1"/>
  <c r="X83" i="15" s="1"/>
  <c r="Z83" i="15"/>
  <c r="AF163" i="7" l="1"/>
  <c r="Q163" i="8"/>
  <c r="Q162" i="8"/>
  <c r="V85" i="15"/>
  <c r="S86" i="15" s="1"/>
  <c r="AF162" i="7"/>
  <c r="K84" i="15"/>
  <c r="J84" i="15"/>
  <c r="L84" i="15" l="1"/>
  <c r="N84" i="15" l="1"/>
  <c r="M84" i="15"/>
  <c r="X84" i="15" l="1" a="1"/>
  <c r="X84" i="15" s="1"/>
  <c r="Y84" i="15" a="1"/>
  <c r="Y84" i="15" s="1"/>
  <c r="AF165" i="7" s="1"/>
  <c r="I85" i="15"/>
  <c r="W85" i="15" s="1"/>
  <c r="Z84" i="15"/>
  <c r="Q164" i="8" l="1"/>
  <c r="Q165" i="8"/>
  <c r="V86" i="15"/>
  <c r="K85" i="15"/>
  <c r="J85" i="15"/>
  <c r="AF164" i="7"/>
  <c r="L85" i="15" l="1"/>
  <c r="N85" i="15" l="1"/>
  <c r="M85" i="15"/>
  <c r="X85" i="15" l="1" a="1"/>
  <c r="X85" i="15" s="1"/>
  <c r="Y85" i="15" a="1"/>
  <c r="Y85" i="15" s="1"/>
  <c r="AF167" i="7" s="1"/>
  <c r="I86" i="15"/>
  <c r="W86" i="15" s="1"/>
  <c r="Z85" i="15"/>
  <c r="Q167" i="8" l="1"/>
  <c r="Q166" i="8"/>
  <c r="J86" i="15"/>
  <c r="K86" i="15"/>
  <c r="AF166" i="7"/>
  <c r="L86" i="15" l="1"/>
  <c r="N86" i="15" l="1"/>
  <c r="M86" i="15"/>
  <c r="X86" i="15" l="1" a="1"/>
  <c r="X86" i="15" s="1"/>
  <c r="Y86" i="15" a="1"/>
  <c r="Y86" i="15" s="1"/>
  <c r="Z86" i="15"/>
  <c r="AF169" i="7" l="1"/>
  <c r="Q169" i="8"/>
  <c r="Q168" i="8"/>
  <c r="AF168" i="7"/>
  <c r="AK7" i="18" l="1"/>
  <c r="AQ7" i="18"/>
  <c r="AW7" i="18"/>
  <c r="BC7" i="18"/>
  <c r="BI7" i="18"/>
  <c r="BO7" i="18"/>
  <c r="BU7" i="18"/>
  <c r="CA7" i="18"/>
  <c r="CG7" i="18"/>
  <c r="CM7" i="18"/>
  <c r="CS7" i="18"/>
  <c r="CY7" i="18"/>
  <c r="DE7" i="18"/>
  <c r="DK7" i="18"/>
  <c r="DQ7" i="18"/>
  <c r="DW7" i="18"/>
  <c r="EC7" i="18"/>
  <c r="EI7" i="18"/>
  <c r="EO7" i="18"/>
  <c r="EU7" i="18"/>
  <c r="FA7" i="18"/>
  <c r="FG7" i="18"/>
  <c r="FM7" i="18"/>
  <c r="FS7" i="18"/>
  <c r="FY7" i="18"/>
  <c r="GE7" i="18"/>
  <c r="GK7" i="18"/>
  <c r="GQ7" i="18"/>
  <c r="GW7" i="18"/>
  <c r="HC7" i="18"/>
  <c r="HI7" i="18"/>
  <c r="HO7" i="18"/>
  <c r="HU7" i="18"/>
  <c r="IA7" i="18"/>
  <c r="IG7" i="18"/>
  <c r="IM7" i="18"/>
  <c r="IS7" i="18"/>
  <c r="IY7" i="18"/>
  <c r="JE7" i="18"/>
  <c r="JK7" i="18"/>
  <c r="JQ7" i="18"/>
  <c r="JW7" i="18"/>
  <c r="KC7" i="18"/>
  <c r="KI7" i="18"/>
  <c r="KO7" i="18"/>
  <c r="KU7" i="18"/>
  <c r="LA7" i="18"/>
  <c r="LG7" i="18"/>
  <c r="LM7" i="18"/>
  <c r="LS7" i="18"/>
  <c r="LY7" i="18"/>
  <c r="ME7" i="18"/>
  <c r="MK7" i="18"/>
  <c r="MQ7" i="18"/>
  <c r="MW7" i="18"/>
  <c r="NC7" i="18"/>
  <c r="NI7" i="18"/>
  <c r="NO7" i="18"/>
  <c r="NU7" i="18"/>
  <c r="OA7" i="18"/>
  <c r="OG7" i="18"/>
  <c r="OM7" i="18"/>
  <c r="OS7" i="18"/>
  <c r="OY7" i="18"/>
  <c r="PE7" i="18"/>
  <c r="PK7" i="18"/>
  <c r="PQ7" i="18"/>
  <c r="PW7" i="18"/>
  <c r="QC7" i="18"/>
  <c r="QI7" i="18"/>
  <c r="QO7" i="18"/>
  <c r="QU7" i="18"/>
  <c r="RA7" i="18"/>
  <c r="RG7" i="18"/>
  <c r="RM7" i="18"/>
  <c r="RS7" i="18"/>
  <c r="RY7" i="18"/>
  <c r="SE7" i="18"/>
  <c r="SK7" i="18"/>
  <c r="SQ7" i="18"/>
  <c r="SW7" i="18"/>
  <c r="TC7" i="18"/>
  <c r="TI7" i="18"/>
  <c r="TO7" i="18"/>
  <c r="TU7" i="18"/>
  <c r="TY7" i="18" s="1"/>
  <c r="UA7" i="18"/>
  <c r="UE7" i="18" s="1"/>
  <c r="UG7" i="18"/>
  <c r="UK7" i="18" s="1"/>
  <c r="UM7" i="18"/>
  <c r="UQ7" i="18" s="1"/>
  <c r="US7" i="18"/>
  <c r="UW7" i="18" s="1"/>
  <c r="UY7" i="18"/>
  <c r="VC7" i="18" s="1"/>
  <c r="VE7" i="18"/>
  <c r="VI7" i="18" s="1"/>
  <c r="VK7" i="18"/>
  <c r="VO7" i="18" s="1"/>
  <c r="VQ7" i="18"/>
  <c r="VU7" i="18" s="1"/>
  <c r="VW7" i="18"/>
  <c r="WA7" i="18" s="1"/>
  <c r="WC7" i="18"/>
  <c r="WG7" i="18" s="1"/>
  <c r="WI7" i="18"/>
  <c r="WM7" i="18" s="1"/>
  <c r="WO7" i="18"/>
  <c r="WS7" i="18" s="1"/>
  <c r="WU7" i="18"/>
  <c r="WY7" i="18" s="1"/>
  <c r="XA7" i="18"/>
  <c r="XG7" i="18"/>
  <c r="XI7" i="18" s="1"/>
  <c r="AO7" i="18" l="1"/>
  <c r="AN7" i="18"/>
  <c r="AM7" i="18"/>
  <c r="BE7" i="18"/>
  <c r="BF7" i="18"/>
  <c r="BG7" i="18"/>
  <c r="BX7" i="18"/>
  <c r="BW7" i="18"/>
  <c r="BY7" i="18"/>
  <c r="BA7" i="18"/>
  <c r="AZ7" i="18"/>
  <c r="AY7" i="18"/>
  <c r="BR7" i="18"/>
  <c r="BS7" i="18"/>
  <c r="BQ7" i="18"/>
  <c r="AS7" i="18"/>
  <c r="AU7" i="18"/>
  <c r="AT7" i="18"/>
  <c r="BK7" i="18"/>
  <c r="BM7" i="18"/>
  <c r="BL7" i="18"/>
  <c r="CD7" i="18"/>
  <c r="CE7" i="18"/>
  <c r="CC7" i="18"/>
  <c r="CK7" i="18"/>
  <c r="CI7" i="18"/>
  <c r="CJ7" i="18"/>
  <c r="CQ7" i="18"/>
  <c r="CO7" i="18"/>
  <c r="CP7" i="18"/>
  <c r="CV7" i="18"/>
  <c r="CU7" i="18"/>
  <c r="CW7" i="18"/>
  <c r="DB7" i="18"/>
  <c r="DC7" i="18"/>
  <c r="DA7" i="18"/>
  <c r="SZ7" i="18"/>
  <c r="SY7" i="18"/>
  <c r="TA7" i="18"/>
  <c r="SC7" i="18"/>
  <c r="SB7" i="18"/>
  <c r="SA7" i="18"/>
  <c r="RE7" i="18"/>
  <c r="RC7" i="18"/>
  <c r="RD7" i="18"/>
  <c r="QF7" i="18"/>
  <c r="QE7" i="18"/>
  <c r="QG7" i="18"/>
  <c r="PI7" i="18"/>
  <c r="PH7" i="18"/>
  <c r="PG7" i="18"/>
  <c r="OK7" i="18"/>
  <c r="OJ7" i="18"/>
  <c r="OI7" i="18"/>
  <c r="NK7" i="18"/>
  <c r="NL7" i="18"/>
  <c r="NM7" i="18"/>
  <c r="MM7" i="18"/>
  <c r="MO7" i="18"/>
  <c r="MN7" i="18"/>
  <c r="LP7" i="18"/>
  <c r="LO7" i="18"/>
  <c r="LQ7" i="18"/>
  <c r="KS7" i="18"/>
  <c r="KQ7" i="18"/>
  <c r="KR7" i="18"/>
  <c r="JS7" i="18"/>
  <c r="JU7" i="18"/>
  <c r="JT7" i="18"/>
  <c r="IV7" i="18"/>
  <c r="IU7" i="18"/>
  <c r="IW7" i="18"/>
  <c r="HY7" i="18"/>
  <c r="HX7" i="18"/>
  <c r="HW7" i="18"/>
  <c r="HA7" i="18"/>
  <c r="GZ7" i="18"/>
  <c r="GY7" i="18"/>
  <c r="GB7" i="18"/>
  <c r="GC7" i="18"/>
  <c r="GA7" i="18"/>
  <c r="FD7" i="18"/>
  <c r="FE7" i="18"/>
  <c r="FC7" i="18"/>
  <c r="EF7" i="18"/>
  <c r="EE7" i="18"/>
  <c r="EG7" i="18"/>
  <c r="DI7" i="18"/>
  <c r="DG7" i="18"/>
  <c r="DH7" i="18"/>
  <c r="TQ7" i="18"/>
  <c r="TS7" i="18"/>
  <c r="TR7" i="18"/>
  <c r="SU7" i="18"/>
  <c r="ST7" i="18"/>
  <c r="SS7" i="18"/>
  <c r="RW7" i="18"/>
  <c r="RV7" i="18"/>
  <c r="RU7" i="18"/>
  <c r="QY7" i="18"/>
  <c r="QX7" i="18"/>
  <c r="QW7" i="18"/>
  <c r="PZ7" i="18"/>
  <c r="PY7" i="18"/>
  <c r="QA7" i="18"/>
  <c r="PA7" i="18"/>
  <c r="PB7" i="18"/>
  <c r="PC7" i="18"/>
  <c r="OE7" i="18"/>
  <c r="OD7" i="18"/>
  <c r="OC7" i="18"/>
  <c r="NF7" i="18"/>
  <c r="NE7" i="18"/>
  <c r="NG7" i="18"/>
  <c r="MG7" i="18"/>
  <c r="MI7" i="18"/>
  <c r="MH7" i="18"/>
  <c r="LJ7" i="18"/>
  <c r="LK7" i="18"/>
  <c r="LI7" i="18"/>
  <c r="KK7" i="18"/>
  <c r="KM7" i="18"/>
  <c r="KL7" i="18"/>
  <c r="JN7" i="18"/>
  <c r="JM7" i="18"/>
  <c r="JO7" i="18"/>
  <c r="IP7" i="18"/>
  <c r="IO7" i="18"/>
  <c r="IQ7" i="18"/>
  <c r="HQ7" i="18"/>
  <c r="HR7" i="18"/>
  <c r="HS7" i="18"/>
  <c r="GT7" i="18"/>
  <c r="GS7" i="18"/>
  <c r="GU7" i="18"/>
  <c r="FV7" i="18"/>
  <c r="FW7" i="18"/>
  <c r="FU7" i="18"/>
  <c r="EX7" i="18"/>
  <c r="EW7" i="18"/>
  <c r="EY7" i="18"/>
  <c r="DZ7" i="18"/>
  <c r="EA7" i="18"/>
  <c r="DY7" i="18"/>
  <c r="TL7" i="18"/>
  <c r="TM7" i="18"/>
  <c r="TK7" i="18"/>
  <c r="SN7" i="18"/>
  <c r="SM7" i="18"/>
  <c r="SO7" i="18"/>
  <c r="RO7" i="18"/>
  <c r="RQ7" i="18"/>
  <c r="RP7" i="18"/>
  <c r="QS7" i="18"/>
  <c r="QR7" i="18"/>
  <c r="QQ7" i="18"/>
  <c r="PS7" i="18"/>
  <c r="PT7" i="18"/>
  <c r="PU7" i="18"/>
  <c r="OW7" i="18"/>
  <c r="OU7" i="18"/>
  <c r="OV7" i="18"/>
  <c r="NY7" i="18"/>
  <c r="NX7" i="18"/>
  <c r="NW7" i="18"/>
  <c r="NA7" i="18"/>
  <c r="MZ7" i="18"/>
  <c r="MY7" i="18"/>
  <c r="MA7" i="18"/>
  <c r="MB7" i="18"/>
  <c r="MC7" i="18"/>
  <c r="LC7" i="18"/>
  <c r="LE7" i="18"/>
  <c r="LD7" i="18"/>
  <c r="KF7" i="18"/>
  <c r="KE7" i="18"/>
  <c r="KG7" i="18"/>
  <c r="JG7" i="18"/>
  <c r="JH7" i="18"/>
  <c r="JI7" i="18"/>
  <c r="IK7" i="18"/>
  <c r="IJ7" i="18"/>
  <c r="II7" i="18"/>
  <c r="HM7" i="18"/>
  <c r="HL7" i="18"/>
  <c r="HK7" i="18"/>
  <c r="GO7" i="18"/>
  <c r="GN7" i="18"/>
  <c r="GM7" i="18"/>
  <c r="FP7" i="18"/>
  <c r="FQ7" i="18"/>
  <c r="FO7" i="18"/>
  <c r="EQ7" i="18"/>
  <c r="ES7" i="18"/>
  <c r="ER7" i="18"/>
  <c r="DS7" i="18"/>
  <c r="DT7" i="18"/>
  <c r="DU7" i="18"/>
  <c r="TF7" i="18"/>
  <c r="TE7" i="18"/>
  <c r="TG7" i="18"/>
  <c r="SH7" i="18"/>
  <c r="SI7" i="18"/>
  <c r="SG7" i="18"/>
  <c r="RK7" i="18"/>
  <c r="RJ7" i="18"/>
  <c r="RI7" i="18"/>
  <c r="QK7" i="18"/>
  <c r="QM7" i="18"/>
  <c r="QL7" i="18"/>
  <c r="PM7" i="18"/>
  <c r="PO7" i="18"/>
  <c r="PN7" i="18"/>
  <c r="OO7" i="18"/>
  <c r="OQ7" i="18"/>
  <c r="OP7" i="18"/>
  <c r="NS7" i="18"/>
  <c r="NQ7" i="18"/>
  <c r="NR7" i="18"/>
  <c r="MT7" i="18"/>
  <c r="MU7" i="18"/>
  <c r="MS7" i="18"/>
  <c r="LV7" i="18"/>
  <c r="LW7" i="18"/>
  <c r="LU7" i="18"/>
  <c r="KX7" i="18"/>
  <c r="KW7" i="18"/>
  <c r="KY7" i="18"/>
  <c r="JZ7" i="18"/>
  <c r="KA7" i="18"/>
  <c r="JY7" i="18"/>
  <c r="JB7" i="18"/>
  <c r="JA7" i="18"/>
  <c r="JC7" i="18"/>
  <c r="IC7" i="18"/>
  <c r="ID7" i="18"/>
  <c r="IE7" i="18"/>
  <c r="HF7" i="18"/>
  <c r="HG7" i="18"/>
  <c r="HE7" i="18"/>
  <c r="GG7" i="18"/>
  <c r="GH7" i="18"/>
  <c r="GI7" i="18"/>
  <c r="FK7" i="18"/>
  <c r="FJ7" i="18"/>
  <c r="FI7" i="18"/>
  <c r="EM7" i="18"/>
  <c r="EL7" i="18"/>
  <c r="EK7" i="18"/>
  <c r="DO7" i="18"/>
  <c r="DM7" i="18"/>
  <c r="DN7" i="18"/>
  <c r="UV7" i="18"/>
  <c r="UU7" i="18"/>
  <c r="VZ7" i="18"/>
  <c r="WX7" i="18"/>
  <c r="WK7" i="18"/>
  <c r="VY7" i="18"/>
  <c r="UC7" i="18"/>
  <c r="WQ7" i="18"/>
  <c r="VT7" i="18"/>
  <c r="UO7" i="18"/>
  <c r="WW7" i="18"/>
  <c r="VS7" i="18"/>
  <c r="VB7" i="18"/>
  <c r="TX7" i="18"/>
  <c r="WR7" i="18"/>
  <c r="VM7" i="18"/>
  <c r="VA7" i="18"/>
  <c r="UD7" i="18"/>
  <c r="TW7" i="18"/>
  <c r="XK7" i="18"/>
  <c r="XJ7" i="18"/>
  <c r="XE7" i="18"/>
  <c r="XD7" i="18"/>
  <c r="XC7" i="18"/>
  <c r="WL7" i="18"/>
  <c r="WE7" i="18"/>
  <c r="VN7" i="18"/>
  <c r="VG7" i="18"/>
  <c r="UP7" i="18"/>
  <c r="UI7" i="18"/>
  <c r="WF7" i="18"/>
  <c r="VH7" i="18"/>
  <c r="UJ7" i="18"/>
  <c r="R7" i="18" l="1"/>
  <c r="P7" i="18"/>
  <c r="S7" i="18" s="1"/>
  <c r="U7" i="18" s="1"/>
  <c r="Q7" i="18"/>
  <c r="T7" i="18" s="1"/>
  <c r="W148" i="9" l="1"/>
  <c r="S26" i="7"/>
  <c r="S132" i="7"/>
  <c r="W140" i="9"/>
  <c r="W20" i="9"/>
  <c r="W164" i="9"/>
  <c r="W122" i="9"/>
  <c r="W28" i="9"/>
  <c r="W156" i="9"/>
  <c r="S156" i="7"/>
  <c r="S164" i="7"/>
  <c r="S120" i="7"/>
  <c r="W30" i="9"/>
  <c r="W24" i="9"/>
  <c r="S18" i="7"/>
  <c r="W18" i="9"/>
  <c r="W120" i="9"/>
  <c r="W22" i="9"/>
  <c r="S22" i="7"/>
  <c r="M165" i="8" l="1"/>
  <c r="M164" i="8"/>
  <c r="M157" i="8"/>
  <c r="M156" i="8"/>
  <c r="M149" i="8"/>
  <c r="M148" i="8"/>
  <c r="M141" i="8"/>
  <c r="M140" i="8"/>
  <c r="W116" i="9"/>
  <c r="M117" i="8" s="1"/>
  <c r="W132" i="9"/>
  <c r="M132" i="8" s="1"/>
  <c r="S148" i="7"/>
  <c r="W124" i="9"/>
  <c r="M124" i="8" s="1"/>
  <c r="S118" i="7"/>
  <c r="M28" i="8"/>
  <c r="M29" i="8"/>
  <c r="S32" i="7"/>
  <c r="S28" i="7"/>
  <c r="S24" i="7"/>
  <c r="S124" i="7"/>
  <c r="W118" i="9"/>
  <c r="M119" i="8" s="1"/>
  <c r="M116" i="8"/>
  <c r="M21" i="8"/>
  <c r="M20" i="8"/>
  <c r="W26" i="9"/>
  <c r="S20" i="7"/>
  <c r="S116" i="7"/>
  <c r="S140" i="7"/>
  <c r="W16" i="9"/>
  <c r="W32" i="9"/>
  <c r="S16" i="7"/>
  <c r="W12" i="9"/>
  <c r="S12" i="7"/>
  <c r="W114" i="9"/>
  <c r="S114" i="7"/>
  <c r="W14" i="9"/>
  <c r="S30" i="7"/>
  <c r="S14" i="7"/>
  <c r="W146" i="9"/>
  <c r="S146" i="7"/>
  <c r="W138" i="9"/>
  <c r="S138" i="7"/>
  <c r="W154" i="9"/>
  <c r="S154" i="7"/>
  <c r="W162" i="9"/>
  <c r="S162" i="7"/>
  <c r="S122" i="7"/>
  <c r="W130" i="9"/>
  <c r="S130" i="7"/>
  <c r="W128" i="9"/>
  <c r="S128" i="7"/>
  <c r="W144" i="9"/>
  <c r="S144" i="7"/>
  <c r="W160" i="9"/>
  <c r="S160" i="7"/>
  <c r="W134" i="9"/>
  <c r="S134" i="7"/>
  <c r="W150" i="9"/>
  <c r="S150" i="7"/>
  <c r="W166" i="9"/>
  <c r="S166" i="7"/>
  <c r="W136" i="9"/>
  <c r="S136" i="7"/>
  <c r="W152" i="9"/>
  <c r="S152" i="7"/>
  <c r="W168" i="9"/>
  <c r="S168" i="7"/>
  <c r="W126" i="9"/>
  <c r="S126" i="7"/>
  <c r="W142" i="9"/>
  <c r="S142" i="7"/>
  <c r="W158" i="9"/>
  <c r="S158" i="7"/>
  <c r="M18" i="8"/>
  <c r="M19" i="8"/>
  <c r="M30" i="8"/>
  <c r="M31" i="8"/>
  <c r="M22" i="8"/>
  <c r="M23" i="8"/>
  <c r="M120" i="8"/>
  <c r="M121" i="8"/>
  <c r="M24" i="8"/>
  <c r="M25" i="8"/>
  <c r="M122" i="8"/>
  <c r="M123" i="8"/>
  <c r="M16" i="8" l="1"/>
  <c r="M26" i="8"/>
  <c r="M14" i="8"/>
  <c r="M32" i="8"/>
  <c r="M169" i="8"/>
  <c r="M168" i="8"/>
  <c r="M153" i="8"/>
  <c r="M152" i="8"/>
  <c r="M167" i="8"/>
  <c r="M166" i="8"/>
  <c r="M163" i="8"/>
  <c r="M162" i="8"/>
  <c r="M159" i="8"/>
  <c r="M158" i="8"/>
  <c r="M151" i="8"/>
  <c r="M150" i="8"/>
  <c r="M161" i="8"/>
  <c r="M160" i="8"/>
  <c r="M155" i="8"/>
  <c r="M154" i="8"/>
  <c r="M118" i="8"/>
  <c r="M133" i="8"/>
  <c r="M139" i="8"/>
  <c r="M138" i="8"/>
  <c r="M137" i="8"/>
  <c r="M136" i="8"/>
  <c r="M143" i="8"/>
  <c r="M142" i="8"/>
  <c r="M135" i="8"/>
  <c r="M134" i="8"/>
  <c r="M145" i="8"/>
  <c r="M144" i="8"/>
  <c r="M147" i="8"/>
  <c r="M146" i="8"/>
  <c r="M15" i="8"/>
  <c r="M33" i="8"/>
  <c r="M27" i="8"/>
  <c r="M17" i="8"/>
  <c r="M125" i="8"/>
  <c r="M114" i="8"/>
  <c r="M115" i="8"/>
  <c r="M12" i="8"/>
  <c r="M13" i="8"/>
  <c r="M130" i="8"/>
  <c r="M131" i="8"/>
  <c r="M127" i="8"/>
  <c r="M126" i="8"/>
  <c r="M128" i="8"/>
  <c r="M129" i="8"/>
  <c r="L154" i="8" l="1"/>
  <c r="N154" i="8"/>
  <c r="O154" i="8"/>
  <c r="X154" i="8" s="1"/>
  <c r="Z154" i="8" s="1"/>
  <c r="T154" i="8"/>
  <c r="L155" i="8"/>
  <c r="N155" i="8"/>
  <c r="O155" i="8"/>
  <c r="U155" i="8" s="1"/>
  <c r="T155" i="8"/>
  <c r="L156" i="8"/>
  <c r="N156" i="8"/>
  <c r="O156" i="8"/>
  <c r="U156" i="8" s="1"/>
  <c r="T156" i="8"/>
  <c r="L157" i="8"/>
  <c r="N157" i="8"/>
  <c r="O157" i="8"/>
  <c r="X157" i="8" s="1"/>
  <c r="T157" i="8"/>
  <c r="L158" i="8"/>
  <c r="N158" i="8"/>
  <c r="O158" i="8"/>
  <c r="X158" i="8" s="1"/>
  <c r="Z158" i="8" s="1"/>
  <c r="T158" i="8"/>
  <c r="L159" i="8"/>
  <c r="N159" i="8"/>
  <c r="O159" i="8"/>
  <c r="U159" i="8" s="1"/>
  <c r="T159" i="8"/>
  <c r="L160" i="8"/>
  <c r="N160" i="8"/>
  <c r="O160" i="8"/>
  <c r="X160" i="8" s="1"/>
  <c r="Z160" i="8" s="1"/>
  <c r="T160" i="8"/>
  <c r="L161" i="8"/>
  <c r="N161" i="8"/>
  <c r="O161" i="8"/>
  <c r="U161" i="8" s="1"/>
  <c r="T161" i="8"/>
  <c r="L162" i="8"/>
  <c r="N162" i="8"/>
  <c r="O162" i="8"/>
  <c r="X162" i="8" s="1"/>
  <c r="Z162" i="8" s="1"/>
  <c r="T162" i="8"/>
  <c r="L163" i="8"/>
  <c r="N163" i="8"/>
  <c r="O163" i="8"/>
  <c r="U163" i="8" s="1"/>
  <c r="T163" i="8"/>
  <c r="L164" i="8"/>
  <c r="N164" i="8"/>
  <c r="O164" i="8"/>
  <c r="U164" i="8" s="1"/>
  <c r="T164" i="8"/>
  <c r="L165" i="8"/>
  <c r="N165" i="8"/>
  <c r="O165" i="8"/>
  <c r="X165" i="8" s="1"/>
  <c r="T165" i="8"/>
  <c r="L166" i="8"/>
  <c r="N166" i="8"/>
  <c r="O166" i="8"/>
  <c r="X166" i="8" s="1"/>
  <c r="Z166" i="8" s="1"/>
  <c r="T166" i="8"/>
  <c r="L167" i="8"/>
  <c r="N167" i="8"/>
  <c r="O167" i="8"/>
  <c r="U167" i="8" s="1"/>
  <c r="T167" i="8"/>
  <c r="L168" i="8"/>
  <c r="N168" i="8"/>
  <c r="Y168" i="8" s="1"/>
  <c r="Y166" i="8" s="1"/>
  <c r="Y164" i="8" s="1"/>
  <c r="Y162" i="8" s="1"/>
  <c r="Y160" i="8" s="1"/>
  <c r="Y158" i="8" s="1"/>
  <c r="Y156" i="8" s="1"/>
  <c r="Y154" i="8" s="1"/>
  <c r="O168" i="8"/>
  <c r="X168" i="8" s="1"/>
  <c r="Z168" i="8" s="1"/>
  <c r="T168" i="8"/>
  <c r="L169" i="8"/>
  <c r="N169" i="8"/>
  <c r="Y169" i="8" s="1"/>
  <c r="Y167" i="8" s="1"/>
  <c r="Y165" i="8" s="1"/>
  <c r="Y163" i="8" s="1"/>
  <c r="Y161" i="8" s="1"/>
  <c r="Y159" i="8" s="1"/>
  <c r="Y157" i="8" s="1"/>
  <c r="Y155" i="8" s="1"/>
  <c r="O169" i="8"/>
  <c r="U169" i="8" s="1"/>
  <c r="T169" i="8"/>
  <c r="R154" i="1"/>
  <c r="S154" i="1"/>
  <c r="U154" i="1"/>
  <c r="V154" i="1"/>
  <c r="AB154" i="1"/>
  <c r="AC154" i="1"/>
  <c r="AI154" i="1"/>
  <c r="AJ154" i="1"/>
  <c r="AP154" i="1"/>
  <c r="AQ154" i="1"/>
  <c r="AW154" i="1"/>
  <c r="AX154" i="1"/>
  <c r="BD154" i="1"/>
  <c r="BE154" i="1"/>
  <c r="BK154" i="1"/>
  <c r="BL154" i="1"/>
  <c r="AB155" i="1"/>
  <c r="AC155" i="1"/>
  <c r="AI155" i="1"/>
  <c r="AJ155" i="1"/>
  <c r="AP155" i="1"/>
  <c r="AQ155" i="1"/>
  <c r="AW155" i="1"/>
  <c r="AX155" i="1"/>
  <c r="BD155" i="1"/>
  <c r="BE155" i="1"/>
  <c r="BK155" i="1"/>
  <c r="BL155" i="1"/>
  <c r="R156" i="1"/>
  <c r="S156" i="1"/>
  <c r="U156" i="1"/>
  <c r="V156" i="1"/>
  <c r="AB156" i="1"/>
  <c r="AC156" i="1"/>
  <c r="AI156" i="1"/>
  <c r="AJ156" i="1"/>
  <c r="AP156" i="1"/>
  <c r="AQ156" i="1"/>
  <c r="AW156" i="1"/>
  <c r="AX156" i="1"/>
  <c r="BD156" i="1"/>
  <c r="BE156" i="1"/>
  <c r="BK156" i="1"/>
  <c r="BL156" i="1"/>
  <c r="AB157" i="1"/>
  <c r="AC157" i="1"/>
  <c r="AI157" i="1"/>
  <c r="AJ157" i="1"/>
  <c r="AP157" i="1"/>
  <c r="AQ157" i="1"/>
  <c r="AW157" i="1"/>
  <c r="AX157" i="1"/>
  <c r="BD157" i="1"/>
  <c r="BE157" i="1"/>
  <c r="BK157" i="1"/>
  <c r="BL157" i="1"/>
  <c r="R158" i="1"/>
  <c r="S158" i="1"/>
  <c r="U158" i="1"/>
  <c r="V158" i="1"/>
  <c r="AB158" i="1"/>
  <c r="AC158" i="1"/>
  <c r="AI158" i="1"/>
  <c r="AJ158" i="1"/>
  <c r="AP158" i="1"/>
  <c r="AQ158" i="1"/>
  <c r="AW158" i="1"/>
  <c r="AX158" i="1"/>
  <c r="BD158" i="1"/>
  <c r="BE158" i="1"/>
  <c r="BK158" i="1"/>
  <c r="BL158" i="1"/>
  <c r="AB159" i="1"/>
  <c r="AC159" i="1"/>
  <c r="AI159" i="1"/>
  <c r="AJ159" i="1"/>
  <c r="AP159" i="1"/>
  <c r="AQ159" i="1"/>
  <c r="AW159" i="1"/>
  <c r="AX159" i="1"/>
  <c r="BD159" i="1"/>
  <c r="BE159" i="1"/>
  <c r="BK159" i="1"/>
  <c r="BL159" i="1"/>
  <c r="R160" i="1"/>
  <c r="S160" i="1"/>
  <c r="U160" i="1"/>
  <c r="V160" i="1"/>
  <c r="AB160" i="1"/>
  <c r="AC160" i="1"/>
  <c r="AI160" i="1"/>
  <c r="AJ160" i="1"/>
  <c r="AP160" i="1"/>
  <c r="AQ160" i="1"/>
  <c r="AW160" i="1"/>
  <c r="AX160" i="1"/>
  <c r="BD160" i="1"/>
  <c r="BE160" i="1"/>
  <c r="BK160" i="1"/>
  <c r="BL160" i="1"/>
  <c r="AB161" i="1"/>
  <c r="AC161" i="1"/>
  <c r="AI161" i="1"/>
  <c r="AJ161" i="1"/>
  <c r="AP161" i="1"/>
  <c r="AQ161" i="1"/>
  <c r="AW161" i="1"/>
  <c r="AX161" i="1"/>
  <c r="BD161" i="1"/>
  <c r="BE161" i="1"/>
  <c r="BK161" i="1"/>
  <c r="BL161" i="1"/>
  <c r="R162" i="1"/>
  <c r="S162" i="1"/>
  <c r="U162" i="1"/>
  <c r="V162" i="1"/>
  <c r="AB162" i="1"/>
  <c r="AC162" i="1"/>
  <c r="AI162" i="1"/>
  <c r="AJ162" i="1"/>
  <c r="AP162" i="1"/>
  <c r="AQ162" i="1"/>
  <c r="AW162" i="1"/>
  <c r="AX162" i="1"/>
  <c r="BD162" i="1"/>
  <c r="BE162" i="1"/>
  <c r="BK162" i="1"/>
  <c r="BL162" i="1"/>
  <c r="AB163" i="1"/>
  <c r="AC163" i="1"/>
  <c r="AI163" i="1"/>
  <c r="AJ163" i="1"/>
  <c r="AP163" i="1"/>
  <c r="AQ163" i="1"/>
  <c r="AW163" i="1"/>
  <c r="AX163" i="1"/>
  <c r="BD163" i="1"/>
  <c r="BE163" i="1"/>
  <c r="BK163" i="1"/>
  <c r="BL163" i="1"/>
  <c r="R164" i="1"/>
  <c r="S164" i="1"/>
  <c r="U164" i="1"/>
  <c r="V164" i="1"/>
  <c r="AB164" i="1"/>
  <c r="AC164" i="1"/>
  <c r="AI164" i="1"/>
  <c r="AJ164" i="1"/>
  <c r="AP164" i="1"/>
  <c r="AQ164" i="1"/>
  <c r="AW164" i="1"/>
  <c r="AX164" i="1"/>
  <c r="BD164" i="1"/>
  <c r="BE164" i="1"/>
  <c r="BK164" i="1"/>
  <c r="BL164" i="1"/>
  <c r="AB165" i="1"/>
  <c r="AC165" i="1"/>
  <c r="AI165" i="1"/>
  <c r="AJ165" i="1"/>
  <c r="AP165" i="1"/>
  <c r="AQ165" i="1"/>
  <c r="AW165" i="1"/>
  <c r="AX165" i="1"/>
  <c r="BD165" i="1"/>
  <c r="BE165" i="1"/>
  <c r="BK165" i="1"/>
  <c r="BL165" i="1"/>
  <c r="R166" i="1"/>
  <c r="S166" i="1"/>
  <c r="U166" i="1"/>
  <c r="V166" i="1"/>
  <c r="AB166" i="1"/>
  <c r="AC166" i="1"/>
  <c r="AI166" i="1"/>
  <c r="AJ166" i="1"/>
  <c r="AP166" i="1"/>
  <c r="AQ166" i="1"/>
  <c r="AW166" i="1"/>
  <c r="AX166" i="1"/>
  <c r="BD166" i="1"/>
  <c r="BE166" i="1"/>
  <c r="BK166" i="1"/>
  <c r="BL166" i="1"/>
  <c r="AB167" i="1"/>
  <c r="AC167" i="1"/>
  <c r="AI167" i="1"/>
  <c r="AJ167" i="1"/>
  <c r="AP167" i="1"/>
  <c r="AQ167" i="1"/>
  <c r="AW167" i="1"/>
  <c r="AX167" i="1"/>
  <c r="BD167" i="1"/>
  <c r="BE167" i="1"/>
  <c r="BK167" i="1"/>
  <c r="BL167" i="1"/>
  <c r="R168" i="1"/>
  <c r="S168" i="1"/>
  <c r="U168" i="1"/>
  <c r="V168" i="1"/>
  <c r="AB168" i="1"/>
  <c r="AC168" i="1"/>
  <c r="AI168" i="1"/>
  <c r="AJ168" i="1"/>
  <c r="AP168" i="1"/>
  <c r="AQ168" i="1"/>
  <c r="AW168" i="1"/>
  <c r="AX168" i="1"/>
  <c r="BD168" i="1"/>
  <c r="BE168" i="1"/>
  <c r="BK168" i="1"/>
  <c r="BL168" i="1"/>
  <c r="AB169" i="1"/>
  <c r="AC169" i="1"/>
  <c r="AI169" i="1"/>
  <c r="AJ169" i="1"/>
  <c r="AP169" i="1"/>
  <c r="AQ169" i="1"/>
  <c r="AW169" i="1"/>
  <c r="AX169" i="1"/>
  <c r="BD169" i="1"/>
  <c r="BE169" i="1"/>
  <c r="BK169" i="1"/>
  <c r="BL169" i="1"/>
  <c r="R154" i="7"/>
  <c r="R156" i="7"/>
  <c r="R158" i="7"/>
  <c r="R160" i="7"/>
  <c r="R162" i="7"/>
  <c r="R164" i="7"/>
  <c r="R166" i="7"/>
  <c r="R168" i="7"/>
  <c r="BR159" i="1" l="1"/>
  <c r="Q159" i="7" s="1"/>
  <c r="U165" i="8"/>
  <c r="BR155" i="1"/>
  <c r="Q155" i="7" s="1"/>
  <c r="U166" i="8"/>
  <c r="BR163" i="1"/>
  <c r="Q163" i="7" s="1"/>
  <c r="U158" i="8"/>
  <c r="BR161" i="1"/>
  <c r="Q161" i="7" s="1"/>
  <c r="X167" i="8"/>
  <c r="X164" i="8"/>
  <c r="Z164" i="8" s="1"/>
  <c r="U157" i="8"/>
  <c r="BR169" i="1"/>
  <c r="Q169" i="7" s="1"/>
  <c r="BR157" i="1"/>
  <c r="Q157" i="7" s="1"/>
  <c r="U154" i="8"/>
  <c r="X169" i="8"/>
  <c r="BR167" i="1"/>
  <c r="Q167" i="7" s="1"/>
  <c r="BR165" i="1"/>
  <c r="Q165" i="7" s="1"/>
  <c r="BS165" i="1"/>
  <c r="BS157" i="1"/>
  <c r="BS163" i="1"/>
  <c r="BS155" i="1"/>
  <c r="X161" i="8"/>
  <c r="BS161" i="1"/>
  <c r="U162" i="8"/>
  <c r="X155" i="8"/>
  <c r="BS167" i="1"/>
  <c r="BS159" i="1"/>
  <c r="X163" i="8"/>
  <c r="X159" i="8"/>
  <c r="X156" i="8"/>
  <c r="Z156" i="8" s="1"/>
  <c r="BS169" i="1"/>
  <c r="U168" i="8"/>
  <c r="U160" i="8"/>
  <c r="U165" i="7" l="1"/>
  <c r="V165" i="7"/>
  <c r="W165" i="7" s="1"/>
  <c r="AG165" i="7"/>
  <c r="U157" i="7"/>
  <c r="V157" i="7"/>
  <c r="W157" i="7" s="1"/>
  <c r="AG157" i="7"/>
  <c r="U169" i="7"/>
  <c r="V169" i="7"/>
  <c r="W169" i="7" s="1"/>
  <c r="AG169" i="7"/>
  <c r="U155" i="7"/>
  <c r="V155" i="7"/>
  <c r="W155" i="7" s="1"/>
  <c r="AG155" i="7"/>
  <c r="V167" i="7"/>
  <c r="W167" i="7" s="1"/>
  <c r="U167" i="7"/>
  <c r="AG167" i="7"/>
  <c r="V161" i="7"/>
  <c r="W161" i="7" s="1"/>
  <c r="U161" i="7"/>
  <c r="AG161" i="7"/>
  <c r="U163" i="7"/>
  <c r="V163" i="7"/>
  <c r="W163" i="7" s="1"/>
  <c r="AG163" i="7"/>
  <c r="V159" i="7"/>
  <c r="W159" i="7" s="1"/>
  <c r="U159" i="7"/>
  <c r="AG159" i="7"/>
  <c r="T11" i="9"/>
  <c r="AI167" i="7" l="1"/>
  <c r="AB167" i="7" s="1"/>
  <c r="AC167" i="7" s="1"/>
  <c r="AH167" i="7" a="1"/>
  <c r="AH167" i="7" s="1"/>
  <c r="AH155" i="7" a="1"/>
  <c r="AH155" i="7" s="1"/>
  <c r="AI155" i="7"/>
  <c r="AB155" i="7" s="1"/>
  <c r="AC155" i="7" s="1"/>
  <c r="AI159" i="7"/>
  <c r="AB159" i="7" s="1"/>
  <c r="AC159" i="7" s="1"/>
  <c r="AH159" i="7" a="1"/>
  <c r="AH159" i="7" s="1"/>
  <c r="AH161" i="7" a="1"/>
  <c r="AH161" i="7" s="1"/>
  <c r="AI161" i="7"/>
  <c r="AB161" i="7" s="1"/>
  <c r="AC161" i="7" s="1"/>
  <c r="AI165" i="7"/>
  <c r="AB165" i="7" s="1"/>
  <c r="AC165" i="7" s="1"/>
  <c r="AH165" i="7" a="1"/>
  <c r="AH165" i="7" s="1"/>
  <c r="AH163" i="7" a="1"/>
  <c r="AH163" i="7" s="1"/>
  <c r="AI163" i="7"/>
  <c r="AB163" i="7" s="1"/>
  <c r="AC163" i="7" s="1"/>
  <c r="AH157" i="7" a="1"/>
  <c r="AH157" i="7" s="1"/>
  <c r="AI157" i="7"/>
  <c r="AB157" i="7" s="1"/>
  <c r="AC157" i="7" s="1"/>
  <c r="AH169" i="7" a="1"/>
  <c r="AH169" i="7" s="1"/>
  <c r="AI169" i="7"/>
  <c r="AB169" i="7" s="1"/>
  <c r="AC169" i="7" s="1"/>
  <c r="V10" i="9"/>
  <c r="AE167" i="7" l="1" a="1"/>
  <c r="AE167" i="7" s="1"/>
  <c r="AD167" i="7" a="1"/>
  <c r="AD167" i="7" s="1"/>
  <c r="AE165" i="7" a="1"/>
  <c r="AE165" i="7" s="1"/>
  <c r="AD165" i="7" a="1"/>
  <c r="AD165" i="7" s="1"/>
  <c r="AD161" i="7" a="1"/>
  <c r="AD161" i="7" s="1"/>
  <c r="AE161" i="7" a="1"/>
  <c r="AE161" i="7" s="1"/>
  <c r="AD169" i="7" a="1"/>
  <c r="AD169" i="7" s="1"/>
  <c r="AE169" i="7" a="1"/>
  <c r="AE169" i="7" s="1"/>
  <c r="AE157" i="7" a="1"/>
  <c r="AE157" i="7" s="1"/>
  <c r="AD157" i="7" a="1"/>
  <c r="AD157" i="7" s="1"/>
  <c r="AE159" i="7" a="1"/>
  <c r="AE159" i="7" s="1"/>
  <c r="AD159" i="7" a="1"/>
  <c r="AD159" i="7" s="1"/>
  <c r="AD163" i="7" a="1"/>
  <c r="AD163" i="7" s="1"/>
  <c r="AE163" i="7" a="1"/>
  <c r="AE163" i="7" s="1"/>
  <c r="AD155" i="7" a="1"/>
  <c r="AD155" i="7" s="1"/>
  <c r="AE155" i="7" a="1"/>
  <c r="AE155" i="7" s="1"/>
  <c r="U11" i="9"/>
  <c r="S11" i="7" s="1"/>
  <c r="U10" i="9"/>
  <c r="S10" i="7" l="1"/>
  <c r="W10" i="9"/>
  <c r="M10" i="8" l="1"/>
  <c r="M11" i="8"/>
  <c r="I4" i="15" l="1"/>
  <c r="H4" i="15" s="1"/>
  <c r="K4" i="15"/>
  <c r="S4" i="15"/>
  <c r="L152" i="8" l="1"/>
  <c r="N152" i="8"/>
  <c r="Y152" i="8" s="1"/>
  <c r="O152" i="8"/>
  <c r="X152" i="8" s="1"/>
  <c r="Z152" i="8" s="1"/>
  <c r="T152" i="8"/>
  <c r="L153" i="8"/>
  <c r="N153" i="8"/>
  <c r="Y153" i="8" s="1"/>
  <c r="O153" i="8"/>
  <c r="U153" i="8" s="1"/>
  <c r="T153" i="8"/>
  <c r="R152" i="1"/>
  <c r="S152" i="1"/>
  <c r="U152" i="1"/>
  <c r="V152" i="1"/>
  <c r="AB152" i="1"/>
  <c r="AC152" i="1"/>
  <c r="AI152" i="1"/>
  <c r="AJ152" i="1"/>
  <c r="AP152" i="1"/>
  <c r="AQ152" i="1"/>
  <c r="AW152" i="1"/>
  <c r="AX152" i="1"/>
  <c r="BD152" i="1"/>
  <c r="BE152" i="1"/>
  <c r="BK152" i="1"/>
  <c r="BL152" i="1"/>
  <c r="AB153" i="1"/>
  <c r="AC153" i="1"/>
  <c r="AI153" i="1"/>
  <c r="AJ153" i="1"/>
  <c r="AP153" i="1"/>
  <c r="AQ153" i="1"/>
  <c r="AW153" i="1"/>
  <c r="AX153" i="1"/>
  <c r="BD153" i="1"/>
  <c r="BE153" i="1"/>
  <c r="BK153" i="1"/>
  <c r="BL153" i="1"/>
  <c r="R152" i="7"/>
  <c r="BR153" i="1" l="1"/>
  <c r="Q153" i="7" s="1"/>
  <c r="X153" i="8"/>
  <c r="U152" i="8"/>
  <c r="BS153" i="1"/>
  <c r="U153" i="7" l="1"/>
  <c r="V153" i="7"/>
  <c r="W153" i="7" s="1"/>
  <c r="AG153" i="7"/>
  <c r="T70" i="9"/>
  <c r="V70" i="9" s="1"/>
  <c r="T94" i="9"/>
  <c r="V94" i="9" s="1"/>
  <c r="T52" i="9"/>
  <c r="V52" i="9" s="1"/>
  <c r="T58" i="9"/>
  <c r="V58" i="9" s="1"/>
  <c r="T92" i="9"/>
  <c r="V92" i="9" s="1"/>
  <c r="T44" i="9"/>
  <c r="V44" i="9" s="1"/>
  <c r="T72" i="9"/>
  <c r="V72" i="9" s="1"/>
  <c r="T102" i="9"/>
  <c r="V102" i="9" s="1"/>
  <c r="T106" i="9"/>
  <c r="V106" i="9" s="1"/>
  <c r="AI153" i="7" l="1"/>
  <c r="AB153" i="7" s="1"/>
  <c r="AC153" i="7" s="1"/>
  <c r="AH153" i="7" a="1"/>
  <c r="AH153" i="7" s="1"/>
  <c r="U106" i="9"/>
  <c r="U68" i="9"/>
  <c r="U48" i="9"/>
  <c r="U38" i="9"/>
  <c r="T74" i="9"/>
  <c r="V74" i="9" s="1"/>
  <c r="U110" i="9"/>
  <c r="U82" i="9"/>
  <c r="U66" i="9"/>
  <c r="T90" i="9"/>
  <c r="V90" i="9" s="1"/>
  <c r="T50" i="9"/>
  <c r="V50" i="9" s="1"/>
  <c r="T96" i="9"/>
  <c r="V96" i="9" s="1"/>
  <c r="T34" i="9"/>
  <c r="V34" i="9" s="1"/>
  <c r="T68" i="9"/>
  <c r="V68" i="9" s="1"/>
  <c r="T84" i="9"/>
  <c r="V84" i="9" s="1"/>
  <c r="T104" i="9"/>
  <c r="V104" i="9" s="1"/>
  <c r="T40" i="9"/>
  <c r="V40" i="9" s="1"/>
  <c r="T62" i="9"/>
  <c r="V62" i="9" s="1"/>
  <c r="T82" i="9"/>
  <c r="V82" i="9" s="1"/>
  <c r="T66" i="9"/>
  <c r="V66" i="9" s="1"/>
  <c r="T64" i="9"/>
  <c r="V64" i="9" s="1"/>
  <c r="T38" i="9"/>
  <c r="V38" i="9" s="1"/>
  <c r="T60" i="9"/>
  <c r="V60" i="9" s="1"/>
  <c r="T56" i="9"/>
  <c r="V56" i="9" s="1"/>
  <c r="U54" i="9"/>
  <c r="T98" i="9"/>
  <c r="V98" i="9" s="1"/>
  <c r="T48" i="9"/>
  <c r="V48" i="9" s="1"/>
  <c r="T88" i="9"/>
  <c r="V88" i="9" s="1"/>
  <c r="T42" i="9"/>
  <c r="V42" i="9" s="1"/>
  <c r="T46" i="9"/>
  <c r="V46" i="9" s="1"/>
  <c r="U108" i="9"/>
  <c r="T110" i="9"/>
  <c r="V110" i="9" s="1"/>
  <c r="T108" i="9"/>
  <c r="V108" i="9" s="1"/>
  <c r="T78" i="9"/>
  <c r="V78" i="9" s="1"/>
  <c r="T86" i="9"/>
  <c r="V86" i="9" s="1"/>
  <c r="T100" i="9"/>
  <c r="V100" i="9" s="1"/>
  <c r="T36" i="9"/>
  <c r="V36" i="9" s="1"/>
  <c r="T76" i="9"/>
  <c r="V76" i="9" s="1"/>
  <c r="T112" i="9"/>
  <c r="V112" i="9" s="1"/>
  <c r="T80" i="9"/>
  <c r="V80" i="9" s="1"/>
  <c r="T54" i="9"/>
  <c r="V54" i="9" s="1"/>
  <c r="AE153" i="7" l="1" a="1"/>
  <c r="AE153" i="7" s="1"/>
  <c r="AD153" i="7" a="1"/>
  <c r="AD153" i="7" s="1"/>
  <c r="U84" i="9"/>
  <c r="U64" i="9"/>
  <c r="U44" i="9"/>
  <c r="U70" i="9"/>
  <c r="U72" i="9"/>
  <c r="U58" i="9"/>
  <c r="U92" i="9"/>
  <c r="U94" i="9"/>
  <c r="U52" i="9"/>
  <c r="U60" i="9"/>
  <c r="U74" i="9"/>
  <c r="U100" i="9"/>
  <c r="U112" i="9"/>
  <c r="U46" i="9"/>
  <c r="U75" i="9"/>
  <c r="S75" i="7" s="1"/>
  <c r="U67" i="9"/>
  <c r="U63" i="9"/>
  <c r="S63" i="7" s="1"/>
  <c r="U79" i="9"/>
  <c r="S79" i="7" s="1"/>
  <c r="U69" i="9"/>
  <c r="U88" i="9"/>
  <c r="U42" i="9"/>
  <c r="U39" i="9"/>
  <c r="U90" i="9"/>
  <c r="U87" i="9"/>
  <c r="S87" i="7" s="1"/>
  <c r="U34" i="9"/>
  <c r="U56" i="9"/>
  <c r="U105" i="9"/>
  <c r="S105" i="7" s="1"/>
  <c r="U103" i="9"/>
  <c r="S103" i="7" s="1"/>
  <c r="U35" i="9"/>
  <c r="S35" i="7" s="1"/>
  <c r="U97" i="9"/>
  <c r="S97" i="7" s="1"/>
  <c r="U109" i="9"/>
  <c r="U104" i="9"/>
  <c r="U76" i="9"/>
  <c r="U98" i="9"/>
  <c r="U36" i="9"/>
  <c r="U101" i="9"/>
  <c r="S101" i="7" s="1"/>
  <c r="U40" i="9"/>
  <c r="U102" i="9"/>
  <c r="S68" i="7"/>
  <c r="U41" i="9"/>
  <c r="S41" i="7" s="1"/>
  <c r="U47" i="9"/>
  <c r="S47" i="7" s="1"/>
  <c r="U73" i="9"/>
  <c r="S73" i="7" s="1"/>
  <c r="U53" i="9"/>
  <c r="S53" i="7" s="1"/>
  <c r="U86" i="9"/>
  <c r="S86" i="7" s="1"/>
  <c r="U49" i="9"/>
  <c r="U95" i="9"/>
  <c r="S95" i="7" s="1"/>
  <c r="U83" i="9"/>
  <c r="U93" i="9"/>
  <c r="S93" i="7" s="1"/>
  <c r="U51" i="9"/>
  <c r="S51" i="7" s="1"/>
  <c r="U107" i="9"/>
  <c r="U77" i="9"/>
  <c r="S77" i="7" s="1"/>
  <c r="U80" i="9"/>
  <c r="U45" i="9"/>
  <c r="S45" i="7" s="1"/>
  <c r="U55" i="9"/>
  <c r="U57" i="9"/>
  <c r="S57" i="7" s="1"/>
  <c r="U113" i="9"/>
  <c r="S113" i="7" s="1"/>
  <c r="U111" i="9"/>
  <c r="S111" i="7" s="1"/>
  <c r="U61" i="9"/>
  <c r="S61" i="7" s="1"/>
  <c r="U71" i="9"/>
  <c r="S71" i="7" s="1"/>
  <c r="U59" i="9"/>
  <c r="S59" i="7" s="1"/>
  <c r="U81" i="9"/>
  <c r="S81" i="7" s="1"/>
  <c r="U37" i="9"/>
  <c r="S37" i="7" s="1"/>
  <c r="U43" i="9"/>
  <c r="S43" i="7" s="1"/>
  <c r="U85" i="9"/>
  <c r="S85" i="7" s="1"/>
  <c r="U91" i="9"/>
  <c r="S91" i="7" s="1"/>
  <c r="S54" i="7"/>
  <c r="U99" i="9"/>
  <c r="S99" i="7" s="1"/>
  <c r="U65" i="9"/>
  <c r="S65" i="7" s="1"/>
  <c r="U89" i="9"/>
  <c r="S89" i="7" s="1"/>
  <c r="U78" i="9"/>
  <c r="U62" i="9"/>
  <c r="U96" i="9"/>
  <c r="U50" i="9"/>
  <c r="W54" i="9" l="1"/>
  <c r="M54" i="8" s="1"/>
  <c r="S55" i="7"/>
  <c r="S106" i="7"/>
  <c r="S107" i="7"/>
  <c r="W38" i="9"/>
  <c r="M38" i="8" s="1"/>
  <c r="S39" i="7"/>
  <c r="W48" i="9"/>
  <c r="M49" i="8" s="1"/>
  <c r="S49" i="7"/>
  <c r="W66" i="9"/>
  <c r="M67" i="8" s="1"/>
  <c r="S67" i="7"/>
  <c r="S82" i="7"/>
  <c r="S83" i="7"/>
  <c r="W108" i="9"/>
  <c r="M109" i="8" s="1"/>
  <c r="S109" i="7"/>
  <c r="W68" i="9"/>
  <c r="M68" i="8" s="1"/>
  <c r="S69" i="7"/>
  <c r="S108" i="7"/>
  <c r="S66" i="7"/>
  <c r="S40" i="7"/>
  <c r="W84" i="9"/>
  <c r="M84" i="8" s="1"/>
  <c r="W64" i="9"/>
  <c r="M64" i="8" s="1"/>
  <c r="S62" i="7"/>
  <c r="S90" i="7"/>
  <c r="S36" i="7"/>
  <c r="S76" i="7"/>
  <c r="S74" i="7"/>
  <c r="S92" i="7"/>
  <c r="W44" i="9"/>
  <c r="M45" i="8" s="1"/>
  <c r="M39" i="8"/>
  <c r="S52" i="7"/>
  <c r="S72" i="7"/>
  <c r="S70" i="7"/>
  <c r="S58" i="7"/>
  <c r="W74" i="9"/>
  <c r="W104" i="9"/>
  <c r="M105" i="8" s="1"/>
  <c r="S94" i="7"/>
  <c r="W92" i="9"/>
  <c r="W100" i="9"/>
  <c r="M101" i="8" s="1"/>
  <c r="W88" i="9"/>
  <c r="S100" i="7"/>
  <c r="S104" i="7"/>
  <c r="W90" i="9"/>
  <c r="W34" i="9"/>
  <c r="S34" i="7"/>
  <c r="S112" i="7"/>
  <c r="W40" i="9"/>
  <c r="W62" i="9"/>
  <c r="W76" i="9"/>
  <c r="W72" i="9"/>
  <c r="W102" i="9"/>
  <c r="S78" i="7"/>
  <c r="S38" i="7"/>
  <c r="S60" i="7"/>
  <c r="W94" i="9"/>
  <c r="W112" i="9"/>
  <c r="M113" i="8" s="1"/>
  <c r="S46" i="7"/>
  <c r="W98" i="9"/>
  <c r="S56" i="7"/>
  <c r="W46" i="9"/>
  <c r="W86" i="9"/>
  <c r="S80" i="7"/>
  <c r="W56" i="9"/>
  <c r="W60" i="9"/>
  <c r="W78" i="9"/>
  <c r="S102" i="7"/>
  <c r="W36" i="9"/>
  <c r="S48" i="7"/>
  <c r="W82" i="9"/>
  <c r="S64" i="7"/>
  <c r="S84" i="7"/>
  <c r="S98" i="7"/>
  <c r="W58" i="9"/>
  <c r="W52" i="9"/>
  <c r="W106" i="9"/>
  <c r="S44" i="7"/>
  <c r="S88" i="7"/>
  <c r="S42" i="7"/>
  <c r="W42" i="9"/>
  <c r="W70" i="9"/>
  <c r="W110" i="9"/>
  <c r="S110" i="7"/>
  <c r="W80" i="9"/>
  <c r="W96" i="9"/>
  <c r="S96" i="7"/>
  <c r="S50" i="7"/>
  <c r="W50" i="9"/>
  <c r="M66" i="8" l="1"/>
  <c r="M55" i="8"/>
  <c r="M108" i="8"/>
  <c r="M48" i="8"/>
  <c r="M69" i="8"/>
  <c r="M85" i="8"/>
  <c r="M65" i="8"/>
  <c r="M44" i="8"/>
  <c r="M59" i="8"/>
  <c r="M82" i="8"/>
  <c r="M46" i="8"/>
  <c r="M41" i="8"/>
  <c r="M91" i="8"/>
  <c r="M74" i="8"/>
  <c r="M79" i="8"/>
  <c r="M94" i="8"/>
  <c r="M92" i="8"/>
  <c r="M60" i="8"/>
  <c r="M98" i="8"/>
  <c r="M77" i="8"/>
  <c r="M36" i="8"/>
  <c r="M56" i="8"/>
  <c r="M87" i="8"/>
  <c r="M72" i="8"/>
  <c r="M62" i="8"/>
  <c r="M35" i="8"/>
  <c r="M88" i="8"/>
  <c r="M93" i="8"/>
  <c r="M99" i="8"/>
  <c r="M112" i="8"/>
  <c r="M75" i="8"/>
  <c r="M100" i="8"/>
  <c r="M57" i="8"/>
  <c r="M34" i="8"/>
  <c r="M104" i="8"/>
  <c r="M89" i="8"/>
  <c r="M73" i="8"/>
  <c r="M63" i="8"/>
  <c r="M76" i="8"/>
  <c r="M61" i="8"/>
  <c r="M37" i="8"/>
  <c r="M103" i="8"/>
  <c r="M102" i="8"/>
  <c r="M90" i="8"/>
  <c r="M40" i="8"/>
  <c r="M86" i="8"/>
  <c r="M47" i="8"/>
  <c r="M95" i="8"/>
  <c r="M83" i="8"/>
  <c r="M78" i="8"/>
  <c r="M58" i="8"/>
  <c r="M106" i="8"/>
  <c r="M107" i="8"/>
  <c r="M52" i="8"/>
  <c r="M53" i="8"/>
  <c r="M110" i="8"/>
  <c r="M111" i="8"/>
  <c r="M71" i="8"/>
  <c r="M70" i="8"/>
  <c r="M81" i="8"/>
  <c r="M80" i="8"/>
  <c r="M43" i="8"/>
  <c r="M42" i="8"/>
  <c r="M97" i="8"/>
  <c r="M96" i="8"/>
  <c r="M50" i="8"/>
  <c r="M51" i="8"/>
  <c r="L134" i="8" l="1"/>
  <c r="N134" i="8"/>
  <c r="O134" i="8"/>
  <c r="X134" i="8" s="1"/>
  <c r="Z134" i="8" s="1"/>
  <c r="T134" i="8"/>
  <c r="L135" i="8"/>
  <c r="N135" i="8"/>
  <c r="O135" i="8"/>
  <c r="X135" i="8" s="1"/>
  <c r="T135" i="8"/>
  <c r="L136" i="8"/>
  <c r="N136" i="8"/>
  <c r="O136" i="8"/>
  <c r="X136" i="8" s="1"/>
  <c r="Z136" i="8" s="1"/>
  <c r="T136" i="8"/>
  <c r="L137" i="8"/>
  <c r="N137" i="8"/>
  <c r="O137" i="8"/>
  <c r="U137" i="8" s="1"/>
  <c r="T137" i="8"/>
  <c r="L138" i="8"/>
  <c r="N138" i="8"/>
  <c r="O138" i="8"/>
  <c r="X138" i="8" s="1"/>
  <c r="Z138" i="8" s="1"/>
  <c r="T138" i="8"/>
  <c r="L139" i="8"/>
  <c r="N139" i="8"/>
  <c r="O139" i="8"/>
  <c r="U139" i="8" s="1"/>
  <c r="T139" i="8"/>
  <c r="L140" i="8"/>
  <c r="N140" i="8"/>
  <c r="O140" i="8"/>
  <c r="X140" i="8" s="1"/>
  <c r="Z140" i="8" s="1"/>
  <c r="T140" i="8"/>
  <c r="L141" i="8"/>
  <c r="N141" i="8"/>
  <c r="O141" i="8"/>
  <c r="X141" i="8" s="1"/>
  <c r="T141" i="8"/>
  <c r="L142" i="8"/>
  <c r="N142" i="8"/>
  <c r="O142" i="8"/>
  <c r="X142" i="8" s="1"/>
  <c r="Z142" i="8" s="1"/>
  <c r="T142" i="8"/>
  <c r="L143" i="8"/>
  <c r="N143" i="8"/>
  <c r="O143" i="8"/>
  <c r="X143" i="8" s="1"/>
  <c r="T143" i="8"/>
  <c r="L144" i="8"/>
  <c r="N144" i="8"/>
  <c r="O144" i="8"/>
  <c r="X144" i="8" s="1"/>
  <c r="Z144" i="8" s="1"/>
  <c r="T144" i="8"/>
  <c r="L145" i="8"/>
  <c r="N145" i="8"/>
  <c r="O145" i="8"/>
  <c r="U145" i="8" s="1"/>
  <c r="T145" i="8"/>
  <c r="L146" i="8"/>
  <c r="N146" i="8"/>
  <c r="O146" i="8"/>
  <c r="U146" i="8" s="1"/>
  <c r="T146" i="8"/>
  <c r="L147" i="8"/>
  <c r="N147" i="8"/>
  <c r="O147" i="8"/>
  <c r="U147" i="8" s="1"/>
  <c r="T147" i="8"/>
  <c r="L148" i="8"/>
  <c r="N148" i="8"/>
  <c r="O148" i="8"/>
  <c r="X148" i="8" s="1"/>
  <c r="Z148" i="8" s="1"/>
  <c r="T148" i="8"/>
  <c r="L149" i="8"/>
  <c r="N149" i="8"/>
  <c r="O149" i="8"/>
  <c r="X149" i="8" s="1"/>
  <c r="T149" i="8"/>
  <c r="L150" i="8"/>
  <c r="N150" i="8"/>
  <c r="Y150" i="8" s="1"/>
  <c r="Y148" i="8" s="1"/>
  <c r="Y146" i="8" s="1"/>
  <c r="Y144" i="8" s="1"/>
  <c r="Y142" i="8" s="1"/>
  <c r="Y140" i="8" s="1"/>
  <c r="Y138" i="8" s="1"/>
  <c r="Y136" i="8" s="1"/>
  <c r="Y134" i="8" s="1"/>
  <c r="O150" i="8"/>
  <c r="X150" i="8" s="1"/>
  <c r="Z150" i="8" s="1"/>
  <c r="T150" i="8"/>
  <c r="L151" i="8"/>
  <c r="N151" i="8"/>
  <c r="Y151" i="8" s="1"/>
  <c r="Y149" i="8" s="1"/>
  <c r="Y147" i="8" s="1"/>
  <c r="Y145" i="8" s="1"/>
  <c r="Y143" i="8" s="1"/>
  <c r="Y141" i="8" s="1"/>
  <c r="Y139" i="8" s="1"/>
  <c r="Y137" i="8" s="1"/>
  <c r="Y135" i="8" s="1"/>
  <c r="O151" i="8"/>
  <c r="X151" i="8" s="1"/>
  <c r="T151" i="8"/>
  <c r="R134" i="1"/>
  <c r="S134" i="1"/>
  <c r="U134" i="1"/>
  <c r="V134" i="1"/>
  <c r="AB134" i="1"/>
  <c r="AC134" i="1"/>
  <c r="AI134" i="1"/>
  <c r="AJ134" i="1"/>
  <c r="AP134" i="1"/>
  <c r="AQ134" i="1"/>
  <c r="AW134" i="1"/>
  <c r="AX134" i="1"/>
  <c r="BD134" i="1"/>
  <c r="BE134" i="1"/>
  <c r="BK134" i="1"/>
  <c r="BL134" i="1"/>
  <c r="AB135" i="1"/>
  <c r="AC135" i="1"/>
  <c r="AI135" i="1"/>
  <c r="AJ135" i="1"/>
  <c r="AP135" i="1"/>
  <c r="AQ135" i="1"/>
  <c r="AW135" i="1"/>
  <c r="AX135" i="1"/>
  <c r="BD135" i="1"/>
  <c r="BE135" i="1"/>
  <c r="BK135" i="1"/>
  <c r="BL135" i="1"/>
  <c r="R136" i="1"/>
  <c r="S136" i="1"/>
  <c r="U136" i="1"/>
  <c r="V136" i="1"/>
  <c r="AB136" i="1"/>
  <c r="AC136" i="1"/>
  <c r="AI136" i="1"/>
  <c r="AJ136" i="1"/>
  <c r="AP136" i="1"/>
  <c r="AQ136" i="1"/>
  <c r="AW136" i="1"/>
  <c r="AX136" i="1"/>
  <c r="BD136" i="1"/>
  <c r="BE136" i="1"/>
  <c r="BK136" i="1"/>
  <c r="BL136" i="1"/>
  <c r="AB137" i="1"/>
  <c r="AC137" i="1"/>
  <c r="AI137" i="1"/>
  <c r="AJ137" i="1"/>
  <c r="AP137" i="1"/>
  <c r="AQ137" i="1"/>
  <c r="AW137" i="1"/>
  <c r="AX137" i="1"/>
  <c r="BD137" i="1"/>
  <c r="BE137" i="1"/>
  <c r="BK137" i="1"/>
  <c r="BL137" i="1"/>
  <c r="R138" i="1"/>
  <c r="S138" i="1"/>
  <c r="U138" i="1"/>
  <c r="V138" i="1"/>
  <c r="AB138" i="1"/>
  <c r="AC138" i="1"/>
  <c r="AI138" i="1"/>
  <c r="AJ138" i="1"/>
  <c r="AP138" i="1"/>
  <c r="AQ138" i="1"/>
  <c r="AW138" i="1"/>
  <c r="AX138" i="1"/>
  <c r="BD138" i="1"/>
  <c r="BE138" i="1"/>
  <c r="BK138" i="1"/>
  <c r="BL138" i="1"/>
  <c r="AB139" i="1"/>
  <c r="AC139" i="1"/>
  <c r="AI139" i="1"/>
  <c r="AJ139" i="1"/>
  <c r="AP139" i="1"/>
  <c r="AQ139" i="1"/>
  <c r="AW139" i="1"/>
  <c r="AX139" i="1"/>
  <c r="BD139" i="1"/>
  <c r="BE139" i="1"/>
  <c r="BK139" i="1"/>
  <c r="BL139" i="1"/>
  <c r="R140" i="1"/>
  <c r="S140" i="1"/>
  <c r="U140" i="1"/>
  <c r="V140" i="1"/>
  <c r="AB140" i="1"/>
  <c r="AC140" i="1"/>
  <c r="AI140" i="1"/>
  <c r="AJ140" i="1"/>
  <c r="AP140" i="1"/>
  <c r="AQ140" i="1"/>
  <c r="AW140" i="1"/>
  <c r="AX140" i="1"/>
  <c r="BD140" i="1"/>
  <c r="BE140" i="1"/>
  <c r="BK140" i="1"/>
  <c r="BL140" i="1"/>
  <c r="AB141" i="1"/>
  <c r="AC141" i="1"/>
  <c r="AI141" i="1"/>
  <c r="AJ141" i="1"/>
  <c r="AP141" i="1"/>
  <c r="AQ141" i="1"/>
  <c r="AW141" i="1"/>
  <c r="AX141" i="1"/>
  <c r="BD141" i="1"/>
  <c r="BE141" i="1"/>
  <c r="BK141" i="1"/>
  <c r="BL141" i="1"/>
  <c r="R142" i="1"/>
  <c r="S142" i="1"/>
  <c r="U142" i="1"/>
  <c r="V142" i="1"/>
  <c r="AB142" i="1"/>
  <c r="AC142" i="1"/>
  <c r="AI142" i="1"/>
  <c r="AJ142" i="1"/>
  <c r="AP142" i="1"/>
  <c r="AQ142" i="1"/>
  <c r="AW142" i="1"/>
  <c r="AX142" i="1"/>
  <c r="BD142" i="1"/>
  <c r="BE142" i="1"/>
  <c r="BK142" i="1"/>
  <c r="BL142" i="1"/>
  <c r="AB143" i="1"/>
  <c r="AC143" i="1"/>
  <c r="AI143" i="1"/>
  <c r="AJ143" i="1"/>
  <c r="AP143" i="1"/>
  <c r="AQ143" i="1"/>
  <c r="AW143" i="1"/>
  <c r="AX143" i="1"/>
  <c r="BD143" i="1"/>
  <c r="BE143" i="1"/>
  <c r="BK143" i="1"/>
  <c r="BL143" i="1"/>
  <c r="R144" i="1"/>
  <c r="S144" i="1"/>
  <c r="U144" i="1"/>
  <c r="V144" i="1"/>
  <c r="AB144" i="1"/>
  <c r="AC144" i="1"/>
  <c r="AI144" i="1"/>
  <c r="AJ144" i="1"/>
  <c r="AP144" i="1"/>
  <c r="AQ144" i="1"/>
  <c r="AW144" i="1"/>
  <c r="AX144" i="1"/>
  <c r="BD144" i="1"/>
  <c r="BE144" i="1"/>
  <c r="BK144" i="1"/>
  <c r="BL144" i="1"/>
  <c r="AB145" i="1"/>
  <c r="AC145" i="1"/>
  <c r="AI145" i="1"/>
  <c r="AJ145" i="1"/>
  <c r="AP145" i="1"/>
  <c r="AQ145" i="1"/>
  <c r="AW145" i="1"/>
  <c r="AX145" i="1"/>
  <c r="BD145" i="1"/>
  <c r="BE145" i="1"/>
  <c r="BK145" i="1"/>
  <c r="BL145" i="1"/>
  <c r="R146" i="1"/>
  <c r="S146" i="1"/>
  <c r="U146" i="1"/>
  <c r="V146" i="1"/>
  <c r="AB146" i="1"/>
  <c r="AC146" i="1"/>
  <c r="AI146" i="1"/>
  <c r="AJ146" i="1"/>
  <c r="AP146" i="1"/>
  <c r="AQ146" i="1"/>
  <c r="AW146" i="1"/>
  <c r="AX146" i="1"/>
  <c r="BD146" i="1"/>
  <c r="BE146" i="1"/>
  <c r="BK146" i="1"/>
  <c r="BL146" i="1"/>
  <c r="AB147" i="1"/>
  <c r="AC147" i="1"/>
  <c r="AI147" i="1"/>
  <c r="AJ147" i="1"/>
  <c r="AP147" i="1"/>
  <c r="AQ147" i="1"/>
  <c r="AW147" i="1"/>
  <c r="AX147" i="1"/>
  <c r="BD147" i="1"/>
  <c r="BE147" i="1"/>
  <c r="BK147" i="1"/>
  <c r="BL147" i="1"/>
  <c r="R148" i="1"/>
  <c r="S148" i="1"/>
  <c r="U148" i="1"/>
  <c r="V148" i="1"/>
  <c r="AB148" i="1"/>
  <c r="AC148" i="1"/>
  <c r="AI148" i="1"/>
  <c r="AJ148" i="1"/>
  <c r="AP148" i="1"/>
  <c r="AQ148" i="1"/>
  <c r="AW148" i="1"/>
  <c r="AX148" i="1"/>
  <c r="BD148" i="1"/>
  <c r="BE148" i="1"/>
  <c r="BK148" i="1"/>
  <c r="BL148" i="1"/>
  <c r="AB149" i="1"/>
  <c r="AC149" i="1"/>
  <c r="AI149" i="1"/>
  <c r="AJ149" i="1"/>
  <c r="AP149" i="1"/>
  <c r="AQ149" i="1"/>
  <c r="AW149" i="1"/>
  <c r="AX149" i="1"/>
  <c r="BD149" i="1"/>
  <c r="BE149" i="1"/>
  <c r="BK149" i="1"/>
  <c r="BL149" i="1"/>
  <c r="R150" i="1"/>
  <c r="S150" i="1"/>
  <c r="U150" i="1"/>
  <c r="V150" i="1"/>
  <c r="AB150" i="1"/>
  <c r="AC150" i="1"/>
  <c r="AI150" i="1"/>
  <c r="AJ150" i="1"/>
  <c r="AP150" i="1"/>
  <c r="AQ150" i="1"/>
  <c r="AW150" i="1"/>
  <c r="AX150" i="1"/>
  <c r="BD150" i="1"/>
  <c r="BE150" i="1"/>
  <c r="BK150" i="1"/>
  <c r="BL150" i="1"/>
  <c r="AB151" i="1"/>
  <c r="AC151" i="1"/>
  <c r="AI151" i="1"/>
  <c r="AJ151" i="1"/>
  <c r="AP151" i="1"/>
  <c r="AQ151" i="1"/>
  <c r="AW151" i="1"/>
  <c r="AX151" i="1"/>
  <c r="BD151" i="1"/>
  <c r="BE151" i="1"/>
  <c r="BK151" i="1"/>
  <c r="BL151" i="1"/>
  <c r="R134" i="7"/>
  <c r="R136" i="7"/>
  <c r="R138" i="7"/>
  <c r="R140" i="7"/>
  <c r="R142" i="7"/>
  <c r="R144" i="7"/>
  <c r="R146" i="7"/>
  <c r="R148" i="7"/>
  <c r="R150" i="7"/>
  <c r="BR149" i="1" l="1"/>
  <c r="Q149" i="7" s="1"/>
  <c r="BR147" i="1"/>
  <c r="Q147" i="7" s="1"/>
  <c r="BR137" i="1"/>
  <c r="Q137" i="7" s="1"/>
  <c r="BR145" i="1"/>
  <c r="Q145" i="7" s="1"/>
  <c r="X137" i="8"/>
  <c r="BR141" i="1"/>
  <c r="Q141" i="7" s="1"/>
  <c r="X146" i="8"/>
  <c r="Z146" i="8" s="1"/>
  <c r="BS149" i="1"/>
  <c r="BR135" i="1"/>
  <c r="Q135" i="7" s="1"/>
  <c r="X139" i="8"/>
  <c r="U138" i="8"/>
  <c r="BS147" i="1"/>
  <c r="BR139" i="1"/>
  <c r="Q139" i="7" s="1"/>
  <c r="BR151" i="1"/>
  <c r="Q151" i="7" s="1"/>
  <c r="BS143" i="1"/>
  <c r="BS139" i="1"/>
  <c r="BS151" i="1"/>
  <c r="BR143" i="1"/>
  <c r="Q143" i="7" s="1"/>
  <c r="BS135" i="1"/>
  <c r="BS141" i="1"/>
  <c r="X147" i="8"/>
  <c r="X145" i="8"/>
  <c r="BS145" i="1"/>
  <c r="BS137" i="1"/>
  <c r="U141" i="8"/>
  <c r="U149" i="8"/>
  <c r="U148" i="8"/>
  <c r="U140" i="8"/>
  <c r="U151" i="8"/>
  <c r="U150" i="8"/>
  <c r="U143" i="8"/>
  <c r="U142" i="8"/>
  <c r="U135" i="8"/>
  <c r="U134" i="8"/>
  <c r="U144" i="8"/>
  <c r="U136" i="8"/>
  <c r="U145" i="7" l="1"/>
  <c r="V145" i="7"/>
  <c r="W145" i="7" s="1"/>
  <c r="AG145" i="7"/>
  <c r="U143" i="7"/>
  <c r="V143" i="7"/>
  <c r="W143" i="7" s="1"/>
  <c r="AG143" i="7"/>
  <c r="U137" i="7"/>
  <c r="V137" i="7"/>
  <c r="W137" i="7" s="1"/>
  <c r="AG137" i="7"/>
  <c r="U151" i="7"/>
  <c r="V151" i="7"/>
  <c r="W151" i="7" s="1"/>
  <c r="AG151" i="7"/>
  <c r="V141" i="7"/>
  <c r="W141" i="7" s="1"/>
  <c r="U141" i="7"/>
  <c r="AG141" i="7"/>
  <c r="V147" i="7"/>
  <c r="W147" i="7" s="1"/>
  <c r="U147" i="7"/>
  <c r="AG147" i="7"/>
  <c r="U139" i="7"/>
  <c r="V139" i="7"/>
  <c r="W139" i="7" s="1"/>
  <c r="AG139" i="7"/>
  <c r="U135" i="7"/>
  <c r="V135" i="7"/>
  <c r="W135" i="7" s="1"/>
  <c r="AG135" i="7"/>
  <c r="V149" i="7"/>
  <c r="W149" i="7" s="1"/>
  <c r="U149" i="7"/>
  <c r="AG149" i="7"/>
  <c r="I11" i="8"/>
  <c r="I10" i="8"/>
  <c r="AH151" i="7" l="1" a="1"/>
  <c r="AH151" i="7" s="1"/>
  <c r="AI151" i="7"/>
  <c r="AB151" i="7" s="1"/>
  <c r="AC151" i="7" s="1"/>
  <c r="AI141" i="7"/>
  <c r="AB141" i="7" s="1"/>
  <c r="AC141" i="7" s="1"/>
  <c r="AH141" i="7" a="1"/>
  <c r="AH141" i="7" s="1"/>
  <c r="AH145" i="7" a="1"/>
  <c r="AH145" i="7" s="1"/>
  <c r="AI145" i="7"/>
  <c r="AB145" i="7" s="1"/>
  <c r="AC145" i="7" s="1"/>
  <c r="AH135" i="7" a="1"/>
  <c r="AH135" i="7" s="1"/>
  <c r="AI135" i="7"/>
  <c r="AB135" i="7" s="1"/>
  <c r="AC135" i="7" s="1"/>
  <c r="AH149" i="7" a="1"/>
  <c r="AH149" i="7" s="1"/>
  <c r="AI149" i="7"/>
  <c r="AB149" i="7" s="1"/>
  <c r="AC149" i="7" s="1"/>
  <c r="AH147" i="7" a="1"/>
  <c r="AH147" i="7" s="1"/>
  <c r="AI147" i="7"/>
  <c r="AB147" i="7" s="1"/>
  <c r="AC147" i="7" s="1"/>
  <c r="AH143" i="7" a="1"/>
  <c r="AH143" i="7" s="1"/>
  <c r="AI143" i="7"/>
  <c r="AB143" i="7" s="1"/>
  <c r="AC143" i="7" s="1"/>
  <c r="AH139" i="7" a="1"/>
  <c r="AH139" i="7" s="1"/>
  <c r="AI139" i="7"/>
  <c r="AB139" i="7" s="1"/>
  <c r="AC139" i="7" s="1"/>
  <c r="AI137" i="7"/>
  <c r="AB137" i="7" s="1"/>
  <c r="AC137" i="7" s="1"/>
  <c r="AH137" i="7" a="1"/>
  <c r="AH137" i="7" s="1"/>
  <c r="Q11" i="19"/>
  <c r="S11" i="8"/>
  <c r="S10" i="8"/>
  <c r="Q10" i="19"/>
  <c r="AE147" i="7" l="1" a="1"/>
  <c r="AE147" i="7" s="1"/>
  <c r="AD147" i="7" a="1"/>
  <c r="AD147" i="7" s="1"/>
  <c r="AE135" i="7" a="1"/>
  <c r="AE135" i="7" s="1"/>
  <c r="AD135" i="7" a="1"/>
  <c r="AD135" i="7" s="1"/>
  <c r="AE139" i="7" a="1"/>
  <c r="AE139" i="7" s="1"/>
  <c r="AD139" i="7" a="1"/>
  <c r="AD139" i="7" s="1"/>
  <c r="AD141" i="7" a="1"/>
  <c r="AD141" i="7" s="1"/>
  <c r="AE141" i="7" a="1"/>
  <c r="AE141" i="7" s="1"/>
  <c r="AD143" i="7" a="1"/>
  <c r="AD143" i="7" s="1"/>
  <c r="AE143" i="7" a="1"/>
  <c r="AE143" i="7" s="1"/>
  <c r="AD145" i="7" a="1"/>
  <c r="AD145" i="7" s="1"/>
  <c r="AE145" i="7" a="1"/>
  <c r="AE145" i="7" s="1"/>
  <c r="AE151" i="7" a="1"/>
  <c r="AE151" i="7" s="1"/>
  <c r="AD151" i="7" a="1"/>
  <c r="AD151" i="7" s="1"/>
  <c r="AE149" i="7" a="1"/>
  <c r="AE149" i="7" s="1"/>
  <c r="AD149" i="7" a="1"/>
  <c r="AD149" i="7" s="1"/>
  <c r="AE137" i="7" a="1"/>
  <c r="AE137" i="7" s="1"/>
  <c r="AD137" i="7" a="1"/>
  <c r="AD137" i="7" s="1"/>
  <c r="L114" i="8" l="1"/>
  <c r="N114" i="8"/>
  <c r="O114" i="8"/>
  <c r="X114" i="8" s="1"/>
  <c r="Z114" i="8" s="1"/>
  <c r="T114" i="8"/>
  <c r="L115" i="8"/>
  <c r="N115" i="8"/>
  <c r="O115" i="8"/>
  <c r="U115" i="8" s="1"/>
  <c r="T115" i="8"/>
  <c r="L116" i="8"/>
  <c r="N116" i="8"/>
  <c r="O116" i="8"/>
  <c r="X116" i="8" s="1"/>
  <c r="Z116" i="8" s="1"/>
  <c r="T116" i="8"/>
  <c r="L117" i="8"/>
  <c r="N117" i="8"/>
  <c r="O117" i="8"/>
  <c r="T117" i="8"/>
  <c r="L118" i="8"/>
  <c r="N118" i="8"/>
  <c r="O118" i="8"/>
  <c r="U118" i="8" s="1"/>
  <c r="T118" i="8"/>
  <c r="L119" i="8"/>
  <c r="N119" i="8"/>
  <c r="O119" i="8"/>
  <c r="U119" i="8" s="1"/>
  <c r="T119" i="8"/>
  <c r="L120" i="8"/>
  <c r="N120" i="8"/>
  <c r="O120" i="8"/>
  <c r="U120" i="8" s="1"/>
  <c r="T120" i="8"/>
  <c r="L121" i="8"/>
  <c r="N121" i="8"/>
  <c r="O121" i="8"/>
  <c r="U121" i="8" s="1"/>
  <c r="T121" i="8"/>
  <c r="L122" i="8"/>
  <c r="N122" i="8"/>
  <c r="O122" i="8"/>
  <c r="U122" i="8" s="1"/>
  <c r="T122" i="8"/>
  <c r="L123" i="8"/>
  <c r="N123" i="8"/>
  <c r="O123" i="8"/>
  <c r="U123" i="8" s="1"/>
  <c r="T123" i="8"/>
  <c r="L124" i="8"/>
  <c r="N124" i="8"/>
  <c r="O124" i="8"/>
  <c r="X124" i="8" s="1"/>
  <c r="Z124" i="8" s="1"/>
  <c r="T124" i="8"/>
  <c r="L125" i="8"/>
  <c r="N125" i="8"/>
  <c r="O125" i="8"/>
  <c r="U125" i="8" s="1"/>
  <c r="T125" i="8"/>
  <c r="L126" i="8"/>
  <c r="N126" i="8"/>
  <c r="O126" i="8"/>
  <c r="X126" i="8" s="1"/>
  <c r="Z126" i="8" s="1"/>
  <c r="T126" i="8"/>
  <c r="L127" i="8"/>
  <c r="N127" i="8"/>
  <c r="O127" i="8"/>
  <c r="U127" i="8" s="1"/>
  <c r="T127" i="8"/>
  <c r="L128" i="8"/>
  <c r="N128" i="8"/>
  <c r="O128" i="8"/>
  <c r="U128" i="8" s="1"/>
  <c r="T128" i="8"/>
  <c r="L129" i="8"/>
  <c r="N129" i="8"/>
  <c r="O129" i="8"/>
  <c r="U129" i="8" s="1"/>
  <c r="T129" i="8"/>
  <c r="L130" i="8"/>
  <c r="N130" i="8"/>
  <c r="O130" i="8"/>
  <c r="U130" i="8" s="1"/>
  <c r="T130" i="8"/>
  <c r="L131" i="8"/>
  <c r="N131" i="8"/>
  <c r="O131" i="8"/>
  <c r="U131" i="8" s="1"/>
  <c r="T131" i="8"/>
  <c r="L132" i="8"/>
  <c r="N132" i="8"/>
  <c r="Y132" i="8" s="1"/>
  <c r="Y130" i="8" s="1"/>
  <c r="Y128" i="8" s="1"/>
  <c r="Y126" i="8" s="1"/>
  <c r="Y124" i="8" s="1"/>
  <c r="Y122" i="8" s="1"/>
  <c r="Y120" i="8" s="1"/>
  <c r="Y118" i="8" s="1"/>
  <c r="Y116" i="8" s="1"/>
  <c r="Y114" i="8" s="1"/>
  <c r="O132" i="8"/>
  <c r="X132" i="8" s="1"/>
  <c r="Z132" i="8" s="1"/>
  <c r="T132" i="8"/>
  <c r="L133" i="8"/>
  <c r="N133" i="8"/>
  <c r="Y133" i="8" s="1"/>
  <c r="Y131" i="8" s="1"/>
  <c r="Y129" i="8" s="1"/>
  <c r="Y127" i="8" s="1"/>
  <c r="Y125" i="8" s="1"/>
  <c r="Y123" i="8" s="1"/>
  <c r="Y121" i="8" s="1"/>
  <c r="Y119" i="8" s="1"/>
  <c r="Y117" i="8" s="1"/>
  <c r="Y115" i="8" s="1"/>
  <c r="O133" i="8"/>
  <c r="U133" i="8" s="1"/>
  <c r="T133" i="8"/>
  <c r="I114" i="19"/>
  <c r="J114" i="19"/>
  <c r="K114" i="19"/>
  <c r="L114" i="19"/>
  <c r="Q114" i="19"/>
  <c r="I115" i="19"/>
  <c r="J115" i="19"/>
  <c r="K115" i="19"/>
  <c r="L115" i="19"/>
  <c r="Q115" i="19"/>
  <c r="I116" i="19"/>
  <c r="J116" i="19"/>
  <c r="K116" i="19"/>
  <c r="L116" i="19"/>
  <c r="Q116" i="19"/>
  <c r="I117" i="19"/>
  <c r="J117" i="19"/>
  <c r="K117" i="19"/>
  <c r="L117" i="19"/>
  <c r="Q117" i="19"/>
  <c r="I118" i="19"/>
  <c r="J118" i="19"/>
  <c r="K118" i="19"/>
  <c r="L118" i="19"/>
  <c r="Q118" i="19"/>
  <c r="I119" i="19"/>
  <c r="J119" i="19"/>
  <c r="K119" i="19"/>
  <c r="L119" i="19"/>
  <c r="Q119" i="19"/>
  <c r="I120" i="19"/>
  <c r="J120" i="19"/>
  <c r="K120" i="19"/>
  <c r="L120" i="19"/>
  <c r="Q120" i="19"/>
  <c r="I121" i="19"/>
  <c r="J121" i="19"/>
  <c r="K121" i="19"/>
  <c r="L121" i="19"/>
  <c r="Q121" i="19"/>
  <c r="I122" i="19"/>
  <c r="J122" i="19"/>
  <c r="K122" i="19"/>
  <c r="L122" i="19"/>
  <c r="Q122" i="19"/>
  <c r="I123" i="19"/>
  <c r="J123" i="19"/>
  <c r="K123" i="19"/>
  <c r="L123" i="19"/>
  <c r="Q123" i="19"/>
  <c r="I124" i="19"/>
  <c r="J124" i="19"/>
  <c r="K124" i="19"/>
  <c r="L124" i="19"/>
  <c r="Q124" i="19"/>
  <c r="I125" i="19"/>
  <c r="J125" i="19"/>
  <c r="K125" i="19"/>
  <c r="L125" i="19"/>
  <c r="Q125" i="19"/>
  <c r="I126" i="19"/>
  <c r="J126" i="19"/>
  <c r="K126" i="19"/>
  <c r="L126" i="19"/>
  <c r="Q126" i="19"/>
  <c r="I127" i="19"/>
  <c r="J127" i="19"/>
  <c r="K127" i="19"/>
  <c r="L127" i="19"/>
  <c r="Q127" i="19"/>
  <c r="I128" i="19"/>
  <c r="J128" i="19"/>
  <c r="K128" i="19"/>
  <c r="L128" i="19"/>
  <c r="Q128" i="19"/>
  <c r="I129" i="19"/>
  <c r="J129" i="19"/>
  <c r="K129" i="19"/>
  <c r="L129" i="19"/>
  <c r="Q129" i="19"/>
  <c r="I130" i="19"/>
  <c r="J130" i="19"/>
  <c r="K130" i="19"/>
  <c r="L130" i="19"/>
  <c r="Q130" i="19"/>
  <c r="I131" i="19"/>
  <c r="J131" i="19"/>
  <c r="K131" i="19"/>
  <c r="L131" i="19"/>
  <c r="Q131" i="19"/>
  <c r="I132" i="19"/>
  <c r="J132" i="19"/>
  <c r="K132" i="19"/>
  <c r="L132" i="19"/>
  <c r="Q132" i="19"/>
  <c r="I133" i="19"/>
  <c r="J133" i="19"/>
  <c r="K133" i="19"/>
  <c r="L133" i="19"/>
  <c r="Q133" i="19"/>
  <c r="R114" i="1"/>
  <c r="S114" i="1"/>
  <c r="U114" i="1"/>
  <c r="V114" i="1"/>
  <c r="AB114" i="1"/>
  <c r="AC114" i="1"/>
  <c r="AI114" i="1"/>
  <c r="AJ114" i="1"/>
  <c r="AP114" i="1"/>
  <c r="AQ114" i="1"/>
  <c r="AW114" i="1"/>
  <c r="AX114" i="1"/>
  <c r="BD114" i="1"/>
  <c r="BE114" i="1"/>
  <c r="BK114" i="1"/>
  <c r="BL114" i="1"/>
  <c r="AB115" i="1"/>
  <c r="AC115" i="1"/>
  <c r="AI115" i="1"/>
  <c r="AJ115" i="1"/>
  <c r="AP115" i="1"/>
  <c r="AQ115" i="1"/>
  <c r="AW115" i="1"/>
  <c r="AX115" i="1"/>
  <c r="BD115" i="1"/>
  <c r="BE115" i="1"/>
  <c r="BK115" i="1"/>
  <c r="BL115" i="1"/>
  <c r="BS115" i="1" s="1"/>
  <c r="R116" i="1"/>
  <c r="S116" i="1"/>
  <c r="U116" i="1"/>
  <c r="V116" i="1"/>
  <c r="AB116" i="1"/>
  <c r="AC116" i="1"/>
  <c r="AI116" i="1"/>
  <c r="AJ116" i="1"/>
  <c r="AP116" i="1"/>
  <c r="AQ116" i="1"/>
  <c r="AW116" i="1"/>
  <c r="AX116" i="1"/>
  <c r="BD116" i="1"/>
  <c r="BE116" i="1"/>
  <c r="BK116" i="1"/>
  <c r="BL116" i="1"/>
  <c r="AB117" i="1"/>
  <c r="AC117" i="1"/>
  <c r="AI117" i="1"/>
  <c r="AJ117" i="1"/>
  <c r="AP117" i="1"/>
  <c r="AQ117" i="1"/>
  <c r="AW117" i="1"/>
  <c r="AX117" i="1"/>
  <c r="BD117" i="1"/>
  <c r="BE117" i="1"/>
  <c r="BK117" i="1"/>
  <c r="BL117" i="1"/>
  <c r="R118" i="1"/>
  <c r="S118" i="1"/>
  <c r="U118" i="1"/>
  <c r="V118" i="1"/>
  <c r="AB118" i="1"/>
  <c r="AC118" i="1"/>
  <c r="AI118" i="1"/>
  <c r="AJ118" i="1"/>
  <c r="AP118" i="1"/>
  <c r="AQ118" i="1"/>
  <c r="AW118" i="1"/>
  <c r="AX118" i="1"/>
  <c r="BD118" i="1"/>
  <c r="BE118" i="1"/>
  <c r="BK118" i="1"/>
  <c r="BL118" i="1"/>
  <c r="AB119" i="1"/>
  <c r="AC119" i="1"/>
  <c r="AI119" i="1"/>
  <c r="AJ119" i="1"/>
  <c r="AP119" i="1"/>
  <c r="AQ119" i="1"/>
  <c r="AW119" i="1"/>
  <c r="AX119" i="1"/>
  <c r="BD119" i="1"/>
  <c r="BE119" i="1"/>
  <c r="BK119" i="1"/>
  <c r="BL119" i="1"/>
  <c r="R120" i="1"/>
  <c r="S120" i="1"/>
  <c r="U120" i="1"/>
  <c r="V120" i="1"/>
  <c r="AB120" i="1"/>
  <c r="AC120" i="1"/>
  <c r="AI120" i="1"/>
  <c r="AJ120" i="1"/>
  <c r="AP120" i="1"/>
  <c r="AQ120" i="1"/>
  <c r="AW120" i="1"/>
  <c r="AX120" i="1"/>
  <c r="BD120" i="1"/>
  <c r="BE120" i="1"/>
  <c r="BK120" i="1"/>
  <c r="BL120" i="1"/>
  <c r="AB121" i="1"/>
  <c r="AC121" i="1"/>
  <c r="AI121" i="1"/>
  <c r="AJ121" i="1"/>
  <c r="AP121" i="1"/>
  <c r="AQ121" i="1"/>
  <c r="AW121" i="1"/>
  <c r="AX121" i="1"/>
  <c r="BD121" i="1"/>
  <c r="BE121" i="1"/>
  <c r="BK121" i="1"/>
  <c r="BL121" i="1"/>
  <c r="R122" i="1"/>
  <c r="S122" i="1"/>
  <c r="U122" i="1"/>
  <c r="V122" i="1"/>
  <c r="AB122" i="1"/>
  <c r="AC122" i="1"/>
  <c r="AI122" i="1"/>
  <c r="AJ122" i="1"/>
  <c r="AP122" i="1"/>
  <c r="AQ122" i="1"/>
  <c r="AW122" i="1"/>
  <c r="AX122" i="1"/>
  <c r="BD122" i="1"/>
  <c r="BE122" i="1"/>
  <c r="BK122" i="1"/>
  <c r="BL122" i="1"/>
  <c r="AB123" i="1"/>
  <c r="AC123" i="1"/>
  <c r="AI123" i="1"/>
  <c r="AJ123" i="1"/>
  <c r="AP123" i="1"/>
  <c r="AQ123" i="1"/>
  <c r="AW123" i="1"/>
  <c r="AX123" i="1"/>
  <c r="BD123" i="1"/>
  <c r="BE123" i="1"/>
  <c r="BR123" i="1" s="1"/>
  <c r="Q123" i="7" s="1"/>
  <c r="BK123" i="1"/>
  <c r="BL123" i="1"/>
  <c r="R124" i="1"/>
  <c r="S124" i="1"/>
  <c r="U124" i="1"/>
  <c r="V124" i="1"/>
  <c r="AB124" i="1"/>
  <c r="AC124" i="1"/>
  <c r="AI124" i="1"/>
  <c r="AJ124" i="1"/>
  <c r="AP124" i="1"/>
  <c r="AQ124" i="1"/>
  <c r="AW124" i="1"/>
  <c r="AX124" i="1"/>
  <c r="BD124" i="1"/>
  <c r="BE124" i="1"/>
  <c r="BK124" i="1"/>
  <c r="BL124" i="1"/>
  <c r="AB125" i="1"/>
  <c r="AC125" i="1"/>
  <c r="AI125" i="1"/>
  <c r="AJ125" i="1"/>
  <c r="AP125" i="1"/>
  <c r="AQ125" i="1"/>
  <c r="AW125" i="1"/>
  <c r="AX125" i="1"/>
  <c r="BD125" i="1"/>
  <c r="BE125" i="1"/>
  <c r="BK125" i="1"/>
  <c r="BL125" i="1"/>
  <c r="R126" i="1"/>
  <c r="S126" i="1"/>
  <c r="U126" i="1"/>
  <c r="V126" i="1"/>
  <c r="AB126" i="1"/>
  <c r="AC126" i="1"/>
  <c r="AI126" i="1"/>
  <c r="AJ126" i="1"/>
  <c r="AP126" i="1"/>
  <c r="AQ126" i="1"/>
  <c r="AW126" i="1"/>
  <c r="AX126" i="1"/>
  <c r="BD126" i="1"/>
  <c r="BE126" i="1"/>
  <c r="BK126" i="1"/>
  <c r="BL126" i="1"/>
  <c r="AB127" i="1"/>
  <c r="AC127" i="1"/>
  <c r="AI127" i="1"/>
  <c r="AJ127" i="1"/>
  <c r="AP127" i="1"/>
  <c r="AQ127" i="1"/>
  <c r="AW127" i="1"/>
  <c r="AX127" i="1"/>
  <c r="BD127" i="1"/>
  <c r="BE127" i="1"/>
  <c r="BK127" i="1"/>
  <c r="BL127" i="1"/>
  <c r="BS127" i="1" s="1"/>
  <c r="R128" i="1"/>
  <c r="S128" i="1"/>
  <c r="U128" i="1"/>
  <c r="V128" i="1"/>
  <c r="AB128" i="1"/>
  <c r="AC128" i="1"/>
  <c r="AI128" i="1"/>
  <c r="AJ128" i="1"/>
  <c r="AP128" i="1"/>
  <c r="AQ128" i="1"/>
  <c r="AW128" i="1"/>
  <c r="AX128" i="1"/>
  <c r="BD128" i="1"/>
  <c r="BE128" i="1"/>
  <c r="BK128" i="1"/>
  <c r="BL128" i="1"/>
  <c r="AB129" i="1"/>
  <c r="AC129" i="1"/>
  <c r="AI129" i="1"/>
  <c r="AJ129" i="1"/>
  <c r="AP129" i="1"/>
  <c r="AQ129" i="1"/>
  <c r="AW129" i="1"/>
  <c r="AX129" i="1"/>
  <c r="BD129" i="1"/>
  <c r="BE129" i="1"/>
  <c r="BK129" i="1"/>
  <c r="BL129" i="1"/>
  <c r="R130" i="1"/>
  <c r="S130" i="1"/>
  <c r="U130" i="1"/>
  <c r="V130" i="1"/>
  <c r="AB130" i="1"/>
  <c r="AC130" i="1"/>
  <c r="AI130" i="1"/>
  <c r="AJ130" i="1"/>
  <c r="AP130" i="1"/>
  <c r="AQ130" i="1"/>
  <c r="AW130" i="1"/>
  <c r="AX130" i="1"/>
  <c r="BD130" i="1"/>
  <c r="BE130" i="1"/>
  <c r="BK130" i="1"/>
  <c r="BL130" i="1"/>
  <c r="AB131" i="1"/>
  <c r="AC131" i="1"/>
  <c r="AI131" i="1"/>
  <c r="AJ131" i="1"/>
  <c r="AP131" i="1"/>
  <c r="AQ131" i="1"/>
  <c r="AW131" i="1"/>
  <c r="AX131" i="1"/>
  <c r="BD131" i="1"/>
  <c r="BE131" i="1"/>
  <c r="BK131" i="1"/>
  <c r="BL131" i="1"/>
  <c r="R132" i="1"/>
  <c r="S132" i="1"/>
  <c r="U132" i="1"/>
  <c r="V132" i="1"/>
  <c r="AB132" i="1"/>
  <c r="AC132" i="1"/>
  <c r="AI132" i="1"/>
  <c r="AJ132" i="1"/>
  <c r="AP132" i="1"/>
  <c r="AQ132" i="1"/>
  <c r="AW132" i="1"/>
  <c r="AX132" i="1"/>
  <c r="BD132" i="1"/>
  <c r="BE132" i="1"/>
  <c r="BK132" i="1"/>
  <c r="BL132" i="1"/>
  <c r="AB133" i="1"/>
  <c r="AC133" i="1"/>
  <c r="AI133" i="1"/>
  <c r="AJ133" i="1"/>
  <c r="AP133" i="1"/>
  <c r="AQ133" i="1"/>
  <c r="AW133" i="1"/>
  <c r="AX133" i="1"/>
  <c r="BD133" i="1"/>
  <c r="BE133" i="1"/>
  <c r="BK133" i="1"/>
  <c r="BL133" i="1"/>
  <c r="R114" i="7"/>
  <c r="R116" i="7"/>
  <c r="R118" i="7"/>
  <c r="R120" i="7"/>
  <c r="R122" i="7"/>
  <c r="R124" i="7"/>
  <c r="R126" i="7"/>
  <c r="R128" i="7"/>
  <c r="R130" i="7"/>
  <c r="R132" i="7"/>
  <c r="BR117" i="1" l="1"/>
  <c r="Q117" i="7" s="1"/>
  <c r="U117" i="7" s="1"/>
  <c r="BR131" i="1"/>
  <c r="Q131" i="7" s="1"/>
  <c r="AG131" i="7" s="1"/>
  <c r="BS121" i="1"/>
  <c r="BS119" i="1"/>
  <c r="V123" i="7"/>
  <c r="W123" i="7" s="1"/>
  <c r="U123" i="7"/>
  <c r="AG123" i="7"/>
  <c r="X121" i="8"/>
  <c r="BR121" i="1"/>
  <c r="Q121" i="7" s="1"/>
  <c r="BR115" i="1"/>
  <c r="Q115" i="7" s="1"/>
  <c r="BS133" i="1"/>
  <c r="X128" i="8"/>
  <c r="Z128" i="8" s="1"/>
  <c r="BS125" i="1"/>
  <c r="BS123" i="1"/>
  <c r="X119" i="8"/>
  <c r="BR129" i="1"/>
  <c r="Q129" i="7" s="1"/>
  <c r="X133" i="8"/>
  <c r="BR133" i="1"/>
  <c r="Q133" i="7" s="1"/>
  <c r="BR127" i="1"/>
  <c r="Q127" i="7" s="1"/>
  <c r="BS117" i="1"/>
  <c r="X125" i="8"/>
  <c r="BR125" i="1"/>
  <c r="Q125" i="7" s="1"/>
  <c r="X130" i="8"/>
  <c r="Z130" i="8" s="1"/>
  <c r="U116" i="8"/>
  <c r="BR119" i="1"/>
  <c r="Q119" i="7" s="1"/>
  <c r="X123" i="8"/>
  <c r="BS131" i="1"/>
  <c r="X127" i="8"/>
  <c r="X122" i="8"/>
  <c r="Z122" i="8" s="1"/>
  <c r="X131" i="8"/>
  <c r="X129" i="8"/>
  <c r="U126" i="8"/>
  <c r="X118" i="8"/>
  <c r="Z118" i="8" s="1"/>
  <c r="X115" i="8"/>
  <c r="X120" i="8"/>
  <c r="Z120" i="8" s="1"/>
  <c r="BS129" i="1"/>
  <c r="X117" i="8"/>
  <c r="U117" i="8"/>
  <c r="U132" i="8"/>
  <c r="U124" i="8"/>
  <c r="U114" i="8"/>
  <c r="AG117" i="7" l="1"/>
  <c r="V117" i="7"/>
  <c r="W117" i="7" s="1"/>
  <c r="V131" i="7"/>
  <c r="W131" i="7" s="1"/>
  <c r="U131" i="7"/>
  <c r="V115" i="7"/>
  <c r="W115" i="7" s="1"/>
  <c r="U115" i="7"/>
  <c r="AG115" i="7"/>
  <c r="U125" i="7"/>
  <c r="V125" i="7"/>
  <c r="W125" i="7" s="1"/>
  <c r="AG125" i="7"/>
  <c r="U119" i="7"/>
  <c r="V119" i="7"/>
  <c r="W119" i="7" s="1"/>
  <c r="AG119" i="7"/>
  <c r="V121" i="7"/>
  <c r="W121" i="7" s="1"/>
  <c r="U121" i="7"/>
  <c r="AG121" i="7"/>
  <c r="AI131" i="7"/>
  <c r="AB131" i="7" s="1"/>
  <c r="AC131" i="7" s="1"/>
  <c r="AH131" i="7" a="1"/>
  <c r="AH131" i="7" s="1"/>
  <c r="U129" i="7"/>
  <c r="V129" i="7"/>
  <c r="W129" i="7" s="1"/>
  <c r="AG129" i="7"/>
  <c r="AI123" i="7"/>
  <c r="AB123" i="7" s="1"/>
  <c r="AC123" i="7" s="1"/>
  <c r="AH123" i="7" a="1"/>
  <c r="AH123" i="7" s="1"/>
  <c r="U133" i="7"/>
  <c r="V133" i="7"/>
  <c r="W133" i="7" s="1"/>
  <c r="AG133" i="7"/>
  <c r="U127" i="7"/>
  <c r="V127" i="7"/>
  <c r="W127" i="7" s="1"/>
  <c r="AG127" i="7"/>
  <c r="AI117" i="7"/>
  <c r="AB117" i="7" s="1"/>
  <c r="AC117" i="7" s="1"/>
  <c r="AH117" i="7" a="1"/>
  <c r="AH117" i="7" s="1"/>
  <c r="AH129" i="7" l="1" a="1"/>
  <c r="AH129" i="7" s="1"/>
  <c r="AI129" i="7"/>
  <c r="AB129" i="7" s="1"/>
  <c r="AC129" i="7" s="1"/>
  <c r="AH121" i="7" a="1"/>
  <c r="AH121" i="7" s="1"/>
  <c r="AI121" i="7"/>
  <c r="AB121" i="7" s="1"/>
  <c r="AC121" i="7" s="1"/>
  <c r="AI133" i="7"/>
  <c r="AB133" i="7" s="1"/>
  <c r="AC133" i="7" s="1"/>
  <c r="AH133" i="7" a="1"/>
  <c r="AH133" i="7" s="1"/>
  <c r="AI127" i="7"/>
  <c r="AB127" i="7" s="1"/>
  <c r="AC127" i="7" s="1"/>
  <c r="AH127" i="7" a="1"/>
  <c r="AH127" i="7" s="1"/>
  <c r="AI115" i="7"/>
  <c r="AB115" i="7" s="1"/>
  <c r="AC115" i="7" s="1"/>
  <c r="AH115" i="7" a="1"/>
  <c r="AH115" i="7" s="1"/>
  <c r="AD117" i="7" a="1"/>
  <c r="AD117" i="7" s="1"/>
  <c r="AE117" i="7" a="1"/>
  <c r="AE117" i="7" s="1"/>
  <c r="AD123" i="7" a="1"/>
  <c r="AD123" i="7" s="1"/>
  <c r="AE123" i="7" a="1"/>
  <c r="AE123" i="7" s="1"/>
  <c r="AI125" i="7"/>
  <c r="AB125" i="7" s="1"/>
  <c r="AC125" i="7" s="1"/>
  <c r="AH125" i="7" a="1"/>
  <c r="AH125" i="7" s="1"/>
  <c r="AE131" i="7" a="1"/>
  <c r="AE131" i="7" s="1"/>
  <c r="AD131" i="7" a="1"/>
  <c r="AD131" i="7" s="1"/>
  <c r="AI119" i="7"/>
  <c r="AB119" i="7" s="1"/>
  <c r="AC119" i="7" s="1"/>
  <c r="AH119" i="7" a="1"/>
  <c r="AH119" i="7" s="1"/>
  <c r="AE121" i="7" l="1" a="1"/>
  <c r="AE121" i="7" s="1"/>
  <c r="AD121" i="7" a="1"/>
  <c r="AD121" i="7" s="1"/>
  <c r="AE119" i="7" a="1"/>
  <c r="AE119" i="7" s="1"/>
  <c r="AD119" i="7" a="1"/>
  <c r="AD119" i="7" s="1"/>
  <c r="AE125" i="7" a="1"/>
  <c r="AE125" i="7" s="1"/>
  <c r="AD125" i="7" a="1"/>
  <c r="AD125" i="7" s="1"/>
  <c r="AE127" i="7" a="1"/>
  <c r="AE127" i="7" s="1"/>
  <c r="AD127" i="7" a="1"/>
  <c r="AD127" i="7" s="1"/>
  <c r="AD129" i="7" a="1"/>
  <c r="AD129" i="7" s="1"/>
  <c r="AE129" i="7" a="1"/>
  <c r="AE129" i="7" s="1"/>
  <c r="AE115" i="7" a="1"/>
  <c r="AE115" i="7" s="1"/>
  <c r="AD115" i="7" a="1"/>
  <c r="AD115" i="7" s="1"/>
  <c r="AD133" i="7" a="1"/>
  <c r="AD133" i="7" s="1"/>
  <c r="AE133" i="7" a="1"/>
  <c r="AE133" i="7" s="1"/>
  <c r="Q11" i="7"/>
  <c r="V11" i="7" s="1"/>
  <c r="W11" i="7" s="1"/>
  <c r="Q13" i="7"/>
  <c r="V13" i="7" s="1"/>
  <c r="W13" i="7" s="1"/>
  <c r="Q15" i="7"/>
  <c r="V15" i="7" s="1"/>
  <c r="W15" i="7" s="1"/>
  <c r="Q17" i="7"/>
  <c r="V17" i="7" s="1"/>
  <c r="W17" i="7" s="1"/>
  <c r="Q19" i="7"/>
  <c r="V19" i="7" s="1"/>
  <c r="W19" i="7" s="1"/>
  <c r="Q21" i="7"/>
  <c r="V21" i="7" s="1"/>
  <c r="W21" i="7" s="1"/>
  <c r="Q23" i="7"/>
  <c r="V23" i="7" s="1"/>
  <c r="W23" i="7" s="1"/>
  <c r="Q25" i="7"/>
  <c r="V25" i="7" s="1"/>
  <c r="W25" i="7" s="1"/>
  <c r="Q27" i="7"/>
  <c r="V27" i="7" s="1"/>
  <c r="W27" i="7" s="1"/>
  <c r="Q29" i="7"/>
  <c r="V29" i="7" s="1"/>
  <c r="W29" i="7" s="1"/>
  <c r="Q31" i="7"/>
  <c r="V31" i="7" s="1"/>
  <c r="W31" i="7" s="1"/>
  <c r="Q33" i="7"/>
  <c r="V33" i="7" s="1"/>
  <c r="W33" i="7" s="1"/>
  <c r="Q35" i="7"/>
  <c r="V35" i="7" s="1"/>
  <c r="W35" i="7" s="1"/>
  <c r="Q37" i="7"/>
  <c r="V37" i="7" s="1"/>
  <c r="W37" i="7" s="1"/>
  <c r="Q39" i="7"/>
  <c r="V39" i="7" s="1"/>
  <c r="W39" i="7" s="1"/>
  <c r="Q41" i="7"/>
  <c r="V41" i="7" s="1"/>
  <c r="W41" i="7" s="1"/>
  <c r="Q43" i="7"/>
  <c r="V43" i="7" s="1"/>
  <c r="W43" i="7" s="1"/>
  <c r="Q45" i="7"/>
  <c r="V45" i="7" s="1"/>
  <c r="W45" i="7" s="1"/>
  <c r="Q47" i="7"/>
  <c r="V47" i="7" s="1"/>
  <c r="W47" i="7" s="1"/>
  <c r="Q49" i="7"/>
  <c r="V49" i="7" s="1"/>
  <c r="W49" i="7" s="1"/>
  <c r="Q51" i="7"/>
  <c r="V51" i="7" s="1"/>
  <c r="W51" i="7" s="1"/>
  <c r="Q53" i="7"/>
  <c r="V53" i="7" s="1"/>
  <c r="W53" i="7" s="1"/>
  <c r="Q55" i="7"/>
  <c r="V55" i="7" s="1"/>
  <c r="W55" i="7" s="1"/>
  <c r="Q57" i="7"/>
  <c r="V57" i="7" s="1"/>
  <c r="W57" i="7" s="1"/>
  <c r="Q59" i="7"/>
  <c r="V59" i="7" s="1"/>
  <c r="W59" i="7" s="1"/>
  <c r="Q61" i="7"/>
  <c r="V61" i="7" s="1"/>
  <c r="W61" i="7" s="1"/>
  <c r="Q63" i="7"/>
  <c r="V63" i="7" s="1"/>
  <c r="W63" i="7" s="1"/>
  <c r="Q65" i="7"/>
  <c r="V65" i="7" s="1"/>
  <c r="W65" i="7" s="1"/>
  <c r="Q67" i="7"/>
  <c r="V67" i="7" s="1"/>
  <c r="W67" i="7" s="1"/>
  <c r="Q69" i="7"/>
  <c r="Q71" i="7"/>
  <c r="Q73" i="7"/>
  <c r="Q75" i="7"/>
  <c r="Q77" i="7"/>
  <c r="Q79" i="7"/>
  <c r="Q81" i="7"/>
  <c r="Q83" i="7"/>
  <c r="Q85" i="7"/>
  <c r="Q87" i="7"/>
  <c r="Q89" i="7"/>
  <c r="Q91" i="7"/>
  <c r="Q93" i="7"/>
  <c r="Q95" i="7"/>
  <c r="Q97" i="7"/>
  <c r="Q99" i="7"/>
  <c r="Q101" i="7"/>
  <c r="Q103" i="7"/>
  <c r="Q105" i="7"/>
  <c r="Q107" i="7"/>
  <c r="Q109" i="7"/>
  <c r="Q111" i="7"/>
  <c r="Q113" i="7"/>
  <c r="U111" i="7" l="1"/>
  <c r="V111" i="7"/>
  <c r="W111" i="7" s="1"/>
  <c r="AG111" i="7"/>
  <c r="V107" i="7"/>
  <c r="W107" i="7" s="1"/>
  <c r="AG107" i="7"/>
  <c r="U107" i="7"/>
  <c r="V103" i="7"/>
  <c r="W103" i="7" s="1"/>
  <c r="AG103" i="7"/>
  <c r="U103" i="7"/>
  <c r="V99" i="7"/>
  <c r="W99" i="7" s="1"/>
  <c r="AG99" i="7"/>
  <c r="U99" i="7"/>
  <c r="V113" i="7"/>
  <c r="W113" i="7" s="1"/>
  <c r="AG113" i="7"/>
  <c r="U113" i="7"/>
  <c r="V109" i="7"/>
  <c r="W109" i="7" s="1"/>
  <c r="AG109" i="7"/>
  <c r="U109" i="7"/>
  <c r="V105" i="7"/>
  <c r="W105" i="7" s="1"/>
  <c r="AG105" i="7"/>
  <c r="U105" i="7"/>
  <c r="V101" i="7"/>
  <c r="W101" i="7" s="1"/>
  <c r="AG101" i="7"/>
  <c r="U101" i="7"/>
  <c r="V97" i="7"/>
  <c r="W97" i="7" s="1"/>
  <c r="AG97" i="7"/>
  <c r="U97" i="7"/>
  <c r="V95" i="7"/>
  <c r="W95" i="7" s="1"/>
  <c r="AG95" i="7"/>
  <c r="U95" i="7"/>
  <c r="V93" i="7"/>
  <c r="W93" i="7" s="1"/>
  <c r="AG93" i="7"/>
  <c r="U93" i="7"/>
  <c r="V91" i="7"/>
  <c r="W91" i="7" s="1"/>
  <c r="AG91" i="7"/>
  <c r="U91" i="7"/>
  <c r="V89" i="7"/>
  <c r="W89" i="7" s="1"/>
  <c r="AG89" i="7"/>
  <c r="U89" i="7"/>
  <c r="V87" i="7"/>
  <c r="W87" i="7" s="1"/>
  <c r="AG87" i="7"/>
  <c r="U87" i="7"/>
  <c r="V85" i="7"/>
  <c r="W85" i="7" s="1"/>
  <c r="AG85" i="7"/>
  <c r="U85" i="7"/>
  <c r="V83" i="7"/>
  <c r="W83" i="7" s="1"/>
  <c r="AG83" i="7"/>
  <c r="U83" i="7"/>
  <c r="V81" i="7"/>
  <c r="W81" i="7" s="1"/>
  <c r="AG81" i="7"/>
  <c r="U81" i="7"/>
  <c r="V79" i="7"/>
  <c r="W79" i="7" s="1"/>
  <c r="AG79" i="7"/>
  <c r="U79" i="7"/>
  <c r="V77" i="7"/>
  <c r="W77" i="7" s="1"/>
  <c r="AG77" i="7"/>
  <c r="U77" i="7"/>
  <c r="V75" i="7"/>
  <c r="W75" i="7" s="1"/>
  <c r="AG75" i="7"/>
  <c r="U75" i="7"/>
  <c r="V73" i="7"/>
  <c r="W73" i="7" s="1"/>
  <c r="AG73" i="7"/>
  <c r="U73" i="7"/>
  <c r="V71" i="7"/>
  <c r="W71" i="7" s="1"/>
  <c r="AG71" i="7"/>
  <c r="U71" i="7"/>
  <c r="V69" i="7"/>
  <c r="W69" i="7" s="1"/>
  <c r="AG69" i="7"/>
  <c r="U69" i="7"/>
  <c r="U67" i="7"/>
  <c r="U65" i="7"/>
  <c r="U63" i="7"/>
  <c r="U61" i="7"/>
  <c r="U59" i="7"/>
  <c r="U57" i="7"/>
  <c r="U55" i="7"/>
  <c r="U53" i="7"/>
  <c r="U51" i="7"/>
  <c r="U49" i="7"/>
  <c r="U47" i="7"/>
  <c r="U45" i="7"/>
  <c r="U43" i="7"/>
  <c r="U41" i="7"/>
  <c r="U39" i="7"/>
  <c r="U37" i="7"/>
  <c r="U35" i="7"/>
  <c r="U33" i="7"/>
  <c r="U31" i="7"/>
  <c r="U29" i="7"/>
  <c r="U27" i="7"/>
  <c r="U25" i="7"/>
  <c r="U23" i="7"/>
  <c r="U21" i="7"/>
  <c r="U19" i="7"/>
  <c r="U17" i="7"/>
  <c r="U15" i="7"/>
  <c r="U13" i="7"/>
  <c r="U11" i="7"/>
  <c r="AG67" i="7"/>
  <c r="AG65" i="7"/>
  <c r="AG63" i="7"/>
  <c r="AG61" i="7"/>
  <c r="AG59" i="7"/>
  <c r="AG57" i="7"/>
  <c r="AG55" i="7"/>
  <c r="AG53" i="7"/>
  <c r="AG51" i="7"/>
  <c r="AG49" i="7"/>
  <c r="AG47" i="7"/>
  <c r="AG45" i="7"/>
  <c r="AG43" i="7"/>
  <c r="AG41" i="7"/>
  <c r="AG39" i="7"/>
  <c r="AG37" i="7"/>
  <c r="AG35" i="7"/>
  <c r="AG33" i="7"/>
  <c r="AG31" i="7"/>
  <c r="AG29" i="7"/>
  <c r="AG27" i="7"/>
  <c r="AG25" i="7"/>
  <c r="AG23" i="7"/>
  <c r="AG21" i="7"/>
  <c r="AG19" i="7"/>
  <c r="AG17" i="7"/>
  <c r="AG15" i="7"/>
  <c r="AG13" i="7"/>
  <c r="AG11" i="7"/>
  <c r="AH31" i="7" l="1" a="1"/>
  <c r="AH31" i="7" s="1"/>
  <c r="AI31" i="7"/>
  <c r="AB31" i="7" s="1"/>
  <c r="AC31" i="7" s="1"/>
  <c r="AH63" i="7" a="1"/>
  <c r="AH63" i="7" s="1"/>
  <c r="AI63" i="7"/>
  <c r="AB63" i="7" s="1"/>
  <c r="AC63" i="7" s="1"/>
  <c r="AH17" i="7" a="1"/>
  <c r="AH17" i="7" s="1"/>
  <c r="AI17" i="7"/>
  <c r="AB17" i="7" s="1"/>
  <c r="AC17" i="7" s="1"/>
  <c r="AH25" i="7" a="1"/>
  <c r="AH25" i="7" s="1"/>
  <c r="AI25" i="7"/>
  <c r="AB25" i="7" s="1"/>
  <c r="AC25" i="7" s="1"/>
  <c r="AH33" i="7" a="1"/>
  <c r="AH33" i="7" s="1"/>
  <c r="AI33" i="7"/>
  <c r="AB33" i="7" s="1"/>
  <c r="AC33" i="7" s="1"/>
  <c r="AH41" i="7" a="1"/>
  <c r="AH41" i="7" s="1"/>
  <c r="AI41" i="7"/>
  <c r="AB41" i="7" s="1"/>
  <c r="AC41" i="7" s="1"/>
  <c r="AH49" i="7" a="1"/>
  <c r="AH49" i="7" s="1"/>
  <c r="AI49" i="7"/>
  <c r="AB49" i="7" s="1"/>
  <c r="AC49" i="7" s="1"/>
  <c r="AH57" i="7" a="1"/>
  <c r="AH57" i="7" s="1"/>
  <c r="AI57" i="7"/>
  <c r="AB57" i="7" s="1"/>
  <c r="AC57" i="7" s="1"/>
  <c r="AH65" i="7" a="1"/>
  <c r="AH65" i="7" s="1"/>
  <c r="AI65" i="7"/>
  <c r="AB65" i="7" s="1"/>
  <c r="AC65" i="7" s="1"/>
  <c r="AH111" i="7" a="1"/>
  <c r="AH111" i="7" s="1"/>
  <c r="AI111" i="7"/>
  <c r="AB111" i="7" s="1"/>
  <c r="AC111" i="7" s="1"/>
  <c r="AH15" i="7" a="1"/>
  <c r="AH15" i="7" s="1"/>
  <c r="AI15" i="7"/>
  <c r="AB15" i="7" s="1"/>
  <c r="AC15" i="7" s="1"/>
  <c r="AH47" i="7" a="1"/>
  <c r="AH47" i="7" s="1"/>
  <c r="AI47" i="7"/>
  <c r="AB47" i="7" s="1"/>
  <c r="AC47" i="7" s="1"/>
  <c r="AH11" i="7" a="1"/>
  <c r="AH11" i="7" s="1"/>
  <c r="AI11" i="7"/>
  <c r="AB11" i="7" s="1"/>
  <c r="AC11" i="7" s="1"/>
  <c r="AH19" i="7" a="1"/>
  <c r="AH19" i="7" s="1"/>
  <c r="AI19" i="7"/>
  <c r="AB19" i="7" s="1"/>
  <c r="AC19" i="7" s="1"/>
  <c r="AH27" i="7" a="1"/>
  <c r="AH27" i="7" s="1"/>
  <c r="AI27" i="7"/>
  <c r="AB27" i="7" s="1"/>
  <c r="AC27" i="7" s="1"/>
  <c r="AH35" i="7" a="1"/>
  <c r="AH35" i="7" s="1"/>
  <c r="AI35" i="7"/>
  <c r="AB35" i="7" s="1"/>
  <c r="AC35" i="7" s="1"/>
  <c r="AH43" i="7" a="1"/>
  <c r="AH43" i="7" s="1"/>
  <c r="AI43" i="7"/>
  <c r="AB43" i="7" s="1"/>
  <c r="AC43" i="7" s="1"/>
  <c r="AH51" i="7" a="1"/>
  <c r="AH51" i="7" s="1"/>
  <c r="AI51" i="7"/>
  <c r="AB51" i="7" s="1"/>
  <c r="AC51" i="7" s="1"/>
  <c r="AH59" i="7" a="1"/>
  <c r="AH59" i="7" s="1"/>
  <c r="AI59" i="7"/>
  <c r="AB59" i="7" s="1"/>
  <c r="AC59" i="7" s="1"/>
  <c r="AH67" i="7" a="1"/>
  <c r="AH67" i="7" s="1"/>
  <c r="AI67" i="7"/>
  <c r="AB67" i="7" s="1"/>
  <c r="AC67" i="7" s="1"/>
  <c r="AH39" i="7" a="1"/>
  <c r="AH39" i="7" s="1"/>
  <c r="AI39" i="7"/>
  <c r="AB39" i="7" s="1"/>
  <c r="AC39" i="7" s="1"/>
  <c r="AH13" i="7" a="1"/>
  <c r="AH13" i="7" s="1"/>
  <c r="AI13" i="7"/>
  <c r="AB13" i="7" s="1"/>
  <c r="AC13" i="7" s="1"/>
  <c r="AH21" i="7" a="1"/>
  <c r="AH21" i="7" s="1"/>
  <c r="AI21" i="7"/>
  <c r="AB21" i="7" s="1"/>
  <c r="AC21" i="7" s="1"/>
  <c r="AH29" i="7" a="1"/>
  <c r="AH29" i="7" s="1"/>
  <c r="AI29" i="7"/>
  <c r="AB29" i="7" s="1"/>
  <c r="AC29" i="7" s="1"/>
  <c r="AH37" i="7" a="1"/>
  <c r="AH37" i="7" s="1"/>
  <c r="AI37" i="7"/>
  <c r="AB37" i="7" s="1"/>
  <c r="AC37" i="7" s="1"/>
  <c r="AH45" i="7" a="1"/>
  <c r="AH45" i="7" s="1"/>
  <c r="AI45" i="7"/>
  <c r="AB45" i="7" s="1"/>
  <c r="AC45" i="7" s="1"/>
  <c r="AH53" i="7" a="1"/>
  <c r="AH53" i="7" s="1"/>
  <c r="AI53" i="7"/>
  <c r="AB53" i="7" s="1"/>
  <c r="AC53" i="7" s="1"/>
  <c r="AH61" i="7" a="1"/>
  <c r="AH61" i="7" s="1"/>
  <c r="AI61" i="7"/>
  <c r="AB61" i="7" s="1"/>
  <c r="AC61" i="7" s="1"/>
  <c r="AH69" i="7" a="1"/>
  <c r="AH69" i="7" s="1"/>
  <c r="AI69" i="7"/>
  <c r="AB69" i="7" s="1"/>
  <c r="AC69" i="7" s="1"/>
  <c r="AH71" i="7" a="1"/>
  <c r="AH71" i="7" s="1"/>
  <c r="AI71" i="7"/>
  <c r="AB71" i="7" s="1"/>
  <c r="AC71" i="7" s="1"/>
  <c r="AH73" i="7" a="1"/>
  <c r="AH73" i="7" s="1"/>
  <c r="AI73" i="7"/>
  <c r="AB73" i="7" s="1"/>
  <c r="AC73" i="7" s="1"/>
  <c r="AH75" i="7" a="1"/>
  <c r="AH75" i="7" s="1"/>
  <c r="AI75" i="7"/>
  <c r="AB75" i="7" s="1"/>
  <c r="AC75" i="7" s="1"/>
  <c r="AH77" i="7" a="1"/>
  <c r="AH77" i="7" s="1"/>
  <c r="AI77" i="7"/>
  <c r="AB77" i="7" s="1"/>
  <c r="AC77" i="7" s="1"/>
  <c r="AH79" i="7" a="1"/>
  <c r="AH79" i="7" s="1"/>
  <c r="AI79" i="7"/>
  <c r="AB79" i="7" s="1"/>
  <c r="AC79" i="7" s="1"/>
  <c r="AH81" i="7" a="1"/>
  <c r="AH81" i="7" s="1"/>
  <c r="AI81" i="7"/>
  <c r="AB81" i="7" s="1"/>
  <c r="AC81" i="7" s="1"/>
  <c r="AH83" i="7" a="1"/>
  <c r="AH83" i="7" s="1"/>
  <c r="AI83" i="7"/>
  <c r="AB83" i="7" s="1"/>
  <c r="AC83" i="7" s="1"/>
  <c r="AH85" i="7" a="1"/>
  <c r="AH85" i="7" s="1"/>
  <c r="AI85" i="7"/>
  <c r="AB85" i="7" s="1"/>
  <c r="AC85" i="7" s="1"/>
  <c r="AH87" i="7" a="1"/>
  <c r="AH87" i="7" s="1"/>
  <c r="AI87" i="7"/>
  <c r="AB87" i="7" s="1"/>
  <c r="AC87" i="7" s="1"/>
  <c r="AH89" i="7" a="1"/>
  <c r="AH89" i="7" s="1"/>
  <c r="AI89" i="7"/>
  <c r="AB89" i="7" s="1"/>
  <c r="AC89" i="7" s="1"/>
  <c r="AH91" i="7" a="1"/>
  <c r="AH91" i="7" s="1"/>
  <c r="AI91" i="7"/>
  <c r="AB91" i="7" s="1"/>
  <c r="AC91" i="7" s="1"/>
  <c r="AH93" i="7" a="1"/>
  <c r="AH93" i="7" s="1"/>
  <c r="AI93" i="7"/>
  <c r="AB93" i="7" s="1"/>
  <c r="AC93" i="7" s="1"/>
  <c r="AH95" i="7" a="1"/>
  <c r="AH95" i="7" s="1"/>
  <c r="AI95" i="7"/>
  <c r="AB95" i="7" s="1"/>
  <c r="AC95" i="7" s="1"/>
  <c r="AH97" i="7" a="1"/>
  <c r="AH97" i="7" s="1"/>
  <c r="AI97" i="7"/>
  <c r="AB97" i="7" s="1"/>
  <c r="AC97" i="7" s="1"/>
  <c r="AH101" i="7" a="1"/>
  <c r="AH101" i="7" s="1"/>
  <c r="AI101" i="7"/>
  <c r="AB101" i="7" s="1"/>
  <c r="AC101" i="7" s="1"/>
  <c r="AH105" i="7" a="1"/>
  <c r="AH105" i="7" s="1"/>
  <c r="AI105" i="7"/>
  <c r="AB105" i="7" s="1"/>
  <c r="AC105" i="7" s="1"/>
  <c r="AH109" i="7" a="1"/>
  <c r="AH109" i="7" s="1"/>
  <c r="AI109" i="7"/>
  <c r="AB109" i="7" s="1"/>
  <c r="AC109" i="7" s="1"/>
  <c r="AH113" i="7" a="1"/>
  <c r="AH113" i="7" s="1"/>
  <c r="AI113" i="7"/>
  <c r="AB113" i="7" s="1"/>
  <c r="AC113" i="7" s="1"/>
  <c r="AH99" i="7" a="1"/>
  <c r="AH99" i="7" s="1"/>
  <c r="AI99" i="7"/>
  <c r="AB99" i="7" s="1"/>
  <c r="AC99" i="7" s="1"/>
  <c r="AH103" i="7" a="1"/>
  <c r="AH103" i="7" s="1"/>
  <c r="AI103" i="7"/>
  <c r="AB103" i="7" s="1"/>
  <c r="AC103" i="7" s="1"/>
  <c r="AH107" i="7" a="1"/>
  <c r="AH107" i="7" s="1"/>
  <c r="AI107" i="7"/>
  <c r="AB107" i="7" s="1"/>
  <c r="AC107" i="7" s="1"/>
  <c r="AH23" i="7" a="1"/>
  <c r="AH23" i="7" s="1"/>
  <c r="AI23" i="7"/>
  <c r="AB23" i="7" s="1"/>
  <c r="AC23" i="7" s="1"/>
  <c r="AH55" i="7" a="1"/>
  <c r="AH55" i="7" s="1"/>
  <c r="AI55" i="7"/>
  <c r="AB55" i="7" s="1"/>
  <c r="AC55" i="7" s="1"/>
  <c r="AD99" i="7" l="1" a="1"/>
  <c r="AD99" i="7" s="1"/>
  <c r="AE99" i="7" a="1"/>
  <c r="AE99" i="7" s="1"/>
  <c r="AD95" i="7" a="1"/>
  <c r="AD95" i="7" s="1"/>
  <c r="AE95" i="7" a="1"/>
  <c r="AE95" i="7" s="1"/>
  <c r="AD87" i="7" a="1"/>
  <c r="AD87" i="7" s="1"/>
  <c r="AE87" i="7" a="1"/>
  <c r="AE87" i="7" s="1"/>
  <c r="AD79" i="7" a="1"/>
  <c r="AD79" i="7" s="1"/>
  <c r="AE79" i="7" a="1"/>
  <c r="AE79" i="7" s="1"/>
  <c r="AD75" i="7" a="1"/>
  <c r="AD75" i="7" s="1"/>
  <c r="AE75" i="7" a="1"/>
  <c r="AE75" i="7" s="1"/>
  <c r="AD111" i="7" a="1"/>
  <c r="AD111" i="7" s="1"/>
  <c r="AE111" i="7" a="1"/>
  <c r="AE111" i="7" s="1"/>
  <c r="AD107" i="7" a="1"/>
  <c r="AD107" i="7" s="1"/>
  <c r="AE107" i="7" a="1"/>
  <c r="AE107" i="7" s="1"/>
  <c r="AD101" i="7" a="1"/>
  <c r="AD101" i="7" s="1"/>
  <c r="AE101" i="7" a="1"/>
  <c r="AE101" i="7" s="1"/>
  <c r="AD91" i="7" a="1"/>
  <c r="AD91" i="7" s="1"/>
  <c r="AE91" i="7" a="1"/>
  <c r="AE91" i="7" s="1"/>
  <c r="AD83" i="7" a="1"/>
  <c r="AD83" i="7" s="1"/>
  <c r="AE83" i="7" a="1"/>
  <c r="AE83" i="7" s="1"/>
  <c r="AD71" i="7" a="1"/>
  <c r="AD71" i="7" s="1"/>
  <c r="AE71" i="7" a="1"/>
  <c r="AE71" i="7" s="1"/>
  <c r="AD103" i="7" a="1"/>
  <c r="AD103" i="7" s="1"/>
  <c r="AE103" i="7" a="1"/>
  <c r="AE103" i="7" s="1"/>
  <c r="AD105" i="7" a="1"/>
  <c r="AD105" i="7" s="1"/>
  <c r="AE105" i="7" a="1"/>
  <c r="AE105" i="7" s="1"/>
  <c r="AD93" i="7" a="1"/>
  <c r="AD93" i="7" s="1"/>
  <c r="AE93" i="7" a="1"/>
  <c r="AE93" i="7" s="1"/>
  <c r="AD85" i="7" a="1"/>
  <c r="AD85" i="7" s="1"/>
  <c r="AE85" i="7" a="1"/>
  <c r="AE85" i="7" s="1"/>
  <c r="AD73" i="7" a="1"/>
  <c r="AD73" i="7" s="1"/>
  <c r="AE73" i="7" a="1"/>
  <c r="AE73" i="7" s="1"/>
  <c r="AD109" i="7" a="1"/>
  <c r="AD109" i="7" s="1"/>
  <c r="AE109" i="7" a="1"/>
  <c r="AE109" i="7" s="1"/>
  <c r="AD113" i="7" a="1"/>
  <c r="AD113" i="7" s="1"/>
  <c r="AE113" i="7" a="1"/>
  <c r="AE113" i="7" s="1"/>
  <c r="AD97" i="7" a="1"/>
  <c r="AD97" i="7" s="1"/>
  <c r="AE97" i="7" a="1"/>
  <c r="AE97" i="7" s="1"/>
  <c r="AD89" i="7" a="1"/>
  <c r="AD89" i="7" s="1"/>
  <c r="AE89" i="7" a="1"/>
  <c r="AE89" i="7" s="1"/>
  <c r="AD81" i="7" a="1"/>
  <c r="AD81" i="7" s="1"/>
  <c r="AE81" i="7" a="1"/>
  <c r="AE81" i="7" s="1"/>
  <c r="AD77" i="7" a="1"/>
  <c r="AD77" i="7" s="1"/>
  <c r="AE77" i="7" a="1"/>
  <c r="AE77" i="7" s="1"/>
  <c r="AD69" i="7" a="1"/>
  <c r="AD69" i="7" s="1"/>
  <c r="AE69" i="7" a="1"/>
  <c r="AE69" i="7" s="1"/>
  <c r="AD23" i="7" a="1"/>
  <c r="AD23" i="7" s="1"/>
  <c r="AE23" i="7" a="1"/>
  <c r="AE23" i="7" s="1"/>
  <c r="AD53" i="7" a="1"/>
  <c r="AD53" i="7" s="1"/>
  <c r="AE53" i="7" a="1"/>
  <c r="AE53" i="7" s="1"/>
  <c r="AD21" i="7" a="1"/>
  <c r="AD21" i="7" s="1"/>
  <c r="AE21" i="7" a="1"/>
  <c r="AE21" i="7" s="1"/>
  <c r="AD59" i="7" a="1"/>
  <c r="AD59" i="7" s="1"/>
  <c r="AE59" i="7" a="1"/>
  <c r="AE59" i="7" s="1"/>
  <c r="AD27" i="7" a="1"/>
  <c r="AD27" i="7" s="1"/>
  <c r="AE27" i="7" a="1"/>
  <c r="AE27" i="7" s="1"/>
  <c r="AD15" i="7" a="1"/>
  <c r="AD15" i="7" s="1"/>
  <c r="AE15" i="7" a="1"/>
  <c r="AE15" i="7" s="1"/>
  <c r="AD49" i="7" a="1"/>
  <c r="AD49" i="7" s="1"/>
  <c r="AE49" i="7" a="1"/>
  <c r="AE49" i="7" s="1"/>
  <c r="AD17" i="7" a="1"/>
  <c r="AD17" i="7" s="1"/>
  <c r="AE17" i="7" a="1"/>
  <c r="AE17" i="7" s="1"/>
  <c r="AD45" i="7" a="1"/>
  <c r="AD45" i="7" s="1"/>
  <c r="AE45" i="7" a="1"/>
  <c r="AE45" i="7" s="1"/>
  <c r="AD13" i="7" a="1"/>
  <c r="AD13" i="7" s="1"/>
  <c r="AE13" i="7" a="1"/>
  <c r="AE13" i="7" s="1"/>
  <c r="AD51" i="7" a="1"/>
  <c r="AD51" i="7" s="1"/>
  <c r="AE51" i="7" a="1"/>
  <c r="AE51" i="7" s="1"/>
  <c r="AD19" i="7" a="1"/>
  <c r="AD19" i="7" s="1"/>
  <c r="AE19" i="7" a="1"/>
  <c r="AE19" i="7" s="1"/>
  <c r="AD41" i="7" a="1"/>
  <c r="AD41" i="7" s="1"/>
  <c r="AE41" i="7" a="1"/>
  <c r="AE41" i="7" s="1"/>
  <c r="AD63" i="7" a="1"/>
  <c r="AD63" i="7" s="1"/>
  <c r="AE63" i="7" a="1"/>
  <c r="AE63" i="7" s="1"/>
  <c r="AD55" i="7" a="1"/>
  <c r="AD55" i="7" s="1"/>
  <c r="AE55" i="7" a="1"/>
  <c r="AE55" i="7" s="1"/>
  <c r="AD61" i="7" a="1"/>
  <c r="AD61" i="7" s="1"/>
  <c r="AE61" i="7" a="1"/>
  <c r="AE61" i="7" s="1"/>
  <c r="AD29" i="7" a="1"/>
  <c r="AD29" i="7" s="1"/>
  <c r="AE29" i="7" a="1"/>
  <c r="AE29" i="7" s="1"/>
  <c r="AD67" i="7" a="1"/>
  <c r="AD67" i="7" s="1"/>
  <c r="AE67" i="7" a="1"/>
  <c r="AE67" i="7" s="1"/>
  <c r="AD35" i="7" a="1"/>
  <c r="AD35" i="7" s="1"/>
  <c r="AE35" i="7" a="1"/>
  <c r="AE35" i="7" s="1"/>
  <c r="AD47" i="7" a="1"/>
  <c r="AD47" i="7" s="1"/>
  <c r="AE47" i="7" a="1"/>
  <c r="AE47" i="7" s="1"/>
  <c r="AD57" i="7" a="1"/>
  <c r="AD57" i="7" s="1"/>
  <c r="AE57" i="7" a="1"/>
  <c r="AE57" i="7" s="1"/>
  <c r="AD25" i="7" a="1"/>
  <c r="AD25" i="7" s="1"/>
  <c r="AE25" i="7" a="1"/>
  <c r="AE25" i="7" s="1"/>
  <c r="AD37" i="7" a="1"/>
  <c r="AD37" i="7" s="1"/>
  <c r="AE37" i="7" a="1"/>
  <c r="AE37" i="7" s="1"/>
  <c r="AD39" i="7" a="1"/>
  <c r="AD39" i="7" s="1"/>
  <c r="AE39" i="7" a="1"/>
  <c r="AE39" i="7" s="1"/>
  <c r="AD43" i="7" a="1"/>
  <c r="AD43" i="7" s="1"/>
  <c r="AE43" i="7" a="1"/>
  <c r="AE43" i="7" s="1"/>
  <c r="AD11" i="7" a="1"/>
  <c r="AD11" i="7" s="1"/>
  <c r="AE11" i="7" a="1"/>
  <c r="AE11" i="7" s="1"/>
  <c r="AD65" i="7" a="1"/>
  <c r="AD65" i="7" s="1"/>
  <c r="AE65" i="7" a="1"/>
  <c r="AE65" i="7" s="1"/>
  <c r="AD33" i="7" a="1"/>
  <c r="AD33" i="7" s="1"/>
  <c r="AE33" i="7" a="1"/>
  <c r="AE33" i="7" s="1"/>
  <c r="AD31" i="7" a="1"/>
  <c r="AD31" i="7" s="1"/>
  <c r="AE31" i="7" a="1"/>
  <c r="AE31" i="7" s="1"/>
  <c r="L112" i="8" l="1"/>
  <c r="N112" i="8"/>
  <c r="Y112" i="8" s="1"/>
  <c r="O112" i="8"/>
  <c r="U112" i="8" s="1"/>
  <c r="T112" i="8"/>
  <c r="L113" i="8"/>
  <c r="N113" i="8"/>
  <c r="Y113" i="8" s="1"/>
  <c r="O113" i="8"/>
  <c r="U113" i="8" s="1"/>
  <c r="T113" i="8"/>
  <c r="I112" i="19"/>
  <c r="J112" i="19"/>
  <c r="K112" i="19"/>
  <c r="L112" i="19"/>
  <c r="Q112" i="19"/>
  <c r="I113" i="19"/>
  <c r="J113" i="19"/>
  <c r="K113" i="19"/>
  <c r="L113" i="19"/>
  <c r="Q113" i="19"/>
  <c r="R112" i="1"/>
  <c r="S112" i="1"/>
  <c r="U112" i="1"/>
  <c r="V112" i="1"/>
  <c r="AB112" i="1"/>
  <c r="AC112" i="1"/>
  <c r="AI112" i="1"/>
  <c r="AJ112" i="1"/>
  <c r="AP112" i="1"/>
  <c r="AQ112" i="1"/>
  <c r="AW112" i="1"/>
  <c r="AX112" i="1"/>
  <c r="BD112" i="1"/>
  <c r="BE112" i="1"/>
  <c r="BK112" i="1"/>
  <c r="BL112" i="1"/>
  <c r="AB113" i="1"/>
  <c r="AC113" i="1"/>
  <c r="AI113" i="1"/>
  <c r="AJ113" i="1"/>
  <c r="AP113" i="1"/>
  <c r="AQ113" i="1"/>
  <c r="AW113" i="1"/>
  <c r="AX113" i="1"/>
  <c r="BD113" i="1"/>
  <c r="BE113" i="1"/>
  <c r="BK113" i="1"/>
  <c r="BL113" i="1"/>
  <c r="R112" i="7"/>
  <c r="BR113" i="1" l="1"/>
  <c r="X113" i="8"/>
  <c r="X112" i="8"/>
  <c r="Z112" i="8" s="1"/>
  <c r="BS113" i="1"/>
  <c r="Y98" i="8" l="1"/>
  <c r="Y10" i="8" l="1"/>
  <c r="Y11" i="8"/>
  <c r="Y12" i="8"/>
  <c r="Y13" i="8"/>
  <c r="Y14" i="8"/>
  <c r="Y15" i="8"/>
  <c r="Y16" i="8"/>
  <c r="Y17" i="8"/>
  <c r="Y18" i="8"/>
  <c r="Y19" i="8"/>
  <c r="Y20" i="8"/>
  <c r="Y21" i="8"/>
  <c r="Y22" i="8"/>
  <c r="Y23" i="8"/>
  <c r="Y24" i="8"/>
  <c r="Y25" i="8"/>
  <c r="Y26" i="8"/>
  <c r="Y27" i="8"/>
  <c r="Y28" i="8"/>
  <c r="Y29" i="8"/>
  <c r="Y30" i="8"/>
  <c r="Y31" i="8"/>
  <c r="Y32" i="8"/>
  <c r="Y33" i="8"/>
  <c r="Y34" i="8"/>
  <c r="Y35" i="8"/>
  <c r="Y36" i="8"/>
  <c r="Y37" i="8"/>
  <c r="Y38" i="8"/>
  <c r="Y39" i="8"/>
  <c r="Y40" i="8"/>
  <c r="Y41" i="8"/>
  <c r="Y42" i="8"/>
  <c r="Y43" i="8"/>
  <c r="Y44" i="8"/>
  <c r="Y45" i="8"/>
  <c r="Y46" i="8"/>
  <c r="Y47" i="8"/>
  <c r="Y48" i="8"/>
  <c r="Y49" i="8"/>
  <c r="Y50" i="8"/>
  <c r="Y51" i="8"/>
  <c r="Y52" i="8"/>
  <c r="Y53" i="8"/>
  <c r="Y54" i="8"/>
  <c r="Y55" i="8"/>
  <c r="Y56" i="8"/>
  <c r="Y57" i="8"/>
  <c r="Y58" i="8"/>
  <c r="Y59" i="8"/>
  <c r="Y60" i="8"/>
  <c r="Y61" i="8"/>
  <c r="Y62" i="8"/>
  <c r="Y63" i="8"/>
  <c r="Y64" i="8"/>
  <c r="Y65" i="8"/>
  <c r="Y66" i="8"/>
  <c r="Y67" i="8"/>
  <c r="Y68" i="8"/>
  <c r="Y69" i="8"/>
  <c r="Y70" i="8"/>
  <c r="Y71" i="8"/>
  <c r="Y72" i="8"/>
  <c r="Y73" i="8"/>
  <c r="Y74" i="8"/>
  <c r="Y75" i="8"/>
  <c r="Y76" i="8"/>
  <c r="Y77" i="8"/>
  <c r="Y78" i="8"/>
  <c r="Y79" i="8"/>
  <c r="Y80" i="8"/>
  <c r="Y81" i="8"/>
  <c r="Y82" i="8"/>
  <c r="Y83" i="8"/>
  <c r="Y84" i="8"/>
  <c r="Y85" i="8"/>
  <c r="Y86" i="8"/>
  <c r="Y87" i="8"/>
  <c r="Y88" i="8"/>
  <c r="Y89" i="8"/>
  <c r="Y90" i="8"/>
  <c r="Y91" i="8"/>
  <c r="Y92" i="8"/>
  <c r="Y93" i="8"/>
  <c r="Y94" i="8"/>
  <c r="Y95" i="8"/>
  <c r="Y96" i="8"/>
  <c r="Y97" i="8"/>
  <c r="Y99" i="8" l="1"/>
  <c r="Y111" i="8"/>
  <c r="Y109" i="8"/>
  <c r="Y107" i="8"/>
  <c r="Y105" i="8"/>
  <c r="Y103" i="8"/>
  <c r="Y101" i="8"/>
  <c r="Y110" i="8"/>
  <c r="Y108" i="8"/>
  <c r="Y106" i="8"/>
  <c r="Y104" i="8"/>
  <c r="Y102" i="8"/>
  <c r="Y100" i="8"/>
  <c r="L12" i="8" l="1"/>
  <c r="N12" i="8"/>
  <c r="O12" i="8"/>
  <c r="U12" i="8" s="1"/>
  <c r="T12" i="8"/>
  <c r="X12" i="8"/>
  <c r="Z12" i="8" s="1"/>
  <c r="L13" i="8"/>
  <c r="N13" i="8"/>
  <c r="O13" i="8"/>
  <c r="T13" i="8"/>
  <c r="U13" i="8"/>
  <c r="X13" i="8"/>
  <c r="L14" i="8"/>
  <c r="N14" i="8"/>
  <c r="O14" i="8"/>
  <c r="U14" i="8" s="1"/>
  <c r="T14" i="8"/>
  <c r="L15" i="8"/>
  <c r="N15" i="8"/>
  <c r="O15" i="8"/>
  <c r="T15" i="8"/>
  <c r="U15" i="8"/>
  <c r="X15" i="8"/>
  <c r="L16" i="8"/>
  <c r="N16" i="8"/>
  <c r="O16" i="8"/>
  <c r="U16" i="8" s="1"/>
  <c r="T16" i="8"/>
  <c r="L17" i="8"/>
  <c r="N17" i="8"/>
  <c r="O17" i="8"/>
  <c r="U17" i="8" s="1"/>
  <c r="T17" i="8"/>
  <c r="X17" i="8"/>
  <c r="L18" i="8"/>
  <c r="N18" i="8"/>
  <c r="O18" i="8"/>
  <c r="X18" i="8" s="1"/>
  <c r="Z18" i="8" s="1"/>
  <c r="T18" i="8"/>
  <c r="L19" i="8"/>
  <c r="N19" i="8"/>
  <c r="O19" i="8"/>
  <c r="X19" i="8" s="1"/>
  <c r="T19" i="8"/>
  <c r="U19" i="8"/>
  <c r="L20" i="8"/>
  <c r="N20" i="8"/>
  <c r="O20" i="8"/>
  <c r="U20" i="8" s="1"/>
  <c r="T20" i="8"/>
  <c r="L21" i="8"/>
  <c r="N21" i="8"/>
  <c r="O21" i="8"/>
  <c r="X21" i="8" s="1"/>
  <c r="T21" i="8"/>
  <c r="U21" i="8"/>
  <c r="L22" i="8"/>
  <c r="N22" i="8"/>
  <c r="O22" i="8"/>
  <c r="U22" i="8" s="1"/>
  <c r="T22" i="8"/>
  <c r="L23" i="8"/>
  <c r="N23" i="8"/>
  <c r="O23" i="8"/>
  <c r="X23" i="8" s="1"/>
  <c r="T23" i="8"/>
  <c r="L24" i="8"/>
  <c r="N24" i="8"/>
  <c r="O24" i="8"/>
  <c r="U24" i="8" s="1"/>
  <c r="T24" i="8"/>
  <c r="L25" i="8"/>
  <c r="N25" i="8"/>
  <c r="O25" i="8"/>
  <c r="U25" i="8" s="1"/>
  <c r="T25" i="8"/>
  <c r="X25" i="8"/>
  <c r="L26" i="8"/>
  <c r="N26" i="8"/>
  <c r="O26" i="8"/>
  <c r="X26" i="8" s="1"/>
  <c r="Z26" i="8" s="1"/>
  <c r="T26" i="8"/>
  <c r="L27" i="8"/>
  <c r="N27" i="8"/>
  <c r="O27" i="8"/>
  <c r="X27" i="8" s="1"/>
  <c r="T27" i="8"/>
  <c r="U27" i="8"/>
  <c r="L28" i="8"/>
  <c r="N28" i="8"/>
  <c r="O28" i="8"/>
  <c r="U28" i="8" s="1"/>
  <c r="T28" i="8"/>
  <c r="L29" i="8"/>
  <c r="N29" i="8"/>
  <c r="O29" i="8"/>
  <c r="X29" i="8" s="1"/>
  <c r="T29" i="8"/>
  <c r="L30" i="8"/>
  <c r="N30" i="8"/>
  <c r="O30" i="8"/>
  <c r="U30" i="8" s="1"/>
  <c r="T30" i="8"/>
  <c r="X30" i="8"/>
  <c r="Z30" i="8" s="1"/>
  <c r="L31" i="8"/>
  <c r="N31" i="8"/>
  <c r="O31" i="8"/>
  <c r="U31" i="8" s="1"/>
  <c r="T31" i="8"/>
  <c r="L32" i="8"/>
  <c r="N32" i="8"/>
  <c r="O32" i="8"/>
  <c r="U32" i="8" s="1"/>
  <c r="T32" i="8"/>
  <c r="L33" i="8"/>
  <c r="N33" i="8"/>
  <c r="O33" i="8"/>
  <c r="X33" i="8" s="1"/>
  <c r="T33" i="8"/>
  <c r="U33" i="8"/>
  <c r="L34" i="8"/>
  <c r="N34" i="8"/>
  <c r="O34" i="8"/>
  <c r="X34" i="8" s="1"/>
  <c r="Z34" i="8" s="1"/>
  <c r="T34" i="8"/>
  <c r="L35" i="8"/>
  <c r="N35" i="8"/>
  <c r="O35" i="8"/>
  <c r="U35" i="8" s="1"/>
  <c r="T35" i="8"/>
  <c r="L36" i="8"/>
  <c r="N36" i="8"/>
  <c r="O36" i="8"/>
  <c r="U36" i="8" s="1"/>
  <c r="T36" i="8"/>
  <c r="L37" i="8"/>
  <c r="N37" i="8"/>
  <c r="O37" i="8"/>
  <c r="X37" i="8" s="1"/>
  <c r="T37" i="8"/>
  <c r="L38" i="8"/>
  <c r="N38" i="8"/>
  <c r="O38" i="8"/>
  <c r="U38" i="8" s="1"/>
  <c r="T38" i="8"/>
  <c r="L39" i="8"/>
  <c r="N39" i="8"/>
  <c r="O39" i="8"/>
  <c r="X39" i="8" s="1"/>
  <c r="T39" i="8"/>
  <c r="L40" i="8"/>
  <c r="N40" i="8"/>
  <c r="O40" i="8"/>
  <c r="U40" i="8" s="1"/>
  <c r="T40" i="8"/>
  <c r="L41" i="8"/>
  <c r="N41" i="8"/>
  <c r="O41" i="8"/>
  <c r="X41" i="8" s="1"/>
  <c r="T41" i="8"/>
  <c r="L42" i="8"/>
  <c r="N42" i="8"/>
  <c r="O42" i="8"/>
  <c r="X42" i="8" s="1"/>
  <c r="Z42" i="8" s="1"/>
  <c r="T42" i="8"/>
  <c r="L43" i="8"/>
  <c r="N43" i="8"/>
  <c r="O43" i="8"/>
  <c r="U43" i="8" s="1"/>
  <c r="T43" i="8"/>
  <c r="L44" i="8"/>
  <c r="N44" i="8"/>
  <c r="O44" i="8"/>
  <c r="U44" i="8" s="1"/>
  <c r="T44" i="8"/>
  <c r="L45" i="8"/>
  <c r="N45" i="8"/>
  <c r="O45" i="8"/>
  <c r="X45" i="8" s="1"/>
  <c r="T45" i="8"/>
  <c r="U45" i="8"/>
  <c r="L46" i="8"/>
  <c r="N46" i="8"/>
  <c r="O46" i="8"/>
  <c r="U46" i="8" s="1"/>
  <c r="T46" i="8"/>
  <c r="L47" i="8"/>
  <c r="N47" i="8"/>
  <c r="O47" i="8"/>
  <c r="X47" i="8" s="1"/>
  <c r="T47" i="8"/>
  <c r="L48" i="8"/>
  <c r="N48" i="8"/>
  <c r="O48" i="8"/>
  <c r="U48" i="8" s="1"/>
  <c r="T48" i="8"/>
  <c r="L49" i="8"/>
  <c r="N49" i="8"/>
  <c r="O49" i="8"/>
  <c r="X49" i="8" s="1"/>
  <c r="T49" i="8"/>
  <c r="L50" i="8"/>
  <c r="N50" i="8"/>
  <c r="O50" i="8"/>
  <c r="X50" i="8" s="1"/>
  <c r="Z50" i="8" s="1"/>
  <c r="T50" i="8"/>
  <c r="L51" i="8"/>
  <c r="N51" i="8"/>
  <c r="O51" i="8"/>
  <c r="X51" i="8" s="1"/>
  <c r="T51" i="8"/>
  <c r="L52" i="8"/>
  <c r="N52" i="8"/>
  <c r="O52" i="8"/>
  <c r="U52" i="8" s="1"/>
  <c r="T52" i="8"/>
  <c r="L53" i="8"/>
  <c r="N53" i="8"/>
  <c r="O53" i="8"/>
  <c r="T53" i="8"/>
  <c r="U53" i="8"/>
  <c r="X53" i="8"/>
  <c r="L54" i="8"/>
  <c r="N54" i="8"/>
  <c r="O54" i="8"/>
  <c r="U54" i="8" s="1"/>
  <c r="T54" i="8"/>
  <c r="L55" i="8"/>
  <c r="N55" i="8"/>
  <c r="O55" i="8"/>
  <c r="X55" i="8" s="1"/>
  <c r="T55" i="8"/>
  <c r="L56" i="8"/>
  <c r="N56" i="8"/>
  <c r="O56" i="8"/>
  <c r="U56" i="8" s="1"/>
  <c r="T56" i="8"/>
  <c r="L57" i="8"/>
  <c r="N57" i="8"/>
  <c r="O57" i="8"/>
  <c r="X57" i="8" s="1"/>
  <c r="T57" i="8"/>
  <c r="L58" i="8"/>
  <c r="N58" i="8"/>
  <c r="O58" i="8"/>
  <c r="X58" i="8" s="1"/>
  <c r="Z58" i="8" s="1"/>
  <c r="T58" i="8"/>
  <c r="L59" i="8"/>
  <c r="N59" i="8"/>
  <c r="O59" i="8"/>
  <c r="X59" i="8" s="1"/>
  <c r="T59" i="8"/>
  <c r="U59" i="8"/>
  <c r="L60" i="8"/>
  <c r="N60" i="8"/>
  <c r="O60" i="8"/>
  <c r="U60" i="8" s="1"/>
  <c r="T60" i="8"/>
  <c r="L61" i="8"/>
  <c r="N61" i="8"/>
  <c r="O61" i="8"/>
  <c r="X61" i="8" s="1"/>
  <c r="T61" i="8"/>
  <c r="U61" i="8"/>
  <c r="L62" i="8"/>
  <c r="N62" i="8"/>
  <c r="O62" i="8"/>
  <c r="U62" i="8" s="1"/>
  <c r="T62" i="8"/>
  <c r="L63" i="8"/>
  <c r="N63" i="8"/>
  <c r="O63" i="8"/>
  <c r="U63" i="8" s="1"/>
  <c r="T63" i="8"/>
  <c r="L64" i="8"/>
  <c r="N64" i="8"/>
  <c r="O64" i="8"/>
  <c r="U64" i="8" s="1"/>
  <c r="T64" i="8"/>
  <c r="L65" i="8"/>
  <c r="N65" i="8"/>
  <c r="O65" i="8"/>
  <c r="X65" i="8" s="1"/>
  <c r="T65" i="8"/>
  <c r="L66" i="8"/>
  <c r="N66" i="8"/>
  <c r="O66" i="8"/>
  <c r="U66" i="8" s="1"/>
  <c r="T66" i="8"/>
  <c r="L67" i="8"/>
  <c r="N67" i="8"/>
  <c r="O67" i="8"/>
  <c r="X67" i="8" s="1"/>
  <c r="T67" i="8"/>
  <c r="L68" i="8"/>
  <c r="N68" i="8"/>
  <c r="O68" i="8"/>
  <c r="X68" i="8" s="1"/>
  <c r="Z68" i="8" s="1"/>
  <c r="T68" i="8"/>
  <c r="L69" i="8"/>
  <c r="N69" i="8"/>
  <c r="O69" i="8"/>
  <c r="U69" i="8" s="1"/>
  <c r="T69" i="8"/>
  <c r="L70" i="8"/>
  <c r="N70" i="8"/>
  <c r="O70" i="8"/>
  <c r="U70" i="8" s="1"/>
  <c r="T70" i="8"/>
  <c r="L71" i="8"/>
  <c r="N71" i="8"/>
  <c r="O71" i="8"/>
  <c r="U71" i="8" s="1"/>
  <c r="T71" i="8"/>
  <c r="X71" i="8"/>
  <c r="L72" i="8"/>
  <c r="N72" i="8"/>
  <c r="O72" i="8"/>
  <c r="X72" i="8" s="1"/>
  <c r="Z72" i="8" s="1"/>
  <c r="T72" i="8"/>
  <c r="L73" i="8"/>
  <c r="N73" i="8"/>
  <c r="O73" i="8"/>
  <c r="U73" i="8" s="1"/>
  <c r="T73" i="8"/>
  <c r="L74" i="8"/>
  <c r="N74" i="8"/>
  <c r="O74" i="8"/>
  <c r="U74" i="8" s="1"/>
  <c r="T74" i="8"/>
  <c r="L75" i="8"/>
  <c r="N75" i="8"/>
  <c r="O75" i="8"/>
  <c r="U75" i="8" s="1"/>
  <c r="T75" i="8"/>
  <c r="L76" i="8"/>
  <c r="N76" i="8"/>
  <c r="O76" i="8"/>
  <c r="U76" i="8" s="1"/>
  <c r="T76" i="8"/>
  <c r="L77" i="8"/>
  <c r="N77" i="8"/>
  <c r="O77" i="8"/>
  <c r="X77" i="8" s="1"/>
  <c r="T77" i="8"/>
  <c r="L78" i="8"/>
  <c r="N78" i="8"/>
  <c r="O78" i="8"/>
  <c r="U78" i="8" s="1"/>
  <c r="T78" i="8"/>
  <c r="L79" i="8"/>
  <c r="N79" i="8"/>
  <c r="O79" i="8"/>
  <c r="U79" i="8" s="1"/>
  <c r="T79" i="8"/>
  <c r="L80" i="8"/>
  <c r="N80" i="8"/>
  <c r="O80" i="8"/>
  <c r="X80" i="8" s="1"/>
  <c r="Z80" i="8" s="1"/>
  <c r="T80" i="8"/>
  <c r="U80" i="8"/>
  <c r="L81" i="8"/>
  <c r="N81" i="8"/>
  <c r="O81" i="8"/>
  <c r="U81" i="8" s="1"/>
  <c r="T81" i="8"/>
  <c r="L82" i="8"/>
  <c r="N82" i="8"/>
  <c r="O82" i="8"/>
  <c r="X82" i="8" s="1"/>
  <c r="Z82" i="8" s="1"/>
  <c r="T82" i="8"/>
  <c r="L83" i="8"/>
  <c r="N83" i="8"/>
  <c r="O83" i="8"/>
  <c r="U83" i="8" s="1"/>
  <c r="T83" i="8"/>
  <c r="L84" i="8"/>
  <c r="N84" i="8"/>
  <c r="O84" i="8"/>
  <c r="U84" i="8" s="1"/>
  <c r="T84" i="8"/>
  <c r="L85" i="8"/>
  <c r="N85" i="8"/>
  <c r="O85" i="8"/>
  <c r="U85" i="8" s="1"/>
  <c r="T85" i="8"/>
  <c r="L86" i="8"/>
  <c r="N86" i="8"/>
  <c r="O86" i="8"/>
  <c r="U86" i="8" s="1"/>
  <c r="T86" i="8"/>
  <c r="L87" i="8"/>
  <c r="N87" i="8"/>
  <c r="O87" i="8"/>
  <c r="U87" i="8" s="1"/>
  <c r="T87" i="8"/>
  <c r="L88" i="8"/>
  <c r="N88" i="8"/>
  <c r="O88" i="8"/>
  <c r="X88" i="8" s="1"/>
  <c r="Z88" i="8" s="1"/>
  <c r="T88" i="8"/>
  <c r="L89" i="8"/>
  <c r="N89" i="8"/>
  <c r="O89" i="8"/>
  <c r="U89" i="8" s="1"/>
  <c r="T89" i="8"/>
  <c r="L90" i="8"/>
  <c r="N90" i="8"/>
  <c r="O90" i="8"/>
  <c r="U90" i="8" s="1"/>
  <c r="T90" i="8"/>
  <c r="L91" i="8"/>
  <c r="N91" i="8"/>
  <c r="O91" i="8"/>
  <c r="U91" i="8" s="1"/>
  <c r="T91" i="8"/>
  <c r="X91" i="8"/>
  <c r="L92" i="8"/>
  <c r="N92" i="8"/>
  <c r="O92" i="8"/>
  <c r="U92" i="8" s="1"/>
  <c r="T92" i="8"/>
  <c r="L93" i="8"/>
  <c r="N93" i="8"/>
  <c r="O93" i="8"/>
  <c r="U93" i="8" s="1"/>
  <c r="T93" i="8"/>
  <c r="X93" i="8"/>
  <c r="L94" i="8"/>
  <c r="N94" i="8"/>
  <c r="O94" i="8"/>
  <c r="U94" i="8" s="1"/>
  <c r="T94" i="8"/>
  <c r="L95" i="8"/>
  <c r="N95" i="8"/>
  <c r="O95" i="8"/>
  <c r="X95" i="8" s="1"/>
  <c r="T95" i="8"/>
  <c r="L96" i="8"/>
  <c r="N96" i="8"/>
  <c r="O96" i="8"/>
  <c r="X96" i="8" s="1"/>
  <c r="Z96" i="8" s="1"/>
  <c r="T96" i="8"/>
  <c r="L97" i="8"/>
  <c r="N97" i="8"/>
  <c r="O97" i="8"/>
  <c r="U97" i="8" s="1"/>
  <c r="T97" i="8"/>
  <c r="L98" i="8"/>
  <c r="N98" i="8"/>
  <c r="O98" i="8"/>
  <c r="U98" i="8" s="1"/>
  <c r="T98" i="8"/>
  <c r="L99" i="8"/>
  <c r="N99" i="8"/>
  <c r="O99" i="8"/>
  <c r="U99" i="8" s="1"/>
  <c r="T99" i="8"/>
  <c r="L100" i="8"/>
  <c r="N100" i="8"/>
  <c r="O100" i="8"/>
  <c r="U100" i="8" s="1"/>
  <c r="T100" i="8"/>
  <c r="L101" i="8"/>
  <c r="N101" i="8"/>
  <c r="O101" i="8"/>
  <c r="X101" i="8" s="1"/>
  <c r="T101" i="8"/>
  <c r="L102" i="8"/>
  <c r="N102" i="8"/>
  <c r="O102" i="8"/>
  <c r="U102" i="8" s="1"/>
  <c r="T102" i="8"/>
  <c r="L103" i="8"/>
  <c r="N103" i="8"/>
  <c r="O103" i="8"/>
  <c r="U103" i="8" s="1"/>
  <c r="T103" i="8"/>
  <c r="L104" i="8"/>
  <c r="N104" i="8"/>
  <c r="O104" i="8"/>
  <c r="X104" i="8" s="1"/>
  <c r="Z104" i="8" s="1"/>
  <c r="T104" i="8"/>
  <c r="L105" i="8"/>
  <c r="N105" i="8"/>
  <c r="O105" i="8"/>
  <c r="U105" i="8" s="1"/>
  <c r="T105" i="8"/>
  <c r="L106" i="8"/>
  <c r="N106" i="8"/>
  <c r="O106" i="8"/>
  <c r="U106" i="8" s="1"/>
  <c r="T106" i="8"/>
  <c r="L107" i="8"/>
  <c r="N107" i="8"/>
  <c r="O107" i="8"/>
  <c r="U107" i="8" s="1"/>
  <c r="T107" i="8"/>
  <c r="L108" i="8"/>
  <c r="N108" i="8"/>
  <c r="O108" i="8"/>
  <c r="U108" i="8" s="1"/>
  <c r="T108" i="8"/>
  <c r="L109" i="8"/>
  <c r="N109" i="8"/>
  <c r="O109" i="8"/>
  <c r="U109" i="8" s="1"/>
  <c r="T109" i="8"/>
  <c r="L110" i="8"/>
  <c r="N110" i="8"/>
  <c r="O110" i="8"/>
  <c r="T110" i="8"/>
  <c r="L111" i="8"/>
  <c r="N111" i="8"/>
  <c r="O111" i="8"/>
  <c r="X111" i="8" s="1"/>
  <c r="T111" i="8"/>
  <c r="U111" i="8"/>
  <c r="AA19" i="18"/>
  <c r="AA20" i="18"/>
  <c r="AA21" i="18"/>
  <c r="AA22" i="18"/>
  <c r="AA23" i="18"/>
  <c r="AA24" i="18"/>
  <c r="AA25" i="18"/>
  <c r="AA26" i="18"/>
  <c r="AA27" i="18"/>
  <c r="AA28" i="18"/>
  <c r="AA29" i="18"/>
  <c r="AA30" i="18"/>
  <c r="AA31" i="18"/>
  <c r="AA32" i="18"/>
  <c r="AA33" i="18"/>
  <c r="AA34" i="18"/>
  <c r="AA35" i="18"/>
  <c r="AA36" i="18"/>
  <c r="AA37" i="18"/>
  <c r="AA38" i="18"/>
  <c r="AA39" i="18"/>
  <c r="AA40" i="18"/>
  <c r="AA41" i="18"/>
  <c r="AA42" i="18"/>
  <c r="AA43" i="18"/>
  <c r="AA44" i="18"/>
  <c r="AA45" i="18"/>
  <c r="AA46" i="18"/>
  <c r="AA47" i="18"/>
  <c r="AA48" i="18"/>
  <c r="AA49" i="18"/>
  <c r="AA50" i="18"/>
  <c r="AA51" i="18"/>
  <c r="H12" i="19"/>
  <c r="I12" i="19"/>
  <c r="J12" i="19"/>
  <c r="K12" i="19"/>
  <c r="L12" i="19"/>
  <c r="Q12" i="19"/>
  <c r="H13" i="19"/>
  <c r="I13" i="19"/>
  <c r="J13" i="19"/>
  <c r="K13" i="19"/>
  <c r="L13" i="19"/>
  <c r="Q13" i="19"/>
  <c r="I14" i="19"/>
  <c r="J14" i="19"/>
  <c r="K14" i="19"/>
  <c r="L14" i="19"/>
  <c r="Q14" i="19"/>
  <c r="I15" i="19"/>
  <c r="J15" i="19"/>
  <c r="K15" i="19"/>
  <c r="L15" i="19"/>
  <c r="Q15" i="19"/>
  <c r="I16" i="19"/>
  <c r="J16" i="19"/>
  <c r="K16" i="19"/>
  <c r="L16" i="19"/>
  <c r="Q16" i="19"/>
  <c r="I17" i="19"/>
  <c r="J17" i="19"/>
  <c r="K17" i="19"/>
  <c r="L17" i="19"/>
  <c r="Q17" i="19"/>
  <c r="I18" i="19"/>
  <c r="J18" i="19"/>
  <c r="K18" i="19"/>
  <c r="L18" i="19"/>
  <c r="Q18" i="19"/>
  <c r="I19" i="19"/>
  <c r="J19" i="19"/>
  <c r="K19" i="19"/>
  <c r="L19" i="19"/>
  <c r="Q19" i="19"/>
  <c r="I20" i="19"/>
  <c r="J20" i="19"/>
  <c r="K20" i="19"/>
  <c r="L20" i="19"/>
  <c r="Q20" i="19"/>
  <c r="I21" i="19"/>
  <c r="J21" i="19"/>
  <c r="K21" i="19"/>
  <c r="L21" i="19"/>
  <c r="Q21" i="19"/>
  <c r="I22" i="19"/>
  <c r="J22" i="19"/>
  <c r="K22" i="19"/>
  <c r="L22" i="19"/>
  <c r="Q22" i="19"/>
  <c r="I23" i="19"/>
  <c r="J23" i="19"/>
  <c r="K23" i="19"/>
  <c r="L23" i="19"/>
  <c r="Q23" i="19"/>
  <c r="I24" i="19"/>
  <c r="J24" i="19"/>
  <c r="K24" i="19"/>
  <c r="L24" i="19"/>
  <c r="Q24" i="19"/>
  <c r="I25" i="19"/>
  <c r="J25" i="19"/>
  <c r="K25" i="19"/>
  <c r="L25" i="19"/>
  <c r="Q25" i="19"/>
  <c r="I26" i="19"/>
  <c r="J26" i="19"/>
  <c r="K26" i="19"/>
  <c r="L26" i="19"/>
  <c r="Q26" i="19"/>
  <c r="I27" i="19"/>
  <c r="J27" i="19"/>
  <c r="K27" i="19"/>
  <c r="L27" i="19"/>
  <c r="Q27" i="19"/>
  <c r="I28" i="19"/>
  <c r="J28" i="19"/>
  <c r="K28" i="19"/>
  <c r="L28" i="19"/>
  <c r="Q28" i="19"/>
  <c r="I29" i="19"/>
  <c r="J29" i="19"/>
  <c r="K29" i="19"/>
  <c r="L29" i="19"/>
  <c r="Q29" i="19"/>
  <c r="I30" i="19"/>
  <c r="J30" i="19"/>
  <c r="K30" i="19"/>
  <c r="L30" i="19"/>
  <c r="Q30" i="19"/>
  <c r="I31" i="19"/>
  <c r="J31" i="19"/>
  <c r="K31" i="19"/>
  <c r="L31" i="19"/>
  <c r="Q31" i="19"/>
  <c r="I32" i="19"/>
  <c r="J32" i="19"/>
  <c r="K32" i="19"/>
  <c r="L32" i="19"/>
  <c r="Q32" i="19"/>
  <c r="I33" i="19"/>
  <c r="J33" i="19"/>
  <c r="K33" i="19"/>
  <c r="L33" i="19"/>
  <c r="Q33" i="19"/>
  <c r="I34" i="19"/>
  <c r="J34" i="19"/>
  <c r="K34" i="19"/>
  <c r="L34" i="19"/>
  <c r="Q34" i="19"/>
  <c r="I35" i="19"/>
  <c r="J35" i="19"/>
  <c r="K35" i="19"/>
  <c r="L35" i="19"/>
  <c r="Q35" i="19"/>
  <c r="I36" i="19"/>
  <c r="J36" i="19"/>
  <c r="K36" i="19"/>
  <c r="L36" i="19"/>
  <c r="Q36" i="19"/>
  <c r="I37" i="19"/>
  <c r="J37" i="19"/>
  <c r="K37" i="19"/>
  <c r="L37" i="19"/>
  <c r="Q37" i="19"/>
  <c r="I38" i="19"/>
  <c r="J38" i="19"/>
  <c r="K38" i="19"/>
  <c r="L38" i="19"/>
  <c r="Q38" i="19"/>
  <c r="I39" i="19"/>
  <c r="J39" i="19"/>
  <c r="K39" i="19"/>
  <c r="L39" i="19"/>
  <c r="Q39" i="19"/>
  <c r="I40" i="19"/>
  <c r="J40" i="19"/>
  <c r="K40" i="19"/>
  <c r="L40" i="19"/>
  <c r="Q40" i="19"/>
  <c r="I41" i="19"/>
  <c r="J41" i="19"/>
  <c r="K41" i="19"/>
  <c r="L41" i="19"/>
  <c r="Q41" i="19"/>
  <c r="I42" i="19"/>
  <c r="J42" i="19"/>
  <c r="K42" i="19"/>
  <c r="L42" i="19"/>
  <c r="Q42" i="19"/>
  <c r="I43" i="19"/>
  <c r="J43" i="19"/>
  <c r="K43" i="19"/>
  <c r="L43" i="19"/>
  <c r="Q43" i="19"/>
  <c r="I44" i="19"/>
  <c r="J44" i="19"/>
  <c r="K44" i="19"/>
  <c r="L44" i="19"/>
  <c r="Q44" i="19"/>
  <c r="I45" i="19"/>
  <c r="J45" i="19"/>
  <c r="K45" i="19"/>
  <c r="L45" i="19"/>
  <c r="Q45" i="19"/>
  <c r="I46" i="19"/>
  <c r="J46" i="19"/>
  <c r="K46" i="19"/>
  <c r="L46" i="19"/>
  <c r="Q46" i="19"/>
  <c r="I47" i="19"/>
  <c r="J47" i="19"/>
  <c r="K47" i="19"/>
  <c r="L47" i="19"/>
  <c r="Q47" i="19"/>
  <c r="I48" i="19"/>
  <c r="J48" i="19"/>
  <c r="K48" i="19"/>
  <c r="L48" i="19"/>
  <c r="Q48" i="19"/>
  <c r="I49" i="19"/>
  <c r="J49" i="19"/>
  <c r="K49" i="19"/>
  <c r="L49" i="19"/>
  <c r="Q49" i="19"/>
  <c r="I50" i="19"/>
  <c r="J50" i="19"/>
  <c r="K50" i="19"/>
  <c r="L50" i="19"/>
  <c r="Q50" i="19"/>
  <c r="I51" i="19"/>
  <c r="J51" i="19"/>
  <c r="K51" i="19"/>
  <c r="L51" i="19"/>
  <c r="Q51" i="19"/>
  <c r="I52" i="19"/>
  <c r="J52" i="19"/>
  <c r="K52" i="19"/>
  <c r="L52" i="19"/>
  <c r="Q52" i="19"/>
  <c r="I53" i="19"/>
  <c r="J53" i="19"/>
  <c r="K53" i="19"/>
  <c r="L53" i="19"/>
  <c r="Q53" i="19"/>
  <c r="I54" i="19"/>
  <c r="J54" i="19"/>
  <c r="K54" i="19"/>
  <c r="L54" i="19"/>
  <c r="Q54" i="19"/>
  <c r="I55" i="19"/>
  <c r="J55" i="19"/>
  <c r="K55" i="19"/>
  <c r="L55" i="19"/>
  <c r="Q55" i="19"/>
  <c r="I56" i="19"/>
  <c r="J56" i="19"/>
  <c r="K56" i="19"/>
  <c r="L56" i="19"/>
  <c r="Q56" i="19"/>
  <c r="I57" i="19"/>
  <c r="J57" i="19"/>
  <c r="K57" i="19"/>
  <c r="L57" i="19"/>
  <c r="Q57" i="19"/>
  <c r="I58" i="19"/>
  <c r="J58" i="19"/>
  <c r="K58" i="19"/>
  <c r="L58" i="19"/>
  <c r="Q58" i="19"/>
  <c r="I59" i="19"/>
  <c r="J59" i="19"/>
  <c r="K59" i="19"/>
  <c r="L59" i="19"/>
  <c r="Q59" i="19"/>
  <c r="I60" i="19"/>
  <c r="J60" i="19"/>
  <c r="K60" i="19"/>
  <c r="L60" i="19"/>
  <c r="Q60" i="19"/>
  <c r="I61" i="19"/>
  <c r="J61" i="19"/>
  <c r="K61" i="19"/>
  <c r="L61" i="19"/>
  <c r="Q61" i="19"/>
  <c r="I62" i="19"/>
  <c r="J62" i="19"/>
  <c r="K62" i="19"/>
  <c r="L62" i="19"/>
  <c r="Q62" i="19"/>
  <c r="I63" i="19"/>
  <c r="J63" i="19"/>
  <c r="K63" i="19"/>
  <c r="L63" i="19"/>
  <c r="Q63" i="19"/>
  <c r="I64" i="19"/>
  <c r="J64" i="19"/>
  <c r="K64" i="19"/>
  <c r="L64" i="19"/>
  <c r="Q64" i="19"/>
  <c r="I65" i="19"/>
  <c r="J65" i="19"/>
  <c r="K65" i="19"/>
  <c r="L65" i="19"/>
  <c r="Q65" i="19"/>
  <c r="I66" i="19"/>
  <c r="J66" i="19"/>
  <c r="K66" i="19"/>
  <c r="L66" i="19"/>
  <c r="Q66" i="19"/>
  <c r="I67" i="19"/>
  <c r="J67" i="19"/>
  <c r="K67" i="19"/>
  <c r="L67" i="19"/>
  <c r="Q67" i="19"/>
  <c r="I68" i="19"/>
  <c r="J68" i="19"/>
  <c r="K68" i="19"/>
  <c r="L68" i="19"/>
  <c r="Q68" i="19"/>
  <c r="I69" i="19"/>
  <c r="J69" i="19"/>
  <c r="K69" i="19"/>
  <c r="L69" i="19"/>
  <c r="Q69" i="19"/>
  <c r="I70" i="19"/>
  <c r="J70" i="19"/>
  <c r="K70" i="19"/>
  <c r="L70" i="19"/>
  <c r="Q70" i="19"/>
  <c r="I71" i="19"/>
  <c r="J71" i="19"/>
  <c r="K71" i="19"/>
  <c r="L71" i="19"/>
  <c r="Q71" i="19"/>
  <c r="I72" i="19"/>
  <c r="J72" i="19"/>
  <c r="K72" i="19"/>
  <c r="L72" i="19"/>
  <c r="Q72" i="19"/>
  <c r="I73" i="19"/>
  <c r="J73" i="19"/>
  <c r="K73" i="19"/>
  <c r="L73" i="19"/>
  <c r="Q73" i="19"/>
  <c r="I74" i="19"/>
  <c r="J74" i="19"/>
  <c r="K74" i="19"/>
  <c r="L74" i="19"/>
  <c r="Q74" i="19"/>
  <c r="I75" i="19"/>
  <c r="J75" i="19"/>
  <c r="K75" i="19"/>
  <c r="L75" i="19"/>
  <c r="Q75" i="19"/>
  <c r="I76" i="19"/>
  <c r="J76" i="19"/>
  <c r="K76" i="19"/>
  <c r="L76" i="19"/>
  <c r="Q76" i="19"/>
  <c r="I77" i="19"/>
  <c r="J77" i="19"/>
  <c r="K77" i="19"/>
  <c r="L77" i="19"/>
  <c r="Q77" i="19"/>
  <c r="I78" i="19"/>
  <c r="J78" i="19"/>
  <c r="K78" i="19"/>
  <c r="L78" i="19"/>
  <c r="Q78" i="19"/>
  <c r="I79" i="19"/>
  <c r="J79" i="19"/>
  <c r="K79" i="19"/>
  <c r="L79" i="19"/>
  <c r="Q79" i="19"/>
  <c r="I80" i="19"/>
  <c r="J80" i="19"/>
  <c r="K80" i="19"/>
  <c r="L80" i="19"/>
  <c r="Q80" i="19"/>
  <c r="I81" i="19"/>
  <c r="J81" i="19"/>
  <c r="K81" i="19"/>
  <c r="L81" i="19"/>
  <c r="Q81" i="19"/>
  <c r="I82" i="19"/>
  <c r="J82" i="19"/>
  <c r="K82" i="19"/>
  <c r="L82" i="19"/>
  <c r="Q82" i="19"/>
  <c r="I83" i="19"/>
  <c r="J83" i="19"/>
  <c r="K83" i="19"/>
  <c r="L83" i="19"/>
  <c r="Q83" i="19"/>
  <c r="I84" i="19"/>
  <c r="J84" i="19"/>
  <c r="K84" i="19"/>
  <c r="L84" i="19"/>
  <c r="Q84" i="19"/>
  <c r="I85" i="19"/>
  <c r="J85" i="19"/>
  <c r="K85" i="19"/>
  <c r="L85" i="19"/>
  <c r="Q85" i="19"/>
  <c r="I86" i="19"/>
  <c r="J86" i="19"/>
  <c r="K86" i="19"/>
  <c r="L86" i="19"/>
  <c r="Q86" i="19"/>
  <c r="I87" i="19"/>
  <c r="J87" i="19"/>
  <c r="K87" i="19"/>
  <c r="L87" i="19"/>
  <c r="Q87" i="19"/>
  <c r="I88" i="19"/>
  <c r="J88" i="19"/>
  <c r="K88" i="19"/>
  <c r="L88" i="19"/>
  <c r="Q88" i="19"/>
  <c r="I89" i="19"/>
  <c r="J89" i="19"/>
  <c r="K89" i="19"/>
  <c r="L89" i="19"/>
  <c r="Q89" i="19"/>
  <c r="I90" i="19"/>
  <c r="J90" i="19"/>
  <c r="K90" i="19"/>
  <c r="L90" i="19"/>
  <c r="Q90" i="19"/>
  <c r="I91" i="19"/>
  <c r="J91" i="19"/>
  <c r="K91" i="19"/>
  <c r="L91" i="19"/>
  <c r="Q91" i="19"/>
  <c r="I92" i="19"/>
  <c r="J92" i="19"/>
  <c r="K92" i="19"/>
  <c r="L92" i="19"/>
  <c r="Q92" i="19"/>
  <c r="I93" i="19"/>
  <c r="J93" i="19"/>
  <c r="K93" i="19"/>
  <c r="L93" i="19"/>
  <c r="Q93" i="19"/>
  <c r="I94" i="19"/>
  <c r="J94" i="19"/>
  <c r="K94" i="19"/>
  <c r="L94" i="19"/>
  <c r="Q94" i="19"/>
  <c r="I95" i="19"/>
  <c r="J95" i="19"/>
  <c r="K95" i="19"/>
  <c r="L95" i="19"/>
  <c r="Q95" i="19"/>
  <c r="I96" i="19"/>
  <c r="J96" i="19"/>
  <c r="K96" i="19"/>
  <c r="L96" i="19"/>
  <c r="Q96" i="19"/>
  <c r="I97" i="19"/>
  <c r="J97" i="19"/>
  <c r="K97" i="19"/>
  <c r="L97" i="19"/>
  <c r="Q97" i="19"/>
  <c r="I98" i="19"/>
  <c r="J98" i="19"/>
  <c r="K98" i="19"/>
  <c r="L98" i="19"/>
  <c r="Q98" i="19"/>
  <c r="I99" i="19"/>
  <c r="J99" i="19"/>
  <c r="K99" i="19"/>
  <c r="L99" i="19"/>
  <c r="Q99" i="19"/>
  <c r="I100" i="19"/>
  <c r="J100" i="19"/>
  <c r="K100" i="19"/>
  <c r="L100" i="19"/>
  <c r="Q100" i="19"/>
  <c r="I101" i="19"/>
  <c r="J101" i="19"/>
  <c r="K101" i="19"/>
  <c r="L101" i="19"/>
  <c r="Q101" i="19"/>
  <c r="I102" i="19"/>
  <c r="J102" i="19"/>
  <c r="K102" i="19"/>
  <c r="L102" i="19"/>
  <c r="Q102" i="19"/>
  <c r="I103" i="19"/>
  <c r="J103" i="19"/>
  <c r="K103" i="19"/>
  <c r="L103" i="19"/>
  <c r="Q103" i="19"/>
  <c r="I104" i="19"/>
  <c r="J104" i="19"/>
  <c r="K104" i="19"/>
  <c r="L104" i="19"/>
  <c r="Q104" i="19"/>
  <c r="I105" i="19"/>
  <c r="J105" i="19"/>
  <c r="K105" i="19"/>
  <c r="L105" i="19"/>
  <c r="Q105" i="19"/>
  <c r="I106" i="19"/>
  <c r="J106" i="19"/>
  <c r="K106" i="19"/>
  <c r="L106" i="19"/>
  <c r="Q106" i="19"/>
  <c r="I107" i="19"/>
  <c r="J107" i="19"/>
  <c r="K107" i="19"/>
  <c r="L107" i="19"/>
  <c r="Q107" i="19"/>
  <c r="I108" i="19"/>
  <c r="J108" i="19"/>
  <c r="K108" i="19"/>
  <c r="L108" i="19"/>
  <c r="Q108" i="19"/>
  <c r="I109" i="19"/>
  <c r="J109" i="19"/>
  <c r="K109" i="19"/>
  <c r="L109" i="19"/>
  <c r="Q109" i="19"/>
  <c r="I110" i="19"/>
  <c r="J110" i="19"/>
  <c r="K110" i="19"/>
  <c r="L110" i="19"/>
  <c r="Q110" i="19"/>
  <c r="I111" i="19"/>
  <c r="J111" i="19"/>
  <c r="K111" i="19"/>
  <c r="L111" i="19"/>
  <c r="Q111" i="19"/>
  <c r="R12" i="1"/>
  <c r="S12" i="1"/>
  <c r="U12" i="1"/>
  <c r="V12" i="1"/>
  <c r="AB12" i="1"/>
  <c r="AC12" i="1"/>
  <c r="AI12" i="1"/>
  <c r="AJ12" i="1"/>
  <c r="AP12" i="1"/>
  <c r="AQ12" i="1"/>
  <c r="AW12" i="1"/>
  <c r="AX12" i="1"/>
  <c r="BD12" i="1"/>
  <c r="BE12" i="1"/>
  <c r="BK12" i="1"/>
  <c r="BL12" i="1"/>
  <c r="AB13" i="1"/>
  <c r="AC13" i="1"/>
  <c r="AI13" i="1"/>
  <c r="AJ13" i="1"/>
  <c r="AP13" i="1"/>
  <c r="AQ13" i="1"/>
  <c r="AW13" i="1"/>
  <c r="AX13" i="1"/>
  <c r="BD13" i="1"/>
  <c r="BE13" i="1"/>
  <c r="BK13" i="1"/>
  <c r="BL13" i="1"/>
  <c r="R14" i="1"/>
  <c r="S14" i="1"/>
  <c r="U14" i="1"/>
  <c r="V14" i="1"/>
  <c r="AB14" i="1"/>
  <c r="AC14" i="1"/>
  <c r="AI14" i="1"/>
  <c r="AJ14" i="1"/>
  <c r="AP14" i="1"/>
  <c r="AQ14" i="1"/>
  <c r="AW14" i="1"/>
  <c r="AX14" i="1"/>
  <c r="BD14" i="1"/>
  <c r="BE14" i="1"/>
  <c r="BK14" i="1"/>
  <c r="BL14" i="1"/>
  <c r="AB15" i="1"/>
  <c r="AC15" i="1"/>
  <c r="AI15" i="1"/>
  <c r="AJ15" i="1"/>
  <c r="AP15" i="1"/>
  <c r="AQ15" i="1"/>
  <c r="AW15" i="1"/>
  <c r="AX15" i="1"/>
  <c r="BD15" i="1"/>
  <c r="BE15" i="1"/>
  <c r="BK15" i="1"/>
  <c r="BL15" i="1"/>
  <c r="R16" i="1"/>
  <c r="S16" i="1"/>
  <c r="U16" i="1"/>
  <c r="V16" i="1"/>
  <c r="AB16" i="1"/>
  <c r="AC16" i="1"/>
  <c r="AI16" i="1"/>
  <c r="AJ16" i="1"/>
  <c r="AP16" i="1"/>
  <c r="AQ16" i="1"/>
  <c r="AW16" i="1"/>
  <c r="AX16" i="1"/>
  <c r="BD16" i="1"/>
  <c r="BE16" i="1"/>
  <c r="BK16" i="1"/>
  <c r="BL16" i="1"/>
  <c r="AB17" i="1"/>
  <c r="AC17" i="1"/>
  <c r="BR17" i="1" s="1"/>
  <c r="AI17" i="1"/>
  <c r="AJ17" i="1"/>
  <c r="AP17" i="1"/>
  <c r="AQ17" i="1"/>
  <c r="AW17" i="1"/>
  <c r="AX17" i="1"/>
  <c r="BD17" i="1"/>
  <c r="BE17" i="1"/>
  <c r="BK17" i="1"/>
  <c r="BL17" i="1"/>
  <c r="R18" i="1"/>
  <c r="S18" i="1"/>
  <c r="U18" i="1"/>
  <c r="V18" i="1"/>
  <c r="AB18" i="1"/>
  <c r="AC18" i="1"/>
  <c r="AI18" i="1"/>
  <c r="AJ18" i="1"/>
  <c r="AP18" i="1"/>
  <c r="AQ18" i="1"/>
  <c r="AW18" i="1"/>
  <c r="AX18" i="1"/>
  <c r="BD18" i="1"/>
  <c r="BE18" i="1"/>
  <c r="BK18" i="1"/>
  <c r="BL18" i="1"/>
  <c r="AB19" i="1"/>
  <c r="AC19" i="1"/>
  <c r="AI19" i="1"/>
  <c r="AJ19" i="1"/>
  <c r="AP19" i="1"/>
  <c r="AQ19" i="1"/>
  <c r="AW19" i="1"/>
  <c r="AX19" i="1"/>
  <c r="BD19" i="1"/>
  <c r="BE19" i="1"/>
  <c r="BK19" i="1"/>
  <c r="BL19" i="1"/>
  <c r="R20" i="1"/>
  <c r="S20" i="1"/>
  <c r="U20" i="1"/>
  <c r="V20" i="1"/>
  <c r="AB20" i="1"/>
  <c r="AC20" i="1"/>
  <c r="AI20" i="1"/>
  <c r="AJ20" i="1"/>
  <c r="AP20" i="1"/>
  <c r="AQ20" i="1"/>
  <c r="AW20" i="1"/>
  <c r="AX20" i="1"/>
  <c r="BD20" i="1"/>
  <c r="BE20" i="1"/>
  <c r="BK20" i="1"/>
  <c r="BL20" i="1"/>
  <c r="AB21" i="1"/>
  <c r="AC21" i="1"/>
  <c r="AI21" i="1"/>
  <c r="AJ21" i="1"/>
  <c r="AP21" i="1"/>
  <c r="AQ21" i="1"/>
  <c r="AW21" i="1"/>
  <c r="AX21" i="1"/>
  <c r="BD21" i="1"/>
  <c r="BE21" i="1"/>
  <c r="BK21" i="1"/>
  <c r="BL21" i="1"/>
  <c r="R22" i="1"/>
  <c r="S22" i="1"/>
  <c r="U22" i="1"/>
  <c r="V22" i="1"/>
  <c r="AB22" i="1"/>
  <c r="AC22" i="1"/>
  <c r="AI22" i="1"/>
  <c r="AJ22" i="1"/>
  <c r="AP22" i="1"/>
  <c r="AQ22" i="1"/>
  <c r="AW22" i="1"/>
  <c r="AX22" i="1"/>
  <c r="BD22" i="1"/>
  <c r="BE22" i="1"/>
  <c r="BK22" i="1"/>
  <c r="BL22" i="1"/>
  <c r="AB23" i="1"/>
  <c r="AC23" i="1"/>
  <c r="AI23" i="1"/>
  <c r="AJ23" i="1"/>
  <c r="AP23" i="1"/>
  <c r="AQ23" i="1"/>
  <c r="AW23" i="1"/>
  <c r="AX23" i="1"/>
  <c r="BD23" i="1"/>
  <c r="BE23" i="1"/>
  <c r="BK23" i="1"/>
  <c r="BL23" i="1"/>
  <c r="R24" i="1"/>
  <c r="S24" i="1"/>
  <c r="U24" i="1"/>
  <c r="V24" i="1"/>
  <c r="AB24" i="1"/>
  <c r="AC24" i="1"/>
  <c r="AI24" i="1"/>
  <c r="AJ24" i="1"/>
  <c r="AP24" i="1"/>
  <c r="AQ24" i="1"/>
  <c r="AW24" i="1"/>
  <c r="AX24" i="1"/>
  <c r="BD24" i="1"/>
  <c r="BE24" i="1"/>
  <c r="BK24" i="1"/>
  <c r="BL24" i="1"/>
  <c r="AB25" i="1"/>
  <c r="AC25" i="1"/>
  <c r="AI25" i="1"/>
  <c r="AJ25" i="1"/>
  <c r="AP25" i="1"/>
  <c r="AQ25" i="1"/>
  <c r="AW25" i="1"/>
  <c r="AX25" i="1"/>
  <c r="BD25" i="1"/>
  <c r="BE25" i="1"/>
  <c r="BK25" i="1"/>
  <c r="BL25" i="1"/>
  <c r="R26" i="1"/>
  <c r="S26" i="1"/>
  <c r="U26" i="1"/>
  <c r="V26" i="1"/>
  <c r="AB26" i="1"/>
  <c r="AC26" i="1"/>
  <c r="AI26" i="1"/>
  <c r="AJ26" i="1"/>
  <c r="AP26" i="1"/>
  <c r="AQ26" i="1"/>
  <c r="AW26" i="1"/>
  <c r="AX26" i="1"/>
  <c r="BD26" i="1"/>
  <c r="BE26" i="1"/>
  <c r="BK26" i="1"/>
  <c r="BL26" i="1"/>
  <c r="AB27" i="1"/>
  <c r="AC27" i="1"/>
  <c r="AI27" i="1"/>
  <c r="AJ27" i="1"/>
  <c r="AP27" i="1"/>
  <c r="AQ27" i="1"/>
  <c r="AW27" i="1"/>
  <c r="AX27" i="1"/>
  <c r="BD27" i="1"/>
  <c r="BE27" i="1"/>
  <c r="BK27" i="1"/>
  <c r="BL27" i="1"/>
  <c r="R28" i="1"/>
  <c r="S28" i="1"/>
  <c r="U28" i="1"/>
  <c r="V28" i="1"/>
  <c r="AB28" i="1"/>
  <c r="AC28" i="1"/>
  <c r="AI28" i="1"/>
  <c r="AJ28" i="1"/>
  <c r="AP28" i="1"/>
  <c r="AQ28" i="1"/>
  <c r="AW28" i="1"/>
  <c r="AX28" i="1"/>
  <c r="BD28" i="1"/>
  <c r="BE28" i="1"/>
  <c r="BK28" i="1"/>
  <c r="BL28" i="1"/>
  <c r="AB29" i="1"/>
  <c r="AC29" i="1"/>
  <c r="AI29" i="1"/>
  <c r="AJ29" i="1"/>
  <c r="AP29" i="1"/>
  <c r="AQ29" i="1"/>
  <c r="AW29" i="1"/>
  <c r="AX29" i="1"/>
  <c r="BD29" i="1"/>
  <c r="BE29" i="1"/>
  <c r="BK29" i="1"/>
  <c r="BL29" i="1"/>
  <c r="R30" i="1"/>
  <c r="S30" i="1"/>
  <c r="U30" i="1"/>
  <c r="V30" i="1"/>
  <c r="AB30" i="1"/>
  <c r="AC30" i="1"/>
  <c r="AI30" i="1"/>
  <c r="AJ30" i="1"/>
  <c r="AP30" i="1"/>
  <c r="AQ30" i="1"/>
  <c r="AW30" i="1"/>
  <c r="AX30" i="1"/>
  <c r="BD30" i="1"/>
  <c r="BE30" i="1"/>
  <c r="BK30" i="1"/>
  <c r="BL30" i="1"/>
  <c r="AB31" i="1"/>
  <c r="AC31" i="1"/>
  <c r="AI31" i="1"/>
  <c r="AJ31" i="1"/>
  <c r="AP31" i="1"/>
  <c r="AQ31" i="1"/>
  <c r="AW31" i="1"/>
  <c r="AX31" i="1"/>
  <c r="BD31" i="1"/>
  <c r="BE31" i="1"/>
  <c r="BK31" i="1"/>
  <c r="BL31" i="1"/>
  <c r="R32" i="1"/>
  <c r="S32" i="1"/>
  <c r="U32" i="1"/>
  <c r="V32" i="1"/>
  <c r="AB32" i="1"/>
  <c r="AC32" i="1"/>
  <c r="AI32" i="1"/>
  <c r="AJ32" i="1"/>
  <c r="AP32" i="1"/>
  <c r="AQ32" i="1"/>
  <c r="AW32" i="1"/>
  <c r="AX32" i="1"/>
  <c r="BD32" i="1"/>
  <c r="BE32" i="1"/>
  <c r="BK32" i="1"/>
  <c r="BL32" i="1"/>
  <c r="AB33" i="1"/>
  <c r="AC33" i="1"/>
  <c r="AI33" i="1"/>
  <c r="AJ33" i="1"/>
  <c r="AP33" i="1"/>
  <c r="AQ33" i="1"/>
  <c r="AW33" i="1"/>
  <c r="AX33" i="1"/>
  <c r="BD33" i="1"/>
  <c r="BE33" i="1"/>
  <c r="BK33" i="1"/>
  <c r="BL33" i="1"/>
  <c r="BS33" i="1"/>
  <c r="R34" i="1"/>
  <c r="S34" i="1"/>
  <c r="U34" i="1"/>
  <c r="V34" i="1"/>
  <c r="AB34" i="1"/>
  <c r="AC34" i="1"/>
  <c r="AI34" i="1"/>
  <c r="AJ34" i="1"/>
  <c r="AP34" i="1"/>
  <c r="AQ34" i="1"/>
  <c r="AW34" i="1"/>
  <c r="AX34" i="1"/>
  <c r="BD34" i="1"/>
  <c r="BE34" i="1"/>
  <c r="BK34" i="1"/>
  <c r="BL34" i="1"/>
  <c r="AB35" i="1"/>
  <c r="AC35" i="1"/>
  <c r="AI35" i="1"/>
  <c r="AJ35" i="1"/>
  <c r="AP35" i="1"/>
  <c r="AQ35" i="1"/>
  <c r="AW35" i="1"/>
  <c r="AX35" i="1"/>
  <c r="BD35" i="1"/>
  <c r="BE35" i="1"/>
  <c r="BK35" i="1"/>
  <c r="BL35" i="1"/>
  <c r="R36" i="1"/>
  <c r="S36" i="1"/>
  <c r="U36" i="1"/>
  <c r="V36" i="1"/>
  <c r="AB36" i="1"/>
  <c r="AC36" i="1"/>
  <c r="AI36" i="1"/>
  <c r="AJ36" i="1"/>
  <c r="AP36" i="1"/>
  <c r="AQ36" i="1"/>
  <c r="AW36" i="1"/>
  <c r="AX36" i="1"/>
  <c r="BD36" i="1"/>
  <c r="BE36" i="1"/>
  <c r="BK36" i="1"/>
  <c r="BL36" i="1"/>
  <c r="AB37" i="1"/>
  <c r="AC37" i="1"/>
  <c r="AI37" i="1"/>
  <c r="AJ37" i="1"/>
  <c r="AP37" i="1"/>
  <c r="AQ37" i="1"/>
  <c r="AW37" i="1"/>
  <c r="AX37" i="1"/>
  <c r="BD37" i="1"/>
  <c r="BE37" i="1"/>
  <c r="BK37" i="1"/>
  <c r="BL37" i="1"/>
  <c r="R38" i="1"/>
  <c r="S38" i="1"/>
  <c r="U38" i="1"/>
  <c r="V38" i="1"/>
  <c r="AB38" i="1"/>
  <c r="AC38" i="1"/>
  <c r="AI38" i="1"/>
  <c r="AJ38" i="1"/>
  <c r="AP38" i="1"/>
  <c r="AQ38" i="1"/>
  <c r="AW38" i="1"/>
  <c r="AX38" i="1"/>
  <c r="BD38" i="1"/>
  <c r="BE38" i="1"/>
  <c r="BK38" i="1"/>
  <c r="BL38" i="1"/>
  <c r="AB39" i="1"/>
  <c r="AC39" i="1"/>
  <c r="AI39" i="1"/>
  <c r="AJ39" i="1"/>
  <c r="AP39" i="1"/>
  <c r="AQ39" i="1"/>
  <c r="AW39" i="1"/>
  <c r="AX39" i="1"/>
  <c r="BD39" i="1"/>
  <c r="BE39" i="1"/>
  <c r="BK39" i="1"/>
  <c r="BL39" i="1"/>
  <c r="R40" i="1"/>
  <c r="S40" i="1"/>
  <c r="U40" i="1"/>
  <c r="V40" i="1"/>
  <c r="AB40" i="1"/>
  <c r="AC40" i="1"/>
  <c r="AI40" i="1"/>
  <c r="AJ40" i="1"/>
  <c r="AP40" i="1"/>
  <c r="AQ40" i="1"/>
  <c r="AW40" i="1"/>
  <c r="AX40" i="1"/>
  <c r="BD40" i="1"/>
  <c r="BE40" i="1"/>
  <c r="BK40" i="1"/>
  <c r="BL40" i="1"/>
  <c r="AB41" i="1"/>
  <c r="AC41" i="1"/>
  <c r="AI41" i="1"/>
  <c r="AJ41" i="1"/>
  <c r="AP41" i="1"/>
  <c r="AQ41" i="1"/>
  <c r="AW41" i="1"/>
  <c r="AX41" i="1"/>
  <c r="BD41" i="1"/>
  <c r="BE41" i="1"/>
  <c r="BK41" i="1"/>
  <c r="BL41" i="1"/>
  <c r="R42" i="1"/>
  <c r="S42" i="1"/>
  <c r="U42" i="1"/>
  <c r="V42" i="1"/>
  <c r="AB42" i="1"/>
  <c r="AC42" i="1"/>
  <c r="AI42" i="1"/>
  <c r="AJ42" i="1"/>
  <c r="AP42" i="1"/>
  <c r="AQ42" i="1"/>
  <c r="AW42" i="1"/>
  <c r="AX42" i="1"/>
  <c r="BD42" i="1"/>
  <c r="BE42" i="1"/>
  <c r="BK42" i="1"/>
  <c r="BL42" i="1"/>
  <c r="AB43" i="1"/>
  <c r="AC43" i="1"/>
  <c r="AI43" i="1"/>
  <c r="AJ43" i="1"/>
  <c r="AP43" i="1"/>
  <c r="AQ43" i="1"/>
  <c r="AW43" i="1"/>
  <c r="AX43" i="1"/>
  <c r="BD43" i="1"/>
  <c r="BE43" i="1"/>
  <c r="BK43" i="1"/>
  <c r="BL43" i="1"/>
  <c r="R44" i="1"/>
  <c r="S44" i="1"/>
  <c r="U44" i="1"/>
  <c r="V44" i="1"/>
  <c r="AB44" i="1"/>
  <c r="AC44" i="1"/>
  <c r="AI44" i="1"/>
  <c r="AJ44" i="1"/>
  <c r="AP44" i="1"/>
  <c r="AQ44" i="1"/>
  <c r="AW44" i="1"/>
  <c r="AX44" i="1"/>
  <c r="BD44" i="1"/>
  <c r="BE44" i="1"/>
  <c r="BK44" i="1"/>
  <c r="BL44" i="1"/>
  <c r="AB45" i="1"/>
  <c r="AC45" i="1"/>
  <c r="AI45" i="1"/>
  <c r="AJ45" i="1"/>
  <c r="AP45" i="1"/>
  <c r="AQ45" i="1"/>
  <c r="AW45" i="1"/>
  <c r="AX45" i="1"/>
  <c r="BD45" i="1"/>
  <c r="BE45" i="1"/>
  <c r="BK45" i="1"/>
  <c r="BL45" i="1"/>
  <c r="R46" i="1"/>
  <c r="S46" i="1"/>
  <c r="U46" i="1"/>
  <c r="V46" i="1"/>
  <c r="AB46" i="1"/>
  <c r="AC46" i="1"/>
  <c r="AI46" i="1"/>
  <c r="AJ46" i="1"/>
  <c r="AP46" i="1"/>
  <c r="AQ46" i="1"/>
  <c r="AW46" i="1"/>
  <c r="AX46" i="1"/>
  <c r="BD46" i="1"/>
  <c r="BE46" i="1"/>
  <c r="BK46" i="1"/>
  <c r="BL46" i="1"/>
  <c r="AB47" i="1"/>
  <c r="AC47" i="1"/>
  <c r="AI47" i="1"/>
  <c r="AJ47" i="1"/>
  <c r="AP47" i="1"/>
  <c r="AQ47" i="1"/>
  <c r="AW47" i="1"/>
  <c r="AX47" i="1"/>
  <c r="BD47" i="1"/>
  <c r="BE47" i="1"/>
  <c r="BK47" i="1"/>
  <c r="BL47" i="1"/>
  <c r="R48" i="1"/>
  <c r="S48" i="1"/>
  <c r="U48" i="1"/>
  <c r="V48" i="1"/>
  <c r="AB48" i="1"/>
  <c r="AC48" i="1"/>
  <c r="AI48" i="1"/>
  <c r="AJ48" i="1"/>
  <c r="AP48" i="1"/>
  <c r="AQ48" i="1"/>
  <c r="AW48" i="1"/>
  <c r="AX48" i="1"/>
  <c r="BD48" i="1"/>
  <c r="BE48" i="1"/>
  <c r="BK48" i="1"/>
  <c r="BL48" i="1"/>
  <c r="AB49" i="1"/>
  <c r="AC49" i="1"/>
  <c r="AI49" i="1"/>
  <c r="AJ49" i="1"/>
  <c r="AP49" i="1"/>
  <c r="AQ49" i="1"/>
  <c r="BR49" i="1" s="1"/>
  <c r="AW49" i="1"/>
  <c r="AX49" i="1"/>
  <c r="BD49" i="1"/>
  <c r="BE49" i="1"/>
  <c r="BK49" i="1"/>
  <c r="BL49" i="1"/>
  <c r="R50" i="1"/>
  <c r="S50" i="1"/>
  <c r="U50" i="1"/>
  <c r="V50" i="1"/>
  <c r="AB50" i="1"/>
  <c r="AC50" i="1"/>
  <c r="AI50" i="1"/>
  <c r="AJ50" i="1"/>
  <c r="AP50" i="1"/>
  <c r="AQ50" i="1"/>
  <c r="AW50" i="1"/>
  <c r="AX50" i="1"/>
  <c r="BD50" i="1"/>
  <c r="BE50" i="1"/>
  <c r="BK50" i="1"/>
  <c r="BL50" i="1"/>
  <c r="AB51" i="1"/>
  <c r="AC51" i="1"/>
  <c r="AI51" i="1"/>
  <c r="AJ51" i="1"/>
  <c r="AP51" i="1"/>
  <c r="AQ51" i="1"/>
  <c r="AW51" i="1"/>
  <c r="AX51" i="1"/>
  <c r="BD51" i="1"/>
  <c r="BE51" i="1"/>
  <c r="BK51" i="1"/>
  <c r="BL51" i="1"/>
  <c r="R52" i="1"/>
  <c r="S52" i="1"/>
  <c r="U52" i="1"/>
  <c r="V52" i="1"/>
  <c r="AB52" i="1"/>
  <c r="AC52" i="1"/>
  <c r="AI52" i="1"/>
  <c r="AJ52" i="1"/>
  <c r="AP52" i="1"/>
  <c r="AQ52" i="1"/>
  <c r="AW52" i="1"/>
  <c r="AX52" i="1"/>
  <c r="BD52" i="1"/>
  <c r="BE52" i="1"/>
  <c r="BK52" i="1"/>
  <c r="BL52" i="1"/>
  <c r="AB53" i="1"/>
  <c r="AC53" i="1"/>
  <c r="AI53" i="1"/>
  <c r="AJ53" i="1"/>
  <c r="AP53" i="1"/>
  <c r="AQ53" i="1"/>
  <c r="AW53" i="1"/>
  <c r="AX53" i="1"/>
  <c r="BD53" i="1"/>
  <c r="BE53" i="1"/>
  <c r="BK53" i="1"/>
  <c r="BL53" i="1"/>
  <c r="R54" i="1"/>
  <c r="S54" i="1"/>
  <c r="U54" i="1"/>
  <c r="V54" i="1"/>
  <c r="AB54" i="1"/>
  <c r="AC54" i="1"/>
  <c r="AI54" i="1"/>
  <c r="AJ54" i="1"/>
  <c r="AP54" i="1"/>
  <c r="AQ54" i="1"/>
  <c r="AW54" i="1"/>
  <c r="AX54" i="1"/>
  <c r="BD54" i="1"/>
  <c r="BE54" i="1"/>
  <c r="BK54" i="1"/>
  <c r="BL54" i="1"/>
  <c r="AB55" i="1"/>
  <c r="AC55" i="1"/>
  <c r="AI55" i="1"/>
  <c r="AJ55" i="1"/>
  <c r="AP55" i="1"/>
  <c r="AQ55" i="1"/>
  <c r="AW55" i="1"/>
  <c r="AX55" i="1"/>
  <c r="BD55" i="1"/>
  <c r="BE55" i="1"/>
  <c r="BK55" i="1"/>
  <c r="BL55" i="1"/>
  <c r="R56" i="1"/>
  <c r="S56" i="1"/>
  <c r="U56" i="1"/>
  <c r="V56" i="1"/>
  <c r="AB56" i="1"/>
  <c r="AC56" i="1"/>
  <c r="AI56" i="1"/>
  <c r="AJ56" i="1"/>
  <c r="AP56" i="1"/>
  <c r="AQ56" i="1"/>
  <c r="AW56" i="1"/>
  <c r="AX56" i="1"/>
  <c r="BD56" i="1"/>
  <c r="BE56" i="1"/>
  <c r="BK56" i="1"/>
  <c r="BL56" i="1"/>
  <c r="AB57" i="1"/>
  <c r="AC57" i="1"/>
  <c r="AI57" i="1"/>
  <c r="AJ57" i="1"/>
  <c r="AP57" i="1"/>
  <c r="AQ57" i="1"/>
  <c r="AW57" i="1"/>
  <c r="AX57" i="1"/>
  <c r="BD57" i="1"/>
  <c r="BE57" i="1"/>
  <c r="BK57" i="1"/>
  <c r="BL57" i="1"/>
  <c r="R58" i="1"/>
  <c r="S58" i="1"/>
  <c r="U58" i="1"/>
  <c r="V58" i="1"/>
  <c r="AB58" i="1"/>
  <c r="AC58" i="1"/>
  <c r="AI58" i="1"/>
  <c r="AJ58" i="1"/>
  <c r="AP58" i="1"/>
  <c r="AQ58" i="1"/>
  <c r="AW58" i="1"/>
  <c r="AX58" i="1"/>
  <c r="BD58" i="1"/>
  <c r="BE58" i="1"/>
  <c r="BK58" i="1"/>
  <c r="BL58" i="1"/>
  <c r="AB59" i="1"/>
  <c r="AC59" i="1"/>
  <c r="AI59" i="1"/>
  <c r="AJ59" i="1"/>
  <c r="AP59" i="1"/>
  <c r="AQ59" i="1"/>
  <c r="AW59" i="1"/>
  <c r="AX59" i="1"/>
  <c r="BD59" i="1"/>
  <c r="BE59" i="1"/>
  <c r="BK59" i="1"/>
  <c r="BL59" i="1"/>
  <c r="R60" i="1"/>
  <c r="S60" i="1"/>
  <c r="U60" i="1"/>
  <c r="V60" i="1"/>
  <c r="AB60" i="1"/>
  <c r="AC60" i="1"/>
  <c r="AI60" i="1"/>
  <c r="AJ60" i="1"/>
  <c r="AP60" i="1"/>
  <c r="AQ60" i="1"/>
  <c r="AW60" i="1"/>
  <c r="AX60" i="1"/>
  <c r="BD60" i="1"/>
  <c r="BE60" i="1"/>
  <c r="BK60" i="1"/>
  <c r="BL60" i="1"/>
  <c r="AB61" i="1"/>
  <c r="AC61" i="1"/>
  <c r="AI61" i="1"/>
  <c r="AJ61" i="1"/>
  <c r="AP61" i="1"/>
  <c r="AQ61" i="1"/>
  <c r="AW61" i="1"/>
  <c r="AX61" i="1"/>
  <c r="BD61" i="1"/>
  <c r="BE61" i="1"/>
  <c r="BK61" i="1"/>
  <c r="BL61" i="1"/>
  <c r="R62" i="1"/>
  <c r="S62" i="1"/>
  <c r="U62" i="1"/>
  <c r="V62" i="1"/>
  <c r="AB62" i="1"/>
  <c r="AC62" i="1"/>
  <c r="AI62" i="1"/>
  <c r="AJ62" i="1"/>
  <c r="AP62" i="1"/>
  <c r="AQ62" i="1"/>
  <c r="AW62" i="1"/>
  <c r="AX62" i="1"/>
  <c r="BD62" i="1"/>
  <c r="BE62" i="1"/>
  <c r="BK62" i="1"/>
  <c r="BL62" i="1"/>
  <c r="AB63" i="1"/>
  <c r="AC63" i="1"/>
  <c r="AI63" i="1"/>
  <c r="AJ63" i="1"/>
  <c r="AP63" i="1"/>
  <c r="AQ63" i="1"/>
  <c r="AW63" i="1"/>
  <c r="AX63" i="1"/>
  <c r="BD63" i="1"/>
  <c r="BE63" i="1"/>
  <c r="BK63" i="1"/>
  <c r="BL63" i="1"/>
  <c r="R64" i="1"/>
  <c r="S64" i="1"/>
  <c r="U64" i="1"/>
  <c r="V64" i="1"/>
  <c r="AB64" i="1"/>
  <c r="AC64" i="1"/>
  <c r="AI64" i="1"/>
  <c r="AJ64" i="1"/>
  <c r="AP64" i="1"/>
  <c r="AQ64" i="1"/>
  <c r="AW64" i="1"/>
  <c r="AX64" i="1"/>
  <c r="BD64" i="1"/>
  <c r="BE64" i="1"/>
  <c r="BK64" i="1"/>
  <c r="BL64" i="1"/>
  <c r="AB65" i="1"/>
  <c r="AC65" i="1"/>
  <c r="AI65" i="1"/>
  <c r="AJ65" i="1"/>
  <c r="AP65" i="1"/>
  <c r="AQ65" i="1"/>
  <c r="AW65" i="1"/>
  <c r="AX65" i="1"/>
  <c r="BD65" i="1"/>
  <c r="BE65" i="1"/>
  <c r="BK65" i="1"/>
  <c r="BL65" i="1"/>
  <c r="R66" i="1"/>
  <c r="S66" i="1"/>
  <c r="U66" i="1"/>
  <c r="V66" i="1"/>
  <c r="AB66" i="1"/>
  <c r="AC66" i="1"/>
  <c r="AI66" i="1"/>
  <c r="AJ66" i="1"/>
  <c r="AP66" i="1"/>
  <c r="AQ66" i="1"/>
  <c r="AW66" i="1"/>
  <c r="AX66" i="1"/>
  <c r="BD66" i="1"/>
  <c r="BE66" i="1"/>
  <c r="BK66" i="1"/>
  <c r="BL66" i="1"/>
  <c r="AB67" i="1"/>
  <c r="AC67" i="1"/>
  <c r="AI67" i="1"/>
  <c r="AJ67" i="1"/>
  <c r="AP67" i="1"/>
  <c r="AQ67" i="1"/>
  <c r="AW67" i="1"/>
  <c r="AX67" i="1"/>
  <c r="BD67" i="1"/>
  <c r="BE67" i="1"/>
  <c r="BK67" i="1"/>
  <c r="BL67" i="1"/>
  <c r="R68" i="1"/>
  <c r="S68" i="1"/>
  <c r="U68" i="1"/>
  <c r="V68" i="1"/>
  <c r="AB68" i="1"/>
  <c r="AC68" i="1"/>
  <c r="AI68" i="1"/>
  <c r="AJ68" i="1"/>
  <c r="AP68" i="1"/>
  <c r="AQ68" i="1"/>
  <c r="AW68" i="1"/>
  <c r="AX68" i="1"/>
  <c r="BD68" i="1"/>
  <c r="BE68" i="1"/>
  <c r="BK68" i="1"/>
  <c r="BL68" i="1"/>
  <c r="AB69" i="1"/>
  <c r="AC69" i="1"/>
  <c r="AI69" i="1"/>
  <c r="AJ69" i="1"/>
  <c r="AP69" i="1"/>
  <c r="AQ69" i="1"/>
  <c r="AW69" i="1"/>
  <c r="AX69" i="1"/>
  <c r="BD69" i="1"/>
  <c r="BE69" i="1"/>
  <c r="BK69" i="1"/>
  <c r="BL69" i="1"/>
  <c r="R70" i="1"/>
  <c r="S70" i="1"/>
  <c r="U70" i="1"/>
  <c r="V70" i="1"/>
  <c r="AB70" i="1"/>
  <c r="AC70" i="1"/>
  <c r="AI70" i="1"/>
  <c r="AJ70" i="1"/>
  <c r="AP70" i="1"/>
  <c r="AQ70" i="1"/>
  <c r="AW70" i="1"/>
  <c r="AX70" i="1"/>
  <c r="BD70" i="1"/>
  <c r="BE70" i="1"/>
  <c r="BK70" i="1"/>
  <c r="BL70" i="1"/>
  <c r="AB71" i="1"/>
  <c r="AC71" i="1"/>
  <c r="BR71" i="1" s="1"/>
  <c r="AI71" i="1"/>
  <c r="AJ71" i="1"/>
  <c r="AP71" i="1"/>
  <c r="AQ71" i="1"/>
  <c r="AW71" i="1"/>
  <c r="AX71" i="1"/>
  <c r="BD71" i="1"/>
  <c r="BE71" i="1"/>
  <c r="BK71" i="1"/>
  <c r="BL71" i="1"/>
  <c r="R72" i="1"/>
  <c r="S72" i="1"/>
  <c r="U72" i="1"/>
  <c r="V72" i="1"/>
  <c r="AB72" i="1"/>
  <c r="AC72" i="1"/>
  <c r="AI72" i="1"/>
  <c r="AJ72" i="1"/>
  <c r="AP72" i="1"/>
  <c r="AQ72" i="1"/>
  <c r="AW72" i="1"/>
  <c r="AX72" i="1"/>
  <c r="BD72" i="1"/>
  <c r="BE72" i="1"/>
  <c r="BK72" i="1"/>
  <c r="BL72" i="1"/>
  <c r="AB73" i="1"/>
  <c r="AC73" i="1"/>
  <c r="AI73" i="1"/>
  <c r="AJ73" i="1"/>
  <c r="AP73" i="1"/>
  <c r="AQ73" i="1"/>
  <c r="AW73" i="1"/>
  <c r="AX73" i="1"/>
  <c r="BD73" i="1"/>
  <c r="BE73" i="1"/>
  <c r="BK73" i="1"/>
  <c r="BL73" i="1"/>
  <c r="R74" i="1"/>
  <c r="S74" i="1"/>
  <c r="U74" i="1"/>
  <c r="V74" i="1"/>
  <c r="AB74" i="1"/>
  <c r="AC74" i="1"/>
  <c r="AI74" i="1"/>
  <c r="AJ74" i="1"/>
  <c r="AP74" i="1"/>
  <c r="AQ74" i="1"/>
  <c r="AW74" i="1"/>
  <c r="AX74" i="1"/>
  <c r="BD74" i="1"/>
  <c r="BE74" i="1"/>
  <c r="BK74" i="1"/>
  <c r="BL74" i="1"/>
  <c r="AB75" i="1"/>
  <c r="AC75" i="1"/>
  <c r="AI75" i="1"/>
  <c r="AJ75" i="1"/>
  <c r="AP75" i="1"/>
  <c r="AQ75" i="1"/>
  <c r="AW75" i="1"/>
  <c r="AX75" i="1"/>
  <c r="BD75" i="1"/>
  <c r="BE75" i="1"/>
  <c r="BK75" i="1"/>
  <c r="BL75" i="1"/>
  <c r="R76" i="1"/>
  <c r="S76" i="1"/>
  <c r="U76" i="1"/>
  <c r="V76" i="1"/>
  <c r="AB76" i="1"/>
  <c r="AC76" i="1"/>
  <c r="AI76" i="1"/>
  <c r="AJ76" i="1"/>
  <c r="AP76" i="1"/>
  <c r="AQ76" i="1"/>
  <c r="AW76" i="1"/>
  <c r="AX76" i="1"/>
  <c r="BD76" i="1"/>
  <c r="BE76" i="1"/>
  <c r="BK76" i="1"/>
  <c r="BL76" i="1"/>
  <c r="AB77" i="1"/>
  <c r="AC77" i="1"/>
  <c r="AI77" i="1"/>
  <c r="AJ77" i="1"/>
  <c r="AP77" i="1"/>
  <c r="AQ77" i="1"/>
  <c r="AW77" i="1"/>
  <c r="AX77" i="1"/>
  <c r="BD77" i="1"/>
  <c r="BE77" i="1"/>
  <c r="BK77" i="1"/>
  <c r="BL77" i="1"/>
  <c r="R78" i="1"/>
  <c r="S78" i="1"/>
  <c r="U78" i="1"/>
  <c r="V78" i="1"/>
  <c r="AB78" i="1"/>
  <c r="AC78" i="1"/>
  <c r="AI78" i="1"/>
  <c r="AJ78" i="1"/>
  <c r="AP78" i="1"/>
  <c r="AQ78" i="1"/>
  <c r="AW78" i="1"/>
  <c r="AX78" i="1"/>
  <c r="BD78" i="1"/>
  <c r="BE78" i="1"/>
  <c r="BK78" i="1"/>
  <c r="BL78" i="1"/>
  <c r="AB79" i="1"/>
  <c r="AC79" i="1"/>
  <c r="AI79" i="1"/>
  <c r="AJ79" i="1"/>
  <c r="AP79" i="1"/>
  <c r="AQ79" i="1"/>
  <c r="AW79" i="1"/>
  <c r="AX79" i="1"/>
  <c r="BD79" i="1"/>
  <c r="BE79" i="1"/>
  <c r="BK79" i="1"/>
  <c r="BL79" i="1"/>
  <c r="R80" i="1"/>
  <c r="S80" i="1"/>
  <c r="U80" i="1"/>
  <c r="V80" i="1"/>
  <c r="AB80" i="1"/>
  <c r="AC80" i="1"/>
  <c r="AI80" i="1"/>
  <c r="AJ80" i="1"/>
  <c r="AP80" i="1"/>
  <c r="AQ80" i="1"/>
  <c r="AW80" i="1"/>
  <c r="AX80" i="1"/>
  <c r="BD80" i="1"/>
  <c r="BE80" i="1"/>
  <c r="BK80" i="1"/>
  <c r="BL80" i="1"/>
  <c r="AB81" i="1"/>
  <c r="AC81" i="1"/>
  <c r="AI81" i="1"/>
  <c r="AJ81" i="1"/>
  <c r="AP81" i="1"/>
  <c r="AQ81" i="1"/>
  <c r="AW81" i="1"/>
  <c r="AX81" i="1"/>
  <c r="BD81" i="1"/>
  <c r="BE81" i="1"/>
  <c r="BK81" i="1"/>
  <c r="BL81" i="1"/>
  <c r="R82" i="1"/>
  <c r="S82" i="1"/>
  <c r="U82" i="1"/>
  <c r="V82" i="1"/>
  <c r="AB82" i="1"/>
  <c r="AC82" i="1"/>
  <c r="AI82" i="1"/>
  <c r="AJ82" i="1"/>
  <c r="AP82" i="1"/>
  <c r="AQ82" i="1"/>
  <c r="AW82" i="1"/>
  <c r="AX82" i="1"/>
  <c r="BD82" i="1"/>
  <c r="BE82" i="1"/>
  <c r="BK82" i="1"/>
  <c r="BL82" i="1"/>
  <c r="AB83" i="1"/>
  <c r="AC83" i="1"/>
  <c r="AI83" i="1"/>
  <c r="AJ83" i="1"/>
  <c r="AP83" i="1"/>
  <c r="AQ83" i="1"/>
  <c r="AW83" i="1"/>
  <c r="AX83" i="1"/>
  <c r="BD83" i="1"/>
  <c r="BE83" i="1"/>
  <c r="BK83" i="1"/>
  <c r="BL83" i="1"/>
  <c r="R84" i="1"/>
  <c r="S84" i="1"/>
  <c r="U84" i="1"/>
  <c r="V84" i="1"/>
  <c r="AB84" i="1"/>
  <c r="AC84" i="1"/>
  <c r="AI84" i="1"/>
  <c r="AJ84" i="1"/>
  <c r="AP84" i="1"/>
  <c r="AQ84" i="1"/>
  <c r="AW84" i="1"/>
  <c r="AX84" i="1"/>
  <c r="BD84" i="1"/>
  <c r="BE84" i="1"/>
  <c r="BK84" i="1"/>
  <c r="BL84" i="1"/>
  <c r="AB85" i="1"/>
  <c r="AC85" i="1"/>
  <c r="AI85" i="1"/>
  <c r="AJ85" i="1"/>
  <c r="AP85" i="1"/>
  <c r="AQ85" i="1"/>
  <c r="AW85" i="1"/>
  <c r="AX85" i="1"/>
  <c r="BD85" i="1"/>
  <c r="BE85" i="1"/>
  <c r="BK85" i="1"/>
  <c r="BL85" i="1"/>
  <c r="R86" i="1"/>
  <c r="S86" i="1"/>
  <c r="U86" i="1"/>
  <c r="V86" i="1"/>
  <c r="AB86" i="1"/>
  <c r="AC86" i="1"/>
  <c r="AI86" i="1"/>
  <c r="AJ86" i="1"/>
  <c r="AP86" i="1"/>
  <c r="AQ86" i="1"/>
  <c r="AW86" i="1"/>
  <c r="AX86" i="1"/>
  <c r="BD86" i="1"/>
  <c r="BE86" i="1"/>
  <c r="BK86" i="1"/>
  <c r="BL86" i="1"/>
  <c r="AB87" i="1"/>
  <c r="AC87" i="1"/>
  <c r="BR87" i="1" s="1"/>
  <c r="AI87" i="1"/>
  <c r="AJ87" i="1"/>
  <c r="AP87" i="1"/>
  <c r="AQ87" i="1"/>
  <c r="AW87" i="1"/>
  <c r="AX87" i="1"/>
  <c r="BD87" i="1"/>
  <c r="BE87" i="1"/>
  <c r="BK87" i="1"/>
  <c r="BL87" i="1"/>
  <c r="R88" i="1"/>
  <c r="S88" i="1"/>
  <c r="U88" i="1"/>
  <c r="V88" i="1"/>
  <c r="AB88" i="1"/>
  <c r="AC88" i="1"/>
  <c r="AI88" i="1"/>
  <c r="AJ88" i="1"/>
  <c r="AP88" i="1"/>
  <c r="AQ88" i="1"/>
  <c r="AW88" i="1"/>
  <c r="AX88" i="1"/>
  <c r="BD88" i="1"/>
  <c r="BE88" i="1"/>
  <c r="BK88" i="1"/>
  <c r="BL88" i="1"/>
  <c r="AB89" i="1"/>
  <c r="AC89" i="1"/>
  <c r="AI89" i="1"/>
  <c r="AJ89" i="1"/>
  <c r="AP89" i="1"/>
  <c r="AQ89" i="1"/>
  <c r="AW89" i="1"/>
  <c r="AX89" i="1"/>
  <c r="BD89" i="1"/>
  <c r="BE89" i="1"/>
  <c r="BK89" i="1"/>
  <c r="BL89" i="1"/>
  <c r="R90" i="1"/>
  <c r="S90" i="1"/>
  <c r="U90" i="1"/>
  <c r="V90" i="1"/>
  <c r="AB90" i="1"/>
  <c r="AC90" i="1"/>
  <c r="AI90" i="1"/>
  <c r="AJ90" i="1"/>
  <c r="AP90" i="1"/>
  <c r="AQ90" i="1"/>
  <c r="AW90" i="1"/>
  <c r="AX90" i="1"/>
  <c r="BD90" i="1"/>
  <c r="BE90" i="1"/>
  <c r="BK90" i="1"/>
  <c r="BL90" i="1"/>
  <c r="AB91" i="1"/>
  <c r="AC91" i="1"/>
  <c r="AI91" i="1"/>
  <c r="AJ91" i="1"/>
  <c r="AP91" i="1"/>
  <c r="AQ91" i="1"/>
  <c r="AW91" i="1"/>
  <c r="AX91" i="1"/>
  <c r="BD91" i="1"/>
  <c r="BE91" i="1"/>
  <c r="BK91" i="1"/>
  <c r="BL91" i="1"/>
  <c r="R92" i="1"/>
  <c r="S92" i="1"/>
  <c r="U92" i="1"/>
  <c r="V92" i="1"/>
  <c r="AB92" i="1"/>
  <c r="AC92" i="1"/>
  <c r="AI92" i="1"/>
  <c r="AJ92" i="1"/>
  <c r="AP92" i="1"/>
  <c r="AQ92" i="1"/>
  <c r="AW92" i="1"/>
  <c r="AX92" i="1"/>
  <c r="BD92" i="1"/>
  <c r="BE92" i="1"/>
  <c r="BK92" i="1"/>
  <c r="BL92" i="1"/>
  <c r="AB93" i="1"/>
  <c r="AC93" i="1"/>
  <c r="AI93" i="1"/>
  <c r="AJ93" i="1"/>
  <c r="AP93" i="1"/>
  <c r="AQ93" i="1"/>
  <c r="AW93" i="1"/>
  <c r="AX93" i="1"/>
  <c r="BD93" i="1"/>
  <c r="BE93" i="1"/>
  <c r="BK93" i="1"/>
  <c r="BL93" i="1"/>
  <c r="R94" i="1"/>
  <c r="S94" i="1"/>
  <c r="U94" i="1"/>
  <c r="V94" i="1"/>
  <c r="AB94" i="1"/>
  <c r="AC94" i="1"/>
  <c r="AI94" i="1"/>
  <c r="AJ94" i="1"/>
  <c r="AP94" i="1"/>
  <c r="AQ94" i="1"/>
  <c r="AW94" i="1"/>
  <c r="AX94" i="1"/>
  <c r="BD94" i="1"/>
  <c r="BE94" i="1"/>
  <c r="BK94" i="1"/>
  <c r="BL94" i="1"/>
  <c r="AB95" i="1"/>
  <c r="AC95" i="1"/>
  <c r="AI95" i="1"/>
  <c r="AJ95" i="1"/>
  <c r="AP95" i="1"/>
  <c r="AQ95" i="1"/>
  <c r="AW95" i="1"/>
  <c r="AX95" i="1"/>
  <c r="BD95" i="1"/>
  <c r="BE95" i="1"/>
  <c r="BK95" i="1"/>
  <c r="BL95" i="1"/>
  <c r="R96" i="1"/>
  <c r="S96" i="1"/>
  <c r="U96" i="1"/>
  <c r="V96" i="1"/>
  <c r="AB96" i="1"/>
  <c r="AC96" i="1"/>
  <c r="AI96" i="1"/>
  <c r="AJ96" i="1"/>
  <c r="AP96" i="1"/>
  <c r="AQ96" i="1"/>
  <c r="AW96" i="1"/>
  <c r="AX96" i="1"/>
  <c r="BD96" i="1"/>
  <c r="BE96" i="1"/>
  <c r="BK96" i="1"/>
  <c r="BL96" i="1"/>
  <c r="AB97" i="1"/>
  <c r="AC97" i="1"/>
  <c r="AI97" i="1"/>
  <c r="AJ97" i="1"/>
  <c r="AP97" i="1"/>
  <c r="AQ97" i="1"/>
  <c r="AW97" i="1"/>
  <c r="AX97" i="1"/>
  <c r="BD97" i="1"/>
  <c r="BE97" i="1"/>
  <c r="BK97" i="1"/>
  <c r="BL97" i="1"/>
  <c r="R98" i="1"/>
  <c r="S98" i="1"/>
  <c r="U98" i="1"/>
  <c r="V98" i="1"/>
  <c r="AB98" i="1"/>
  <c r="AC98" i="1"/>
  <c r="AI98" i="1"/>
  <c r="AJ98" i="1"/>
  <c r="AP98" i="1"/>
  <c r="AQ98" i="1"/>
  <c r="AW98" i="1"/>
  <c r="AX98" i="1"/>
  <c r="BD98" i="1"/>
  <c r="BE98" i="1"/>
  <c r="BK98" i="1"/>
  <c r="BL98" i="1"/>
  <c r="AB99" i="1"/>
  <c r="AC99" i="1"/>
  <c r="AI99" i="1"/>
  <c r="AJ99" i="1"/>
  <c r="AP99" i="1"/>
  <c r="AQ99" i="1"/>
  <c r="AW99" i="1"/>
  <c r="AX99" i="1"/>
  <c r="BD99" i="1"/>
  <c r="BE99" i="1"/>
  <c r="BK99" i="1"/>
  <c r="BL99" i="1"/>
  <c r="R100" i="1"/>
  <c r="S100" i="1"/>
  <c r="U100" i="1"/>
  <c r="V100" i="1"/>
  <c r="AB100" i="1"/>
  <c r="AC100" i="1"/>
  <c r="AI100" i="1"/>
  <c r="AJ100" i="1"/>
  <c r="AP100" i="1"/>
  <c r="AQ100" i="1"/>
  <c r="AW100" i="1"/>
  <c r="AX100" i="1"/>
  <c r="BD100" i="1"/>
  <c r="BE100" i="1"/>
  <c r="BK100" i="1"/>
  <c r="BL100" i="1"/>
  <c r="AB101" i="1"/>
  <c r="AC101" i="1"/>
  <c r="AI101" i="1"/>
  <c r="AJ101" i="1"/>
  <c r="AP101" i="1"/>
  <c r="AQ101" i="1"/>
  <c r="AW101" i="1"/>
  <c r="AX101" i="1"/>
  <c r="BD101" i="1"/>
  <c r="BE101" i="1"/>
  <c r="BK101" i="1"/>
  <c r="BL101" i="1"/>
  <c r="R102" i="1"/>
  <c r="S102" i="1"/>
  <c r="U102" i="1"/>
  <c r="V102" i="1"/>
  <c r="AB102" i="1"/>
  <c r="AC102" i="1"/>
  <c r="AI102" i="1"/>
  <c r="AJ102" i="1"/>
  <c r="AP102" i="1"/>
  <c r="AQ102" i="1"/>
  <c r="AW102" i="1"/>
  <c r="AX102" i="1"/>
  <c r="BD102" i="1"/>
  <c r="BE102" i="1"/>
  <c r="BK102" i="1"/>
  <c r="BL102" i="1"/>
  <c r="AB103" i="1"/>
  <c r="AC103" i="1"/>
  <c r="AI103" i="1"/>
  <c r="AJ103" i="1"/>
  <c r="AP103" i="1"/>
  <c r="AQ103" i="1"/>
  <c r="AW103" i="1"/>
  <c r="AX103" i="1"/>
  <c r="BD103" i="1"/>
  <c r="BE103" i="1"/>
  <c r="BK103" i="1"/>
  <c r="BL103" i="1"/>
  <c r="BR103" i="1"/>
  <c r="R104" i="1"/>
  <c r="S104" i="1"/>
  <c r="U104" i="1"/>
  <c r="V104" i="1"/>
  <c r="AB104" i="1"/>
  <c r="AC104" i="1"/>
  <c r="AI104" i="1"/>
  <c r="AJ104" i="1"/>
  <c r="AP104" i="1"/>
  <c r="AQ104" i="1"/>
  <c r="AW104" i="1"/>
  <c r="AX104" i="1"/>
  <c r="BD104" i="1"/>
  <c r="BE104" i="1"/>
  <c r="BK104" i="1"/>
  <c r="BL104" i="1"/>
  <c r="AB105" i="1"/>
  <c r="AC105" i="1"/>
  <c r="AI105" i="1"/>
  <c r="AJ105" i="1"/>
  <c r="AP105" i="1"/>
  <c r="AQ105" i="1"/>
  <c r="AW105" i="1"/>
  <c r="AX105" i="1"/>
  <c r="BD105" i="1"/>
  <c r="BE105" i="1"/>
  <c r="BK105" i="1"/>
  <c r="BL105" i="1"/>
  <c r="R106" i="1"/>
  <c r="S106" i="1"/>
  <c r="U106" i="1"/>
  <c r="V106" i="1"/>
  <c r="AB106" i="1"/>
  <c r="AC106" i="1"/>
  <c r="AI106" i="1"/>
  <c r="AJ106" i="1"/>
  <c r="AP106" i="1"/>
  <c r="AQ106" i="1"/>
  <c r="AW106" i="1"/>
  <c r="AX106" i="1"/>
  <c r="BD106" i="1"/>
  <c r="BE106" i="1"/>
  <c r="BK106" i="1"/>
  <c r="BL106" i="1"/>
  <c r="AB107" i="1"/>
  <c r="AC107" i="1"/>
  <c r="AI107" i="1"/>
  <c r="AJ107" i="1"/>
  <c r="AP107" i="1"/>
  <c r="AQ107" i="1"/>
  <c r="AW107" i="1"/>
  <c r="AX107" i="1"/>
  <c r="BD107" i="1"/>
  <c r="BE107" i="1"/>
  <c r="BK107" i="1"/>
  <c r="BL107" i="1"/>
  <c r="R108" i="1"/>
  <c r="S108" i="1"/>
  <c r="U108" i="1"/>
  <c r="V108" i="1"/>
  <c r="AB108" i="1"/>
  <c r="AC108" i="1"/>
  <c r="AI108" i="1"/>
  <c r="AJ108" i="1"/>
  <c r="AP108" i="1"/>
  <c r="AQ108" i="1"/>
  <c r="AW108" i="1"/>
  <c r="AX108" i="1"/>
  <c r="BD108" i="1"/>
  <c r="BE108" i="1"/>
  <c r="BK108" i="1"/>
  <c r="BL108" i="1"/>
  <c r="AB109" i="1"/>
  <c r="AC109" i="1"/>
  <c r="AI109" i="1"/>
  <c r="AJ109" i="1"/>
  <c r="AP109" i="1"/>
  <c r="AQ109" i="1"/>
  <c r="AW109" i="1"/>
  <c r="AX109" i="1"/>
  <c r="BD109" i="1"/>
  <c r="BE109" i="1"/>
  <c r="BK109" i="1"/>
  <c r="BL109" i="1"/>
  <c r="R110" i="1"/>
  <c r="S110" i="1"/>
  <c r="U110" i="1"/>
  <c r="V110" i="1"/>
  <c r="AB110" i="1"/>
  <c r="AC110" i="1"/>
  <c r="AI110" i="1"/>
  <c r="AJ110" i="1"/>
  <c r="AP110" i="1"/>
  <c r="AQ110" i="1"/>
  <c r="AW110" i="1"/>
  <c r="AX110" i="1"/>
  <c r="BD110" i="1"/>
  <c r="BE110" i="1"/>
  <c r="BK110" i="1"/>
  <c r="BL110" i="1"/>
  <c r="AB111" i="1"/>
  <c r="AC111" i="1"/>
  <c r="AI111" i="1"/>
  <c r="AJ111" i="1"/>
  <c r="AP111" i="1"/>
  <c r="AQ111" i="1"/>
  <c r="AW111" i="1"/>
  <c r="AX111" i="1"/>
  <c r="BD111" i="1"/>
  <c r="BE111" i="1"/>
  <c r="BK111" i="1"/>
  <c r="BL111" i="1"/>
  <c r="Q10" i="7"/>
  <c r="V10" i="7" s="1"/>
  <c r="W10" i="7" s="1"/>
  <c r="X10" i="7"/>
  <c r="Q12" i="7"/>
  <c r="R12" i="7"/>
  <c r="X12" i="7"/>
  <c r="Q14" i="7"/>
  <c r="V14" i="7" s="1"/>
  <c r="W14" i="7" s="1"/>
  <c r="R14" i="7"/>
  <c r="X14" i="7"/>
  <c r="Q16" i="7"/>
  <c r="R16" i="7"/>
  <c r="X16" i="7"/>
  <c r="Q18" i="7"/>
  <c r="V18" i="7" s="1"/>
  <c r="W18" i="7" s="1"/>
  <c r="R18" i="7"/>
  <c r="X18" i="7"/>
  <c r="Q20" i="7"/>
  <c r="R20" i="7"/>
  <c r="X20" i="7"/>
  <c r="Q22" i="7"/>
  <c r="V22" i="7" s="1"/>
  <c r="W22" i="7" s="1"/>
  <c r="R22" i="7"/>
  <c r="X22" i="7"/>
  <c r="Q24" i="7"/>
  <c r="R24" i="7"/>
  <c r="X24" i="7"/>
  <c r="Q26" i="7"/>
  <c r="V26" i="7" s="1"/>
  <c r="W26" i="7" s="1"/>
  <c r="R26" i="7"/>
  <c r="X26" i="7"/>
  <c r="Q28" i="7"/>
  <c r="R28" i="7"/>
  <c r="X28" i="7"/>
  <c r="Q30" i="7"/>
  <c r="V30" i="7" s="1"/>
  <c r="W30" i="7" s="1"/>
  <c r="R30" i="7"/>
  <c r="X30" i="7"/>
  <c r="Q32" i="7"/>
  <c r="R32" i="7"/>
  <c r="X32" i="7"/>
  <c r="Q34" i="7"/>
  <c r="V34" i="7" s="1"/>
  <c r="W34" i="7" s="1"/>
  <c r="R34" i="7"/>
  <c r="X34" i="7"/>
  <c r="Q36" i="7"/>
  <c r="R36" i="7"/>
  <c r="X36" i="7"/>
  <c r="Q38" i="7"/>
  <c r="V38" i="7" s="1"/>
  <c r="W38" i="7" s="1"/>
  <c r="R38" i="7"/>
  <c r="X38" i="7"/>
  <c r="Q40" i="7"/>
  <c r="R40" i="7"/>
  <c r="X40" i="7"/>
  <c r="Q42" i="7"/>
  <c r="V42" i="7" s="1"/>
  <c r="W42" i="7" s="1"/>
  <c r="R42" i="7"/>
  <c r="X42" i="7"/>
  <c r="Q44" i="7"/>
  <c r="R44" i="7"/>
  <c r="X44" i="7"/>
  <c r="Q46" i="7"/>
  <c r="R46" i="7"/>
  <c r="X46" i="7"/>
  <c r="Q48" i="7"/>
  <c r="R48" i="7"/>
  <c r="X48" i="7"/>
  <c r="AG48" i="7"/>
  <c r="Q50" i="7"/>
  <c r="R50" i="7"/>
  <c r="AG50" i="7" s="1"/>
  <c r="X50" i="7"/>
  <c r="Q52" i="7"/>
  <c r="R52" i="7"/>
  <c r="X52" i="7"/>
  <c r="Q54" i="7"/>
  <c r="R54" i="7"/>
  <c r="AG54" i="7" s="1"/>
  <c r="X54" i="7"/>
  <c r="Q56" i="7"/>
  <c r="R56" i="7"/>
  <c r="X56" i="7"/>
  <c r="Q58" i="7"/>
  <c r="R58" i="7"/>
  <c r="X58" i="7"/>
  <c r="Q60" i="7"/>
  <c r="AG60" i="7" s="1"/>
  <c r="R60" i="7"/>
  <c r="X60" i="7"/>
  <c r="Q62" i="7"/>
  <c r="R62" i="7"/>
  <c r="X62" i="7"/>
  <c r="Q64" i="7"/>
  <c r="R64" i="7"/>
  <c r="X64" i="7"/>
  <c r="Q66" i="7"/>
  <c r="R66" i="7"/>
  <c r="X66" i="7"/>
  <c r="Q68" i="7"/>
  <c r="R68" i="7"/>
  <c r="X68" i="7"/>
  <c r="Q70" i="7"/>
  <c r="R70" i="7"/>
  <c r="X70" i="7"/>
  <c r="Q72" i="7"/>
  <c r="R72" i="7"/>
  <c r="X72" i="7"/>
  <c r="Q74" i="7"/>
  <c r="R74" i="7"/>
  <c r="X74" i="7"/>
  <c r="Q76" i="7"/>
  <c r="AG76" i="7" s="1"/>
  <c r="R76" i="7"/>
  <c r="X76" i="7"/>
  <c r="Q78" i="7"/>
  <c r="R78" i="7"/>
  <c r="X78" i="7"/>
  <c r="Q80" i="7"/>
  <c r="R80" i="7"/>
  <c r="X80" i="7"/>
  <c r="Q82" i="7"/>
  <c r="R82" i="7"/>
  <c r="X82" i="7"/>
  <c r="Q84" i="7"/>
  <c r="R84" i="7"/>
  <c r="X84" i="7"/>
  <c r="Q86" i="7"/>
  <c r="R86" i="7"/>
  <c r="X86" i="7"/>
  <c r="Q88" i="7"/>
  <c r="R88" i="7"/>
  <c r="X88" i="7"/>
  <c r="Q90" i="7"/>
  <c r="R90" i="7"/>
  <c r="X90" i="7"/>
  <c r="Q92" i="7"/>
  <c r="AG92" i="7" s="1"/>
  <c r="R92" i="7"/>
  <c r="X92" i="7"/>
  <c r="Q94" i="7"/>
  <c r="R94" i="7"/>
  <c r="X94" i="7"/>
  <c r="Q96" i="7"/>
  <c r="R96" i="7"/>
  <c r="X96" i="7"/>
  <c r="Q98" i="7"/>
  <c r="R98" i="7"/>
  <c r="X98" i="7"/>
  <c r="Q100" i="7"/>
  <c r="R100" i="7"/>
  <c r="X100" i="7"/>
  <c r="Q102" i="7"/>
  <c r="R102" i="7"/>
  <c r="X102" i="7"/>
  <c r="Q104" i="7"/>
  <c r="R104" i="7"/>
  <c r="X104" i="7"/>
  <c r="Q106" i="7"/>
  <c r="R106" i="7"/>
  <c r="X106" i="7"/>
  <c r="Q108" i="7"/>
  <c r="AG108" i="7" s="1"/>
  <c r="R108" i="7"/>
  <c r="X108" i="7"/>
  <c r="Q110" i="7"/>
  <c r="R110" i="7"/>
  <c r="X110" i="7"/>
  <c r="Q112" i="7"/>
  <c r="V112" i="7" s="1"/>
  <c r="W112" i="7" s="1"/>
  <c r="X112" i="7"/>
  <c r="Q114" i="7"/>
  <c r="V114" i="7" s="1"/>
  <c r="W114" i="7" s="1"/>
  <c r="X114" i="7"/>
  <c r="Q116" i="7"/>
  <c r="V116" i="7" s="1"/>
  <c r="W116" i="7" s="1"/>
  <c r="X116" i="7"/>
  <c r="Q118" i="7"/>
  <c r="V118" i="7" s="1"/>
  <c r="W118" i="7" s="1"/>
  <c r="X118" i="7"/>
  <c r="Q120" i="7"/>
  <c r="V120" i="7" s="1"/>
  <c r="W120" i="7" s="1"/>
  <c r="X120" i="7"/>
  <c r="Q122" i="7"/>
  <c r="U122" i="7" s="1"/>
  <c r="AK122" i="7" s="1"/>
  <c r="X122" i="7"/>
  <c r="Q124" i="7"/>
  <c r="U124" i="7" s="1"/>
  <c r="AK124" i="7" s="1"/>
  <c r="X124" i="7"/>
  <c r="Q126" i="7"/>
  <c r="AG126" i="7" s="1"/>
  <c r="X126" i="7"/>
  <c r="Q128" i="7"/>
  <c r="V128" i="7" s="1"/>
  <c r="W128" i="7" s="1"/>
  <c r="U128" i="7"/>
  <c r="AK128" i="7" s="1"/>
  <c r="X128" i="7"/>
  <c r="Q130" i="7"/>
  <c r="U130" i="7" s="1"/>
  <c r="AK130" i="7" s="1"/>
  <c r="X130" i="7"/>
  <c r="Q132" i="7"/>
  <c r="V132" i="7" s="1"/>
  <c r="W132" i="7" s="1"/>
  <c r="U132" i="7"/>
  <c r="AK132" i="7" s="1"/>
  <c r="X132" i="7"/>
  <c r="AG132" i="7"/>
  <c r="AH132" i="7" s="1" a="1"/>
  <c r="AH132" i="7" s="1"/>
  <c r="Q134" i="7"/>
  <c r="V134" i="7" s="1"/>
  <c r="W134" i="7" s="1"/>
  <c r="X134" i="7"/>
  <c r="Q136" i="7"/>
  <c r="V136" i="7" s="1"/>
  <c r="W136" i="7" s="1"/>
  <c r="U136" i="7"/>
  <c r="AK136" i="7" s="1"/>
  <c r="X136" i="7"/>
  <c r="AG136" i="7"/>
  <c r="AI136" i="7" s="1"/>
  <c r="AB136" i="7" s="1"/>
  <c r="Q138" i="7"/>
  <c r="U138" i="7" s="1"/>
  <c r="AK138" i="7" s="1"/>
  <c r="X138" i="7"/>
  <c r="Q140" i="7"/>
  <c r="V140" i="7" s="1"/>
  <c r="W140" i="7" s="1"/>
  <c r="U140" i="7"/>
  <c r="AK140" i="7" s="1"/>
  <c r="X140" i="7"/>
  <c r="Q142" i="7"/>
  <c r="V142" i="7" s="1"/>
  <c r="W142" i="7" s="1"/>
  <c r="X142" i="7"/>
  <c r="Q144" i="7"/>
  <c r="V144" i="7" s="1"/>
  <c r="W144" i="7" s="1"/>
  <c r="X144" i="7"/>
  <c r="AG144" i="7"/>
  <c r="AI144" i="7" s="1"/>
  <c r="AB144" i="7" s="1"/>
  <c r="Q146" i="7"/>
  <c r="U146" i="7" s="1"/>
  <c r="AK146" i="7" s="1"/>
  <c r="X146" i="7"/>
  <c r="Q148" i="7"/>
  <c r="V148" i="7" s="1"/>
  <c r="W148" i="7" s="1"/>
  <c r="X148" i="7"/>
  <c r="Q150" i="7"/>
  <c r="V150" i="7" s="1"/>
  <c r="W150" i="7" s="1"/>
  <c r="X150" i="7"/>
  <c r="Q152" i="7"/>
  <c r="V152" i="7" s="1"/>
  <c r="W152" i="7" s="1"/>
  <c r="X152" i="7"/>
  <c r="Q154" i="7"/>
  <c r="U154" i="7" s="1"/>
  <c r="AK154" i="7" s="1"/>
  <c r="X154" i="7"/>
  <c r="Q156" i="7"/>
  <c r="V156" i="7" s="1"/>
  <c r="W156" i="7" s="1"/>
  <c r="X156" i="7"/>
  <c r="Q158" i="7"/>
  <c r="V158" i="7" s="1"/>
  <c r="W158" i="7" s="1"/>
  <c r="X158" i="7"/>
  <c r="Q160" i="7"/>
  <c r="U160" i="7" s="1"/>
  <c r="AK160" i="7" s="1"/>
  <c r="X160" i="7"/>
  <c r="Q162" i="7"/>
  <c r="U162" i="7" s="1"/>
  <c r="AK162" i="7" s="1"/>
  <c r="X162" i="7"/>
  <c r="Q164" i="7"/>
  <c r="V164" i="7" s="1"/>
  <c r="W164" i="7" s="1"/>
  <c r="X164" i="7"/>
  <c r="Q166" i="7"/>
  <c r="V166" i="7" s="1"/>
  <c r="W166" i="7" s="1"/>
  <c r="X166" i="7"/>
  <c r="Q168" i="7"/>
  <c r="U168" i="7" s="1"/>
  <c r="AK168" i="7" s="1"/>
  <c r="X168" i="7"/>
  <c r="BR79" i="1" l="1"/>
  <c r="BS41" i="1"/>
  <c r="BR95" i="1"/>
  <c r="X103" i="8"/>
  <c r="U82" i="8"/>
  <c r="U65" i="8"/>
  <c r="U55" i="8"/>
  <c r="U49" i="8"/>
  <c r="U37" i="8"/>
  <c r="AG12" i="7"/>
  <c r="AH12" i="7" s="1" a="1"/>
  <c r="AH12" i="7" s="1"/>
  <c r="BR63" i="1"/>
  <c r="BS27" i="1"/>
  <c r="X43" i="8"/>
  <c r="AG44" i="7"/>
  <c r="AG28" i="7"/>
  <c r="AH28" i="7" s="1" a="1"/>
  <c r="AH28" i="7" s="1"/>
  <c r="V146" i="7"/>
  <c r="W146" i="7" s="1"/>
  <c r="U144" i="7"/>
  <c r="AK144" i="7" s="1"/>
  <c r="AG140" i="7"/>
  <c r="AH140" i="7" s="1" a="1"/>
  <c r="AH140" i="7" s="1"/>
  <c r="AG128" i="7"/>
  <c r="AI128" i="7" s="1"/>
  <c r="AB128" i="7" s="1"/>
  <c r="AC128" i="7" s="1"/>
  <c r="AG122" i="7"/>
  <c r="AI122" i="7" s="1"/>
  <c r="AB122" i="7" s="1"/>
  <c r="U56" i="7"/>
  <c r="AK56" i="7" s="1"/>
  <c r="BR111" i="1"/>
  <c r="X109" i="8"/>
  <c r="X87" i="8"/>
  <c r="U67" i="8"/>
  <c r="U57" i="8"/>
  <c r="U29" i="8"/>
  <c r="U23" i="8"/>
  <c r="BR107" i="1"/>
  <c r="V160" i="7"/>
  <c r="W160" i="7" s="1"/>
  <c r="AG118" i="7"/>
  <c r="U102" i="7"/>
  <c r="AK102" i="7" s="1"/>
  <c r="AG96" i="7"/>
  <c r="U86" i="7"/>
  <c r="AK86" i="7" s="1"/>
  <c r="AG80" i="7"/>
  <c r="U70" i="7"/>
  <c r="AK70" i="7" s="1"/>
  <c r="AG64" i="7"/>
  <c r="AG46" i="7"/>
  <c r="U40" i="7"/>
  <c r="AK40" i="7" s="1"/>
  <c r="AG34" i="7"/>
  <c r="AI34" i="7" s="1"/>
  <c r="AB34" i="7" s="1"/>
  <c r="U32" i="7"/>
  <c r="AK32" i="7" s="1"/>
  <c r="AG26" i="7"/>
  <c r="AI26" i="7" s="1"/>
  <c r="AB26" i="7" s="1"/>
  <c r="AG22" i="7"/>
  <c r="AI22" i="7" s="1"/>
  <c r="AB22" i="7" s="1"/>
  <c r="AG14" i="7"/>
  <c r="AI14" i="7" s="1"/>
  <c r="AB14" i="7" s="1"/>
  <c r="BR99" i="1"/>
  <c r="BR67" i="1"/>
  <c r="BS45" i="1"/>
  <c r="X98" i="8"/>
  <c r="Z98" i="8" s="1"/>
  <c r="X74" i="8"/>
  <c r="Z74" i="8" s="1"/>
  <c r="BR91" i="1"/>
  <c r="BR55" i="1"/>
  <c r="BS37" i="1"/>
  <c r="BR21" i="1"/>
  <c r="X107" i="8"/>
  <c r="X84" i="8"/>
  <c r="Z84" i="8" s="1"/>
  <c r="X62" i="8"/>
  <c r="Z62" i="8" s="1"/>
  <c r="U118" i="7"/>
  <c r="AK118" i="7" s="1"/>
  <c r="AG106" i="7"/>
  <c r="AG100" i="7"/>
  <c r="AG90" i="7"/>
  <c r="AG84" i="7"/>
  <c r="AG74" i="7"/>
  <c r="AG68" i="7"/>
  <c r="AG58" i="7"/>
  <c r="U48" i="7"/>
  <c r="AK48" i="7" s="1"/>
  <c r="AG42" i="7"/>
  <c r="AI42" i="7" s="1"/>
  <c r="AB42" i="7" s="1"/>
  <c r="AG38" i="7"/>
  <c r="AI38" i="7" s="1"/>
  <c r="AB38" i="7" s="1"/>
  <c r="AG30" i="7"/>
  <c r="AI30" i="7" s="1"/>
  <c r="AB30" i="7" s="1"/>
  <c r="U24" i="7"/>
  <c r="AK24" i="7" s="1"/>
  <c r="AG18" i="7"/>
  <c r="AI18" i="7" s="1"/>
  <c r="AB18" i="7" s="1"/>
  <c r="U16" i="7"/>
  <c r="AK16" i="7" s="1"/>
  <c r="BR83" i="1"/>
  <c r="BS31" i="1"/>
  <c r="BR13" i="1"/>
  <c r="U104" i="8"/>
  <c r="U39" i="8"/>
  <c r="BR75" i="1"/>
  <c r="AG160" i="7"/>
  <c r="AI160" i="7" s="1"/>
  <c r="AB160" i="7" s="1"/>
  <c r="AC160" i="7" s="1"/>
  <c r="AG156" i="7"/>
  <c r="AH156" i="7" s="1" a="1"/>
  <c r="AH156" i="7" s="1"/>
  <c r="AG124" i="7"/>
  <c r="AH124" i="7" s="1" a="1"/>
  <c r="AH124" i="7" s="1"/>
  <c r="AG110" i="7"/>
  <c r="U104" i="7"/>
  <c r="AK104" i="7" s="1"/>
  <c r="AG98" i="7"/>
  <c r="U96" i="7"/>
  <c r="AK96" i="7" s="1"/>
  <c r="AG94" i="7"/>
  <c r="U88" i="7"/>
  <c r="AK88" i="7" s="1"/>
  <c r="AG82" i="7"/>
  <c r="U80" i="7"/>
  <c r="AK80" i="7" s="1"/>
  <c r="AG78" i="7"/>
  <c r="U72" i="7"/>
  <c r="AK72" i="7" s="1"/>
  <c r="AG66" i="7"/>
  <c r="U64" i="7"/>
  <c r="AK64" i="7" s="1"/>
  <c r="AG62" i="7"/>
  <c r="U54" i="7"/>
  <c r="AK54" i="7" s="1"/>
  <c r="BR109" i="1"/>
  <c r="BR93" i="1"/>
  <c r="BR77" i="1"/>
  <c r="BR61" i="1"/>
  <c r="BR41" i="1"/>
  <c r="BR39" i="1"/>
  <c r="BR23" i="1"/>
  <c r="X100" i="8"/>
  <c r="Z100" i="8" s="1"/>
  <c r="U95" i="8"/>
  <c r="U88" i="8"/>
  <c r="X76" i="8"/>
  <c r="Z76" i="8" s="1"/>
  <c r="U72" i="8"/>
  <c r="X63" i="8"/>
  <c r="U51" i="8"/>
  <c r="U47" i="8"/>
  <c r="U42" i="8"/>
  <c r="X35" i="8"/>
  <c r="X31" i="8"/>
  <c r="X28" i="8"/>
  <c r="Z28" i="8" s="1"/>
  <c r="BR105" i="1"/>
  <c r="BR89" i="1"/>
  <c r="BR73" i="1"/>
  <c r="BR53" i="1"/>
  <c r="BS43" i="1"/>
  <c r="BR37" i="1"/>
  <c r="BR35" i="1"/>
  <c r="BS29" i="1"/>
  <c r="BR19" i="1"/>
  <c r="X60" i="8"/>
  <c r="Z60" i="8" s="1"/>
  <c r="X54" i="8"/>
  <c r="Z54" i="8" s="1"/>
  <c r="U41" i="8"/>
  <c r="V162" i="7"/>
  <c r="W162" i="7" s="1"/>
  <c r="U156" i="7"/>
  <c r="AK156" i="7" s="1"/>
  <c r="V124" i="7"/>
  <c r="W124" i="7" s="1"/>
  <c r="AG102" i="7"/>
  <c r="AG86" i="7"/>
  <c r="AH86" i="7" s="1" a="1"/>
  <c r="AH86" i="7" s="1"/>
  <c r="AG70" i="7"/>
  <c r="AG56" i="7"/>
  <c r="AG52" i="7"/>
  <c r="AG36" i="7"/>
  <c r="AH36" i="7" s="1" a="1"/>
  <c r="AH36" i="7" s="1"/>
  <c r="U34" i="7"/>
  <c r="AK34" i="7" s="1"/>
  <c r="AG20" i="7"/>
  <c r="AH20" i="7" s="1" a="1"/>
  <c r="AH20" i="7" s="1"/>
  <c r="U18" i="7"/>
  <c r="AK18" i="7" s="1"/>
  <c r="BR101" i="1"/>
  <c r="BR85" i="1"/>
  <c r="BR69" i="1"/>
  <c r="BR47" i="1"/>
  <c r="BS39" i="1"/>
  <c r="BR33" i="1"/>
  <c r="BS25" i="1"/>
  <c r="BS23" i="1"/>
  <c r="BR15" i="1"/>
  <c r="M12" i="19"/>
  <c r="R12" i="19" s="1"/>
  <c r="BR97" i="1"/>
  <c r="BR81" i="1"/>
  <c r="BR65" i="1"/>
  <c r="BR45" i="1"/>
  <c r="BR43" i="1"/>
  <c r="BS35" i="1"/>
  <c r="U101" i="8"/>
  <c r="X83" i="8"/>
  <c r="U77" i="8"/>
  <c r="AG114" i="7"/>
  <c r="AG88" i="7"/>
  <c r="AI88" i="7" s="1"/>
  <c r="AB88" i="7" s="1"/>
  <c r="BS109" i="1"/>
  <c r="BS101" i="1"/>
  <c r="BS93" i="1"/>
  <c r="BS85" i="1"/>
  <c r="BS77" i="1"/>
  <c r="BS69" i="1"/>
  <c r="BS61" i="1"/>
  <c r="BS59" i="1"/>
  <c r="BS57" i="1"/>
  <c r="BR51" i="1"/>
  <c r="BS47" i="1"/>
  <c r="BR25" i="1"/>
  <c r="BS15" i="1"/>
  <c r="N13" i="19"/>
  <c r="X14" i="8"/>
  <c r="Z14" i="8" s="1"/>
  <c r="AG104" i="7"/>
  <c r="AH104" i="7" s="1" a="1"/>
  <c r="AH104" i="7" s="1"/>
  <c r="AG72" i="7"/>
  <c r="U164" i="7"/>
  <c r="AK164" i="7" s="1"/>
  <c r="AG152" i="7"/>
  <c r="AI152" i="7" s="1"/>
  <c r="AB152" i="7" s="1"/>
  <c r="U148" i="7"/>
  <c r="AK148" i="7" s="1"/>
  <c r="V126" i="7"/>
  <c r="W126" i="7" s="1"/>
  <c r="U110" i="7"/>
  <c r="AK110" i="7" s="1"/>
  <c r="U100" i="7"/>
  <c r="AK100" i="7" s="1"/>
  <c r="U98" i="7"/>
  <c r="AK98" i="7" s="1"/>
  <c r="U94" i="7"/>
  <c r="AK94" i="7" s="1"/>
  <c r="U84" i="7"/>
  <c r="AK84" i="7" s="1"/>
  <c r="U82" i="7"/>
  <c r="AK82" i="7" s="1"/>
  <c r="U78" i="7"/>
  <c r="AK78" i="7" s="1"/>
  <c r="U68" i="7"/>
  <c r="AK68" i="7" s="1"/>
  <c r="U66" i="7"/>
  <c r="AK66" i="7" s="1"/>
  <c r="U62" i="7"/>
  <c r="AK62" i="7" s="1"/>
  <c r="U52" i="7"/>
  <c r="AK52" i="7" s="1"/>
  <c r="U50" i="7"/>
  <c r="AK50" i="7" s="1"/>
  <c r="U46" i="7"/>
  <c r="AK46" i="7" s="1"/>
  <c r="AG40" i="7"/>
  <c r="AH40" i="7" s="1" a="1"/>
  <c r="AH40" i="7" s="1"/>
  <c r="U36" i="7"/>
  <c r="AK36" i="7" s="1"/>
  <c r="U30" i="7"/>
  <c r="AK30" i="7" s="1"/>
  <c r="AG24" i="7"/>
  <c r="AH24" i="7" s="1" a="1"/>
  <c r="AH24" i="7" s="1"/>
  <c r="U20" i="7"/>
  <c r="AK20" i="7" s="1"/>
  <c r="U14" i="7"/>
  <c r="AK14" i="7" s="1"/>
  <c r="H14" i="19" s="1"/>
  <c r="BS107" i="1"/>
  <c r="BS99" i="1"/>
  <c r="BS91" i="1"/>
  <c r="BS83" i="1"/>
  <c r="BS75" i="1"/>
  <c r="BS67" i="1"/>
  <c r="BS55" i="1"/>
  <c r="BR31" i="1"/>
  <c r="BS21" i="1"/>
  <c r="BS13" i="1"/>
  <c r="X106" i="8"/>
  <c r="Z106" i="8" s="1"/>
  <c r="X99" i="8"/>
  <c r="U96" i="8"/>
  <c r="X90" i="8"/>
  <c r="Z90" i="8" s="1"/>
  <c r="X85" i="8"/>
  <c r="X79" i="8"/>
  <c r="X75" i="8"/>
  <c r="X69" i="8"/>
  <c r="X66" i="8"/>
  <c r="Z66" i="8" s="1"/>
  <c r="X64" i="8"/>
  <c r="Z64" i="8" s="1"/>
  <c r="U50" i="8"/>
  <c r="X44" i="8"/>
  <c r="Z44" i="8" s="1"/>
  <c r="X38" i="8"/>
  <c r="Z38" i="8" s="1"/>
  <c r="X36" i="8"/>
  <c r="Z36" i="8" s="1"/>
  <c r="X20" i="8"/>
  <c r="Z20" i="8" s="1"/>
  <c r="V168" i="7"/>
  <c r="W168" i="7" s="1"/>
  <c r="U42" i="7"/>
  <c r="AK42" i="7" s="1"/>
  <c r="U26" i="7"/>
  <c r="AK26" i="7" s="1"/>
  <c r="BS105" i="1"/>
  <c r="BS89" i="1"/>
  <c r="BS81" i="1"/>
  <c r="BS73" i="1"/>
  <c r="BS65" i="1"/>
  <c r="BR59" i="1"/>
  <c r="BR57" i="1"/>
  <c r="BS53" i="1"/>
  <c r="BS51" i="1"/>
  <c r="BR29" i="1"/>
  <c r="BS19" i="1"/>
  <c r="O12" i="19"/>
  <c r="X108" i="8"/>
  <c r="Z108" i="8" s="1"/>
  <c r="X92" i="8"/>
  <c r="Z92" i="8" s="1"/>
  <c r="X52" i="8"/>
  <c r="Z52" i="8" s="1"/>
  <c r="X46" i="8"/>
  <c r="Z46" i="8" s="1"/>
  <c r="X22" i="8"/>
  <c r="Z22" i="8" s="1"/>
  <c r="AG168" i="7"/>
  <c r="AI168" i="7" s="1"/>
  <c r="AB168" i="7" s="1"/>
  <c r="AG164" i="7"/>
  <c r="AH164" i="7" s="1" a="1"/>
  <c r="AH164" i="7" s="1"/>
  <c r="V154" i="7"/>
  <c r="W154" i="7" s="1"/>
  <c r="U152" i="7"/>
  <c r="AK152" i="7" s="1"/>
  <c r="AG148" i="7"/>
  <c r="AH148" i="7" s="1" a="1"/>
  <c r="AH148" i="7" s="1"/>
  <c r="U114" i="7"/>
  <c r="AK114" i="7" s="1"/>
  <c r="U108" i="7"/>
  <c r="AK108" i="7" s="1"/>
  <c r="U106" i="7"/>
  <c r="AK106" i="7" s="1"/>
  <c r="U92" i="7"/>
  <c r="AK92" i="7" s="1"/>
  <c r="U90" i="7"/>
  <c r="AK90" i="7" s="1"/>
  <c r="U76" i="7"/>
  <c r="AK76" i="7" s="1"/>
  <c r="U74" i="7"/>
  <c r="AK74" i="7" s="1"/>
  <c r="U60" i="7"/>
  <c r="AK60" i="7" s="1"/>
  <c r="U58" i="7"/>
  <c r="AK58" i="7" s="1"/>
  <c r="U38" i="7"/>
  <c r="AK38" i="7" s="1"/>
  <c r="AG32" i="7"/>
  <c r="AH32" i="7" s="1" a="1"/>
  <c r="AH32" i="7" s="1"/>
  <c r="U28" i="7"/>
  <c r="AK28" i="7" s="1"/>
  <c r="U22" i="7"/>
  <c r="AK22" i="7" s="1"/>
  <c r="AG16" i="7"/>
  <c r="AH16" i="7" s="1" a="1"/>
  <c r="AH16" i="7" s="1"/>
  <c r="U12" i="7"/>
  <c r="AK12" i="7" s="1"/>
  <c r="BS111" i="1"/>
  <c r="BS103" i="1"/>
  <c r="BS95" i="1"/>
  <c r="BS87" i="1"/>
  <c r="BS79" i="1"/>
  <c r="BS71" i="1"/>
  <c r="BS63" i="1"/>
  <c r="BS49" i="1"/>
  <c r="BR27" i="1"/>
  <c r="BS17" i="1"/>
  <c r="N12" i="19"/>
  <c r="AC144" i="7"/>
  <c r="AC136" i="7"/>
  <c r="AI126" i="7"/>
  <c r="AB126" i="7" s="1"/>
  <c r="AC126" i="7" s="1"/>
  <c r="AH126" i="7" a="1"/>
  <c r="AH126" i="7" s="1"/>
  <c r="AH168" i="7" a="1"/>
  <c r="AH168" i="7" s="1"/>
  <c r="U166" i="7"/>
  <c r="AK166" i="7" s="1"/>
  <c r="AI164" i="7"/>
  <c r="AB164" i="7" s="1"/>
  <c r="AC164" i="7" s="1"/>
  <c r="AG162" i="7"/>
  <c r="AH160" i="7" a="1"/>
  <c r="AH160" i="7" s="1"/>
  <c r="U158" i="7"/>
  <c r="AK158" i="7" s="1"/>
  <c r="AI156" i="7"/>
  <c r="AB156" i="7" s="1"/>
  <c r="AC156" i="7" s="1"/>
  <c r="AG154" i="7"/>
  <c r="AH152" i="7" a="1"/>
  <c r="AH152" i="7" s="1"/>
  <c r="U150" i="7"/>
  <c r="AK150" i="7" s="1"/>
  <c r="AI148" i="7"/>
  <c r="AB148" i="7" s="1"/>
  <c r="AC148" i="7" s="1"/>
  <c r="AG146" i="7"/>
  <c r="AH144" i="7" a="1"/>
  <c r="AH144" i="7" s="1"/>
  <c r="U142" i="7"/>
  <c r="AK142" i="7" s="1"/>
  <c r="AI140" i="7"/>
  <c r="AB140" i="7" s="1"/>
  <c r="AC140" i="7" s="1"/>
  <c r="AG138" i="7"/>
  <c r="AH136" i="7" a="1"/>
  <c r="AH136" i="7" s="1"/>
  <c r="U134" i="7"/>
  <c r="AK134" i="7" s="1"/>
  <c r="AI132" i="7"/>
  <c r="AB132" i="7" s="1"/>
  <c r="AC132" i="7" s="1"/>
  <c r="AG130" i="7"/>
  <c r="AH128" i="7" a="1"/>
  <c r="AH128" i="7" s="1"/>
  <c r="U126" i="7"/>
  <c r="AK126" i="7" s="1"/>
  <c r="AI124" i="7"/>
  <c r="AB124" i="7" s="1"/>
  <c r="AC124" i="7" s="1"/>
  <c r="AH122" i="7" a="1"/>
  <c r="AH122" i="7" s="1"/>
  <c r="AI110" i="7"/>
  <c r="AB110" i="7" s="1"/>
  <c r="AH110" i="7" a="1"/>
  <c r="AH110" i="7" s="1"/>
  <c r="V110" i="7"/>
  <c r="W110" i="7" s="1"/>
  <c r="AI102" i="7"/>
  <c r="AB102" i="7" s="1"/>
  <c r="AH102" i="7" a="1"/>
  <c r="AH102" i="7" s="1"/>
  <c r="V102" i="7"/>
  <c r="W102" i="7" s="1"/>
  <c r="AI94" i="7"/>
  <c r="AB94" i="7" s="1"/>
  <c r="AH94" i="7" a="1"/>
  <c r="AH94" i="7" s="1"/>
  <c r="V94" i="7"/>
  <c r="W94" i="7" s="1"/>
  <c r="V86" i="7"/>
  <c r="W86" i="7" s="1"/>
  <c r="AI78" i="7"/>
  <c r="AB78" i="7" s="1"/>
  <c r="AH78" i="7" a="1"/>
  <c r="AH78" i="7" s="1"/>
  <c r="V78" i="7"/>
  <c r="W78" i="7" s="1"/>
  <c r="AI70" i="7"/>
  <c r="AB70" i="7" s="1"/>
  <c r="AH70" i="7" a="1"/>
  <c r="AH70" i="7" s="1"/>
  <c r="V70" i="7"/>
  <c r="W70" i="7" s="1"/>
  <c r="AI62" i="7"/>
  <c r="AB62" i="7" s="1"/>
  <c r="AH62" i="7" a="1"/>
  <c r="AH62" i="7" s="1"/>
  <c r="V62" i="7"/>
  <c r="W62" i="7" s="1"/>
  <c r="AI54" i="7"/>
  <c r="AB54" i="7" s="1"/>
  <c r="AH54" i="7" a="1"/>
  <c r="AH54" i="7" s="1"/>
  <c r="V54" i="7"/>
  <c r="W54" i="7" s="1"/>
  <c r="AI46" i="7"/>
  <c r="AB46" i="7" s="1"/>
  <c r="AH46" i="7" a="1"/>
  <c r="AH46" i="7" s="1"/>
  <c r="V46" i="7"/>
  <c r="W46" i="7" s="1"/>
  <c r="V138" i="7"/>
  <c r="W138" i="7" s="1"/>
  <c r="V130" i="7"/>
  <c r="W130" i="7" s="1"/>
  <c r="V122" i="7"/>
  <c r="W122" i="7" s="1"/>
  <c r="AC122" i="7" s="1"/>
  <c r="AH114" i="7" a="1"/>
  <c r="AH114" i="7" s="1"/>
  <c r="AI114" i="7"/>
  <c r="AB114" i="7" s="1"/>
  <c r="U112" i="7"/>
  <c r="AK112" i="7" s="1"/>
  <c r="AG112" i="7"/>
  <c r="V104" i="7"/>
  <c r="W104" i="7" s="1"/>
  <c r="AH96" i="7" a="1"/>
  <c r="AH96" i="7" s="1"/>
  <c r="AI96" i="7"/>
  <c r="AB96" i="7" s="1"/>
  <c r="V96" i="7"/>
  <c r="W96" i="7" s="1"/>
  <c r="AH88" i="7" a="1"/>
  <c r="AH88" i="7" s="1"/>
  <c r="V88" i="7"/>
  <c r="W88" i="7" s="1"/>
  <c r="AH80" i="7" a="1"/>
  <c r="AH80" i="7" s="1"/>
  <c r="AI80" i="7"/>
  <c r="AB80" i="7" s="1"/>
  <c r="V80" i="7"/>
  <c r="W80" i="7" s="1"/>
  <c r="AH72" i="7" a="1"/>
  <c r="AH72" i="7" s="1"/>
  <c r="AI72" i="7"/>
  <c r="AB72" i="7" s="1"/>
  <c r="V72" i="7"/>
  <c r="W72" i="7" s="1"/>
  <c r="AH64" i="7" a="1"/>
  <c r="AH64" i="7" s="1"/>
  <c r="AI64" i="7"/>
  <c r="AB64" i="7" s="1"/>
  <c r="V64" i="7"/>
  <c r="W64" i="7" s="1"/>
  <c r="AH56" i="7" a="1"/>
  <c r="AH56" i="7" s="1"/>
  <c r="AI56" i="7"/>
  <c r="AB56" i="7" s="1"/>
  <c r="V56" i="7"/>
  <c r="W56" i="7" s="1"/>
  <c r="AH48" i="7" a="1"/>
  <c r="AH48" i="7" s="1"/>
  <c r="AI48" i="7"/>
  <c r="AB48" i="7" s="1"/>
  <c r="V48" i="7"/>
  <c r="W48" i="7" s="1"/>
  <c r="U44" i="7"/>
  <c r="AK44" i="7" s="1"/>
  <c r="V44" i="7"/>
  <c r="W44" i="7" s="1"/>
  <c r="H112" i="19"/>
  <c r="H18" i="19"/>
  <c r="H26" i="19"/>
  <c r="H34" i="19"/>
  <c r="H42" i="19"/>
  <c r="H50" i="19"/>
  <c r="H21" i="19"/>
  <c r="H29" i="19"/>
  <c r="H37" i="19"/>
  <c r="H45" i="19"/>
  <c r="H53" i="19"/>
  <c r="H60" i="19"/>
  <c r="H127" i="19"/>
  <c r="H135" i="19"/>
  <c r="H143" i="19"/>
  <c r="H61" i="19"/>
  <c r="H65" i="19"/>
  <c r="N65" i="19" s="1"/>
  <c r="H69" i="19"/>
  <c r="H73" i="19"/>
  <c r="N73" i="19" s="1"/>
  <c r="H77" i="19"/>
  <c r="H81" i="19"/>
  <c r="N81" i="19" s="1"/>
  <c r="H85" i="19"/>
  <c r="H89" i="19"/>
  <c r="H93" i="19"/>
  <c r="H97" i="19"/>
  <c r="H101" i="19"/>
  <c r="H105" i="19"/>
  <c r="H109" i="19"/>
  <c r="H116" i="19"/>
  <c r="H124" i="19"/>
  <c r="H132" i="19"/>
  <c r="H56" i="19"/>
  <c r="H121" i="19"/>
  <c r="H129" i="19"/>
  <c r="H137" i="19"/>
  <c r="H145" i="19"/>
  <c r="H153" i="19"/>
  <c r="H161" i="19"/>
  <c r="H169" i="19"/>
  <c r="H57" i="19"/>
  <c r="H62" i="19"/>
  <c r="H66" i="19"/>
  <c r="H70" i="19"/>
  <c r="H74" i="19"/>
  <c r="H78" i="19"/>
  <c r="H82" i="19"/>
  <c r="H86" i="19"/>
  <c r="H90" i="19"/>
  <c r="H94" i="19"/>
  <c r="H98" i="19"/>
  <c r="H102" i="19"/>
  <c r="H106" i="19"/>
  <c r="H110" i="19"/>
  <c r="H118" i="19"/>
  <c r="H126" i="19"/>
  <c r="H134" i="19"/>
  <c r="H142" i="19"/>
  <c r="H150" i="19"/>
  <c r="H166" i="19"/>
  <c r="H168" i="19"/>
  <c r="H151" i="19"/>
  <c r="H163" i="19"/>
  <c r="H144" i="19"/>
  <c r="H159" i="19"/>
  <c r="H148" i="19"/>
  <c r="H155" i="19"/>
  <c r="AG166" i="7"/>
  <c r="AG158" i="7"/>
  <c r="AC152" i="7"/>
  <c r="AG150" i="7"/>
  <c r="AG142" i="7"/>
  <c r="AG134" i="7"/>
  <c r="AI118" i="7"/>
  <c r="AB118" i="7" s="1"/>
  <c r="AC118" i="7" s="1"/>
  <c r="AH118" i="7" a="1"/>
  <c r="AH118" i="7" s="1"/>
  <c r="AG116" i="7"/>
  <c r="U116" i="7"/>
  <c r="AK116" i="7" s="1"/>
  <c r="AI106" i="7"/>
  <c r="AB106" i="7" s="1"/>
  <c r="AH106" i="7" a="1"/>
  <c r="AH106" i="7" s="1"/>
  <c r="V106" i="7"/>
  <c r="W106" i="7" s="1"/>
  <c r="AI98" i="7"/>
  <c r="AB98" i="7" s="1"/>
  <c r="AH98" i="7" a="1"/>
  <c r="AH98" i="7" s="1"/>
  <c r="V98" i="7"/>
  <c r="W98" i="7" s="1"/>
  <c r="AI90" i="7"/>
  <c r="AB90" i="7" s="1"/>
  <c r="AH90" i="7" a="1"/>
  <c r="AH90" i="7" s="1"/>
  <c r="V90" i="7"/>
  <c r="W90" i="7" s="1"/>
  <c r="AI82" i="7"/>
  <c r="AB82" i="7" s="1"/>
  <c r="AH82" i="7" a="1"/>
  <c r="AH82" i="7" s="1"/>
  <c r="V82" i="7"/>
  <c r="W82" i="7" s="1"/>
  <c r="AI74" i="7"/>
  <c r="AB74" i="7" s="1"/>
  <c r="AH74" i="7" a="1"/>
  <c r="AH74" i="7" s="1"/>
  <c r="V74" i="7"/>
  <c r="W74" i="7" s="1"/>
  <c r="AI66" i="7"/>
  <c r="AB66" i="7" s="1"/>
  <c r="AH66" i="7" a="1"/>
  <c r="AH66" i="7" s="1"/>
  <c r="V66" i="7"/>
  <c r="W66" i="7" s="1"/>
  <c r="AI58" i="7"/>
  <c r="AB58" i="7" s="1"/>
  <c r="AH58" i="7" a="1"/>
  <c r="AH58" i="7" s="1"/>
  <c r="V58" i="7"/>
  <c r="W58" i="7" s="1"/>
  <c r="AI50" i="7"/>
  <c r="AB50" i="7" s="1"/>
  <c r="AH50" i="7" a="1"/>
  <c r="AH50" i="7" s="1"/>
  <c r="V50" i="7"/>
  <c r="W50" i="7" s="1"/>
  <c r="U120" i="7"/>
  <c r="AK120" i="7" s="1"/>
  <c r="AG120" i="7"/>
  <c r="AH108" i="7" a="1"/>
  <c r="AH108" i="7" s="1"/>
  <c r="AI108" i="7"/>
  <c r="AB108" i="7" s="1"/>
  <c r="V108" i="7"/>
  <c r="W108" i="7" s="1"/>
  <c r="AH100" i="7" a="1"/>
  <c r="AH100" i="7" s="1"/>
  <c r="AI100" i="7"/>
  <c r="AB100" i="7" s="1"/>
  <c r="V100" i="7"/>
  <c r="W100" i="7" s="1"/>
  <c r="AH92" i="7" a="1"/>
  <c r="AH92" i="7" s="1"/>
  <c r="AI92" i="7"/>
  <c r="AB92" i="7" s="1"/>
  <c r="V92" i="7"/>
  <c r="W92" i="7" s="1"/>
  <c r="AH84" i="7" a="1"/>
  <c r="AH84" i="7" s="1"/>
  <c r="AI84" i="7"/>
  <c r="AB84" i="7" s="1"/>
  <c r="V84" i="7"/>
  <c r="W84" i="7" s="1"/>
  <c r="AH76" i="7" a="1"/>
  <c r="AH76" i="7" s="1"/>
  <c r="AI76" i="7"/>
  <c r="AB76" i="7" s="1"/>
  <c r="V76" i="7"/>
  <c r="W76" i="7" s="1"/>
  <c r="AH68" i="7" a="1"/>
  <c r="AH68" i="7" s="1"/>
  <c r="AI68" i="7"/>
  <c r="AB68" i="7" s="1"/>
  <c r="V68" i="7"/>
  <c r="W68" i="7" s="1"/>
  <c r="AH60" i="7" a="1"/>
  <c r="AH60" i="7" s="1"/>
  <c r="AI60" i="7"/>
  <c r="AB60" i="7" s="1"/>
  <c r="V60" i="7"/>
  <c r="W60" i="7" s="1"/>
  <c r="AH52" i="7" a="1"/>
  <c r="AH52" i="7" s="1"/>
  <c r="AI52" i="7"/>
  <c r="AB52" i="7" s="1"/>
  <c r="V52" i="7"/>
  <c r="W52" i="7" s="1"/>
  <c r="AH44" i="7" a="1"/>
  <c r="AH44" i="7" s="1"/>
  <c r="AI44" i="7"/>
  <c r="AB44" i="7" s="1"/>
  <c r="AC44" i="7" s="1"/>
  <c r="AC114" i="7"/>
  <c r="AH42" i="7" a="1"/>
  <c r="AH42" i="7" s="1"/>
  <c r="AI40" i="7"/>
  <c r="AB40" i="7" s="1"/>
  <c r="V40" i="7"/>
  <c r="W40" i="7" s="1"/>
  <c r="AH38" i="7" a="1"/>
  <c r="AH38" i="7" s="1"/>
  <c r="V36" i="7"/>
  <c r="W36" i="7" s="1"/>
  <c r="AH34" i="7" a="1"/>
  <c r="AH34" i="7" s="1"/>
  <c r="AI32" i="7"/>
  <c r="AB32" i="7" s="1"/>
  <c r="V32" i="7"/>
  <c r="W32" i="7" s="1"/>
  <c r="AH30" i="7" a="1"/>
  <c r="AH30" i="7" s="1"/>
  <c r="AI28" i="7"/>
  <c r="AB28" i="7" s="1"/>
  <c r="V28" i="7"/>
  <c r="W28" i="7" s="1"/>
  <c r="AH26" i="7" a="1"/>
  <c r="AH26" i="7" s="1"/>
  <c r="AI24" i="7"/>
  <c r="AB24" i="7" s="1"/>
  <c r="V24" i="7"/>
  <c r="W24" i="7" s="1"/>
  <c r="AH22" i="7" a="1"/>
  <c r="AH22" i="7" s="1"/>
  <c r="AI20" i="7"/>
  <c r="AB20" i="7" s="1"/>
  <c r="V20" i="7"/>
  <c r="W20" i="7" s="1"/>
  <c r="AH18" i="7" a="1"/>
  <c r="AH18" i="7" s="1"/>
  <c r="AI16" i="7"/>
  <c r="AB16" i="7" s="1"/>
  <c r="V16" i="7"/>
  <c r="W16" i="7" s="1"/>
  <c r="AH14" i="7" a="1"/>
  <c r="AH14" i="7" s="1"/>
  <c r="AI12" i="7"/>
  <c r="AB12" i="7" s="1"/>
  <c r="V12" i="7"/>
  <c r="W12" i="7" s="1"/>
  <c r="AC42" i="7"/>
  <c r="AC38" i="7"/>
  <c r="AC34" i="7"/>
  <c r="AC30" i="7"/>
  <c r="AC26" i="7"/>
  <c r="AC22" i="7"/>
  <c r="AC18" i="7"/>
  <c r="AC14" i="7"/>
  <c r="BS97" i="1"/>
  <c r="N77" i="19"/>
  <c r="N69" i="19"/>
  <c r="N61" i="19"/>
  <c r="M13" i="19"/>
  <c r="R13" i="19" s="1"/>
  <c r="O13" i="19"/>
  <c r="U110" i="8"/>
  <c r="X110" i="8"/>
  <c r="Z110" i="8" s="1"/>
  <c r="X105" i="8"/>
  <c r="X102" i="8"/>
  <c r="Z102" i="8" s="1"/>
  <c r="X97" i="8"/>
  <c r="X94" i="8"/>
  <c r="Z94" i="8" s="1"/>
  <c r="X89" i="8"/>
  <c r="X86" i="8"/>
  <c r="Z86" i="8" s="1"/>
  <c r="X81" i="8"/>
  <c r="X78" i="8"/>
  <c r="Z78" i="8" s="1"/>
  <c r="X73" i="8"/>
  <c r="X70" i="8"/>
  <c r="Z70" i="8" s="1"/>
  <c r="U68" i="8"/>
  <c r="X56" i="8"/>
  <c r="Z56" i="8" s="1"/>
  <c r="X48" i="8"/>
  <c r="Z48" i="8" s="1"/>
  <c r="X40" i="8"/>
  <c r="Z40" i="8" s="1"/>
  <c r="X32" i="8"/>
  <c r="Z32" i="8" s="1"/>
  <c r="X24" i="8"/>
  <c r="Z24" i="8" s="1"/>
  <c r="X16" i="8"/>
  <c r="Z16" i="8" s="1"/>
  <c r="U58" i="8"/>
  <c r="U34" i="8"/>
  <c r="U26" i="8"/>
  <c r="U18" i="8"/>
  <c r="AE128" i="7" l="1" a="1"/>
  <c r="AE128" i="7" s="1"/>
  <c r="AD128" i="7" a="1"/>
  <c r="AD128" i="7" s="1"/>
  <c r="AC58" i="7"/>
  <c r="AC90" i="7"/>
  <c r="H154" i="19"/>
  <c r="H158" i="19"/>
  <c r="H162" i="19"/>
  <c r="H167" i="19"/>
  <c r="H146" i="19"/>
  <c r="H130" i="19"/>
  <c r="H114" i="19"/>
  <c r="H104" i="19"/>
  <c r="H96" i="19"/>
  <c r="H88" i="19"/>
  <c r="H80" i="19"/>
  <c r="H72" i="19"/>
  <c r="H64" i="19"/>
  <c r="H55" i="19"/>
  <c r="H157" i="19"/>
  <c r="H141" i="19"/>
  <c r="H125" i="19"/>
  <c r="H136" i="19"/>
  <c r="H120" i="19"/>
  <c r="H107" i="19"/>
  <c r="H99" i="19"/>
  <c r="H91" i="19"/>
  <c r="H83" i="19"/>
  <c r="N83" i="19" s="1"/>
  <c r="H75" i="19"/>
  <c r="N75" i="19" s="1"/>
  <c r="H67" i="19"/>
  <c r="N67" i="19" s="1"/>
  <c r="H147" i="19"/>
  <c r="H131" i="19"/>
  <c r="H115" i="19"/>
  <c r="H52" i="19"/>
  <c r="H47" i="19"/>
  <c r="H39" i="19"/>
  <c r="H31" i="19"/>
  <c r="H23" i="19"/>
  <c r="H15" i="19"/>
  <c r="H44" i="19"/>
  <c r="H36" i="19"/>
  <c r="H28" i="19"/>
  <c r="H20" i="19"/>
  <c r="H113" i="19"/>
  <c r="AI86" i="7"/>
  <c r="AB86" i="7" s="1"/>
  <c r="AI36" i="7"/>
  <c r="AB36" i="7" s="1"/>
  <c r="H156" i="19"/>
  <c r="H160" i="19"/>
  <c r="H164" i="19"/>
  <c r="H140" i="19"/>
  <c r="H152" i="19"/>
  <c r="H138" i="19"/>
  <c r="H122" i="19"/>
  <c r="H108" i="19"/>
  <c r="H100" i="19"/>
  <c r="H92" i="19"/>
  <c r="H84" i="19"/>
  <c r="H76" i="19"/>
  <c r="H68" i="19"/>
  <c r="H58" i="19"/>
  <c r="H165" i="19"/>
  <c r="H149" i="19"/>
  <c r="H133" i="19"/>
  <c r="H117" i="19"/>
  <c r="H128" i="19"/>
  <c r="H111" i="19"/>
  <c r="H103" i="19"/>
  <c r="H95" i="19"/>
  <c r="H87" i="19"/>
  <c r="H79" i="19"/>
  <c r="N79" i="19" s="1"/>
  <c r="H71" i="19"/>
  <c r="N71" i="19" s="1"/>
  <c r="H63" i="19"/>
  <c r="N63" i="19" s="1"/>
  <c r="H139" i="19"/>
  <c r="H123" i="19"/>
  <c r="H59" i="19"/>
  <c r="N59" i="19" s="1"/>
  <c r="H51" i="19"/>
  <c r="H43" i="19"/>
  <c r="H35" i="19"/>
  <c r="H27" i="19"/>
  <c r="H19" i="19"/>
  <c r="H48" i="19"/>
  <c r="H40" i="19"/>
  <c r="H32" i="19"/>
  <c r="H24" i="19"/>
  <c r="H16" i="19"/>
  <c r="AI104" i="7"/>
  <c r="AB104" i="7" s="1"/>
  <c r="AC104" i="7" s="1"/>
  <c r="H119" i="19"/>
  <c r="H54" i="19"/>
  <c r="H49" i="19"/>
  <c r="H41" i="19"/>
  <c r="H33" i="19"/>
  <c r="H25" i="19"/>
  <c r="H17" i="19"/>
  <c r="H46" i="19"/>
  <c r="H38" i="19"/>
  <c r="H30" i="19"/>
  <c r="O30" i="19" s="1"/>
  <c r="H22" i="19"/>
  <c r="AC46" i="7"/>
  <c r="AC94" i="7"/>
  <c r="AC100" i="7"/>
  <c r="AE100" i="7" s="1" a="1"/>
  <c r="AE100" i="7" s="1"/>
  <c r="AC24" i="7"/>
  <c r="AC40" i="7"/>
  <c r="AD40" i="7" s="1" a="1"/>
  <c r="AD40" i="7" s="1"/>
  <c r="AC68" i="7"/>
  <c r="AC50" i="7"/>
  <c r="AE50" i="7" s="1" a="1"/>
  <c r="AE50" i="7" s="1"/>
  <c r="AC82" i="7"/>
  <c r="AC48" i="7"/>
  <c r="AE48" i="7" s="1" a="1"/>
  <c r="AE48" i="7" s="1"/>
  <c r="AC80" i="7"/>
  <c r="AC70" i="7"/>
  <c r="AE70" i="7" s="1" a="1"/>
  <c r="AE70" i="7" s="1"/>
  <c r="AC86" i="7"/>
  <c r="AC20" i="7"/>
  <c r="AC36" i="7"/>
  <c r="AC60" i="7"/>
  <c r="AE60" i="7" s="1" a="1"/>
  <c r="AE60" i="7" s="1"/>
  <c r="AC92" i="7"/>
  <c r="AC72" i="7"/>
  <c r="AC16" i="7"/>
  <c r="AE16" i="7" s="1" a="1"/>
  <c r="AE16" i="7" s="1"/>
  <c r="AC32" i="7"/>
  <c r="AC52" i="7"/>
  <c r="AC84" i="7"/>
  <c r="AC66" i="7"/>
  <c r="AE66" i="7" s="1" a="1"/>
  <c r="AE66" i="7" s="1"/>
  <c r="AC98" i="7"/>
  <c r="AC64" i="7"/>
  <c r="AC96" i="7"/>
  <c r="AC54" i="7"/>
  <c r="AD54" i="7" s="1" a="1"/>
  <c r="AD54" i="7" s="1"/>
  <c r="AC102" i="7"/>
  <c r="AC168" i="7"/>
  <c r="AC12" i="7"/>
  <c r="AC28" i="7"/>
  <c r="AD28" i="7" s="1" a="1"/>
  <c r="AD28" i="7" s="1"/>
  <c r="AJ28" i="7" s="1"/>
  <c r="AC76" i="7"/>
  <c r="AC108" i="7"/>
  <c r="AC56" i="7"/>
  <c r="AC88" i="7"/>
  <c r="AE88" i="7" s="1" a="1"/>
  <c r="AE88" i="7" s="1"/>
  <c r="AC74" i="7"/>
  <c r="AC106" i="7"/>
  <c r="AC62" i="7"/>
  <c r="AC78" i="7"/>
  <c r="AD78" i="7" s="1" a="1"/>
  <c r="AD78" i="7" s="1"/>
  <c r="AC110" i="7"/>
  <c r="AE40" i="7" a="1"/>
  <c r="AE40" i="7" s="1"/>
  <c r="AD44" i="7" a="1"/>
  <c r="AD44" i="7" s="1"/>
  <c r="AE44" i="7" a="1"/>
  <c r="AE44" i="7" s="1"/>
  <c r="AD68" i="7" a="1"/>
  <c r="AD68" i="7" s="1"/>
  <c r="AE68" i="7" a="1"/>
  <c r="AE68" i="7" s="1"/>
  <c r="AD100" i="7" a="1"/>
  <c r="AD100" i="7" s="1"/>
  <c r="AE82" i="7" a="1"/>
  <c r="AE82" i="7" s="1"/>
  <c r="AD82" i="7" a="1"/>
  <c r="AD82" i="7" s="1"/>
  <c r="AD48" i="7" a="1"/>
  <c r="AD48" i="7" s="1"/>
  <c r="AD80" i="7" a="1"/>
  <c r="AD80" i="7" s="1"/>
  <c r="AE80" i="7" a="1"/>
  <c r="AE80" i="7" s="1"/>
  <c r="AE122" i="7" a="1"/>
  <c r="AE122" i="7" s="1"/>
  <c r="AD122" i="7" a="1"/>
  <c r="AD122" i="7" s="1"/>
  <c r="AD70" i="7" a="1"/>
  <c r="AD70" i="7" s="1"/>
  <c r="AD86" i="7" a="1"/>
  <c r="AD86" i="7" s="1"/>
  <c r="AE86" i="7" a="1"/>
  <c r="AE86" i="7" s="1"/>
  <c r="AD156" i="7" a="1"/>
  <c r="AD156" i="7" s="1"/>
  <c r="AE156" i="7" a="1"/>
  <c r="AE156" i="7" s="1"/>
  <c r="AD164" i="7" a="1"/>
  <c r="AD164" i="7" s="1"/>
  <c r="AE164" i="7" a="1"/>
  <c r="AE164" i="7" s="1"/>
  <c r="AD126" i="7" a="1"/>
  <c r="AD126" i="7" s="1"/>
  <c r="AE126" i="7" a="1"/>
  <c r="AE126" i="7" s="1"/>
  <c r="AE24" i="7" a="1"/>
  <c r="AE24" i="7" s="1"/>
  <c r="AD24" i="7" a="1"/>
  <c r="AD24" i="7" s="1"/>
  <c r="AE20" i="7" a="1"/>
  <c r="AE20" i="7" s="1"/>
  <c r="AD20" i="7" a="1"/>
  <c r="AD20" i="7" s="1"/>
  <c r="AE36" i="7" a="1"/>
  <c r="AE36" i="7" s="1"/>
  <c r="AD36" i="7" a="1"/>
  <c r="AD36" i="7" s="1"/>
  <c r="AD60" i="7" a="1"/>
  <c r="AD60" i="7" s="1"/>
  <c r="AD92" i="7" a="1"/>
  <c r="AD92" i="7" s="1"/>
  <c r="AE92" i="7" a="1"/>
  <c r="AE92" i="7" s="1"/>
  <c r="AE74" i="7" a="1"/>
  <c r="AE74" i="7" s="1"/>
  <c r="AD74" i="7" a="1"/>
  <c r="AD74" i="7" s="1"/>
  <c r="AE106" i="7" a="1"/>
  <c r="AE106" i="7" s="1"/>
  <c r="AD106" i="7" a="1"/>
  <c r="AD106" i="7" s="1"/>
  <c r="AD72" i="7" a="1"/>
  <c r="AD72" i="7" s="1"/>
  <c r="AE72" i="7" a="1"/>
  <c r="AE72" i="7" s="1"/>
  <c r="AD62" i="7" a="1"/>
  <c r="AD62" i="7" s="1"/>
  <c r="AE62" i="7" a="1"/>
  <c r="AE62" i="7" s="1"/>
  <c r="AD110" i="7" a="1"/>
  <c r="AD110" i="7" s="1"/>
  <c r="AE110" i="7" a="1"/>
  <c r="AE110" i="7" s="1"/>
  <c r="AE32" i="7" a="1"/>
  <c r="AE32" i="7" s="1"/>
  <c r="AD32" i="7" a="1"/>
  <c r="AD32" i="7" s="1"/>
  <c r="AD52" i="7" a="1"/>
  <c r="AD52" i="7" s="1"/>
  <c r="AE52" i="7" a="1"/>
  <c r="AE52" i="7" s="1"/>
  <c r="AD84" i="7" a="1"/>
  <c r="AD84" i="7" s="1"/>
  <c r="AE84" i="7" a="1"/>
  <c r="AE84" i="7" s="1"/>
  <c r="AE98" i="7" a="1"/>
  <c r="AE98" i="7" s="1"/>
  <c r="AD98" i="7" a="1"/>
  <c r="AD98" i="7" s="1"/>
  <c r="AD64" i="7" a="1"/>
  <c r="AD64" i="7" s="1"/>
  <c r="AE64" i="7" a="1"/>
  <c r="AE64" i="7" s="1"/>
  <c r="AD96" i="7" a="1"/>
  <c r="AD96" i="7" s="1"/>
  <c r="AE96" i="7" a="1"/>
  <c r="AE96" i="7" s="1"/>
  <c r="AD102" i="7" a="1"/>
  <c r="AD102" i="7" s="1"/>
  <c r="AE102" i="7" a="1"/>
  <c r="AE102" i="7" s="1"/>
  <c r="AE12" i="7" a="1"/>
  <c r="AE12" i="7" s="1"/>
  <c r="AD12" i="7" a="1"/>
  <c r="AD12" i="7" s="1"/>
  <c r="AE28" i="7" a="1"/>
  <c r="AE28" i="7" s="1"/>
  <c r="AD76" i="7" a="1"/>
  <c r="AD76" i="7" s="1"/>
  <c r="AE76" i="7" a="1"/>
  <c r="AE76" i="7" s="1"/>
  <c r="AD108" i="7" a="1"/>
  <c r="AD108" i="7" s="1"/>
  <c r="AE108" i="7" a="1"/>
  <c r="AE108" i="7" s="1"/>
  <c r="AE58" i="7" a="1"/>
  <c r="AE58" i="7" s="1"/>
  <c r="AD58" i="7" a="1"/>
  <c r="AD58" i="7" s="1"/>
  <c r="AE90" i="7" a="1"/>
  <c r="AE90" i="7" s="1"/>
  <c r="AD90" i="7" a="1"/>
  <c r="AD90" i="7" s="1"/>
  <c r="AD56" i="7" a="1"/>
  <c r="AD56" i="7" s="1"/>
  <c r="AE56" i="7" a="1"/>
  <c r="AE56" i="7" s="1"/>
  <c r="AD88" i="7" a="1"/>
  <c r="AD88" i="7" s="1"/>
  <c r="AD46" i="7" a="1"/>
  <c r="AD46" i="7" s="1"/>
  <c r="AE46" i="7" a="1"/>
  <c r="AE46" i="7" s="1"/>
  <c r="AD94" i="7" a="1"/>
  <c r="AD94" i="7" s="1"/>
  <c r="AE94" i="7" a="1"/>
  <c r="AE94" i="7" s="1"/>
  <c r="AD124" i="7" a="1"/>
  <c r="AD124" i="7" s="1"/>
  <c r="AE124" i="7" a="1"/>
  <c r="AE124" i="7" s="1"/>
  <c r="AD132" i="7" a="1"/>
  <c r="AD132" i="7" s="1"/>
  <c r="AE132" i="7" a="1"/>
  <c r="AE132" i="7" s="1"/>
  <c r="AD140" i="7" a="1"/>
  <c r="AD140" i="7" s="1"/>
  <c r="AE140" i="7" a="1"/>
  <c r="AE140" i="7" s="1"/>
  <c r="AD30" i="7" a="1"/>
  <c r="AD30" i="7" s="1"/>
  <c r="AE30" i="7" a="1"/>
  <c r="AE30" i="7" s="1"/>
  <c r="AD114" i="7" a="1"/>
  <c r="AD114" i="7" s="1"/>
  <c r="AE114" i="7" a="1"/>
  <c r="AE114" i="7" s="1"/>
  <c r="AI116" i="7"/>
  <c r="AB116" i="7" s="1"/>
  <c r="AC116" i="7" s="1"/>
  <c r="AH116" i="7" a="1"/>
  <c r="AH116" i="7" s="1"/>
  <c r="AI142" i="7"/>
  <c r="AB142" i="7" s="1"/>
  <c r="AC142" i="7" s="1"/>
  <c r="AH142" i="7" a="1"/>
  <c r="AH142" i="7" s="1"/>
  <c r="AD18" i="7" a="1"/>
  <c r="AD18" i="7" s="1"/>
  <c r="AE18" i="7" a="1"/>
  <c r="AE18" i="7" s="1"/>
  <c r="AD34" i="7" a="1"/>
  <c r="AD34" i="7" s="1"/>
  <c r="AE34" i="7" a="1"/>
  <c r="AE34" i="7" s="1"/>
  <c r="AI120" i="7"/>
  <c r="AB120" i="7" s="1"/>
  <c r="AC120" i="7" s="1"/>
  <c r="AH120" i="7" a="1"/>
  <c r="AH120" i="7" s="1"/>
  <c r="AI150" i="7"/>
  <c r="AB150" i="7" s="1"/>
  <c r="AC150" i="7" s="1"/>
  <c r="AH150" i="7" a="1"/>
  <c r="AH150" i="7" s="1"/>
  <c r="M156" i="19"/>
  <c r="R156" i="19" s="1"/>
  <c r="N156" i="19"/>
  <c r="O156" i="19"/>
  <c r="M160" i="19"/>
  <c r="R160" i="19" s="1"/>
  <c r="O160" i="19"/>
  <c r="N160" i="19"/>
  <c r="M164" i="19"/>
  <c r="R164" i="19" s="1"/>
  <c r="N164" i="19"/>
  <c r="O164" i="19"/>
  <c r="O140" i="19"/>
  <c r="M140" i="19"/>
  <c r="R140" i="19" s="1"/>
  <c r="N140" i="19"/>
  <c r="M152" i="19"/>
  <c r="R152" i="19" s="1"/>
  <c r="N152" i="19"/>
  <c r="O152" i="19"/>
  <c r="M138" i="19"/>
  <c r="R138" i="19" s="1"/>
  <c r="O138" i="19"/>
  <c r="N138" i="19"/>
  <c r="M122" i="19"/>
  <c r="R122" i="19" s="1"/>
  <c r="N122" i="19"/>
  <c r="O122" i="19"/>
  <c r="M108" i="19"/>
  <c r="R108" i="19" s="1"/>
  <c r="N108" i="19"/>
  <c r="O108" i="19"/>
  <c r="M100" i="19"/>
  <c r="R100" i="19" s="1"/>
  <c r="N100" i="19"/>
  <c r="O100" i="19"/>
  <c r="M92" i="19"/>
  <c r="R92" i="19" s="1"/>
  <c r="N92" i="19"/>
  <c r="O92" i="19"/>
  <c r="M84" i="19"/>
  <c r="R84" i="19" s="1"/>
  <c r="N84" i="19"/>
  <c r="O84" i="19"/>
  <c r="M76" i="19"/>
  <c r="R76" i="19" s="1"/>
  <c r="N76" i="19"/>
  <c r="O76" i="19"/>
  <c r="M68" i="19"/>
  <c r="R68" i="19" s="1"/>
  <c r="N68" i="19"/>
  <c r="O68" i="19"/>
  <c r="O58" i="19"/>
  <c r="M58" i="19"/>
  <c r="R58" i="19" s="1"/>
  <c r="N58" i="19"/>
  <c r="M165" i="19"/>
  <c r="R165" i="19" s="1"/>
  <c r="N165" i="19"/>
  <c r="O165" i="19"/>
  <c r="M149" i="19"/>
  <c r="R149" i="19" s="1"/>
  <c r="N149" i="19"/>
  <c r="O149" i="19"/>
  <c r="N133" i="19"/>
  <c r="O133" i="19"/>
  <c r="M133" i="19"/>
  <c r="R133" i="19" s="1"/>
  <c r="N117" i="19"/>
  <c r="O117" i="19"/>
  <c r="M117" i="19"/>
  <c r="R117" i="19" s="1"/>
  <c r="O128" i="19"/>
  <c r="M128" i="19"/>
  <c r="R128" i="19" s="1"/>
  <c r="N128" i="19"/>
  <c r="O111" i="19"/>
  <c r="M111" i="19"/>
  <c r="R111" i="19" s="1"/>
  <c r="N111" i="19"/>
  <c r="O103" i="19"/>
  <c r="M103" i="19"/>
  <c r="R103" i="19" s="1"/>
  <c r="N103" i="19"/>
  <c r="O95" i="19"/>
  <c r="M95" i="19"/>
  <c r="R95" i="19" s="1"/>
  <c r="N95" i="19"/>
  <c r="O87" i="19"/>
  <c r="M87" i="19"/>
  <c r="R87" i="19" s="1"/>
  <c r="N87" i="19"/>
  <c r="O79" i="19"/>
  <c r="M79" i="19"/>
  <c r="R79" i="19" s="1"/>
  <c r="O71" i="19"/>
  <c r="M71" i="19"/>
  <c r="R71" i="19" s="1"/>
  <c r="O63" i="19"/>
  <c r="M63" i="19"/>
  <c r="R63" i="19" s="1"/>
  <c r="N139" i="19"/>
  <c r="O139" i="19"/>
  <c r="M139" i="19"/>
  <c r="R139" i="19" s="1"/>
  <c r="M123" i="19"/>
  <c r="R123" i="19" s="1"/>
  <c r="N123" i="19"/>
  <c r="O123" i="19"/>
  <c r="M59" i="19"/>
  <c r="R59" i="19" s="1"/>
  <c r="O59" i="19"/>
  <c r="O51" i="19"/>
  <c r="M51" i="19"/>
  <c r="R51" i="19" s="1"/>
  <c r="N51" i="19"/>
  <c r="N43" i="19"/>
  <c r="O43" i="19"/>
  <c r="M43" i="19"/>
  <c r="R43" i="19" s="1"/>
  <c r="N35" i="19"/>
  <c r="O35" i="19"/>
  <c r="M35" i="19"/>
  <c r="R35" i="19" s="1"/>
  <c r="N27" i="19"/>
  <c r="O27" i="19"/>
  <c r="M27" i="19"/>
  <c r="R27" i="19" s="1"/>
  <c r="N19" i="19"/>
  <c r="O19" i="19"/>
  <c r="M19" i="19"/>
  <c r="R19" i="19" s="1"/>
  <c r="M48" i="19"/>
  <c r="R48" i="19" s="1"/>
  <c r="N48" i="19"/>
  <c r="O48" i="19"/>
  <c r="M40" i="19"/>
  <c r="R40" i="19" s="1"/>
  <c r="N40" i="19"/>
  <c r="O40" i="19"/>
  <c r="M32" i="19"/>
  <c r="R32" i="19" s="1"/>
  <c r="N32" i="19"/>
  <c r="O32" i="19"/>
  <c r="M24" i="19"/>
  <c r="R24" i="19" s="1"/>
  <c r="N24" i="19"/>
  <c r="O24" i="19"/>
  <c r="M16" i="19"/>
  <c r="R16" i="19" s="1"/>
  <c r="N16" i="19"/>
  <c r="O16" i="19"/>
  <c r="AH146" i="7" a="1"/>
  <c r="AH146" i="7" s="1"/>
  <c r="AI146" i="7"/>
  <c r="AB146" i="7" s="1"/>
  <c r="AC146" i="7" s="1"/>
  <c r="AE144" i="7" a="1"/>
  <c r="AE144" i="7" s="1"/>
  <c r="AD144" i="7" a="1"/>
  <c r="AD144" i="7" s="1"/>
  <c r="AE152" i="7" a="1"/>
  <c r="AE152" i="7" s="1"/>
  <c r="AD152" i="7" a="1"/>
  <c r="AD152" i="7" s="1"/>
  <c r="N159" i="19"/>
  <c r="O159" i="19"/>
  <c r="M159" i="19"/>
  <c r="R159" i="19" s="1"/>
  <c r="M168" i="19"/>
  <c r="R168" i="19" s="1"/>
  <c r="N168" i="19"/>
  <c r="O168" i="19"/>
  <c r="M134" i="19"/>
  <c r="R134" i="19" s="1"/>
  <c r="N134" i="19"/>
  <c r="O134" i="19"/>
  <c r="M106" i="19"/>
  <c r="R106" i="19" s="1"/>
  <c r="N106" i="19"/>
  <c r="O106" i="19"/>
  <c r="M98" i="19"/>
  <c r="R98" i="19" s="1"/>
  <c r="N98" i="19"/>
  <c r="O98" i="19"/>
  <c r="M90" i="19"/>
  <c r="R90" i="19" s="1"/>
  <c r="N90" i="19"/>
  <c r="O90" i="19"/>
  <c r="M82" i="19"/>
  <c r="R82" i="19" s="1"/>
  <c r="N82" i="19"/>
  <c r="O82" i="19"/>
  <c r="M74" i="19"/>
  <c r="R74" i="19" s="1"/>
  <c r="N74" i="19"/>
  <c r="O74" i="19"/>
  <c r="M66" i="19"/>
  <c r="R66" i="19" s="1"/>
  <c r="N66" i="19"/>
  <c r="O66" i="19"/>
  <c r="M57" i="19"/>
  <c r="R57" i="19" s="1"/>
  <c r="N57" i="19"/>
  <c r="O57" i="19"/>
  <c r="O161" i="19"/>
  <c r="M161" i="19"/>
  <c r="R161" i="19" s="1"/>
  <c r="N161" i="19"/>
  <c r="N145" i="19"/>
  <c r="M145" i="19"/>
  <c r="R145" i="19" s="1"/>
  <c r="O145" i="19"/>
  <c r="N129" i="19"/>
  <c r="O129" i="19"/>
  <c r="M129" i="19"/>
  <c r="R129" i="19" s="1"/>
  <c r="O56" i="19"/>
  <c r="N56" i="19"/>
  <c r="M56" i="19"/>
  <c r="R56" i="19" s="1"/>
  <c r="O124" i="19"/>
  <c r="M124" i="19"/>
  <c r="R124" i="19" s="1"/>
  <c r="N124" i="19"/>
  <c r="O109" i="19"/>
  <c r="M109" i="19"/>
  <c r="R109" i="19" s="1"/>
  <c r="N109" i="19"/>
  <c r="O101" i="19"/>
  <c r="M101" i="19"/>
  <c r="R101" i="19" s="1"/>
  <c r="N101" i="19"/>
  <c r="O93" i="19"/>
  <c r="M93" i="19"/>
  <c r="R93" i="19" s="1"/>
  <c r="N93" i="19"/>
  <c r="O85" i="19"/>
  <c r="M85" i="19"/>
  <c r="R85" i="19" s="1"/>
  <c r="N85" i="19"/>
  <c r="O77" i="19"/>
  <c r="M77" i="19"/>
  <c r="R77" i="19" s="1"/>
  <c r="O69" i="19"/>
  <c r="M69" i="19"/>
  <c r="R69" i="19" s="1"/>
  <c r="O61" i="19"/>
  <c r="M61" i="19"/>
  <c r="R61" i="19" s="1"/>
  <c r="M135" i="19"/>
  <c r="R135" i="19" s="1"/>
  <c r="N135" i="19"/>
  <c r="O135" i="19"/>
  <c r="M119" i="19"/>
  <c r="R119" i="19" s="1"/>
  <c r="N119" i="19"/>
  <c r="O119" i="19"/>
  <c r="M54" i="19"/>
  <c r="R54" i="19" s="1"/>
  <c r="O54" i="19"/>
  <c r="N54" i="19"/>
  <c r="N49" i="19"/>
  <c r="O49" i="19"/>
  <c r="M49" i="19"/>
  <c r="R49" i="19" s="1"/>
  <c r="N41" i="19"/>
  <c r="O41" i="19"/>
  <c r="M41" i="19"/>
  <c r="R41" i="19" s="1"/>
  <c r="N33" i="19"/>
  <c r="O33" i="19"/>
  <c r="M33" i="19"/>
  <c r="R33" i="19" s="1"/>
  <c r="N25" i="19"/>
  <c r="O25" i="19"/>
  <c r="M25" i="19"/>
  <c r="R25" i="19" s="1"/>
  <c r="N17" i="19"/>
  <c r="O17" i="19"/>
  <c r="M17" i="19"/>
  <c r="R17" i="19" s="1"/>
  <c r="M46" i="19"/>
  <c r="R46" i="19" s="1"/>
  <c r="N46" i="19"/>
  <c r="O46" i="19"/>
  <c r="M38" i="19"/>
  <c r="R38" i="19" s="1"/>
  <c r="N38" i="19"/>
  <c r="O38" i="19"/>
  <c r="M30" i="19"/>
  <c r="R30" i="19" s="1"/>
  <c r="M22" i="19"/>
  <c r="R22" i="19" s="1"/>
  <c r="N22" i="19"/>
  <c r="O22" i="19"/>
  <c r="M14" i="19"/>
  <c r="R14" i="19" s="1"/>
  <c r="N14" i="19"/>
  <c r="O14" i="19"/>
  <c r="AD148" i="7" a="1"/>
  <c r="AD148" i="7" s="1"/>
  <c r="AE148" i="7" a="1"/>
  <c r="AE148" i="7" s="1"/>
  <c r="AH154" i="7" a="1"/>
  <c r="AH154" i="7" s="1"/>
  <c r="AI154" i="7"/>
  <c r="AB154" i="7" s="1"/>
  <c r="AC154" i="7" s="1"/>
  <c r="AD22" i="7" a="1"/>
  <c r="AD22" i="7" s="1"/>
  <c r="AE22" i="7" a="1"/>
  <c r="AE22" i="7" s="1"/>
  <c r="AD38" i="7" a="1"/>
  <c r="AD38" i="7" s="1"/>
  <c r="AE38" i="7" a="1"/>
  <c r="AE38" i="7" s="1"/>
  <c r="N155" i="19"/>
  <c r="M155" i="19"/>
  <c r="R155" i="19" s="1"/>
  <c r="O155" i="19"/>
  <c r="N163" i="19"/>
  <c r="M163" i="19"/>
  <c r="R163" i="19" s="1"/>
  <c r="O163" i="19"/>
  <c r="O150" i="19"/>
  <c r="N150" i="19"/>
  <c r="M150" i="19"/>
  <c r="R150" i="19" s="1"/>
  <c r="M118" i="19"/>
  <c r="R118" i="19" s="1"/>
  <c r="N118" i="19"/>
  <c r="O118" i="19"/>
  <c r="AD26" i="7" a="1"/>
  <c r="AD26" i="7" s="1"/>
  <c r="AE26" i="7" a="1"/>
  <c r="AE26" i="7" s="1"/>
  <c r="AD42" i="7" a="1"/>
  <c r="AD42" i="7" s="1"/>
  <c r="AE42" i="7" a="1"/>
  <c r="AE42" i="7" s="1"/>
  <c r="AI134" i="7"/>
  <c r="AB134" i="7" s="1"/>
  <c r="AC134" i="7" s="1"/>
  <c r="AH134" i="7" a="1"/>
  <c r="AH134" i="7" s="1"/>
  <c r="AI158" i="7"/>
  <c r="AB158" i="7" s="1"/>
  <c r="AC158" i="7" s="1"/>
  <c r="AH158" i="7" a="1"/>
  <c r="AH158" i="7" s="1"/>
  <c r="O154" i="19"/>
  <c r="M154" i="19"/>
  <c r="R154" i="19" s="1"/>
  <c r="N154" i="19"/>
  <c r="O158" i="19"/>
  <c r="N158" i="19"/>
  <c r="M158" i="19"/>
  <c r="R158" i="19" s="1"/>
  <c r="O162" i="19"/>
  <c r="M162" i="19"/>
  <c r="R162" i="19" s="1"/>
  <c r="N162" i="19"/>
  <c r="N167" i="19"/>
  <c r="M167" i="19"/>
  <c r="R167" i="19" s="1"/>
  <c r="O167" i="19"/>
  <c r="M146" i="19"/>
  <c r="R146" i="19" s="1"/>
  <c r="O146" i="19"/>
  <c r="N146" i="19"/>
  <c r="M130" i="19"/>
  <c r="R130" i="19" s="1"/>
  <c r="N130" i="19"/>
  <c r="O130" i="19"/>
  <c r="M114" i="19"/>
  <c r="R114" i="19" s="1"/>
  <c r="N114" i="19"/>
  <c r="O114" i="19"/>
  <c r="M104" i="19"/>
  <c r="R104" i="19" s="1"/>
  <c r="N104" i="19"/>
  <c r="O104" i="19"/>
  <c r="M96" i="19"/>
  <c r="R96" i="19" s="1"/>
  <c r="N96" i="19"/>
  <c r="O96" i="19"/>
  <c r="M88" i="19"/>
  <c r="R88" i="19" s="1"/>
  <c r="N88" i="19"/>
  <c r="O88" i="19"/>
  <c r="M80" i="19"/>
  <c r="R80" i="19" s="1"/>
  <c r="N80" i="19"/>
  <c r="O80" i="19"/>
  <c r="M72" i="19"/>
  <c r="R72" i="19" s="1"/>
  <c r="N72" i="19"/>
  <c r="O72" i="19"/>
  <c r="M64" i="19"/>
  <c r="R64" i="19" s="1"/>
  <c r="N64" i="19"/>
  <c r="O64" i="19"/>
  <c r="O55" i="19"/>
  <c r="M55" i="19"/>
  <c r="R55" i="19" s="1"/>
  <c r="N55" i="19"/>
  <c r="N157" i="19"/>
  <c r="O157" i="19"/>
  <c r="M157" i="19"/>
  <c r="R157" i="19" s="1"/>
  <c r="N141" i="19"/>
  <c r="M141" i="19"/>
  <c r="R141" i="19" s="1"/>
  <c r="O141" i="19"/>
  <c r="N125" i="19"/>
  <c r="O125" i="19"/>
  <c r="M125" i="19"/>
  <c r="R125" i="19" s="1"/>
  <c r="O136" i="19"/>
  <c r="M136" i="19"/>
  <c r="R136" i="19" s="1"/>
  <c r="N136" i="19"/>
  <c r="O120" i="19"/>
  <c r="M120" i="19"/>
  <c r="R120" i="19" s="1"/>
  <c r="N120" i="19"/>
  <c r="O107" i="19"/>
  <c r="M107" i="19"/>
  <c r="R107" i="19" s="1"/>
  <c r="N107" i="19"/>
  <c r="O99" i="19"/>
  <c r="M99" i="19"/>
  <c r="R99" i="19" s="1"/>
  <c r="N99" i="19"/>
  <c r="O91" i="19"/>
  <c r="M91" i="19"/>
  <c r="R91" i="19" s="1"/>
  <c r="N91" i="19"/>
  <c r="O83" i="19"/>
  <c r="M83" i="19"/>
  <c r="R83" i="19" s="1"/>
  <c r="O75" i="19"/>
  <c r="M75" i="19"/>
  <c r="R75" i="19" s="1"/>
  <c r="O67" i="19"/>
  <c r="M67" i="19"/>
  <c r="R67" i="19" s="1"/>
  <c r="N147" i="19"/>
  <c r="O147" i="19"/>
  <c r="M147" i="19"/>
  <c r="R147" i="19" s="1"/>
  <c r="M131" i="19"/>
  <c r="R131" i="19" s="1"/>
  <c r="N131" i="19"/>
  <c r="O131" i="19"/>
  <c r="M115" i="19"/>
  <c r="R115" i="19" s="1"/>
  <c r="N115" i="19"/>
  <c r="O115" i="19"/>
  <c r="M52" i="19"/>
  <c r="R52" i="19" s="1"/>
  <c r="N52" i="19"/>
  <c r="O52" i="19"/>
  <c r="N47" i="19"/>
  <c r="O47" i="19"/>
  <c r="M47" i="19"/>
  <c r="R47" i="19" s="1"/>
  <c r="N39" i="19"/>
  <c r="O39" i="19"/>
  <c r="M39" i="19"/>
  <c r="R39" i="19" s="1"/>
  <c r="N31" i="19"/>
  <c r="O31" i="19"/>
  <c r="M31" i="19"/>
  <c r="R31" i="19" s="1"/>
  <c r="N23" i="19"/>
  <c r="O23" i="19"/>
  <c r="M23" i="19"/>
  <c r="R23" i="19" s="1"/>
  <c r="N15" i="19"/>
  <c r="O15" i="19"/>
  <c r="M15" i="19"/>
  <c r="R15" i="19" s="1"/>
  <c r="M44" i="19"/>
  <c r="R44" i="19" s="1"/>
  <c r="N44" i="19"/>
  <c r="O44" i="19"/>
  <c r="M36" i="19"/>
  <c r="R36" i="19" s="1"/>
  <c r="N36" i="19"/>
  <c r="O36" i="19"/>
  <c r="M28" i="19"/>
  <c r="R28" i="19" s="1"/>
  <c r="N28" i="19"/>
  <c r="O28" i="19"/>
  <c r="M20" i="19"/>
  <c r="R20" i="19" s="1"/>
  <c r="N20" i="19"/>
  <c r="O20" i="19"/>
  <c r="N113" i="19"/>
  <c r="O113" i="19"/>
  <c r="M113" i="19"/>
  <c r="R113" i="19" s="1"/>
  <c r="AH130" i="7" a="1"/>
  <c r="AH130" i="7" s="1"/>
  <c r="AI130" i="7"/>
  <c r="AB130" i="7" s="1"/>
  <c r="AC130" i="7" s="1"/>
  <c r="AH162" i="7" a="1"/>
  <c r="AH162" i="7" s="1"/>
  <c r="AI162" i="7"/>
  <c r="AB162" i="7" s="1"/>
  <c r="AC162" i="7" s="1"/>
  <c r="AE136" i="7" a="1"/>
  <c r="AE136" i="7" s="1"/>
  <c r="AD136" i="7" a="1"/>
  <c r="AD136" i="7" s="1"/>
  <c r="AJ128" i="7"/>
  <c r="AE160" i="7" a="1"/>
  <c r="AE160" i="7" s="1"/>
  <c r="AD160" i="7" a="1"/>
  <c r="AD160" i="7" s="1"/>
  <c r="AD14" i="7" a="1"/>
  <c r="AD14" i="7" s="1"/>
  <c r="AE14" i="7" a="1"/>
  <c r="AE14" i="7" s="1"/>
  <c r="AE118" i="7" a="1"/>
  <c r="AE118" i="7" s="1"/>
  <c r="AD118" i="7" a="1"/>
  <c r="AD118" i="7" s="1"/>
  <c r="AI166" i="7"/>
  <c r="AB166" i="7" s="1"/>
  <c r="AC166" i="7" s="1"/>
  <c r="AH166" i="7" a="1"/>
  <c r="AH166" i="7" s="1"/>
  <c r="O148" i="19"/>
  <c r="M148" i="19"/>
  <c r="R148" i="19" s="1"/>
  <c r="N148" i="19"/>
  <c r="O144" i="19"/>
  <c r="M144" i="19"/>
  <c r="R144" i="19" s="1"/>
  <c r="N144" i="19"/>
  <c r="N151" i="19"/>
  <c r="O151" i="19"/>
  <c r="M151" i="19"/>
  <c r="R151" i="19" s="1"/>
  <c r="O166" i="19"/>
  <c r="M166" i="19"/>
  <c r="R166" i="19" s="1"/>
  <c r="N166" i="19"/>
  <c r="M142" i="19"/>
  <c r="R142" i="19" s="1"/>
  <c r="O142" i="19"/>
  <c r="N142" i="19"/>
  <c r="M126" i="19"/>
  <c r="R126" i="19" s="1"/>
  <c r="N126" i="19"/>
  <c r="O126" i="19"/>
  <c r="M110" i="19"/>
  <c r="R110" i="19" s="1"/>
  <c r="N110" i="19"/>
  <c r="O110" i="19"/>
  <c r="M102" i="19"/>
  <c r="R102" i="19" s="1"/>
  <c r="N102" i="19"/>
  <c r="O102" i="19"/>
  <c r="M94" i="19"/>
  <c r="R94" i="19" s="1"/>
  <c r="N94" i="19"/>
  <c r="O94" i="19"/>
  <c r="M86" i="19"/>
  <c r="R86" i="19" s="1"/>
  <c r="N86" i="19"/>
  <c r="O86" i="19"/>
  <c r="M78" i="19"/>
  <c r="R78" i="19" s="1"/>
  <c r="N78" i="19"/>
  <c r="O78" i="19"/>
  <c r="M70" i="19"/>
  <c r="R70" i="19" s="1"/>
  <c r="N70" i="19"/>
  <c r="O70" i="19"/>
  <c r="M62" i="19"/>
  <c r="R62" i="19" s="1"/>
  <c r="N62" i="19"/>
  <c r="O62" i="19"/>
  <c r="M169" i="19"/>
  <c r="R169" i="19" s="1"/>
  <c r="N169" i="19"/>
  <c r="O169" i="19"/>
  <c r="M153" i="19"/>
  <c r="R153" i="19" s="1"/>
  <c r="N153" i="19"/>
  <c r="O153" i="19"/>
  <c r="N137" i="19"/>
  <c r="O137" i="19"/>
  <c r="M137" i="19"/>
  <c r="R137" i="19" s="1"/>
  <c r="N121" i="19"/>
  <c r="O121" i="19"/>
  <c r="M121" i="19"/>
  <c r="R121" i="19" s="1"/>
  <c r="O132" i="19"/>
  <c r="M132" i="19"/>
  <c r="R132" i="19" s="1"/>
  <c r="N132" i="19"/>
  <c r="O116" i="19"/>
  <c r="M116" i="19"/>
  <c r="R116" i="19" s="1"/>
  <c r="N116" i="19"/>
  <c r="O105" i="19"/>
  <c r="M105" i="19"/>
  <c r="R105" i="19" s="1"/>
  <c r="N105" i="19"/>
  <c r="O97" i="19"/>
  <c r="M97" i="19"/>
  <c r="R97" i="19" s="1"/>
  <c r="N97" i="19"/>
  <c r="O89" i="19"/>
  <c r="M89" i="19"/>
  <c r="R89" i="19" s="1"/>
  <c r="N89" i="19"/>
  <c r="O81" i="19"/>
  <c r="M81" i="19"/>
  <c r="R81" i="19" s="1"/>
  <c r="O73" i="19"/>
  <c r="M73" i="19"/>
  <c r="R73" i="19" s="1"/>
  <c r="O65" i="19"/>
  <c r="M65" i="19"/>
  <c r="R65" i="19" s="1"/>
  <c r="N143" i="19"/>
  <c r="O143" i="19"/>
  <c r="M143" i="19"/>
  <c r="R143" i="19" s="1"/>
  <c r="M127" i="19"/>
  <c r="R127" i="19" s="1"/>
  <c r="N127" i="19"/>
  <c r="O127" i="19"/>
  <c r="O60" i="19"/>
  <c r="M60" i="19"/>
  <c r="R60" i="19" s="1"/>
  <c r="N60" i="19"/>
  <c r="O53" i="19"/>
  <c r="M53" i="19"/>
  <c r="R53" i="19" s="1"/>
  <c r="N53" i="19"/>
  <c r="N45" i="19"/>
  <c r="O45" i="19"/>
  <c r="M45" i="19"/>
  <c r="R45" i="19" s="1"/>
  <c r="N37" i="19"/>
  <c r="O37" i="19"/>
  <c r="M37" i="19"/>
  <c r="R37" i="19" s="1"/>
  <c r="N29" i="19"/>
  <c r="O29" i="19"/>
  <c r="M29" i="19"/>
  <c r="R29" i="19" s="1"/>
  <c r="N21" i="19"/>
  <c r="O21" i="19"/>
  <c r="M21" i="19"/>
  <c r="R21" i="19" s="1"/>
  <c r="M50" i="19"/>
  <c r="R50" i="19" s="1"/>
  <c r="N50" i="19"/>
  <c r="O50" i="19"/>
  <c r="M42" i="19"/>
  <c r="R42" i="19" s="1"/>
  <c r="N42" i="19"/>
  <c r="O42" i="19"/>
  <c r="M34" i="19"/>
  <c r="R34" i="19" s="1"/>
  <c r="N34" i="19"/>
  <c r="O34" i="19"/>
  <c r="M26" i="19"/>
  <c r="R26" i="19" s="1"/>
  <c r="N26" i="19"/>
  <c r="O26" i="19"/>
  <c r="M18" i="19"/>
  <c r="R18" i="19" s="1"/>
  <c r="N18" i="19"/>
  <c r="O18" i="19"/>
  <c r="N112" i="19"/>
  <c r="O112" i="19"/>
  <c r="M112" i="19"/>
  <c r="R112" i="19" s="1"/>
  <c r="AH112" i="7" a="1"/>
  <c r="AH112" i="7" s="1"/>
  <c r="AI112" i="7"/>
  <c r="AB112" i="7" s="1"/>
  <c r="AC112" i="7" s="1"/>
  <c r="AH138" i="7" a="1"/>
  <c r="AH138" i="7" s="1"/>
  <c r="AI138" i="7"/>
  <c r="AB138" i="7" s="1"/>
  <c r="AC138" i="7" s="1"/>
  <c r="AD104" i="7" l="1" a="1"/>
  <c r="AD104" i="7" s="1"/>
  <c r="AE104" i="7" a="1"/>
  <c r="AE104" i="7" s="1"/>
  <c r="N30" i="19"/>
  <c r="AJ90" i="7"/>
  <c r="AJ98" i="7"/>
  <c r="AJ32" i="7"/>
  <c r="AJ74" i="7"/>
  <c r="AJ20" i="7"/>
  <c r="AJ82" i="7"/>
  <c r="AJ58" i="7"/>
  <c r="AJ12" i="7"/>
  <c r="AE54" i="7" a="1"/>
  <c r="AE54" i="7" s="1"/>
  <c r="AD66" i="7" a="1"/>
  <c r="AD66" i="7" s="1"/>
  <c r="AD16" i="7" a="1"/>
  <c r="AD16" i="7" s="1"/>
  <c r="AE78" i="7" a="1"/>
  <c r="AE78" i="7" s="1"/>
  <c r="AD50" i="7" a="1"/>
  <c r="AD50" i="7" s="1"/>
  <c r="AJ14" i="7"/>
  <c r="AJ136" i="7"/>
  <c r="AJ144" i="7"/>
  <c r="AJ148" i="7"/>
  <c r="AE168" i="7" a="1"/>
  <c r="AE168" i="7" s="1"/>
  <c r="AD168" i="7" a="1"/>
  <c r="AD168" i="7" s="1"/>
  <c r="AD166" i="7" a="1"/>
  <c r="AD166" i="7" s="1"/>
  <c r="AE166" i="7" a="1"/>
  <c r="AE166" i="7" s="1"/>
  <c r="AE130" i="7" a="1"/>
  <c r="AE130" i="7" s="1"/>
  <c r="AD130" i="7" a="1"/>
  <c r="AD130" i="7" s="1"/>
  <c r="AE154" i="7" a="1"/>
  <c r="AE154" i="7" s="1"/>
  <c r="AD154" i="7" a="1"/>
  <c r="AD154" i="7" s="1"/>
  <c r="AE138" i="7" a="1"/>
  <c r="AE138" i="7" s="1"/>
  <c r="AD138" i="7" a="1"/>
  <c r="AD138" i="7" s="1"/>
  <c r="AJ118" i="7"/>
  <c r="AJ160" i="7"/>
  <c r="AD158" i="7" a="1"/>
  <c r="AD158" i="7" s="1"/>
  <c r="AJ158" i="7" s="1"/>
  <c r="AE158" i="7" a="1"/>
  <c r="AE158" i="7" s="1"/>
  <c r="AJ42" i="7"/>
  <c r="AJ38" i="7"/>
  <c r="AE120" i="7" a="1"/>
  <c r="AE120" i="7" s="1"/>
  <c r="AD120" i="7" a="1"/>
  <c r="AD120" i="7" s="1"/>
  <c r="AJ18" i="7"/>
  <c r="AD116" i="7" a="1"/>
  <c r="AD116" i="7" s="1"/>
  <c r="AE116" i="7" a="1"/>
  <c r="AE116" i="7" s="1"/>
  <c r="AJ30" i="7"/>
  <c r="AJ132" i="7"/>
  <c r="AJ94" i="7"/>
  <c r="AJ88" i="7"/>
  <c r="AJ108" i="7"/>
  <c r="AJ102" i="7"/>
  <c r="AJ96" i="7"/>
  <c r="AJ84" i="7"/>
  <c r="AJ110" i="7"/>
  <c r="AJ62" i="7"/>
  <c r="AJ72" i="7"/>
  <c r="AJ60" i="7"/>
  <c r="AJ126" i="7"/>
  <c r="AJ156" i="7"/>
  <c r="AJ70" i="7"/>
  <c r="AJ80" i="7"/>
  <c r="AJ100" i="7"/>
  <c r="AJ44" i="7"/>
  <c r="AE162" i="7" a="1"/>
  <c r="AE162" i="7" s="1"/>
  <c r="AD162" i="7" a="1"/>
  <c r="AD162" i="7" s="1"/>
  <c r="AJ152" i="7"/>
  <c r="AJ66" i="7"/>
  <c r="AJ16" i="7"/>
  <c r="AJ106" i="7"/>
  <c r="AJ36" i="7"/>
  <c r="AJ24" i="7"/>
  <c r="AJ122" i="7"/>
  <c r="AJ50" i="7"/>
  <c r="AJ40" i="7"/>
  <c r="AE112" i="7" a="1"/>
  <c r="AE112" i="7" s="1"/>
  <c r="AD112" i="7" a="1"/>
  <c r="AD112" i="7" s="1"/>
  <c r="AJ112" i="7" s="1"/>
  <c r="AD134" i="7" a="1"/>
  <c r="AD134" i="7" s="1"/>
  <c r="AJ134" i="7" s="1"/>
  <c r="AE134" i="7" a="1"/>
  <c r="AE134" i="7" s="1"/>
  <c r="AJ26" i="7"/>
  <c r="AJ22" i="7"/>
  <c r="AE146" i="7" a="1"/>
  <c r="AE146" i="7" s="1"/>
  <c r="AD146" i="7" a="1"/>
  <c r="AD146" i="7" s="1"/>
  <c r="AD150" i="7" a="1"/>
  <c r="AD150" i="7" s="1"/>
  <c r="AE150" i="7" a="1"/>
  <c r="AE150" i="7" s="1"/>
  <c r="AJ34" i="7"/>
  <c r="AD142" i="7" a="1"/>
  <c r="AD142" i="7" s="1"/>
  <c r="AJ142" i="7" s="1"/>
  <c r="AE142" i="7" a="1"/>
  <c r="AE142" i="7" s="1"/>
  <c r="AJ114" i="7"/>
  <c r="AJ140" i="7"/>
  <c r="AJ124" i="7"/>
  <c r="AJ46" i="7"/>
  <c r="AJ56" i="7"/>
  <c r="AJ76" i="7"/>
  <c r="AJ54" i="7"/>
  <c r="AJ64" i="7"/>
  <c r="AJ52" i="7"/>
  <c r="AJ78" i="7"/>
  <c r="AJ104" i="7"/>
  <c r="AJ92" i="7"/>
  <c r="AJ164" i="7"/>
  <c r="AJ86" i="7"/>
  <c r="AJ48" i="7"/>
  <c r="AJ68" i="7"/>
  <c r="AJ162" i="7" l="1"/>
  <c r="AJ168" i="7"/>
  <c r="AJ146" i="7"/>
  <c r="AJ120" i="7"/>
  <c r="AJ138" i="7"/>
  <c r="AJ130" i="7"/>
  <c r="AJ116" i="7"/>
  <c r="AJ154" i="7"/>
  <c r="AJ150" i="7"/>
  <c r="AJ166" i="7"/>
  <c r="I6" i="8"/>
  <c r="L10" i="8"/>
  <c r="N10" i="8"/>
  <c r="O10" i="8"/>
  <c r="T10" i="8"/>
  <c r="U10" i="8"/>
  <c r="V10" i="8"/>
  <c r="W10" i="8"/>
  <c r="X10" i="8"/>
  <c r="Z10" i="8"/>
  <c r="L11" i="8"/>
  <c r="N11" i="8"/>
  <c r="O11" i="8"/>
  <c r="T11" i="8"/>
  <c r="U11" i="8"/>
  <c r="V11" i="8"/>
  <c r="W11" i="8"/>
  <c r="X11" i="8"/>
  <c r="I12" i="8"/>
  <c r="S12" i="8"/>
  <c r="V12" i="8"/>
  <c r="W12" i="8"/>
  <c r="I13" i="8"/>
  <c r="S13" i="8"/>
  <c r="V13" i="8"/>
  <c r="W13" i="8"/>
  <c r="I14" i="8"/>
  <c r="S14" i="8"/>
  <c r="V14" i="8"/>
  <c r="W14" i="8"/>
  <c r="I15" i="8"/>
  <c r="S15" i="8"/>
  <c r="V15" i="8"/>
  <c r="W15" i="8"/>
  <c r="I16" i="8"/>
  <c r="S16" i="8"/>
  <c r="V16" i="8"/>
  <c r="W16" i="8"/>
  <c r="I17" i="8"/>
  <c r="S17" i="8"/>
  <c r="V17" i="8"/>
  <c r="W17" i="8"/>
  <c r="I18" i="8"/>
  <c r="S18" i="8"/>
  <c r="V18" i="8"/>
  <c r="W18" i="8"/>
  <c r="I19" i="8"/>
  <c r="S19" i="8"/>
  <c r="V19" i="8"/>
  <c r="W19" i="8"/>
  <c r="I20" i="8"/>
  <c r="S20" i="8"/>
  <c r="V20" i="8"/>
  <c r="W20" i="8"/>
  <c r="I21" i="8"/>
  <c r="S21" i="8"/>
  <c r="V21" i="8"/>
  <c r="W21" i="8"/>
  <c r="I22" i="8"/>
  <c r="S22" i="8"/>
  <c r="V22" i="8"/>
  <c r="W22" i="8"/>
  <c r="I23" i="8"/>
  <c r="S23" i="8"/>
  <c r="V23" i="8"/>
  <c r="W23" i="8"/>
  <c r="I24" i="8"/>
  <c r="S24" i="8"/>
  <c r="V24" i="8"/>
  <c r="W24" i="8"/>
  <c r="I25" i="8"/>
  <c r="S25" i="8"/>
  <c r="V25" i="8"/>
  <c r="W25" i="8"/>
  <c r="I26" i="8"/>
  <c r="S26" i="8"/>
  <c r="V26" i="8"/>
  <c r="W26" i="8"/>
  <c r="I27" i="8"/>
  <c r="S27" i="8"/>
  <c r="V27" i="8"/>
  <c r="W27" i="8"/>
  <c r="I28" i="8"/>
  <c r="S28" i="8"/>
  <c r="V28" i="8"/>
  <c r="W28" i="8"/>
  <c r="I29" i="8"/>
  <c r="S29" i="8"/>
  <c r="V29" i="8"/>
  <c r="W29" i="8"/>
  <c r="I30" i="8"/>
  <c r="S30" i="8"/>
  <c r="V30" i="8"/>
  <c r="W30" i="8"/>
  <c r="I31" i="8"/>
  <c r="S31" i="8"/>
  <c r="V31" i="8"/>
  <c r="W31" i="8"/>
  <c r="I32" i="8"/>
  <c r="S32" i="8"/>
  <c r="V32" i="8"/>
  <c r="W32" i="8"/>
  <c r="I33" i="8"/>
  <c r="S33" i="8"/>
  <c r="V33" i="8"/>
  <c r="W33" i="8"/>
  <c r="I34" i="8"/>
  <c r="S34" i="8"/>
  <c r="V34" i="8"/>
  <c r="W34" i="8"/>
  <c r="I35" i="8"/>
  <c r="S35" i="8"/>
  <c r="V35" i="8"/>
  <c r="W35" i="8"/>
  <c r="I36" i="8"/>
  <c r="S36" i="8"/>
  <c r="V36" i="8"/>
  <c r="W36" i="8"/>
  <c r="I37" i="8"/>
  <c r="S37" i="8"/>
  <c r="V37" i="8"/>
  <c r="W37" i="8"/>
  <c r="I38" i="8"/>
  <c r="S38" i="8"/>
  <c r="V38" i="8"/>
  <c r="W38" i="8"/>
  <c r="I39" i="8"/>
  <c r="S39" i="8"/>
  <c r="V39" i="8"/>
  <c r="W39" i="8"/>
  <c r="I40" i="8"/>
  <c r="S40" i="8"/>
  <c r="V40" i="8"/>
  <c r="W40" i="8"/>
  <c r="I41" i="8"/>
  <c r="S41" i="8"/>
  <c r="V41" i="8"/>
  <c r="W41" i="8"/>
  <c r="I42" i="8"/>
  <c r="S42" i="8"/>
  <c r="V42" i="8"/>
  <c r="W42" i="8"/>
  <c r="I43" i="8"/>
  <c r="S43" i="8"/>
  <c r="V43" i="8"/>
  <c r="W43" i="8"/>
  <c r="I44" i="8"/>
  <c r="S44" i="8"/>
  <c r="V44" i="8"/>
  <c r="W44" i="8"/>
  <c r="I45" i="8"/>
  <c r="S45" i="8"/>
  <c r="V45" i="8"/>
  <c r="W45" i="8"/>
  <c r="I46" i="8"/>
  <c r="S46" i="8"/>
  <c r="V46" i="8"/>
  <c r="W46" i="8"/>
  <c r="I47" i="8"/>
  <c r="S47" i="8"/>
  <c r="V47" i="8"/>
  <c r="W47" i="8"/>
  <c r="I48" i="8"/>
  <c r="S48" i="8"/>
  <c r="V48" i="8"/>
  <c r="W48" i="8"/>
  <c r="I49" i="8"/>
  <c r="S49" i="8"/>
  <c r="V49" i="8"/>
  <c r="W49" i="8"/>
  <c r="I50" i="8"/>
  <c r="S50" i="8"/>
  <c r="V50" i="8"/>
  <c r="W50" i="8"/>
  <c r="I51" i="8"/>
  <c r="S51" i="8"/>
  <c r="V51" i="8"/>
  <c r="W51" i="8"/>
  <c r="I52" i="8"/>
  <c r="S52" i="8"/>
  <c r="V52" i="8"/>
  <c r="W52" i="8"/>
  <c r="I53" i="8"/>
  <c r="S53" i="8"/>
  <c r="V53" i="8"/>
  <c r="W53" i="8"/>
  <c r="I54" i="8"/>
  <c r="S54" i="8"/>
  <c r="V54" i="8"/>
  <c r="W54" i="8"/>
  <c r="I55" i="8"/>
  <c r="S55" i="8"/>
  <c r="V55" i="8"/>
  <c r="W55" i="8"/>
  <c r="I56" i="8"/>
  <c r="S56" i="8"/>
  <c r="V56" i="8"/>
  <c r="W56" i="8"/>
  <c r="I57" i="8"/>
  <c r="S57" i="8"/>
  <c r="V57" i="8"/>
  <c r="W57" i="8"/>
  <c r="I58" i="8"/>
  <c r="S58" i="8"/>
  <c r="V58" i="8"/>
  <c r="W58" i="8"/>
  <c r="I59" i="8"/>
  <c r="S59" i="8"/>
  <c r="V59" i="8"/>
  <c r="W59" i="8"/>
  <c r="I60" i="8"/>
  <c r="S60" i="8"/>
  <c r="V60" i="8"/>
  <c r="W60" i="8"/>
  <c r="I61" i="8"/>
  <c r="S61" i="8"/>
  <c r="V61" i="8"/>
  <c r="W61" i="8"/>
  <c r="I62" i="8"/>
  <c r="S62" i="8"/>
  <c r="V62" i="8"/>
  <c r="W62" i="8"/>
  <c r="I63" i="8"/>
  <c r="S63" i="8"/>
  <c r="V63" i="8"/>
  <c r="W63" i="8"/>
  <c r="I64" i="8"/>
  <c r="S64" i="8"/>
  <c r="V64" i="8"/>
  <c r="W64" i="8"/>
  <c r="I65" i="8"/>
  <c r="S65" i="8"/>
  <c r="V65" i="8"/>
  <c r="W65" i="8"/>
  <c r="I66" i="8"/>
  <c r="S66" i="8"/>
  <c r="V66" i="8"/>
  <c r="W66" i="8"/>
  <c r="I67" i="8"/>
  <c r="S67" i="8"/>
  <c r="V67" i="8"/>
  <c r="W67" i="8"/>
  <c r="I68" i="8"/>
  <c r="S68" i="8"/>
  <c r="V68" i="8"/>
  <c r="W68" i="8"/>
  <c r="I69" i="8"/>
  <c r="S69" i="8"/>
  <c r="V69" i="8"/>
  <c r="W69" i="8"/>
  <c r="I70" i="8"/>
  <c r="S70" i="8"/>
  <c r="V70" i="8"/>
  <c r="W70" i="8"/>
  <c r="I71" i="8"/>
  <c r="S71" i="8"/>
  <c r="V71" i="8"/>
  <c r="W71" i="8"/>
  <c r="I72" i="8"/>
  <c r="S72" i="8"/>
  <c r="V72" i="8"/>
  <c r="W72" i="8"/>
  <c r="I73" i="8"/>
  <c r="S73" i="8"/>
  <c r="V73" i="8"/>
  <c r="W73" i="8"/>
  <c r="I74" i="8"/>
  <c r="S74" i="8"/>
  <c r="V74" i="8"/>
  <c r="W74" i="8"/>
  <c r="I75" i="8"/>
  <c r="S75" i="8"/>
  <c r="V75" i="8"/>
  <c r="W75" i="8"/>
  <c r="I76" i="8"/>
  <c r="S76" i="8"/>
  <c r="V76" i="8"/>
  <c r="W76" i="8"/>
  <c r="I77" i="8"/>
  <c r="S77" i="8"/>
  <c r="V77" i="8"/>
  <c r="W77" i="8"/>
  <c r="I78" i="8"/>
  <c r="S78" i="8"/>
  <c r="V78" i="8"/>
  <c r="W78" i="8"/>
  <c r="I79" i="8"/>
  <c r="S79" i="8"/>
  <c r="V79" i="8"/>
  <c r="W79" i="8"/>
  <c r="I80" i="8"/>
  <c r="S80" i="8"/>
  <c r="V80" i="8"/>
  <c r="W80" i="8"/>
  <c r="I81" i="8"/>
  <c r="S81" i="8"/>
  <c r="V81" i="8"/>
  <c r="W81" i="8"/>
  <c r="I82" i="8"/>
  <c r="S82" i="8"/>
  <c r="V82" i="8"/>
  <c r="W82" i="8"/>
  <c r="I83" i="8"/>
  <c r="S83" i="8"/>
  <c r="V83" i="8"/>
  <c r="W83" i="8"/>
  <c r="I84" i="8"/>
  <c r="S84" i="8"/>
  <c r="V84" i="8"/>
  <c r="W84" i="8"/>
  <c r="I85" i="8"/>
  <c r="S85" i="8"/>
  <c r="V85" i="8"/>
  <c r="W85" i="8"/>
  <c r="I86" i="8"/>
  <c r="S86" i="8"/>
  <c r="V86" i="8"/>
  <c r="W86" i="8"/>
  <c r="I87" i="8"/>
  <c r="S87" i="8"/>
  <c r="V87" i="8"/>
  <c r="W87" i="8"/>
  <c r="I88" i="8"/>
  <c r="S88" i="8"/>
  <c r="V88" i="8"/>
  <c r="W88" i="8"/>
  <c r="I89" i="8"/>
  <c r="S89" i="8"/>
  <c r="V89" i="8"/>
  <c r="W89" i="8"/>
  <c r="I90" i="8"/>
  <c r="S90" i="8"/>
  <c r="V90" i="8"/>
  <c r="W90" i="8"/>
  <c r="I91" i="8"/>
  <c r="S91" i="8"/>
  <c r="V91" i="8"/>
  <c r="W91" i="8"/>
  <c r="I92" i="8"/>
  <c r="S92" i="8"/>
  <c r="V92" i="8"/>
  <c r="W92" i="8"/>
  <c r="I93" i="8"/>
  <c r="S93" i="8"/>
  <c r="V93" i="8"/>
  <c r="W93" i="8"/>
  <c r="I94" i="8"/>
  <c r="S94" i="8"/>
  <c r="V94" i="8"/>
  <c r="W94" i="8"/>
  <c r="I95" i="8"/>
  <c r="S95" i="8"/>
  <c r="V95" i="8"/>
  <c r="W95" i="8"/>
  <c r="I96" i="8"/>
  <c r="S96" i="8"/>
  <c r="V96" i="8"/>
  <c r="W96" i="8"/>
  <c r="I97" i="8"/>
  <c r="S97" i="8"/>
  <c r="V97" i="8"/>
  <c r="W97" i="8"/>
  <c r="I98" i="8"/>
  <c r="S98" i="8"/>
  <c r="V98" i="8"/>
  <c r="W98" i="8"/>
  <c r="I99" i="8"/>
  <c r="S99" i="8"/>
  <c r="V99" i="8"/>
  <c r="W99" i="8"/>
  <c r="I100" i="8"/>
  <c r="S100" i="8"/>
  <c r="V100" i="8"/>
  <c r="W100" i="8"/>
  <c r="I101" i="8"/>
  <c r="S101" i="8"/>
  <c r="V101" i="8"/>
  <c r="W101" i="8"/>
  <c r="I102" i="8"/>
  <c r="S102" i="8"/>
  <c r="V102" i="8"/>
  <c r="W102" i="8"/>
  <c r="I103" i="8"/>
  <c r="S103" i="8"/>
  <c r="V103" i="8"/>
  <c r="W103" i="8"/>
  <c r="I104" i="8"/>
  <c r="S104" i="8"/>
  <c r="V104" i="8"/>
  <c r="W104" i="8"/>
  <c r="I105" i="8"/>
  <c r="S105" i="8"/>
  <c r="V105" i="8"/>
  <c r="W105" i="8"/>
  <c r="I106" i="8"/>
  <c r="S106" i="8"/>
  <c r="V106" i="8"/>
  <c r="W106" i="8"/>
  <c r="I107" i="8"/>
  <c r="S107" i="8"/>
  <c r="V107" i="8"/>
  <c r="W107" i="8"/>
  <c r="I108" i="8"/>
  <c r="S108" i="8"/>
  <c r="V108" i="8"/>
  <c r="W108" i="8"/>
  <c r="I109" i="8"/>
  <c r="S109" i="8"/>
  <c r="V109" i="8"/>
  <c r="W109" i="8"/>
  <c r="I110" i="8"/>
  <c r="S110" i="8"/>
  <c r="V110" i="8"/>
  <c r="W110" i="8"/>
  <c r="I111" i="8"/>
  <c r="S111" i="8"/>
  <c r="V111" i="8"/>
  <c r="W111" i="8"/>
  <c r="I112" i="8"/>
  <c r="S112" i="8"/>
  <c r="V112" i="8"/>
  <c r="W112" i="8"/>
  <c r="I113" i="8"/>
  <c r="S113" i="8"/>
  <c r="V113" i="8"/>
  <c r="W113" i="8"/>
  <c r="I114" i="8"/>
  <c r="S114" i="8"/>
  <c r="V114" i="8"/>
  <c r="W114" i="8"/>
  <c r="I115" i="8"/>
  <c r="S115" i="8"/>
  <c r="V115" i="8"/>
  <c r="W115" i="8"/>
  <c r="I116" i="8"/>
  <c r="S116" i="8"/>
  <c r="V116" i="8"/>
  <c r="W116" i="8"/>
  <c r="I117" i="8"/>
  <c r="S117" i="8"/>
  <c r="V117" i="8"/>
  <c r="W117" i="8"/>
  <c r="I118" i="8"/>
  <c r="S118" i="8"/>
  <c r="V118" i="8"/>
  <c r="W118" i="8"/>
  <c r="I119" i="8"/>
  <c r="S119" i="8"/>
  <c r="V119" i="8"/>
  <c r="W119" i="8"/>
  <c r="I120" i="8"/>
  <c r="S120" i="8"/>
  <c r="V120" i="8"/>
  <c r="W120" i="8"/>
  <c r="I121" i="8"/>
  <c r="S121" i="8"/>
  <c r="V121" i="8"/>
  <c r="W121" i="8"/>
  <c r="I122" i="8"/>
  <c r="S122" i="8"/>
  <c r="V122" i="8"/>
  <c r="W122" i="8"/>
  <c r="I123" i="8"/>
  <c r="S123" i="8"/>
  <c r="V123" i="8"/>
  <c r="W123" i="8"/>
  <c r="I124" i="8"/>
  <c r="S124" i="8"/>
  <c r="V124" i="8"/>
  <c r="W124" i="8"/>
  <c r="I125" i="8"/>
  <c r="S125" i="8"/>
  <c r="V125" i="8"/>
  <c r="W125" i="8"/>
  <c r="I126" i="8"/>
  <c r="S126" i="8"/>
  <c r="V126" i="8"/>
  <c r="W126" i="8"/>
  <c r="I127" i="8"/>
  <c r="S127" i="8"/>
  <c r="V127" i="8"/>
  <c r="W127" i="8"/>
  <c r="I128" i="8"/>
  <c r="S128" i="8"/>
  <c r="V128" i="8"/>
  <c r="W128" i="8"/>
  <c r="I129" i="8"/>
  <c r="S129" i="8"/>
  <c r="V129" i="8"/>
  <c r="W129" i="8"/>
  <c r="I130" i="8"/>
  <c r="S130" i="8"/>
  <c r="V130" i="8"/>
  <c r="W130" i="8"/>
  <c r="I131" i="8"/>
  <c r="S131" i="8"/>
  <c r="V131" i="8"/>
  <c r="W131" i="8"/>
  <c r="I132" i="8"/>
  <c r="S132" i="8"/>
  <c r="V132" i="8"/>
  <c r="W132" i="8"/>
  <c r="I133" i="8"/>
  <c r="S133" i="8"/>
  <c r="V133" i="8"/>
  <c r="W133" i="8"/>
  <c r="I134" i="8"/>
  <c r="S134" i="8"/>
  <c r="V134" i="8"/>
  <c r="W134" i="8"/>
  <c r="I135" i="8"/>
  <c r="S135" i="8"/>
  <c r="V135" i="8"/>
  <c r="W135" i="8"/>
  <c r="I136" i="8"/>
  <c r="S136" i="8"/>
  <c r="V136" i="8"/>
  <c r="W136" i="8"/>
  <c r="I137" i="8"/>
  <c r="S137" i="8"/>
  <c r="V137" i="8"/>
  <c r="W137" i="8"/>
  <c r="I138" i="8"/>
  <c r="S138" i="8"/>
  <c r="V138" i="8"/>
  <c r="W138" i="8"/>
  <c r="I139" i="8"/>
  <c r="S139" i="8"/>
  <c r="V139" i="8"/>
  <c r="W139" i="8"/>
  <c r="I140" i="8"/>
  <c r="S140" i="8"/>
  <c r="V140" i="8"/>
  <c r="W140" i="8"/>
  <c r="I141" i="8"/>
  <c r="S141" i="8"/>
  <c r="V141" i="8"/>
  <c r="W141" i="8"/>
  <c r="I142" i="8"/>
  <c r="S142" i="8"/>
  <c r="V142" i="8"/>
  <c r="W142" i="8"/>
  <c r="I143" i="8"/>
  <c r="S143" i="8"/>
  <c r="V143" i="8"/>
  <c r="W143" i="8"/>
  <c r="I144" i="8"/>
  <c r="S144" i="8"/>
  <c r="V144" i="8"/>
  <c r="W144" i="8"/>
  <c r="I145" i="8"/>
  <c r="S145" i="8"/>
  <c r="V145" i="8"/>
  <c r="W145" i="8"/>
  <c r="I146" i="8"/>
  <c r="S146" i="8"/>
  <c r="V146" i="8"/>
  <c r="W146" i="8"/>
  <c r="I147" i="8"/>
  <c r="S147" i="8"/>
  <c r="V147" i="8"/>
  <c r="W147" i="8"/>
  <c r="I148" i="8"/>
  <c r="S148" i="8"/>
  <c r="V148" i="8"/>
  <c r="W148" i="8"/>
  <c r="I149" i="8"/>
  <c r="S149" i="8"/>
  <c r="V149" i="8"/>
  <c r="W149" i="8"/>
  <c r="I150" i="8"/>
  <c r="S150" i="8"/>
  <c r="V150" i="8"/>
  <c r="W150" i="8"/>
  <c r="I151" i="8"/>
  <c r="S151" i="8"/>
  <c r="V151" i="8"/>
  <c r="W151" i="8"/>
  <c r="I152" i="8"/>
  <c r="S152" i="8"/>
  <c r="V152" i="8"/>
  <c r="W152" i="8"/>
  <c r="I153" i="8"/>
  <c r="S153" i="8"/>
  <c r="V153" i="8"/>
  <c r="W153" i="8"/>
  <c r="I154" i="8"/>
  <c r="S154" i="8"/>
  <c r="V154" i="8"/>
  <c r="W154" i="8"/>
  <c r="I155" i="8"/>
  <c r="S155" i="8"/>
  <c r="V155" i="8"/>
  <c r="W155" i="8"/>
  <c r="I156" i="8"/>
  <c r="S156" i="8"/>
  <c r="V156" i="8"/>
  <c r="W156" i="8"/>
  <c r="I157" i="8"/>
  <c r="S157" i="8"/>
  <c r="V157" i="8"/>
  <c r="W157" i="8"/>
  <c r="I158" i="8"/>
  <c r="S158" i="8"/>
  <c r="V158" i="8"/>
  <c r="W158" i="8"/>
  <c r="I159" i="8"/>
  <c r="S159" i="8"/>
  <c r="V159" i="8"/>
  <c r="W159" i="8"/>
  <c r="I160" i="8"/>
  <c r="S160" i="8"/>
  <c r="V160" i="8"/>
  <c r="W160" i="8"/>
  <c r="I161" i="8"/>
  <c r="S161" i="8"/>
  <c r="V161" i="8"/>
  <c r="W161" i="8"/>
  <c r="I162" i="8"/>
  <c r="S162" i="8"/>
  <c r="V162" i="8"/>
  <c r="W162" i="8"/>
  <c r="I163" i="8"/>
  <c r="S163" i="8"/>
  <c r="V163" i="8"/>
  <c r="W163" i="8"/>
  <c r="I164" i="8"/>
  <c r="S164" i="8"/>
  <c r="V164" i="8"/>
  <c r="W164" i="8"/>
  <c r="I165" i="8"/>
  <c r="S165" i="8"/>
  <c r="V165" i="8"/>
  <c r="W165" i="8"/>
  <c r="I166" i="8"/>
  <c r="S166" i="8"/>
  <c r="V166" i="8"/>
  <c r="W166" i="8"/>
  <c r="I167" i="8"/>
  <c r="S167" i="8"/>
  <c r="V167" i="8"/>
  <c r="W167" i="8"/>
  <c r="I168" i="8"/>
  <c r="S168" i="8"/>
  <c r="V168" i="8"/>
  <c r="W168" i="8"/>
  <c r="I169" i="8"/>
  <c r="S169" i="8"/>
  <c r="V169" i="8"/>
  <c r="W169" i="8"/>
  <c r="U4" i="18"/>
  <c r="V4" i="18"/>
  <c r="W4" i="18"/>
  <c r="X4" i="18"/>
  <c r="AA4" i="18"/>
  <c r="AB4" i="18"/>
  <c r="V5" i="18"/>
  <c r="W5" i="18"/>
  <c r="U6" i="18"/>
  <c r="X6" i="18"/>
  <c r="AA6" i="18"/>
  <c r="AB6" i="18"/>
  <c r="V7" i="18"/>
  <c r="W7" i="18"/>
  <c r="AA7" i="18"/>
  <c r="AB7" i="18"/>
  <c r="AC7" i="18"/>
  <c r="AE7" i="18"/>
  <c r="AF7" i="18"/>
  <c r="AG7" i="18"/>
  <c r="AH7" i="18"/>
  <c r="AI7" i="18"/>
  <c r="V8" i="18"/>
  <c r="W8" i="18"/>
  <c r="AA8" i="18"/>
  <c r="AB8" i="18"/>
  <c r="AC8" i="18"/>
  <c r="AE8" i="18"/>
  <c r="AF8" i="18"/>
  <c r="AG8" i="18"/>
  <c r="AH8" i="18"/>
  <c r="AI8" i="18"/>
  <c r="V9" i="18"/>
  <c r="W9" i="18"/>
  <c r="AA9" i="18"/>
  <c r="AB9" i="18"/>
  <c r="AC9" i="18"/>
  <c r="AE9" i="18"/>
  <c r="AF9" i="18"/>
  <c r="AG9" i="18"/>
  <c r="AH9" i="18"/>
  <c r="AI9" i="18"/>
  <c r="V10" i="18"/>
  <c r="W10" i="18"/>
  <c r="AA10" i="18"/>
  <c r="AB10" i="18"/>
  <c r="AC10" i="18"/>
  <c r="AE10" i="18"/>
  <c r="AF10" i="18"/>
  <c r="AG10" i="18"/>
  <c r="AH10" i="18"/>
  <c r="AI10" i="18"/>
  <c r="V11" i="18"/>
  <c r="W11" i="18"/>
  <c r="AA11" i="18"/>
  <c r="AB11" i="18"/>
  <c r="AC11" i="18"/>
  <c r="AE11" i="18"/>
  <c r="AF11" i="18"/>
  <c r="AG11" i="18"/>
  <c r="AH11" i="18"/>
  <c r="AI11" i="18"/>
  <c r="V12" i="18"/>
  <c r="W12" i="18"/>
  <c r="AA12" i="18"/>
  <c r="AB12" i="18"/>
  <c r="AC12" i="18"/>
  <c r="AE12" i="18"/>
  <c r="AF12" i="18"/>
  <c r="AG12" i="18"/>
  <c r="AH12" i="18"/>
  <c r="AI12" i="18"/>
  <c r="V13" i="18"/>
  <c r="W13" i="18"/>
  <c r="AA13" i="18"/>
  <c r="AB13" i="18"/>
  <c r="AC13" i="18"/>
  <c r="AE13" i="18"/>
  <c r="AF13" i="18"/>
  <c r="AG13" i="18"/>
  <c r="AH13" i="18"/>
  <c r="AI13" i="18"/>
  <c r="V14" i="18"/>
  <c r="W14" i="18"/>
  <c r="AA14" i="18"/>
  <c r="AB14" i="18"/>
  <c r="AC14" i="18"/>
  <c r="AE14" i="18"/>
  <c r="AF14" i="18"/>
  <c r="AG14" i="18"/>
  <c r="AH14" i="18"/>
  <c r="AI14" i="18"/>
  <c r="V15" i="18"/>
  <c r="W15" i="18"/>
  <c r="AA15" i="18"/>
  <c r="AB15" i="18"/>
  <c r="AC15" i="18"/>
  <c r="AE15" i="18"/>
  <c r="AF15" i="18"/>
  <c r="AG15" i="18"/>
  <c r="AH15" i="18"/>
  <c r="AI15" i="18"/>
  <c r="V16" i="18"/>
  <c r="W16" i="18"/>
  <c r="AA16" i="18"/>
  <c r="AB16" i="18"/>
  <c r="AC16" i="18"/>
  <c r="AE16" i="18"/>
  <c r="AF16" i="18"/>
  <c r="AG16" i="18"/>
  <c r="AH16" i="18"/>
  <c r="AI16" i="18"/>
  <c r="V17" i="18"/>
  <c r="W17" i="18"/>
  <c r="AA17" i="18"/>
  <c r="AB17" i="18"/>
  <c r="AC17" i="18"/>
  <c r="AE17" i="18"/>
  <c r="AF17" i="18"/>
  <c r="AG17" i="18"/>
  <c r="AH17" i="18"/>
  <c r="AI17" i="18"/>
  <c r="V18" i="18"/>
  <c r="W18" i="18"/>
  <c r="AA18" i="18"/>
  <c r="AB18" i="18"/>
  <c r="AC18" i="18"/>
  <c r="AE18" i="18"/>
  <c r="AF18" i="18"/>
  <c r="AG18" i="18"/>
  <c r="AH18" i="18"/>
  <c r="AI18" i="18"/>
  <c r="V19" i="18"/>
  <c r="W19" i="18"/>
  <c r="AB19" i="18"/>
  <c r="AC19" i="18"/>
  <c r="AE19" i="18"/>
  <c r="AF19" i="18"/>
  <c r="AG19" i="18"/>
  <c r="AH19" i="18"/>
  <c r="AI19" i="18"/>
  <c r="V20" i="18"/>
  <c r="W20" i="18"/>
  <c r="AB20" i="18"/>
  <c r="AC20" i="18"/>
  <c r="AE20" i="18"/>
  <c r="AF20" i="18"/>
  <c r="AG20" i="18"/>
  <c r="AH20" i="18"/>
  <c r="AI20" i="18"/>
  <c r="V21" i="18"/>
  <c r="W21" i="18"/>
  <c r="AB21" i="18"/>
  <c r="AC21" i="18"/>
  <c r="AE21" i="18"/>
  <c r="AF21" i="18"/>
  <c r="AG21" i="18"/>
  <c r="AH21" i="18"/>
  <c r="AI21" i="18"/>
  <c r="V22" i="18"/>
  <c r="W22" i="18"/>
  <c r="AB22" i="18"/>
  <c r="AC22" i="18"/>
  <c r="AE22" i="18"/>
  <c r="AF22" i="18"/>
  <c r="AG22" i="18"/>
  <c r="AH22" i="18"/>
  <c r="AI22" i="18"/>
  <c r="V23" i="18"/>
  <c r="W23" i="18"/>
  <c r="AB23" i="18"/>
  <c r="AC23" i="18"/>
  <c r="AE23" i="18"/>
  <c r="AF23" i="18"/>
  <c r="AG23" i="18"/>
  <c r="AH23" i="18"/>
  <c r="AI23" i="18"/>
  <c r="V24" i="18"/>
  <c r="W24" i="18"/>
  <c r="AB24" i="18"/>
  <c r="AC24" i="18"/>
  <c r="AE24" i="18"/>
  <c r="AF24" i="18"/>
  <c r="AG24" i="18"/>
  <c r="AH24" i="18"/>
  <c r="AI24" i="18"/>
  <c r="V25" i="18"/>
  <c r="W25" i="18"/>
  <c r="AB25" i="18"/>
  <c r="AC25" i="18"/>
  <c r="AE25" i="18"/>
  <c r="AF25" i="18"/>
  <c r="AG25" i="18"/>
  <c r="AH25" i="18"/>
  <c r="AI25" i="18"/>
  <c r="V26" i="18"/>
  <c r="W26" i="18"/>
  <c r="AB26" i="18"/>
  <c r="AC26" i="18"/>
  <c r="AE26" i="18"/>
  <c r="AF26" i="18"/>
  <c r="AG26" i="18"/>
  <c r="AH26" i="18"/>
  <c r="AI26" i="18"/>
  <c r="V27" i="18"/>
  <c r="W27" i="18"/>
  <c r="AB27" i="18"/>
  <c r="AC27" i="18"/>
  <c r="AE27" i="18"/>
  <c r="AF27" i="18"/>
  <c r="AG27" i="18"/>
  <c r="AH27" i="18"/>
  <c r="AI27" i="18"/>
  <c r="V28" i="18"/>
  <c r="W28" i="18"/>
  <c r="AB28" i="18"/>
  <c r="AC28" i="18"/>
  <c r="AE28" i="18"/>
  <c r="AF28" i="18"/>
  <c r="AG28" i="18"/>
  <c r="AH28" i="18"/>
  <c r="AI28" i="18"/>
  <c r="V29" i="18"/>
  <c r="W29" i="18"/>
  <c r="AB29" i="18"/>
  <c r="AC29" i="18"/>
  <c r="AE29" i="18"/>
  <c r="AF29" i="18"/>
  <c r="AG29" i="18"/>
  <c r="AH29" i="18"/>
  <c r="AI29" i="18"/>
  <c r="V30" i="18"/>
  <c r="W30" i="18"/>
  <c r="AB30" i="18"/>
  <c r="AC30" i="18"/>
  <c r="AE30" i="18"/>
  <c r="AF30" i="18"/>
  <c r="AG30" i="18"/>
  <c r="AH30" i="18"/>
  <c r="AI30" i="18"/>
  <c r="V31" i="18"/>
  <c r="W31" i="18"/>
  <c r="AB31" i="18"/>
  <c r="AC31" i="18"/>
  <c r="AE31" i="18"/>
  <c r="AF31" i="18"/>
  <c r="AG31" i="18"/>
  <c r="AH31" i="18"/>
  <c r="AI31" i="18"/>
  <c r="V32" i="18"/>
  <c r="W32" i="18"/>
  <c r="AB32" i="18"/>
  <c r="AC32" i="18"/>
  <c r="AE32" i="18"/>
  <c r="AF32" i="18"/>
  <c r="AG32" i="18"/>
  <c r="AH32" i="18"/>
  <c r="AI32" i="18"/>
  <c r="V33" i="18"/>
  <c r="W33" i="18"/>
  <c r="AB33" i="18"/>
  <c r="AC33" i="18"/>
  <c r="AE33" i="18"/>
  <c r="AF33" i="18"/>
  <c r="AG33" i="18"/>
  <c r="AH33" i="18"/>
  <c r="AI33" i="18"/>
  <c r="V34" i="18"/>
  <c r="W34" i="18"/>
  <c r="AB34" i="18"/>
  <c r="AC34" i="18"/>
  <c r="AE34" i="18"/>
  <c r="AF34" i="18"/>
  <c r="AG34" i="18"/>
  <c r="AH34" i="18"/>
  <c r="AI34" i="18"/>
  <c r="V35" i="18"/>
  <c r="W35" i="18"/>
  <c r="AB35" i="18"/>
  <c r="AC35" i="18"/>
  <c r="AE35" i="18"/>
  <c r="AF35" i="18"/>
  <c r="AG35" i="18"/>
  <c r="AH35" i="18"/>
  <c r="AI35" i="18"/>
  <c r="V36" i="18"/>
  <c r="W36" i="18"/>
  <c r="AB36" i="18"/>
  <c r="AC36" i="18"/>
  <c r="AE36" i="18"/>
  <c r="AF36" i="18"/>
  <c r="AG36" i="18"/>
  <c r="AH36" i="18"/>
  <c r="AI36" i="18"/>
  <c r="V37" i="18"/>
  <c r="W37" i="18"/>
  <c r="AB37" i="18"/>
  <c r="AC37" i="18"/>
  <c r="AE37" i="18"/>
  <c r="AF37" i="18"/>
  <c r="AG37" i="18"/>
  <c r="AH37" i="18"/>
  <c r="AI37" i="18"/>
  <c r="V38" i="18"/>
  <c r="W38" i="18"/>
  <c r="AB38" i="18"/>
  <c r="AC38" i="18"/>
  <c r="AE38" i="18"/>
  <c r="AF38" i="18"/>
  <c r="AG38" i="18"/>
  <c r="AH38" i="18"/>
  <c r="AI38" i="18"/>
  <c r="V39" i="18"/>
  <c r="W39" i="18"/>
  <c r="AB39" i="18"/>
  <c r="AC39" i="18"/>
  <c r="AE39" i="18"/>
  <c r="AF39" i="18"/>
  <c r="AG39" i="18"/>
  <c r="AH39" i="18"/>
  <c r="AI39" i="18"/>
  <c r="V40" i="18"/>
  <c r="W40" i="18"/>
  <c r="AB40" i="18"/>
  <c r="AC40" i="18"/>
  <c r="AE40" i="18"/>
  <c r="AF40" i="18"/>
  <c r="AG40" i="18"/>
  <c r="AH40" i="18"/>
  <c r="AI40" i="18"/>
  <c r="V41" i="18"/>
  <c r="W41" i="18"/>
  <c r="AB41" i="18"/>
  <c r="AC41" i="18"/>
  <c r="AE41" i="18"/>
  <c r="AF41" i="18"/>
  <c r="AG41" i="18"/>
  <c r="AH41" i="18"/>
  <c r="AI41" i="18"/>
  <c r="V42" i="18"/>
  <c r="W42" i="18"/>
  <c r="AB42" i="18"/>
  <c r="AC42" i="18"/>
  <c r="AE42" i="18"/>
  <c r="AF42" i="18"/>
  <c r="AG42" i="18"/>
  <c r="AH42" i="18"/>
  <c r="AI42" i="18"/>
  <c r="V43" i="18"/>
  <c r="W43" i="18"/>
  <c r="AB43" i="18"/>
  <c r="AC43" i="18"/>
  <c r="AE43" i="18"/>
  <c r="AF43" i="18"/>
  <c r="AG43" i="18"/>
  <c r="AH43" i="18"/>
  <c r="AI43" i="18"/>
  <c r="V44" i="18"/>
  <c r="W44" i="18"/>
  <c r="AB44" i="18"/>
  <c r="AC44" i="18"/>
  <c r="AE44" i="18"/>
  <c r="AF44" i="18"/>
  <c r="AG44" i="18"/>
  <c r="AH44" i="18"/>
  <c r="AI44" i="18"/>
  <c r="V45" i="18"/>
  <c r="W45" i="18"/>
  <c r="AB45" i="18"/>
  <c r="AC45" i="18"/>
  <c r="AE45" i="18"/>
  <c r="AF45" i="18"/>
  <c r="AG45" i="18"/>
  <c r="AH45" i="18"/>
  <c r="AI45" i="18"/>
  <c r="V46" i="18"/>
  <c r="W46" i="18"/>
  <c r="AB46" i="18"/>
  <c r="AC46" i="18"/>
  <c r="AE46" i="18"/>
  <c r="AF46" i="18"/>
  <c r="AG46" i="18"/>
  <c r="AH46" i="18"/>
  <c r="AI46" i="18"/>
  <c r="V47" i="18"/>
  <c r="W47" i="18"/>
  <c r="AB47" i="18"/>
  <c r="AC47" i="18"/>
  <c r="AE47" i="18"/>
  <c r="AF47" i="18"/>
  <c r="AG47" i="18"/>
  <c r="AH47" i="18"/>
  <c r="AI47" i="18"/>
  <c r="V48" i="18"/>
  <c r="W48" i="18"/>
  <c r="AB48" i="18"/>
  <c r="AC48" i="18"/>
  <c r="AE48" i="18"/>
  <c r="AF48" i="18"/>
  <c r="AG48" i="18"/>
  <c r="AH48" i="18"/>
  <c r="AI48" i="18"/>
  <c r="V49" i="18"/>
  <c r="W49" i="18"/>
  <c r="AB49" i="18"/>
  <c r="AC49" i="18"/>
  <c r="AE49" i="18"/>
  <c r="AF49" i="18"/>
  <c r="AG49" i="18"/>
  <c r="AH49" i="18"/>
  <c r="AI49" i="18"/>
  <c r="V50" i="18"/>
  <c r="W50" i="18"/>
  <c r="AB50" i="18"/>
  <c r="AC50" i="18"/>
  <c r="AE50" i="18"/>
  <c r="AF50" i="18"/>
  <c r="AG50" i="18"/>
  <c r="AH50" i="18"/>
  <c r="AI50" i="18"/>
  <c r="V51" i="18"/>
  <c r="W51" i="18"/>
  <c r="AB51" i="18"/>
  <c r="AC51" i="18"/>
  <c r="AE51" i="18"/>
  <c r="AF51" i="18"/>
  <c r="AG51" i="18"/>
  <c r="AH51" i="18"/>
  <c r="AI51" i="18"/>
  <c r="V52" i="18"/>
  <c r="W52" i="18"/>
  <c r="AA52" i="18"/>
  <c r="AB52" i="18"/>
  <c r="AC52" i="18"/>
  <c r="AE52" i="18"/>
  <c r="AF52" i="18"/>
  <c r="AG52" i="18"/>
  <c r="AH52" i="18"/>
  <c r="AI52" i="18"/>
  <c r="V53" i="18"/>
  <c r="W53" i="18"/>
  <c r="AA53" i="18"/>
  <c r="AB53" i="18"/>
  <c r="AC53" i="18"/>
  <c r="AE53" i="18"/>
  <c r="AF53" i="18"/>
  <c r="AG53" i="18"/>
  <c r="AH53" i="18"/>
  <c r="AI53" i="18"/>
  <c r="V54" i="18"/>
  <c r="W54" i="18"/>
  <c r="AA54" i="18"/>
  <c r="AB54" i="18"/>
  <c r="AC54" i="18"/>
  <c r="AE54" i="18"/>
  <c r="AF54" i="18"/>
  <c r="AG54" i="18"/>
  <c r="AH54" i="18"/>
  <c r="AI54" i="18"/>
  <c r="V55" i="18"/>
  <c r="W55" i="18"/>
  <c r="AA55" i="18"/>
  <c r="AB55" i="18"/>
  <c r="AC55" i="18"/>
  <c r="AE55" i="18"/>
  <c r="AF55" i="18"/>
  <c r="AG55" i="18"/>
  <c r="AH55" i="18"/>
  <c r="AI55" i="18"/>
  <c r="V56" i="18"/>
  <c r="W56" i="18"/>
  <c r="AA56" i="18"/>
  <c r="AB56" i="18"/>
  <c r="AC56" i="18"/>
  <c r="AE56" i="18"/>
  <c r="AF56" i="18"/>
  <c r="AG56" i="18"/>
  <c r="AH56" i="18"/>
  <c r="AI56" i="18"/>
  <c r="V57" i="18"/>
  <c r="W57" i="18"/>
  <c r="AA57" i="18"/>
  <c r="AB57" i="18"/>
  <c r="AC57" i="18"/>
  <c r="AE57" i="18"/>
  <c r="AF57" i="18"/>
  <c r="AG57" i="18"/>
  <c r="AH57" i="18"/>
  <c r="AI57" i="18"/>
  <c r="V58" i="18"/>
  <c r="W58" i="18"/>
  <c r="AA58" i="18"/>
  <c r="AB58" i="18"/>
  <c r="AC58" i="18"/>
  <c r="AE58" i="18"/>
  <c r="AF58" i="18"/>
  <c r="AG58" i="18"/>
  <c r="AH58" i="18"/>
  <c r="AI58" i="18"/>
  <c r="V59" i="18"/>
  <c r="W59" i="18"/>
  <c r="AA59" i="18"/>
  <c r="AB59" i="18"/>
  <c r="AC59" i="18"/>
  <c r="AE59" i="18"/>
  <c r="AF59" i="18"/>
  <c r="AG59" i="18"/>
  <c r="AH59" i="18"/>
  <c r="AI59" i="18"/>
  <c r="V60" i="18"/>
  <c r="W60" i="18"/>
  <c r="AA60" i="18"/>
  <c r="AB60" i="18"/>
  <c r="AC60" i="18"/>
  <c r="AE60" i="18"/>
  <c r="AF60" i="18"/>
  <c r="AG60" i="18"/>
  <c r="AH60" i="18"/>
  <c r="AI60" i="18"/>
  <c r="V61" i="18"/>
  <c r="W61" i="18"/>
  <c r="AA61" i="18"/>
  <c r="AB61" i="18"/>
  <c r="AC61" i="18"/>
  <c r="AE61" i="18"/>
  <c r="AF61" i="18"/>
  <c r="AG61" i="18"/>
  <c r="AH61" i="18"/>
  <c r="AI61" i="18"/>
  <c r="V62" i="18"/>
  <c r="W62" i="18"/>
  <c r="AA62" i="18"/>
  <c r="AB62" i="18"/>
  <c r="AC62" i="18"/>
  <c r="AE62" i="18"/>
  <c r="AF62" i="18"/>
  <c r="AG62" i="18"/>
  <c r="AH62" i="18"/>
  <c r="AI62" i="18"/>
  <c r="V63" i="18"/>
  <c r="W63" i="18"/>
  <c r="AA63" i="18"/>
  <c r="AB63" i="18"/>
  <c r="AC63" i="18"/>
  <c r="AE63" i="18"/>
  <c r="AF63" i="18"/>
  <c r="AG63" i="18"/>
  <c r="AH63" i="18"/>
  <c r="AI63" i="18"/>
  <c r="V64" i="18"/>
  <c r="W64" i="18"/>
  <c r="AA64" i="18"/>
  <c r="AB64" i="18"/>
  <c r="AC64" i="18"/>
  <c r="AE64" i="18"/>
  <c r="AF64" i="18"/>
  <c r="AG64" i="18"/>
  <c r="AH64" i="18"/>
  <c r="AI64" i="18"/>
  <c r="V65" i="18"/>
  <c r="W65" i="18"/>
  <c r="AA65" i="18"/>
  <c r="AB65" i="18"/>
  <c r="AC65" i="18"/>
  <c r="AE65" i="18"/>
  <c r="AF65" i="18"/>
  <c r="AG65" i="18"/>
  <c r="AH65" i="18"/>
  <c r="AI65" i="18"/>
  <c r="V66" i="18"/>
  <c r="W66" i="18"/>
  <c r="AA66" i="18"/>
  <c r="AB66" i="18"/>
  <c r="AC66" i="18"/>
  <c r="AE66" i="18"/>
  <c r="AF66" i="18"/>
  <c r="AG66" i="18"/>
  <c r="AH66" i="18"/>
  <c r="AI66" i="18"/>
  <c r="V67" i="18"/>
  <c r="W67" i="18"/>
  <c r="AA67" i="18"/>
  <c r="AB67" i="18"/>
  <c r="AC67" i="18"/>
  <c r="AE67" i="18"/>
  <c r="AF67" i="18"/>
  <c r="AG67" i="18"/>
  <c r="AH67" i="18"/>
  <c r="AI67" i="18"/>
  <c r="V68" i="18"/>
  <c r="W68" i="18"/>
  <c r="AA68" i="18"/>
  <c r="AB68" i="18"/>
  <c r="AC68" i="18"/>
  <c r="AE68" i="18"/>
  <c r="AF68" i="18"/>
  <c r="AG68" i="18"/>
  <c r="AH68" i="18"/>
  <c r="AI68" i="18"/>
  <c r="V69" i="18"/>
  <c r="W69" i="18"/>
  <c r="AA69" i="18"/>
  <c r="AB69" i="18"/>
  <c r="AC69" i="18"/>
  <c r="AE69" i="18"/>
  <c r="AF69" i="18"/>
  <c r="AG69" i="18"/>
  <c r="AH69" i="18"/>
  <c r="AI69" i="18"/>
  <c r="V70" i="18"/>
  <c r="W70" i="18"/>
  <c r="AA70" i="18"/>
  <c r="AB70" i="18"/>
  <c r="AC70" i="18"/>
  <c r="AE70" i="18"/>
  <c r="AF70" i="18"/>
  <c r="AG70" i="18"/>
  <c r="AH70" i="18"/>
  <c r="AI70" i="18"/>
  <c r="V71" i="18"/>
  <c r="W71" i="18"/>
  <c r="AA71" i="18"/>
  <c r="AB71" i="18"/>
  <c r="AC71" i="18"/>
  <c r="AE71" i="18"/>
  <c r="AF71" i="18"/>
  <c r="AG71" i="18"/>
  <c r="AH71" i="18"/>
  <c r="AI71" i="18"/>
  <c r="V72" i="18"/>
  <c r="W72" i="18"/>
  <c r="AA72" i="18"/>
  <c r="AB72" i="18"/>
  <c r="AC72" i="18"/>
  <c r="AE72" i="18"/>
  <c r="AF72" i="18"/>
  <c r="AG72" i="18"/>
  <c r="AH72" i="18"/>
  <c r="AI72" i="18"/>
  <c r="V73" i="18"/>
  <c r="W73" i="18"/>
  <c r="AA73" i="18"/>
  <c r="AB73" i="18"/>
  <c r="AC73" i="18"/>
  <c r="AE73" i="18"/>
  <c r="AF73" i="18"/>
  <c r="AG73" i="18"/>
  <c r="AH73" i="18"/>
  <c r="AI73" i="18"/>
  <c r="V74" i="18"/>
  <c r="W74" i="18"/>
  <c r="AA74" i="18"/>
  <c r="AB74" i="18"/>
  <c r="AC74" i="18"/>
  <c r="AE74" i="18"/>
  <c r="AF74" i="18"/>
  <c r="AG74" i="18"/>
  <c r="AH74" i="18"/>
  <c r="AI74" i="18"/>
  <c r="V75" i="18"/>
  <c r="W75" i="18"/>
  <c r="AA75" i="18"/>
  <c r="AB75" i="18"/>
  <c r="AC75" i="18"/>
  <c r="AE75" i="18"/>
  <c r="AF75" i="18"/>
  <c r="AG75" i="18"/>
  <c r="AH75" i="18"/>
  <c r="AI75" i="18"/>
  <c r="V76" i="18"/>
  <c r="W76" i="18"/>
  <c r="AA76" i="18"/>
  <c r="AB76" i="18"/>
  <c r="AC76" i="18"/>
  <c r="AE76" i="18"/>
  <c r="AF76" i="18"/>
  <c r="AG76" i="18"/>
  <c r="AH76" i="18"/>
  <c r="AI76" i="18"/>
  <c r="V77" i="18"/>
  <c r="W77" i="18"/>
  <c r="AA77" i="18"/>
  <c r="AB77" i="18"/>
  <c r="AC77" i="18"/>
  <c r="AE77" i="18"/>
  <c r="AF77" i="18"/>
  <c r="AG77" i="18"/>
  <c r="AH77" i="18"/>
  <c r="AI77" i="18"/>
  <c r="V78" i="18"/>
  <c r="W78" i="18"/>
  <c r="AA78" i="18"/>
  <c r="AB78" i="18"/>
  <c r="AC78" i="18"/>
  <c r="AE78" i="18"/>
  <c r="AF78" i="18"/>
  <c r="AG78" i="18"/>
  <c r="AH78" i="18"/>
  <c r="AI78" i="18"/>
  <c r="V79" i="18"/>
  <c r="W79" i="18"/>
  <c r="AA79" i="18"/>
  <c r="AB79" i="18"/>
  <c r="AC79" i="18"/>
  <c r="AE79" i="18"/>
  <c r="AF79" i="18"/>
  <c r="AG79" i="18"/>
  <c r="AH79" i="18"/>
  <c r="AI79" i="18"/>
  <c r="V80" i="18"/>
  <c r="W80" i="18"/>
  <c r="AA80" i="18"/>
  <c r="AB80" i="18"/>
  <c r="AC80" i="18"/>
  <c r="AE80" i="18"/>
  <c r="AF80" i="18"/>
  <c r="AG80" i="18"/>
  <c r="AH80" i="18"/>
  <c r="AI80" i="18"/>
  <c r="V81" i="18"/>
  <c r="W81" i="18"/>
  <c r="AA81" i="18"/>
  <c r="AB81" i="18"/>
  <c r="AC81" i="18"/>
  <c r="AE81" i="18"/>
  <c r="AF81" i="18"/>
  <c r="AG81" i="18"/>
  <c r="AH81" i="18"/>
  <c r="AI81" i="18"/>
  <c r="V82" i="18"/>
  <c r="W82" i="18"/>
  <c r="AA82" i="18"/>
  <c r="AB82" i="18"/>
  <c r="AC82" i="18"/>
  <c r="AE82" i="18"/>
  <c r="AF82" i="18"/>
  <c r="AG82" i="18"/>
  <c r="AH82" i="18"/>
  <c r="AI82" i="18"/>
  <c r="V83" i="18"/>
  <c r="W83" i="18"/>
  <c r="AA83" i="18"/>
  <c r="AB83" i="18"/>
  <c r="AC83" i="18"/>
  <c r="AE83" i="18"/>
  <c r="AF83" i="18"/>
  <c r="AG83" i="18"/>
  <c r="AH83" i="18"/>
  <c r="AI83" i="18"/>
  <c r="V84" i="18"/>
  <c r="W84" i="18"/>
  <c r="AA84" i="18"/>
  <c r="AB84" i="18"/>
  <c r="AC84" i="18"/>
  <c r="AE84" i="18"/>
  <c r="AF84" i="18"/>
  <c r="AG84" i="18"/>
  <c r="AH84" i="18"/>
  <c r="AI84" i="18"/>
  <c r="V85" i="18"/>
  <c r="W85" i="18"/>
  <c r="AA85" i="18"/>
  <c r="AB85" i="18"/>
  <c r="AC85" i="18"/>
  <c r="AE85" i="18"/>
  <c r="AF85" i="18"/>
  <c r="AG85" i="18"/>
  <c r="AH85" i="18"/>
  <c r="AI85" i="18"/>
  <c r="V86" i="18"/>
  <c r="W86" i="18"/>
  <c r="AA86" i="18"/>
  <c r="AB86" i="18"/>
  <c r="AC86" i="18"/>
  <c r="AE86" i="18"/>
  <c r="AF86" i="18"/>
  <c r="AG86" i="18"/>
  <c r="AH86" i="18"/>
  <c r="AI86" i="18"/>
  <c r="E63" i="12"/>
  <c r="F63" i="12"/>
  <c r="E64" i="12"/>
  <c r="F64" i="12"/>
  <c r="E65" i="12"/>
  <c r="F65" i="12"/>
  <c r="E66" i="12"/>
  <c r="F66" i="12"/>
  <c r="E67" i="12"/>
  <c r="F67" i="12"/>
  <c r="E68" i="12"/>
  <c r="F68" i="12"/>
  <c r="E69" i="12"/>
  <c r="F69" i="12"/>
  <c r="E70" i="12"/>
  <c r="F70" i="12"/>
  <c r="E71" i="12"/>
  <c r="F71" i="12"/>
  <c r="I42" i="4" a="1"/>
  <c r="I42" i="4"/>
  <c r="H10" i="19"/>
  <c r="I10" i="19"/>
  <c r="J10" i="19"/>
  <c r="K10" i="19"/>
  <c r="L10" i="19"/>
  <c r="M10" i="19"/>
  <c r="N10" i="19"/>
  <c r="O10" i="19"/>
  <c r="R10" i="19"/>
  <c r="H11" i="19"/>
  <c r="I11" i="19"/>
  <c r="J11" i="19"/>
  <c r="K11" i="19"/>
  <c r="L11" i="19"/>
  <c r="M11" i="19"/>
  <c r="N11" i="19"/>
  <c r="O11" i="19"/>
  <c r="R11" i="19"/>
  <c r="O4" i="1"/>
  <c r="P4" i="1"/>
  <c r="Q4" i="1"/>
  <c r="R4" i="1"/>
  <c r="V4" i="1"/>
  <c r="W4" i="1"/>
  <c r="X4" i="1"/>
  <c r="Y4" i="1"/>
  <c r="Z4" i="1"/>
  <c r="AC4" i="1"/>
  <c r="AD4" i="1"/>
  <c r="AE4" i="1"/>
  <c r="AF4" i="1"/>
  <c r="AG4" i="1"/>
  <c r="AJ4" i="1"/>
  <c r="AK4" i="1"/>
  <c r="AL4" i="1"/>
  <c r="AM4" i="1"/>
  <c r="AN4" i="1"/>
  <c r="AQ4" i="1"/>
  <c r="AR4" i="1"/>
  <c r="AS4" i="1"/>
  <c r="AT4" i="1"/>
  <c r="AU4" i="1"/>
  <c r="AX4" i="1"/>
  <c r="AY4" i="1"/>
  <c r="AZ4" i="1"/>
  <c r="BA4" i="1"/>
  <c r="BB4" i="1"/>
  <c r="BE4" i="1"/>
  <c r="BF4" i="1"/>
  <c r="BG4" i="1"/>
  <c r="BH4" i="1"/>
  <c r="BI4" i="1"/>
  <c r="BL4" i="1"/>
  <c r="BM4" i="1"/>
  <c r="O5" i="1"/>
  <c r="X5" i="1"/>
  <c r="Y5" i="1"/>
  <c r="Z5" i="1"/>
  <c r="AC5" i="1"/>
  <c r="AD5" i="1"/>
  <c r="AE5" i="1"/>
  <c r="AF5" i="1"/>
  <c r="AG5" i="1"/>
  <c r="AJ5" i="1"/>
  <c r="AK5" i="1"/>
  <c r="AL5" i="1"/>
  <c r="AM5" i="1"/>
  <c r="AN5" i="1"/>
  <c r="AQ5" i="1"/>
  <c r="AR5" i="1"/>
  <c r="AS5" i="1"/>
  <c r="AT5" i="1"/>
  <c r="AU5" i="1"/>
  <c r="AX5" i="1"/>
  <c r="AY5" i="1"/>
  <c r="AZ5" i="1"/>
  <c r="BA5" i="1"/>
  <c r="BB5" i="1"/>
  <c r="BE5" i="1"/>
  <c r="BF5" i="1"/>
  <c r="BG5" i="1"/>
  <c r="BH5" i="1"/>
  <c r="BI5" i="1"/>
  <c r="BL5" i="1"/>
  <c r="BM5" i="1"/>
  <c r="P6" i="1"/>
  <c r="Q6" i="1"/>
  <c r="X6" i="1"/>
  <c r="AE6" i="1"/>
  <c r="AF6" i="1"/>
  <c r="AL6" i="1"/>
  <c r="AS6" i="1"/>
  <c r="AT6" i="1"/>
  <c r="AZ6" i="1"/>
  <c r="BG6" i="1"/>
  <c r="BH6" i="1"/>
  <c r="X7" i="1"/>
  <c r="AE7" i="1"/>
  <c r="AF7" i="1"/>
  <c r="AL7" i="1"/>
  <c r="AS7" i="1"/>
  <c r="AT7" i="1"/>
  <c r="AZ7" i="1"/>
  <c r="BG7" i="1"/>
  <c r="BH7" i="1"/>
  <c r="O8" i="1"/>
  <c r="R8" i="1"/>
  <c r="V8" i="1"/>
  <c r="W8" i="1"/>
  <c r="Y8" i="1"/>
  <c r="Z8" i="1"/>
  <c r="AC8" i="1"/>
  <c r="AD8" i="1"/>
  <c r="AG8" i="1"/>
  <c r="AJ8" i="1"/>
  <c r="AK8" i="1"/>
  <c r="AM8" i="1"/>
  <c r="AN8" i="1"/>
  <c r="AQ8" i="1"/>
  <c r="AR8" i="1"/>
  <c r="AU8" i="1"/>
  <c r="AX8" i="1"/>
  <c r="AY8" i="1"/>
  <c r="BA8" i="1"/>
  <c r="BB8" i="1"/>
  <c r="BE8" i="1"/>
  <c r="BF8" i="1"/>
  <c r="BI8" i="1"/>
  <c r="BL8" i="1"/>
  <c r="BM8" i="1"/>
  <c r="O9" i="1"/>
  <c r="Y9" i="1"/>
  <c r="Z9" i="1"/>
  <c r="AC9" i="1"/>
  <c r="AD9" i="1"/>
  <c r="AG9" i="1"/>
  <c r="AJ9" i="1"/>
  <c r="AK9" i="1"/>
  <c r="AM9" i="1"/>
  <c r="AN9" i="1"/>
  <c r="AQ9" i="1"/>
  <c r="AR9" i="1"/>
  <c r="AU9" i="1"/>
  <c r="AX9" i="1"/>
  <c r="AY9" i="1"/>
  <c r="BA9" i="1"/>
  <c r="BB9" i="1"/>
  <c r="BE9" i="1"/>
  <c r="BF9" i="1"/>
  <c r="BI9" i="1"/>
  <c r="BL9" i="1"/>
  <c r="BM9" i="1"/>
  <c r="P10" i="1"/>
  <c r="Q10" i="1"/>
  <c r="R10" i="1"/>
  <c r="S10" i="1"/>
  <c r="T10" i="1"/>
  <c r="U10" i="1"/>
  <c r="V10" i="1"/>
  <c r="W10" i="1"/>
  <c r="X10" i="1"/>
  <c r="AA10" i="1"/>
  <c r="AB10" i="1"/>
  <c r="AC10" i="1"/>
  <c r="AD10" i="1"/>
  <c r="AE10" i="1"/>
  <c r="AF10" i="1"/>
  <c r="AH10" i="1"/>
  <c r="AI10" i="1"/>
  <c r="AJ10" i="1"/>
  <c r="AK10" i="1"/>
  <c r="AL10" i="1"/>
  <c r="AO10" i="1"/>
  <c r="AP10" i="1"/>
  <c r="AQ10" i="1"/>
  <c r="AR10" i="1"/>
  <c r="AS10" i="1"/>
  <c r="AT10" i="1"/>
  <c r="AV10" i="1"/>
  <c r="AW10" i="1"/>
  <c r="AX10" i="1"/>
  <c r="AY10" i="1"/>
  <c r="AZ10" i="1"/>
  <c r="BC10" i="1"/>
  <c r="BD10" i="1"/>
  <c r="BE10" i="1"/>
  <c r="BF10" i="1"/>
  <c r="BG10" i="1"/>
  <c r="BH10" i="1"/>
  <c r="BJ10" i="1"/>
  <c r="BK10" i="1"/>
  <c r="BL10" i="1"/>
  <c r="BM10" i="1"/>
  <c r="BP10" i="1"/>
  <c r="BQ10" i="1"/>
  <c r="BR10" i="1"/>
  <c r="BS10" i="1"/>
  <c r="BU10" i="1"/>
  <c r="BV10" i="1"/>
  <c r="BW10" i="1"/>
  <c r="BX10" i="1"/>
  <c r="X11" i="1"/>
  <c r="AA11" i="1"/>
  <c r="AB11" i="1"/>
  <c r="AC11" i="1"/>
  <c r="AD11" i="1"/>
  <c r="AE11" i="1"/>
  <c r="AF11" i="1"/>
  <c r="AH11" i="1"/>
  <c r="AI11" i="1"/>
  <c r="AJ11" i="1"/>
  <c r="AK11" i="1"/>
  <c r="AL11" i="1"/>
  <c r="AO11" i="1"/>
  <c r="AP11" i="1"/>
  <c r="AQ11" i="1"/>
  <c r="AR11" i="1"/>
  <c r="AS11" i="1"/>
  <c r="AT11" i="1"/>
  <c r="AV11" i="1"/>
  <c r="AW11" i="1"/>
  <c r="AX11" i="1"/>
  <c r="AY11" i="1"/>
  <c r="AZ11" i="1"/>
  <c r="BC11" i="1"/>
  <c r="BD11" i="1"/>
  <c r="BE11" i="1"/>
  <c r="BF11" i="1"/>
  <c r="BG11" i="1"/>
  <c r="BH11" i="1"/>
  <c r="BJ11" i="1"/>
  <c r="BK11" i="1"/>
  <c r="BL11" i="1"/>
  <c r="BM11" i="1"/>
  <c r="BR11" i="1"/>
  <c r="BS11" i="1"/>
  <c r="P12" i="1"/>
  <c r="Q12" i="1"/>
  <c r="T12" i="1"/>
  <c r="W12" i="1"/>
  <c r="X12" i="1"/>
  <c r="AA12" i="1"/>
  <c r="AD12" i="1"/>
  <c r="AE12" i="1"/>
  <c r="AF12" i="1"/>
  <c r="AH12" i="1"/>
  <c r="AK12" i="1"/>
  <c r="AL12" i="1"/>
  <c r="AO12" i="1"/>
  <c r="AR12" i="1"/>
  <c r="AS12" i="1"/>
  <c r="AT12" i="1"/>
  <c r="AV12" i="1"/>
  <c r="AY12" i="1"/>
  <c r="AZ12" i="1"/>
  <c r="BC12" i="1"/>
  <c r="BF12" i="1"/>
  <c r="BG12" i="1"/>
  <c r="BH12" i="1"/>
  <c r="BJ12" i="1"/>
  <c r="BM12" i="1"/>
  <c r="BP12" i="1"/>
  <c r="BQ12" i="1"/>
  <c r="BR12" i="1"/>
  <c r="BS12" i="1"/>
  <c r="BU12" i="1"/>
  <c r="BV12" i="1"/>
  <c r="BW12" i="1"/>
  <c r="BX12" i="1"/>
  <c r="X13" i="1"/>
  <c r="AA13" i="1"/>
  <c r="AD13" i="1"/>
  <c r="AE13" i="1"/>
  <c r="AF13" i="1"/>
  <c r="AH13" i="1"/>
  <c r="AK13" i="1"/>
  <c r="AL13" i="1"/>
  <c r="AO13" i="1"/>
  <c r="AR13" i="1"/>
  <c r="AS13" i="1"/>
  <c r="AT13" i="1"/>
  <c r="AV13" i="1"/>
  <c r="AY13" i="1"/>
  <c r="AZ13" i="1"/>
  <c r="BC13" i="1"/>
  <c r="BF13" i="1"/>
  <c r="BG13" i="1"/>
  <c r="BH13" i="1"/>
  <c r="BJ13" i="1"/>
  <c r="BM13" i="1"/>
  <c r="P14" i="1"/>
  <c r="Q14" i="1"/>
  <c r="T14" i="1"/>
  <c r="W14" i="1"/>
  <c r="X14" i="1"/>
  <c r="AA14" i="1"/>
  <c r="AD14" i="1"/>
  <c r="AE14" i="1"/>
  <c r="AF14" i="1"/>
  <c r="AH14" i="1"/>
  <c r="AK14" i="1"/>
  <c r="AL14" i="1"/>
  <c r="AO14" i="1"/>
  <c r="AR14" i="1"/>
  <c r="AS14" i="1"/>
  <c r="AT14" i="1"/>
  <c r="AV14" i="1"/>
  <c r="AY14" i="1"/>
  <c r="AZ14" i="1"/>
  <c r="BC14" i="1"/>
  <c r="BF14" i="1"/>
  <c r="BG14" i="1"/>
  <c r="BH14" i="1"/>
  <c r="BJ14" i="1"/>
  <c r="BM14" i="1"/>
  <c r="BP14" i="1"/>
  <c r="BQ14" i="1"/>
  <c r="BR14" i="1"/>
  <c r="BS14" i="1"/>
  <c r="BU14" i="1"/>
  <c r="BV14" i="1"/>
  <c r="BW14" i="1"/>
  <c r="BX14" i="1"/>
  <c r="X15" i="1"/>
  <c r="AA15" i="1"/>
  <c r="AD15" i="1"/>
  <c r="AE15" i="1"/>
  <c r="AF15" i="1"/>
  <c r="AH15" i="1"/>
  <c r="AK15" i="1"/>
  <c r="AL15" i="1"/>
  <c r="AO15" i="1"/>
  <c r="AR15" i="1"/>
  <c r="AS15" i="1"/>
  <c r="AT15" i="1"/>
  <c r="AV15" i="1"/>
  <c r="AY15" i="1"/>
  <c r="AZ15" i="1"/>
  <c r="BC15" i="1"/>
  <c r="BF15" i="1"/>
  <c r="BG15" i="1"/>
  <c r="BH15" i="1"/>
  <c r="BJ15" i="1"/>
  <c r="BM15" i="1"/>
  <c r="P16" i="1"/>
  <c r="Q16" i="1"/>
  <c r="T16" i="1"/>
  <c r="W16" i="1"/>
  <c r="X16" i="1"/>
  <c r="AA16" i="1"/>
  <c r="AD16" i="1"/>
  <c r="AE16" i="1"/>
  <c r="AF16" i="1"/>
  <c r="AH16" i="1"/>
  <c r="AK16" i="1"/>
  <c r="AL16" i="1"/>
  <c r="AO16" i="1"/>
  <c r="AR16" i="1"/>
  <c r="AS16" i="1"/>
  <c r="AT16" i="1"/>
  <c r="AV16" i="1"/>
  <c r="AY16" i="1"/>
  <c r="AZ16" i="1"/>
  <c r="BC16" i="1"/>
  <c r="BF16" i="1"/>
  <c r="BG16" i="1"/>
  <c r="BH16" i="1"/>
  <c r="BJ16" i="1"/>
  <c r="BM16" i="1"/>
  <c r="BP16" i="1"/>
  <c r="BQ16" i="1"/>
  <c r="BR16" i="1"/>
  <c r="BS16" i="1"/>
  <c r="BU16" i="1"/>
  <c r="BV16" i="1"/>
  <c r="BW16" i="1"/>
  <c r="BX16" i="1"/>
  <c r="X17" i="1"/>
  <c r="AA17" i="1"/>
  <c r="AD17" i="1"/>
  <c r="AE17" i="1"/>
  <c r="AF17" i="1"/>
  <c r="AH17" i="1"/>
  <c r="AK17" i="1"/>
  <c r="AL17" i="1"/>
  <c r="AO17" i="1"/>
  <c r="AR17" i="1"/>
  <c r="AS17" i="1"/>
  <c r="AT17" i="1"/>
  <c r="AV17" i="1"/>
  <c r="AY17" i="1"/>
  <c r="AZ17" i="1"/>
  <c r="BC17" i="1"/>
  <c r="BF17" i="1"/>
  <c r="BG17" i="1"/>
  <c r="BH17" i="1"/>
  <c r="BJ17" i="1"/>
  <c r="BM17" i="1"/>
  <c r="P18" i="1"/>
  <c r="Q18" i="1"/>
  <c r="T18" i="1"/>
  <c r="W18" i="1"/>
  <c r="X18" i="1"/>
  <c r="AA18" i="1"/>
  <c r="AD18" i="1"/>
  <c r="AE18" i="1"/>
  <c r="AF18" i="1"/>
  <c r="AH18" i="1"/>
  <c r="AK18" i="1"/>
  <c r="AL18" i="1"/>
  <c r="AO18" i="1"/>
  <c r="AR18" i="1"/>
  <c r="AS18" i="1"/>
  <c r="AT18" i="1"/>
  <c r="AV18" i="1"/>
  <c r="AY18" i="1"/>
  <c r="AZ18" i="1"/>
  <c r="BC18" i="1"/>
  <c r="BF18" i="1"/>
  <c r="BG18" i="1"/>
  <c r="BH18" i="1"/>
  <c r="BJ18" i="1"/>
  <c r="BM18" i="1"/>
  <c r="BP18" i="1"/>
  <c r="BQ18" i="1"/>
  <c r="BR18" i="1"/>
  <c r="BS18" i="1"/>
  <c r="BU18" i="1"/>
  <c r="BV18" i="1"/>
  <c r="BW18" i="1"/>
  <c r="BX18" i="1"/>
  <c r="X19" i="1"/>
  <c r="AA19" i="1"/>
  <c r="AD19" i="1"/>
  <c r="AE19" i="1"/>
  <c r="AF19" i="1"/>
  <c r="AH19" i="1"/>
  <c r="AK19" i="1"/>
  <c r="AL19" i="1"/>
  <c r="AO19" i="1"/>
  <c r="AR19" i="1"/>
  <c r="AS19" i="1"/>
  <c r="AT19" i="1"/>
  <c r="AV19" i="1"/>
  <c r="AY19" i="1"/>
  <c r="AZ19" i="1"/>
  <c r="BC19" i="1"/>
  <c r="BF19" i="1"/>
  <c r="BG19" i="1"/>
  <c r="BH19" i="1"/>
  <c r="BJ19" i="1"/>
  <c r="BM19" i="1"/>
  <c r="P20" i="1"/>
  <c r="Q20" i="1"/>
  <c r="T20" i="1"/>
  <c r="W20" i="1"/>
  <c r="X20" i="1"/>
  <c r="AA20" i="1"/>
  <c r="AD20" i="1"/>
  <c r="AE20" i="1"/>
  <c r="AF20" i="1"/>
  <c r="AH20" i="1"/>
  <c r="AK20" i="1"/>
  <c r="AL20" i="1"/>
  <c r="AO20" i="1"/>
  <c r="AR20" i="1"/>
  <c r="AS20" i="1"/>
  <c r="AT20" i="1"/>
  <c r="AV20" i="1"/>
  <c r="AY20" i="1"/>
  <c r="AZ20" i="1"/>
  <c r="BC20" i="1"/>
  <c r="BF20" i="1"/>
  <c r="BG20" i="1"/>
  <c r="BH20" i="1"/>
  <c r="BJ20" i="1"/>
  <c r="BM20" i="1"/>
  <c r="BP20" i="1"/>
  <c r="BQ20" i="1"/>
  <c r="BR20" i="1"/>
  <c r="BS20" i="1"/>
  <c r="BU20" i="1"/>
  <c r="BV20" i="1"/>
  <c r="BW20" i="1"/>
  <c r="BX20" i="1"/>
  <c r="X21" i="1"/>
  <c r="AA21" i="1"/>
  <c r="AD21" i="1"/>
  <c r="AE21" i="1"/>
  <c r="AF21" i="1"/>
  <c r="AH21" i="1"/>
  <c r="AK21" i="1"/>
  <c r="AL21" i="1"/>
  <c r="AO21" i="1"/>
  <c r="AR21" i="1"/>
  <c r="AS21" i="1"/>
  <c r="AT21" i="1"/>
  <c r="AV21" i="1"/>
  <c r="AY21" i="1"/>
  <c r="AZ21" i="1"/>
  <c r="BC21" i="1"/>
  <c r="BF21" i="1"/>
  <c r="BG21" i="1"/>
  <c r="BH21" i="1"/>
  <c r="BJ21" i="1"/>
  <c r="BM21" i="1"/>
  <c r="P22" i="1"/>
  <c r="Q22" i="1"/>
  <c r="T22" i="1"/>
  <c r="W22" i="1"/>
  <c r="X22" i="1"/>
  <c r="AA22" i="1"/>
  <c r="AD22" i="1"/>
  <c r="AE22" i="1"/>
  <c r="AF22" i="1"/>
  <c r="AH22" i="1"/>
  <c r="AK22" i="1"/>
  <c r="AL22" i="1"/>
  <c r="AO22" i="1"/>
  <c r="AR22" i="1"/>
  <c r="AS22" i="1"/>
  <c r="AT22" i="1"/>
  <c r="AV22" i="1"/>
  <c r="AY22" i="1"/>
  <c r="AZ22" i="1"/>
  <c r="BC22" i="1"/>
  <c r="BF22" i="1"/>
  <c r="BG22" i="1"/>
  <c r="BH22" i="1"/>
  <c r="BJ22" i="1"/>
  <c r="BM22" i="1"/>
  <c r="BP22" i="1"/>
  <c r="BQ22" i="1"/>
  <c r="BR22" i="1"/>
  <c r="BS22" i="1"/>
  <c r="BU22" i="1"/>
  <c r="BV22" i="1"/>
  <c r="BW22" i="1"/>
  <c r="BX22" i="1"/>
  <c r="X23" i="1"/>
  <c r="AA23" i="1"/>
  <c r="AD23" i="1"/>
  <c r="AE23" i="1"/>
  <c r="AF23" i="1"/>
  <c r="AH23" i="1"/>
  <c r="AK23" i="1"/>
  <c r="AL23" i="1"/>
  <c r="AO23" i="1"/>
  <c r="AR23" i="1"/>
  <c r="AS23" i="1"/>
  <c r="AT23" i="1"/>
  <c r="AV23" i="1"/>
  <c r="AY23" i="1"/>
  <c r="AZ23" i="1"/>
  <c r="BC23" i="1"/>
  <c r="BF23" i="1"/>
  <c r="BG23" i="1"/>
  <c r="BH23" i="1"/>
  <c r="BJ23" i="1"/>
  <c r="BM23" i="1"/>
  <c r="P24" i="1"/>
  <c r="Q24" i="1"/>
  <c r="T24" i="1"/>
  <c r="W24" i="1"/>
  <c r="X24" i="1"/>
  <c r="AA24" i="1"/>
  <c r="AD24" i="1"/>
  <c r="AE24" i="1"/>
  <c r="AF24" i="1"/>
  <c r="AH24" i="1"/>
  <c r="AK24" i="1"/>
  <c r="AL24" i="1"/>
  <c r="AO24" i="1"/>
  <c r="AR24" i="1"/>
  <c r="AS24" i="1"/>
  <c r="AT24" i="1"/>
  <c r="AV24" i="1"/>
  <c r="AY24" i="1"/>
  <c r="AZ24" i="1"/>
  <c r="BC24" i="1"/>
  <c r="BF24" i="1"/>
  <c r="BG24" i="1"/>
  <c r="BH24" i="1"/>
  <c r="BJ24" i="1"/>
  <c r="BM24" i="1"/>
  <c r="BP24" i="1"/>
  <c r="BQ24" i="1"/>
  <c r="BR24" i="1"/>
  <c r="BS24" i="1"/>
  <c r="BU24" i="1"/>
  <c r="BV24" i="1"/>
  <c r="BW24" i="1"/>
  <c r="BX24" i="1"/>
  <c r="X25" i="1"/>
  <c r="AA25" i="1"/>
  <c r="AD25" i="1"/>
  <c r="AE25" i="1"/>
  <c r="AF25" i="1"/>
  <c r="AH25" i="1"/>
  <c r="AK25" i="1"/>
  <c r="AL25" i="1"/>
  <c r="AO25" i="1"/>
  <c r="AR25" i="1"/>
  <c r="AS25" i="1"/>
  <c r="AT25" i="1"/>
  <c r="AV25" i="1"/>
  <c r="AY25" i="1"/>
  <c r="AZ25" i="1"/>
  <c r="BC25" i="1"/>
  <c r="BF25" i="1"/>
  <c r="BG25" i="1"/>
  <c r="BH25" i="1"/>
  <c r="BJ25" i="1"/>
  <c r="BM25" i="1"/>
  <c r="P26" i="1"/>
  <c r="Q26" i="1"/>
  <c r="T26" i="1"/>
  <c r="W26" i="1"/>
  <c r="X26" i="1"/>
  <c r="AA26" i="1"/>
  <c r="AD26" i="1"/>
  <c r="AE26" i="1"/>
  <c r="AF26" i="1"/>
  <c r="AH26" i="1"/>
  <c r="AK26" i="1"/>
  <c r="AL26" i="1"/>
  <c r="AO26" i="1"/>
  <c r="AR26" i="1"/>
  <c r="AS26" i="1"/>
  <c r="AT26" i="1"/>
  <c r="AV26" i="1"/>
  <c r="AY26" i="1"/>
  <c r="AZ26" i="1"/>
  <c r="BC26" i="1"/>
  <c r="BF26" i="1"/>
  <c r="BG26" i="1"/>
  <c r="BH26" i="1"/>
  <c r="BJ26" i="1"/>
  <c r="BM26" i="1"/>
  <c r="BP26" i="1"/>
  <c r="BQ26" i="1"/>
  <c r="BR26" i="1"/>
  <c r="BS26" i="1"/>
  <c r="BU26" i="1"/>
  <c r="BV26" i="1"/>
  <c r="BW26" i="1"/>
  <c r="BX26" i="1"/>
  <c r="X27" i="1"/>
  <c r="AA27" i="1"/>
  <c r="AD27" i="1"/>
  <c r="AE27" i="1"/>
  <c r="AF27" i="1"/>
  <c r="AH27" i="1"/>
  <c r="AK27" i="1"/>
  <c r="AL27" i="1"/>
  <c r="AO27" i="1"/>
  <c r="AR27" i="1"/>
  <c r="AS27" i="1"/>
  <c r="AT27" i="1"/>
  <c r="AV27" i="1"/>
  <c r="AY27" i="1"/>
  <c r="AZ27" i="1"/>
  <c r="BC27" i="1"/>
  <c r="BF27" i="1"/>
  <c r="BG27" i="1"/>
  <c r="BH27" i="1"/>
  <c r="BJ27" i="1"/>
  <c r="BM27" i="1"/>
  <c r="P28" i="1"/>
  <c r="Q28" i="1"/>
  <c r="T28" i="1"/>
  <c r="W28" i="1"/>
  <c r="X28" i="1"/>
  <c r="AA28" i="1"/>
  <c r="AD28" i="1"/>
  <c r="AE28" i="1"/>
  <c r="AF28" i="1"/>
  <c r="AH28" i="1"/>
  <c r="AK28" i="1"/>
  <c r="AL28" i="1"/>
  <c r="AO28" i="1"/>
  <c r="AR28" i="1"/>
  <c r="AS28" i="1"/>
  <c r="AT28" i="1"/>
  <c r="AV28" i="1"/>
  <c r="AY28" i="1"/>
  <c r="AZ28" i="1"/>
  <c r="BC28" i="1"/>
  <c r="BF28" i="1"/>
  <c r="BG28" i="1"/>
  <c r="BH28" i="1"/>
  <c r="BJ28" i="1"/>
  <c r="BM28" i="1"/>
  <c r="BP28" i="1"/>
  <c r="BQ28" i="1"/>
  <c r="BR28" i="1"/>
  <c r="BS28" i="1"/>
  <c r="BU28" i="1"/>
  <c r="BV28" i="1"/>
  <c r="BW28" i="1"/>
  <c r="BX28" i="1"/>
  <c r="X29" i="1"/>
  <c r="AA29" i="1"/>
  <c r="AD29" i="1"/>
  <c r="AE29" i="1"/>
  <c r="AF29" i="1"/>
  <c r="AH29" i="1"/>
  <c r="AK29" i="1"/>
  <c r="AL29" i="1"/>
  <c r="AO29" i="1"/>
  <c r="AR29" i="1"/>
  <c r="AS29" i="1"/>
  <c r="AT29" i="1"/>
  <c r="AV29" i="1"/>
  <c r="AY29" i="1"/>
  <c r="AZ29" i="1"/>
  <c r="BC29" i="1"/>
  <c r="BF29" i="1"/>
  <c r="BG29" i="1"/>
  <c r="BH29" i="1"/>
  <c r="BJ29" i="1"/>
  <c r="BM29" i="1"/>
  <c r="P30" i="1"/>
  <c r="Q30" i="1"/>
  <c r="T30" i="1"/>
  <c r="W30" i="1"/>
  <c r="X30" i="1"/>
  <c r="AA30" i="1"/>
  <c r="AD30" i="1"/>
  <c r="AE30" i="1"/>
  <c r="AF30" i="1"/>
  <c r="AH30" i="1"/>
  <c r="AK30" i="1"/>
  <c r="AL30" i="1"/>
  <c r="AO30" i="1"/>
  <c r="AR30" i="1"/>
  <c r="AS30" i="1"/>
  <c r="AT30" i="1"/>
  <c r="AV30" i="1"/>
  <c r="AY30" i="1"/>
  <c r="AZ30" i="1"/>
  <c r="BC30" i="1"/>
  <c r="BF30" i="1"/>
  <c r="BG30" i="1"/>
  <c r="BH30" i="1"/>
  <c r="BJ30" i="1"/>
  <c r="BM30" i="1"/>
  <c r="BP30" i="1"/>
  <c r="BQ30" i="1"/>
  <c r="BR30" i="1"/>
  <c r="BS30" i="1"/>
  <c r="BU30" i="1"/>
  <c r="BV30" i="1"/>
  <c r="BW30" i="1"/>
  <c r="BX30" i="1"/>
  <c r="X31" i="1"/>
  <c r="AA31" i="1"/>
  <c r="AD31" i="1"/>
  <c r="AE31" i="1"/>
  <c r="AF31" i="1"/>
  <c r="AH31" i="1"/>
  <c r="AK31" i="1"/>
  <c r="AL31" i="1"/>
  <c r="AO31" i="1"/>
  <c r="AR31" i="1"/>
  <c r="AS31" i="1"/>
  <c r="AT31" i="1"/>
  <c r="AV31" i="1"/>
  <c r="AY31" i="1"/>
  <c r="AZ31" i="1"/>
  <c r="BC31" i="1"/>
  <c r="BF31" i="1"/>
  <c r="BG31" i="1"/>
  <c r="BH31" i="1"/>
  <c r="BJ31" i="1"/>
  <c r="BM31" i="1"/>
  <c r="P32" i="1"/>
  <c r="Q32" i="1"/>
  <c r="T32" i="1"/>
  <c r="W32" i="1"/>
  <c r="X32" i="1"/>
  <c r="AA32" i="1"/>
  <c r="AD32" i="1"/>
  <c r="AE32" i="1"/>
  <c r="AF32" i="1"/>
  <c r="AH32" i="1"/>
  <c r="AK32" i="1"/>
  <c r="AL32" i="1"/>
  <c r="AO32" i="1"/>
  <c r="AR32" i="1"/>
  <c r="AS32" i="1"/>
  <c r="AT32" i="1"/>
  <c r="AV32" i="1"/>
  <c r="AY32" i="1"/>
  <c r="AZ32" i="1"/>
  <c r="BC32" i="1"/>
  <c r="BF32" i="1"/>
  <c r="BG32" i="1"/>
  <c r="BH32" i="1"/>
  <c r="BJ32" i="1"/>
  <c r="BM32" i="1"/>
  <c r="BP32" i="1"/>
  <c r="BQ32" i="1"/>
  <c r="BR32" i="1"/>
  <c r="BS32" i="1"/>
  <c r="BU32" i="1"/>
  <c r="BV32" i="1"/>
  <c r="BW32" i="1"/>
  <c r="BX32" i="1"/>
  <c r="X33" i="1"/>
  <c r="AA33" i="1"/>
  <c r="AD33" i="1"/>
  <c r="AE33" i="1"/>
  <c r="AF33" i="1"/>
  <c r="AH33" i="1"/>
  <c r="AK33" i="1"/>
  <c r="AL33" i="1"/>
  <c r="AO33" i="1"/>
  <c r="AR33" i="1"/>
  <c r="AS33" i="1"/>
  <c r="AT33" i="1"/>
  <c r="AV33" i="1"/>
  <c r="AY33" i="1"/>
  <c r="AZ33" i="1"/>
  <c r="BC33" i="1"/>
  <c r="BF33" i="1"/>
  <c r="BG33" i="1"/>
  <c r="BH33" i="1"/>
  <c r="BJ33" i="1"/>
  <c r="BM33" i="1"/>
  <c r="P34" i="1"/>
  <c r="Q34" i="1"/>
  <c r="T34" i="1"/>
  <c r="W34" i="1"/>
  <c r="X34" i="1"/>
  <c r="AA34" i="1"/>
  <c r="AD34" i="1"/>
  <c r="AE34" i="1"/>
  <c r="AF34" i="1"/>
  <c r="AH34" i="1"/>
  <c r="AK34" i="1"/>
  <c r="AL34" i="1"/>
  <c r="AO34" i="1"/>
  <c r="AR34" i="1"/>
  <c r="AS34" i="1"/>
  <c r="AT34" i="1"/>
  <c r="AV34" i="1"/>
  <c r="AY34" i="1"/>
  <c r="AZ34" i="1"/>
  <c r="BC34" i="1"/>
  <c r="BF34" i="1"/>
  <c r="BG34" i="1"/>
  <c r="BH34" i="1"/>
  <c r="BJ34" i="1"/>
  <c r="BM34" i="1"/>
  <c r="BP34" i="1"/>
  <c r="BQ34" i="1"/>
  <c r="BR34" i="1"/>
  <c r="BS34" i="1"/>
  <c r="BU34" i="1"/>
  <c r="BV34" i="1"/>
  <c r="BW34" i="1"/>
  <c r="BX34" i="1"/>
  <c r="X35" i="1"/>
  <c r="AA35" i="1"/>
  <c r="AD35" i="1"/>
  <c r="AE35" i="1"/>
  <c r="AF35" i="1"/>
  <c r="AH35" i="1"/>
  <c r="AK35" i="1"/>
  <c r="AL35" i="1"/>
  <c r="AO35" i="1"/>
  <c r="AR35" i="1"/>
  <c r="AS35" i="1"/>
  <c r="AT35" i="1"/>
  <c r="AV35" i="1"/>
  <c r="AY35" i="1"/>
  <c r="AZ35" i="1"/>
  <c r="BC35" i="1"/>
  <c r="BF35" i="1"/>
  <c r="BG35" i="1"/>
  <c r="BH35" i="1"/>
  <c r="BJ35" i="1"/>
  <c r="BM35" i="1"/>
  <c r="P36" i="1"/>
  <c r="Q36" i="1"/>
  <c r="T36" i="1"/>
  <c r="W36" i="1"/>
  <c r="X36" i="1"/>
  <c r="AA36" i="1"/>
  <c r="AD36" i="1"/>
  <c r="AE36" i="1"/>
  <c r="AF36" i="1"/>
  <c r="AH36" i="1"/>
  <c r="AK36" i="1"/>
  <c r="AL36" i="1"/>
  <c r="AO36" i="1"/>
  <c r="AR36" i="1"/>
  <c r="AS36" i="1"/>
  <c r="AT36" i="1"/>
  <c r="AV36" i="1"/>
  <c r="AY36" i="1"/>
  <c r="AZ36" i="1"/>
  <c r="BC36" i="1"/>
  <c r="BF36" i="1"/>
  <c r="BG36" i="1"/>
  <c r="BH36" i="1"/>
  <c r="BJ36" i="1"/>
  <c r="BM36" i="1"/>
  <c r="BP36" i="1"/>
  <c r="BQ36" i="1"/>
  <c r="BR36" i="1"/>
  <c r="BS36" i="1"/>
  <c r="BU36" i="1"/>
  <c r="BV36" i="1"/>
  <c r="BW36" i="1"/>
  <c r="BX36" i="1"/>
  <c r="X37" i="1"/>
  <c r="AA37" i="1"/>
  <c r="AD37" i="1"/>
  <c r="AE37" i="1"/>
  <c r="AF37" i="1"/>
  <c r="AH37" i="1"/>
  <c r="AK37" i="1"/>
  <c r="AL37" i="1"/>
  <c r="AO37" i="1"/>
  <c r="AR37" i="1"/>
  <c r="AS37" i="1"/>
  <c r="AT37" i="1"/>
  <c r="AV37" i="1"/>
  <c r="AY37" i="1"/>
  <c r="AZ37" i="1"/>
  <c r="BC37" i="1"/>
  <c r="BF37" i="1"/>
  <c r="BG37" i="1"/>
  <c r="BH37" i="1"/>
  <c r="BJ37" i="1"/>
  <c r="BM37" i="1"/>
  <c r="P38" i="1"/>
  <c r="Q38" i="1"/>
  <c r="T38" i="1"/>
  <c r="W38" i="1"/>
  <c r="X38" i="1"/>
  <c r="AA38" i="1"/>
  <c r="AD38" i="1"/>
  <c r="AE38" i="1"/>
  <c r="AF38" i="1"/>
  <c r="AH38" i="1"/>
  <c r="AK38" i="1"/>
  <c r="AL38" i="1"/>
  <c r="AO38" i="1"/>
  <c r="AR38" i="1"/>
  <c r="AS38" i="1"/>
  <c r="AT38" i="1"/>
  <c r="AV38" i="1"/>
  <c r="AY38" i="1"/>
  <c r="AZ38" i="1"/>
  <c r="BC38" i="1"/>
  <c r="BF38" i="1"/>
  <c r="BG38" i="1"/>
  <c r="BH38" i="1"/>
  <c r="BJ38" i="1"/>
  <c r="BM38" i="1"/>
  <c r="BP38" i="1"/>
  <c r="BQ38" i="1"/>
  <c r="BR38" i="1"/>
  <c r="BS38" i="1"/>
  <c r="BU38" i="1"/>
  <c r="BV38" i="1"/>
  <c r="BW38" i="1"/>
  <c r="BX38" i="1"/>
  <c r="X39" i="1"/>
  <c r="AA39" i="1"/>
  <c r="AD39" i="1"/>
  <c r="AE39" i="1"/>
  <c r="AF39" i="1"/>
  <c r="AH39" i="1"/>
  <c r="AK39" i="1"/>
  <c r="AL39" i="1"/>
  <c r="AO39" i="1"/>
  <c r="AR39" i="1"/>
  <c r="AS39" i="1"/>
  <c r="AT39" i="1"/>
  <c r="AV39" i="1"/>
  <c r="AY39" i="1"/>
  <c r="AZ39" i="1"/>
  <c r="BC39" i="1"/>
  <c r="BF39" i="1"/>
  <c r="BG39" i="1"/>
  <c r="BH39" i="1"/>
  <c r="BJ39" i="1"/>
  <c r="BM39" i="1"/>
  <c r="P40" i="1"/>
  <c r="Q40" i="1"/>
  <c r="T40" i="1"/>
  <c r="W40" i="1"/>
  <c r="X40" i="1"/>
  <c r="AA40" i="1"/>
  <c r="AD40" i="1"/>
  <c r="AE40" i="1"/>
  <c r="AF40" i="1"/>
  <c r="AH40" i="1"/>
  <c r="AK40" i="1"/>
  <c r="AL40" i="1"/>
  <c r="AO40" i="1"/>
  <c r="AR40" i="1"/>
  <c r="AS40" i="1"/>
  <c r="AT40" i="1"/>
  <c r="AV40" i="1"/>
  <c r="AY40" i="1"/>
  <c r="AZ40" i="1"/>
  <c r="BC40" i="1"/>
  <c r="BF40" i="1"/>
  <c r="BG40" i="1"/>
  <c r="BH40" i="1"/>
  <c r="BJ40" i="1"/>
  <c r="BM40" i="1"/>
  <c r="BP40" i="1"/>
  <c r="BQ40" i="1"/>
  <c r="BR40" i="1"/>
  <c r="BS40" i="1"/>
  <c r="BU40" i="1"/>
  <c r="BV40" i="1"/>
  <c r="BW40" i="1"/>
  <c r="BX40" i="1"/>
  <c r="X41" i="1"/>
  <c r="AA41" i="1"/>
  <c r="AD41" i="1"/>
  <c r="AE41" i="1"/>
  <c r="AF41" i="1"/>
  <c r="AH41" i="1"/>
  <c r="AK41" i="1"/>
  <c r="AL41" i="1"/>
  <c r="AO41" i="1"/>
  <c r="AR41" i="1"/>
  <c r="AS41" i="1"/>
  <c r="AT41" i="1"/>
  <c r="AV41" i="1"/>
  <c r="AY41" i="1"/>
  <c r="AZ41" i="1"/>
  <c r="BC41" i="1"/>
  <c r="BF41" i="1"/>
  <c r="BG41" i="1"/>
  <c r="BH41" i="1"/>
  <c r="BJ41" i="1"/>
  <c r="BM41" i="1"/>
  <c r="P42" i="1"/>
  <c r="Q42" i="1"/>
  <c r="T42" i="1"/>
  <c r="W42" i="1"/>
  <c r="X42" i="1"/>
  <c r="AA42" i="1"/>
  <c r="AD42" i="1"/>
  <c r="AE42" i="1"/>
  <c r="AF42" i="1"/>
  <c r="AH42" i="1"/>
  <c r="AK42" i="1"/>
  <c r="AL42" i="1"/>
  <c r="AO42" i="1"/>
  <c r="AR42" i="1"/>
  <c r="AS42" i="1"/>
  <c r="AT42" i="1"/>
  <c r="AV42" i="1"/>
  <c r="AY42" i="1"/>
  <c r="AZ42" i="1"/>
  <c r="BC42" i="1"/>
  <c r="BF42" i="1"/>
  <c r="BG42" i="1"/>
  <c r="BH42" i="1"/>
  <c r="BJ42" i="1"/>
  <c r="BM42" i="1"/>
  <c r="BP42" i="1"/>
  <c r="BQ42" i="1"/>
  <c r="BR42" i="1"/>
  <c r="BS42" i="1"/>
  <c r="BU42" i="1"/>
  <c r="BV42" i="1"/>
  <c r="BW42" i="1"/>
  <c r="BX42" i="1"/>
  <c r="X43" i="1"/>
  <c r="AA43" i="1"/>
  <c r="AD43" i="1"/>
  <c r="AE43" i="1"/>
  <c r="AF43" i="1"/>
  <c r="AH43" i="1"/>
  <c r="AK43" i="1"/>
  <c r="AL43" i="1"/>
  <c r="AO43" i="1"/>
  <c r="AR43" i="1"/>
  <c r="AS43" i="1"/>
  <c r="AT43" i="1"/>
  <c r="AV43" i="1"/>
  <c r="AY43" i="1"/>
  <c r="AZ43" i="1"/>
  <c r="BC43" i="1"/>
  <c r="BF43" i="1"/>
  <c r="BG43" i="1"/>
  <c r="BH43" i="1"/>
  <c r="BJ43" i="1"/>
  <c r="BM43" i="1"/>
  <c r="P44" i="1"/>
  <c r="Q44" i="1"/>
  <c r="T44" i="1"/>
  <c r="W44" i="1"/>
  <c r="X44" i="1"/>
  <c r="AA44" i="1"/>
  <c r="AD44" i="1"/>
  <c r="AE44" i="1"/>
  <c r="AF44" i="1"/>
  <c r="AH44" i="1"/>
  <c r="AK44" i="1"/>
  <c r="AL44" i="1"/>
  <c r="AO44" i="1"/>
  <c r="AR44" i="1"/>
  <c r="AS44" i="1"/>
  <c r="AT44" i="1"/>
  <c r="AV44" i="1"/>
  <c r="AY44" i="1"/>
  <c r="AZ44" i="1"/>
  <c r="BC44" i="1"/>
  <c r="BF44" i="1"/>
  <c r="BG44" i="1"/>
  <c r="BH44" i="1"/>
  <c r="BJ44" i="1"/>
  <c r="BM44" i="1"/>
  <c r="BP44" i="1"/>
  <c r="BQ44" i="1"/>
  <c r="BR44" i="1"/>
  <c r="BS44" i="1"/>
  <c r="BU44" i="1"/>
  <c r="BV44" i="1"/>
  <c r="BW44" i="1"/>
  <c r="BX44" i="1"/>
  <c r="X45" i="1"/>
  <c r="AA45" i="1"/>
  <c r="AD45" i="1"/>
  <c r="AE45" i="1"/>
  <c r="AF45" i="1"/>
  <c r="AH45" i="1"/>
  <c r="AK45" i="1"/>
  <c r="AL45" i="1"/>
  <c r="AO45" i="1"/>
  <c r="AR45" i="1"/>
  <c r="AS45" i="1"/>
  <c r="AT45" i="1"/>
  <c r="AV45" i="1"/>
  <c r="AY45" i="1"/>
  <c r="AZ45" i="1"/>
  <c r="BC45" i="1"/>
  <c r="BF45" i="1"/>
  <c r="BG45" i="1"/>
  <c r="BH45" i="1"/>
  <c r="BJ45" i="1"/>
  <c r="BM45" i="1"/>
  <c r="P46" i="1"/>
  <c r="Q46" i="1"/>
  <c r="T46" i="1"/>
  <c r="W46" i="1"/>
  <c r="X46" i="1"/>
  <c r="AA46" i="1"/>
  <c r="AD46" i="1"/>
  <c r="AE46" i="1"/>
  <c r="AF46" i="1"/>
  <c r="AH46" i="1"/>
  <c r="AK46" i="1"/>
  <c r="AL46" i="1"/>
  <c r="AO46" i="1"/>
  <c r="AR46" i="1"/>
  <c r="AS46" i="1"/>
  <c r="AT46" i="1"/>
  <c r="AV46" i="1"/>
  <c r="AY46" i="1"/>
  <c r="AZ46" i="1"/>
  <c r="BC46" i="1"/>
  <c r="BF46" i="1"/>
  <c r="BG46" i="1"/>
  <c r="BH46" i="1"/>
  <c r="BJ46" i="1"/>
  <c r="BM46" i="1"/>
  <c r="BP46" i="1"/>
  <c r="BQ46" i="1"/>
  <c r="BR46" i="1"/>
  <c r="BS46" i="1"/>
  <c r="BU46" i="1"/>
  <c r="BV46" i="1"/>
  <c r="BW46" i="1"/>
  <c r="BX46" i="1"/>
  <c r="X47" i="1"/>
  <c r="AA47" i="1"/>
  <c r="AD47" i="1"/>
  <c r="AE47" i="1"/>
  <c r="AF47" i="1"/>
  <c r="AH47" i="1"/>
  <c r="AK47" i="1"/>
  <c r="AL47" i="1"/>
  <c r="AO47" i="1"/>
  <c r="AR47" i="1"/>
  <c r="AS47" i="1"/>
  <c r="AT47" i="1"/>
  <c r="AV47" i="1"/>
  <c r="AY47" i="1"/>
  <c r="AZ47" i="1"/>
  <c r="BC47" i="1"/>
  <c r="BF47" i="1"/>
  <c r="BG47" i="1"/>
  <c r="BH47" i="1"/>
  <c r="BJ47" i="1"/>
  <c r="BM47" i="1"/>
  <c r="P48" i="1"/>
  <c r="Q48" i="1"/>
  <c r="T48" i="1"/>
  <c r="W48" i="1"/>
  <c r="X48" i="1"/>
  <c r="AA48" i="1"/>
  <c r="AD48" i="1"/>
  <c r="AE48" i="1"/>
  <c r="AF48" i="1"/>
  <c r="AH48" i="1"/>
  <c r="AK48" i="1"/>
  <c r="AL48" i="1"/>
  <c r="AO48" i="1"/>
  <c r="AR48" i="1"/>
  <c r="AS48" i="1"/>
  <c r="AT48" i="1"/>
  <c r="AV48" i="1"/>
  <c r="AY48" i="1"/>
  <c r="AZ48" i="1"/>
  <c r="BC48" i="1"/>
  <c r="BF48" i="1"/>
  <c r="BG48" i="1"/>
  <c r="BH48" i="1"/>
  <c r="BJ48" i="1"/>
  <c r="BM48" i="1"/>
  <c r="BP48" i="1"/>
  <c r="BQ48" i="1"/>
  <c r="BR48" i="1"/>
  <c r="BS48" i="1"/>
  <c r="BU48" i="1"/>
  <c r="BV48" i="1"/>
  <c r="BW48" i="1"/>
  <c r="BX48" i="1"/>
  <c r="X49" i="1"/>
  <c r="AA49" i="1"/>
  <c r="AD49" i="1"/>
  <c r="AE49" i="1"/>
  <c r="AF49" i="1"/>
  <c r="AH49" i="1"/>
  <c r="AK49" i="1"/>
  <c r="AL49" i="1"/>
  <c r="AO49" i="1"/>
  <c r="AR49" i="1"/>
  <c r="AS49" i="1"/>
  <c r="AT49" i="1"/>
  <c r="AV49" i="1"/>
  <c r="AY49" i="1"/>
  <c r="AZ49" i="1"/>
  <c r="BC49" i="1"/>
  <c r="BF49" i="1"/>
  <c r="BG49" i="1"/>
  <c r="BH49" i="1"/>
  <c r="BJ49" i="1"/>
  <c r="BM49" i="1"/>
  <c r="P50" i="1"/>
  <c r="Q50" i="1"/>
  <c r="T50" i="1"/>
  <c r="W50" i="1"/>
  <c r="X50" i="1"/>
  <c r="AA50" i="1"/>
  <c r="AD50" i="1"/>
  <c r="AE50" i="1"/>
  <c r="AF50" i="1"/>
  <c r="AH50" i="1"/>
  <c r="AK50" i="1"/>
  <c r="AL50" i="1"/>
  <c r="AO50" i="1"/>
  <c r="AR50" i="1"/>
  <c r="AS50" i="1"/>
  <c r="AT50" i="1"/>
  <c r="AV50" i="1"/>
  <c r="AY50" i="1"/>
  <c r="AZ50" i="1"/>
  <c r="BC50" i="1"/>
  <c r="BF50" i="1"/>
  <c r="BG50" i="1"/>
  <c r="BH50" i="1"/>
  <c r="BJ50" i="1"/>
  <c r="BM50" i="1"/>
  <c r="BP50" i="1"/>
  <c r="BQ50" i="1"/>
  <c r="BR50" i="1"/>
  <c r="BS50" i="1"/>
  <c r="BU50" i="1"/>
  <c r="BV50" i="1"/>
  <c r="BW50" i="1"/>
  <c r="BX50" i="1"/>
  <c r="X51" i="1"/>
  <c r="AA51" i="1"/>
  <c r="AD51" i="1"/>
  <c r="AE51" i="1"/>
  <c r="AF51" i="1"/>
  <c r="AH51" i="1"/>
  <c r="AK51" i="1"/>
  <c r="AL51" i="1"/>
  <c r="AO51" i="1"/>
  <c r="AR51" i="1"/>
  <c r="AS51" i="1"/>
  <c r="AT51" i="1"/>
  <c r="AV51" i="1"/>
  <c r="AY51" i="1"/>
  <c r="AZ51" i="1"/>
  <c r="BC51" i="1"/>
  <c r="BF51" i="1"/>
  <c r="BG51" i="1"/>
  <c r="BH51" i="1"/>
  <c r="BJ51" i="1"/>
  <c r="BM51" i="1"/>
  <c r="P52" i="1"/>
  <c r="Q52" i="1"/>
  <c r="T52" i="1"/>
  <c r="W52" i="1"/>
  <c r="X52" i="1"/>
  <c r="AA52" i="1"/>
  <c r="AD52" i="1"/>
  <c r="AE52" i="1"/>
  <c r="AF52" i="1"/>
  <c r="AH52" i="1"/>
  <c r="AK52" i="1"/>
  <c r="AL52" i="1"/>
  <c r="AO52" i="1"/>
  <c r="AR52" i="1"/>
  <c r="AS52" i="1"/>
  <c r="AT52" i="1"/>
  <c r="AV52" i="1"/>
  <c r="AY52" i="1"/>
  <c r="AZ52" i="1"/>
  <c r="BC52" i="1"/>
  <c r="BF52" i="1"/>
  <c r="BG52" i="1"/>
  <c r="BH52" i="1"/>
  <c r="BJ52" i="1"/>
  <c r="BM52" i="1"/>
  <c r="BP52" i="1"/>
  <c r="BQ52" i="1"/>
  <c r="BR52" i="1"/>
  <c r="BS52" i="1"/>
  <c r="BU52" i="1"/>
  <c r="BV52" i="1"/>
  <c r="BW52" i="1"/>
  <c r="BX52" i="1"/>
  <c r="X53" i="1"/>
  <c r="AA53" i="1"/>
  <c r="AD53" i="1"/>
  <c r="AE53" i="1"/>
  <c r="AF53" i="1"/>
  <c r="AH53" i="1"/>
  <c r="AK53" i="1"/>
  <c r="AL53" i="1"/>
  <c r="AO53" i="1"/>
  <c r="AR53" i="1"/>
  <c r="AS53" i="1"/>
  <c r="AT53" i="1"/>
  <c r="AV53" i="1"/>
  <c r="AY53" i="1"/>
  <c r="AZ53" i="1"/>
  <c r="BC53" i="1"/>
  <c r="BF53" i="1"/>
  <c r="BG53" i="1"/>
  <c r="BH53" i="1"/>
  <c r="BJ53" i="1"/>
  <c r="BM53" i="1"/>
  <c r="P54" i="1"/>
  <c r="Q54" i="1"/>
  <c r="T54" i="1"/>
  <c r="W54" i="1"/>
  <c r="X54" i="1"/>
  <c r="AA54" i="1"/>
  <c r="AD54" i="1"/>
  <c r="AE54" i="1"/>
  <c r="AF54" i="1"/>
  <c r="AH54" i="1"/>
  <c r="AK54" i="1"/>
  <c r="AL54" i="1"/>
  <c r="AO54" i="1"/>
  <c r="AR54" i="1"/>
  <c r="AS54" i="1"/>
  <c r="AT54" i="1"/>
  <c r="AV54" i="1"/>
  <c r="AY54" i="1"/>
  <c r="AZ54" i="1"/>
  <c r="BC54" i="1"/>
  <c r="BF54" i="1"/>
  <c r="BG54" i="1"/>
  <c r="BH54" i="1"/>
  <c r="BJ54" i="1"/>
  <c r="BM54" i="1"/>
  <c r="BP54" i="1"/>
  <c r="BQ54" i="1"/>
  <c r="BR54" i="1"/>
  <c r="BS54" i="1"/>
  <c r="BU54" i="1"/>
  <c r="BV54" i="1"/>
  <c r="BW54" i="1"/>
  <c r="BX54" i="1"/>
  <c r="X55" i="1"/>
  <c r="AA55" i="1"/>
  <c r="AD55" i="1"/>
  <c r="AE55" i="1"/>
  <c r="AF55" i="1"/>
  <c r="AH55" i="1"/>
  <c r="AK55" i="1"/>
  <c r="AL55" i="1"/>
  <c r="AO55" i="1"/>
  <c r="AR55" i="1"/>
  <c r="AS55" i="1"/>
  <c r="AT55" i="1"/>
  <c r="AV55" i="1"/>
  <c r="AY55" i="1"/>
  <c r="AZ55" i="1"/>
  <c r="BC55" i="1"/>
  <c r="BF55" i="1"/>
  <c r="BG55" i="1"/>
  <c r="BH55" i="1"/>
  <c r="BJ55" i="1"/>
  <c r="BM55" i="1"/>
  <c r="P56" i="1"/>
  <c r="Q56" i="1"/>
  <c r="T56" i="1"/>
  <c r="W56" i="1"/>
  <c r="X56" i="1"/>
  <c r="AA56" i="1"/>
  <c r="AD56" i="1"/>
  <c r="AE56" i="1"/>
  <c r="AF56" i="1"/>
  <c r="AH56" i="1"/>
  <c r="AK56" i="1"/>
  <c r="AL56" i="1"/>
  <c r="AO56" i="1"/>
  <c r="AR56" i="1"/>
  <c r="AS56" i="1"/>
  <c r="AT56" i="1"/>
  <c r="AV56" i="1"/>
  <c r="AY56" i="1"/>
  <c r="AZ56" i="1"/>
  <c r="BC56" i="1"/>
  <c r="BF56" i="1"/>
  <c r="BG56" i="1"/>
  <c r="BH56" i="1"/>
  <c r="BJ56" i="1"/>
  <c r="BM56" i="1"/>
  <c r="BP56" i="1"/>
  <c r="BQ56" i="1"/>
  <c r="BR56" i="1"/>
  <c r="BS56" i="1"/>
  <c r="BU56" i="1"/>
  <c r="BV56" i="1"/>
  <c r="BW56" i="1"/>
  <c r="BX56" i="1"/>
  <c r="X57" i="1"/>
  <c r="AA57" i="1"/>
  <c r="AD57" i="1"/>
  <c r="AE57" i="1"/>
  <c r="AF57" i="1"/>
  <c r="AH57" i="1"/>
  <c r="AK57" i="1"/>
  <c r="AL57" i="1"/>
  <c r="AO57" i="1"/>
  <c r="AR57" i="1"/>
  <c r="AS57" i="1"/>
  <c r="AT57" i="1"/>
  <c r="AV57" i="1"/>
  <c r="AY57" i="1"/>
  <c r="AZ57" i="1"/>
  <c r="BC57" i="1"/>
  <c r="BF57" i="1"/>
  <c r="BG57" i="1"/>
  <c r="BH57" i="1"/>
  <c r="BJ57" i="1"/>
  <c r="BM57" i="1"/>
  <c r="P58" i="1"/>
  <c r="Q58" i="1"/>
  <c r="T58" i="1"/>
  <c r="W58" i="1"/>
  <c r="X58" i="1"/>
  <c r="AA58" i="1"/>
  <c r="AD58" i="1"/>
  <c r="AE58" i="1"/>
  <c r="AF58" i="1"/>
  <c r="AH58" i="1"/>
  <c r="AK58" i="1"/>
  <c r="AL58" i="1"/>
  <c r="AO58" i="1"/>
  <c r="AR58" i="1"/>
  <c r="AS58" i="1"/>
  <c r="AT58" i="1"/>
  <c r="AV58" i="1"/>
  <c r="AY58" i="1"/>
  <c r="AZ58" i="1"/>
  <c r="BC58" i="1"/>
  <c r="BF58" i="1"/>
  <c r="BG58" i="1"/>
  <c r="BH58" i="1"/>
  <c r="BJ58" i="1"/>
  <c r="BM58" i="1"/>
  <c r="BP58" i="1"/>
  <c r="BQ58" i="1"/>
  <c r="BR58" i="1"/>
  <c r="BS58" i="1"/>
  <c r="BU58" i="1"/>
  <c r="BV58" i="1"/>
  <c r="BW58" i="1"/>
  <c r="BX58" i="1"/>
  <c r="X59" i="1"/>
  <c r="AA59" i="1"/>
  <c r="AD59" i="1"/>
  <c r="AE59" i="1"/>
  <c r="AF59" i="1"/>
  <c r="AH59" i="1"/>
  <c r="AK59" i="1"/>
  <c r="AL59" i="1"/>
  <c r="AO59" i="1"/>
  <c r="AR59" i="1"/>
  <c r="AS59" i="1"/>
  <c r="AT59" i="1"/>
  <c r="AV59" i="1"/>
  <c r="AY59" i="1"/>
  <c r="AZ59" i="1"/>
  <c r="BC59" i="1"/>
  <c r="BF59" i="1"/>
  <c r="BG59" i="1"/>
  <c r="BH59" i="1"/>
  <c r="BJ59" i="1"/>
  <c r="BM59" i="1"/>
  <c r="P60" i="1"/>
  <c r="Q60" i="1"/>
  <c r="T60" i="1"/>
  <c r="W60" i="1"/>
  <c r="X60" i="1"/>
  <c r="AA60" i="1"/>
  <c r="AD60" i="1"/>
  <c r="AE60" i="1"/>
  <c r="AF60" i="1"/>
  <c r="AH60" i="1"/>
  <c r="AK60" i="1"/>
  <c r="AL60" i="1"/>
  <c r="AO60" i="1"/>
  <c r="AR60" i="1"/>
  <c r="AS60" i="1"/>
  <c r="AT60" i="1"/>
  <c r="AV60" i="1"/>
  <c r="AY60" i="1"/>
  <c r="AZ60" i="1"/>
  <c r="BC60" i="1"/>
  <c r="BF60" i="1"/>
  <c r="BG60" i="1"/>
  <c r="BH60" i="1"/>
  <c r="BJ60" i="1"/>
  <c r="BM60" i="1"/>
  <c r="BP60" i="1"/>
  <c r="BQ60" i="1"/>
  <c r="BR60" i="1"/>
  <c r="BS60" i="1"/>
  <c r="BU60" i="1"/>
  <c r="BV60" i="1"/>
  <c r="BW60" i="1"/>
  <c r="BX60" i="1"/>
  <c r="X61" i="1"/>
  <c r="AA61" i="1"/>
  <c r="AD61" i="1"/>
  <c r="AE61" i="1"/>
  <c r="AF61" i="1"/>
  <c r="AH61" i="1"/>
  <c r="AK61" i="1"/>
  <c r="AL61" i="1"/>
  <c r="AO61" i="1"/>
  <c r="AR61" i="1"/>
  <c r="AS61" i="1"/>
  <c r="AT61" i="1"/>
  <c r="AV61" i="1"/>
  <c r="AY61" i="1"/>
  <c r="AZ61" i="1"/>
  <c r="BC61" i="1"/>
  <c r="BF61" i="1"/>
  <c r="BG61" i="1"/>
  <c r="BH61" i="1"/>
  <c r="BJ61" i="1"/>
  <c r="BM61" i="1"/>
  <c r="P62" i="1"/>
  <c r="Q62" i="1"/>
  <c r="T62" i="1"/>
  <c r="W62" i="1"/>
  <c r="X62" i="1"/>
  <c r="AA62" i="1"/>
  <c r="AD62" i="1"/>
  <c r="AE62" i="1"/>
  <c r="AF62" i="1"/>
  <c r="AH62" i="1"/>
  <c r="AK62" i="1"/>
  <c r="AL62" i="1"/>
  <c r="AO62" i="1"/>
  <c r="AR62" i="1"/>
  <c r="AS62" i="1"/>
  <c r="AT62" i="1"/>
  <c r="AV62" i="1"/>
  <c r="AY62" i="1"/>
  <c r="AZ62" i="1"/>
  <c r="BC62" i="1"/>
  <c r="BF62" i="1"/>
  <c r="BG62" i="1"/>
  <c r="BH62" i="1"/>
  <c r="BJ62" i="1"/>
  <c r="BM62" i="1"/>
  <c r="BP62" i="1"/>
  <c r="BQ62" i="1"/>
  <c r="BR62" i="1"/>
  <c r="BS62" i="1"/>
  <c r="BU62" i="1"/>
  <c r="BV62" i="1"/>
  <c r="BW62" i="1"/>
  <c r="BX62" i="1"/>
  <c r="X63" i="1"/>
  <c r="AA63" i="1"/>
  <c r="AD63" i="1"/>
  <c r="AE63" i="1"/>
  <c r="AF63" i="1"/>
  <c r="AH63" i="1"/>
  <c r="AK63" i="1"/>
  <c r="AL63" i="1"/>
  <c r="AO63" i="1"/>
  <c r="AR63" i="1"/>
  <c r="AS63" i="1"/>
  <c r="AT63" i="1"/>
  <c r="AV63" i="1"/>
  <c r="AY63" i="1"/>
  <c r="AZ63" i="1"/>
  <c r="BC63" i="1"/>
  <c r="BF63" i="1"/>
  <c r="BG63" i="1"/>
  <c r="BH63" i="1"/>
  <c r="BJ63" i="1"/>
  <c r="BM63" i="1"/>
  <c r="P64" i="1"/>
  <c r="Q64" i="1"/>
  <c r="T64" i="1"/>
  <c r="W64" i="1"/>
  <c r="X64" i="1"/>
  <c r="AA64" i="1"/>
  <c r="AD64" i="1"/>
  <c r="AE64" i="1"/>
  <c r="AF64" i="1"/>
  <c r="AH64" i="1"/>
  <c r="AK64" i="1"/>
  <c r="AL64" i="1"/>
  <c r="AO64" i="1"/>
  <c r="AR64" i="1"/>
  <c r="AS64" i="1"/>
  <c r="AT64" i="1"/>
  <c r="AV64" i="1"/>
  <c r="AY64" i="1"/>
  <c r="AZ64" i="1"/>
  <c r="BC64" i="1"/>
  <c r="BF64" i="1"/>
  <c r="BG64" i="1"/>
  <c r="BH64" i="1"/>
  <c r="BJ64" i="1"/>
  <c r="BM64" i="1"/>
  <c r="BP64" i="1"/>
  <c r="BQ64" i="1"/>
  <c r="BR64" i="1"/>
  <c r="BS64" i="1"/>
  <c r="BU64" i="1"/>
  <c r="BV64" i="1"/>
  <c r="BW64" i="1"/>
  <c r="BX64" i="1"/>
  <c r="X65" i="1"/>
  <c r="AA65" i="1"/>
  <c r="AD65" i="1"/>
  <c r="AE65" i="1"/>
  <c r="AF65" i="1"/>
  <c r="AH65" i="1"/>
  <c r="AK65" i="1"/>
  <c r="AL65" i="1"/>
  <c r="AO65" i="1"/>
  <c r="AR65" i="1"/>
  <c r="AS65" i="1"/>
  <c r="AT65" i="1"/>
  <c r="AV65" i="1"/>
  <c r="AY65" i="1"/>
  <c r="AZ65" i="1"/>
  <c r="BC65" i="1"/>
  <c r="BF65" i="1"/>
  <c r="BG65" i="1"/>
  <c r="BH65" i="1"/>
  <c r="BJ65" i="1"/>
  <c r="BM65" i="1"/>
  <c r="P66" i="1"/>
  <c r="Q66" i="1"/>
  <c r="T66" i="1"/>
  <c r="W66" i="1"/>
  <c r="X66" i="1"/>
  <c r="AA66" i="1"/>
  <c r="AD66" i="1"/>
  <c r="AE66" i="1"/>
  <c r="AF66" i="1"/>
  <c r="AH66" i="1"/>
  <c r="AK66" i="1"/>
  <c r="AL66" i="1"/>
  <c r="AO66" i="1"/>
  <c r="AR66" i="1"/>
  <c r="AS66" i="1"/>
  <c r="AT66" i="1"/>
  <c r="AV66" i="1"/>
  <c r="AY66" i="1"/>
  <c r="AZ66" i="1"/>
  <c r="BC66" i="1"/>
  <c r="BF66" i="1"/>
  <c r="BG66" i="1"/>
  <c r="BH66" i="1"/>
  <c r="BJ66" i="1"/>
  <c r="BM66" i="1"/>
  <c r="BP66" i="1"/>
  <c r="BQ66" i="1"/>
  <c r="BR66" i="1"/>
  <c r="BS66" i="1"/>
  <c r="BU66" i="1"/>
  <c r="BV66" i="1"/>
  <c r="BW66" i="1"/>
  <c r="BX66" i="1"/>
  <c r="X67" i="1"/>
  <c r="AA67" i="1"/>
  <c r="AD67" i="1"/>
  <c r="AE67" i="1"/>
  <c r="AF67" i="1"/>
  <c r="AH67" i="1"/>
  <c r="AK67" i="1"/>
  <c r="AL67" i="1"/>
  <c r="AO67" i="1"/>
  <c r="AR67" i="1"/>
  <c r="AS67" i="1"/>
  <c r="AT67" i="1"/>
  <c r="AV67" i="1"/>
  <c r="AY67" i="1"/>
  <c r="AZ67" i="1"/>
  <c r="BC67" i="1"/>
  <c r="BF67" i="1"/>
  <c r="BG67" i="1"/>
  <c r="BH67" i="1"/>
  <c r="BJ67" i="1"/>
  <c r="BM67" i="1"/>
  <c r="P68" i="1"/>
  <c r="Q68" i="1"/>
  <c r="T68" i="1"/>
  <c r="W68" i="1"/>
  <c r="X68" i="1"/>
  <c r="AA68" i="1"/>
  <c r="AD68" i="1"/>
  <c r="AE68" i="1"/>
  <c r="AF68" i="1"/>
  <c r="AH68" i="1"/>
  <c r="AK68" i="1"/>
  <c r="AL68" i="1"/>
  <c r="AO68" i="1"/>
  <c r="AR68" i="1"/>
  <c r="AS68" i="1"/>
  <c r="AT68" i="1"/>
  <c r="AV68" i="1"/>
  <c r="AY68" i="1"/>
  <c r="AZ68" i="1"/>
  <c r="BC68" i="1"/>
  <c r="BF68" i="1"/>
  <c r="BG68" i="1"/>
  <c r="BH68" i="1"/>
  <c r="BJ68" i="1"/>
  <c r="BM68" i="1"/>
  <c r="BP68" i="1"/>
  <c r="BQ68" i="1"/>
  <c r="BR68" i="1"/>
  <c r="BS68" i="1"/>
  <c r="BU68" i="1"/>
  <c r="BV68" i="1"/>
  <c r="BW68" i="1"/>
  <c r="BX68" i="1"/>
  <c r="X69" i="1"/>
  <c r="AA69" i="1"/>
  <c r="AD69" i="1"/>
  <c r="AE69" i="1"/>
  <c r="AF69" i="1"/>
  <c r="AH69" i="1"/>
  <c r="AK69" i="1"/>
  <c r="AL69" i="1"/>
  <c r="AO69" i="1"/>
  <c r="AR69" i="1"/>
  <c r="AS69" i="1"/>
  <c r="AT69" i="1"/>
  <c r="AV69" i="1"/>
  <c r="AY69" i="1"/>
  <c r="AZ69" i="1"/>
  <c r="BC69" i="1"/>
  <c r="BF69" i="1"/>
  <c r="BG69" i="1"/>
  <c r="BH69" i="1"/>
  <c r="BJ69" i="1"/>
  <c r="BM69" i="1"/>
  <c r="P70" i="1"/>
  <c r="Q70" i="1"/>
  <c r="T70" i="1"/>
  <c r="W70" i="1"/>
  <c r="X70" i="1"/>
  <c r="AA70" i="1"/>
  <c r="AD70" i="1"/>
  <c r="AE70" i="1"/>
  <c r="AF70" i="1"/>
  <c r="AH70" i="1"/>
  <c r="AK70" i="1"/>
  <c r="AL70" i="1"/>
  <c r="AO70" i="1"/>
  <c r="AR70" i="1"/>
  <c r="AS70" i="1"/>
  <c r="AT70" i="1"/>
  <c r="AV70" i="1"/>
  <c r="AY70" i="1"/>
  <c r="AZ70" i="1"/>
  <c r="BC70" i="1"/>
  <c r="BF70" i="1"/>
  <c r="BG70" i="1"/>
  <c r="BH70" i="1"/>
  <c r="BJ70" i="1"/>
  <c r="BM70" i="1"/>
  <c r="BP70" i="1"/>
  <c r="BQ70" i="1"/>
  <c r="BR70" i="1"/>
  <c r="BS70" i="1"/>
  <c r="BU70" i="1"/>
  <c r="BV70" i="1"/>
  <c r="BW70" i="1"/>
  <c r="BX70" i="1"/>
  <c r="X71" i="1"/>
  <c r="AA71" i="1"/>
  <c r="AD71" i="1"/>
  <c r="AE71" i="1"/>
  <c r="AF71" i="1"/>
  <c r="AH71" i="1"/>
  <c r="AK71" i="1"/>
  <c r="AL71" i="1"/>
  <c r="AO71" i="1"/>
  <c r="AR71" i="1"/>
  <c r="AS71" i="1"/>
  <c r="AT71" i="1"/>
  <c r="AV71" i="1"/>
  <c r="AY71" i="1"/>
  <c r="AZ71" i="1"/>
  <c r="BC71" i="1"/>
  <c r="BF71" i="1"/>
  <c r="BG71" i="1"/>
  <c r="BH71" i="1"/>
  <c r="BJ71" i="1"/>
  <c r="BM71" i="1"/>
  <c r="P72" i="1"/>
  <c r="Q72" i="1"/>
  <c r="T72" i="1"/>
  <c r="W72" i="1"/>
  <c r="X72" i="1"/>
  <c r="AA72" i="1"/>
  <c r="AD72" i="1"/>
  <c r="AE72" i="1"/>
  <c r="AF72" i="1"/>
  <c r="AH72" i="1"/>
  <c r="AK72" i="1"/>
  <c r="AL72" i="1"/>
  <c r="AO72" i="1"/>
  <c r="AR72" i="1"/>
  <c r="AS72" i="1"/>
  <c r="AT72" i="1"/>
  <c r="AV72" i="1"/>
  <c r="AY72" i="1"/>
  <c r="AZ72" i="1"/>
  <c r="BC72" i="1"/>
  <c r="BF72" i="1"/>
  <c r="BG72" i="1"/>
  <c r="BH72" i="1"/>
  <c r="BJ72" i="1"/>
  <c r="BM72" i="1"/>
  <c r="BP72" i="1"/>
  <c r="BQ72" i="1"/>
  <c r="BR72" i="1"/>
  <c r="BS72" i="1"/>
  <c r="BU72" i="1"/>
  <c r="BV72" i="1"/>
  <c r="BW72" i="1"/>
  <c r="BX72" i="1"/>
  <c r="X73" i="1"/>
  <c r="AA73" i="1"/>
  <c r="AD73" i="1"/>
  <c r="AE73" i="1"/>
  <c r="AF73" i="1"/>
  <c r="AH73" i="1"/>
  <c r="AK73" i="1"/>
  <c r="AL73" i="1"/>
  <c r="AO73" i="1"/>
  <c r="AR73" i="1"/>
  <c r="AS73" i="1"/>
  <c r="AT73" i="1"/>
  <c r="AV73" i="1"/>
  <c r="AY73" i="1"/>
  <c r="AZ73" i="1"/>
  <c r="BC73" i="1"/>
  <c r="BF73" i="1"/>
  <c r="BG73" i="1"/>
  <c r="BH73" i="1"/>
  <c r="BJ73" i="1"/>
  <c r="BM73" i="1"/>
  <c r="P74" i="1"/>
  <c r="Q74" i="1"/>
  <c r="T74" i="1"/>
  <c r="W74" i="1"/>
  <c r="X74" i="1"/>
  <c r="AA74" i="1"/>
  <c r="AD74" i="1"/>
  <c r="AE74" i="1"/>
  <c r="AF74" i="1"/>
  <c r="AH74" i="1"/>
  <c r="AK74" i="1"/>
  <c r="AL74" i="1"/>
  <c r="AO74" i="1"/>
  <c r="AR74" i="1"/>
  <c r="AS74" i="1"/>
  <c r="AT74" i="1"/>
  <c r="AV74" i="1"/>
  <c r="AY74" i="1"/>
  <c r="AZ74" i="1"/>
  <c r="BC74" i="1"/>
  <c r="BF74" i="1"/>
  <c r="BG74" i="1"/>
  <c r="BH74" i="1"/>
  <c r="BJ74" i="1"/>
  <c r="BM74" i="1"/>
  <c r="BP74" i="1"/>
  <c r="BQ74" i="1"/>
  <c r="BR74" i="1"/>
  <c r="BS74" i="1"/>
  <c r="BU74" i="1"/>
  <c r="BV74" i="1"/>
  <c r="BW74" i="1"/>
  <c r="BX74" i="1"/>
  <c r="X75" i="1"/>
  <c r="AA75" i="1"/>
  <c r="AD75" i="1"/>
  <c r="AE75" i="1"/>
  <c r="AF75" i="1"/>
  <c r="AH75" i="1"/>
  <c r="AK75" i="1"/>
  <c r="AL75" i="1"/>
  <c r="AO75" i="1"/>
  <c r="AR75" i="1"/>
  <c r="AS75" i="1"/>
  <c r="AT75" i="1"/>
  <c r="AV75" i="1"/>
  <c r="AY75" i="1"/>
  <c r="AZ75" i="1"/>
  <c r="BC75" i="1"/>
  <c r="BF75" i="1"/>
  <c r="BG75" i="1"/>
  <c r="BH75" i="1"/>
  <c r="BJ75" i="1"/>
  <c r="BM75" i="1"/>
  <c r="P76" i="1"/>
  <c r="Q76" i="1"/>
  <c r="T76" i="1"/>
  <c r="W76" i="1"/>
  <c r="X76" i="1"/>
  <c r="AA76" i="1"/>
  <c r="AD76" i="1"/>
  <c r="AE76" i="1"/>
  <c r="AF76" i="1"/>
  <c r="AH76" i="1"/>
  <c r="AK76" i="1"/>
  <c r="AL76" i="1"/>
  <c r="AO76" i="1"/>
  <c r="AR76" i="1"/>
  <c r="AS76" i="1"/>
  <c r="AT76" i="1"/>
  <c r="AV76" i="1"/>
  <c r="AY76" i="1"/>
  <c r="AZ76" i="1"/>
  <c r="BC76" i="1"/>
  <c r="BF76" i="1"/>
  <c r="BG76" i="1"/>
  <c r="BH76" i="1"/>
  <c r="BJ76" i="1"/>
  <c r="BM76" i="1"/>
  <c r="BP76" i="1"/>
  <c r="BQ76" i="1"/>
  <c r="BR76" i="1"/>
  <c r="BS76" i="1"/>
  <c r="BU76" i="1"/>
  <c r="BV76" i="1"/>
  <c r="BW76" i="1"/>
  <c r="BX76" i="1"/>
  <c r="X77" i="1"/>
  <c r="AA77" i="1"/>
  <c r="AD77" i="1"/>
  <c r="AE77" i="1"/>
  <c r="AF77" i="1"/>
  <c r="AH77" i="1"/>
  <c r="AK77" i="1"/>
  <c r="AL77" i="1"/>
  <c r="AO77" i="1"/>
  <c r="AR77" i="1"/>
  <c r="AS77" i="1"/>
  <c r="AT77" i="1"/>
  <c r="AV77" i="1"/>
  <c r="AY77" i="1"/>
  <c r="AZ77" i="1"/>
  <c r="BC77" i="1"/>
  <c r="BF77" i="1"/>
  <c r="BG77" i="1"/>
  <c r="BH77" i="1"/>
  <c r="BJ77" i="1"/>
  <c r="BM77" i="1"/>
  <c r="P78" i="1"/>
  <c r="Q78" i="1"/>
  <c r="T78" i="1"/>
  <c r="W78" i="1"/>
  <c r="X78" i="1"/>
  <c r="AA78" i="1"/>
  <c r="AD78" i="1"/>
  <c r="AE78" i="1"/>
  <c r="AF78" i="1"/>
  <c r="AH78" i="1"/>
  <c r="AK78" i="1"/>
  <c r="AL78" i="1"/>
  <c r="AO78" i="1"/>
  <c r="AR78" i="1"/>
  <c r="AS78" i="1"/>
  <c r="AT78" i="1"/>
  <c r="AV78" i="1"/>
  <c r="AY78" i="1"/>
  <c r="AZ78" i="1"/>
  <c r="BC78" i="1"/>
  <c r="BF78" i="1"/>
  <c r="BG78" i="1"/>
  <c r="BH78" i="1"/>
  <c r="BJ78" i="1"/>
  <c r="BM78" i="1"/>
  <c r="BP78" i="1"/>
  <c r="BQ78" i="1"/>
  <c r="BR78" i="1"/>
  <c r="BS78" i="1"/>
  <c r="BU78" i="1"/>
  <c r="BV78" i="1"/>
  <c r="BW78" i="1"/>
  <c r="BX78" i="1"/>
  <c r="X79" i="1"/>
  <c r="AA79" i="1"/>
  <c r="AD79" i="1"/>
  <c r="AE79" i="1"/>
  <c r="AF79" i="1"/>
  <c r="AH79" i="1"/>
  <c r="AK79" i="1"/>
  <c r="AL79" i="1"/>
  <c r="AO79" i="1"/>
  <c r="AR79" i="1"/>
  <c r="AS79" i="1"/>
  <c r="AT79" i="1"/>
  <c r="AV79" i="1"/>
  <c r="AY79" i="1"/>
  <c r="AZ79" i="1"/>
  <c r="BC79" i="1"/>
  <c r="BF79" i="1"/>
  <c r="BG79" i="1"/>
  <c r="BH79" i="1"/>
  <c r="BJ79" i="1"/>
  <c r="BM79" i="1"/>
  <c r="P80" i="1"/>
  <c r="Q80" i="1"/>
  <c r="T80" i="1"/>
  <c r="W80" i="1"/>
  <c r="X80" i="1"/>
  <c r="AA80" i="1"/>
  <c r="AD80" i="1"/>
  <c r="AE80" i="1"/>
  <c r="AF80" i="1"/>
  <c r="AH80" i="1"/>
  <c r="AK80" i="1"/>
  <c r="AL80" i="1"/>
  <c r="AO80" i="1"/>
  <c r="AR80" i="1"/>
  <c r="AS80" i="1"/>
  <c r="AT80" i="1"/>
  <c r="AV80" i="1"/>
  <c r="AY80" i="1"/>
  <c r="AZ80" i="1"/>
  <c r="BC80" i="1"/>
  <c r="BF80" i="1"/>
  <c r="BG80" i="1"/>
  <c r="BH80" i="1"/>
  <c r="BJ80" i="1"/>
  <c r="BM80" i="1"/>
  <c r="BP80" i="1"/>
  <c r="BQ80" i="1"/>
  <c r="BR80" i="1"/>
  <c r="BS80" i="1"/>
  <c r="BU80" i="1"/>
  <c r="BV80" i="1"/>
  <c r="BW80" i="1"/>
  <c r="BX80" i="1"/>
  <c r="X81" i="1"/>
  <c r="AA81" i="1"/>
  <c r="AD81" i="1"/>
  <c r="AE81" i="1"/>
  <c r="AF81" i="1"/>
  <c r="AH81" i="1"/>
  <c r="AK81" i="1"/>
  <c r="AL81" i="1"/>
  <c r="AO81" i="1"/>
  <c r="AR81" i="1"/>
  <c r="AS81" i="1"/>
  <c r="AT81" i="1"/>
  <c r="AV81" i="1"/>
  <c r="AY81" i="1"/>
  <c r="AZ81" i="1"/>
  <c r="BC81" i="1"/>
  <c r="BF81" i="1"/>
  <c r="BG81" i="1"/>
  <c r="BH81" i="1"/>
  <c r="BJ81" i="1"/>
  <c r="BM81" i="1"/>
  <c r="P82" i="1"/>
  <c r="Q82" i="1"/>
  <c r="T82" i="1"/>
  <c r="W82" i="1"/>
  <c r="X82" i="1"/>
  <c r="AA82" i="1"/>
  <c r="AD82" i="1"/>
  <c r="AE82" i="1"/>
  <c r="AF82" i="1"/>
  <c r="AH82" i="1"/>
  <c r="AK82" i="1"/>
  <c r="AL82" i="1"/>
  <c r="AO82" i="1"/>
  <c r="AR82" i="1"/>
  <c r="AS82" i="1"/>
  <c r="AT82" i="1"/>
  <c r="AV82" i="1"/>
  <c r="AY82" i="1"/>
  <c r="AZ82" i="1"/>
  <c r="BC82" i="1"/>
  <c r="BF82" i="1"/>
  <c r="BG82" i="1"/>
  <c r="BH82" i="1"/>
  <c r="BJ82" i="1"/>
  <c r="BM82" i="1"/>
  <c r="BP82" i="1"/>
  <c r="BQ82" i="1"/>
  <c r="BR82" i="1"/>
  <c r="BS82" i="1"/>
  <c r="BU82" i="1"/>
  <c r="BV82" i="1"/>
  <c r="BW82" i="1"/>
  <c r="BX82" i="1"/>
  <c r="X83" i="1"/>
  <c r="AA83" i="1"/>
  <c r="AD83" i="1"/>
  <c r="AE83" i="1"/>
  <c r="AF83" i="1"/>
  <c r="AH83" i="1"/>
  <c r="AK83" i="1"/>
  <c r="AL83" i="1"/>
  <c r="AO83" i="1"/>
  <c r="AR83" i="1"/>
  <c r="AS83" i="1"/>
  <c r="AT83" i="1"/>
  <c r="AV83" i="1"/>
  <c r="AY83" i="1"/>
  <c r="AZ83" i="1"/>
  <c r="BC83" i="1"/>
  <c r="BF83" i="1"/>
  <c r="BG83" i="1"/>
  <c r="BH83" i="1"/>
  <c r="BJ83" i="1"/>
  <c r="BM83" i="1"/>
  <c r="P84" i="1"/>
  <c r="Q84" i="1"/>
  <c r="T84" i="1"/>
  <c r="W84" i="1"/>
  <c r="X84" i="1"/>
  <c r="AA84" i="1"/>
  <c r="AD84" i="1"/>
  <c r="AE84" i="1"/>
  <c r="AF84" i="1"/>
  <c r="AH84" i="1"/>
  <c r="AK84" i="1"/>
  <c r="AL84" i="1"/>
  <c r="AO84" i="1"/>
  <c r="AR84" i="1"/>
  <c r="AS84" i="1"/>
  <c r="AT84" i="1"/>
  <c r="AV84" i="1"/>
  <c r="AY84" i="1"/>
  <c r="AZ84" i="1"/>
  <c r="BC84" i="1"/>
  <c r="BF84" i="1"/>
  <c r="BG84" i="1"/>
  <c r="BH84" i="1"/>
  <c r="BJ84" i="1"/>
  <c r="BM84" i="1"/>
  <c r="BP84" i="1"/>
  <c r="BQ84" i="1"/>
  <c r="BR84" i="1"/>
  <c r="BS84" i="1"/>
  <c r="BU84" i="1"/>
  <c r="BV84" i="1"/>
  <c r="BW84" i="1"/>
  <c r="BX84" i="1"/>
  <c r="X85" i="1"/>
  <c r="AA85" i="1"/>
  <c r="AD85" i="1"/>
  <c r="AE85" i="1"/>
  <c r="AF85" i="1"/>
  <c r="AH85" i="1"/>
  <c r="AK85" i="1"/>
  <c r="AL85" i="1"/>
  <c r="AO85" i="1"/>
  <c r="AR85" i="1"/>
  <c r="AS85" i="1"/>
  <c r="AT85" i="1"/>
  <c r="AV85" i="1"/>
  <c r="AY85" i="1"/>
  <c r="AZ85" i="1"/>
  <c r="BC85" i="1"/>
  <c r="BF85" i="1"/>
  <c r="BG85" i="1"/>
  <c r="BH85" i="1"/>
  <c r="BJ85" i="1"/>
  <c r="BM85" i="1"/>
  <c r="P86" i="1"/>
  <c r="Q86" i="1"/>
  <c r="T86" i="1"/>
  <c r="W86" i="1"/>
  <c r="X86" i="1"/>
  <c r="AA86" i="1"/>
  <c r="AD86" i="1"/>
  <c r="AE86" i="1"/>
  <c r="AF86" i="1"/>
  <c r="AH86" i="1"/>
  <c r="AK86" i="1"/>
  <c r="AL86" i="1"/>
  <c r="AO86" i="1"/>
  <c r="AR86" i="1"/>
  <c r="AS86" i="1"/>
  <c r="AT86" i="1"/>
  <c r="AV86" i="1"/>
  <c r="AY86" i="1"/>
  <c r="AZ86" i="1"/>
  <c r="BC86" i="1"/>
  <c r="BF86" i="1"/>
  <c r="BG86" i="1"/>
  <c r="BH86" i="1"/>
  <c r="BJ86" i="1"/>
  <c r="BM86" i="1"/>
  <c r="BP86" i="1"/>
  <c r="BQ86" i="1"/>
  <c r="BR86" i="1"/>
  <c r="BS86" i="1"/>
  <c r="BU86" i="1"/>
  <c r="BV86" i="1"/>
  <c r="BW86" i="1"/>
  <c r="BX86" i="1"/>
  <c r="X87" i="1"/>
  <c r="AA87" i="1"/>
  <c r="AD87" i="1"/>
  <c r="AE87" i="1"/>
  <c r="AF87" i="1"/>
  <c r="AH87" i="1"/>
  <c r="AK87" i="1"/>
  <c r="AL87" i="1"/>
  <c r="AO87" i="1"/>
  <c r="AR87" i="1"/>
  <c r="AS87" i="1"/>
  <c r="AT87" i="1"/>
  <c r="AV87" i="1"/>
  <c r="AY87" i="1"/>
  <c r="AZ87" i="1"/>
  <c r="BC87" i="1"/>
  <c r="BF87" i="1"/>
  <c r="BG87" i="1"/>
  <c r="BH87" i="1"/>
  <c r="BJ87" i="1"/>
  <c r="BM87" i="1"/>
  <c r="P88" i="1"/>
  <c r="Q88" i="1"/>
  <c r="T88" i="1"/>
  <c r="W88" i="1"/>
  <c r="X88" i="1"/>
  <c r="AA88" i="1"/>
  <c r="AD88" i="1"/>
  <c r="AE88" i="1"/>
  <c r="AF88" i="1"/>
  <c r="AH88" i="1"/>
  <c r="AK88" i="1"/>
  <c r="AL88" i="1"/>
  <c r="AO88" i="1"/>
  <c r="AR88" i="1"/>
  <c r="AS88" i="1"/>
  <c r="AT88" i="1"/>
  <c r="AV88" i="1"/>
  <c r="AY88" i="1"/>
  <c r="AZ88" i="1"/>
  <c r="BC88" i="1"/>
  <c r="BF88" i="1"/>
  <c r="BG88" i="1"/>
  <c r="BH88" i="1"/>
  <c r="BJ88" i="1"/>
  <c r="BM88" i="1"/>
  <c r="BP88" i="1"/>
  <c r="BQ88" i="1"/>
  <c r="BR88" i="1"/>
  <c r="BS88" i="1"/>
  <c r="BU88" i="1"/>
  <c r="BV88" i="1"/>
  <c r="BW88" i="1"/>
  <c r="BX88" i="1"/>
  <c r="X89" i="1"/>
  <c r="AA89" i="1"/>
  <c r="AD89" i="1"/>
  <c r="AE89" i="1"/>
  <c r="AF89" i="1"/>
  <c r="AH89" i="1"/>
  <c r="AK89" i="1"/>
  <c r="AL89" i="1"/>
  <c r="AO89" i="1"/>
  <c r="AR89" i="1"/>
  <c r="AS89" i="1"/>
  <c r="AT89" i="1"/>
  <c r="AV89" i="1"/>
  <c r="AY89" i="1"/>
  <c r="AZ89" i="1"/>
  <c r="BC89" i="1"/>
  <c r="BF89" i="1"/>
  <c r="BG89" i="1"/>
  <c r="BH89" i="1"/>
  <c r="BJ89" i="1"/>
  <c r="BM89" i="1"/>
  <c r="P90" i="1"/>
  <c r="Q90" i="1"/>
  <c r="T90" i="1"/>
  <c r="W90" i="1"/>
  <c r="X90" i="1"/>
  <c r="AA90" i="1"/>
  <c r="AD90" i="1"/>
  <c r="AE90" i="1"/>
  <c r="AF90" i="1"/>
  <c r="AH90" i="1"/>
  <c r="AK90" i="1"/>
  <c r="AL90" i="1"/>
  <c r="AO90" i="1"/>
  <c r="AR90" i="1"/>
  <c r="AS90" i="1"/>
  <c r="AT90" i="1"/>
  <c r="AV90" i="1"/>
  <c r="AY90" i="1"/>
  <c r="AZ90" i="1"/>
  <c r="BC90" i="1"/>
  <c r="BF90" i="1"/>
  <c r="BG90" i="1"/>
  <c r="BH90" i="1"/>
  <c r="BJ90" i="1"/>
  <c r="BM90" i="1"/>
  <c r="BP90" i="1"/>
  <c r="BQ90" i="1"/>
  <c r="BR90" i="1"/>
  <c r="BS90" i="1"/>
  <c r="BU90" i="1"/>
  <c r="BV90" i="1"/>
  <c r="BW90" i="1"/>
  <c r="BX90" i="1"/>
  <c r="X91" i="1"/>
  <c r="AA91" i="1"/>
  <c r="AD91" i="1"/>
  <c r="AE91" i="1"/>
  <c r="AF91" i="1"/>
  <c r="AH91" i="1"/>
  <c r="AK91" i="1"/>
  <c r="AL91" i="1"/>
  <c r="AO91" i="1"/>
  <c r="AR91" i="1"/>
  <c r="AS91" i="1"/>
  <c r="AT91" i="1"/>
  <c r="AV91" i="1"/>
  <c r="AY91" i="1"/>
  <c r="AZ91" i="1"/>
  <c r="BC91" i="1"/>
  <c r="BF91" i="1"/>
  <c r="BG91" i="1"/>
  <c r="BH91" i="1"/>
  <c r="BJ91" i="1"/>
  <c r="BM91" i="1"/>
  <c r="P92" i="1"/>
  <c r="Q92" i="1"/>
  <c r="T92" i="1"/>
  <c r="W92" i="1"/>
  <c r="X92" i="1"/>
  <c r="AA92" i="1"/>
  <c r="AD92" i="1"/>
  <c r="AE92" i="1"/>
  <c r="AF92" i="1"/>
  <c r="AH92" i="1"/>
  <c r="AK92" i="1"/>
  <c r="AL92" i="1"/>
  <c r="AO92" i="1"/>
  <c r="AR92" i="1"/>
  <c r="AS92" i="1"/>
  <c r="AT92" i="1"/>
  <c r="AV92" i="1"/>
  <c r="AY92" i="1"/>
  <c r="AZ92" i="1"/>
  <c r="BC92" i="1"/>
  <c r="BF92" i="1"/>
  <c r="BG92" i="1"/>
  <c r="BH92" i="1"/>
  <c r="BJ92" i="1"/>
  <c r="BM92" i="1"/>
  <c r="BP92" i="1"/>
  <c r="BQ92" i="1"/>
  <c r="BR92" i="1"/>
  <c r="BS92" i="1"/>
  <c r="BU92" i="1"/>
  <c r="BV92" i="1"/>
  <c r="BW92" i="1"/>
  <c r="BX92" i="1"/>
  <c r="X93" i="1"/>
  <c r="AA93" i="1"/>
  <c r="AD93" i="1"/>
  <c r="AE93" i="1"/>
  <c r="AF93" i="1"/>
  <c r="AH93" i="1"/>
  <c r="AK93" i="1"/>
  <c r="AL93" i="1"/>
  <c r="AO93" i="1"/>
  <c r="AR93" i="1"/>
  <c r="AS93" i="1"/>
  <c r="AT93" i="1"/>
  <c r="AV93" i="1"/>
  <c r="AY93" i="1"/>
  <c r="AZ93" i="1"/>
  <c r="BC93" i="1"/>
  <c r="BF93" i="1"/>
  <c r="BG93" i="1"/>
  <c r="BH93" i="1"/>
  <c r="BJ93" i="1"/>
  <c r="BM93" i="1"/>
  <c r="P94" i="1"/>
  <c r="Q94" i="1"/>
  <c r="T94" i="1"/>
  <c r="W94" i="1"/>
  <c r="X94" i="1"/>
  <c r="AA94" i="1"/>
  <c r="AD94" i="1"/>
  <c r="AE94" i="1"/>
  <c r="AF94" i="1"/>
  <c r="AH94" i="1"/>
  <c r="AK94" i="1"/>
  <c r="AL94" i="1"/>
  <c r="AO94" i="1"/>
  <c r="AR94" i="1"/>
  <c r="AS94" i="1"/>
  <c r="AT94" i="1"/>
  <c r="AV94" i="1"/>
  <c r="AY94" i="1"/>
  <c r="AZ94" i="1"/>
  <c r="BC94" i="1"/>
  <c r="BF94" i="1"/>
  <c r="BG94" i="1"/>
  <c r="BH94" i="1"/>
  <c r="BJ94" i="1"/>
  <c r="BM94" i="1"/>
  <c r="BP94" i="1"/>
  <c r="BQ94" i="1"/>
  <c r="BR94" i="1"/>
  <c r="BS94" i="1"/>
  <c r="BU94" i="1"/>
  <c r="BV94" i="1"/>
  <c r="BW94" i="1"/>
  <c r="BX94" i="1"/>
  <c r="X95" i="1"/>
  <c r="AA95" i="1"/>
  <c r="AD95" i="1"/>
  <c r="AE95" i="1"/>
  <c r="AF95" i="1"/>
  <c r="AH95" i="1"/>
  <c r="AK95" i="1"/>
  <c r="AL95" i="1"/>
  <c r="AO95" i="1"/>
  <c r="AR95" i="1"/>
  <c r="AS95" i="1"/>
  <c r="AT95" i="1"/>
  <c r="AV95" i="1"/>
  <c r="AY95" i="1"/>
  <c r="AZ95" i="1"/>
  <c r="BC95" i="1"/>
  <c r="BF95" i="1"/>
  <c r="BG95" i="1"/>
  <c r="BH95" i="1"/>
  <c r="BJ95" i="1"/>
  <c r="BM95" i="1"/>
  <c r="P96" i="1"/>
  <c r="Q96" i="1"/>
  <c r="T96" i="1"/>
  <c r="W96" i="1"/>
  <c r="X96" i="1"/>
  <c r="AA96" i="1"/>
  <c r="AD96" i="1"/>
  <c r="AE96" i="1"/>
  <c r="AF96" i="1"/>
  <c r="AH96" i="1"/>
  <c r="AK96" i="1"/>
  <c r="AL96" i="1"/>
  <c r="AO96" i="1"/>
  <c r="AR96" i="1"/>
  <c r="AS96" i="1"/>
  <c r="AT96" i="1"/>
  <c r="AV96" i="1"/>
  <c r="AY96" i="1"/>
  <c r="AZ96" i="1"/>
  <c r="BC96" i="1"/>
  <c r="BF96" i="1"/>
  <c r="BG96" i="1"/>
  <c r="BH96" i="1"/>
  <c r="BJ96" i="1"/>
  <c r="BM96" i="1"/>
  <c r="BP96" i="1"/>
  <c r="BQ96" i="1"/>
  <c r="BR96" i="1"/>
  <c r="BS96" i="1"/>
  <c r="BU96" i="1"/>
  <c r="BV96" i="1"/>
  <c r="BW96" i="1"/>
  <c r="BX96" i="1"/>
  <c r="X97" i="1"/>
  <c r="AA97" i="1"/>
  <c r="AD97" i="1"/>
  <c r="AE97" i="1"/>
  <c r="AF97" i="1"/>
  <c r="AH97" i="1"/>
  <c r="AK97" i="1"/>
  <c r="AL97" i="1"/>
  <c r="AO97" i="1"/>
  <c r="AR97" i="1"/>
  <c r="AS97" i="1"/>
  <c r="AT97" i="1"/>
  <c r="AV97" i="1"/>
  <c r="AY97" i="1"/>
  <c r="AZ97" i="1"/>
  <c r="BC97" i="1"/>
  <c r="BF97" i="1"/>
  <c r="BG97" i="1"/>
  <c r="BH97" i="1"/>
  <c r="BJ97" i="1"/>
  <c r="BM97" i="1"/>
  <c r="P98" i="1"/>
  <c r="Q98" i="1"/>
  <c r="T98" i="1"/>
  <c r="W98" i="1"/>
  <c r="X98" i="1"/>
  <c r="AA98" i="1"/>
  <c r="AD98" i="1"/>
  <c r="AE98" i="1"/>
  <c r="AF98" i="1"/>
  <c r="AH98" i="1"/>
  <c r="AK98" i="1"/>
  <c r="AL98" i="1"/>
  <c r="AO98" i="1"/>
  <c r="AR98" i="1"/>
  <c r="AS98" i="1"/>
  <c r="AT98" i="1"/>
  <c r="AV98" i="1"/>
  <c r="AY98" i="1"/>
  <c r="AZ98" i="1"/>
  <c r="BC98" i="1"/>
  <c r="BF98" i="1"/>
  <c r="BG98" i="1"/>
  <c r="BH98" i="1"/>
  <c r="BJ98" i="1"/>
  <c r="BM98" i="1"/>
  <c r="BP98" i="1"/>
  <c r="BQ98" i="1"/>
  <c r="BR98" i="1"/>
  <c r="BS98" i="1"/>
  <c r="BU98" i="1"/>
  <c r="BV98" i="1"/>
  <c r="BW98" i="1"/>
  <c r="BX98" i="1"/>
  <c r="X99" i="1"/>
  <c r="AA99" i="1"/>
  <c r="AD99" i="1"/>
  <c r="AE99" i="1"/>
  <c r="AF99" i="1"/>
  <c r="AH99" i="1"/>
  <c r="AK99" i="1"/>
  <c r="AL99" i="1"/>
  <c r="AO99" i="1"/>
  <c r="AR99" i="1"/>
  <c r="AS99" i="1"/>
  <c r="AT99" i="1"/>
  <c r="AV99" i="1"/>
  <c r="AY99" i="1"/>
  <c r="AZ99" i="1"/>
  <c r="BC99" i="1"/>
  <c r="BF99" i="1"/>
  <c r="BG99" i="1"/>
  <c r="BH99" i="1"/>
  <c r="BJ99" i="1"/>
  <c r="BM99" i="1"/>
  <c r="P100" i="1"/>
  <c r="Q100" i="1"/>
  <c r="T100" i="1"/>
  <c r="W100" i="1"/>
  <c r="X100" i="1"/>
  <c r="AA100" i="1"/>
  <c r="AD100" i="1"/>
  <c r="AE100" i="1"/>
  <c r="AF100" i="1"/>
  <c r="AH100" i="1"/>
  <c r="AK100" i="1"/>
  <c r="AL100" i="1"/>
  <c r="AO100" i="1"/>
  <c r="AR100" i="1"/>
  <c r="AS100" i="1"/>
  <c r="AT100" i="1"/>
  <c r="AV100" i="1"/>
  <c r="AY100" i="1"/>
  <c r="AZ100" i="1"/>
  <c r="BC100" i="1"/>
  <c r="BF100" i="1"/>
  <c r="BG100" i="1"/>
  <c r="BH100" i="1"/>
  <c r="BJ100" i="1"/>
  <c r="BM100" i="1"/>
  <c r="BP100" i="1"/>
  <c r="BQ100" i="1"/>
  <c r="BR100" i="1"/>
  <c r="BS100" i="1"/>
  <c r="BU100" i="1"/>
  <c r="BV100" i="1"/>
  <c r="BW100" i="1"/>
  <c r="BX100" i="1"/>
  <c r="X101" i="1"/>
  <c r="AA101" i="1"/>
  <c r="AD101" i="1"/>
  <c r="AE101" i="1"/>
  <c r="AF101" i="1"/>
  <c r="AH101" i="1"/>
  <c r="AK101" i="1"/>
  <c r="AL101" i="1"/>
  <c r="AO101" i="1"/>
  <c r="AR101" i="1"/>
  <c r="AS101" i="1"/>
  <c r="AT101" i="1"/>
  <c r="AV101" i="1"/>
  <c r="AY101" i="1"/>
  <c r="AZ101" i="1"/>
  <c r="BC101" i="1"/>
  <c r="BF101" i="1"/>
  <c r="BG101" i="1"/>
  <c r="BH101" i="1"/>
  <c r="BJ101" i="1"/>
  <c r="BM101" i="1"/>
  <c r="P102" i="1"/>
  <c r="Q102" i="1"/>
  <c r="T102" i="1"/>
  <c r="W102" i="1"/>
  <c r="X102" i="1"/>
  <c r="AA102" i="1"/>
  <c r="AD102" i="1"/>
  <c r="AE102" i="1"/>
  <c r="AF102" i="1"/>
  <c r="AH102" i="1"/>
  <c r="AK102" i="1"/>
  <c r="AL102" i="1"/>
  <c r="AO102" i="1"/>
  <c r="AR102" i="1"/>
  <c r="AS102" i="1"/>
  <c r="AT102" i="1"/>
  <c r="AV102" i="1"/>
  <c r="AY102" i="1"/>
  <c r="AZ102" i="1"/>
  <c r="BC102" i="1"/>
  <c r="BF102" i="1"/>
  <c r="BG102" i="1"/>
  <c r="BH102" i="1"/>
  <c r="BJ102" i="1"/>
  <c r="BM102" i="1"/>
  <c r="BP102" i="1"/>
  <c r="BQ102" i="1"/>
  <c r="BR102" i="1"/>
  <c r="BS102" i="1"/>
  <c r="BU102" i="1"/>
  <c r="BV102" i="1"/>
  <c r="BW102" i="1"/>
  <c r="BX102" i="1"/>
  <c r="X103" i="1"/>
  <c r="AA103" i="1"/>
  <c r="AD103" i="1"/>
  <c r="AE103" i="1"/>
  <c r="AF103" i="1"/>
  <c r="AH103" i="1"/>
  <c r="AK103" i="1"/>
  <c r="AL103" i="1"/>
  <c r="AO103" i="1"/>
  <c r="AR103" i="1"/>
  <c r="AS103" i="1"/>
  <c r="AT103" i="1"/>
  <c r="AV103" i="1"/>
  <c r="AY103" i="1"/>
  <c r="AZ103" i="1"/>
  <c r="BC103" i="1"/>
  <c r="BF103" i="1"/>
  <c r="BG103" i="1"/>
  <c r="BH103" i="1"/>
  <c r="BJ103" i="1"/>
  <c r="BM103" i="1"/>
  <c r="P104" i="1"/>
  <c r="Q104" i="1"/>
  <c r="T104" i="1"/>
  <c r="W104" i="1"/>
  <c r="X104" i="1"/>
  <c r="AA104" i="1"/>
  <c r="AD104" i="1"/>
  <c r="AE104" i="1"/>
  <c r="AF104" i="1"/>
  <c r="AH104" i="1"/>
  <c r="AK104" i="1"/>
  <c r="AL104" i="1"/>
  <c r="AO104" i="1"/>
  <c r="AR104" i="1"/>
  <c r="AS104" i="1"/>
  <c r="AT104" i="1"/>
  <c r="AV104" i="1"/>
  <c r="AY104" i="1"/>
  <c r="AZ104" i="1"/>
  <c r="BC104" i="1"/>
  <c r="BF104" i="1"/>
  <c r="BG104" i="1"/>
  <c r="BH104" i="1"/>
  <c r="BJ104" i="1"/>
  <c r="BM104" i="1"/>
  <c r="BP104" i="1"/>
  <c r="BQ104" i="1"/>
  <c r="BR104" i="1"/>
  <c r="BS104" i="1"/>
  <c r="BU104" i="1"/>
  <c r="BV104" i="1"/>
  <c r="BW104" i="1"/>
  <c r="BX104" i="1"/>
  <c r="X105" i="1"/>
  <c r="AA105" i="1"/>
  <c r="AD105" i="1"/>
  <c r="AE105" i="1"/>
  <c r="AF105" i="1"/>
  <c r="AH105" i="1"/>
  <c r="AK105" i="1"/>
  <c r="AL105" i="1"/>
  <c r="AO105" i="1"/>
  <c r="AR105" i="1"/>
  <c r="AS105" i="1"/>
  <c r="AT105" i="1"/>
  <c r="AV105" i="1"/>
  <c r="AY105" i="1"/>
  <c r="AZ105" i="1"/>
  <c r="BC105" i="1"/>
  <c r="BF105" i="1"/>
  <c r="BG105" i="1"/>
  <c r="BH105" i="1"/>
  <c r="BJ105" i="1"/>
  <c r="BM105" i="1"/>
  <c r="P106" i="1"/>
  <c r="Q106" i="1"/>
  <c r="T106" i="1"/>
  <c r="W106" i="1"/>
  <c r="X106" i="1"/>
  <c r="AA106" i="1"/>
  <c r="AD106" i="1"/>
  <c r="AE106" i="1"/>
  <c r="AF106" i="1"/>
  <c r="AH106" i="1"/>
  <c r="AK106" i="1"/>
  <c r="AL106" i="1"/>
  <c r="AO106" i="1"/>
  <c r="AR106" i="1"/>
  <c r="AS106" i="1"/>
  <c r="AT106" i="1"/>
  <c r="AV106" i="1"/>
  <c r="AY106" i="1"/>
  <c r="AZ106" i="1"/>
  <c r="BC106" i="1"/>
  <c r="BF106" i="1"/>
  <c r="BG106" i="1"/>
  <c r="BH106" i="1"/>
  <c r="BJ106" i="1"/>
  <c r="BM106" i="1"/>
  <c r="BP106" i="1"/>
  <c r="BQ106" i="1"/>
  <c r="BR106" i="1"/>
  <c r="BS106" i="1"/>
  <c r="BU106" i="1"/>
  <c r="BV106" i="1"/>
  <c r="BW106" i="1"/>
  <c r="BX106" i="1"/>
  <c r="X107" i="1"/>
  <c r="AA107" i="1"/>
  <c r="AD107" i="1"/>
  <c r="AE107" i="1"/>
  <c r="AF107" i="1"/>
  <c r="AH107" i="1"/>
  <c r="AK107" i="1"/>
  <c r="AL107" i="1"/>
  <c r="AO107" i="1"/>
  <c r="AR107" i="1"/>
  <c r="AS107" i="1"/>
  <c r="AT107" i="1"/>
  <c r="AV107" i="1"/>
  <c r="AY107" i="1"/>
  <c r="AZ107" i="1"/>
  <c r="BC107" i="1"/>
  <c r="BF107" i="1"/>
  <c r="BG107" i="1"/>
  <c r="BH107" i="1"/>
  <c r="BJ107" i="1"/>
  <c r="BM107" i="1"/>
  <c r="P108" i="1"/>
  <c r="Q108" i="1"/>
  <c r="T108" i="1"/>
  <c r="W108" i="1"/>
  <c r="X108" i="1"/>
  <c r="AA108" i="1"/>
  <c r="AD108" i="1"/>
  <c r="AE108" i="1"/>
  <c r="AF108" i="1"/>
  <c r="AH108" i="1"/>
  <c r="AK108" i="1"/>
  <c r="AL108" i="1"/>
  <c r="AO108" i="1"/>
  <c r="AR108" i="1"/>
  <c r="AS108" i="1"/>
  <c r="AT108" i="1"/>
  <c r="AV108" i="1"/>
  <c r="AY108" i="1"/>
  <c r="AZ108" i="1"/>
  <c r="BC108" i="1"/>
  <c r="BF108" i="1"/>
  <c r="BG108" i="1"/>
  <c r="BH108" i="1"/>
  <c r="BJ108" i="1"/>
  <c r="BM108" i="1"/>
  <c r="BP108" i="1"/>
  <c r="BQ108" i="1"/>
  <c r="BR108" i="1"/>
  <c r="BS108" i="1"/>
  <c r="BU108" i="1"/>
  <c r="BV108" i="1"/>
  <c r="BW108" i="1"/>
  <c r="BX108" i="1"/>
  <c r="X109" i="1"/>
  <c r="AA109" i="1"/>
  <c r="AD109" i="1"/>
  <c r="AE109" i="1"/>
  <c r="AF109" i="1"/>
  <c r="AH109" i="1"/>
  <c r="AK109" i="1"/>
  <c r="AL109" i="1"/>
  <c r="AO109" i="1"/>
  <c r="AR109" i="1"/>
  <c r="AS109" i="1"/>
  <c r="AT109" i="1"/>
  <c r="AV109" i="1"/>
  <c r="AY109" i="1"/>
  <c r="AZ109" i="1"/>
  <c r="BC109" i="1"/>
  <c r="BF109" i="1"/>
  <c r="BG109" i="1"/>
  <c r="BH109" i="1"/>
  <c r="BJ109" i="1"/>
  <c r="BM109" i="1"/>
  <c r="P110" i="1"/>
  <c r="Q110" i="1"/>
  <c r="T110" i="1"/>
  <c r="W110" i="1"/>
  <c r="X110" i="1"/>
  <c r="AA110" i="1"/>
  <c r="AD110" i="1"/>
  <c r="AE110" i="1"/>
  <c r="AF110" i="1"/>
  <c r="AH110" i="1"/>
  <c r="AK110" i="1"/>
  <c r="AL110" i="1"/>
  <c r="AO110" i="1"/>
  <c r="AR110" i="1"/>
  <c r="AS110" i="1"/>
  <c r="AT110" i="1"/>
  <c r="AV110" i="1"/>
  <c r="AY110" i="1"/>
  <c r="AZ110" i="1"/>
  <c r="BC110" i="1"/>
  <c r="BF110" i="1"/>
  <c r="BG110" i="1"/>
  <c r="BH110" i="1"/>
  <c r="BJ110" i="1"/>
  <c r="BM110" i="1"/>
  <c r="BP110" i="1"/>
  <c r="BQ110" i="1"/>
  <c r="BR110" i="1"/>
  <c r="BS110" i="1"/>
  <c r="BU110" i="1"/>
  <c r="BV110" i="1"/>
  <c r="BW110" i="1"/>
  <c r="BX110" i="1"/>
  <c r="X111" i="1"/>
  <c r="AA111" i="1"/>
  <c r="AD111" i="1"/>
  <c r="AE111" i="1"/>
  <c r="AF111" i="1"/>
  <c r="AH111" i="1"/>
  <c r="AK111" i="1"/>
  <c r="AL111" i="1"/>
  <c r="AO111" i="1"/>
  <c r="AR111" i="1"/>
  <c r="AS111" i="1"/>
  <c r="AT111" i="1"/>
  <c r="AV111" i="1"/>
  <c r="AY111" i="1"/>
  <c r="AZ111" i="1"/>
  <c r="BC111" i="1"/>
  <c r="BF111" i="1"/>
  <c r="BG111" i="1"/>
  <c r="BH111" i="1"/>
  <c r="BJ111" i="1"/>
  <c r="BM111" i="1"/>
  <c r="P112" i="1"/>
  <c r="Q112" i="1"/>
  <c r="T112" i="1"/>
  <c r="W112" i="1"/>
  <c r="X112" i="1"/>
  <c r="AA112" i="1"/>
  <c r="AD112" i="1"/>
  <c r="AE112" i="1"/>
  <c r="AF112" i="1"/>
  <c r="AH112" i="1"/>
  <c r="AK112" i="1"/>
  <c r="AL112" i="1"/>
  <c r="AO112" i="1"/>
  <c r="AR112" i="1"/>
  <c r="AS112" i="1"/>
  <c r="AT112" i="1"/>
  <c r="AV112" i="1"/>
  <c r="AY112" i="1"/>
  <c r="AZ112" i="1"/>
  <c r="BC112" i="1"/>
  <c r="BF112" i="1"/>
  <c r="BG112" i="1"/>
  <c r="BH112" i="1"/>
  <c r="BJ112" i="1"/>
  <c r="BM112" i="1"/>
  <c r="BP112" i="1"/>
  <c r="BQ112" i="1"/>
  <c r="BR112" i="1"/>
  <c r="BS112" i="1"/>
  <c r="BU112" i="1"/>
  <c r="BV112" i="1"/>
  <c r="BW112" i="1"/>
  <c r="BX112" i="1"/>
  <c r="X113" i="1"/>
  <c r="AA113" i="1"/>
  <c r="AD113" i="1"/>
  <c r="AE113" i="1"/>
  <c r="AF113" i="1"/>
  <c r="AH113" i="1"/>
  <c r="AK113" i="1"/>
  <c r="AL113" i="1"/>
  <c r="AO113" i="1"/>
  <c r="AR113" i="1"/>
  <c r="AS113" i="1"/>
  <c r="AT113" i="1"/>
  <c r="AV113" i="1"/>
  <c r="AY113" i="1"/>
  <c r="AZ113" i="1"/>
  <c r="BC113" i="1"/>
  <c r="BF113" i="1"/>
  <c r="BG113" i="1"/>
  <c r="BH113" i="1"/>
  <c r="BJ113" i="1"/>
  <c r="BM113" i="1"/>
  <c r="P114" i="1"/>
  <c r="Q114" i="1"/>
  <c r="T114" i="1"/>
  <c r="W114" i="1"/>
  <c r="X114" i="1"/>
  <c r="AA114" i="1"/>
  <c r="AD114" i="1"/>
  <c r="AE114" i="1"/>
  <c r="AF114" i="1"/>
  <c r="AH114" i="1"/>
  <c r="AK114" i="1"/>
  <c r="AL114" i="1"/>
  <c r="AO114" i="1"/>
  <c r="AR114" i="1"/>
  <c r="AS114" i="1"/>
  <c r="AT114" i="1"/>
  <c r="AV114" i="1"/>
  <c r="AY114" i="1"/>
  <c r="AZ114" i="1"/>
  <c r="BC114" i="1"/>
  <c r="BF114" i="1"/>
  <c r="BG114" i="1"/>
  <c r="BH114" i="1"/>
  <c r="BJ114" i="1"/>
  <c r="BM114" i="1"/>
  <c r="BP114" i="1"/>
  <c r="BQ114" i="1"/>
  <c r="BR114" i="1"/>
  <c r="BS114" i="1"/>
  <c r="BU114" i="1"/>
  <c r="BV114" i="1"/>
  <c r="BW114" i="1"/>
  <c r="BX114" i="1"/>
  <c r="X115" i="1"/>
  <c r="AA115" i="1"/>
  <c r="AD115" i="1"/>
  <c r="AE115" i="1"/>
  <c r="AF115" i="1"/>
  <c r="AH115" i="1"/>
  <c r="AK115" i="1"/>
  <c r="AL115" i="1"/>
  <c r="AO115" i="1"/>
  <c r="AR115" i="1"/>
  <c r="AS115" i="1"/>
  <c r="AT115" i="1"/>
  <c r="AV115" i="1"/>
  <c r="AY115" i="1"/>
  <c r="AZ115" i="1"/>
  <c r="BC115" i="1"/>
  <c r="BF115" i="1"/>
  <c r="BG115" i="1"/>
  <c r="BH115" i="1"/>
  <c r="BJ115" i="1"/>
  <c r="BM115" i="1"/>
  <c r="P116" i="1"/>
  <c r="Q116" i="1"/>
  <c r="T116" i="1"/>
  <c r="W116" i="1"/>
  <c r="X116" i="1"/>
  <c r="AA116" i="1"/>
  <c r="AD116" i="1"/>
  <c r="AE116" i="1"/>
  <c r="AF116" i="1"/>
  <c r="AH116" i="1"/>
  <c r="AK116" i="1"/>
  <c r="AL116" i="1"/>
  <c r="AO116" i="1"/>
  <c r="AR116" i="1"/>
  <c r="AS116" i="1"/>
  <c r="AT116" i="1"/>
  <c r="AV116" i="1"/>
  <c r="AY116" i="1"/>
  <c r="AZ116" i="1"/>
  <c r="BC116" i="1"/>
  <c r="BF116" i="1"/>
  <c r="BG116" i="1"/>
  <c r="BH116" i="1"/>
  <c r="BJ116" i="1"/>
  <c r="BM116" i="1"/>
  <c r="BP116" i="1"/>
  <c r="BQ116" i="1"/>
  <c r="BR116" i="1"/>
  <c r="BS116" i="1"/>
  <c r="BU116" i="1"/>
  <c r="BV116" i="1"/>
  <c r="BW116" i="1"/>
  <c r="BX116" i="1"/>
  <c r="X117" i="1"/>
  <c r="AA117" i="1"/>
  <c r="AD117" i="1"/>
  <c r="AE117" i="1"/>
  <c r="AF117" i="1"/>
  <c r="AH117" i="1"/>
  <c r="AK117" i="1"/>
  <c r="AL117" i="1"/>
  <c r="AO117" i="1"/>
  <c r="AR117" i="1"/>
  <c r="AS117" i="1"/>
  <c r="AT117" i="1"/>
  <c r="AV117" i="1"/>
  <c r="AY117" i="1"/>
  <c r="AZ117" i="1"/>
  <c r="BC117" i="1"/>
  <c r="BF117" i="1"/>
  <c r="BG117" i="1"/>
  <c r="BH117" i="1"/>
  <c r="BJ117" i="1"/>
  <c r="BM117" i="1"/>
  <c r="P118" i="1"/>
  <c r="Q118" i="1"/>
  <c r="T118" i="1"/>
  <c r="W118" i="1"/>
  <c r="X118" i="1"/>
  <c r="AA118" i="1"/>
  <c r="AD118" i="1"/>
  <c r="AE118" i="1"/>
  <c r="AF118" i="1"/>
  <c r="AH118" i="1"/>
  <c r="AK118" i="1"/>
  <c r="AL118" i="1"/>
  <c r="AO118" i="1"/>
  <c r="AR118" i="1"/>
  <c r="AS118" i="1"/>
  <c r="AT118" i="1"/>
  <c r="AV118" i="1"/>
  <c r="AY118" i="1"/>
  <c r="AZ118" i="1"/>
  <c r="BC118" i="1"/>
  <c r="BF118" i="1"/>
  <c r="BG118" i="1"/>
  <c r="BH118" i="1"/>
  <c r="BJ118" i="1"/>
  <c r="BM118" i="1"/>
  <c r="BP118" i="1"/>
  <c r="BQ118" i="1"/>
  <c r="BR118" i="1"/>
  <c r="BS118" i="1"/>
  <c r="BU118" i="1"/>
  <c r="BV118" i="1"/>
  <c r="BW118" i="1"/>
  <c r="BX118" i="1"/>
  <c r="X119" i="1"/>
  <c r="AA119" i="1"/>
  <c r="AD119" i="1"/>
  <c r="AE119" i="1"/>
  <c r="AF119" i="1"/>
  <c r="AH119" i="1"/>
  <c r="AK119" i="1"/>
  <c r="AL119" i="1"/>
  <c r="AO119" i="1"/>
  <c r="AR119" i="1"/>
  <c r="AS119" i="1"/>
  <c r="AT119" i="1"/>
  <c r="AV119" i="1"/>
  <c r="AY119" i="1"/>
  <c r="AZ119" i="1"/>
  <c r="BC119" i="1"/>
  <c r="BF119" i="1"/>
  <c r="BG119" i="1"/>
  <c r="BH119" i="1"/>
  <c r="BJ119" i="1"/>
  <c r="BM119" i="1"/>
  <c r="P120" i="1"/>
  <c r="Q120" i="1"/>
  <c r="T120" i="1"/>
  <c r="W120" i="1"/>
  <c r="X120" i="1"/>
  <c r="AA120" i="1"/>
  <c r="AD120" i="1"/>
  <c r="AE120" i="1"/>
  <c r="AF120" i="1"/>
  <c r="AH120" i="1"/>
  <c r="AK120" i="1"/>
  <c r="AL120" i="1"/>
  <c r="AO120" i="1"/>
  <c r="AR120" i="1"/>
  <c r="AS120" i="1"/>
  <c r="AT120" i="1"/>
  <c r="AV120" i="1"/>
  <c r="AY120" i="1"/>
  <c r="AZ120" i="1"/>
  <c r="BC120" i="1"/>
  <c r="BF120" i="1"/>
  <c r="BG120" i="1"/>
  <c r="BH120" i="1"/>
  <c r="BJ120" i="1"/>
  <c r="BM120" i="1"/>
  <c r="BP120" i="1"/>
  <c r="BQ120" i="1"/>
  <c r="BR120" i="1"/>
  <c r="BS120" i="1"/>
  <c r="BU120" i="1"/>
  <c r="BV120" i="1"/>
  <c r="BW120" i="1"/>
  <c r="BX120" i="1"/>
  <c r="X121" i="1"/>
  <c r="AA121" i="1"/>
  <c r="AD121" i="1"/>
  <c r="AE121" i="1"/>
  <c r="AF121" i="1"/>
  <c r="AH121" i="1"/>
  <c r="AK121" i="1"/>
  <c r="AL121" i="1"/>
  <c r="AO121" i="1"/>
  <c r="AR121" i="1"/>
  <c r="AS121" i="1"/>
  <c r="AT121" i="1"/>
  <c r="AV121" i="1"/>
  <c r="AY121" i="1"/>
  <c r="AZ121" i="1"/>
  <c r="BC121" i="1"/>
  <c r="BF121" i="1"/>
  <c r="BG121" i="1"/>
  <c r="BH121" i="1"/>
  <c r="BJ121" i="1"/>
  <c r="BM121" i="1"/>
  <c r="P122" i="1"/>
  <c r="Q122" i="1"/>
  <c r="T122" i="1"/>
  <c r="W122" i="1"/>
  <c r="X122" i="1"/>
  <c r="AA122" i="1"/>
  <c r="AD122" i="1"/>
  <c r="AE122" i="1"/>
  <c r="AF122" i="1"/>
  <c r="AH122" i="1"/>
  <c r="AK122" i="1"/>
  <c r="AL122" i="1"/>
  <c r="AO122" i="1"/>
  <c r="AR122" i="1"/>
  <c r="AS122" i="1"/>
  <c r="AT122" i="1"/>
  <c r="AV122" i="1"/>
  <c r="AY122" i="1"/>
  <c r="AZ122" i="1"/>
  <c r="BC122" i="1"/>
  <c r="BF122" i="1"/>
  <c r="BG122" i="1"/>
  <c r="BH122" i="1"/>
  <c r="BJ122" i="1"/>
  <c r="BM122" i="1"/>
  <c r="BP122" i="1"/>
  <c r="BQ122" i="1"/>
  <c r="BR122" i="1"/>
  <c r="BS122" i="1"/>
  <c r="BU122" i="1"/>
  <c r="BV122" i="1"/>
  <c r="BW122" i="1"/>
  <c r="BX122" i="1"/>
  <c r="X123" i="1"/>
  <c r="AA123" i="1"/>
  <c r="AD123" i="1"/>
  <c r="AE123" i="1"/>
  <c r="AF123" i="1"/>
  <c r="AH123" i="1"/>
  <c r="AK123" i="1"/>
  <c r="AL123" i="1"/>
  <c r="AO123" i="1"/>
  <c r="AR123" i="1"/>
  <c r="AS123" i="1"/>
  <c r="AT123" i="1"/>
  <c r="AV123" i="1"/>
  <c r="AY123" i="1"/>
  <c r="AZ123" i="1"/>
  <c r="BC123" i="1"/>
  <c r="BF123" i="1"/>
  <c r="BG123" i="1"/>
  <c r="BH123" i="1"/>
  <c r="BJ123" i="1"/>
  <c r="BM123" i="1"/>
  <c r="P124" i="1"/>
  <c r="Q124" i="1"/>
  <c r="T124" i="1"/>
  <c r="W124" i="1"/>
  <c r="X124" i="1"/>
  <c r="AA124" i="1"/>
  <c r="AD124" i="1"/>
  <c r="AE124" i="1"/>
  <c r="AF124" i="1"/>
  <c r="AH124" i="1"/>
  <c r="AK124" i="1"/>
  <c r="AL124" i="1"/>
  <c r="AO124" i="1"/>
  <c r="AR124" i="1"/>
  <c r="AS124" i="1"/>
  <c r="AT124" i="1"/>
  <c r="AV124" i="1"/>
  <c r="AY124" i="1"/>
  <c r="AZ124" i="1"/>
  <c r="BC124" i="1"/>
  <c r="BF124" i="1"/>
  <c r="BG124" i="1"/>
  <c r="BH124" i="1"/>
  <c r="BJ124" i="1"/>
  <c r="BM124" i="1"/>
  <c r="BP124" i="1"/>
  <c r="BQ124" i="1"/>
  <c r="BR124" i="1"/>
  <c r="BS124" i="1"/>
  <c r="BU124" i="1"/>
  <c r="BV124" i="1"/>
  <c r="BW124" i="1"/>
  <c r="BX124" i="1"/>
  <c r="X125" i="1"/>
  <c r="AA125" i="1"/>
  <c r="AD125" i="1"/>
  <c r="AE125" i="1"/>
  <c r="AF125" i="1"/>
  <c r="AH125" i="1"/>
  <c r="AK125" i="1"/>
  <c r="AL125" i="1"/>
  <c r="AO125" i="1"/>
  <c r="AR125" i="1"/>
  <c r="AS125" i="1"/>
  <c r="AT125" i="1"/>
  <c r="AV125" i="1"/>
  <c r="AY125" i="1"/>
  <c r="AZ125" i="1"/>
  <c r="BC125" i="1"/>
  <c r="BF125" i="1"/>
  <c r="BG125" i="1"/>
  <c r="BH125" i="1"/>
  <c r="BJ125" i="1"/>
  <c r="BM125" i="1"/>
  <c r="P126" i="1"/>
  <c r="Q126" i="1"/>
  <c r="T126" i="1"/>
  <c r="W126" i="1"/>
  <c r="X126" i="1"/>
  <c r="AA126" i="1"/>
  <c r="AD126" i="1"/>
  <c r="AE126" i="1"/>
  <c r="AF126" i="1"/>
  <c r="AH126" i="1"/>
  <c r="AK126" i="1"/>
  <c r="AL126" i="1"/>
  <c r="AO126" i="1"/>
  <c r="AR126" i="1"/>
  <c r="AS126" i="1"/>
  <c r="AT126" i="1"/>
  <c r="AV126" i="1"/>
  <c r="AY126" i="1"/>
  <c r="AZ126" i="1"/>
  <c r="BC126" i="1"/>
  <c r="BF126" i="1"/>
  <c r="BG126" i="1"/>
  <c r="BH126" i="1"/>
  <c r="BJ126" i="1"/>
  <c r="BM126" i="1"/>
  <c r="BP126" i="1"/>
  <c r="BQ126" i="1"/>
  <c r="BR126" i="1"/>
  <c r="BS126" i="1"/>
  <c r="BU126" i="1"/>
  <c r="BV126" i="1"/>
  <c r="BW126" i="1"/>
  <c r="BX126" i="1"/>
  <c r="X127" i="1"/>
  <c r="AA127" i="1"/>
  <c r="AD127" i="1"/>
  <c r="AE127" i="1"/>
  <c r="AF127" i="1"/>
  <c r="AH127" i="1"/>
  <c r="AK127" i="1"/>
  <c r="AL127" i="1"/>
  <c r="AO127" i="1"/>
  <c r="AR127" i="1"/>
  <c r="AS127" i="1"/>
  <c r="AT127" i="1"/>
  <c r="AV127" i="1"/>
  <c r="AY127" i="1"/>
  <c r="AZ127" i="1"/>
  <c r="BC127" i="1"/>
  <c r="BF127" i="1"/>
  <c r="BG127" i="1"/>
  <c r="BH127" i="1"/>
  <c r="BJ127" i="1"/>
  <c r="BM127" i="1"/>
  <c r="P128" i="1"/>
  <c r="Q128" i="1"/>
  <c r="T128" i="1"/>
  <c r="W128" i="1"/>
  <c r="X128" i="1"/>
  <c r="AA128" i="1"/>
  <c r="AD128" i="1"/>
  <c r="AE128" i="1"/>
  <c r="AF128" i="1"/>
  <c r="AH128" i="1"/>
  <c r="AK128" i="1"/>
  <c r="AL128" i="1"/>
  <c r="AO128" i="1"/>
  <c r="AR128" i="1"/>
  <c r="AS128" i="1"/>
  <c r="AT128" i="1"/>
  <c r="AV128" i="1"/>
  <c r="AY128" i="1"/>
  <c r="AZ128" i="1"/>
  <c r="BC128" i="1"/>
  <c r="BF128" i="1"/>
  <c r="BG128" i="1"/>
  <c r="BH128" i="1"/>
  <c r="BJ128" i="1"/>
  <c r="BM128" i="1"/>
  <c r="BP128" i="1"/>
  <c r="BQ128" i="1"/>
  <c r="BR128" i="1"/>
  <c r="BS128" i="1"/>
  <c r="BU128" i="1"/>
  <c r="BV128" i="1"/>
  <c r="BW128" i="1"/>
  <c r="BX128" i="1"/>
  <c r="X129" i="1"/>
  <c r="AA129" i="1"/>
  <c r="AD129" i="1"/>
  <c r="AE129" i="1"/>
  <c r="AF129" i="1"/>
  <c r="AH129" i="1"/>
  <c r="AK129" i="1"/>
  <c r="AL129" i="1"/>
  <c r="AO129" i="1"/>
  <c r="AR129" i="1"/>
  <c r="AS129" i="1"/>
  <c r="AT129" i="1"/>
  <c r="AV129" i="1"/>
  <c r="AY129" i="1"/>
  <c r="AZ129" i="1"/>
  <c r="BC129" i="1"/>
  <c r="BF129" i="1"/>
  <c r="BG129" i="1"/>
  <c r="BH129" i="1"/>
  <c r="BJ129" i="1"/>
  <c r="BM129" i="1"/>
  <c r="P130" i="1"/>
  <c r="Q130" i="1"/>
  <c r="T130" i="1"/>
  <c r="W130" i="1"/>
  <c r="X130" i="1"/>
  <c r="AA130" i="1"/>
  <c r="AD130" i="1"/>
  <c r="AE130" i="1"/>
  <c r="AF130" i="1"/>
  <c r="AH130" i="1"/>
  <c r="AK130" i="1"/>
  <c r="AL130" i="1"/>
  <c r="AO130" i="1"/>
  <c r="AR130" i="1"/>
  <c r="AS130" i="1"/>
  <c r="AT130" i="1"/>
  <c r="AV130" i="1"/>
  <c r="AY130" i="1"/>
  <c r="AZ130" i="1"/>
  <c r="BC130" i="1"/>
  <c r="BF130" i="1"/>
  <c r="BG130" i="1"/>
  <c r="BH130" i="1"/>
  <c r="BJ130" i="1"/>
  <c r="BM130" i="1"/>
  <c r="BP130" i="1"/>
  <c r="BQ130" i="1"/>
  <c r="BR130" i="1"/>
  <c r="BS130" i="1"/>
  <c r="BU130" i="1"/>
  <c r="BV130" i="1"/>
  <c r="BW130" i="1"/>
  <c r="BX130" i="1"/>
  <c r="X131" i="1"/>
  <c r="AA131" i="1"/>
  <c r="AD131" i="1"/>
  <c r="AE131" i="1"/>
  <c r="AF131" i="1"/>
  <c r="AH131" i="1"/>
  <c r="AK131" i="1"/>
  <c r="AL131" i="1"/>
  <c r="AO131" i="1"/>
  <c r="AR131" i="1"/>
  <c r="AS131" i="1"/>
  <c r="AT131" i="1"/>
  <c r="AV131" i="1"/>
  <c r="AY131" i="1"/>
  <c r="AZ131" i="1"/>
  <c r="BC131" i="1"/>
  <c r="BF131" i="1"/>
  <c r="BG131" i="1"/>
  <c r="BH131" i="1"/>
  <c r="BJ131" i="1"/>
  <c r="BM131" i="1"/>
  <c r="P132" i="1"/>
  <c r="Q132" i="1"/>
  <c r="T132" i="1"/>
  <c r="W132" i="1"/>
  <c r="X132" i="1"/>
  <c r="AA132" i="1"/>
  <c r="AD132" i="1"/>
  <c r="AE132" i="1"/>
  <c r="AF132" i="1"/>
  <c r="AH132" i="1"/>
  <c r="AK132" i="1"/>
  <c r="AL132" i="1"/>
  <c r="AO132" i="1"/>
  <c r="AR132" i="1"/>
  <c r="AS132" i="1"/>
  <c r="AT132" i="1"/>
  <c r="AV132" i="1"/>
  <c r="AY132" i="1"/>
  <c r="AZ132" i="1"/>
  <c r="BC132" i="1"/>
  <c r="BF132" i="1"/>
  <c r="BG132" i="1"/>
  <c r="BH132" i="1"/>
  <c r="BJ132" i="1"/>
  <c r="BM132" i="1"/>
  <c r="BP132" i="1"/>
  <c r="BQ132" i="1"/>
  <c r="BR132" i="1"/>
  <c r="BS132" i="1"/>
  <c r="BU132" i="1"/>
  <c r="BV132" i="1"/>
  <c r="BW132" i="1"/>
  <c r="BX132" i="1"/>
  <c r="X133" i="1"/>
  <c r="AA133" i="1"/>
  <c r="AD133" i="1"/>
  <c r="AE133" i="1"/>
  <c r="AF133" i="1"/>
  <c r="AH133" i="1"/>
  <c r="AK133" i="1"/>
  <c r="AL133" i="1"/>
  <c r="AO133" i="1"/>
  <c r="AR133" i="1"/>
  <c r="AS133" i="1"/>
  <c r="AT133" i="1"/>
  <c r="AV133" i="1"/>
  <c r="AY133" i="1"/>
  <c r="AZ133" i="1"/>
  <c r="BC133" i="1"/>
  <c r="BF133" i="1"/>
  <c r="BG133" i="1"/>
  <c r="BH133" i="1"/>
  <c r="BJ133" i="1"/>
  <c r="BM133" i="1"/>
  <c r="P134" i="1"/>
  <c r="Q134" i="1"/>
  <c r="T134" i="1"/>
  <c r="W134" i="1"/>
  <c r="X134" i="1"/>
  <c r="AA134" i="1"/>
  <c r="AD134" i="1"/>
  <c r="AE134" i="1"/>
  <c r="AF134" i="1"/>
  <c r="AH134" i="1"/>
  <c r="AK134" i="1"/>
  <c r="AL134" i="1"/>
  <c r="AO134" i="1"/>
  <c r="AR134" i="1"/>
  <c r="AS134" i="1"/>
  <c r="AT134" i="1"/>
  <c r="AV134" i="1"/>
  <c r="AY134" i="1"/>
  <c r="AZ134" i="1"/>
  <c r="BC134" i="1"/>
  <c r="BF134" i="1"/>
  <c r="BG134" i="1"/>
  <c r="BH134" i="1"/>
  <c r="BJ134" i="1"/>
  <c r="BM134" i="1"/>
  <c r="BP134" i="1"/>
  <c r="BQ134" i="1"/>
  <c r="BR134" i="1"/>
  <c r="BS134" i="1"/>
  <c r="BU134" i="1"/>
  <c r="BV134" i="1"/>
  <c r="BW134" i="1"/>
  <c r="BX134" i="1"/>
  <c r="X135" i="1"/>
  <c r="AA135" i="1"/>
  <c r="AD135" i="1"/>
  <c r="AE135" i="1"/>
  <c r="AF135" i="1"/>
  <c r="AH135" i="1"/>
  <c r="AK135" i="1"/>
  <c r="AL135" i="1"/>
  <c r="AO135" i="1"/>
  <c r="AR135" i="1"/>
  <c r="AS135" i="1"/>
  <c r="AT135" i="1"/>
  <c r="AV135" i="1"/>
  <c r="AY135" i="1"/>
  <c r="AZ135" i="1"/>
  <c r="BC135" i="1"/>
  <c r="BF135" i="1"/>
  <c r="BG135" i="1"/>
  <c r="BH135" i="1"/>
  <c r="BJ135" i="1"/>
  <c r="BM135" i="1"/>
  <c r="P136" i="1"/>
  <c r="Q136" i="1"/>
  <c r="T136" i="1"/>
  <c r="W136" i="1"/>
  <c r="X136" i="1"/>
  <c r="AA136" i="1"/>
  <c r="AD136" i="1"/>
  <c r="AE136" i="1"/>
  <c r="AF136" i="1"/>
  <c r="AH136" i="1"/>
  <c r="AK136" i="1"/>
  <c r="AL136" i="1"/>
  <c r="AO136" i="1"/>
  <c r="AR136" i="1"/>
  <c r="AS136" i="1"/>
  <c r="AT136" i="1"/>
  <c r="AV136" i="1"/>
  <c r="AY136" i="1"/>
  <c r="AZ136" i="1"/>
  <c r="BC136" i="1"/>
  <c r="BF136" i="1"/>
  <c r="BG136" i="1"/>
  <c r="BH136" i="1"/>
  <c r="BJ136" i="1"/>
  <c r="BM136" i="1"/>
  <c r="BP136" i="1"/>
  <c r="BQ136" i="1"/>
  <c r="BR136" i="1"/>
  <c r="BS136" i="1"/>
  <c r="BU136" i="1"/>
  <c r="BV136" i="1"/>
  <c r="BW136" i="1"/>
  <c r="BX136" i="1"/>
  <c r="X137" i="1"/>
  <c r="AA137" i="1"/>
  <c r="AD137" i="1"/>
  <c r="AE137" i="1"/>
  <c r="AF137" i="1"/>
  <c r="AH137" i="1"/>
  <c r="AK137" i="1"/>
  <c r="AL137" i="1"/>
  <c r="AO137" i="1"/>
  <c r="AR137" i="1"/>
  <c r="AS137" i="1"/>
  <c r="AT137" i="1"/>
  <c r="AV137" i="1"/>
  <c r="AY137" i="1"/>
  <c r="AZ137" i="1"/>
  <c r="BC137" i="1"/>
  <c r="BF137" i="1"/>
  <c r="BG137" i="1"/>
  <c r="BH137" i="1"/>
  <c r="BJ137" i="1"/>
  <c r="BM137" i="1"/>
  <c r="P138" i="1"/>
  <c r="Q138" i="1"/>
  <c r="T138" i="1"/>
  <c r="W138" i="1"/>
  <c r="X138" i="1"/>
  <c r="AA138" i="1"/>
  <c r="AD138" i="1"/>
  <c r="AE138" i="1"/>
  <c r="AF138" i="1"/>
  <c r="AH138" i="1"/>
  <c r="AK138" i="1"/>
  <c r="AL138" i="1"/>
  <c r="AO138" i="1"/>
  <c r="AR138" i="1"/>
  <c r="AS138" i="1"/>
  <c r="AT138" i="1"/>
  <c r="AV138" i="1"/>
  <c r="AY138" i="1"/>
  <c r="AZ138" i="1"/>
  <c r="BC138" i="1"/>
  <c r="BF138" i="1"/>
  <c r="BG138" i="1"/>
  <c r="BH138" i="1"/>
  <c r="BJ138" i="1"/>
  <c r="BM138" i="1"/>
  <c r="BP138" i="1"/>
  <c r="BQ138" i="1"/>
  <c r="BR138" i="1"/>
  <c r="BS138" i="1"/>
  <c r="BU138" i="1"/>
  <c r="BV138" i="1"/>
  <c r="BW138" i="1"/>
  <c r="BX138" i="1"/>
  <c r="X139" i="1"/>
  <c r="AA139" i="1"/>
  <c r="AD139" i="1"/>
  <c r="AE139" i="1"/>
  <c r="AF139" i="1"/>
  <c r="AH139" i="1"/>
  <c r="AK139" i="1"/>
  <c r="AL139" i="1"/>
  <c r="AO139" i="1"/>
  <c r="AR139" i="1"/>
  <c r="AS139" i="1"/>
  <c r="AT139" i="1"/>
  <c r="AV139" i="1"/>
  <c r="AY139" i="1"/>
  <c r="AZ139" i="1"/>
  <c r="BC139" i="1"/>
  <c r="BF139" i="1"/>
  <c r="BG139" i="1"/>
  <c r="BH139" i="1"/>
  <c r="BJ139" i="1"/>
  <c r="BM139" i="1"/>
  <c r="P140" i="1"/>
  <c r="Q140" i="1"/>
  <c r="T140" i="1"/>
  <c r="W140" i="1"/>
  <c r="X140" i="1"/>
  <c r="AA140" i="1"/>
  <c r="AD140" i="1"/>
  <c r="AE140" i="1"/>
  <c r="AF140" i="1"/>
  <c r="AH140" i="1"/>
  <c r="AK140" i="1"/>
  <c r="AL140" i="1"/>
  <c r="AO140" i="1"/>
  <c r="AR140" i="1"/>
  <c r="AS140" i="1"/>
  <c r="AT140" i="1"/>
  <c r="AV140" i="1"/>
  <c r="AY140" i="1"/>
  <c r="AZ140" i="1"/>
  <c r="BC140" i="1"/>
  <c r="BF140" i="1"/>
  <c r="BG140" i="1"/>
  <c r="BH140" i="1"/>
  <c r="BJ140" i="1"/>
  <c r="BM140" i="1"/>
  <c r="BP140" i="1"/>
  <c r="BQ140" i="1"/>
  <c r="BR140" i="1"/>
  <c r="BS140" i="1"/>
  <c r="BU140" i="1"/>
  <c r="BV140" i="1"/>
  <c r="BW140" i="1"/>
  <c r="BX140" i="1"/>
  <c r="X141" i="1"/>
  <c r="AA141" i="1"/>
  <c r="AD141" i="1"/>
  <c r="AE141" i="1"/>
  <c r="AF141" i="1"/>
  <c r="AH141" i="1"/>
  <c r="AK141" i="1"/>
  <c r="AL141" i="1"/>
  <c r="AO141" i="1"/>
  <c r="AR141" i="1"/>
  <c r="AS141" i="1"/>
  <c r="AT141" i="1"/>
  <c r="AV141" i="1"/>
  <c r="AY141" i="1"/>
  <c r="AZ141" i="1"/>
  <c r="BC141" i="1"/>
  <c r="BF141" i="1"/>
  <c r="BG141" i="1"/>
  <c r="BH141" i="1"/>
  <c r="BJ141" i="1"/>
  <c r="BM141" i="1"/>
  <c r="P142" i="1"/>
  <c r="Q142" i="1"/>
  <c r="T142" i="1"/>
  <c r="W142" i="1"/>
  <c r="X142" i="1"/>
  <c r="AA142" i="1"/>
  <c r="AD142" i="1"/>
  <c r="AE142" i="1"/>
  <c r="AF142" i="1"/>
  <c r="AH142" i="1"/>
  <c r="AK142" i="1"/>
  <c r="AL142" i="1"/>
  <c r="AO142" i="1"/>
  <c r="AR142" i="1"/>
  <c r="AS142" i="1"/>
  <c r="AT142" i="1"/>
  <c r="AV142" i="1"/>
  <c r="AY142" i="1"/>
  <c r="AZ142" i="1"/>
  <c r="BC142" i="1"/>
  <c r="BF142" i="1"/>
  <c r="BG142" i="1"/>
  <c r="BH142" i="1"/>
  <c r="BJ142" i="1"/>
  <c r="BM142" i="1"/>
  <c r="BP142" i="1"/>
  <c r="BQ142" i="1"/>
  <c r="BR142" i="1"/>
  <c r="BS142" i="1"/>
  <c r="BU142" i="1"/>
  <c r="BV142" i="1"/>
  <c r="BW142" i="1"/>
  <c r="BX142" i="1"/>
  <c r="X143" i="1"/>
  <c r="AA143" i="1"/>
  <c r="AD143" i="1"/>
  <c r="AE143" i="1"/>
  <c r="AF143" i="1"/>
  <c r="AH143" i="1"/>
  <c r="AK143" i="1"/>
  <c r="AL143" i="1"/>
  <c r="AO143" i="1"/>
  <c r="AR143" i="1"/>
  <c r="AS143" i="1"/>
  <c r="AT143" i="1"/>
  <c r="AV143" i="1"/>
  <c r="AY143" i="1"/>
  <c r="AZ143" i="1"/>
  <c r="BC143" i="1"/>
  <c r="BF143" i="1"/>
  <c r="BG143" i="1"/>
  <c r="BH143" i="1"/>
  <c r="BJ143" i="1"/>
  <c r="BM143" i="1"/>
  <c r="P144" i="1"/>
  <c r="Q144" i="1"/>
  <c r="T144" i="1"/>
  <c r="W144" i="1"/>
  <c r="X144" i="1"/>
  <c r="AA144" i="1"/>
  <c r="AD144" i="1"/>
  <c r="AE144" i="1"/>
  <c r="AF144" i="1"/>
  <c r="AH144" i="1"/>
  <c r="AK144" i="1"/>
  <c r="AL144" i="1"/>
  <c r="AO144" i="1"/>
  <c r="AR144" i="1"/>
  <c r="AS144" i="1"/>
  <c r="AT144" i="1"/>
  <c r="AV144" i="1"/>
  <c r="AY144" i="1"/>
  <c r="AZ144" i="1"/>
  <c r="BC144" i="1"/>
  <c r="BF144" i="1"/>
  <c r="BG144" i="1"/>
  <c r="BH144" i="1"/>
  <c r="BJ144" i="1"/>
  <c r="BM144" i="1"/>
  <c r="BP144" i="1"/>
  <c r="BQ144" i="1"/>
  <c r="BR144" i="1"/>
  <c r="BS144" i="1"/>
  <c r="BU144" i="1"/>
  <c r="BV144" i="1"/>
  <c r="BW144" i="1"/>
  <c r="BX144" i="1"/>
  <c r="X145" i="1"/>
  <c r="AA145" i="1"/>
  <c r="AD145" i="1"/>
  <c r="AE145" i="1"/>
  <c r="AF145" i="1"/>
  <c r="AH145" i="1"/>
  <c r="AK145" i="1"/>
  <c r="AL145" i="1"/>
  <c r="AO145" i="1"/>
  <c r="AR145" i="1"/>
  <c r="AS145" i="1"/>
  <c r="AT145" i="1"/>
  <c r="AV145" i="1"/>
  <c r="AY145" i="1"/>
  <c r="AZ145" i="1"/>
  <c r="BC145" i="1"/>
  <c r="BF145" i="1"/>
  <c r="BG145" i="1"/>
  <c r="BH145" i="1"/>
  <c r="BJ145" i="1"/>
  <c r="BM145" i="1"/>
  <c r="P146" i="1"/>
  <c r="Q146" i="1"/>
  <c r="T146" i="1"/>
  <c r="W146" i="1"/>
  <c r="X146" i="1"/>
  <c r="AA146" i="1"/>
  <c r="AD146" i="1"/>
  <c r="AE146" i="1"/>
  <c r="AF146" i="1"/>
  <c r="AH146" i="1"/>
  <c r="AK146" i="1"/>
  <c r="AL146" i="1"/>
  <c r="AO146" i="1"/>
  <c r="AR146" i="1"/>
  <c r="AS146" i="1"/>
  <c r="AT146" i="1"/>
  <c r="AV146" i="1"/>
  <c r="AY146" i="1"/>
  <c r="AZ146" i="1"/>
  <c r="BC146" i="1"/>
  <c r="BF146" i="1"/>
  <c r="BG146" i="1"/>
  <c r="BH146" i="1"/>
  <c r="BJ146" i="1"/>
  <c r="BM146" i="1"/>
  <c r="BP146" i="1"/>
  <c r="BQ146" i="1"/>
  <c r="BR146" i="1"/>
  <c r="BS146" i="1"/>
  <c r="BU146" i="1"/>
  <c r="BV146" i="1"/>
  <c r="BW146" i="1"/>
  <c r="BX146" i="1"/>
  <c r="X147" i="1"/>
  <c r="AA147" i="1"/>
  <c r="AD147" i="1"/>
  <c r="AE147" i="1"/>
  <c r="AF147" i="1"/>
  <c r="AH147" i="1"/>
  <c r="AK147" i="1"/>
  <c r="AL147" i="1"/>
  <c r="AO147" i="1"/>
  <c r="AR147" i="1"/>
  <c r="AS147" i="1"/>
  <c r="AT147" i="1"/>
  <c r="AV147" i="1"/>
  <c r="AY147" i="1"/>
  <c r="AZ147" i="1"/>
  <c r="BC147" i="1"/>
  <c r="BF147" i="1"/>
  <c r="BG147" i="1"/>
  <c r="BH147" i="1"/>
  <c r="BJ147" i="1"/>
  <c r="BM147" i="1"/>
  <c r="P148" i="1"/>
  <c r="Q148" i="1"/>
  <c r="T148" i="1"/>
  <c r="W148" i="1"/>
  <c r="X148" i="1"/>
  <c r="AA148" i="1"/>
  <c r="AD148" i="1"/>
  <c r="AE148" i="1"/>
  <c r="AF148" i="1"/>
  <c r="AH148" i="1"/>
  <c r="AK148" i="1"/>
  <c r="AL148" i="1"/>
  <c r="AO148" i="1"/>
  <c r="AR148" i="1"/>
  <c r="AS148" i="1"/>
  <c r="AT148" i="1"/>
  <c r="AV148" i="1"/>
  <c r="AY148" i="1"/>
  <c r="AZ148" i="1"/>
  <c r="BC148" i="1"/>
  <c r="BF148" i="1"/>
  <c r="BG148" i="1"/>
  <c r="BH148" i="1"/>
  <c r="BJ148" i="1"/>
  <c r="BM148" i="1"/>
  <c r="BP148" i="1"/>
  <c r="BQ148" i="1"/>
  <c r="BR148" i="1"/>
  <c r="BS148" i="1"/>
  <c r="BU148" i="1"/>
  <c r="BV148" i="1"/>
  <c r="BW148" i="1"/>
  <c r="BX148" i="1"/>
  <c r="X149" i="1"/>
  <c r="AA149" i="1"/>
  <c r="AD149" i="1"/>
  <c r="AE149" i="1"/>
  <c r="AF149" i="1"/>
  <c r="AH149" i="1"/>
  <c r="AK149" i="1"/>
  <c r="AL149" i="1"/>
  <c r="AO149" i="1"/>
  <c r="AR149" i="1"/>
  <c r="AS149" i="1"/>
  <c r="AT149" i="1"/>
  <c r="AV149" i="1"/>
  <c r="AY149" i="1"/>
  <c r="AZ149" i="1"/>
  <c r="BC149" i="1"/>
  <c r="BF149" i="1"/>
  <c r="BG149" i="1"/>
  <c r="BH149" i="1"/>
  <c r="BJ149" i="1"/>
  <c r="BM149" i="1"/>
  <c r="P150" i="1"/>
  <c r="Q150" i="1"/>
  <c r="T150" i="1"/>
  <c r="W150" i="1"/>
  <c r="X150" i="1"/>
  <c r="AA150" i="1"/>
  <c r="AD150" i="1"/>
  <c r="AE150" i="1"/>
  <c r="AF150" i="1"/>
  <c r="AH150" i="1"/>
  <c r="AK150" i="1"/>
  <c r="AL150" i="1"/>
  <c r="AO150" i="1"/>
  <c r="AR150" i="1"/>
  <c r="AS150" i="1"/>
  <c r="AT150" i="1"/>
  <c r="AV150" i="1"/>
  <c r="AY150" i="1"/>
  <c r="AZ150" i="1"/>
  <c r="BC150" i="1"/>
  <c r="BF150" i="1"/>
  <c r="BG150" i="1"/>
  <c r="BH150" i="1"/>
  <c r="BJ150" i="1"/>
  <c r="BM150" i="1"/>
  <c r="BP150" i="1"/>
  <c r="BQ150" i="1"/>
  <c r="BR150" i="1"/>
  <c r="BS150" i="1"/>
  <c r="BU150" i="1"/>
  <c r="BV150" i="1"/>
  <c r="BW150" i="1"/>
  <c r="BX150" i="1"/>
  <c r="X151" i="1"/>
  <c r="AA151" i="1"/>
  <c r="AD151" i="1"/>
  <c r="AE151" i="1"/>
  <c r="AF151" i="1"/>
  <c r="AH151" i="1"/>
  <c r="AK151" i="1"/>
  <c r="AL151" i="1"/>
  <c r="AO151" i="1"/>
  <c r="AR151" i="1"/>
  <c r="AS151" i="1"/>
  <c r="AT151" i="1"/>
  <c r="AV151" i="1"/>
  <c r="AY151" i="1"/>
  <c r="AZ151" i="1"/>
  <c r="BC151" i="1"/>
  <c r="BF151" i="1"/>
  <c r="BG151" i="1"/>
  <c r="BH151" i="1"/>
  <c r="BJ151" i="1"/>
  <c r="BM151" i="1"/>
  <c r="P152" i="1"/>
  <c r="Q152" i="1"/>
  <c r="T152" i="1"/>
  <c r="W152" i="1"/>
  <c r="X152" i="1"/>
  <c r="AA152" i="1"/>
  <c r="AD152" i="1"/>
  <c r="AE152" i="1"/>
  <c r="AF152" i="1"/>
  <c r="AH152" i="1"/>
  <c r="AK152" i="1"/>
  <c r="AL152" i="1"/>
  <c r="AO152" i="1"/>
  <c r="AR152" i="1"/>
  <c r="AS152" i="1"/>
  <c r="AT152" i="1"/>
  <c r="AV152" i="1"/>
  <c r="AY152" i="1"/>
  <c r="AZ152" i="1"/>
  <c r="BC152" i="1"/>
  <c r="BF152" i="1"/>
  <c r="BG152" i="1"/>
  <c r="BH152" i="1"/>
  <c r="BJ152" i="1"/>
  <c r="BM152" i="1"/>
  <c r="BP152" i="1"/>
  <c r="BQ152" i="1"/>
  <c r="BR152" i="1"/>
  <c r="BS152" i="1"/>
  <c r="BU152" i="1"/>
  <c r="BV152" i="1"/>
  <c r="BW152" i="1"/>
  <c r="BX152" i="1"/>
  <c r="X153" i="1"/>
  <c r="AA153" i="1"/>
  <c r="AD153" i="1"/>
  <c r="AE153" i="1"/>
  <c r="AF153" i="1"/>
  <c r="AH153" i="1"/>
  <c r="AK153" i="1"/>
  <c r="AL153" i="1"/>
  <c r="AO153" i="1"/>
  <c r="AR153" i="1"/>
  <c r="AS153" i="1"/>
  <c r="AT153" i="1"/>
  <c r="AV153" i="1"/>
  <c r="AY153" i="1"/>
  <c r="AZ153" i="1"/>
  <c r="BC153" i="1"/>
  <c r="BF153" i="1"/>
  <c r="BG153" i="1"/>
  <c r="BH153" i="1"/>
  <c r="BJ153" i="1"/>
  <c r="BM153" i="1"/>
  <c r="P154" i="1"/>
  <c r="Q154" i="1"/>
  <c r="T154" i="1"/>
  <c r="W154" i="1"/>
  <c r="X154" i="1"/>
  <c r="AA154" i="1"/>
  <c r="AD154" i="1"/>
  <c r="AE154" i="1"/>
  <c r="AF154" i="1"/>
  <c r="AH154" i="1"/>
  <c r="AK154" i="1"/>
  <c r="AL154" i="1"/>
  <c r="AO154" i="1"/>
  <c r="AR154" i="1"/>
  <c r="AS154" i="1"/>
  <c r="AT154" i="1"/>
  <c r="AV154" i="1"/>
  <c r="AY154" i="1"/>
  <c r="AZ154" i="1"/>
  <c r="BC154" i="1"/>
  <c r="BF154" i="1"/>
  <c r="BG154" i="1"/>
  <c r="BH154" i="1"/>
  <c r="BJ154" i="1"/>
  <c r="BM154" i="1"/>
  <c r="BP154" i="1"/>
  <c r="BQ154" i="1"/>
  <c r="BR154" i="1"/>
  <c r="BS154" i="1"/>
  <c r="BU154" i="1"/>
  <c r="BV154" i="1"/>
  <c r="BW154" i="1"/>
  <c r="BX154" i="1"/>
  <c r="X155" i="1"/>
  <c r="AA155" i="1"/>
  <c r="AD155" i="1"/>
  <c r="AE155" i="1"/>
  <c r="AF155" i="1"/>
  <c r="AH155" i="1"/>
  <c r="AK155" i="1"/>
  <c r="AL155" i="1"/>
  <c r="AO155" i="1"/>
  <c r="AR155" i="1"/>
  <c r="AS155" i="1"/>
  <c r="AT155" i="1"/>
  <c r="AV155" i="1"/>
  <c r="AY155" i="1"/>
  <c r="AZ155" i="1"/>
  <c r="BC155" i="1"/>
  <c r="BF155" i="1"/>
  <c r="BG155" i="1"/>
  <c r="BH155" i="1"/>
  <c r="BJ155" i="1"/>
  <c r="BM155" i="1"/>
  <c r="P156" i="1"/>
  <c r="Q156" i="1"/>
  <c r="T156" i="1"/>
  <c r="W156" i="1"/>
  <c r="X156" i="1"/>
  <c r="AA156" i="1"/>
  <c r="AD156" i="1"/>
  <c r="AE156" i="1"/>
  <c r="AF156" i="1"/>
  <c r="AH156" i="1"/>
  <c r="AK156" i="1"/>
  <c r="AL156" i="1"/>
  <c r="AO156" i="1"/>
  <c r="AR156" i="1"/>
  <c r="AS156" i="1"/>
  <c r="AT156" i="1"/>
  <c r="AV156" i="1"/>
  <c r="AY156" i="1"/>
  <c r="AZ156" i="1"/>
  <c r="BC156" i="1"/>
  <c r="BF156" i="1"/>
  <c r="BG156" i="1"/>
  <c r="BH156" i="1"/>
  <c r="BJ156" i="1"/>
  <c r="BM156" i="1"/>
  <c r="BP156" i="1"/>
  <c r="BQ156" i="1"/>
  <c r="BR156" i="1"/>
  <c r="BS156" i="1"/>
  <c r="BU156" i="1"/>
  <c r="BV156" i="1"/>
  <c r="BW156" i="1"/>
  <c r="BX156" i="1"/>
  <c r="X157" i="1"/>
  <c r="AA157" i="1"/>
  <c r="AD157" i="1"/>
  <c r="AE157" i="1"/>
  <c r="AF157" i="1"/>
  <c r="AH157" i="1"/>
  <c r="AK157" i="1"/>
  <c r="AL157" i="1"/>
  <c r="AO157" i="1"/>
  <c r="AR157" i="1"/>
  <c r="AS157" i="1"/>
  <c r="AT157" i="1"/>
  <c r="AV157" i="1"/>
  <c r="AY157" i="1"/>
  <c r="AZ157" i="1"/>
  <c r="BC157" i="1"/>
  <c r="BF157" i="1"/>
  <c r="BG157" i="1"/>
  <c r="BH157" i="1"/>
  <c r="BJ157" i="1"/>
  <c r="BM157" i="1"/>
  <c r="P158" i="1"/>
  <c r="Q158" i="1"/>
  <c r="T158" i="1"/>
  <c r="W158" i="1"/>
  <c r="X158" i="1"/>
  <c r="AA158" i="1"/>
  <c r="AD158" i="1"/>
  <c r="AE158" i="1"/>
  <c r="AF158" i="1"/>
  <c r="AH158" i="1"/>
  <c r="AK158" i="1"/>
  <c r="AL158" i="1"/>
  <c r="AO158" i="1"/>
  <c r="AR158" i="1"/>
  <c r="AS158" i="1"/>
  <c r="AT158" i="1"/>
  <c r="AV158" i="1"/>
  <c r="AY158" i="1"/>
  <c r="AZ158" i="1"/>
  <c r="BC158" i="1"/>
  <c r="BF158" i="1"/>
  <c r="BG158" i="1"/>
  <c r="BH158" i="1"/>
  <c r="BJ158" i="1"/>
  <c r="BM158" i="1"/>
  <c r="BP158" i="1"/>
  <c r="BQ158" i="1"/>
  <c r="BR158" i="1"/>
  <c r="BS158" i="1"/>
  <c r="BU158" i="1"/>
  <c r="BV158" i="1"/>
  <c r="BW158" i="1"/>
  <c r="BX158" i="1"/>
  <c r="X159" i="1"/>
  <c r="AA159" i="1"/>
  <c r="AD159" i="1"/>
  <c r="AE159" i="1"/>
  <c r="AF159" i="1"/>
  <c r="AH159" i="1"/>
  <c r="AK159" i="1"/>
  <c r="AL159" i="1"/>
  <c r="AO159" i="1"/>
  <c r="AR159" i="1"/>
  <c r="AS159" i="1"/>
  <c r="AT159" i="1"/>
  <c r="AV159" i="1"/>
  <c r="AY159" i="1"/>
  <c r="AZ159" i="1"/>
  <c r="BC159" i="1"/>
  <c r="BF159" i="1"/>
  <c r="BG159" i="1"/>
  <c r="BH159" i="1"/>
  <c r="BJ159" i="1"/>
  <c r="BM159" i="1"/>
  <c r="P160" i="1"/>
  <c r="Q160" i="1"/>
  <c r="T160" i="1"/>
  <c r="W160" i="1"/>
  <c r="X160" i="1"/>
  <c r="AA160" i="1"/>
  <c r="AD160" i="1"/>
  <c r="AE160" i="1"/>
  <c r="AF160" i="1"/>
  <c r="AH160" i="1"/>
  <c r="AK160" i="1"/>
  <c r="AL160" i="1"/>
  <c r="AO160" i="1"/>
  <c r="AR160" i="1"/>
  <c r="AS160" i="1"/>
  <c r="AT160" i="1"/>
  <c r="AV160" i="1"/>
  <c r="AY160" i="1"/>
  <c r="AZ160" i="1"/>
  <c r="BC160" i="1"/>
  <c r="BF160" i="1"/>
  <c r="BG160" i="1"/>
  <c r="BH160" i="1"/>
  <c r="BJ160" i="1"/>
  <c r="BM160" i="1"/>
  <c r="BP160" i="1"/>
  <c r="BQ160" i="1"/>
  <c r="BR160" i="1"/>
  <c r="BS160" i="1"/>
  <c r="BU160" i="1"/>
  <c r="BV160" i="1"/>
  <c r="BW160" i="1"/>
  <c r="BX160" i="1"/>
  <c r="X161" i="1"/>
  <c r="AA161" i="1"/>
  <c r="AD161" i="1"/>
  <c r="AE161" i="1"/>
  <c r="AF161" i="1"/>
  <c r="AH161" i="1"/>
  <c r="AK161" i="1"/>
  <c r="AL161" i="1"/>
  <c r="AO161" i="1"/>
  <c r="AR161" i="1"/>
  <c r="AS161" i="1"/>
  <c r="AT161" i="1"/>
  <c r="AV161" i="1"/>
  <c r="AY161" i="1"/>
  <c r="AZ161" i="1"/>
  <c r="BC161" i="1"/>
  <c r="BF161" i="1"/>
  <c r="BG161" i="1"/>
  <c r="BH161" i="1"/>
  <c r="BJ161" i="1"/>
  <c r="BM161" i="1"/>
  <c r="P162" i="1"/>
  <c r="Q162" i="1"/>
  <c r="T162" i="1"/>
  <c r="W162" i="1"/>
  <c r="X162" i="1"/>
  <c r="AA162" i="1"/>
  <c r="AD162" i="1"/>
  <c r="AE162" i="1"/>
  <c r="AF162" i="1"/>
  <c r="AH162" i="1"/>
  <c r="AK162" i="1"/>
  <c r="AL162" i="1"/>
  <c r="AO162" i="1"/>
  <c r="AR162" i="1"/>
  <c r="AS162" i="1"/>
  <c r="AT162" i="1"/>
  <c r="AV162" i="1"/>
  <c r="AY162" i="1"/>
  <c r="AZ162" i="1"/>
  <c r="BC162" i="1"/>
  <c r="BF162" i="1"/>
  <c r="BG162" i="1"/>
  <c r="BH162" i="1"/>
  <c r="BJ162" i="1"/>
  <c r="BM162" i="1"/>
  <c r="BP162" i="1"/>
  <c r="BQ162" i="1"/>
  <c r="BR162" i="1"/>
  <c r="BS162" i="1"/>
  <c r="BU162" i="1"/>
  <c r="BV162" i="1"/>
  <c r="BW162" i="1"/>
  <c r="BX162" i="1"/>
  <c r="X163" i="1"/>
  <c r="AA163" i="1"/>
  <c r="AD163" i="1"/>
  <c r="AE163" i="1"/>
  <c r="AF163" i="1"/>
  <c r="AH163" i="1"/>
  <c r="AK163" i="1"/>
  <c r="AL163" i="1"/>
  <c r="AO163" i="1"/>
  <c r="AR163" i="1"/>
  <c r="AS163" i="1"/>
  <c r="AT163" i="1"/>
  <c r="AV163" i="1"/>
  <c r="AY163" i="1"/>
  <c r="AZ163" i="1"/>
  <c r="BC163" i="1"/>
  <c r="BF163" i="1"/>
  <c r="BG163" i="1"/>
  <c r="BH163" i="1"/>
  <c r="BJ163" i="1"/>
  <c r="BM163" i="1"/>
  <c r="P164" i="1"/>
  <c r="Q164" i="1"/>
  <c r="T164" i="1"/>
  <c r="W164" i="1"/>
  <c r="X164" i="1"/>
  <c r="AA164" i="1"/>
  <c r="AD164" i="1"/>
  <c r="AE164" i="1"/>
  <c r="AF164" i="1"/>
  <c r="AH164" i="1"/>
  <c r="AK164" i="1"/>
  <c r="AL164" i="1"/>
  <c r="AO164" i="1"/>
  <c r="AR164" i="1"/>
  <c r="AS164" i="1"/>
  <c r="AT164" i="1"/>
  <c r="AV164" i="1"/>
  <c r="AY164" i="1"/>
  <c r="AZ164" i="1"/>
  <c r="BC164" i="1"/>
  <c r="BF164" i="1"/>
  <c r="BG164" i="1"/>
  <c r="BH164" i="1"/>
  <c r="BJ164" i="1"/>
  <c r="BM164" i="1"/>
  <c r="BP164" i="1"/>
  <c r="BQ164" i="1"/>
  <c r="BR164" i="1"/>
  <c r="BS164" i="1"/>
  <c r="BU164" i="1"/>
  <c r="BV164" i="1"/>
  <c r="BW164" i="1"/>
  <c r="BX164" i="1"/>
  <c r="X165" i="1"/>
  <c r="AA165" i="1"/>
  <c r="AD165" i="1"/>
  <c r="AE165" i="1"/>
  <c r="AF165" i="1"/>
  <c r="AH165" i="1"/>
  <c r="AK165" i="1"/>
  <c r="AL165" i="1"/>
  <c r="AO165" i="1"/>
  <c r="AR165" i="1"/>
  <c r="AS165" i="1"/>
  <c r="AT165" i="1"/>
  <c r="AV165" i="1"/>
  <c r="AY165" i="1"/>
  <c r="AZ165" i="1"/>
  <c r="BC165" i="1"/>
  <c r="BF165" i="1"/>
  <c r="BG165" i="1"/>
  <c r="BH165" i="1"/>
  <c r="BJ165" i="1"/>
  <c r="BM165" i="1"/>
  <c r="P166" i="1"/>
  <c r="Q166" i="1"/>
  <c r="T166" i="1"/>
  <c r="W166" i="1"/>
  <c r="X166" i="1"/>
  <c r="AA166" i="1"/>
  <c r="AD166" i="1"/>
  <c r="AE166" i="1"/>
  <c r="AF166" i="1"/>
  <c r="AH166" i="1"/>
  <c r="AK166" i="1"/>
  <c r="AL166" i="1"/>
  <c r="AO166" i="1"/>
  <c r="AR166" i="1"/>
  <c r="AS166" i="1"/>
  <c r="AT166" i="1"/>
  <c r="AV166" i="1"/>
  <c r="AY166" i="1"/>
  <c r="AZ166" i="1"/>
  <c r="BC166" i="1"/>
  <c r="BF166" i="1"/>
  <c r="BG166" i="1"/>
  <c r="BH166" i="1"/>
  <c r="BJ166" i="1"/>
  <c r="BM166" i="1"/>
  <c r="BP166" i="1"/>
  <c r="BQ166" i="1"/>
  <c r="BR166" i="1"/>
  <c r="BS166" i="1"/>
  <c r="BU166" i="1"/>
  <c r="BV166" i="1"/>
  <c r="BW166" i="1"/>
  <c r="BX166" i="1"/>
  <c r="X167" i="1"/>
  <c r="AA167" i="1"/>
  <c r="AD167" i="1"/>
  <c r="AE167" i="1"/>
  <c r="AF167" i="1"/>
  <c r="AH167" i="1"/>
  <c r="AK167" i="1"/>
  <c r="AL167" i="1"/>
  <c r="AO167" i="1"/>
  <c r="AR167" i="1"/>
  <c r="AS167" i="1"/>
  <c r="AT167" i="1"/>
  <c r="AV167" i="1"/>
  <c r="AY167" i="1"/>
  <c r="AZ167" i="1"/>
  <c r="BC167" i="1"/>
  <c r="BF167" i="1"/>
  <c r="BG167" i="1"/>
  <c r="BH167" i="1"/>
  <c r="BJ167" i="1"/>
  <c r="BM167" i="1"/>
  <c r="P168" i="1"/>
  <c r="Q168" i="1"/>
  <c r="T168" i="1"/>
  <c r="W168" i="1"/>
  <c r="X168" i="1"/>
  <c r="AA168" i="1"/>
  <c r="AD168" i="1"/>
  <c r="AE168" i="1"/>
  <c r="AF168" i="1"/>
  <c r="AH168" i="1"/>
  <c r="AK168" i="1"/>
  <c r="AL168" i="1"/>
  <c r="AO168" i="1"/>
  <c r="AR168" i="1"/>
  <c r="AS168" i="1"/>
  <c r="AT168" i="1"/>
  <c r="AV168" i="1"/>
  <c r="AY168" i="1"/>
  <c r="AZ168" i="1"/>
  <c r="BC168" i="1"/>
  <c r="BF168" i="1"/>
  <c r="BG168" i="1"/>
  <c r="BH168" i="1"/>
  <c r="BJ168" i="1"/>
  <c r="BM168" i="1"/>
  <c r="BP168" i="1"/>
  <c r="BQ168" i="1"/>
  <c r="BR168" i="1"/>
  <c r="BS168" i="1"/>
  <c r="BU168" i="1"/>
  <c r="BV168" i="1"/>
  <c r="BW168" i="1"/>
  <c r="BX168" i="1"/>
  <c r="X169" i="1"/>
  <c r="AA169" i="1"/>
  <c r="AD169" i="1"/>
  <c r="AE169" i="1"/>
  <c r="AF169" i="1"/>
  <c r="AH169" i="1"/>
  <c r="AK169" i="1"/>
  <c r="AL169" i="1"/>
  <c r="AO169" i="1"/>
  <c r="AR169" i="1"/>
  <c r="AS169" i="1"/>
  <c r="AT169" i="1"/>
  <c r="AV169" i="1"/>
  <c r="AY169" i="1"/>
  <c r="AZ169" i="1"/>
  <c r="BC169" i="1"/>
  <c r="BF169" i="1"/>
  <c r="BG169" i="1"/>
  <c r="BH169" i="1"/>
  <c r="BJ169" i="1"/>
  <c r="BM169" i="1"/>
  <c r="R10" i="7"/>
  <c r="U10" i="7"/>
  <c r="AB10" i="7"/>
  <c r="AC10" i="7"/>
  <c r="AD10" i="7" a="1"/>
  <c r="AD10" i="7"/>
  <c r="AE10" i="7" a="1"/>
  <c r="AE10" i="7"/>
  <c r="AG10" i="7"/>
  <c r="AH10" i="7" a="1"/>
  <c r="AH10" i="7"/>
  <c r="AI10" i="7"/>
  <c r="AJ10" i="7"/>
  <c r="AK10" i="7"/>
</calcChain>
</file>

<file path=xl/sharedStrings.xml><?xml version="1.0" encoding="utf-8"?>
<sst xmlns="http://schemas.openxmlformats.org/spreadsheetml/2006/main" count="2962" uniqueCount="1048">
  <si>
    <t>Year</t>
  </si>
  <si>
    <t>Accessible Balance</t>
  </si>
  <si>
    <t>Percent of Accessible Balance</t>
  </si>
  <si>
    <t>Debt</t>
  </si>
  <si>
    <t>Interest Rate:</t>
  </si>
  <si>
    <t>Accumulation Phase</t>
  </si>
  <si>
    <t>Years of Service</t>
  </si>
  <si>
    <t>Distribution Phase</t>
  </si>
  <si>
    <t>Return</t>
  </si>
  <si>
    <t>Debt Limit:</t>
  </si>
  <si>
    <t>Current Debt:</t>
  </si>
  <si>
    <t>Home Value:</t>
  </si>
  <si>
    <t>Provisional Income</t>
  </si>
  <si>
    <t>Payroll Tax</t>
  </si>
  <si>
    <t>Gross Income</t>
  </si>
  <si>
    <t>Single</t>
  </si>
  <si>
    <t>Head of Household</t>
  </si>
  <si>
    <t>Married Filing Separately</t>
  </si>
  <si>
    <t>Married Filing Jointly</t>
  </si>
  <si>
    <t>Long Term Capital Gains and Qualified Dividends</t>
  </si>
  <si>
    <t>Ordinary Income</t>
  </si>
  <si>
    <t>Taxable Income over</t>
  </si>
  <si>
    <t>Tax Addon</t>
  </si>
  <si>
    <t>Filing Status:</t>
  </si>
  <si>
    <t>SS Base</t>
  </si>
  <si>
    <t>SS Tax Addon</t>
  </si>
  <si>
    <t>SS Percent Taxable</t>
  </si>
  <si>
    <t>Code</t>
  </si>
  <si>
    <t>Self-Employment Income</t>
  </si>
  <si>
    <t>Real Estate Tax</t>
  </si>
  <si>
    <t>Withdrawals</t>
  </si>
  <si>
    <t>Qualified Home</t>
  </si>
  <si>
    <t>Delayed Credit Per Year:</t>
  </si>
  <si>
    <t>Time Table</t>
  </si>
  <si>
    <t>Employer-Sponsored Retirement Plans</t>
  </si>
  <si>
    <t>Default Wage Inflation:</t>
  </si>
  <si>
    <t>Default Consumer Price Inflation:</t>
  </si>
  <si>
    <t>Birth Date:</t>
  </si>
  <si>
    <t>Bend Point</t>
  </si>
  <si>
    <t>Benefit Percent</t>
  </si>
  <si>
    <t>SS Primary Insurance Amount (PIA)</t>
  </si>
  <si>
    <t>Taxable Income</t>
  </si>
  <si>
    <t>Earnings Required for Work Credits (dollars)</t>
  </si>
  <si>
    <t>Credits Needed</t>
  </si>
  <si>
    <t>Full Retirement Age:</t>
  </si>
  <si>
    <t>Primary Benefits Filing Age:</t>
  </si>
  <si>
    <t>Deemed Filing Age:</t>
  </si>
  <si>
    <t>Maximum of Four Credits a Year:</t>
  </si>
  <si>
    <t>Personal Exemption:</t>
  </si>
  <si>
    <t>Tax Rates (percent)</t>
  </si>
  <si>
    <t>Social Security (Old-Age, Survivors, and Disability Insurance)</t>
  </si>
  <si>
    <t>Employers and Employees, each:</t>
  </si>
  <si>
    <t>Medicare (Hospital Insurance)</t>
  </si>
  <si>
    <t>Social Security (OASDI) Program Rates &amp; Limits</t>
  </si>
  <si>
    <t>One Work Credit:</t>
  </si>
  <si>
    <t>Primary Benefit:</t>
  </si>
  <si>
    <t>Auxiliary Benefit:</t>
  </si>
  <si>
    <t>Wage IDX</t>
  </si>
  <si>
    <t>CP IDX</t>
  </si>
  <si>
    <t>COLA</t>
  </si>
  <si>
    <t>Bend Point 1</t>
  </si>
  <si>
    <t>Bend Point 2</t>
  </si>
  <si>
    <t>Age</t>
  </si>
  <si>
    <t>APW</t>
  </si>
  <si>
    <t>PIA</t>
  </si>
  <si>
    <t>PBW</t>
  </si>
  <si>
    <t>ABW</t>
  </si>
  <si>
    <t>Self-Employment Tax</t>
  </si>
  <si>
    <t>Base Year:</t>
  </si>
  <si>
    <t>Social Security Wage Base</t>
  </si>
  <si>
    <t>Payroll/SE</t>
  </si>
  <si>
    <t>State</t>
  </si>
  <si>
    <t>Federal</t>
  </si>
  <si>
    <t>Taxable Ordinary Income</t>
  </si>
  <si>
    <t>Ordinary Income Tax</t>
  </si>
  <si>
    <t>Capital Gains Tax</t>
  </si>
  <si>
    <t>Home Insurance</t>
  </si>
  <si>
    <t>Social Security Retirement Insurance Benefits (RIB)</t>
  </si>
  <si>
    <t xml:space="preserve">    (at your option) any later version.</t>
  </si>
  <si>
    <t xml:space="preserve">    This program is distributed in the hope that it will be useful,</t>
  </si>
  <si>
    <t xml:space="preserve">    but WITHOUT ANY WARRANTY; without even the implied warranty of</t>
  </si>
  <si>
    <t xml:space="preserve">    MERCHANTABILITY or FITNESS FOR A PARTICULAR PURPOSE.  See the</t>
  </si>
  <si>
    <t xml:space="preserve">    along with this program.  If not, see &lt;http://www.gnu.org/licenses/&gt;.</t>
  </si>
  <si>
    <t xml:space="preserve">    GNU Affero General Public License for more details.</t>
  </si>
  <si>
    <t xml:space="preserve">    You should have received a copy of the GNU Affero General Public License</t>
  </si>
  <si>
    <t>mailto:larry.blumer@retireator.org</t>
  </si>
  <si>
    <t xml:space="preserve">    This program is free software: you can redistribute it and/or modify</t>
  </si>
  <si>
    <t>This program is distributed in the hope that it will be useful,</t>
  </si>
  <si>
    <t>but WITHOUT ANY WARRANTY; without even the implied warranty of</t>
  </si>
  <si>
    <t>MERCHANTABILITY or FITNESS FOR A PARTICULAR PURPOSE.  See the</t>
  </si>
  <si>
    <t>along with this program.  If not, see &lt;http://www.gnu.org/licenses/&gt;.</t>
  </si>
  <si>
    <t>Retireator is free software: you can redistribute it and/or modify</t>
  </si>
  <si>
    <t xml:space="preserve">    it under the terms of the GNU Affero General Public License as published</t>
  </si>
  <si>
    <t xml:space="preserve">    by the Free Software Foundation, either version 3 of the License, or</t>
  </si>
  <si>
    <t>it under the terms of the GNU Affero General Public License as published</t>
  </si>
  <si>
    <t>by the Free Software Foundation, either version 3 of the License, or</t>
  </si>
  <si>
    <t>any later version.</t>
  </si>
  <si>
    <t>GNU Affero General Public License for more details.</t>
  </si>
  <si>
    <t>You should have received a copy of the GNU Affero General Public License</t>
  </si>
  <si>
    <t>GNU AFFERO GENERAL PUBLIC LICENSE</t>
  </si>
  <si>
    <t xml:space="preserve">                       Version 3, 19 November 2007</t>
  </si>
  <si>
    <t xml:space="preserve"> Copyright (C) 2007 Free Software Foundation, Inc. &lt;http://fsf.org/&gt;</t>
  </si>
  <si>
    <t xml:space="preserve"> Everyone is permitted to copy and distribute verbatim copies</t>
  </si>
  <si>
    <t xml:space="preserve"> of this license document, but changing it is not allowed.</t>
  </si>
  <si>
    <t xml:space="preserve">                            Preamble</t>
  </si>
  <si>
    <t xml:space="preserve">  The GNU Affero General Public License is a free, copyleft license for</t>
  </si>
  <si>
    <t>software and other kinds of works, specifically designed to ensure</t>
  </si>
  <si>
    <t>cooperation with the community in the case of network server software.</t>
  </si>
  <si>
    <t xml:space="preserve">  The licenses for most software and other practical works are designed</t>
  </si>
  <si>
    <t>to take away your freedom to share and change the works.  By contrast,</t>
  </si>
  <si>
    <t>our General Public Licenses are intended to guarantee your freedom to</t>
  </si>
  <si>
    <t>share and change all versions of a program--to make sure it remains free</t>
  </si>
  <si>
    <t>software for all its users.</t>
  </si>
  <si>
    <t xml:space="preserve">  When we speak of free software, we are referring to freedom, not</t>
  </si>
  <si>
    <t>price.  Our General Public Licenses are designed to make sure that you</t>
  </si>
  <si>
    <t>have the freedom to distribute copies of free software (and charge for</t>
  </si>
  <si>
    <t>them if you wish), that you receive source code or can get it if you</t>
  </si>
  <si>
    <t>want it, that you can change the software or use pieces of it in new</t>
  </si>
  <si>
    <t>free programs, and that you know you can do these things.</t>
  </si>
  <si>
    <t xml:space="preserve">  Developers that use our General Public Licenses protect your rights</t>
  </si>
  <si>
    <t>with two steps: (1) assert copyright on the software, and (2) offer</t>
  </si>
  <si>
    <t>you this License which gives you legal permission to copy, distribute</t>
  </si>
  <si>
    <t>and/or modify the software.</t>
  </si>
  <si>
    <t xml:space="preserve">  A secondary benefit of defending all users' freedom is that</t>
  </si>
  <si>
    <t>improvements made in alternate versions of the program, if they</t>
  </si>
  <si>
    <t>receive widespread use, become available for other developers to</t>
  </si>
  <si>
    <t>incorporate.  Many developers of free software are heartened and</t>
  </si>
  <si>
    <t>encouraged by the resulting cooperation.  However, in the case of</t>
  </si>
  <si>
    <t>software used on network servers, this result may fail to come about.</t>
  </si>
  <si>
    <t>The GNU General Public License permits making a modified version and</t>
  </si>
  <si>
    <t>letting the public access it on a server without ever releasing its</t>
  </si>
  <si>
    <t>source code to the public.</t>
  </si>
  <si>
    <t xml:space="preserve">  The GNU Affero General Public License is designed specifically to</t>
  </si>
  <si>
    <t>ensure that, in such cases, the modified source code becomes available</t>
  </si>
  <si>
    <t>to the community.  It requires the operator of a network server to</t>
  </si>
  <si>
    <t>provide the source code of the modified version running there to the</t>
  </si>
  <si>
    <t>users of that server.  Therefore, public use of a modified version, on</t>
  </si>
  <si>
    <t>a publicly accessible server, gives the public access to the source</t>
  </si>
  <si>
    <t>code of the modified version.</t>
  </si>
  <si>
    <t xml:space="preserve">  An older license, called the Affero General Public License and</t>
  </si>
  <si>
    <t>published by Affero, was designed to accomplish similar goals.  This is</t>
  </si>
  <si>
    <t>a different license, not a version of the Affero GPL, but Affero has</t>
  </si>
  <si>
    <t>released a new version of the Affero GPL which permits relicensing under</t>
  </si>
  <si>
    <t>this license.</t>
  </si>
  <si>
    <t xml:space="preserve">  The precise terms and conditions for copying, distribution and</t>
  </si>
  <si>
    <t>modification follow.</t>
  </si>
  <si>
    <t xml:space="preserve">                       TERMS AND CONDITIONS</t>
  </si>
  <si>
    <t xml:space="preserve">  0. Definitions.</t>
  </si>
  <si>
    <t xml:space="preserve">  "This License" refers to version 3 of the GNU Affero General Public License.</t>
  </si>
  <si>
    <t xml:space="preserve">  "Copyright" also means copyright-like laws that apply to other kinds of</t>
  </si>
  <si>
    <t>works, such as semiconductor masks.</t>
  </si>
  <si>
    <t xml:space="preserve">  "The Program" refers to any copyrightable work licensed under this</t>
  </si>
  <si>
    <t>License.  Each licensee is addressed as "you".  "Licensees" and</t>
  </si>
  <si>
    <t>"recipients" may be individuals or organizations.</t>
  </si>
  <si>
    <t xml:space="preserve">  To "modify" a work means to copy from or adapt all or part of the work</t>
  </si>
  <si>
    <t>in a fashion requiring copyright permission, other than the making of an</t>
  </si>
  <si>
    <t>exact copy.  The resulting work is called a "modified version" of the</t>
  </si>
  <si>
    <t>earlier work or a work "based on" the earlier work.</t>
  </si>
  <si>
    <t xml:space="preserve">  A "covered work" means either the unmodified Program or a work based</t>
  </si>
  <si>
    <t>on the Program.</t>
  </si>
  <si>
    <t xml:space="preserve">  To "propagate" a work means to do anything with it that, without</t>
  </si>
  <si>
    <t>permission, would make you directly or secondarily liable for</t>
  </si>
  <si>
    <t>infringement under applicable copyright law, except executing it on a</t>
  </si>
  <si>
    <t>computer or modifying a private copy.  Propagation includes copying,</t>
  </si>
  <si>
    <t>distribution (with or without modification), making available to the</t>
  </si>
  <si>
    <t>public, and in some countries other activities as well.</t>
  </si>
  <si>
    <t xml:space="preserve">  To "convey" a work means any kind of propagation that enables other</t>
  </si>
  <si>
    <t>parties to make or receive copies.  Mere interaction with a user through</t>
  </si>
  <si>
    <t>a computer network, with no transfer of a copy, is not conveying.</t>
  </si>
  <si>
    <t xml:space="preserve">  An interactive user interface displays "Appropriate Legal Notices"</t>
  </si>
  <si>
    <t>to the extent that it includes a convenient and prominently visible</t>
  </si>
  <si>
    <t>feature that (1) displays an appropriate copyright notice, and (2)</t>
  </si>
  <si>
    <t>tells the user that there is no warranty for the work (except to the</t>
  </si>
  <si>
    <t>extent that warranties are provided), that licensees may convey the</t>
  </si>
  <si>
    <t>work under this License, and how to view a copy of this License.  If</t>
  </si>
  <si>
    <t>the interface presents a list of user commands or options, such as a</t>
  </si>
  <si>
    <t>menu, a prominent item in the list meets this criterion.</t>
  </si>
  <si>
    <t xml:space="preserve">  1. Source Code.</t>
  </si>
  <si>
    <t xml:space="preserve">  The "source code" for a work means the preferred form of the work</t>
  </si>
  <si>
    <t>for making modifications to it.  "Object code" means any non-source</t>
  </si>
  <si>
    <t>form of a work.</t>
  </si>
  <si>
    <t xml:space="preserve">  A "Standard Interface" means an interface that either is an official</t>
  </si>
  <si>
    <t>standard defined by a recognized standards body, or, in the case of</t>
  </si>
  <si>
    <t>interfaces specified for a particular programming language, one that</t>
  </si>
  <si>
    <t>is widely used among developers working in that language.</t>
  </si>
  <si>
    <t xml:space="preserve">  The "System Libraries" of an executable work include anything, other</t>
  </si>
  <si>
    <t>than the work as a whole, that (a) is included in the normal form of</t>
  </si>
  <si>
    <t>packaging a Major Component, but which is not part of that Major</t>
  </si>
  <si>
    <t>Component, and (b) serves only to enable use of the work with that</t>
  </si>
  <si>
    <t>Major Component, or to implement a Standard Interface for which an</t>
  </si>
  <si>
    <t>implementation is available to the public in source code form.  A</t>
  </si>
  <si>
    <t>"Major Component", in this context, means a major essential component</t>
  </si>
  <si>
    <t>(kernel, window system, and so on) of the specific operating system</t>
  </si>
  <si>
    <t>(if any) on which the executable work runs, or a compiler used to</t>
  </si>
  <si>
    <t>produce the work, or an object code interpreter used to run it.</t>
  </si>
  <si>
    <t xml:space="preserve">  The "Corresponding Source" for a work in object code form means all</t>
  </si>
  <si>
    <t>the source code needed to generate, install, and (for an executable</t>
  </si>
  <si>
    <t>work) run the object code and to modify the work, including scripts to</t>
  </si>
  <si>
    <t>control those activities.  However, it does not include the work's</t>
  </si>
  <si>
    <t>System Libraries, or general-purpose tools or generally available free</t>
  </si>
  <si>
    <t>programs which are used unmodified in performing those activities but</t>
  </si>
  <si>
    <t>which are not part of the work.  For example, Corresponding Source</t>
  </si>
  <si>
    <t>includes interface definition files associated with source files for</t>
  </si>
  <si>
    <t>the work, and the source code for shared libraries and dynamically</t>
  </si>
  <si>
    <t>linked subprograms that the work is specifically designed to require,</t>
  </si>
  <si>
    <t>such as by intimate data communication or control flow between those</t>
  </si>
  <si>
    <t>subprograms and other parts of the work.</t>
  </si>
  <si>
    <t xml:space="preserve">  The Corresponding Source need not include anything that users</t>
  </si>
  <si>
    <t>can regenerate automatically from other parts of the Corresponding</t>
  </si>
  <si>
    <t>Source.</t>
  </si>
  <si>
    <t xml:space="preserve">  The Corresponding Source for a work in source code form is that</t>
  </si>
  <si>
    <t>same work.</t>
  </si>
  <si>
    <t xml:space="preserve">  2. Basic Permissions.</t>
  </si>
  <si>
    <t xml:space="preserve">  All rights granted under this License are granted for the term of</t>
  </si>
  <si>
    <t>copyright on the Program, and are irrevocable provided the stated</t>
  </si>
  <si>
    <t>conditions are met.  This License explicitly affirms your unlimited</t>
  </si>
  <si>
    <t>permission to run the unmodified Program.  The output from running a</t>
  </si>
  <si>
    <t>covered work is covered by this License only if the output, given its</t>
  </si>
  <si>
    <t>content, constitutes a covered work.  This License acknowledges your</t>
  </si>
  <si>
    <t>rights of fair use or other equivalent, as provided by copyright law.</t>
  </si>
  <si>
    <t xml:space="preserve">  You may make, run and propagate covered works that you do not</t>
  </si>
  <si>
    <t>convey, without conditions so long as your license otherwise remains</t>
  </si>
  <si>
    <t>in force.  You may convey covered works to others for the sole purpose</t>
  </si>
  <si>
    <t>of having them make modifications exclusively for you, or provide you</t>
  </si>
  <si>
    <t>with facilities for running those works, provided that you comply with</t>
  </si>
  <si>
    <t>the terms of this License in conveying all material for which you do</t>
  </si>
  <si>
    <t>not control copyright.  Those thus making or running the covered works</t>
  </si>
  <si>
    <t>for you must do so exclusively on your behalf, under your direction</t>
  </si>
  <si>
    <t>and control, on terms that prohibit them from making any copies of</t>
  </si>
  <si>
    <t>your copyrighted material outside their relationship with you.</t>
  </si>
  <si>
    <t xml:space="preserve">  Conveying under any other circumstances is permitted solely under</t>
  </si>
  <si>
    <t>the conditions stated below.  Sublicensing is not allowed; section 10</t>
  </si>
  <si>
    <t>makes it unnecessary.</t>
  </si>
  <si>
    <t xml:space="preserve">  3. Protecting Users' Legal Rights From Anti-Circumvention Law.</t>
  </si>
  <si>
    <t xml:space="preserve">  No covered work shall be deemed part of an effective technological</t>
  </si>
  <si>
    <t>measure under any applicable law fulfilling obligations under article</t>
  </si>
  <si>
    <t>11 of the WIPO copyright treaty adopted on 20 December 1996, or</t>
  </si>
  <si>
    <t>similar laws prohibiting or restricting circumvention of such</t>
  </si>
  <si>
    <t>measures.</t>
  </si>
  <si>
    <t xml:space="preserve">  When you convey a covered work, you waive any legal power to forbid</t>
  </si>
  <si>
    <t>circumvention of technological measures to the extent such circumvention</t>
  </si>
  <si>
    <t>is effected by exercising rights under this License with respect to</t>
  </si>
  <si>
    <t>the covered work, and you disclaim any intention to limit operation or</t>
  </si>
  <si>
    <t>modification of the work as a means of enforcing, against the work's</t>
  </si>
  <si>
    <t>users, your or third parties' legal rights to forbid circumvention of</t>
  </si>
  <si>
    <t>technological measures.</t>
  </si>
  <si>
    <t xml:space="preserve">  4. Conveying Verbatim Copies.</t>
  </si>
  <si>
    <t xml:space="preserve">  You may convey verbatim copies of the Program's source code as you</t>
  </si>
  <si>
    <t>receive it, in any medium, provided that you conspicuously and</t>
  </si>
  <si>
    <t>appropriately publish on each copy an appropriate copyright notice;</t>
  </si>
  <si>
    <t>keep intact all notices stating that this License and any</t>
  </si>
  <si>
    <t>non-permissive terms added in accord with section 7 apply to the code;</t>
  </si>
  <si>
    <t>keep intact all notices of the absence of any warranty; and give all</t>
  </si>
  <si>
    <t>recipients a copy of this License along with the Program.</t>
  </si>
  <si>
    <t xml:space="preserve">  You may charge any price or no price for each copy that you convey,</t>
  </si>
  <si>
    <t>and you may offer support or warranty protection for a fee.</t>
  </si>
  <si>
    <t xml:space="preserve">  5. Conveying Modified Source Versions.</t>
  </si>
  <si>
    <t xml:space="preserve">  You may convey a work based on the Program, or the modifications to</t>
  </si>
  <si>
    <t>produce it from the Program, in the form of source code under the</t>
  </si>
  <si>
    <t>terms of section 4, provided that you also meet all of these conditions:</t>
  </si>
  <si>
    <t xml:space="preserve">    a) The work must carry prominent notices stating that you modified</t>
  </si>
  <si>
    <t xml:space="preserve">    it, and giving a relevant date.</t>
  </si>
  <si>
    <t xml:space="preserve">    b) The work must carry prominent notices stating that it is</t>
  </si>
  <si>
    <t xml:space="preserve">    released under this License and any conditions added under section</t>
  </si>
  <si>
    <t xml:space="preserve">    7.  This requirement modifies the requirement in section 4 to</t>
  </si>
  <si>
    <t xml:space="preserve">    "keep intact all notices".</t>
  </si>
  <si>
    <t xml:space="preserve">    c) You must license the entire work, as a whole, under this</t>
  </si>
  <si>
    <t xml:space="preserve">    License to anyone who comes into possession of a copy.  This</t>
  </si>
  <si>
    <t xml:space="preserve">    License will therefore apply, along with any applicable section 7</t>
  </si>
  <si>
    <t xml:space="preserve">    additional terms, to the whole of the work, and all its parts,</t>
  </si>
  <si>
    <t xml:space="preserve">    regardless of how they are packaged.  This License gives no</t>
  </si>
  <si>
    <t xml:space="preserve">    permission to license the work in any other way, but it does not</t>
  </si>
  <si>
    <t xml:space="preserve">    invalidate such permission if you have separately received it.</t>
  </si>
  <si>
    <t xml:space="preserve">    d) If the work has interactive user interfaces, each must display</t>
  </si>
  <si>
    <t xml:space="preserve">    Appropriate Legal Notices; however, if the Program has interactive</t>
  </si>
  <si>
    <t xml:space="preserve">    interfaces that do not display Appropriate Legal Notices, your</t>
  </si>
  <si>
    <t xml:space="preserve">    work need not make them do so.</t>
  </si>
  <si>
    <t xml:space="preserve">  A compilation of a covered work with other separate and independent</t>
  </si>
  <si>
    <t>works, which are not by their nature extensions of the covered work,</t>
  </si>
  <si>
    <t>and which are not combined with it such as to form a larger program,</t>
  </si>
  <si>
    <t>in or on a volume of a storage or distribution medium, is called an</t>
  </si>
  <si>
    <t>"aggregate" if the compilation and its resulting copyright are not</t>
  </si>
  <si>
    <t>used to limit the access or legal rights of the compilation's users</t>
  </si>
  <si>
    <t>beyond what the individual works permit.  Inclusion of a covered work</t>
  </si>
  <si>
    <t>in an aggregate does not cause this License to apply to the other</t>
  </si>
  <si>
    <t>parts of the aggregate.</t>
  </si>
  <si>
    <t xml:space="preserve">  6. Conveying Non-Source Forms.</t>
  </si>
  <si>
    <t xml:space="preserve">  You may convey a covered work in object code form under the terms</t>
  </si>
  <si>
    <t>of sections 4 and 5, provided that you also convey the</t>
  </si>
  <si>
    <t>machine-readable Corresponding Source under the terms of this License,</t>
  </si>
  <si>
    <t>in one of these ways:</t>
  </si>
  <si>
    <t xml:space="preserve">    a) Convey the object code in, or embodied in, a physical product</t>
  </si>
  <si>
    <t xml:space="preserve">    (including a physical distribution medium), accompanied by the</t>
  </si>
  <si>
    <t xml:space="preserve">    Corresponding Source fixed on a durable physical medium</t>
  </si>
  <si>
    <t xml:space="preserve">    customarily used for software interchange.</t>
  </si>
  <si>
    <t xml:space="preserve">    b) Convey the object code in, or embodied in, a physical product</t>
  </si>
  <si>
    <t xml:space="preserve">    (including a physical distribution medium), accompanied by a</t>
  </si>
  <si>
    <t xml:space="preserve">    written offer, valid for at least three years and valid for as</t>
  </si>
  <si>
    <t xml:space="preserve">    long as you offer spare parts or customer support for that product</t>
  </si>
  <si>
    <t xml:space="preserve">    model, to give anyone who possesses the object code either (1) a</t>
  </si>
  <si>
    <t xml:space="preserve">    copy of the Corresponding Source for all the software in the</t>
  </si>
  <si>
    <t xml:space="preserve">    product that is covered by this License, on a durable physical</t>
  </si>
  <si>
    <t xml:space="preserve">    medium customarily used for software interchange, for a price no</t>
  </si>
  <si>
    <t xml:space="preserve">    more than your reasonable cost of physically performing this</t>
  </si>
  <si>
    <t xml:space="preserve">    conveying of source, or (2) access to copy the</t>
  </si>
  <si>
    <t xml:space="preserve">    Corresponding Source from a network server at no charge.</t>
  </si>
  <si>
    <t xml:space="preserve">    c) Convey individual copies of the object code with a copy of the</t>
  </si>
  <si>
    <t xml:space="preserve">    written offer to provide the Corresponding Source.  This</t>
  </si>
  <si>
    <t xml:space="preserve">    alternative is allowed only occasionally and noncommercially, and</t>
  </si>
  <si>
    <t xml:space="preserve">    only if you received the object code with such an offer, in accord</t>
  </si>
  <si>
    <t xml:space="preserve">    with subsection 6b.</t>
  </si>
  <si>
    <t xml:space="preserve">    d) Convey the object code by offering access from a designated</t>
  </si>
  <si>
    <t xml:space="preserve">    place (gratis or for a charge), and offer equivalent access to the</t>
  </si>
  <si>
    <t xml:space="preserve">    Corresponding Source in the same way through the same place at no</t>
  </si>
  <si>
    <t xml:space="preserve">    further charge.  You need not require recipients to copy the</t>
  </si>
  <si>
    <t xml:space="preserve">    Corresponding Source along with the object code.  If the place to</t>
  </si>
  <si>
    <t xml:space="preserve">    copy the object code is a network server, the Corresponding Source</t>
  </si>
  <si>
    <t xml:space="preserve">    may be on a different server (operated by you or a third party)</t>
  </si>
  <si>
    <t xml:space="preserve">    that supports equivalent copying facilities, provided you maintain</t>
  </si>
  <si>
    <t xml:space="preserve">    clear directions next to the object code saying where to find the</t>
  </si>
  <si>
    <t xml:space="preserve">    Corresponding Source.  Regardless of what server hosts the</t>
  </si>
  <si>
    <t xml:space="preserve">    Corresponding Source, you remain obligated to ensure that it is</t>
  </si>
  <si>
    <t xml:space="preserve">    available for as long as needed to satisfy these requirements.</t>
  </si>
  <si>
    <t xml:space="preserve">    e) Convey the object code using peer-to-peer transmission, provided</t>
  </si>
  <si>
    <t xml:space="preserve">    you inform other peers where the object code and Corresponding</t>
  </si>
  <si>
    <t xml:space="preserve">    Source of the work are being offered to the general public at no</t>
  </si>
  <si>
    <t xml:space="preserve">    charge under subsection 6d.</t>
  </si>
  <si>
    <t xml:space="preserve">  A separable portion of the object code, whose source code is excluded</t>
  </si>
  <si>
    <t>from the Corresponding Source as a System Library, need not be</t>
  </si>
  <si>
    <t>included in conveying the object code work.</t>
  </si>
  <si>
    <t xml:space="preserve">  A "User Product" is either (1) a "consumer product", which means any</t>
  </si>
  <si>
    <t>tangible personal property which is normally used for personal, family,</t>
  </si>
  <si>
    <t>or household purposes, or (2) anything designed or sold for incorporation</t>
  </si>
  <si>
    <t>into a dwelling.  In determining whether a product is a consumer product,</t>
  </si>
  <si>
    <t>doubtful cases shall be resolved in favor of coverage.  For a particular</t>
  </si>
  <si>
    <t>product received by a particular user, "normally used" refers to a</t>
  </si>
  <si>
    <t>typical or common use of that class of product, regardless of the status</t>
  </si>
  <si>
    <t>of the particular user or of the way in which the particular user</t>
  </si>
  <si>
    <t>actually uses, or expects or is expected to use, the product.  A product</t>
  </si>
  <si>
    <t>is a consumer product regardless of whether the product has substantial</t>
  </si>
  <si>
    <t>commercial, industrial or non-consumer uses, unless such uses represent</t>
  </si>
  <si>
    <t>the only significant mode of use of the product.</t>
  </si>
  <si>
    <t xml:space="preserve">  "Installation Information" for a User Product means any methods,</t>
  </si>
  <si>
    <t>procedures, authorization keys, or other information required to install</t>
  </si>
  <si>
    <t>and execute modified versions of a covered work in that User Product from</t>
  </si>
  <si>
    <t>a modified version of its Corresponding Source.  The information must</t>
  </si>
  <si>
    <t>suffice to ensure that the continued functioning of the modified object</t>
  </si>
  <si>
    <t>code is in no case prevented or interfered with solely because</t>
  </si>
  <si>
    <t>modification has been made.</t>
  </si>
  <si>
    <t xml:space="preserve">  If you convey an object code work under this section in, or with, or</t>
  </si>
  <si>
    <t>specifically for use in, a User Product, and the conveying occurs as</t>
  </si>
  <si>
    <t>part of a transaction in which the right of possession and use of the</t>
  </si>
  <si>
    <t>User Product is transferred to the recipient in perpetuity or for a</t>
  </si>
  <si>
    <t>fixed term (regardless of how the transaction is characterized), the</t>
  </si>
  <si>
    <t>Corresponding Source conveyed under this section must be accompanied</t>
  </si>
  <si>
    <t>by the Installation Information.  But this requirement does not apply</t>
  </si>
  <si>
    <t>if neither you nor any third party retains the ability to install</t>
  </si>
  <si>
    <t>modified object code on the User Product (for example, the work has</t>
  </si>
  <si>
    <t>been installed in ROM).</t>
  </si>
  <si>
    <t xml:space="preserve">  The requirement to provide Installation Information does not include a</t>
  </si>
  <si>
    <t>requirement to continue to provide support service, warranty, or updates</t>
  </si>
  <si>
    <t>for a work that has been modified or installed by the recipient, or for</t>
  </si>
  <si>
    <t>the User Product in which it has been modified or installed.  Access to a</t>
  </si>
  <si>
    <t>network may be denied when the modification itself materially and</t>
  </si>
  <si>
    <t>adversely affects the operation of the network or violates the rules and</t>
  </si>
  <si>
    <t>protocols for communication across the network.</t>
  </si>
  <si>
    <t xml:space="preserve">  Corresponding Source conveyed, and Installation Information provided,</t>
  </si>
  <si>
    <t>in accord with this section must be in a format that is publicly</t>
  </si>
  <si>
    <t>documented (and with an implementation available to the public in</t>
  </si>
  <si>
    <t>source code form), and must require no special password or key for</t>
  </si>
  <si>
    <t>unpacking, reading or copying.</t>
  </si>
  <si>
    <t xml:space="preserve">  7. Additional Terms.</t>
  </si>
  <si>
    <t xml:space="preserve">  "Additional permissions" are terms that supplement the terms of this</t>
  </si>
  <si>
    <t>License by making exceptions from one or more of its conditions.</t>
  </si>
  <si>
    <t>Additional permissions that are applicable to the entire Program shall</t>
  </si>
  <si>
    <t>be treated as though they were included in this License, to the extent</t>
  </si>
  <si>
    <t>that they are valid under applicable law.  If additional permissions</t>
  </si>
  <si>
    <t>apply only to part of the Program, that part may be used separately</t>
  </si>
  <si>
    <t>under those permissions, but the entire Program remains governed by</t>
  </si>
  <si>
    <t>this License without regard to the additional permissions.</t>
  </si>
  <si>
    <t xml:space="preserve">  When you convey a copy of a covered work, you may at your option</t>
  </si>
  <si>
    <t>remove any additional permissions from that copy, or from any part of</t>
  </si>
  <si>
    <t>it.  (Additional permissions may be written to require their own</t>
  </si>
  <si>
    <t>removal in certain cases when you modify the work.)  You may place</t>
  </si>
  <si>
    <t>additional permissions on material, added by you to a covered work,</t>
  </si>
  <si>
    <t>for which you have or can give appropriate copyright permission.</t>
  </si>
  <si>
    <t xml:space="preserve">  Notwithstanding any other provision of this License, for material you</t>
  </si>
  <si>
    <t>add to a covered work, you may (if authorized by the copyright holders of</t>
  </si>
  <si>
    <t>that material) supplement the terms of this License with terms:</t>
  </si>
  <si>
    <t xml:space="preserve">    a) Disclaiming warranty or limiting liability differently from the</t>
  </si>
  <si>
    <t xml:space="preserve">    terms of sections 15 and 16 of this License; or</t>
  </si>
  <si>
    <t xml:space="preserve">    b) Requiring preservation of specified reasonable legal notices or</t>
  </si>
  <si>
    <t xml:space="preserve">    author attributions in that material or in the Appropriate Legal</t>
  </si>
  <si>
    <t xml:space="preserve">    Notices displayed by works containing it; or</t>
  </si>
  <si>
    <t xml:space="preserve">    c) Prohibiting misrepresentation of the origin of that material, or</t>
  </si>
  <si>
    <t xml:space="preserve">    requiring that modified versions of such material be marked in</t>
  </si>
  <si>
    <t xml:space="preserve">    reasonable ways as different from the original version; or</t>
  </si>
  <si>
    <t xml:space="preserve">    d) Limiting the use for publicity purposes of names of licensors or</t>
  </si>
  <si>
    <t xml:space="preserve">    authors of the material; or</t>
  </si>
  <si>
    <t xml:space="preserve">    e) Declining to grant rights under trademark law for use of some</t>
  </si>
  <si>
    <t xml:space="preserve">    trade names, trademarks, or service marks; or</t>
  </si>
  <si>
    <t xml:space="preserve">    f) Requiring indemnification of licensors and authors of that</t>
  </si>
  <si>
    <t xml:space="preserve">    material by anyone who conveys the material (or modified versions of</t>
  </si>
  <si>
    <t xml:space="preserve">    it) with contractual assumptions of liability to the recipient, for</t>
  </si>
  <si>
    <t xml:space="preserve">    any liability that these contractual assumptions directly impose on</t>
  </si>
  <si>
    <t xml:space="preserve">    those licensors and authors.</t>
  </si>
  <si>
    <t xml:space="preserve">  All other non-permissive additional terms are considered "further</t>
  </si>
  <si>
    <t>restrictions" within the meaning of section 10.  If the Program as you</t>
  </si>
  <si>
    <t>received it, or any part of it, contains a notice stating that it is</t>
  </si>
  <si>
    <t>governed by this License along with a term that is a further</t>
  </si>
  <si>
    <t>restriction, you may remove that term.  If a license document contains</t>
  </si>
  <si>
    <t>a further restriction but permits relicensing or conveying under this</t>
  </si>
  <si>
    <t>License, you may add to a covered work material governed by the terms</t>
  </si>
  <si>
    <t>of that license document, provided that the further restriction does</t>
  </si>
  <si>
    <t>not survive such relicensing or conveying.</t>
  </si>
  <si>
    <t xml:space="preserve">  If you add terms to a covered work in accord with this section, you</t>
  </si>
  <si>
    <t>must place, in the relevant source files, a statement of the</t>
  </si>
  <si>
    <t>additional terms that apply to those files, or a notice indicating</t>
  </si>
  <si>
    <t>where to find the applicable terms.</t>
  </si>
  <si>
    <t xml:space="preserve">  Additional terms, permissive or non-permissive, may be stated in the</t>
  </si>
  <si>
    <t>form of a separately written license, or stated as exceptions;</t>
  </si>
  <si>
    <t>the above requirements apply either way.</t>
  </si>
  <si>
    <t xml:space="preserve">  8. Termination.</t>
  </si>
  <si>
    <t xml:space="preserve">  You may not propagate or modify a covered work except as expressly</t>
  </si>
  <si>
    <t>provided under this License.  Any attempt otherwise to propagate or</t>
  </si>
  <si>
    <t>modify it is void, and will automatically terminate your rights under</t>
  </si>
  <si>
    <t>this License (including any patent licenses granted under the third</t>
  </si>
  <si>
    <t>paragraph of section 11).</t>
  </si>
  <si>
    <t xml:space="preserve">  However, if you cease all violation of this License, then your</t>
  </si>
  <si>
    <t>license from a particular copyright holder is reinstated (a)</t>
  </si>
  <si>
    <t>provisionally, unless and until the copyright holder explicitly and</t>
  </si>
  <si>
    <t>finally terminates your license, and (b) permanently, if the copyright</t>
  </si>
  <si>
    <t>holder fails to notify you of the violation by some reasonable means</t>
  </si>
  <si>
    <t>prior to 60 days after the cessation.</t>
  </si>
  <si>
    <t xml:space="preserve">  Moreover, your license from a particular copyright holder is</t>
  </si>
  <si>
    <t>reinstated permanently if the copyright holder notifies you of the</t>
  </si>
  <si>
    <t>violation by some reasonable means, this is the first time you have</t>
  </si>
  <si>
    <t>received notice of violation of this License (for any work) from that</t>
  </si>
  <si>
    <t>copyright holder, and you cure the violation prior to 30 days after</t>
  </si>
  <si>
    <t>your receipt of the notice.</t>
  </si>
  <si>
    <t xml:space="preserve">  Termination of your rights under this section does not terminate the</t>
  </si>
  <si>
    <t>licenses of parties who have received copies or rights from you under</t>
  </si>
  <si>
    <t>this License.  If your rights have been terminated and not permanently</t>
  </si>
  <si>
    <t>reinstated, you do not qualify to receive new licenses for the same</t>
  </si>
  <si>
    <t>material under section 10.</t>
  </si>
  <si>
    <t xml:space="preserve">  9. Acceptance Not Required for Having Copies.</t>
  </si>
  <si>
    <t xml:space="preserve">  You are not required to accept this License in order to receive or</t>
  </si>
  <si>
    <t>run a copy of the Program.  Ancillary propagation of a covered work</t>
  </si>
  <si>
    <t>occurring solely as a consequence of using peer-to-peer transmission</t>
  </si>
  <si>
    <t>to receive a copy likewise does not require acceptance.  However,</t>
  </si>
  <si>
    <t>nothing other than this License grants you permission to propagate or</t>
  </si>
  <si>
    <t>modify any covered work.  These actions infringe copyright if you do</t>
  </si>
  <si>
    <t>not accept this License.  Therefore, by modifying or propagating a</t>
  </si>
  <si>
    <t>covered work, you indicate your acceptance of this License to do so.</t>
  </si>
  <si>
    <t xml:space="preserve">  10. Automatic Licensing of Downstream Recipients.</t>
  </si>
  <si>
    <t xml:space="preserve">  Each time you convey a covered work, the recipient automatically</t>
  </si>
  <si>
    <t>receives a license from the original licensors, to run, modify and</t>
  </si>
  <si>
    <t>propagate that work, subject to this License.  You are not responsible</t>
  </si>
  <si>
    <t>for enforcing compliance by third parties with this License.</t>
  </si>
  <si>
    <t xml:space="preserve">  An "entity transaction" is a transaction transferring control of an</t>
  </si>
  <si>
    <t>organization, or substantially all assets of one, or subdividing an</t>
  </si>
  <si>
    <t>organization, or merging organizations.  If propagation of a covered</t>
  </si>
  <si>
    <t>work results from an entity transaction, each party to that</t>
  </si>
  <si>
    <t>transaction who receives a copy of the work also receives whatever</t>
  </si>
  <si>
    <t>licenses to the work the party's predecessor in interest had or could</t>
  </si>
  <si>
    <t>give under the previous paragraph, plus a right to possession of the</t>
  </si>
  <si>
    <t>Corresponding Source of the work from the predecessor in interest, if</t>
  </si>
  <si>
    <t>the predecessor has it or can get it with reasonable efforts.</t>
  </si>
  <si>
    <t xml:space="preserve">  You may not impose any further restrictions on the exercise of the</t>
  </si>
  <si>
    <t>rights granted or affirmed under this License.  For example, you may</t>
  </si>
  <si>
    <t>not impose a license fee, royalty, or other charge for exercise of</t>
  </si>
  <si>
    <t>rights granted under this License, and you may not initiate litigation</t>
  </si>
  <si>
    <t>(including a cross-claim or counterclaim in a lawsuit) alleging that</t>
  </si>
  <si>
    <t>any patent claim is infringed by making, using, selling, offering for</t>
  </si>
  <si>
    <t>sale, or importing the Program or any portion of it.</t>
  </si>
  <si>
    <t xml:space="preserve">  11. Patents.</t>
  </si>
  <si>
    <t xml:space="preserve">  A "contributor" is a copyright holder who authorizes use under this</t>
  </si>
  <si>
    <t>License of the Program or a work on which the Program is based.  The</t>
  </si>
  <si>
    <t>work thus licensed is called the contributor's "contributor version".</t>
  </si>
  <si>
    <t xml:space="preserve">  A contributor's "essential patent claims" are all patent claims</t>
  </si>
  <si>
    <t>owned or controlled by the contributor, whether already acquired or</t>
  </si>
  <si>
    <t>hereafter acquired, that would be infringed by some manner, permitted</t>
  </si>
  <si>
    <t>by this License, of making, using, or selling its contributor version,</t>
  </si>
  <si>
    <t>but do not include claims that would be infringed only as a</t>
  </si>
  <si>
    <t>consequence of further modification of the contributor version.  For</t>
  </si>
  <si>
    <t>purposes of this definition, "control" includes the right to grant</t>
  </si>
  <si>
    <t>patent sublicenses in a manner consistent with the requirements of</t>
  </si>
  <si>
    <t>this License.</t>
  </si>
  <si>
    <t xml:space="preserve">  Each contributor grants you a non-exclusive, worldwide, royalty-free</t>
  </si>
  <si>
    <t>patent license under the contributor's essential patent claims, to</t>
  </si>
  <si>
    <t>make, use, sell, offer for sale, import and otherwise run, modify and</t>
  </si>
  <si>
    <t>propagate the contents of its contributor version.</t>
  </si>
  <si>
    <t xml:space="preserve">  In the following three paragraphs, a "patent license" is any express</t>
  </si>
  <si>
    <t>agreement or commitment, however denominated, not to enforce a patent</t>
  </si>
  <si>
    <t>(such as an express permission to practice a patent or covenant not to</t>
  </si>
  <si>
    <t>sue for patent infringement).  To "grant" such a patent license to a</t>
  </si>
  <si>
    <t>party means to make such an agreement or commitment not to enforce a</t>
  </si>
  <si>
    <t>patent against the party.</t>
  </si>
  <si>
    <t xml:space="preserve">  If you convey a covered work, knowingly relying on a patent license,</t>
  </si>
  <si>
    <t>and the Corresponding Source of the work is not available for anyone</t>
  </si>
  <si>
    <t>to copy, free of charge and under the terms of this License, through a</t>
  </si>
  <si>
    <t>publicly available network server or other readily accessible means,</t>
  </si>
  <si>
    <t>then you must either (1) cause the Corresponding Source to be so</t>
  </si>
  <si>
    <t>available, or (2) arrange to deprive yourself of the benefit of the</t>
  </si>
  <si>
    <t>patent license for this particular work, or (3) arrange, in a manner</t>
  </si>
  <si>
    <t>consistent with the requirements of this License, to extend the patent</t>
  </si>
  <si>
    <t>license to downstream recipients.  "Knowingly relying" means you have</t>
  </si>
  <si>
    <t>actual knowledge that, but for the patent license, your conveying the</t>
  </si>
  <si>
    <t>covered work in a country, or your recipient's use of the covered work</t>
  </si>
  <si>
    <t>in a country, would infringe one or more identifiable patents in that</t>
  </si>
  <si>
    <t>country that you have reason to believe are valid.</t>
  </si>
  <si>
    <t xml:space="preserve">  If, pursuant to or in connection with a single transaction or</t>
  </si>
  <si>
    <t>arrangement, you convey, or propagate by procuring conveyance of, a</t>
  </si>
  <si>
    <t>covered work, and grant a patent license to some of the parties</t>
  </si>
  <si>
    <t>receiving the covered work authorizing them to use, propagate, modify</t>
  </si>
  <si>
    <t>or convey a specific copy of the covered work, then the patent license</t>
  </si>
  <si>
    <t>you grant is automatically extended to all recipients of the covered</t>
  </si>
  <si>
    <t>work and works based on it.</t>
  </si>
  <si>
    <t xml:space="preserve">  A patent license is "discriminatory" if it does not include within</t>
  </si>
  <si>
    <t>the scope of its coverage, prohibits the exercise of, or is</t>
  </si>
  <si>
    <t>conditioned on the non-exercise of one or more of the rights that are</t>
  </si>
  <si>
    <t>specifically granted under this License.  You may not convey a covered</t>
  </si>
  <si>
    <t>work if you are a party to an arrangement with a third party that is</t>
  </si>
  <si>
    <t>in the business of distributing software, under which you make payment</t>
  </si>
  <si>
    <t>to the third party based on the extent of your activity of conveying</t>
  </si>
  <si>
    <t>the work, and under which the third party grants, to any of the</t>
  </si>
  <si>
    <t>parties who would receive the covered work from you, a discriminatory</t>
  </si>
  <si>
    <t>patent license (a) in connection with copies of the covered work</t>
  </si>
  <si>
    <t>conveyed by you (or copies made from those copies), or (b) primarily</t>
  </si>
  <si>
    <t>for and in connection with specific products or compilations that</t>
  </si>
  <si>
    <t>contain the covered work, unless you entered into that arrangement,</t>
  </si>
  <si>
    <t>or that patent license was granted, prior to 28 March 2007.</t>
  </si>
  <si>
    <t xml:space="preserve">  Nothing in this License shall be construed as excluding or limiting</t>
  </si>
  <si>
    <t>any implied license or other defenses to infringement that may</t>
  </si>
  <si>
    <t>otherwise be available to you under applicable patent law.</t>
  </si>
  <si>
    <t xml:space="preserve">  12. No Surrender of Others' Freedom.</t>
  </si>
  <si>
    <t xml:space="preserve">  If conditions are imposed on you (whether by court order, agreement or</t>
  </si>
  <si>
    <t>otherwise) that contradict the conditions of this License, they do not</t>
  </si>
  <si>
    <t>excuse you from the conditions of this License.  If you cannot convey a</t>
  </si>
  <si>
    <t>covered work so as to satisfy simultaneously your obligations under this</t>
  </si>
  <si>
    <t>License and any other pertinent obligations, then as a consequence you may</t>
  </si>
  <si>
    <t>not convey it at all.  For example, if you agree to terms that obligate you</t>
  </si>
  <si>
    <t>to collect a royalty for further conveying from those to whom you convey</t>
  </si>
  <si>
    <t>the Program, the only way you could satisfy both those terms and this</t>
  </si>
  <si>
    <t>License would be to refrain entirely from conveying the Program.</t>
  </si>
  <si>
    <t xml:space="preserve">  13. Remote Network Interaction; Use with the GNU General Public License.</t>
  </si>
  <si>
    <t xml:space="preserve">  Notwithstanding any other provision of this License, if you modify the</t>
  </si>
  <si>
    <t>Program, your modified version must prominently offer all users</t>
  </si>
  <si>
    <t>interacting with it remotely through a computer network (if your version</t>
  </si>
  <si>
    <t>supports such interaction) an opportunity to receive the Corresponding</t>
  </si>
  <si>
    <t>Source of your version by providing access to the Corresponding Source</t>
  </si>
  <si>
    <t>from a network server at no charge, through some standard or customary</t>
  </si>
  <si>
    <t>means of facilitating copying of software.  This Corresponding Source</t>
  </si>
  <si>
    <t>shall include the Corresponding Source for any work covered by version 3</t>
  </si>
  <si>
    <t>of the GNU General Public License that is incorporated pursuant to the</t>
  </si>
  <si>
    <t>following paragraph.</t>
  </si>
  <si>
    <t xml:space="preserve">  Notwithstanding any other provision of this License, you have</t>
  </si>
  <si>
    <t>permission to link or combine any covered work with a work licensed</t>
  </si>
  <si>
    <t>under version 3 of the GNU General Public License into a single</t>
  </si>
  <si>
    <t>combined work, and to convey the resulting work.  The terms of this</t>
  </si>
  <si>
    <t>License will continue to apply to the part which is the covered work,</t>
  </si>
  <si>
    <t>but the work with which it is combined will remain governed by version</t>
  </si>
  <si>
    <t>3 of the GNU General Public License.</t>
  </si>
  <si>
    <t xml:space="preserve">  14. Revised Versions of this License.</t>
  </si>
  <si>
    <t xml:space="preserve">  The Free Software Foundation may publish revised and/or new versions of</t>
  </si>
  <si>
    <t>the GNU Affero General Public License from time to time.  Such new versions</t>
  </si>
  <si>
    <t>will be similar in spirit to the present version, but may differ in detail to</t>
  </si>
  <si>
    <t>address new problems or concerns.</t>
  </si>
  <si>
    <t xml:space="preserve">  Each version is given a distinguishing version number.  If the</t>
  </si>
  <si>
    <t>Program specifies that a certain numbered version of the GNU Affero General</t>
  </si>
  <si>
    <t>Public License "or any later version" applies to it, you have the</t>
  </si>
  <si>
    <t>option of following the terms and conditions either of that numbered</t>
  </si>
  <si>
    <t>version or of any later version published by the Free Software</t>
  </si>
  <si>
    <t>Foundation.  If the Program does not specify a version number of the</t>
  </si>
  <si>
    <t>GNU Affero General Public License, you may choose any version ever published</t>
  </si>
  <si>
    <t>by the Free Software Foundation.</t>
  </si>
  <si>
    <t xml:space="preserve">  If the Program specifies that a proxy can decide which future</t>
  </si>
  <si>
    <t>versions of the GNU Affero General Public License can be used, that proxy's</t>
  </si>
  <si>
    <t>public statement of acceptance of a version permanently authorizes you</t>
  </si>
  <si>
    <t>to choose that version for the Program.</t>
  </si>
  <si>
    <t xml:space="preserve">  Later license versions may give you additional or different</t>
  </si>
  <si>
    <t>permissions.  However, no additional obligations are imposed on any</t>
  </si>
  <si>
    <t>author or copyright holder as a result of your choosing to follow a</t>
  </si>
  <si>
    <t>later version.</t>
  </si>
  <si>
    <t xml:space="preserve">  15. Disclaimer of Warranty.</t>
  </si>
  <si>
    <t xml:space="preserve">  THERE IS NO WARRANTY FOR THE PROGRAM, TO THE EXTENT PERMITTED BY</t>
  </si>
  <si>
    <t>APPLICABLE LAW.  EXCEPT WHEN OTHERWISE STATED IN WRITING THE COPYRIGHT</t>
  </si>
  <si>
    <t>HOLDERS AND/OR OTHER PARTIES PROVIDE THE PROGRAM "AS IS" WITHOUT WARRANTY</t>
  </si>
  <si>
    <t>OF ANY KIND, EITHER EXPRESSED OR IMPLIED, INCLUDING, BUT NOT LIMITED TO,</t>
  </si>
  <si>
    <t>THE IMPLIED WARRANTIES OF MERCHANTABILITY AND FITNESS FOR A PARTICULAR</t>
  </si>
  <si>
    <t>PURPOSE.  THE ENTIRE RISK AS TO THE QUALITY AND PERFORMANCE OF THE PROGRAM</t>
  </si>
  <si>
    <t>IS WITH YOU.  SHOULD THE PROGRAM PROVE DEFECTIVE, YOU ASSUME THE COST OF</t>
  </si>
  <si>
    <t>ALL NECESSARY SERVICING, REPAIR OR CORRECTION.</t>
  </si>
  <si>
    <t xml:space="preserve">  16. Limitation of Liability.</t>
  </si>
  <si>
    <t xml:space="preserve">  IN NO EVENT UNLESS REQUIRED BY APPLICABLE LAW OR AGREED TO IN WRITING</t>
  </si>
  <si>
    <t>WILL ANY COPYRIGHT HOLDER, OR ANY OTHER PARTY WHO MODIFIES AND/OR CONVEYS</t>
  </si>
  <si>
    <t>THE PROGRAM AS PERMITTED ABOVE, BE LIABLE TO YOU FOR DAMAGES, INCLUDING ANY</t>
  </si>
  <si>
    <t>GENERAL, SPECIAL, INCIDENTAL OR CONSEQUENTIAL DAMAGES ARISING OUT OF THE</t>
  </si>
  <si>
    <t>USE OR INABILITY TO USE THE PROGRAM (INCLUDING BUT NOT LIMITED TO LOSS OF</t>
  </si>
  <si>
    <t>DATA OR DATA BEING RENDERED INACCURATE OR LOSSES SUSTAINED BY YOU OR THIRD</t>
  </si>
  <si>
    <t>PARTIES OR A FAILURE OF THE PROGRAM TO OPERATE WITH ANY OTHER PROGRAMS),</t>
  </si>
  <si>
    <t>EVEN IF SUCH HOLDER OR OTHER PARTY HAS BEEN ADVISED OF THE POSSIBILITY OF</t>
  </si>
  <si>
    <t>SUCH DAMAGES.</t>
  </si>
  <si>
    <t xml:space="preserve">  17. Interpretation of Sections 15 and 16.</t>
  </si>
  <si>
    <t xml:space="preserve">  If the disclaimer of warranty and limitation of liability provided</t>
  </si>
  <si>
    <t>above cannot be given local legal effect according to their terms,</t>
  </si>
  <si>
    <t>reviewing courts shall apply local law that most closely approximates</t>
  </si>
  <si>
    <t>an absolute waiver of all civil liability in connection with the</t>
  </si>
  <si>
    <t>Program, unless a warranty or assumption of liability accompanies a</t>
  </si>
  <si>
    <t>copy of the Program in return for a fee.</t>
  </si>
  <si>
    <t xml:space="preserve">                     END OF TERMS AND CONDITIONS</t>
  </si>
  <si>
    <t xml:space="preserve">            How to Apply These Terms to Your New Programs</t>
  </si>
  <si>
    <t xml:space="preserve">  If you develop a new program, and you want it to be of the greatest</t>
  </si>
  <si>
    <t>possible use to the public, the best way to achieve this is to make it</t>
  </si>
  <si>
    <t>free software which everyone can redistribute and change under these terms.</t>
  </si>
  <si>
    <t xml:space="preserve">  To do so, attach the following notices to the program.  It is safest</t>
  </si>
  <si>
    <t>to attach them to the start of each source file to most effectively</t>
  </si>
  <si>
    <t>state the exclusion of warranty; and each file should have at least</t>
  </si>
  <si>
    <t>the "copyright" line and a pointer to where the full notice is found.</t>
  </si>
  <si>
    <t xml:space="preserve">    &lt;one line to give the program's name and a brief idea of what it does.&gt;</t>
  </si>
  <si>
    <t xml:space="preserve">    Copyright (C) &lt;year&gt;  &lt;name of author&gt;</t>
  </si>
  <si>
    <t>Also add information on how to contact you by electronic and paper mail.</t>
  </si>
  <si>
    <t xml:space="preserve">  If your software can interact with users remotely through a computer</t>
  </si>
  <si>
    <t>network, you should also make sure that it provides a way for users to</t>
  </si>
  <si>
    <t>get its source.  For example, if your program is a web application, its</t>
  </si>
  <si>
    <t>interface could display a "Source" link that leads users to an archive</t>
  </si>
  <si>
    <t>of the code.  There are many ways you could offer source, and different</t>
  </si>
  <si>
    <t>solutions will be better for different programs; see section 13 for the</t>
  </si>
  <si>
    <t>specific requirements.</t>
  </si>
  <si>
    <t xml:space="preserve">  You should also get your employer (if you work as a programmer) or school,</t>
  </si>
  <si>
    <t>if any, to sign a "copyright disclaimer" for the program, if necessary.</t>
  </si>
  <si>
    <t>For more information on this, and how to apply and follow the GNU AGPL, see</t>
  </si>
  <si>
    <t>&lt;http://www.gnu.org/licenses/&gt;.</t>
  </si>
  <si>
    <t>Rent:</t>
  </si>
  <si>
    <t>Utilities:</t>
  </si>
  <si>
    <t>Renter's Insurance:</t>
  </si>
  <si>
    <t>Internet, Cable, Phone:</t>
  </si>
  <si>
    <t xml:space="preserve"> Food and Entertainment:</t>
  </si>
  <si>
    <t>Auto and Transportation:</t>
  </si>
  <si>
    <t>Clothing:</t>
  </si>
  <si>
    <t>Home Maintenance:</t>
  </si>
  <si>
    <t>Auto Insurance:</t>
  </si>
  <si>
    <t>Vacation and Travel:</t>
  </si>
  <si>
    <t>Real Estate Tax:</t>
  </si>
  <si>
    <t>Home Insurance:</t>
  </si>
  <si>
    <t>Expenses</t>
  </si>
  <si>
    <t>Surplus or Deficit</t>
  </si>
  <si>
    <t>Life Insurance:</t>
  </si>
  <si>
    <t>Charitable Donations:</t>
  </si>
  <si>
    <t>Health Care:</t>
  </si>
  <si>
    <t>Additional Retirement Income:</t>
  </si>
  <si>
    <t>Self-Employment Expenses:</t>
  </si>
  <si>
    <t>Dependent Care:</t>
  </si>
  <si>
    <t>Passive Income:</t>
  </si>
  <si>
    <t>Tax Deductible</t>
  </si>
  <si>
    <t>RN</t>
  </si>
  <si>
    <t>RO</t>
  </si>
  <si>
    <t>Exempt</t>
  </si>
  <si>
    <t>No</t>
  </si>
  <si>
    <t>Surplus or Deficit:</t>
  </si>
  <si>
    <t>Interest on Debt:</t>
  </si>
  <si>
    <t>Present and Future Living Expenses</t>
  </si>
  <si>
    <t>Pre-FICA Deductions 1:</t>
  </si>
  <si>
    <t>Pre-FICA Deductions 2:</t>
  </si>
  <si>
    <t>Match</t>
  </si>
  <si>
    <t>Deductions</t>
  </si>
  <si>
    <t>/year</t>
  </si>
  <si>
    <t>Monthly Expenses (Real Dollars)</t>
  </si>
  <si>
    <t>Other Appreciating Assets:</t>
  </si>
  <si>
    <t>Epoch Year:</t>
  </si>
  <si>
    <t>Additional Discretionary:</t>
  </si>
  <si>
    <t>Passive Income</t>
  </si>
  <si>
    <t>Marital Status:</t>
  </si>
  <si>
    <t>Tax Index:</t>
  </si>
  <si>
    <t>Self-Employment Retirement Plans</t>
  </si>
  <si>
    <t>Company Match:</t>
  </si>
  <si>
    <t>Before-Tax Balance:</t>
  </si>
  <si>
    <t>After-Tax Balance:</t>
  </si>
  <si>
    <t>Before-Tax Contribution (Traditional IRA):</t>
  </si>
  <si>
    <t>After-Tax Contribution (Roth IRA):</t>
  </si>
  <si>
    <t>Individual Retirement Plans</t>
  </si>
  <si>
    <t>Qualified Distribution Age:</t>
  </si>
  <si>
    <t>After-Tax Cost Basis:</t>
  </si>
  <si>
    <t>Social Security Indexing</t>
  </si>
  <si>
    <t>Medicare Wages</t>
  </si>
  <si>
    <t>Social Security Wages</t>
  </si>
  <si>
    <t>Base Year IDX</t>
  </si>
  <si>
    <t>Work Credits</t>
  </si>
  <si>
    <t>AIME</t>
  </si>
  <si>
    <t>COLA IDX</t>
  </si>
  <si>
    <t>RI</t>
  </si>
  <si>
    <t>Pre-FICA Deductions</t>
  </si>
  <si>
    <t>Before-Tax Contribution (Spousal IRA):</t>
  </si>
  <si>
    <t>Dependents:</t>
  </si>
  <si>
    <t>Medicare Wages SE</t>
  </si>
  <si>
    <t>Social Security Wages SE</t>
  </si>
  <si>
    <t>Traditional IRA</t>
  </si>
  <si>
    <t>Roth IRA</t>
  </si>
  <si>
    <t>Before-Tax Balance</t>
  </si>
  <si>
    <t>After-Tax Balance</t>
  </si>
  <si>
    <t>Total Income Taxes</t>
  </si>
  <si>
    <t>Social Security Income</t>
  </si>
  <si>
    <t>Taxable Capital Income</t>
  </si>
  <si>
    <t>Non-Taxable Capital Income</t>
  </si>
  <si>
    <t>Annual Cash Flow</t>
  </si>
  <si>
    <t>Long Term Capital Gains</t>
  </si>
  <si>
    <t>Short Term Capital Gains</t>
  </si>
  <si>
    <t>Employer Income</t>
  </si>
  <si>
    <t>TN</t>
  </si>
  <si>
    <t>Core Account</t>
  </si>
  <si>
    <t>Core (Non-Retirement) Account Balance:</t>
  </si>
  <si>
    <t>Capital Income</t>
  </si>
  <si>
    <t>FICA/Fed/State:1</t>
  </si>
  <si>
    <t>Fed/State:1</t>
  </si>
  <si>
    <t>Gross Taxable Income</t>
  </si>
  <si>
    <t>Taxable SS Income</t>
  </si>
  <si>
    <t>Household</t>
  </si>
  <si>
    <t>Individual</t>
  </si>
  <si>
    <t>Misc</t>
  </si>
  <si>
    <t>Additional Retirement Income</t>
  </si>
  <si>
    <t>Non-Deductible IRA Contrib</t>
  </si>
  <si>
    <t>Deductible IRA Contrib</t>
  </si>
  <si>
    <t>Deductible Expenses 1:</t>
  </si>
  <si>
    <t>Deductible Expenses 2:</t>
  </si>
  <si>
    <t>Effective Tax Rate</t>
  </si>
  <si>
    <t>IRA Contrib</t>
  </si>
  <si>
    <t>Taxable Passive Income</t>
  </si>
  <si>
    <t>Taxable Active Income</t>
  </si>
  <si>
    <t>Active Income</t>
  </si>
  <si>
    <t>Active Income:</t>
  </si>
  <si>
    <t>Social Security Income:</t>
  </si>
  <si>
    <t>Average Monthly Cash Flow (Real Dollars)</t>
  </si>
  <si>
    <t>Gross Income Excluding Capital Income:</t>
  </si>
  <si>
    <t>A</t>
  </si>
  <si>
    <t>Code:</t>
  </si>
  <si>
    <t>D</t>
  </si>
  <si>
    <t>Income Taxes:</t>
  </si>
  <si>
    <t>Total Living Expenses:</t>
  </si>
  <si>
    <t>Expenses:</t>
  </si>
  <si>
    <t>Fully Ins Status</t>
  </si>
  <si>
    <t>$</t>
  </si>
  <si>
    <t>N</t>
  </si>
  <si>
    <t>Cost Basis</t>
  </si>
  <si>
    <t>YIW</t>
  </si>
  <si>
    <t>View Mode:</t>
  </si>
  <si>
    <t>Show:</t>
  </si>
  <si>
    <t>Shadow</t>
  </si>
  <si>
    <t>Prorated</t>
  </si>
  <si>
    <t>Deductible Mort Expenses 1</t>
  </si>
  <si>
    <t>Deductible Mort Expenses 2</t>
  </si>
  <si>
    <t>Total Mort Expenses</t>
  </si>
  <si>
    <t>Default</t>
  </si>
  <si>
    <t>Shadow AP</t>
  </si>
  <si>
    <t>Shadow DP</t>
  </si>
  <si>
    <t>Shadow TD</t>
  </si>
  <si>
    <t>Default TD</t>
  </si>
  <si>
    <t>years</t>
  </si>
  <si>
    <t>Origination Date:</t>
  </si>
  <si>
    <t>Original Balance:</t>
  </si>
  <si>
    <t>Term:</t>
  </si>
  <si>
    <t>Maximum Forecast Years:</t>
  </si>
  <si>
    <t>Current Date Prorate:</t>
  </si>
  <si>
    <t>Cost Basis:</t>
  </si>
  <si>
    <t>SEP/SIMPLE/Solo 401(k)</t>
  </si>
  <si>
    <t>Roth Solo 401(k)</t>
  </si>
  <si>
    <t>Before-Tax Contribution (SEP/SIMPLE/Solo 401(k)):</t>
  </si>
  <si>
    <t>After-Tax Contribution (Roth Solo 401(k)):</t>
  </si>
  <si>
    <t>Version Major:</t>
  </si>
  <si>
    <t>Minor:</t>
  </si>
  <si>
    <t>Retirement Date:</t>
  </si>
  <si>
    <t>Home and Mortgage</t>
  </si>
  <si>
    <t>Debt Interest</t>
  </si>
  <si>
    <t>Default Tags</t>
  </si>
  <si>
    <t>Miscellaneous 1:</t>
  </si>
  <si>
    <t>Miscellaneous 2:</t>
  </si>
  <si>
    <t>Miscellaneous 3:</t>
  </si>
  <si>
    <t>Miscellaneous 4:</t>
  </si>
  <si>
    <t>Miscellaneous 5:</t>
  </si>
  <si>
    <t>Mortgage Payment:</t>
  </si>
  <si>
    <t>Tax Factor</t>
  </si>
  <si>
    <t>Savings Goal</t>
  </si>
  <si>
    <t>Data Mode:</t>
  </si>
  <si>
    <t>Target Gross Income</t>
  </si>
  <si>
    <t>Target Savings Drawdown</t>
  </si>
  <si>
    <t>Start Work Age:</t>
  </si>
  <si>
    <t>DB Pension</t>
  </si>
  <si>
    <t>Extra Payment:</t>
  </si>
  <si>
    <t>Extra Payment</t>
  </si>
  <si>
    <t>Principal Payment:</t>
  </si>
  <si>
    <t>Interest Payment:</t>
  </si>
  <si>
    <t>Life Expectancy:</t>
  </si>
  <si>
    <t>Detailed Household Profile</t>
  </si>
  <si>
    <t>Detailed Individual Profile(s)</t>
  </si>
  <si>
    <t>Wage Inflation (AWI)</t>
  </si>
  <si>
    <t>CP Inflation (CPI-W)</t>
  </si>
  <si>
    <t>Employer Income / Retirement Plans:</t>
  </si>
  <si>
    <t>Self-Employment Income / Retirement Plans:</t>
  </si>
  <si>
    <t>Passive Income / Individual Retirement Plans:</t>
  </si>
  <si>
    <t>Home / Mortgage:</t>
  </si>
  <si>
    <t>Social Security Retirement Insurance Benefits:</t>
  </si>
  <si>
    <t>Simulation Parameters</t>
  </si>
  <si>
    <t>Initials (Yourself):</t>
  </si>
  <si>
    <t>Initials (Spouse):</t>
  </si>
  <si>
    <t>of Employer Income</t>
  </si>
  <si>
    <t>of Self-Employment Income</t>
  </si>
  <si>
    <t>+ Wage Inflation</t>
  </si>
  <si>
    <t>of FAE</t>
  </si>
  <si>
    <t>+ Price Inflation</t>
  </si>
  <si>
    <t>DB Pension Final Average Earnings (FAE) Years Used:</t>
  </si>
  <si>
    <t>Defined Benefit (DB) Pension Start Work Date:</t>
  </si>
  <si>
    <t>DB Pension Benefit Percentage:</t>
  </si>
  <si>
    <t>Error Message</t>
  </si>
  <si>
    <t>EOF</t>
  </si>
  <si>
    <t>Date is in the past</t>
  </si>
  <si>
    <t>Invalid filing age</t>
  </si>
  <si>
    <t>Only one auxiliary filing allowed</t>
  </si>
  <si>
    <t>No filing age provided</t>
  </si>
  <si>
    <t>Current Employer Income:</t>
  </si>
  <si>
    <t>Current Self-Employment Income:</t>
  </si>
  <si>
    <t>Current Passive Income:</t>
  </si>
  <si>
    <t>Stop Year:</t>
  </si>
  <si>
    <t>Current Year:</t>
  </si>
  <si>
    <t>Balance</t>
  </si>
  <si>
    <t>Adjusted Date:</t>
  </si>
  <si>
    <t>Error evaluating formula</t>
  </si>
  <si>
    <t>+/-</t>
  </si>
  <si>
    <t>CDW</t>
  </si>
  <si>
    <t>OFF</t>
  </si>
  <si>
    <t>Adjust to system date:</t>
  </si>
  <si>
    <t>Current Date:</t>
  </si>
  <si>
    <t>IDXR</t>
  </si>
  <si>
    <t>IDXN</t>
  </si>
  <si>
    <t>Default Annual Increase:</t>
  </si>
  <si>
    <t>months</t>
  </si>
  <si>
    <t>Standard Deduction Amounts</t>
  </si>
  <si>
    <t>Wage Inflation Multiplier</t>
  </si>
  <si>
    <t>Basic</t>
  </si>
  <si>
    <t>Parameter Mode:</t>
  </si>
  <si>
    <t>Term needed (12 months or more)</t>
  </si>
  <si>
    <t>FLT</t>
  </si>
  <si>
    <t>Average Future Tax Rate</t>
  </si>
  <si>
    <t>Annual Return Stocks</t>
  </si>
  <si>
    <t>Annual Return Bonds</t>
  </si>
  <si>
    <t>Default Annual Return on Stocks:</t>
  </si>
  <si>
    <t>Investment Strategy:</t>
  </si>
  <si>
    <t>Cash</t>
  </si>
  <si>
    <t>Aggressive</t>
  </si>
  <si>
    <t>Moderate</t>
  </si>
  <si>
    <t>Conservative</t>
  </si>
  <si>
    <t>QDI Percentage</t>
  </si>
  <si>
    <t>Investment Strategies</t>
  </si>
  <si>
    <t>Name</t>
  </si>
  <si>
    <t>Rate of Return</t>
  </si>
  <si>
    <t>Years to Retirement</t>
  </si>
  <si>
    <t>Stocks</t>
  </si>
  <si>
    <t>Bonds</t>
  </si>
  <si>
    <t>Dynamic</t>
  </si>
  <si>
    <t>Target Date Fund</t>
  </si>
  <si>
    <t>Moderately Conservative</t>
  </si>
  <si>
    <t>Moderately Aggressive</t>
  </si>
  <si>
    <t>Moderate Growth</t>
  </si>
  <si>
    <t>Bond Yield</t>
  </si>
  <si>
    <t>Default Bond Yield:</t>
  </si>
  <si>
    <t>Enter a valid date</t>
  </si>
  <si>
    <t>Enter a valid percentage</t>
  </si>
  <si>
    <t>Enter a valid number</t>
  </si>
  <si>
    <t>Enter a valid number not equal to zero</t>
  </si>
  <si>
    <t>Enter a valid percentage greater than zero</t>
  </si>
  <si>
    <t>Exact age</t>
  </si>
  <si>
    <t>Maximum Extended Forecast Years:</t>
  </si>
  <si>
    <t>Guaranteed Term:</t>
  </si>
  <si>
    <t>Annuity</t>
  </si>
  <si>
    <t>Payment Terms:</t>
  </si>
  <si>
    <t>Payment Rate:</t>
  </si>
  <si>
    <t>Survivor Benefit:</t>
  </si>
  <si>
    <t>Life</t>
  </si>
  <si>
    <t>Fixed</t>
  </si>
  <si>
    <t>Balance:</t>
  </si>
  <si>
    <t>After-Tax Contribution:</t>
  </si>
  <si>
    <t>P(1)</t>
  </si>
  <si>
    <t>P(2)</t>
  </si>
  <si>
    <t>Participation Rate:</t>
  </si>
  <si>
    <t>Withdrawal</t>
  </si>
  <si>
    <t>Deposit</t>
  </si>
  <si>
    <t>Deferral Period</t>
  </si>
  <si>
    <t>Guar Term</t>
  </si>
  <si>
    <t>Variable ROR</t>
  </si>
  <si>
    <t>Fixed ROR</t>
  </si>
  <si>
    <t>Rollover</t>
  </si>
  <si>
    <t>Annuity Contrib</t>
  </si>
  <si>
    <t>Taxable Annuity Income</t>
  </si>
  <si>
    <t>Non-Taxable Annuity Income</t>
  </si>
  <si>
    <t>Annuity Income</t>
  </si>
  <si>
    <t>Savings Contrib</t>
  </si>
  <si>
    <t>Savings Contributions:</t>
  </si>
  <si>
    <t>Enter a number greater than zero</t>
  </si>
  <si>
    <t>AFF</t>
  </si>
  <si>
    <t>AFV</t>
  </si>
  <si>
    <t>DFF</t>
  </si>
  <si>
    <t>DFV</t>
  </si>
  <si>
    <t>AIR</t>
  </si>
  <si>
    <t>Payment Prorate:</t>
  </si>
  <si>
    <t>Rate Ceiling:</t>
  </si>
  <si>
    <t>Rate Floor:</t>
  </si>
  <si>
    <t>Spread Fee:</t>
  </si>
  <si>
    <t>PYW</t>
  </si>
  <si>
    <t>DFI</t>
  </si>
  <si>
    <t>AIRI</t>
  </si>
  <si>
    <t>AFI</t>
  </si>
  <si>
    <t>Inflation Adjusted:</t>
  </si>
  <si>
    <t>Weight</t>
  </si>
  <si>
    <t>Nominal Rate of Return:</t>
  </si>
  <si>
    <t>DB Pension Payout Option:</t>
  </si>
  <si>
    <t>Core Account Rollover</t>
  </si>
  <si>
    <t>Annuity Rollover</t>
  </si>
  <si>
    <t>Payout</t>
  </si>
  <si>
    <t>Spouse Deposit</t>
  </si>
  <si>
    <t>State, Local, and Foreign Income Taxes:</t>
  </si>
  <si>
    <t>None</t>
  </si>
  <si>
    <t>Quadratic Coeff</t>
  </si>
  <si>
    <t>Linear Coeff</t>
  </si>
  <si>
    <t>Constant</t>
  </si>
  <si>
    <t>Independent Variable</t>
  </si>
  <si>
    <t>SS Taxable</t>
  </si>
  <si>
    <t>Principal Balance</t>
  </si>
  <si>
    <t>Principal Payment</t>
  </si>
  <si>
    <t>Interest Payment</t>
  </si>
  <si>
    <t>Home Equity</t>
  </si>
  <si>
    <t>Nper</t>
  </si>
  <si>
    <t>Payments</t>
  </si>
  <si>
    <t>Arkansas</t>
  </si>
  <si>
    <t>Alabama</t>
  </si>
  <si>
    <t>Alaska</t>
  </si>
  <si>
    <t>Arizona</t>
  </si>
  <si>
    <t>California</t>
  </si>
  <si>
    <t>Colorado</t>
  </si>
  <si>
    <t>Connecticut</t>
  </si>
  <si>
    <t>Delaware</t>
  </si>
  <si>
    <t>Florida</t>
  </si>
  <si>
    <t>Georgia</t>
  </si>
  <si>
    <t>Hawaii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</si>
  <si>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</si>
  <si>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</si>
  <si>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</si>
  <si>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</si>
  <si>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</si>
  <si>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</si>
  <si>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</si>
  <si>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</si>
  <si>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</si>
  <si>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</si>
  <si>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</si>
  <si>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</si>
  <si>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</si>
  <si>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</si>
  <si>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</si>
  <si>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</si>
  <si>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</si>
  <si>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</si>
  <si>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</si>
  <si>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</si>
  <si>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</si>
  <si>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</si>
  <si>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</si>
  <si>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</si>
  <si>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</si>
  <si>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</si>
  <si>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Pennsylvania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</si>
  <si>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</si>
  <si>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</si>
  <si>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</si>
  <si>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</si>
  <si>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</si>
  <si>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</si>
  <si>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</si>
  <si>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</si>
  <si>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Washington</t>
  </si>
  <si>
    <t>West Virginia</t>
  </si>
  <si>
    <t>Wisconsin</t>
  </si>
  <si>
    <t>Wyoming</t>
  </si>
  <si>
    <t>District of Columbia</t>
  </si>
  <si>
    <t>Effective Property Tax Rate</t>
  </si>
  <si>
    <t>No parameter provided</t>
  </si>
  <si>
    <t>Enable macros to begin the setup process.</t>
  </si>
  <si>
    <t>Home Value</t>
  </si>
  <si>
    <t>Number outside of expected range</t>
  </si>
  <si>
    <t>Origination Date</t>
  </si>
  <si>
    <t>Adj Nper</t>
  </si>
  <si>
    <t>Date is out of range</t>
  </si>
  <si>
    <t>Default AP</t>
  </si>
  <si>
    <t>Long-Term Care / Disability Insurance:</t>
  </si>
  <si>
    <t>Male Death Probability</t>
  </si>
  <si>
    <t>Male Life Expectancy</t>
  </si>
  <si>
    <t>Female Death Probability</t>
  </si>
  <si>
    <t>Female Life Expectancy</t>
  </si>
  <si>
    <t>Social Security 2015 Period Life Table</t>
  </si>
  <si>
    <t>Male Life Probability</t>
  </si>
  <si>
    <t>Female Life Probability</t>
  </si>
  <si>
    <t>Principal Limit Factor:</t>
  </si>
  <si>
    <t>HECM</t>
  </si>
  <si>
    <t>Interest</t>
  </si>
  <si>
    <t>Lump Sum</t>
  </si>
  <si>
    <t>FHFA Max Conforming Loan Limit:</t>
  </si>
  <si>
    <t>https://www.retireator.org</t>
  </si>
  <si>
    <t>Before-Tax Contribution (401(k)/403(b)/TSP):</t>
  </si>
  <si>
    <t>After-Tax Contribution (Roth 401(k)/403(b)/TSP):</t>
  </si>
  <si>
    <t>401(k)/403(b)/TSP</t>
  </si>
  <si>
    <t>Roth 401(k)/403(b)/TSP</t>
  </si>
  <si>
    <t>Age LE</t>
  </si>
  <si>
    <t>Auxiliary/Survivor Benefits Filing Age:</t>
  </si>
  <si>
    <t>Surviving Age:</t>
  </si>
  <si>
    <t>SBW</t>
  </si>
  <si>
    <t>Maximum Primary Benefit</t>
  </si>
  <si>
    <t>Maximum Auxiliary Benefit</t>
  </si>
  <si>
    <t>Maximum Survivor Benefit</t>
  </si>
  <si>
    <t>PBW
∩
SBW</t>
  </si>
  <si>
    <t>Surplus</t>
  </si>
  <si>
    <t xml:space="preserve">         </t>
  </si>
  <si>
    <t>Dually Entitled Age:</t>
  </si>
  <si>
    <t>Present Value</t>
  </si>
  <si>
    <t>Social Security Retirement Insurance Benefits (Monthly)</t>
  </si>
  <si>
    <t>Portfolio Before-Tax Balance</t>
  </si>
  <si>
    <t>Portfolio After-Tax Balance</t>
  </si>
  <si>
    <t>Household Net Worth</t>
  </si>
  <si>
    <t>Portfolio Present Value</t>
  </si>
  <si>
    <t>Annuity Present Value</t>
  </si>
  <si>
    <t>Annuity Before-Tax Balance</t>
  </si>
  <si>
    <t>Annuity After-Tax Balance</t>
  </si>
  <si>
    <t>Other Present Value</t>
  </si>
  <si>
    <t>SSRIB  Present Value</t>
  </si>
  <si>
    <t>Net Worth</t>
  </si>
  <si>
    <t>Realtor Fees:</t>
  </si>
  <si>
    <t>Amount</t>
  </si>
  <si>
    <t>Shadow Year</t>
  </si>
  <si>
    <t>Shadow Amount</t>
  </si>
  <si>
    <t>Default Year</t>
  </si>
  <si>
    <t>Default Amount</t>
  </si>
  <si>
    <t>Lump Sum 1:</t>
  </si>
  <si>
    <t>Lump Sum 2:</t>
  </si>
  <si>
    <t>Lump Sum 3:</t>
  </si>
  <si>
    <t>Lump Sum 4:</t>
  </si>
  <si>
    <t>Lump Sum 5:</t>
  </si>
  <si>
    <t>One-Time Lump Sum Changes (Real Dollars)</t>
  </si>
  <si>
    <t>Lump Sums</t>
  </si>
  <si>
    <t>Currency Mode:</t>
  </si>
  <si>
    <t>Nominal</t>
  </si>
  <si>
    <t>Income Taxes</t>
  </si>
  <si>
    <t>Copyright© 2015-2022 Larry Blumer, Jr.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</si>
</sst>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6" formatCode="&quot;$&quot;#,##0_);[Red]\(&quot;$&quot;#,##0\)"/>
    <numFmt numFmtId="164" formatCode="&quot;$&quot;#,##0.00"/>
    <numFmt numFmtId="165" formatCode="&quot;$&quot;#,##0"/>
    <numFmt numFmtId="166" formatCode="0.0"/>
    <numFmt numFmtId="167" formatCode="\+0.00;\-0.00;0.00"/>
    <numFmt numFmtId="168" formatCode="#,##0.0000"/>
    <numFmt numFmtId="169" formatCode="0.000%"/>
    <numFmt numFmtId="170" formatCode="#,##0.0"/>
    <numFmt numFmtId="171" formatCode="0.0000"/>
    <numFmt numFmtId="172" formatCode="0.000"/>
    <numFmt numFmtId="173" formatCode="0.00_);\(0.00\)"/>
    <numFmt numFmtId="174" formatCode="0.0%"/>
    <numFmt numFmtId="175" formatCode="mmm\ yyyy;;"/>
  </numFmts>
  <fonts count="16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theme="1"/>
      <name val="Calibri"/>
      <family val="2"/>
      <scheme val="minor"/>
    </font>
    <font>
      <sz val="10.5"/>
      <color theme="1"/>
      <name val="Courier New"/>
      <family val="3"/>
    </font>
    <font>
      <u/>
      <sz val="11"/>
      <color theme="10"/>
      <name val="Calibri"/>
      <family val="2"/>
      <scheme val="minor"/>
    </font>
    <font>
      <sz val="11"/>
      <color rgb="FF5C5855"/>
      <name val="Consolas"/>
      <family val="3"/>
    </font>
    <font>
      <b/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i/>
      <sz val="11"/>
      <color rgb="FF000000"/>
      <name val="Calibri"/>
      <family val="2"/>
      <scheme val="minor"/>
    </font>
    <font>
      <sz val="11"/>
      <color rgb="FFFFFFFF"/>
      <name val="Calibri"/>
      <family val="2"/>
      <scheme val="minor"/>
    </font>
    <font>
      <sz val="11"/>
      <color rgb="FF3F3F3F"/>
      <name val="Calibri"/>
      <family val="2"/>
      <scheme val="minor"/>
    </font>
    <font>
      <u/>
      <sz val="11"/>
      <color theme="1"/>
      <name val="Calibri"/>
      <family val="2"/>
      <scheme val="minor"/>
    </font>
    <font>
      <u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i/>
      <sz val="11"/>
      <color rgb="FF7F7F7F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rgb="FFF2F2F2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rgb="FFC6EFCE"/>
      </patternFill>
    </fill>
  </fills>
  <borders count="93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rgb="FF3F3F3F"/>
      </right>
      <top style="thin">
        <color rgb="FF3F3F3F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auto="1"/>
      </bottom>
      <diagonal/>
    </border>
    <border>
      <left/>
      <right style="thin">
        <color rgb="FF7F7F7F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/>
      <bottom style="thin">
        <color auto="1"/>
      </bottom>
      <diagonal/>
    </border>
    <border>
      <left style="thin">
        <color rgb="FF7F7F7F"/>
      </left>
      <right style="thin">
        <color auto="1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auto="1"/>
      </right>
      <top/>
      <bottom style="thin">
        <color auto="1"/>
      </bottom>
      <diagonal/>
    </border>
    <border>
      <left/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/>
      <bottom style="thin">
        <color rgb="FF3F3F3F"/>
      </bottom>
      <diagonal/>
    </border>
    <border>
      <left/>
      <right style="thin">
        <color rgb="FF3F3F3F"/>
      </right>
      <top/>
      <bottom/>
      <diagonal/>
    </border>
    <border>
      <left/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auto="1"/>
      </left>
      <right style="thin">
        <color rgb="FFDADCDD"/>
      </right>
      <top style="thin">
        <color auto="1"/>
      </top>
      <bottom style="thin">
        <color rgb="FFDADCDD"/>
      </bottom>
      <diagonal/>
    </border>
    <border>
      <left style="thin">
        <color rgb="FFDADCDD"/>
      </left>
      <right style="thin">
        <color rgb="FFDADCDD"/>
      </right>
      <top style="thin">
        <color auto="1"/>
      </top>
      <bottom style="thin">
        <color rgb="FFDADCDD"/>
      </bottom>
      <diagonal/>
    </border>
    <border>
      <left style="thin">
        <color auto="1"/>
      </left>
      <right style="thin">
        <color rgb="FFDADCDD"/>
      </right>
      <top style="thin">
        <color rgb="FFDADCDD"/>
      </top>
      <bottom style="thin">
        <color rgb="FFDADCDD"/>
      </bottom>
      <diagonal/>
    </border>
    <border>
      <left style="thin">
        <color rgb="FFDADCDD"/>
      </left>
      <right style="thin">
        <color rgb="FFDADCDD"/>
      </right>
      <top style="thin">
        <color rgb="FFDADCDD"/>
      </top>
      <bottom style="thin">
        <color rgb="FFDADCDD"/>
      </bottom>
      <diagonal/>
    </border>
    <border>
      <left style="thin">
        <color auto="1"/>
      </left>
      <right style="thin">
        <color rgb="FFDADCDD"/>
      </right>
      <top style="thin">
        <color rgb="FFDADCDD"/>
      </top>
      <bottom style="thin">
        <color auto="1"/>
      </bottom>
      <diagonal/>
    </border>
    <border>
      <left style="thin">
        <color rgb="FFDADCDD"/>
      </left>
      <right style="thin">
        <color rgb="FFDADCDD"/>
      </right>
      <top style="thin">
        <color rgb="FFDADCDD"/>
      </top>
      <bottom style="thin">
        <color auto="1"/>
      </bottom>
      <diagonal/>
    </border>
    <border>
      <left style="thin">
        <color rgb="FFDADCDD"/>
      </left>
      <right style="thin">
        <color rgb="FFDADCDD"/>
      </right>
      <top style="thin">
        <color rgb="FFDADCDD"/>
      </top>
      <bottom/>
      <diagonal/>
    </border>
    <border>
      <left style="thin">
        <color rgb="FFDADCDD"/>
      </left>
      <right/>
      <top style="thin">
        <color rgb="FFDADCDD"/>
      </top>
      <bottom style="thin">
        <color rgb="FFDADCDD"/>
      </bottom>
      <diagonal/>
    </border>
    <border>
      <left style="thin">
        <color rgb="FFDADCDD"/>
      </left>
      <right/>
      <top style="thin">
        <color rgb="FFDADCDD"/>
      </top>
      <bottom/>
      <diagonal/>
    </border>
    <border>
      <left style="thin">
        <color rgb="FFDADCDD"/>
      </left>
      <right/>
      <top style="thin">
        <color auto="1"/>
      </top>
      <bottom style="thin">
        <color rgb="FFDADCDD"/>
      </bottom>
      <diagonal/>
    </border>
    <border>
      <left style="thin">
        <color rgb="FFDADCDD"/>
      </left>
      <right/>
      <top style="thin">
        <color rgb="FFDADCDD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auto="1"/>
      </top>
      <bottom style="thin">
        <color rgb="FF7F7F7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3F3F3F"/>
      </bottom>
      <diagonal/>
    </border>
    <border>
      <left/>
      <right style="thin">
        <color rgb="FF7F7F7F"/>
      </right>
      <top style="thin">
        <color auto="1"/>
      </top>
      <bottom style="thin">
        <color rgb="FF7F7F7F"/>
      </bottom>
      <diagonal/>
    </border>
    <border>
      <left style="thin">
        <color rgb="FF7F7F7F"/>
      </left>
      <right style="thin">
        <color auto="1"/>
      </right>
      <top style="thin">
        <color auto="1"/>
      </top>
      <bottom style="thin">
        <color rgb="FF7F7F7F"/>
      </bottom>
      <diagonal/>
    </border>
    <border>
      <left style="thin">
        <color auto="1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rgb="FF3F3F3F"/>
      </top>
      <bottom/>
      <diagonal/>
    </border>
    <border>
      <left style="thin">
        <color auto="1"/>
      </left>
      <right style="thin">
        <color rgb="FF7F7F7F"/>
      </right>
      <top style="thin">
        <color rgb="FF7F7F7F"/>
      </top>
      <bottom style="thin">
        <color auto="1"/>
      </bottom>
      <diagonal/>
    </border>
    <border>
      <left/>
      <right style="thin">
        <color rgb="FF7F7F7F"/>
      </right>
      <top style="thin">
        <color rgb="FF7F7F7F"/>
      </top>
      <bottom style="thin">
        <color auto="1"/>
      </bottom>
      <diagonal/>
    </border>
    <border>
      <left style="thin">
        <color rgb="FF7F7F7F"/>
      </left>
      <right style="thin">
        <color auto="1"/>
      </right>
      <top style="thin">
        <color rgb="FF7F7F7F"/>
      </top>
      <bottom style="thin">
        <color auto="1"/>
      </bottom>
      <diagonal/>
    </border>
    <border>
      <left style="thin">
        <color auto="1"/>
      </left>
      <right style="thin">
        <color rgb="FFDADCDD"/>
      </right>
      <top/>
      <bottom style="thin">
        <color rgb="FFDADCDD"/>
      </bottom>
      <diagonal/>
    </border>
    <border>
      <left style="thin">
        <color rgb="FFDADCDD"/>
      </left>
      <right style="thin">
        <color rgb="FFDADCDD"/>
      </right>
      <top/>
      <bottom style="thin">
        <color rgb="FFDADCDD"/>
      </bottom>
      <diagonal/>
    </border>
    <border>
      <left style="thin">
        <color rgb="FFDADCDD"/>
      </left>
      <right/>
      <top/>
      <bottom style="thin">
        <color rgb="FFDADCDD"/>
      </bottom>
      <diagonal/>
    </border>
    <border>
      <left style="thin">
        <color rgb="FF3F3F3F"/>
      </left>
      <right style="thin">
        <color rgb="FF3F3F3F"/>
      </right>
      <top style="thin">
        <color rgb="FF7F7F7F"/>
      </top>
      <bottom style="thin">
        <color rgb="FF7F7F7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7F7F7F"/>
      </bottom>
      <diagonal/>
    </border>
    <border>
      <left style="thin">
        <color auto="1"/>
      </left>
      <right style="thin">
        <color auto="1"/>
      </right>
      <top style="thin">
        <color rgb="FF7F7F7F"/>
      </top>
      <bottom style="thin">
        <color rgb="FF7F7F7F"/>
      </bottom>
      <diagonal/>
    </border>
    <border>
      <left style="thin">
        <color auto="1"/>
      </left>
      <right style="thin">
        <color auto="1"/>
      </right>
      <top style="thin">
        <color rgb="FF7F7F7F"/>
      </top>
      <bottom style="thin">
        <color auto="1"/>
      </bottom>
      <diagonal/>
    </border>
    <border>
      <left style="thin">
        <color rgb="FFDADCDD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rgb="FF3F3F3F"/>
      </top>
      <bottom style="thin">
        <color rgb="FF3F3F3F"/>
      </bottom>
      <diagonal/>
    </border>
    <border>
      <left style="thin">
        <color auto="1"/>
      </left>
      <right style="thin">
        <color auto="1"/>
      </right>
      <top style="thin">
        <color rgb="FF3F3F3F"/>
      </top>
      <bottom/>
      <diagonal/>
    </border>
    <border>
      <left style="thin">
        <color auto="1"/>
      </left>
      <right style="thin">
        <color auto="1"/>
      </right>
      <top/>
      <bottom style="thin">
        <color rgb="FF7F7F7F"/>
      </bottom>
      <diagonal/>
    </border>
    <border>
      <left/>
      <right style="thin">
        <color auto="1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 style="thin">
        <color auto="1"/>
      </right>
      <top/>
      <bottom/>
      <diagonal/>
    </border>
    <border>
      <left style="thin">
        <color rgb="FF7F7F7F"/>
      </left>
      <right style="thin">
        <color auto="1"/>
      </right>
      <top/>
      <bottom style="thin">
        <color rgb="FF7F7F7F"/>
      </bottom>
      <diagonal/>
    </border>
    <border>
      <left style="thin">
        <color auto="1"/>
      </left>
      <right style="thin">
        <color auto="1"/>
      </right>
      <top style="thin">
        <color rgb="FF7F7F7F"/>
      </top>
      <bottom/>
      <diagonal/>
    </border>
    <border>
      <left/>
      <right style="thin">
        <color auto="1"/>
      </right>
      <top/>
      <bottom style="thin">
        <color rgb="FFDADCDD"/>
      </bottom>
      <diagonal/>
    </border>
    <border>
      <left/>
      <right style="thin">
        <color auto="1"/>
      </right>
      <top style="thin">
        <color rgb="FFDADCDD"/>
      </top>
      <bottom style="thin">
        <color rgb="FFDADCDD"/>
      </bottom>
      <diagonal/>
    </border>
    <border>
      <left/>
      <right style="thin">
        <color auto="1"/>
      </right>
      <top style="thin">
        <color rgb="FFDADCDD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rgb="FFDADCDD"/>
      </bottom>
      <diagonal/>
    </border>
    <border>
      <left/>
      <right style="thin">
        <color auto="1"/>
      </right>
      <top style="thin">
        <color rgb="FFDADCDD"/>
      </top>
      <bottom/>
      <diagonal/>
    </border>
    <border>
      <left style="thin">
        <color rgb="FF3F3F3F"/>
      </left>
      <right style="thin">
        <color auto="1"/>
      </right>
      <top style="thin">
        <color auto="1"/>
      </top>
      <bottom style="thin">
        <color rgb="FF3F3F3F"/>
      </bottom>
      <diagonal/>
    </border>
    <border>
      <left style="thin">
        <color rgb="FF3F3F3F"/>
      </left>
      <right style="thin">
        <color auto="1"/>
      </right>
      <top style="thin">
        <color rgb="FF3F3F3F"/>
      </top>
      <bottom style="thin">
        <color rgb="FF3F3F3F"/>
      </bottom>
      <diagonal/>
    </border>
    <border>
      <left style="thin">
        <color rgb="FF3F3F3F"/>
      </left>
      <right style="thin">
        <color auto="1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auto="1"/>
      </right>
      <top/>
      <bottom style="thin">
        <color rgb="FF7F7F7F"/>
      </bottom>
      <diagonal/>
    </border>
    <border>
      <left style="thin">
        <color rgb="FF3F3F3F"/>
      </left>
      <right style="thin">
        <color auto="1"/>
      </right>
      <top style="thin">
        <color rgb="FF7F7F7F"/>
      </top>
      <bottom style="thin">
        <color auto="1"/>
      </bottom>
      <diagonal/>
    </border>
    <border>
      <left/>
      <right style="thin">
        <color rgb="FF3F3F3F"/>
      </right>
      <top style="thin">
        <color rgb="FF3F3F3F"/>
      </top>
      <bottom/>
      <diagonal/>
    </border>
    <border>
      <left style="thin">
        <color rgb="FF3F3F3F"/>
      </left>
      <right style="thin">
        <color rgb="FF3F3F3F"/>
      </right>
      <top style="thin">
        <color rgb="FF7F7F7F"/>
      </top>
      <bottom style="thin">
        <color auto="1"/>
      </bottom>
      <diagonal/>
    </border>
    <border>
      <left style="thin">
        <color auto="1"/>
      </left>
      <right style="thin">
        <color rgb="FFDADCDD"/>
      </right>
      <top style="thin">
        <color rgb="FFDADCDD"/>
      </top>
      <bottom/>
      <diagonal/>
    </border>
    <border>
      <left style="thin">
        <color rgb="FF3F3F3F"/>
      </left>
      <right/>
      <top/>
      <bottom style="thin">
        <color rgb="FF3F3F3F"/>
      </bottom>
      <diagonal/>
    </border>
    <border>
      <left/>
      <right style="thin">
        <color rgb="FF3F3F3F"/>
      </right>
      <top/>
      <bottom style="thin">
        <color rgb="FF3F3F3F"/>
      </bottom>
      <diagonal/>
    </border>
    <border>
      <left style="thin">
        <color rgb="FF3F3F3F"/>
      </left>
      <right/>
      <top/>
      <bottom style="thin">
        <color rgb="FF7F7F7F"/>
      </bottom>
      <diagonal/>
    </border>
    <border>
      <left/>
      <right style="thin">
        <color rgb="FF3F3F3F"/>
      </right>
      <top style="thin">
        <color rgb="FF3F3F3F"/>
      </top>
      <bottom style="thin">
        <color rgb="FF7F7F7F"/>
      </bottom>
      <diagonal/>
    </border>
    <border>
      <left/>
      <right style="thin">
        <color auto="1"/>
      </right>
      <top style="thin">
        <color rgb="FF3F3F3F"/>
      </top>
      <bottom/>
      <diagonal/>
    </border>
    <border>
      <left style="thin">
        <color rgb="FF3F3F3F"/>
      </left>
      <right style="thin">
        <color auto="1"/>
      </right>
      <top style="thin">
        <color rgb="FF3F3F3F"/>
      </top>
      <bottom style="thin">
        <color rgb="FF7F7F7F"/>
      </bottom>
      <diagonal/>
    </border>
    <border>
      <left style="thin">
        <color rgb="FF3F3F3F"/>
      </left>
      <right/>
      <top/>
      <bottom/>
      <diagonal/>
    </border>
    <border>
      <left/>
      <right style="thin">
        <color rgb="FF3F3F3F"/>
      </right>
      <top/>
      <bottom style="thin">
        <color rgb="FF7F7F7F"/>
      </bottom>
      <diagonal/>
    </border>
    <border>
      <left style="thin">
        <color auto="1"/>
      </left>
      <right/>
      <top style="thin">
        <color auto="1"/>
      </top>
      <bottom style="thin">
        <color rgb="FF7F7F7F"/>
      </bottom>
      <diagonal/>
    </border>
    <border>
      <left/>
      <right style="thin">
        <color auto="1"/>
      </right>
      <top style="thin">
        <color auto="1"/>
      </top>
      <bottom style="thin">
        <color rgb="FF7F7F7F"/>
      </bottom>
      <diagonal/>
    </border>
    <border>
      <left style="thin">
        <color rgb="FF7F7F7F"/>
      </left>
      <right style="thin">
        <color rgb="FF7F7F7F"/>
      </right>
      <top/>
      <bottom style="thin">
        <color rgb="FF7F7F7F"/>
      </bottom>
      <diagonal/>
    </border>
    <border>
      <left/>
      <right style="thin">
        <color rgb="FF7F7F7F"/>
      </right>
      <top/>
      <bottom style="thin">
        <color auto="1"/>
      </bottom>
      <diagonal/>
    </border>
    <border>
      <left style="thin">
        <color rgb="FF7F7F7F"/>
      </left>
      <right style="thin">
        <color auto="1"/>
      </right>
      <top/>
      <bottom style="thin">
        <color auto="1"/>
      </bottom>
      <diagonal/>
    </border>
    <border>
      <left style="thin">
        <color rgb="FF3F3F3F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DADCDD"/>
      </right>
      <top/>
      <bottom style="thin">
        <color rgb="FFDADCDD"/>
      </bottom>
      <diagonal/>
    </border>
    <border>
      <left/>
      <right style="thin">
        <color rgb="FFDADCDD"/>
      </right>
      <top style="thin">
        <color rgb="FFDADCDD"/>
      </top>
      <bottom style="thin">
        <color auto="1"/>
      </bottom>
      <diagonal/>
    </border>
  </borders>
  <cellStyleXfs count="8">
    <xf numFmtId="0" fontId="0" fillId="0" borderId="0"/>
    <xf numFmtId="0" fontId="1" fillId="2" borderId="0" applyNumberFormat="0" applyBorder="0" applyAlignment="0" applyProtection="0"/>
    <xf numFmtId="0" fontId="2" fillId="3" borderId="14" applyNumberFormat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5" fillId="0" borderId="0" applyNumberFormat="0" applyFill="0" applyBorder="0" applyAlignment="0" applyProtection="0"/>
    <xf numFmtId="0" fontId="3" fillId="6" borderId="0" applyNumberFormat="0" applyBorder="0" applyAlignment="0" applyProtection="0"/>
    <xf numFmtId="0" fontId="8" fillId="7" borderId="0" applyNumberFormat="0" applyBorder="0" applyAlignment="0" applyProtection="0"/>
  </cellStyleXfs>
  <cellXfs count="673">
    <xf numFmtId="0" fontId="0" fillId="0" borderId="0" xfId="0"/>
    <xf numFmtId="10" fontId="0" fillId="0" borderId="0" xfId="0" applyNumberFormat="1"/>
    <xf numFmtId="164" fontId="0" fillId="0" borderId="0" xfId="0" applyNumberFormat="1"/>
    <xf numFmtId="49" fontId="0" fillId="0" borderId="0" xfId="0" applyNumberFormat="1" applyAlignment="1">
      <alignment wrapText="1"/>
    </xf>
    <xf numFmtId="1" fontId="0" fillId="0" borderId="0" xfId="0" applyNumberFormat="1"/>
    <xf numFmtId="1" fontId="0" fillId="0" borderId="0" xfId="0" applyNumberFormat="1" applyAlignment="1">
      <alignment wrapText="1"/>
    </xf>
    <xf numFmtId="165" fontId="0" fillId="0" borderId="0" xfId="0" applyNumberFormat="1"/>
    <xf numFmtId="3" fontId="0" fillId="0" borderId="0" xfId="0" applyNumberFormat="1"/>
    <xf numFmtId="4" fontId="0" fillId="0" borderId="0" xfId="0" applyNumberFormat="1"/>
    <xf numFmtId="0" fontId="0" fillId="0" borderId="0" xfId="0" applyAlignment="1">
      <alignment horizontal="right"/>
    </xf>
    <xf numFmtId="0" fontId="0" fillId="0" borderId="1" xfId="0" applyBorder="1" applyAlignment="1">
      <alignment horizontal="right"/>
    </xf>
    <xf numFmtId="0" fontId="0" fillId="0" borderId="12" xfId="0" applyBorder="1" applyAlignment="1">
      <alignment horizontal="right"/>
    </xf>
    <xf numFmtId="0" fontId="0" fillId="0" borderId="8" xfId="0" applyBorder="1"/>
    <xf numFmtId="1" fontId="2" fillId="3" borderId="14" xfId="2" applyNumberFormat="1"/>
    <xf numFmtId="164" fontId="0" fillId="0" borderId="0" xfId="0" applyNumberFormat="1" applyAlignment="1">
      <alignment wrapText="1"/>
    </xf>
    <xf numFmtId="2" fontId="0" fillId="0" borderId="0" xfId="0" applyNumberFormat="1"/>
    <xf numFmtId="0" fontId="0" fillId="0" borderId="0" xfId="0" applyAlignment="1">
      <alignment horizontal="center"/>
    </xf>
    <xf numFmtId="49" fontId="0" fillId="0" borderId="2" xfId="0" applyNumberFormat="1" applyBorder="1" applyAlignment="1">
      <alignment horizontal="center" wrapText="1"/>
    </xf>
    <xf numFmtId="49" fontId="0" fillId="0" borderId="3" xfId="0" applyNumberFormat="1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5" xfId="0" applyBorder="1" applyAlignment="1">
      <alignment horizontal="center" wrapText="1"/>
    </xf>
    <xf numFmtId="49" fontId="0" fillId="0" borderId="5" xfId="0" applyNumberFormat="1" applyBorder="1" applyAlignment="1">
      <alignment horizontal="center" wrapText="1"/>
    </xf>
    <xf numFmtId="0" fontId="0" fillId="0" borderId="7" xfId="0" applyBorder="1" applyAlignment="1">
      <alignment horizontal="center" wrapText="1"/>
    </xf>
    <xf numFmtId="49" fontId="0" fillId="0" borderId="1" xfId="0" applyNumberFormat="1" applyBorder="1" applyAlignment="1">
      <alignment horizontal="center" wrapText="1"/>
    </xf>
    <xf numFmtId="49" fontId="0" fillId="0" borderId="4" xfId="0" applyNumberFormat="1" applyBorder="1" applyAlignment="1">
      <alignment horizontal="center" wrapText="1"/>
    </xf>
    <xf numFmtId="49" fontId="0" fillId="0" borderId="7" xfId="0" applyNumberFormat="1" applyBorder="1" applyAlignment="1">
      <alignment horizontal="center" wrapText="1"/>
    </xf>
    <xf numFmtId="49" fontId="0" fillId="0" borderId="8" xfId="0" applyNumberFormat="1" applyBorder="1" applyAlignment="1">
      <alignment horizontal="center" wrapText="1"/>
    </xf>
    <xf numFmtId="49" fontId="0" fillId="0" borderId="0" xfId="0" applyNumberFormat="1" applyAlignment="1">
      <alignment horizontal="center" wrapText="1"/>
    </xf>
    <xf numFmtId="0" fontId="0" fillId="0" borderId="1" xfId="0" applyBorder="1"/>
    <xf numFmtId="0" fontId="0" fillId="0" borderId="11" xfId="0" applyBorder="1"/>
    <xf numFmtId="49" fontId="0" fillId="0" borderId="9" xfId="0" applyNumberFormat="1" applyBorder="1" applyAlignment="1">
      <alignment horizontal="center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left"/>
    </xf>
    <xf numFmtId="1" fontId="3" fillId="5" borderId="0" xfId="4" applyNumberFormat="1" applyAlignment="1">
      <alignment wrapText="1"/>
    </xf>
    <xf numFmtId="1" fontId="3" fillId="5" borderId="0" xfId="4" applyNumberFormat="1"/>
    <xf numFmtId="49" fontId="0" fillId="0" borderId="11" xfId="0" applyNumberFormat="1" applyBorder="1" applyAlignment="1">
      <alignment horizontal="center" wrapText="1"/>
    </xf>
    <xf numFmtId="0" fontId="4" fillId="0" borderId="0" xfId="0" applyFont="1" applyAlignment="1">
      <alignment vertical="center"/>
    </xf>
    <xf numFmtId="0" fontId="7" fillId="0" borderId="1" xfId="0" applyFont="1" applyBorder="1" applyAlignment="1">
      <alignment horizontal="right"/>
    </xf>
    <xf numFmtId="0" fontId="0" fillId="0" borderId="6" xfId="0" applyBorder="1" applyAlignment="1">
      <alignment horizontal="right"/>
    </xf>
    <xf numFmtId="0" fontId="7" fillId="0" borderId="12" xfId="0" applyFont="1" applyBorder="1" applyAlignment="1">
      <alignment horizontal="right"/>
    </xf>
    <xf numFmtId="0" fontId="0" fillId="0" borderId="3" xfId="0" applyBorder="1" applyAlignment="1">
      <alignment horizontal="center" wrapText="1"/>
    </xf>
    <xf numFmtId="1" fontId="1" fillId="2" borderId="18" xfId="1" applyNumberFormat="1" applyBorder="1" applyAlignment="1">
      <alignment horizontal="center" wrapText="1"/>
    </xf>
    <xf numFmtId="0" fontId="0" fillId="0" borderId="7" xfId="0" applyBorder="1"/>
    <xf numFmtId="0" fontId="0" fillId="0" borderId="0" xfId="0" applyAlignment="1">
      <alignment horizontal="center" wrapText="1"/>
    </xf>
    <xf numFmtId="49" fontId="0" fillId="0" borderId="12" xfId="0" applyNumberFormat="1" applyBorder="1" applyAlignment="1">
      <alignment horizontal="center" wrapText="1"/>
    </xf>
    <xf numFmtId="1" fontId="0" fillId="5" borderId="0" xfId="4" applyNumberFormat="1" applyFont="1"/>
    <xf numFmtId="49" fontId="0" fillId="0" borderId="5" xfId="0" applyNumberFormat="1" applyBorder="1" applyAlignment="1">
      <alignment horizontal="left" wrapText="1"/>
    </xf>
    <xf numFmtId="0" fontId="0" fillId="0" borderId="11" xfId="0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6" fillId="0" borderId="0" xfId="0" applyFont="1" applyAlignment="1">
      <alignment horizontal="left" vertical="center" indent="2"/>
    </xf>
    <xf numFmtId="0" fontId="0" fillId="0" borderId="0" xfId="0" applyAlignment="1">
      <alignment horizontal="left" vertical="center" indent="2"/>
    </xf>
    <xf numFmtId="0" fontId="0" fillId="0" borderId="24" xfId="0" applyBorder="1"/>
    <xf numFmtId="0" fontId="1" fillId="2" borderId="14" xfId="1" applyBorder="1" applyAlignment="1">
      <alignment horizontal="center" wrapText="1"/>
    </xf>
    <xf numFmtId="1" fontId="1" fillId="2" borderId="21" xfId="1" applyNumberFormat="1" applyBorder="1" applyAlignment="1">
      <alignment horizontal="center" wrapText="1"/>
    </xf>
    <xf numFmtId="0" fontId="1" fillId="2" borderId="21" xfId="1" applyBorder="1" applyAlignment="1">
      <alignment horizontal="center" wrapText="1"/>
    </xf>
    <xf numFmtId="0" fontId="0" fillId="0" borderId="21" xfId="0" applyBorder="1"/>
    <xf numFmtId="10" fontId="0" fillId="0" borderId="21" xfId="0" applyNumberFormat="1" applyBorder="1"/>
    <xf numFmtId="1" fontId="0" fillId="0" borderId="21" xfId="0" applyNumberFormat="1" applyBorder="1"/>
    <xf numFmtId="14" fontId="0" fillId="0" borderId="21" xfId="0" applyNumberFormat="1" applyBorder="1"/>
    <xf numFmtId="166" fontId="0" fillId="0" borderId="21" xfId="0" applyNumberFormat="1" applyBorder="1"/>
    <xf numFmtId="165" fontId="0" fillId="0" borderId="21" xfId="0" applyNumberFormat="1" applyBorder="1"/>
    <xf numFmtId="10" fontId="5" fillId="0" borderId="21" xfId="5" quotePrefix="1" applyNumberFormat="1" applyBorder="1"/>
    <xf numFmtId="164" fontId="0" fillId="0" borderId="21" xfId="0" applyNumberFormat="1" applyBorder="1"/>
    <xf numFmtId="165" fontId="0" fillId="0" borderId="4" xfId="0" applyNumberFormat="1" applyBorder="1"/>
    <xf numFmtId="0" fontId="0" fillId="0" borderId="0" xfId="0" applyProtection="1">
      <protection hidden="1"/>
    </xf>
    <xf numFmtId="0" fontId="3" fillId="4" borderId="0" xfId="3" applyProtection="1">
      <protection hidden="1"/>
    </xf>
    <xf numFmtId="10" fontId="0" fillId="0" borderId="0" xfId="0" applyNumberFormat="1" applyProtection="1">
      <protection hidden="1"/>
    </xf>
    <xf numFmtId="168" fontId="0" fillId="0" borderId="0" xfId="0" applyNumberFormat="1" applyProtection="1">
      <protection hidden="1"/>
    </xf>
    <xf numFmtId="168" fontId="0" fillId="0" borderId="8" xfId="0" applyNumberFormat="1" applyBorder="1" applyProtection="1">
      <protection hidden="1"/>
    </xf>
    <xf numFmtId="165" fontId="0" fillId="0" borderId="0" xfId="0" applyNumberFormat="1" applyProtection="1">
      <protection hidden="1"/>
    </xf>
    <xf numFmtId="0" fontId="0" fillId="0" borderId="8" xfId="0" applyBorder="1" applyProtection="1">
      <protection hidden="1"/>
    </xf>
    <xf numFmtId="165" fontId="3" fillId="4" borderId="1" xfId="3" applyNumberFormat="1" applyBorder="1" applyProtection="1">
      <protection hidden="1"/>
    </xf>
    <xf numFmtId="165" fontId="3" fillId="4" borderId="0" xfId="3" applyNumberFormat="1" applyProtection="1">
      <protection hidden="1"/>
    </xf>
    <xf numFmtId="10" fontId="0" fillId="0" borderId="8" xfId="0" applyNumberFormat="1" applyBorder="1" applyProtection="1">
      <protection hidden="1"/>
    </xf>
    <xf numFmtId="165" fontId="0" fillId="0" borderId="1" xfId="0" applyNumberFormat="1" applyBorder="1" applyProtection="1">
      <protection hidden="1"/>
    </xf>
    <xf numFmtId="1" fontId="0" fillId="0" borderId="0" xfId="0" applyNumberFormat="1" applyProtection="1">
      <protection hidden="1"/>
    </xf>
    <xf numFmtId="1" fontId="0" fillId="0" borderId="0" xfId="0" applyNumberFormat="1" applyAlignment="1" applyProtection="1">
      <alignment wrapText="1"/>
      <protection hidden="1"/>
    </xf>
    <xf numFmtId="2" fontId="0" fillId="0" borderId="20" xfId="0" applyNumberFormat="1" applyBorder="1" applyProtection="1">
      <protection hidden="1"/>
    </xf>
    <xf numFmtId="0" fontId="0" fillId="0" borderId="1" xfId="0" applyBorder="1" applyProtection="1">
      <protection hidden="1"/>
    </xf>
    <xf numFmtId="1" fontId="0" fillId="5" borderId="0" xfId="4" applyNumberFormat="1" applyFont="1" applyProtection="1">
      <protection hidden="1"/>
    </xf>
    <xf numFmtId="1" fontId="3" fillId="5" borderId="0" xfId="4" applyNumberFormat="1" applyAlignment="1" applyProtection="1">
      <alignment wrapText="1"/>
      <protection hidden="1"/>
    </xf>
    <xf numFmtId="1" fontId="3" fillId="5" borderId="0" xfId="4" applyNumberFormat="1" applyProtection="1">
      <protection hidden="1"/>
    </xf>
    <xf numFmtId="2" fontId="3" fillId="5" borderId="20" xfId="4" applyNumberFormat="1" applyBorder="1" applyProtection="1">
      <protection hidden="1"/>
    </xf>
    <xf numFmtId="3" fontId="0" fillId="0" borderId="0" xfId="0" applyNumberFormat="1" applyAlignment="1" applyProtection="1">
      <alignment wrapText="1"/>
      <protection hidden="1"/>
    </xf>
    <xf numFmtId="166" fontId="0" fillId="0" borderId="1" xfId="0" applyNumberFormat="1" applyBorder="1" applyProtection="1">
      <protection hidden="1"/>
    </xf>
    <xf numFmtId="0" fontId="3" fillId="5" borderId="0" xfId="4" applyProtection="1">
      <protection hidden="1"/>
    </xf>
    <xf numFmtId="168" fontId="3" fillId="5" borderId="0" xfId="4" applyNumberFormat="1" applyProtection="1">
      <protection hidden="1"/>
    </xf>
    <xf numFmtId="3" fontId="3" fillId="5" borderId="0" xfId="4" applyNumberFormat="1" applyAlignment="1" applyProtection="1">
      <alignment wrapText="1"/>
      <protection hidden="1"/>
    </xf>
    <xf numFmtId="166" fontId="3" fillId="5" borderId="1" xfId="4" applyNumberFormat="1" applyBorder="1" applyProtection="1">
      <protection hidden="1"/>
    </xf>
    <xf numFmtId="1" fontId="3" fillId="4" borderId="0" xfId="3" applyNumberFormat="1" applyProtection="1">
      <protection hidden="1"/>
    </xf>
    <xf numFmtId="10" fontId="3" fillId="5" borderId="0" xfId="4" applyNumberFormat="1" applyProtection="1">
      <protection hidden="1"/>
    </xf>
    <xf numFmtId="2" fontId="0" fillId="0" borderId="0" xfId="0" applyNumberFormat="1" applyProtection="1">
      <protection hidden="1"/>
    </xf>
    <xf numFmtId="4" fontId="0" fillId="0" borderId="0" xfId="0" applyNumberFormat="1" applyProtection="1">
      <protection hidden="1"/>
    </xf>
    <xf numFmtId="2" fontId="3" fillId="5" borderId="0" xfId="4" applyNumberFormat="1" applyProtection="1">
      <protection hidden="1"/>
    </xf>
    <xf numFmtId="4" fontId="3" fillId="5" borderId="0" xfId="4" applyNumberFormat="1" applyProtection="1">
      <protection hidden="1"/>
    </xf>
    <xf numFmtId="0" fontId="0" fillId="0" borderId="21" xfId="0" applyBorder="1" applyProtection="1">
      <protection hidden="1"/>
    </xf>
    <xf numFmtId="0" fontId="0" fillId="0" borderId="9" xfId="0" applyBorder="1" applyProtection="1">
      <protection hidden="1"/>
    </xf>
    <xf numFmtId="1" fontId="0" fillId="0" borderId="8" xfId="0" applyNumberFormat="1" applyBorder="1" applyProtection="1">
      <protection hidden="1"/>
    </xf>
    <xf numFmtId="4" fontId="0" fillId="0" borderId="9" xfId="0" applyNumberFormat="1" applyBorder="1" applyProtection="1">
      <protection hidden="1"/>
    </xf>
    <xf numFmtId="4" fontId="0" fillId="0" borderId="8" xfId="0" applyNumberFormat="1" applyBorder="1" applyProtection="1">
      <protection hidden="1"/>
    </xf>
    <xf numFmtId="1" fontId="3" fillId="5" borderId="8" xfId="4" applyNumberFormat="1" applyBorder="1" applyProtection="1">
      <protection hidden="1"/>
    </xf>
    <xf numFmtId="1" fontId="3" fillId="6" borderId="0" xfId="6" applyNumberFormat="1" applyProtection="1">
      <protection hidden="1"/>
    </xf>
    <xf numFmtId="1" fontId="3" fillId="6" borderId="0" xfId="6" applyNumberFormat="1" applyAlignment="1" applyProtection="1">
      <alignment wrapText="1"/>
      <protection hidden="1"/>
    </xf>
    <xf numFmtId="171" fontId="3" fillId="6" borderId="0" xfId="6" applyNumberFormat="1" applyProtection="1">
      <protection hidden="1"/>
    </xf>
    <xf numFmtId="171" fontId="0" fillId="0" borderId="0" xfId="0" applyNumberFormat="1" applyProtection="1">
      <protection hidden="1"/>
    </xf>
    <xf numFmtId="165" fontId="3" fillId="5" borderId="1" xfId="4" applyNumberFormat="1" applyBorder="1" applyProtection="1">
      <protection hidden="1"/>
    </xf>
    <xf numFmtId="165" fontId="3" fillId="5" borderId="0" xfId="4" applyNumberFormat="1" applyProtection="1">
      <protection hidden="1"/>
    </xf>
    <xf numFmtId="165" fontId="3" fillId="4" borderId="8" xfId="3" applyNumberFormat="1" applyBorder="1" applyProtection="1">
      <protection hidden="1"/>
    </xf>
    <xf numFmtId="165" fontId="0" fillId="0" borderId="8" xfId="0" applyNumberFormat="1" applyBorder="1" applyProtection="1">
      <protection hidden="1"/>
    </xf>
    <xf numFmtId="165" fontId="3" fillId="5" borderId="8" xfId="4" applyNumberFormat="1" applyBorder="1" applyProtection="1">
      <protection hidden="1"/>
    </xf>
    <xf numFmtId="165" fontId="0" fillId="0" borderId="1" xfId="0" applyNumberFormat="1" applyBorder="1" applyAlignment="1" applyProtection="1">
      <alignment vertical="top"/>
      <protection hidden="1"/>
    </xf>
    <xf numFmtId="165" fontId="0" fillId="0" borderId="0" xfId="0" applyNumberFormat="1" applyAlignment="1" applyProtection="1">
      <alignment vertical="top"/>
      <protection hidden="1"/>
    </xf>
    <xf numFmtId="165" fontId="3" fillId="5" borderId="1" xfId="4" applyNumberFormat="1" applyBorder="1" applyAlignment="1" applyProtection="1">
      <alignment vertical="top"/>
      <protection hidden="1"/>
    </xf>
    <xf numFmtId="165" fontId="3" fillId="5" borderId="0" xfId="4" applyNumberFormat="1" applyAlignment="1" applyProtection="1">
      <alignment vertical="top"/>
      <protection hidden="1"/>
    </xf>
    <xf numFmtId="165" fontId="2" fillId="3" borderId="14" xfId="2" applyNumberFormat="1" applyProtection="1">
      <protection hidden="1"/>
    </xf>
    <xf numFmtId="165" fontId="2" fillId="3" borderId="22" xfId="2" applyNumberFormat="1" applyBorder="1" applyProtection="1">
      <protection hidden="1"/>
    </xf>
    <xf numFmtId="165" fontId="0" fillId="0" borderId="21" xfId="0" applyNumberFormat="1" applyBorder="1" applyProtection="1">
      <protection hidden="1"/>
    </xf>
    <xf numFmtId="165" fontId="1" fillId="2" borderId="21" xfId="1" applyNumberFormat="1" applyBorder="1" applyAlignment="1">
      <alignment horizontal="center" wrapText="1"/>
    </xf>
    <xf numFmtId="165" fontId="2" fillId="3" borderId="19" xfId="2" applyNumberFormat="1" applyBorder="1" applyProtection="1">
      <protection hidden="1"/>
    </xf>
    <xf numFmtId="165" fontId="0" fillId="0" borderId="0" xfId="0" applyNumberFormat="1" applyAlignment="1" applyProtection="1">
      <alignment wrapText="1"/>
      <protection hidden="1"/>
    </xf>
    <xf numFmtId="164" fontId="2" fillId="3" borderId="14" xfId="2" applyNumberFormat="1" applyAlignment="1">
      <alignment horizontal="center"/>
    </xf>
    <xf numFmtId="165" fontId="2" fillId="3" borderId="26" xfId="2" applyNumberFormat="1" applyBorder="1" applyProtection="1">
      <protection hidden="1"/>
    </xf>
    <xf numFmtId="1" fontId="2" fillId="3" borderId="14" xfId="2" applyNumberFormat="1" applyProtection="1">
      <protection locked="0"/>
    </xf>
    <xf numFmtId="165" fontId="1" fillId="2" borderId="4" xfId="1" applyNumberFormat="1" applyBorder="1" applyAlignment="1">
      <alignment horizontal="center" wrapText="1"/>
    </xf>
    <xf numFmtId="0" fontId="0" fillId="0" borderId="27" xfId="0" applyBorder="1"/>
    <xf numFmtId="1" fontId="1" fillId="2" borderId="9" xfId="1" applyNumberFormat="1" applyBorder="1" applyAlignment="1">
      <alignment horizontal="center" wrapText="1"/>
    </xf>
    <xf numFmtId="0" fontId="1" fillId="2" borderId="17" xfId="1" applyBorder="1" applyAlignment="1">
      <alignment horizontal="center" wrapText="1"/>
    </xf>
    <xf numFmtId="0" fontId="2" fillId="3" borderId="14" xfId="2" applyProtection="1">
      <protection hidden="1"/>
    </xf>
    <xf numFmtId="0" fontId="0" fillId="0" borderId="27" xfId="0" applyBorder="1" applyAlignment="1">
      <alignment horizontal="right"/>
    </xf>
    <xf numFmtId="1" fontId="2" fillId="3" borderId="14" xfId="2" applyNumberFormat="1" applyAlignment="1">
      <alignment horizontal="right"/>
    </xf>
    <xf numFmtId="10" fontId="0" fillId="0" borderId="4" xfId="0" applyNumberFormat="1" applyBorder="1"/>
    <xf numFmtId="164" fontId="0" fillId="0" borderId="4" xfId="0" applyNumberFormat="1" applyBorder="1"/>
    <xf numFmtId="165" fontId="0" fillId="0" borderId="5" xfId="0" applyNumberFormat="1" applyBorder="1"/>
    <xf numFmtId="0" fontId="0" fillId="0" borderId="5" xfId="0" applyBorder="1"/>
    <xf numFmtId="14" fontId="0" fillId="0" borderId="4" xfId="0" applyNumberFormat="1" applyBorder="1"/>
    <xf numFmtId="0" fontId="0" fillId="0" borderId="4" xfId="0" applyBorder="1"/>
    <xf numFmtId="166" fontId="0" fillId="0" borderId="4" xfId="0" applyNumberFormat="1" applyBorder="1"/>
    <xf numFmtId="10" fontId="0" fillId="0" borderId="5" xfId="0" applyNumberFormat="1" applyBorder="1"/>
    <xf numFmtId="49" fontId="0" fillId="0" borderId="6" xfId="0" applyNumberFormat="1" applyBorder="1" applyAlignment="1">
      <alignment horizontal="center" wrapText="1"/>
    </xf>
    <xf numFmtId="165" fontId="0" fillId="0" borderId="8" xfId="0" applyNumberFormat="1" applyBorder="1" applyAlignment="1" applyProtection="1">
      <alignment wrapText="1"/>
      <protection hidden="1"/>
    </xf>
    <xf numFmtId="165" fontId="3" fillId="5" borderId="8" xfId="4" applyNumberFormat="1" applyBorder="1" applyAlignment="1" applyProtection="1">
      <alignment wrapText="1"/>
      <protection hidden="1"/>
    </xf>
    <xf numFmtId="165" fontId="3" fillId="5" borderId="0" xfId="4" applyNumberFormat="1" applyAlignment="1" applyProtection="1">
      <alignment wrapText="1"/>
      <protection hidden="1"/>
    </xf>
    <xf numFmtId="165" fontId="0" fillId="0" borderId="0" xfId="0" applyNumberFormat="1" applyAlignment="1">
      <alignment wrapText="1"/>
    </xf>
    <xf numFmtId="165" fontId="3" fillId="5" borderId="0" xfId="4" applyNumberFormat="1" applyAlignment="1">
      <alignment wrapText="1"/>
    </xf>
    <xf numFmtId="165" fontId="3" fillId="5" borderId="0" xfId="4" applyNumberFormat="1"/>
    <xf numFmtId="0" fontId="0" fillId="0" borderId="0" xfId="0" applyAlignment="1" applyProtection="1">
      <alignment horizontal="center"/>
      <protection hidden="1"/>
    </xf>
    <xf numFmtId="1" fontId="3" fillId="5" borderId="0" xfId="4" applyNumberFormat="1" applyAlignment="1" applyProtection="1">
      <alignment horizontal="center" wrapText="1"/>
      <protection hidden="1"/>
    </xf>
    <xf numFmtId="1" fontId="3" fillId="5" borderId="0" xfId="4" applyNumberFormat="1" applyAlignment="1">
      <alignment horizontal="center"/>
    </xf>
    <xf numFmtId="1" fontId="3" fillId="5" borderId="0" xfId="4" applyNumberFormat="1" applyAlignment="1" applyProtection="1">
      <alignment horizontal="center"/>
      <protection hidden="1"/>
    </xf>
    <xf numFmtId="0" fontId="0" fillId="0" borderId="0" xfId="0" applyAlignment="1">
      <alignment horizontal="right" vertical="center" wrapText="1"/>
    </xf>
    <xf numFmtId="0" fontId="0" fillId="0" borderId="15" xfId="0" applyBorder="1"/>
    <xf numFmtId="0" fontId="0" fillId="0" borderId="16" xfId="0" applyBorder="1"/>
    <xf numFmtId="49" fontId="0" fillId="0" borderId="7" xfId="0" applyNumberFormat="1" applyBorder="1" applyAlignment="1">
      <alignment horizontal="left" wrapText="1"/>
    </xf>
    <xf numFmtId="0" fontId="0" fillId="0" borderId="30" xfId="0" applyBorder="1" applyAlignment="1" applyProtection="1">
      <alignment horizontal="center"/>
      <protection hidden="1"/>
    </xf>
    <xf numFmtId="1" fontId="0" fillId="0" borderId="30" xfId="0" applyNumberFormat="1" applyBorder="1" applyAlignment="1" applyProtection="1">
      <alignment wrapText="1"/>
      <protection hidden="1"/>
    </xf>
    <xf numFmtId="1" fontId="0" fillId="0" borderId="30" xfId="0" applyNumberFormat="1" applyBorder="1" applyProtection="1">
      <protection hidden="1"/>
    </xf>
    <xf numFmtId="1" fontId="3" fillId="5" borderId="32" xfId="4" applyNumberFormat="1" applyBorder="1" applyAlignment="1" applyProtection="1">
      <alignment horizontal="center" wrapText="1"/>
      <protection hidden="1"/>
    </xf>
    <xf numFmtId="1" fontId="3" fillId="5" borderId="32" xfId="4" applyNumberFormat="1" applyBorder="1" applyAlignment="1" applyProtection="1">
      <alignment wrapText="1"/>
      <protection hidden="1"/>
    </xf>
    <xf numFmtId="1" fontId="3" fillId="5" borderId="32" xfId="4" applyNumberFormat="1" applyBorder="1" applyProtection="1">
      <protection hidden="1"/>
    </xf>
    <xf numFmtId="0" fontId="0" fillId="0" borderId="32" xfId="0" applyBorder="1" applyAlignment="1" applyProtection="1">
      <alignment horizontal="center"/>
      <protection hidden="1"/>
    </xf>
    <xf numFmtId="1" fontId="0" fillId="0" borderId="32" xfId="0" applyNumberFormat="1" applyBorder="1" applyAlignment="1" applyProtection="1">
      <alignment wrapText="1"/>
      <protection hidden="1"/>
    </xf>
    <xf numFmtId="1" fontId="0" fillId="0" borderId="32" xfId="0" applyNumberFormat="1" applyBorder="1" applyProtection="1">
      <protection hidden="1"/>
    </xf>
    <xf numFmtId="1" fontId="3" fillId="5" borderId="34" xfId="4" applyNumberFormat="1" applyBorder="1" applyAlignment="1" applyProtection="1">
      <alignment horizontal="center" wrapText="1"/>
      <protection hidden="1"/>
    </xf>
    <xf numFmtId="1" fontId="3" fillId="5" borderId="34" xfId="4" applyNumberFormat="1" applyBorder="1" applyAlignment="1" applyProtection="1">
      <alignment wrapText="1"/>
      <protection hidden="1"/>
    </xf>
    <xf numFmtId="1" fontId="3" fillId="5" borderId="34" xfId="4" applyNumberFormat="1" applyBorder="1" applyProtection="1">
      <protection hidden="1"/>
    </xf>
    <xf numFmtId="1" fontId="3" fillId="5" borderId="35" xfId="4" applyNumberFormat="1" applyBorder="1" applyAlignment="1" applyProtection="1">
      <alignment horizontal="center" wrapText="1"/>
      <protection hidden="1"/>
    </xf>
    <xf numFmtId="1" fontId="3" fillId="5" borderId="35" xfId="4" applyNumberFormat="1" applyBorder="1" applyAlignment="1" applyProtection="1">
      <alignment wrapText="1"/>
      <protection hidden="1"/>
    </xf>
    <xf numFmtId="1" fontId="3" fillId="5" borderId="35" xfId="4" applyNumberFormat="1" applyBorder="1" applyProtection="1">
      <protection hidden="1"/>
    </xf>
    <xf numFmtId="1" fontId="0" fillId="0" borderId="36" xfId="0" applyNumberFormat="1" applyBorder="1" applyProtection="1">
      <protection hidden="1"/>
    </xf>
    <xf numFmtId="1" fontId="3" fillId="5" borderId="36" xfId="4" applyNumberFormat="1" applyBorder="1" applyProtection="1">
      <protection hidden="1"/>
    </xf>
    <xf numFmtId="1" fontId="3" fillId="5" borderId="37" xfId="4" applyNumberFormat="1" applyBorder="1" applyProtection="1">
      <protection hidden="1"/>
    </xf>
    <xf numFmtId="1" fontId="0" fillId="0" borderId="38" xfId="0" applyNumberFormat="1" applyBorder="1" applyProtection="1">
      <protection hidden="1"/>
    </xf>
    <xf numFmtId="1" fontId="3" fillId="5" borderId="39" xfId="4" applyNumberFormat="1" applyBorder="1" applyProtection="1">
      <protection hidden="1"/>
    </xf>
    <xf numFmtId="10" fontId="0" fillId="0" borderId="21" xfId="0" applyNumberFormat="1" applyBorder="1" applyProtection="1">
      <protection hidden="1"/>
    </xf>
    <xf numFmtId="1" fontId="0" fillId="0" borderId="21" xfId="0" applyNumberFormat="1" applyBorder="1" applyProtection="1">
      <protection hidden="1"/>
    </xf>
    <xf numFmtId="14" fontId="0" fillId="0" borderId="21" xfId="0" applyNumberFormat="1" applyBorder="1" applyProtection="1">
      <protection hidden="1"/>
    </xf>
    <xf numFmtId="165" fontId="2" fillId="3" borderId="41" xfId="2" applyNumberFormat="1" applyBorder="1" applyProtection="1">
      <protection hidden="1"/>
    </xf>
    <xf numFmtId="169" fontId="0" fillId="0" borderId="21" xfId="0" applyNumberFormat="1" applyBorder="1" applyProtection="1">
      <protection hidden="1"/>
    </xf>
    <xf numFmtId="0" fontId="0" fillId="0" borderId="20" xfId="0" applyBorder="1"/>
    <xf numFmtId="1" fontId="1" fillId="2" borderId="45" xfId="1" applyNumberFormat="1" applyBorder="1" applyAlignment="1">
      <alignment horizontal="center" wrapText="1"/>
    </xf>
    <xf numFmtId="0" fontId="0" fillId="0" borderId="50" xfId="0" applyBorder="1" applyAlignment="1" applyProtection="1">
      <alignment horizontal="center"/>
      <protection hidden="1"/>
    </xf>
    <xf numFmtId="1" fontId="0" fillId="0" borderId="50" xfId="0" applyNumberFormat="1" applyBorder="1" applyAlignment="1" applyProtection="1">
      <alignment wrapText="1"/>
      <protection hidden="1"/>
    </xf>
    <xf numFmtId="1" fontId="0" fillId="0" borderId="50" xfId="0" applyNumberFormat="1" applyBorder="1" applyProtection="1">
      <protection hidden="1"/>
    </xf>
    <xf numFmtId="1" fontId="0" fillId="0" borderId="51" xfId="0" applyNumberFormat="1" applyBorder="1" applyProtection="1">
      <protection hidden="1"/>
    </xf>
    <xf numFmtId="0" fontId="3" fillId="6" borderId="0" xfId="6" applyProtection="1">
      <protection hidden="1"/>
    </xf>
    <xf numFmtId="0" fontId="10" fillId="0" borderId="0" xfId="0" applyFont="1"/>
    <xf numFmtId="10" fontId="10" fillId="0" borderId="0" xfId="0" applyNumberFormat="1" applyFont="1" applyProtection="1">
      <protection hidden="1"/>
    </xf>
    <xf numFmtId="0" fontId="1" fillId="0" borderId="0" xfId="0" applyFont="1"/>
    <xf numFmtId="10" fontId="1" fillId="0" borderId="0" xfId="0" applyNumberFormat="1" applyFont="1"/>
    <xf numFmtId="165" fontId="0" fillId="0" borderId="7" xfId="0" applyNumberFormat="1" applyBorder="1" applyAlignment="1" applyProtection="1">
      <alignment vertical="top"/>
      <protection hidden="1"/>
    </xf>
    <xf numFmtId="165" fontId="0" fillId="0" borderId="6" xfId="0" applyNumberFormat="1" applyBorder="1" applyAlignment="1" applyProtection="1">
      <alignment vertical="top"/>
      <protection hidden="1"/>
    </xf>
    <xf numFmtId="14" fontId="0" fillId="0" borderId="14" xfId="0" applyNumberFormat="1" applyBorder="1" applyAlignment="1">
      <alignment horizontal="right"/>
    </xf>
    <xf numFmtId="2" fontId="3" fillId="4" borderId="0" xfId="3" applyNumberFormat="1" applyAlignment="1" applyProtection="1">
      <alignment wrapText="1"/>
      <protection hidden="1"/>
    </xf>
    <xf numFmtId="1" fontId="3" fillId="4" borderId="0" xfId="3" applyNumberFormat="1" applyAlignment="1" applyProtection="1">
      <alignment wrapText="1"/>
      <protection hidden="1"/>
    </xf>
    <xf numFmtId="165" fontId="3" fillId="4" borderId="7" xfId="3" applyNumberFormat="1" applyBorder="1" applyProtection="1">
      <protection hidden="1"/>
    </xf>
    <xf numFmtId="171" fontId="3" fillId="4" borderId="0" xfId="3" applyNumberFormat="1" applyProtection="1">
      <protection hidden="1"/>
    </xf>
    <xf numFmtId="3" fontId="2" fillId="3" borderId="14" xfId="2" applyNumberFormat="1" applyProtection="1">
      <protection hidden="1"/>
    </xf>
    <xf numFmtId="1" fontId="0" fillId="0" borderId="56" xfId="0" applyNumberFormat="1" applyBorder="1" applyProtection="1">
      <protection hidden="1"/>
    </xf>
    <xf numFmtId="1" fontId="2" fillId="3" borderId="58" xfId="2" applyNumberFormat="1" applyBorder="1"/>
    <xf numFmtId="49" fontId="0" fillId="0" borderId="0" xfId="0" applyNumberFormat="1" applyAlignment="1">
      <alignment horizontal="left" wrapText="1"/>
    </xf>
    <xf numFmtId="0" fontId="0" fillId="0" borderId="1" xfId="0" applyBorder="1" applyAlignment="1">
      <alignment horizontal="center" wrapText="1"/>
    </xf>
    <xf numFmtId="4" fontId="0" fillId="0" borderId="6" xfId="0" applyNumberFormat="1" applyBorder="1" applyProtection="1">
      <protection hidden="1"/>
    </xf>
    <xf numFmtId="4" fontId="0" fillId="0" borderId="7" xfId="0" applyNumberFormat="1" applyBorder="1" applyProtection="1">
      <protection hidden="1"/>
    </xf>
    <xf numFmtId="4" fontId="0" fillId="0" borderId="1" xfId="0" applyNumberFormat="1" applyBorder="1" applyProtection="1">
      <protection hidden="1"/>
    </xf>
    <xf numFmtId="4" fontId="3" fillId="5" borderId="1" xfId="4" applyNumberFormat="1" applyBorder="1" applyProtection="1">
      <protection hidden="1"/>
    </xf>
    <xf numFmtId="4" fontId="3" fillId="5" borderId="8" xfId="4" applyNumberFormat="1" applyBorder="1" applyProtection="1">
      <protection hidden="1"/>
    </xf>
    <xf numFmtId="0" fontId="0" fillId="0" borderId="21" xfId="0" applyBorder="1" applyAlignment="1">
      <alignment horizontal="center"/>
    </xf>
    <xf numFmtId="0" fontId="0" fillId="0" borderId="9" xfId="0" applyBorder="1"/>
    <xf numFmtId="0" fontId="0" fillId="0" borderId="61" xfId="0" applyBorder="1" applyProtection="1">
      <protection hidden="1"/>
    </xf>
    <xf numFmtId="0" fontId="0" fillId="0" borderId="62" xfId="0" applyBorder="1" applyProtection="1">
      <protection hidden="1"/>
    </xf>
    <xf numFmtId="168" fontId="3" fillId="5" borderId="8" xfId="4" applyNumberFormat="1" applyBorder="1" applyProtection="1">
      <protection hidden="1"/>
    </xf>
    <xf numFmtId="1" fontId="0" fillId="0" borderId="4" xfId="0" applyNumberFormat="1" applyBorder="1"/>
    <xf numFmtId="14" fontId="0" fillId="0" borderId="28" xfId="0" applyNumberFormat="1" applyBorder="1"/>
    <xf numFmtId="1" fontId="0" fillId="0" borderId="28" xfId="0" applyNumberFormat="1" applyBorder="1"/>
    <xf numFmtId="1" fontId="1" fillId="2" borderId="2" xfId="1" applyNumberFormat="1" applyBorder="1" applyAlignment="1">
      <alignment horizontal="center" wrapText="1"/>
    </xf>
    <xf numFmtId="1" fontId="1" fillId="2" borderId="28" xfId="1" applyNumberFormat="1" applyBorder="1" applyAlignment="1">
      <alignment horizontal="center" wrapText="1"/>
    </xf>
    <xf numFmtId="10" fontId="0" fillId="0" borderId="28" xfId="0" applyNumberFormat="1" applyBorder="1"/>
    <xf numFmtId="10" fontId="0" fillId="0" borderId="7" xfId="0" applyNumberFormat="1" applyBorder="1"/>
    <xf numFmtId="164" fontId="0" fillId="0" borderId="0" xfId="0" applyNumberFormat="1" applyAlignment="1">
      <alignment horizontal="center"/>
    </xf>
    <xf numFmtId="9" fontId="0" fillId="0" borderId="0" xfId="0" applyNumberFormat="1"/>
    <xf numFmtId="0" fontId="0" fillId="0" borderId="28" xfId="0" applyBorder="1"/>
    <xf numFmtId="49" fontId="12" fillId="0" borderId="2" xfId="0" applyNumberFormat="1" applyFont="1" applyBorder="1" applyAlignment="1">
      <alignment horizontal="center" wrapText="1"/>
    </xf>
    <xf numFmtId="0" fontId="12" fillId="0" borderId="2" xfId="0" applyFont="1" applyBorder="1" applyAlignment="1">
      <alignment horizontal="center" wrapText="1"/>
    </xf>
    <xf numFmtId="0" fontId="12" fillId="0" borderId="6" xfId="0" applyFont="1" applyBorder="1" applyAlignment="1">
      <alignment horizontal="right"/>
    </xf>
    <xf numFmtId="0" fontId="12" fillId="0" borderId="1" xfId="0" applyFont="1" applyBorder="1" applyAlignment="1">
      <alignment horizontal="right"/>
    </xf>
    <xf numFmtId="165" fontId="13" fillId="2" borderId="4" xfId="1" applyNumberFormat="1" applyFont="1" applyBorder="1" applyAlignment="1">
      <alignment horizontal="center" wrapText="1"/>
    </xf>
    <xf numFmtId="49" fontId="12" fillId="0" borderId="0" xfId="0" applyNumberFormat="1" applyFont="1" applyAlignment="1">
      <alignment horizontal="center" wrapText="1"/>
    </xf>
    <xf numFmtId="0" fontId="14" fillId="0" borderId="0" xfId="0" applyFont="1"/>
    <xf numFmtId="0" fontId="14" fillId="0" borderId="0" xfId="0" applyFont="1" applyAlignment="1">
      <alignment wrapText="1"/>
    </xf>
    <xf numFmtId="1" fontId="0" fillId="0" borderId="0" xfId="0" applyNumberFormat="1" applyAlignment="1">
      <alignment horizontal="center"/>
    </xf>
    <xf numFmtId="10" fontId="0" fillId="0" borderId="21" xfId="0" applyNumberFormat="1" applyBorder="1" applyAlignment="1">
      <alignment horizontal="center"/>
    </xf>
    <xf numFmtId="0" fontId="0" fillId="0" borderId="2" xfId="0" applyBorder="1" applyAlignment="1">
      <alignment horizontal="right"/>
    </xf>
    <xf numFmtId="10" fontId="0" fillId="0" borderId="17" xfId="0" applyNumberFormat="1" applyBorder="1"/>
    <xf numFmtId="10" fontId="0" fillId="0" borderId="74" xfId="0" applyNumberFormat="1" applyBorder="1"/>
    <xf numFmtId="172" fontId="0" fillId="0" borderId="0" xfId="0" applyNumberFormat="1"/>
    <xf numFmtId="165" fontId="0" fillId="0" borderId="1" xfId="0" applyNumberFormat="1" applyBorder="1"/>
    <xf numFmtId="0" fontId="0" fillId="0" borderId="70" xfId="0" applyBorder="1"/>
    <xf numFmtId="10" fontId="0" fillId="0" borderId="8" xfId="0" applyNumberFormat="1" applyBorder="1"/>
    <xf numFmtId="10" fontId="2" fillId="3" borderId="19" xfId="2" applyNumberFormat="1" applyBorder="1"/>
    <xf numFmtId="1" fontId="0" fillId="0" borderId="8" xfId="0" applyNumberFormat="1" applyBorder="1" applyAlignment="1">
      <alignment horizontal="center"/>
    </xf>
    <xf numFmtId="167" fontId="0" fillId="0" borderId="1" xfId="0" applyNumberFormat="1" applyBorder="1" applyProtection="1">
      <protection hidden="1"/>
    </xf>
    <xf numFmtId="172" fontId="0" fillId="0" borderId="8" xfId="0" applyNumberFormat="1" applyBorder="1"/>
    <xf numFmtId="10" fontId="0" fillId="0" borderId="8" xfId="0" applyNumberFormat="1" applyBorder="1" applyAlignment="1" applyProtection="1">
      <alignment vertical="top"/>
      <protection hidden="1"/>
    </xf>
    <xf numFmtId="0" fontId="0" fillId="0" borderId="8" xfId="0" applyBorder="1" applyAlignment="1">
      <alignment vertical="top"/>
    </xf>
    <xf numFmtId="10" fontId="3" fillId="4" borderId="8" xfId="3" applyNumberFormat="1" applyBorder="1" applyAlignment="1" applyProtection="1">
      <alignment vertical="top"/>
      <protection hidden="1"/>
    </xf>
    <xf numFmtId="10" fontId="3" fillId="4" borderId="9" xfId="3" applyNumberFormat="1" applyBorder="1" applyAlignment="1" applyProtection="1">
      <alignment vertical="top"/>
      <protection hidden="1"/>
    </xf>
    <xf numFmtId="14" fontId="0" fillId="0" borderId="15" xfId="0" applyNumberFormat="1" applyBorder="1"/>
    <xf numFmtId="10" fontId="11" fillId="4" borderId="0" xfId="3" applyNumberFormat="1" applyFont="1" applyProtection="1">
      <protection hidden="1"/>
    </xf>
    <xf numFmtId="10" fontId="11" fillId="0" borderId="0" xfId="0" applyNumberFormat="1" applyFont="1" applyProtection="1">
      <protection hidden="1"/>
    </xf>
    <xf numFmtId="165" fontId="11" fillId="4" borderId="1" xfId="3" applyNumberFormat="1" applyFont="1" applyBorder="1" applyProtection="1">
      <protection hidden="1"/>
    </xf>
    <xf numFmtId="165" fontId="11" fillId="0" borderId="0" xfId="0" applyNumberFormat="1" applyFont="1" applyProtection="1">
      <protection hidden="1"/>
    </xf>
    <xf numFmtId="0" fontId="11" fillId="0" borderId="0" xfId="0" applyFont="1" applyProtection="1">
      <protection hidden="1"/>
    </xf>
    <xf numFmtId="0" fontId="11" fillId="0" borderId="8" xfId="0" applyFont="1" applyBorder="1" applyProtection="1">
      <protection hidden="1"/>
    </xf>
    <xf numFmtId="165" fontId="11" fillId="4" borderId="0" xfId="3" applyNumberFormat="1" applyFont="1" applyProtection="1">
      <protection hidden="1"/>
    </xf>
    <xf numFmtId="10" fontId="11" fillId="4" borderId="8" xfId="3" applyNumberFormat="1" applyFont="1" applyBorder="1" applyProtection="1">
      <protection hidden="1"/>
    </xf>
    <xf numFmtId="10" fontId="0" fillId="0" borderId="4" xfId="0" applyNumberFormat="1" applyBorder="1" applyAlignment="1">
      <alignment horizontal="center"/>
    </xf>
    <xf numFmtId="171" fontId="0" fillId="0" borderId="0" xfId="0" applyNumberFormat="1"/>
    <xf numFmtId="164" fontId="0" fillId="0" borderId="0" xfId="0" applyNumberFormat="1" applyAlignment="1">
      <alignment horizontal="center" wrapText="1"/>
    </xf>
    <xf numFmtId="10" fontId="0" fillId="0" borderId="0" xfId="0" applyNumberFormat="1" applyAlignment="1">
      <alignment horizontal="center" wrapText="1"/>
    </xf>
    <xf numFmtId="0" fontId="0" fillId="0" borderId="0" xfId="0" applyAlignment="1">
      <alignment wrapText="1"/>
    </xf>
    <xf numFmtId="0" fontId="7" fillId="0" borderId="0" xfId="0" applyFont="1"/>
    <xf numFmtId="0" fontId="5" fillId="0" borderId="0" xfId="5"/>
    <xf numFmtId="0" fontId="0" fillId="0" borderId="8" xfId="0" applyBorder="1" applyAlignment="1" applyProtection="1">
      <alignment horizontal="left"/>
      <protection hidden="1"/>
    </xf>
    <xf numFmtId="0" fontId="0" fillId="0" borderId="61" xfId="0" applyBorder="1" applyAlignment="1">
      <alignment horizontal="left"/>
    </xf>
    <xf numFmtId="0" fontId="0" fillId="0" borderId="0" xfId="0"/>
    <xf numFmtId="0" fontId="11" fillId="0" borderId="0" xfId="0" applyFont="1" applyProtection="1"/>
    <xf numFmtId="10" fontId="11" fillId="0" borderId="0" xfId="0" applyNumberFormat="1" applyFont="1" applyProtection="1"/>
    <xf numFmtId="0" fontId="0" fillId="0" borderId="0" xfId="0"/>
    <xf numFmtId="0" fontId="0" fillId="0" borderId="0" xfId="0"/>
    <xf numFmtId="0" fontId="0" fillId="0" borderId="0" xfId="0"/>
    <xf numFmtId="0" fontId="0" fillId="0" borderId="0" xfId="0" applyBorder="1"/>
    <xf numFmtId="1" fontId="0" fillId="0" borderId="11" xfId="0" applyNumberFormat="1" applyBorder="1" applyProtection="1">
      <protection hidden="1"/>
    </xf>
    <xf numFmtId="0" fontId="0" fillId="0" borderId="0" xfId="0"/>
    <xf numFmtId="2" fontId="2" fillId="3" borderId="14" xfId="2" applyNumberFormat="1" applyFont="1" applyBorder="1" applyProtection="1"/>
    <xf numFmtId="10" fontId="2" fillId="3" borderId="19" xfId="2" applyNumberFormat="1" applyBorder="1" applyProtection="1">
      <protection hidden="1"/>
    </xf>
    <xf numFmtId="0" fontId="0" fillId="0" borderId="0" xfId="0"/>
    <xf numFmtId="0" fontId="0" fillId="0" borderId="0" xfId="0"/>
    <xf numFmtId="0" fontId="0" fillId="0" borderId="0" xfId="0"/>
    <xf numFmtId="165" fontId="0" fillId="0" borderId="8" xfId="0" applyNumberFormat="1" applyBorder="1" applyProtection="1">
      <protection hidden="1"/>
    </xf>
    <xf numFmtId="165" fontId="0" fillId="0" borderId="1" xfId="0" applyNumberFormat="1" applyBorder="1" applyProtection="1">
      <protection hidden="1"/>
    </xf>
    <xf numFmtId="49" fontId="0" fillId="0" borderId="3" xfId="0" applyNumberFormat="1" applyBorder="1" applyAlignment="1">
      <alignment horizontal="center" wrapText="1"/>
    </xf>
    <xf numFmtId="165" fontId="3" fillId="4" borderId="8" xfId="3" applyNumberFormat="1" applyBorder="1" applyAlignment="1" applyProtection="1">
      <alignment wrapText="1"/>
      <protection hidden="1"/>
    </xf>
    <xf numFmtId="1" fontId="0" fillId="0" borderId="0" xfId="0" applyNumberFormat="1" applyBorder="1" applyProtection="1">
      <protection hidden="1"/>
    </xf>
    <xf numFmtId="165" fontId="0" fillId="0" borderId="0" xfId="0" applyNumberFormat="1" applyBorder="1" applyProtection="1">
      <protection hidden="1"/>
    </xf>
    <xf numFmtId="165" fontId="3" fillId="4" borderId="0" xfId="3" applyNumberFormat="1" applyBorder="1" applyAlignment="1" applyProtection="1">
      <alignment wrapText="1"/>
      <protection hidden="1"/>
    </xf>
    <xf numFmtId="49" fontId="0" fillId="0" borderId="0" xfId="0" applyNumberFormat="1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165" fontId="0" fillId="0" borderId="1" xfId="0" applyNumberFormat="1" applyBorder="1" applyAlignment="1" applyProtection="1">
      <alignment wrapText="1"/>
      <protection hidden="1"/>
    </xf>
    <xf numFmtId="14" fontId="3" fillId="4" borderId="6" xfId="3" applyNumberFormat="1" applyBorder="1" applyAlignment="1" applyProtection="1">
      <alignment wrapText="1"/>
      <protection hidden="1"/>
    </xf>
    <xf numFmtId="0" fontId="0" fillId="0" borderId="0" xfId="0"/>
    <xf numFmtId="165" fontId="0" fillId="0" borderId="8" xfId="0" applyNumberFormat="1" applyBorder="1" applyProtection="1">
      <protection hidden="1"/>
    </xf>
    <xf numFmtId="49" fontId="0" fillId="0" borderId="3" xfId="0" applyNumberFormat="1" applyBorder="1" applyAlignment="1">
      <alignment horizontal="center" wrapText="1"/>
    </xf>
    <xf numFmtId="0" fontId="0" fillId="0" borderId="0" xfId="0"/>
    <xf numFmtId="14" fontId="0" fillId="0" borderId="16" xfId="0" applyNumberFormat="1" applyBorder="1"/>
    <xf numFmtId="10" fontId="0" fillId="0" borderId="16" xfId="0" applyNumberFormat="1" applyBorder="1"/>
    <xf numFmtId="10" fontId="5" fillId="0" borderId="16" xfId="5" quotePrefix="1" applyNumberFormat="1" applyBorder="1"/>
    <xf numFmtId="14" fontId="0" fillId="0" borderId="16" xfId="0" applyNumberFormat="1" applyBorder="1" applyProtection="1">
      <protection hidden="1"/>
    </xf>
    <xf numFmtId="0" fontId="0" fillId="0" borderId="88" xfId="0" applyBorder="1"/>
    <xf numFmtId="0" fontId="0" fillId="0" borderId="89" xfId="0" applyBorder="1" applyProtection="1">
      <protection hidden="1"/>
    </xf>
    <xf numFmtId="0" fontId="0" fillId="0" borderId="11" xfId="0" applyBorder="1" applyProtection="1">
      <protection hidden="1"/>
    </xf>
    <xf numFmtId="165" fontId="0" fillId="0" borderId="8" xfId="0" applyNumberFormat="1" applyBorder="1" applyProtection="1">
      <protection hidden="1"/>
    </xf>
    <xf numFmtId="165" fontId="0" fillId="0" borderId="1" xfId="0" applyNumberFormat="1" applyBorder="1" applyProtection="1">
      <protection hidden="1"/>
    </xf>
    <xf numFmtId="0" fontId="0" fillId="0" borderId="2" xfId="0" applyBorder="1" applyAlignment="1">
      <alignment horizontal="center" wrapText="1"/>
    </xf>
    <xf numFmtId="14" fontId="3" fillId="4" borderId="0" xfId="3" applyNumberFormat="1" applyBorder="1" applyAlignment="1" applyProtection="1">
      <alignment wrapText="1"/>
      <protection hidden="1"/>
    </xf>
    <xf numFmtId="4" fontId="3" fillId="4" borderId="0" xfId="3" applyNumberFormat="1" applyBorder="1" applyAlignment="1" applyProtection="1">
      <alignment wrapText="1"/>
      <protection hidden="1"/>
    </xf>
    <xf numFmtId="2" fontId="0" fillId="0" borderId="0" xfId="0" applyNumberFormat="1" applyBorder="1" applyProtection="1">
      <protection hidden="1"/>
    </xf>
    <xf numFmtId="165" fontId="0" fillId="0" borderId="0" xfId="0" applyNumberFormat="1" applyBorder="1" applyAlignment="1" applyProtection="1">
      <alignment wrapText="1"/>
      <protection hidden="1"/>
    </xf>
    <xf numFmtId="165" fontId="0" fillId="0" borderId="1" xfId="0" applyNumberFormat="1" applyBorder="1" applyProtection="1">
      <protection hidden="1"/>
    </xf>
    <xf numFmtId="0" fontId="0" fillId="0" borderId="0" xfId="0" applyAlignment="1">
      <alignment horizontal="right"/>
    </xf>
    <xf numFmtId="6" fontId="0" fillId="0" borderId="0" xfId="0" applyNumberFormat="1"/>
    <xf numFmtId="0" fontId="0" fillId="0" borderId="0" xfId="0"/>
    <xf numFmtId="0" fontId="0" fillId="0" borderId="0" xfId="0" applyProtection="1">
      <protection hidden="1"/>
    </xf>
    <xf numFmtId="165" fontId="0" fillId="0" borderId="0" xfId="0" applyNumberFormat="1" applyProtection="1">
      <protection hidden="1"/>
    </xf>
    <xf numFmtId="165" fontId="0" fillId="0" borderId="8" xfId="0" applyNumberFormat="1" applyBorder="1" applyProtection="1">
      <protection hidden="1"/>
    </xf>
    <xf numFmtId="165" fontId="0" fillId="0" borderId="1" xfId="0" applyNumberFormat="1" applyBorder="1" applyProtection="1">
      <protection hidden="1"/>
    </xf>
    <xf numFmtId="165" fontId="0" fillId="0" borderId="8" xfId="0" applyNumberFormat="1" applyBorder="1" applyAlignment="1" applyProtection="1">
      <alignment vertical="top"/>
      <protection hidden="1"/>
    </xf>
    <xf numFmtId="0" fontId="0" fillId="0" borderId="1" xfId="0" applyBorder="1"/>
    <xf numFmtId="165" fontId="0" fillId="0" borderId="8" xfId="0" applyNumberFormat="1" applyBorder="1" applyProtection="1">
      <protection hidden="1"/>
    </xf>
    <xf numFmtId="0" fontId="0" fillId="0" borderId="8" xfId="0" applyBorder="1"/>
    <xf numFmtId="165" fontId="0" fillId="0" borderId="0" xfId="0" applyNumberFormat="1" applyBorder="1"/>
    <xf numFmtId="1" fontId="0" fillId="0" borderId="0" xfId="0" applyNumberFormat="1" applyBorder="1" applyAlignment="1">
      <alignment horizontal="center" wrapText="1"/>
    </xf>
    <xf numFmtId="3" fontId="0" fillId="0" borderId="0" xfId="0" applyNumberFormat="1" applyBorder="1" applyProtection="1">
      <protection hidden="1"/>
    </xf>
    <xf numFmtId="10" fontId="3" fillId="4" borderId="0" xfId="3" applyNumberFormat="1" applyBorder="1"/>
    <xf numFmtId="165" fontId="3" fillId="4" borderId="0" xfId="3" applyNumberFormat="1" applyBorder="1" applyProtection="1">
      <protection hidden="1"/>
    </xf>
    <xf numFmtId="165" fontId="3" fillId="4" borderId="0" xfId="3" applyNumberFormat="1" applyBorder="1"/>
    <xf numFmtId="10" fontId="0" fillId="0" borderId="0" xfId="0" applyNumberFormat="1" applyBorder="1" applyAlignment="1" applyProtection="1">
      <alignment wrapText="1"/>
      <protection hidden="1"/>
    </xf>
    <xf numFmtId="10" fontId="0" fillId="0" borderId="0" xfId="0" applyNumberFormat="1" applyBorder="1" applyProtection="1">
      <protection hidden="1"/>
    </xf>
    <xf numFmtId="172" fontId="0" fillId="0" borderId="0" xfId="0" applyNumberFormat="1" applyBorder="1"/>
    <xf numFmtId="10" fontId="0" fillId="0" borderId="0" xfId="0" applyNumberFormat="1" applyBorder="1"/>
    <xf numFmtId="165" fontId="0" fillId="0" borderId="8" xfId="0" applyNumberFormat="1" applyBorder="1"/>
    <xf numFmtId="167" fontId="0" fillId="0" borderId="0" xfId="0" applyNumberFormat="1" applyBorder="1" applyProtection="1">
      <protection hidden="1"/>
    </xf>
    <xf numFmtId="165" fontId="0" fillId="0" borderId="0" xfId="0" applyNumberFormat="1" applyBorder="1" applyAlignment="1" applyProtection="1">
      <alignment vertical="top"/>
      <protection hidden="1"/>
    </xf>
    <xf numFmtId="0" fontId="0" fillId="0" borderId="0" xfId="0"/>
    <xf numFmtId="0" fontId="0" fillId="0" borderId="0" xfId="0"/>
    <xf numFmtId="0" fontId="0" fillId="0" borderId="8" xfId="0" applyBorder="1"/>
    <xf numFmtId="0" fontId="0" fillId="0" borderId="0" xfId="0" applyBorder="1"/>
    <xf numFmtId="0" fontId="0" fillId="0" borderId="0" xfId="0"/>
    <xf numFmtId="1" fontId="0" fillId="0" borderId="0" xfId="0" applyNumberFormat="1" applyBorder="1" applyAlignment="1" applyProtection="1">
      <alignment wrapText="1"/>
      <protection hidden="1"/>
    </xf>
    <xf numFmtId="0" fontId="0" fillId="0" borderId="0" xfId="0"/>
    <xf numFmtId="0" fontId="0" fillId="0" borderId="8" xfId="0" applyBorder="1" applyAlignment="1"/>
    <xf numFmtId="0" fontId="0" fillId="0" borderId="0" xfId="0"/>
    <xf numFmtId="0" fontId="0" fillId="0" borderId="4" xfId="0" applyBorder="1"/>
    <xf numFmtId="0" fontId="0" fillId="0" borderId="0" xfId="0"/>
    <xf numFmtId="165" fontId="0" fillId="0" borderId="0" xfId="0" applyNumberFormat="1" applyProtection="1">
      <protection hidden="1"/>
    </xf>
    <xf numFmtId="0" fontId="0" fillId="0" borderId="0" xfId="0" applyBorder="1"/>
    <xf numFmtId="0" fontId="0" fillId="0" borderId="0" xfId="0"/>
    <xf numFmtId="165" fontId="0" fillId="0" borderId="0" xfId="0" applyNumberFormat="1" applyProtection="1">
      <protection hidden="1"/>
    </xf>
    <xf numFmtId="167" fontId="0" fillId="0" borderId="0" xfId="0" applyNumberFormat="1" applyBorder="1"/>
    <xf numFmtId="167" fontId="3" fillId="5" borderId="0" xfId="4" applyNumberFormat="1" applyBorder="1" applyProtection="1">
      <protection hidden="1"/>
    </xf>
    <xf numFmtId="167" fontId="3" fillId="5" borderId="0" xfId="4" applyNumberFormat="1" applyBorder="1"/>
    <xf numFmtId="1" fontId="0" fillId="0" borderId="0" xfId="0" applyNumberFormat="1" applyBorder="1" applyAlignment="1">
      <alignment wrapText="1"/>
    </xf>
    <xf numFmtId="0" fontId="0" fillId="0" borderId="0" xfId="0" applyBorder="1" applyProtection="1">
      <protection hidden="1"/>
    </xf>
    <xf numFmtId="1" fontId="3" fillId="5" borderId="0" xfId="4" applyNumberFormat="1" applyBorder="1" applyProtection="1">
      <protection hidden="1"/>
    </xf>
    <xf numFmtId="1" fontId="3" fillId="5" borderId="0" xfId="4" applyNumberFormat="1" applyBorder="1"/>
    <xf numFmtId="173" fontId="0" fillId="0" borderId="0" xfId="0" applyNumberFormat="1" applyBorder="1" applyProtection="1">
      <protection hidden="1"/>
    </xf>
    <xf numFmtId="173" fontId="3" fillId="5" borderId="0" xfId="4" applyNumberFormat="1" applyBorder="1" applyProtection="1">
      <protection hidden="1"/>
    </xf>
    <xf numFmtId="0" fontId="0" fillId="0" borderId="0" xfId="0"/>
    <xf numFmtId="0" fontId="0" fillId="0" borderId="0" xfId="0" applyProtection="1">
      <protection hidden="1"/>
    </xf>
    <xf numFmtId="165" fontId="0" fillId="0" borderId="1" xfId="0" applyNumberFormat="1" applyBorder="1" applyProtection="1">
      <protection hidden="1"/>
    </xf>
    <xf numFmtId="165" fontId="0" fillId="0" borderId="0" xfId="0" applyNumberFormat="1" applyProtection="1">
      <protection hidden="1"/>
    </xf>
    <xf numFmtId="0" fontId="0" fillId="0" borderId="7" xfId="0" applyBorder="1"/>
    <xf numFmtId="0" fontId="0" fillId="0" borderId="7" xfId="0" applyBorder="1" applyAlignment="1" applyProtection="1">
      <alignment horizontal="center"/>
      <protection hidden="1"/>
    </xf>
    <xf numFmtId="1" fontId="0" fillId="0" borderId="7" xfId="0" applyNumberFormat="1" applyBorder="1" applyAlignment="1" applyProtection="1">
      <alignment wrapText="1"/>
      <protection hidden="1"/>
    </xf>
    <xf numFmtId="1" fontId="0" fillId="0" borderId="7" xfId="0" applyNumberFormat="1" applyBorder="1" applyProtection="1">
      <protection hidden="1"/>
    </xf>
    <xf numFmtId="1" fontId="11" fillId="0" borderId="7" xfId="0" applyNumberFormat="1" applyFont="1" applyBorder="1" applyProtection="1">
      <protection hidden="1"/>
    </xf>
    <xf numFmtId="1" fontId="3" fillId="5" borderId="0" xfId="4" applyNumberFormat="1" applyBorder="1" applyAlignment="1" applyProtection="1">
      <alignment horizontal="center" wrapText="1"/>
      <protection hidden="1"/>
    </xf>
    <xf numFmtId="1" fontId="3" fillId="5" borderId="0" xfId="4" applyNumberFormat="1" applyBorder="1" applyAlignment="1" applyProtection="1">
      <alignment wrapText="1"/>
      <protection hidden="1"/>
    </xf>
    <xf numFmtId="1" fontId="11" fillId="5" borderId="0" xfId="4" applyNumberFormat="1" applyFont="1" applyBorder="1" applyProtection="1">
      <protection hidden="1"/>
    </xf>
    <xf numFmtId="0" fontId="0" fillId="0" borderId="0" xfId="0" applyBorder="1" applyAlignment="1" applyProtection="1">
      <alignment horizontal="center"/>
      <protection hidden="1"/>
    </xf>
    <xf numFmtId="1" fontId="11" fillId="0" borderId="0" xfId="0" applyNumberFormat="1" applyFont="1" applyBorder="1" applyProtection="1">
      <protection hidden="1"/>
    </xf>
    <xf numFmtId="1" fontId="3" fillId="5" borderId="5" xfId="4" applyNumberFormat="1" applyBorder="1" applyAlignment="1" applyProtection="1">
      <alignment horizontal="center" wrapText="1"/>
      <protection hidden="1"/>
    </xf>
    <xf numFmtId="1" fontId="3" fillId="5" borderId="5" xfId="4" applyNumberFormat="1" applyBorder="1" applyAlignment="1" applyProtection="1">
      <alignment wrapText="1"/>
      <protection hidden="1"/>
    </xf>
    <xf numFmtId="1" fontId="3" fillId="5" borderId="5" xfId="4" applyNumberFormat="1" applyBorder="1" applyProtection="1">
      <protection hidden="1"/>
    </xf>
    <xf numFmtId="1" fontId="2" fillId="3" borderId="21" xfId="2" applyNumberFormat="1" applyBorder="1" applyProtection="1">
      <protection hidden="1"/>
    </xf>
    <xf numFmtId="166" fontId="2" fillId="3" borderId="21" xfId="2" applyNumberFormat="1" applyBorder="1" applyProtection="1">
      <protection hidden="1"/>
    </xf>
    <xf numFmtId="10" fontId="2" fillId="3" borderId="21" xfId="2" applyNumberFormat="1" applyBorder="1" applyProtection="1">
      <protection hidden="1"/>
    </xf>
    <xf numFmtId="166" fontId="2" fillId="3" borderId="70" xfId="2" applyNumberFormat="1" applyFont="1" applyBorder="1" applyProtection="1"/>
    <xf numFmtId="0" fontId="0" fillId="0" borderId="0" xfId="0"/>
    <xf numFmtId="166" fontId="0" fillId="0" borderId="0" xfId="0" applyNumberFormat="1" applyBorder="1"/>
    <xf numFmtId="166" fontId="0" fillId="0" borderId="8" xfId="0" applyNumberFormat="1" applyBorder="1"/>
    <xf numFmtId="0" fontId="0" fillId="0" borderId="0" xfId="0"/>
    <xf numFmtId="0" fontId="0" fillId="0" borderId="0" xfId="0"/>
    <xf numFmtId="165" fontId="0" fillId="0" borderId="8" xfId="0" applyNumberFormat="1" applyBorder="1" applyProtection="1">
      <protection hidden="1"/>
    </xf>
    <xf numFmtId="0" fontId="0" fillId="0" borderId="0" xfId="0" applyBorder="1"/>
    <xf numFmtId="164" fontId="0" fillId="0" borderId="8" xfId="0" applyNumberFormat="1" applyBorder="1"/>
    <xf numFmtId="165" fontId="3" fillId="5" borderId="8" xfId="4" applyNumberFormat="1" applyBorder="1"/>
    <xf numFmtId="164" fontId="0" fillId="0" borderId="1" xfId="0" applyNumberFormat="1" applyBorder="1" applyAlignment="1">
      <alignment wrapText="1"/>
    </xf>
    <xf numFmtId="165" fontId="3" fillId="5" borderId="1" xfId="4" applyNumberFormat="1" applyBorder="1" applyAlignment="1" applyProtection="1">
      <alignment wrapText="1"/>
      <protection hidden="1"/>
    </xf>
    <xf numFmtId="164" fontId="0" fillId="0" borderId="0" xfId="0" applyNumberFormat="1" applyBorder="1"/>
    <xf numFmtId="0" fontId="0" fillId="0" borderId="0" xfId="0"/>
    <xf numFmtId="0" fontId="0" fillId="0" borderId="0" xfId="0" applyBorder="1"/>
    <xf numFmtId="0" fontId="0" fillId="0" borderId="0" xfId="0"/>
    <xf numFmtId="165" fontId="3" fillId="6" borderId="1" xfId="6" applyNumberFormat="1" applyBorder="1" applyProtection="1">
      <protection hidden="1"/>
    </xf>
    <xf numFmtId="165" fontId="3" fillId="6" borderId="0" xfId="6" applyNumberFormat="1" applyBorder="1" applyProtection="1">
      <protection hidden="1"/>
    </xf>
    <xf numFmtId="10" fontId="0" fillId="6" borderId="0" xfId="6" applyNumberFormat="1" applyFont="1" applyBorder="1" applyProtection="1">
      <protection hidden="1"/>
    </xf>
    <xf numFmtId="165" fontId="3" fillId="6" borderId="8" xfId="6" applyNumberFormat="1" applyBorder="1" applyProtection="1">
      <protection hidden="1"/>
    </xf>
    <xf numFmtId="10" fontId="3" fillId="6" borderId="0" xfId="6" applyNumberFormat="1" applyBorder="1" applyProtection="1">
      <protection hidden="1"/>
    </xf>
    <xf numFmtId="0" fontId="0" fillId="0" borderId="15" xfId="0" applyBorder="1"/>
    <xf numFmtId="0" fontId="0" fillId="0" borderId="7" xfId="0" applyBorder="1"/>
    <xf numFmtId="0" fontId="0" fillId="0" borderId="0" xfId="0"/>
    <xf numFmtId="0" fontId="0" fillId="0" borderId="21" xfId="0" applyBorder="1" applyAlignment="1">
      <alignment horizontal="center"/>
    </xf>
    <xf numFmtId="0" fontId="0" fillId="0" borderId="9" xfId="0" applyBorder="1"/>
    <xf numFmtId="0" fontId="0" fillId="0" borderId="8" xfId="0" applyBorder="1"/>
    <xf numFmtId="0" fontId="0" fillId="0" borderId="0" xfId="0" applyBorder="1"/>
    <xf numFmtId="0" fontId="0" fillId="0" borderId="5" xfId="0" applyBorder="1"/>
    <xf numFmtId="0" fontId="0" fillId="0" borderId="11" xfId="0" applyBorder="1"/>
    <xf numFmtId="0" fontId="0" fillId="0" borderId="0" xfId="0"/>
    <xf numFmtId="0" fontId="0" fillId="0" borderId="0" xfId="0"/>
    <xf numFmtId="165" fontId="0" fillId="0" borderId="1" xfId="0" applyNumberFormat="1" applyBorder="1" applyProtection="1">
      <protection hidden="1"/>
    </xf>
    <xf numFmtId="0" fontId="0" fillId="0" borderId="0" xfId="0"/>
    <xf numFmtId="0" fontId="0" fillId="0" borderId="0" xfId="0" applyProtection="1">
      <protection hidden="1"/>
    </xf>
    <xf numFmtId="165" fontId="0" fillId="0" borderId="1" xfId="0" applyNumberFormat="1" applyBorder="1" applyProtection="1">
      <protection hidden="1"/>
    </xf>
    <xf numFmtId="165" fontId="0" fillId="0" borderId="0" xfId="0" applyNumberFormat="1" applyProtection="1">
      <protection hidden="1"/>
    </xf>
    <xf numFmtId="165" fontId="0" fillId="0" borderId="8" xfId="0" applyNumberFormat="1" applyBorder="1" applyProtection="1">
      <protection hidden="1"/>
    </xf>
    <xf numFmtId="0" fontId="0" fillId="0" borderId="0" xfId="0" applyProtection="1">
      <protection hidden="1"/>
    </xf>
    <xf numFmtId="0" fontId="0" fillId="0" borderId="0" xfId="0"/>
    <xf numFmtId="0" fontId="0" fillId="0" borderId="0" xfId="0"/>
    <xf numFmtId="0" fontId="0" fillId="0" borderId="0" xfId="0"/>
    <xf numFmtId="174" fontId="0" fillId="0" borderId="0" xfId="0" applyNumberFormat="1"/>
    <xf numFmtId="0" fontId="0" fillId="0" borderId="0" xfId="0"/>
    <xf numFmtId="0" fontId="0" fillId="0" borderId="0" xfId="0" applyProtection="1">
      <protection hidden="1"/>
    </xf>
    <xf numFmtId="0" fontId="0" fillId="0" borderId="0" xfId="0" applyBorder="1"/>
    <xf numFmtId="0" fontId="0" fillId="0" borderId="0" xfId="0" applyAlignment="1"/>
    <xf numFmtId="0" fontId="0" fillId="0" borderId="0" xfId="0"/>
    <xf numFmtId="0" fontId="0" fillId="0" borderId="1" xfId="0" applyBorder="1"/>
    <xf numFmtId="165" fontId="0" fillId="0" borderId="8" xfId="0" applyNumberFormat="1" applyBorder="1" applyProtection="1">
      <protection hidden="1"/>
    </xf>
    <xf numFmtId="165" fontId="0" fillId="0" borderId="1" xfId="0" applyNumberFormat="1" applyBorder="1" applyProtection="1">
      <protection hidden="1"/>
    </xf>
    <xf numFmtId="0" fontId="0" fillId="0" borderId="0" xfId="0" applyBorder="1"/>
    <xf numFmtId="0" fontId="0" fillId="0" borderId="1" xfId="0" applyBorder="1"/>
    <xf numFmtId="165" fontId="0" fillId="0" borderId="1" xfId="0" applyNumberFormat="1" applyBorder="1" applyProtection="1">
      <protection hidden="1"/>
    </xf>
    <xf numFmtId="0" fontId="0" fillId="0" borderId="0" xfId="0" applyBorder="1"/>
    <xf numFmtId="165" fontId="3" fillId="6" borderId="0" xfId="6" applyNumberFormat="1" applyBorder="1" applyAlignment="1" applyProtection="1">
      <alignment wrapText="1"/>
      <protection hidden="1"/>
    </xf>
    <xf numFmtId="2" fontId="3" fillId="6" borderId="0" xfId="6" applyNumberFormat="1" applyBorder="1" applyAlignment="1" applyProtection="1">
      <alignment wrapText="1"/>
      <protection hidden="1"/>
    </xf>
    <xf numFmtId="2" fontId="0" fillId="0" borderId="0" xfId="0" applyNumberFormat="1" applyBorder="1" applyAlignment="1" applyProtection="1">
      <alignment wrapText="1"/>
      <protection hidden="1"/>
    </xf>
    <xf numFmtId="0" fontId="0" fillId="0" borderId="16" xfId="0" applyBorder="1"/>
    <xf numFmtId="0" fontId="0" fillId="0" borderId="7" xfId="0" applyBorder="1"/>
    <xf numFmtId="0" fontId="0" fillId="0" borderId="0" xfId="0" applyBorder="1" applyAlignment="1">
      <alignment horizontal="right"/>
    </xf>
    <xf numFmtId="0" fontId="0" fillId="0" borderId="1" xfId="0" applyBorder="1" applyAlignment="1">
      <alignment horizontal="right"/>
    </xf>
    <xf numFmtId="0" fontId="0" fillId="0" borderId="0" xfId="0"/>
    <xf numFmtId="0" fontId="0" fillId="0" borderId="8" xfId="0" applyBorder="1" applyProtection="1">
      <protection hidden="1"/>
    </xf>
    <xf numFmtId="0" fontId="0" fillId="0" borderId="1" xfId="0" applyBorder="1"/>
    <xf numFmtId="0" fontId="0" fillId="0" borderId="9" xfId="0" applyBorder="1"/>
    <xf numFmtId="0" fontId="0" fillId="0" borderId="0" xfId="0" applyBorder="1" applyAlignment="1"/>
    <xf numFmtId="0" fontId="0" fillId="0" borderId="8" xfId="0" applyBorder="1"/>
    <xf numFmtId="0" fontId="0" fillId="0" borderId="0" xfId="0" applyBorder="1"/>
    <xf numFmtId="0" fontId="0" fillId="0" borderId="5" xfId="0" applyBorder="1"/>
    <xf numFmtId="0" fontId="0" fillId="0" borderId="11" xfId="0" applyBorder="1"/>
    <xf numFmtId="0" fontId="0" fillId="0" borderId="0" xfId="0"/>
    <xf numFmtId="0" fontId="0" fillId="0" borderId="15" xfId="0" applyBorder="1"/>
    <xf numFmtId="0" fontId="0" fillId="0" borderId="16" xfId="0" applyBorder="1"/>
    <xf numFmtId="0" fontId="0" fillId="0" borderId="7" xfId="0" applyBorder="1"/>
    <xf numFmtId="0" fontId="0" fillId="0" borderId="0" xfId="0"/>
    <xf numFmtId="0" fontId="0" fillId="0" borderId="21" xfId="0" applyBorder="1" applyAlignment="1">
      <alignment horizontal="center"/>
    </xf>
    <xf numFmtId="0" fontId="0" fillId="0" borderId="9" xfId="0" applyBorder="1"/>
    <xf numFmtId="0" fontId="0" fillId="0" borderId="4" xfId="0" applyBorder="1" applyAlignment="1">
      <alignment horizontal="center"/>
    </xf>
    <xf numFmtId="0" fontId="0" fillId="0" borderId="8" xfId="0" applyBorder="1"/>
    <xf numFmtId="0" fontId="0" fillId="0" borderId="0" xfId="0" applyBorder="1"/>
    <xf numFmtId="0" fontId="0" fillId="0" borderId="5" xfId="0" applyBorder="1"/>
    <xf numFmtId="10" fontId="9" fillId="0" borderId="0" xfId="0" applyNumberFormat="1" applyFont="1" applyBorder="1" applyProtection="1">
      <protection hidden="1"/>
    </xf>
    <xf numFmtId="0" fontId="0" fillId="0" borderId="0" xfId="0" applyBorder="1" applyAlignment="1">
      <alignment horizontal="center"/>
    </xf>
    <xf numFmtId="10" fontId="2" fillId="3" borderId="14" xfId="2" applyNumberFormat="1"/>
    <xf numFmtId="0" fontId="0" fillId="0" borderId="8" xfId="0" applyBorder="1"/>
    <xf numFmtId="1" fontId="2" fillId="3" borderId="58" xfId="2" applyNumberFormat="1" applyFont="1" applyBorder="1" applyAlignment="1" applyProtection="1">
      <alignment horizontal="center"/>
    </xf>
    <xf numFmtId="0" fontId="0" fillId="0" borderId="0" xfId="0" applyBorder="1"/>
    <xf numFmtId="0" fontId="0" fillId="0" borderId="21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/>
    <xf numFmtId="0" fontId="0" fillId="0" borderId="8" xfId="0" applyBorder="1"/>
    <xf numFmtId="10" fontId="11" fillId="7" borderId="10" xfId="7" applyNumberFormat="1" applyFont="1" applyBorder="1" applyAlignment="1" applyProtection="1">
      <alignment horizontal="right"/>
      <protection locked="0"/>
    </xf>
    <xf numFmtId="165" fontId="11" fillId="7" borderId="10" xfId="7" applyNumberFormat="1" applyFont="1" applyBorder="1" applyAlignment="1" applyProtection="1">
      <alignment horizontal="right"/>
      <protection locked="0"/>
    </xf>
    <xf numFmtId="14" fontId="11" fillId="7" borderId="87" xfId="7" applyNumberFormat="1" applyFont="1" applyBorder="1" applyAlignment="1" applyProtection="1">
      <alignment horizontal="right"/>
      <protection locked="0"/>
    </xf>
    <xf numFmtId="169" fontId="11" fillId="7" borderId="10" xfId="7" applyNumberFormat="1" applyFont="1" applyBorder="1" applyAlignment="1" applyProtection="1">
      <alignment horizontal="right"/>
      <protection locked="0"/>
    </xf>
    <xf numFmtId="175" fontId="2" fillId="3" borderId="21" xfId="2" applyNumberFormat="1" applyBorder="1" applyAlignment="1" applyProtection="1">
      <alignment horizontal="center"/>
      <protection hidden="1"/>
    </xf>
    <xf numFmtId="1" fontId="11" fillId="4" borderId="14" xfId="3" applyNumberFormat="1" applyFont="1" applyBorder="1" applyProtection="1"/>
    <xf numFmtId="14" fontId="11" fillId="7" borderId="53" xfId="7" applyNumberFormat="1" applyFont="1" applyBorder="1" applyAlignment="1" applyProtection="1">
      <alignment horizontal="right"/>
      <protection locked="0"/>
    </xf>
    <xf numFmtId="1" fontId="11" fillId="4" borderId="14" xfId="3" applyNumberFormat="1" applyFont="1" applyBorder="1" applyAlignment="1" applyProtection="1">
      <alignment horizontal="center"/>
    </xf>
    <xf numFmtId="10" fontId="11" fillId="7" borderId="71" xfId="7" applyNumberFormat="1" applyFont="1" applyBorder="1" applyAlignment="1" applyProtection="1">
      <alignment horizontal="right"/>
      <protection locked="0"/>
    </xf>
    <xf numFmtId="165" fontId="11" fillId="7" borderId="71" xfId="7" applyNumberFormat="1" applyFont="1" applyBorder="1" applyAlignment="1" applyProtection="1">
      <alignment horizontal="right"/>
      <protection locked="0"/>
    </xf>
    <xf numFmtId="0" fontId="0" fillId="0" borderId="0" xfId="0"/>
    <xf numFmtId="165" fontId="11" fillId="7" borderId="53" xfId="7" applyNumberFormat="1" applyFont="1" applyBorder="1" applyAlignment="1" applyProtection="1">
      <alignment horizontal="right"/>
      <protection locked="0"/>
    </xf>
    <xf numFmtId="165" fontId="11" fillId="7" borderId="54" xfId="7" applyNumberFormat="1" applyFont="1" applyBorder="1" applyAlignment="1" applyProtection="1">
      <alignment horizontal="right"/>
      <protection locked="0"/>
    </xf>
    <xf numFmtId="10" fontId="11" fillId="7" borderId="55" xfId="7" applyNumberFormat="1" applyFont="1" applyBorder="1" applyAlignment="1" applyProtection="1">
      <alignment horizontal="right"/>
      <protection locked="0"/>
    </xf>
    <xf numFmtId="10" fontId="11" fillId="7" borderId="63" xfId="7" applyNumberFormat="1" applyFont="1" applyBorder="1" applyAlignment="1" applyProtection="1">
      <alignment horizontal="right"/>
      <protection locked="0"/>
    </xf>
    <xf numFmtId="10" fontId="11" fillId="7" borderId="82" xfId="7" applyNumberFormat="1" applyFont="1" applyBorder="1" applyAlignment="1" applyProtection="1">
      <alignment horizontal="right"/>
      <protection locked="0"/>
    </xf>
    <xf numFmtId="170" fontId="11" fillId="7" borderId="71" xfId="7" applyNumberFormat="1" applyFont="1" applyBorder="1" applyAlignment="1" applyProtection="1">
      <alignment horizontal="right"/>
      <protection locked="0"/>
    </xf>
    <xf numFmtId="170" fontId="11" fillId="7" borderId="90" xfId="7" applyNumberFormat="1" applyFont="1" applyBorder="1" applyAlignment="1" applyProtection="1">
      <alignment horizontal="right"/>
      <protection locked="0"/>
    </xf>
    <xf numFmtId="14" fontId="11" fillId="7" borderId="54" xfId="7" applyNumberFormat="1" applyFont="1" applyBorder="1" applyAlignment="1" applyProtection="1">
      <alignment horizontal="right"/>
      <protection locked="0"/>
    </xf>
    <xf numFmtId="165" fontId="0" fillId="0" borderId="0" xfId="0" applyNumberFormat="1" applyProtection="1">
      <protection hidden="1"/>
    </xf>
    <xf numFmtId="0" fontId="0" fillId="0" borderId="0" xfId="0" applyBorder="1"/>
    <xf numFmtId="0" fontId="0" fillId="0" borderId="0" xfId="0" applyBorder="1"/>
    <xf numFmtId="0" fontId="0" fillId="0" borderId="0" xfId="0"/>
    <xf numFmtId="49" fontId="0" fillId="0" borderId="0" xfId="0" applyNumberFormat="1" applyBorder="1" applyAlignment="1">
      <alignment horizontal="left" wrapText="1"/>
    </xf>
    <xf numFmtId="165" fontId="11" fillId="7" borderId="40" xfId="7" applyNumberFormat="1" applyFont="1" applyBorder="1" applyAlignment="1" applyProtection="1">
      <alignment horizontal="right"/>
      <protection locked="0"/>
    </xf>
    <xf numFmtId="165" fontId="11" fillId="7" borderId="42" xfId="7" applyNumberFormat="1" applyFont="1" applyBorder="1" applyAlignment="1" applyProtection="1">
      <alignment horizontal="right"/>
      <protection locked="0"/>
    </xf>
    <xf numFmtId="165" fontId="11" fillId="7" borderId="25" xfId="7" applyNumberFormat="1" applyFont="1" applyBorder="1" applyAlignment="1" applyProtection="1">
      <alignment horizontal="right"/>
      <protection locked="0"/>
    </xf>
    <xf numFmtId="14" fontId="11" fillId="7" borderId="10" xfId="7" applyNumberFormat="1" applyFont="1" applyBorder="1" applyAlignment="1" applyProtection="1">
      <alignment horizontal="right"/>
      <protection locked="0"/>
    </xf>
    <xf numFmtId="2" fontId="11" fillId="7" borderId="10" xfId="7" applyNumberFormat="1" applyFont="1" applyBorder="1" applyAlignment="1" applyProtection="1">
      <alignment horizontal="right"/>
      <protection locked="0"/>
    </xf>
    <xf numFmtId="165" fontId="11" fillId="7" borderId="59" xfId="7" applyNumberFormat="1" applyFont="1" applyBorder="1" applyAlignment="1" applyProtection="1">
      <alignment horizontal="right"/>
      <protection locked="0"/>
    </xf>
    <xf numFmtId="14" fontId="2" fillId="3" borderId="17" xfId="2" applyNumberFormat="1" applyFont="1" applyBorder="1" applyAlignment="1" applyProtection="1">
      <alignment horizontal="right"/>
      <protection hidden="1"/>
    </xf>
    <xf numFmtId="1" fontId="2" fillId="3" borderId="57" xfId="5" applyNumberFormat="1" applyFont="1" applyFill="1" applyBorder="1" applyAlignment="1" applyProtection="1">
      <alignment horizontal="right"/>
    </xf>
    <xf numFmtId="14" fontId="2" fillId="3" borderId="14" xfId="5" applyNumberFormat="1" applyFont="1" applyFill="1" applyBorder="1" applyProtection="1"/>
    <xf numFmtId="0" fontId="2" fillId="3" borderId="14" xfId="5" applyFont="1" applyFill="1" applyBorder="1" applyProtection="1"/>
    <xf numFmtId="165" fontId="2" fillId="3" borderId="70" xfId="2" applyNumberFormat="1" applyFont="1" applyBorder="1" applyProtection="1">
      <protection hidden="1"/>
    </xf>
    <xf numFmtId="165" fontId="2" fillId="3" borderId="69" xfId="2" applyNumberFormat="1" applyFont="1" applyBorder="1" applyProtection="1">
      <protection hidden="1"/>
    </xf>
    <xf numFmtId="3" fontId="11" fillId="7" borderId="52" xfId="7" applyNumberFormat="1" applyFont="1" applyBorder="1" applyAlignment="1" applyProtection="1">
      <alignment horizontal="right"/>
      <protection locked="0"/>
    </xf>
    <xf numFmtId="10" fontId="11" fillId="7" borderId="53" xfId="7" applyNumberFormat="1" applyFont="1" applyBorder="1" applyAlignment="1" applyProtection="1">
      <alignment horizontal="right"/>
      <protection locked="0"/>
    </xf>
    <xf numFmtId="10" fontId="11" fillId="7" borderId="54" xfId="7" applyNumberFormat="1" applyFont="1" applyBorder="1" applyAlignment="1" applyProtection="1">
      <alignment horizontal="right"/>
      <protection locked="0"/>
    </xf>
    <xf numFmtId="14" fontId="11" fillId="7" borderId="72" xfId="7" applyNumberFormat="1" applyFont="1" applyBorder="1" applyAlignment="1" applyProtection="1">
      <alignment horizontal="right"/>
      <protection locked="0"/>
    </xf>
    <xf numFmtId="1" fontId="11" fillId="7" borderId="71" xfId="7" applyNumberFormat="1" applyFont="1" applyBorder="1" applyAlignment="1" applyProtection="1">
      <alignment horizontal="right"/>
      <protection locked="0"/>
    </xf>
    <xf numFmtId="10" fontId="11" fillId="7" borderId="72" xfId="7" applyNumberFormat="1" applyFont="1" applyBorder="1" applyAlignment="1" applyProtection="1">
      <alignment horizontal="right"/>
      <protection locked="0"/>
    </xf>
    <xf numFmtId="170" fontId="11" fillId="7" borderId="73" xfId="7" applyNumberFormat="1" applyFont="1" applyBorder="1" applyAlignment="1" applyProtection="1">
      <alignment horizontal="right"/>
      <protection locked="0"/>
    </xf>
    <xf numFmtId="165" fontId="11" fillId="7" borderId="72" xfId="7" applyNumberFormat="1" applyFont="1" applyBorder="1" applyAlignment="1" applyProtection="1">
      <alignment horizontal="right"/>
      <protection locked="0"/>
    </xf>
    <xf numFmtId="3" fontId="11" fillId="7" borderId="54" xfId="7" applyNumberFormat="1" applyFont="1" applyBorder="1" applyAlignment="1" applyProtection="1">
      <alignment horizontal="right"/>
      <protection locked="0"/>
    </xf>
    <xf numFmtId="165" fontId="11" fillId="7" borderId="63" xfId="7" applyNumberFormat="1" applyFont="1" applyBorder="1" applyAlignment="1" applyProtection="1">
      <alignment horizontal="right"/>
      <protection locked="0"/>
    </xf>
    <xf numFmtId="0" fontId="11" fillId="7" borderId="43" xfId="7" applyFont="1" applyBorder="1" applyAlignment="1" applyProtection="1">
      <alignment horizontal="right"/>
      <protection locked="0"/>
    </xf>
    <xf numFmtId="0" fontId="11" fillId="7" borderId="23" xfId="7" applyFont="1" applyBorder="1" applyAlignment="1" applyProtection="1">
      <alignment horizontal="right"/>
      <protection locked="0"/>
    </xf>
    <xf numFmtId="165" fontId="11" fillId="7" borderId="13" xfId="7" applyNumberFormat="1" applyFont="1" applyBorder="1" applyAlignment="1" applyProtection="1">
      <alignment horizontal="right"/>
      <protection locked="0"/>
    </xf>
    <xf numFmtId="165" fontId="11" fillId="7" borderId="47" xfId="7" applyNumberFormat="1" applyFont="1" applyBorder="1" applyAlignment="1" applyProtection="1">
      <alignment horizontal="right"/>
      <protection locked="0"/>
    </xf>
    <xf numFmtId="0" fontId="11" fillId="7" borderId="48" xfId="7" applyFont="1" applyBorder="1" applyAlignment="1" applyProtection="1">
      <alignment horizontal="right"/>
      <protection locked="0"/>
    </xf>
    <xf numFmtId="0" fontId="11" fillId="7" borderId="44" xfId="7" applyFont="1" applyBorder="1" applyAlignment="1" applyProtection="1">
      <alignment horizontal="right"/>
      <protection locked="0"/>
    </xf>
    <xf numFmtId="0" fontId="11" fillId="7" borderId="46" xfId="7" applyFont="1" applyBorder="1" applyAlignment="1" applyProtection="1">
      <alignment horizontal="right"/>
      <protection locked="0"/>
    </xf>
    <xf numFmtId="1" fontId="11" fillId="7" borderId="10" xfId="7" applyNumberFormat="1" applyFont="1" applyBorder="1" applyAlignment="1" applyProtection="1">
      <alignment horizontal="right"/>
      <protection locked="0"/>
    </xf>
    <xf numFmtId="0" fontId="11" fillId="7" borderId="60" xfId="7" applyFont="1" applyBorder="1" applyAlignment="1" applyProtection="1">
      <alignment horizontal="right"/>
      <protection locked="0"/>
    </xf>
    <xf numFmtId="0" fontId="11" fillId="7" borderId="63" xfId="7" applyNumberFormat="1" applyFont="1" applyBorder="1" applyAlignment="1" applyProtection="1">
      <alignment horizontal="center"/>
      <protection locked="0"/>
    </xf>
    <xf numFmtId="1" fontId="0" fillId="0" borderId="91" xfId="0" applyNumberFormat="1" applyBorder="1" applyAlignment="1" applyProtection="1">
      <alignment wrapText="1"/>
      <protection hidden="1"/>
    </xf>
    <xf numFmtId="1" fontId="3" fillId="5" borderId="92" xfId="4" applyNumberFormat="1" applyBorder="1" applyAlignment="1" applyProtection="1">
      <alignment wrapText="1"/>
      <protection hidden="1"/>
    </xf>
    <xf numFmtId="14" fontId="11" fillId="4" borderId="14" xfId="3" applyNumberFormat="1" applyFont="1" applyBorder="1" applyProtection="1"/>
    <xf numFmtId="0" fontId="11" fillId="7" borderId="54" xfId="7" applyFont="1" applyBorder="1" applyAlignment="1" applyProtection="1">
      <alignment horizontal="center"/>
      <protection locked="0"/>
    </xf>
    <xf numFmtId="3" fontId="11" fillId="7" borderId="75" xfId="7" applyNumberFormat="1" applyFont="1" applyBorder="1" applyAlignment="1" applyProtection="1">
      <alignment horizontal="right"/>
      <protection locked="0"/>
    </xf>
    <xf numFmtId="10" fontId="11" fillId="4" borderId="0" xfId="3" applyNumberFormat="1" applyFont="1" applyProtection="1"/>
    <xf numFmtId="165" fontId="2" fillId="3" borderId="14" xfId="2" applyNumberFormat="1" applyFont="1" applyProtection="1"/>
    <xf numFmtId="14" fontId="11" fillId="7" borderId="71" xfId="7" applyNumberFormat="1" applyFont="1" applyBorder="1" applyAlignment="1" applyProtection="1">
      <alignment horizontal="right"/>
      <protection locked="0"/>
    </xf>
    <xf numFmtId="0" fontId="0" fillId="0" borderId="0" xfId="0" applyProtection="1">
      <protection hidden="1"/>
    </xf>
    <xf numFmtId="165" fontId="0" fillId="0" borderId="1" xfId="0" applyNumberFormat="1" applyBorder="1" applyProtection="1">
      <protection hidden="1"/>
    </xf>
    <xf numFmtId="165" fontId="0" fillId="0" borderId="0" xfId="0" applyNumberFormat="1" applyProtection="1">
      <protection hidden="1"/>
    </xf>
    <xf numFmtId="165" fontId="0" fillId="0" borderId="8" xfId="0" applyNumberFormat="1" applyBorder="1" applyProtection="1">
      <protection hidden="1"/>
    </xf>
    <xf numFmtId="0" fontId="2" fillId="3" borderId="14" xfId="5" applyFont="1" applyFill="1" applyBorder="1" applyAlignment="1" applyProtection="1">
      <alignment horizontal="center"/>
    </xf>
    <xf numFmtId="0" fontId="0" fillId="0" borderId="0" xfId="0" applyBorder="1" applyAlignment="1">
      <alignment horizontal="right" vertical="center" wrapText="1"/>
    </xf>
    <xf numFmtId="0" fontId="0" fillId="0" borderId="5" xfId="0" applyBorder="1" applyAlignment="1">
      <alignment horizontal="right" vertical="center" wrapText="1"/>
    </xf>
    <xf numFmtId="0" fontId="0" fillId="0" borderId="15" xfId="0" applyBorder="1" applyAlignment="1">
      <alignment vertical="center"/>
    </xf>
    <xf numFmtId="0" fontId="0" fillId="0" borderId="16" xfId="0" applyBorder="1" applyAlignment="1">
      <alignment vertical="center"/>
    </xf>
    <xf numFmtId="0" fontId="11" fillId="7" borderId="12" xfId="7" applyFont="1" applyBorder="1" applyAlignment="1" applyProtection="1">
      <alignment horizontal="center"/>
      <protection locked="0"/>
    </xf>
    <xf numFmtId="0" fontId="15" fillId="0" borderId="4" xfId="0" applyFont="1" applyBorder="1" applyAlignment="1" applyProtection="1">
      <alignment horizontal="center"/>
      <protection locked="0"/>
    </xf>
    <xf numFmtId="0" fontId="2" fillId="3" borderId="14" xfId="5" applyFont="1" applyFill="1" applyBorder="1" applyAlignment="1" applyProtection="1">
      <alignment horizontal="center"/>
    </xf>
    <xf numFmtId="0" fontId="2" fillId="3" borderId="14" xfId="2" applyProtection="1"/>
    <xf numFmtId="0" fontId="0" fillId="0" borderId="65" xfId="0" applyBorder="1" applyAlignment="1">
      <alignment vertical="center"/>
    </xf>
    <xf numFmtId="0" fontId="12" fillId="0" borderId="0" xfId="0" applyFont="1" applyBorder="1" applyAlignment="1">
      <alignment horizontal="right" vertical="center" wrapText="1"/>
    </xf>
    <xf numFmtId="0" fontId="0" fillId="0" borderId="66" xfId="0" applyBorder="1" applyAlignment="1">
      <alignment vertical="center"/>
    </xf>
    <xf numFmtId="0" fontId="12" fillId="0" borderId="49" xfId="0" applyFont="1" applyBorder="1" applyAlignment="1">
      <alignment horizontal="right" vertical="center" wrapText="1"/>
    </xf>
    <xf numFmtId="0" fontId="12" fillId="0" borderId="31" xfId="0" applyFont="1" applyBorder="1" applyAlignment="1">
      <alignment horizontal="right" vertical="center" wrapText="1"/>
    </xf>
    <xf numFmtId="0" fontId="12" fillId="0" borderId="33" xfId="0" applyFont="1" applyBorder="1" applyAlignment="1">
      <alignment horizontal="right" vertical="center" wrapText="1"/>
    </xf>
    <xf numFmtId="0" fontId="0" fillId="0" borderId="64" xfId="0" applyBorder="1" applyAlignment="1">
      <alignment vertical="center"/>
    </xf>
    <xf numFmtId="0" fontId="12" fillId="0" borderId="76" xfId="0" applyFont="1" applyBorder="1" applyAlignment="1">
      <alignment horizontal="right" vertical="center" wrapText="1"/>
    </xf>
    <xf numFmtId="0" fontId="12" fillId="0" borderId="1" xfId="0" applyFont="1" applyBorder="1" applyAlignment="1">
      <alignment horizontal="right" vertical="center"/>
    </xf>
    <xf numFmtId="0" fontId="12" fillId="0" borderId="0" xfId="0" applyFont="1" applyAlignment="1">
      <alignment vertical="center"/>
    </xf>
    <xf numFmtId="0" fontId="0" fillId="0" borderId="8" xfId="0" applyBorder="1" applyAlignment="1">
      <alignment vertical="center"/>
    </xf>
    <xf numFmtId="0" fontId="11" fillId="7" borderId="79" xfId="7" applyFont="1" applyBorder="1" applyAlignment="1" applyProtection="1">
      <alignment horizontal="center"/>
      <protection locked="0"/>
    </xf>
    <xf numFmtId="0" fontId="15" fillId="0" borderId="80" xfId="0" applyFont="1" applyBorder="1" applyProtection="1">
      <protection locked="0"/>
    </xf>
    <xf numFmtId="0" fontId="12" fillId="0" borderId="0" xfId="0" applyFont="1" applyBorder="1" applyAlignment="1">
      <alignment vertical="center"/>
    </xf>
    <xf numFmtId="0" fontId="12" fillId="0" borderId="12" xfId="0" applyFont="1" applyBorder="1" applyAlignment="1">
      <alignment horizontal="right" vertical="center"/>
    </xf>
    <xf numFmtId="0" fontId="12" fillId="0" borderId="5" xfId="0" applyFont="1" applyBorder="1" applyAlignment="1">
      <alignment vertical="center"/>
    </xf>
    <xf numFmtId="0" fontId="12" fillId="0" borderId="1" xfId="5" applyFont="1" applyBorder="1" applyAlignment="1">
      <alignment horizontal="right"/>
    </xf>
    <xf numFmtId="0" fontId="5" fillId="0" borderId="0" xfId="5" applyBorder="1" applyAlignment="1">
      <alignment horizontal="right"/>
    </xf>
    <xf numFmtId="0" fontId="12" fillId="0" borderId="29" xfId="0" applyFont="1" applyBorder="1" applyAlignment="1">
      <alignment horizontal="right" vertical="center" wrapText="1"/>
    </xf>
    <xf numFmtId="0" fontId="0" fillId="0" borderId="49" xfId="0" applyBorder="1" applyAlignment="1">
      <alignment horizontal="right" vertical="center" wrapText="1"/>
    </xf>
    <xf numFmtId="0" fontId="0" fillId="0" borderId="31" xfId="0" applyBorder="1" applyAlignment="1">
      <alignment horizontal="right" vertical="center" wrapText="1"/>
    </xf>
    <xf numFmtId="0" fontId="12" fillId="0" borderId="6" xfId="0" applyFont="1" applyBorder="1" applyAlignment="1">
      <alignment horizontal="right" vertical="center"/>
    </xf>
    <xf numFmtId="0" fontId="12" fillId="0" borderId="7" xfId="0" applyFont="1" applyBorder="1" applyAlignment="1">
      <alignment vertical="center"/>
    </xf>
    <xf numFmtId="0" fontId="0" fillId="0" borderId="16" xfId="0" applyBorder="1" applyAlignment="1">
      <alignment horizontal="right"/>
    </xf>
    <xf numFmtId="0" fontId="0" fillId="0" borderId="5" xfId="0" applyBorder="1" applyAlignment="1">
      <alignment horizontal="right"/>
    </xf>
    <xf numFmtId="49" fontId="0" fillId="0" borderId="65" xfId="0" applyNumberFormat="1" applyBorder="1" applyAlignment="1">
      <alignment vertical="center"/>
    </xf>
    <xf numFmtId="14" fontId="0" fillId="0" borderId="65" xfId="0" applyNumberFormat="1" applyBorder="1" applyAlignment="1">
      <alignment vertical="center"/>
    </xf>
    <xf numFmtId="0" fontId="0" fillId="0" borderId="9" xfId="0" applyBorder="1" applyAlignment="1">
      <alignment vertical="center"/>
    </xf>
    <xf numFmtId="0" fontId="11" fillId="7" borderId="77" xfId="7" applyFont="1" applyBorder="1" applyAlignment="1" applyProtection="1">
      <alignment horizontal="center"/>
      <protection locked="0"/>
    </xf>
    <xf numFmtId="0" fontId="15" fillId="0" borderId="78" xfId="0" applyFont="1" applyBorder="1" applyProtection="1">
      <protection locked="0"/>
    </xf>
    <xf numFmtId="0" fontId="0" fillId="0" borderId="68" xfId="0" applyBorder="1" applyAlignment="1">
      <alignment vertical="center"/>
    </xf>
    <xf numFmtId="0" fontId="0" fillId="0" borderId="11" xfId="0" applyBorder="1" applyAlignment="1">
      <alignment vertical="center"/>
    </xf>
    <xf numFmtId="0" fontId="0" fillId="0" borderId="67" xfId="0" applyBorder="1" applyAlignment="1">
      <alignment vertical="center"/>
    </xf>
    <xf numFmtId="0" fontId="0" fillId="0" borderId="81" xfId="0" applyBorder="1" applyAlignment="1">
      <alignment vertical="center"/>
    </xf>
    <xf numFmtId="49" fontId="0" fillId="0" borderId="68" xfId="0" applyNumberFormat="1" applyBorder="1" applyAlignment="1">
      <alignment vertical="center"/>
    </xf>
    <xf numFmtId="0" fontId="12" fillId="0" borderId="7" xfId="0" applyFont="1" applyBorder="1" applyAlignment="1">
      <alignment horizontal="right" vertical="center" wrapText="1"/>
    </xf>
    <xf numFmtId="0" fontId="1" fillId="2" borderId="3" xfId="1" applyBorder="1" applyAlignment="1">
      <alignment horizontal="center"/>
    </xf>
    <xf numFmtId="0" fontId="0" fillId="0" borderId="2" xfId="0" applyBorder="1" applyAlignment="1"/>
    <xf numFmtId="0" fontId="0" fillId="0" borderId="4" xfId="0" applyBorder="1" applyAlignment="1"/>
    <xf numFmtId="0" fontId="0" fillId="0" borderId="1" xfId="0" applyBorder="1" applyAlignment="1">
      <alignment horizontal="right" vertical="center"/>
    </xf>
    <xf numFmtId="0" fontId="0" fillId="0" borderId="0" xfId="0" applyBorder="1" applyAlignment="1">
      <alignment vertical="center"/>
    </xf>
    <xf numFmtId="0" fontId="0" fillId="0" borderId="6" xfId="0" applyBorder="1" applyAlignment="1">
      <alignment horizontal="right"/>
    </xf>
    <xf numFmtId="0" fontId="0" fillId="0" borderId="7" xfId="0" applyBorder="1"/>
    <xf numFmtId="0" fontId="12" fillId="0" borderId="15" xfId="0" applyFont="1" applyBorder="1" applyAlignment="1">
      <alignment horizontal="right" vertical="center"/>
    </xf>
    <xf numFmtId="0" fontId="12" fillId="0" borderId="17" xfId="0" applyFont="1" applyBorder="1" applyAlignment="1">
      <alignment horizontal="right" vertical="center"/>
    </xf>
    <xf numFmtId="0" fontId="12" fillId="0" borderId="0" xfId="0" applyFont="1" applyBorder="1" applyAlignment="1">
      <alignment horizontal="right" vertical="center"/>
    </xf>
    <xf numFmtId="0" fontId="11" fillId="7" borderId="3" xfId="7" applyFont="1" applyBorder="1" applyAlignment="1" applyProtection="1">
      <alignment horizontal="center"/>
      <protection locked="0"/>
    </xf>
    <xf numFmtId="0" fontId="11" fillId="7" borderId="4" xfId="7" applyFont="1" applyBorder="1" applyAlignment="1" applyProtection="1">
      <alignment horizontal="center"/>
    </xf>
    <xf numFmtId="0" fontId="0" fillId="0" borderId="1" xfId="0" applyBorder="1" applyAlignment="1">
      <alignment horizontal="right"/>
    </xf>
    <xf numFmtId="0" fontId="0" fillId="0" borderId="0" xfId="0" applyBorder="1"/>
    <xf numFmtId="0" fontId="0" fillId="0" borderId="12" xfId="0" applyFill="1" applyBorder="1" applyAlignment="1">
      <alignment horizontal="right"/>
    </xf>
    <xf numFmtId="0" fontId="0" fillId="0" borderId="5" xfId="0" applyFill="1" applyBorder="1" applyAlignment="1">
      <alignment horizontal="right"/>
    </xf>
    <xf numFmtId="0" fontId="0" fillId="0" borderId="1" xfId="0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1" fillId="2" borderId="6" xfId="1" applyBorder="1" applyAlignment="1">
      <alignment horizontal="right" vertical="center" textRotation="90" wrapText="1"/>
    </xf>
    <xf numFmtId="0" fontId="0" fillId="0" borderId="1" xfId="0" applyBorder="1" applyAlignment="1"/>
    <xf numFmtId="0" fontId="0" fillId="0" borderId="12" xfId="0" applyBorder="1" applyAlignment="1"/>
    <xf numFmtId="0" fontId="15" fillId="0" borderId="84" xfId="0" applyFont="1" applyBorder="1" applyProtection="1">
      <protection locked="0"/>
    </xf>
    <xf numFmtId="0" fontId="11" fillId="7" borderId="83" xfId="7" applyFont="1" applyBorder="1" applyAlignment="1" applyProtection="1">
      <alignment horizontal="center"/>
      <protection locked="0"/>
    </xf>
    <xf numFmtId="0" fontId="11" fillId="7" borderId="85" xfId="7" applyFont="1" applyBorder="1" applyAlignment="1" applyProtection="1">
      <alignment horizontal="center"/>
      <protection locked="0"/>
    </xf>
    <xf numFmtId="0" fontId="15" fillId="0" borderId="86" xfId="0" applyFont="1" applyBorder="1" applyAlignment="1" applyProtection="1">
      <alignment horizontal="center"/>
      <protection locked="0"/>
    </xf>
    <xf numFmtId="0" fontId="1" fillId="2" borderId="17" xfId="1" applyBorder="1" applyAlignment="1">
      <alignment horizontal="right" vertical="center" textRotation="90" wrapText="1"/>
    </xf>
    <xf numFmtId="0" fontId="0" fillId="0" borderId="15" xfId="0" applyBorder="1"/>
    <xf numFmtId="0" fontId="0" fillId="0" borderId="16" xfId="0" applyBorder="1"/>
    <xf numFmtId="0" fontId="12" fillId="0" borderId="6" xfId="5" applyFont="1" applyBorder="1" applyAlignment="1">
      <alignment horizontal="right"/>
    </xf>
    <xf numFmtId="0" fontId="5" fillId="0" borderId="7" xfId="5" applyBorder="1" applyAlignment="1">
      <alignment horizontal="right"/>
    </xf>
    <xf numFmtId="0" fontId="0" fillId="0" borderId="15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2" xfId="0" applyBorder="1"/>
    <xf numFmtId="0" fontId="0" fillId="0" borderId="4" xfId="0" applyBorder="1"/>
    <xf numFmtId="0" fontId="1" fillId="2" borderId="2" xfId="1" applyBorder="1" applyAlignment="1">
      <alignment horizontal="center"/>
    </xf>
    <xf numFmtId="165" fontId="0" fillId="0" borderId="0" xfId="0" applyNumberFormat="1" applyAlignment="1" applyProtection="1">
      <alignment vertical="top"/>
      <protection hidden="1"/>
    </xf>
    <xf numFmtId="165" fontId="0" fillId="0" borderId="8" xfId="0" applyNumberFormat="1" applyBorder="1" applyAlignment="1" applyProtection="1">
      <alignment vertical="top"/>
      <protection hidden="1"/>
    </xf>
    <xf numFmtId="165" fontId="3" fillId="4" borderId="0" xfId="3" applyNumberFormat="1" applyAlignment="1" applyProtection="1">
      <alignment vertical="top"/>
      <protection hidden="1"/>
    </xf>
    <xf numFmtId="164" fontId="0" fillId="0" borderId="9" xfId="0" applyNumberFormat="1" applyBorder="1" applyAlignment="1" applyProtection="1">
      <alignment vertical="top"/>
      <protection hidden="1"/>
    </xf>
    <xf numFmtId="0" fontId="0" fillId="0" borderId="8" xfId="0" applyBorder="1" applyProtection="1">
      <protection hidden="1"/>
    </xf>
    <xf numFmtId="164" fontId="0" fillId="0" borderId="7" xfId="0" applyNumberFormat="1" applyBorder="1" applyAlignment="1" applyProtection="1">
      <alignment vertical="top"/>
      <protection hidden="1"/>
    </xf>
    <xf numFmtId="0" fontId="0" fillId="0" borderId="0" xfId="0" applyProtection="1">
      <protection hidden="1"/>
    </xf>
    <xf numFmtId="0" fontId="1" fillId="2" borderId="21" xfId="1" applyBorder="1" applyAlignment="1">
      <alignment horizontal="center"/>
    </xf>
    <xf numFmtId="0" fontId="0" fillId="0" borderId="21" xfId="0" applyBorder="1" applyAlignment="1">
      <alignment horizontal="center"/>
    </xf>
    <xf numFmtId="0" fontId="1" fillId="2" borderId="6" xfId="1" applyBorder="1" applyAlignment="1">
      <alignment horizontal="center"/>
    </xf>
    <xf numFmtId="0" fontId="0" fillId="0" borderId="9" xfId="0" applyBorder="1"/>
    <xf numFmtId="0" fontId="0" fillId="0" borderId="1" xfId="0" applyBorder="1"/>
    <xf numFmtId="0" fontId="0" fillId="0" borderId="12" xfId="0" applyBorder="1"/>
    <xf numFmtId="0" fontId="1" fillId="2" borderId="15" xfId="1" applyBorder="1" applyAlignment="1">
      <alignment horizontal="right" vertical="center" textRotation="90" wrapText="1"/>
    </xf>
    <xf numFmtId="0" fontId="0" fillId="0" borderId="0" xfId="0"/>
    <xf numFmtId="1" fontId="0" fillId="0" borderId="0" xfId="0" applyNumberFormat="1" applyAlignment="1" applyProtection="1">
      <alignment vertical="top" wrapText="1"/>
      <protection hidden="1"/>
    </xf>
    <xf numFmtId="0" fontId="0" fillId="0" borderId="0" xfId="0" applyAlignment="1">
      <alignment vertical="top" wrapText="1"/>
    </xf>
    <xf numFmtId="165" fontId="0" fillId="0" borderId="1" xfId="0" applyNumberFormat="1" applyBorder="1" applyAlignment="1" applyProtection="1">
      <alignment vertical="top"/>
      <protection hidden="1"/>
    </xf>
    <xf numFmtId="0" fontId="0" fillId="0" borderId="0" xfId="0" applyAlignment="1">
      <alignment vertical="top"/>
    </xf>
    <xf numFmtId="165" fontId="0" fillId="0" borderId="7" xfId="0" applyNumberFormat="1" applyBorder="1" applyAlignment="1" applyProtection="1">
      <alignment vertical="top"/>
      <protection hidden="1"/>
    </xf>
    <xf numFmtId="165" fontId="0" fillId="0" borderId="0" xfId="0" applyNumberFormat="1" applyProtection="1">
      <protection hidden="1"/>
    </xf>
    <xf numFmtId="165" fontId="0" fillId="0" borderId="9" xfId="0" applyNumberFormat="1" applyBorder="1" applyAlignment="1" applyProtection="1">
      <alignment vertical="top"/>
      <protection hidden="1"/>
    </xf>
    <xf numFmtId="165" fontId="0" fillId="0" borderId="8" xfId="0" applyNumberFormat="1" applyBorder="1" applyProtection="1">
      <protection hidden="1"/>
    </xf>
    <xf numFmtId="165" fontId="3" fillId="4" borderId="1" xfId="3" applyNumberFormat="1" applyBorder="1" applyAlignment="1" applyProtection="1">
      <alignment vertical="top"/>
      <protection hidden="1"/>
    </xf>
    <xf numFmtId="0" fontId="0" fillId="0" borderId="1" xfId="0" applyBorder="1" applyAlignment="1">
      <alignment vertical="top"/>
    </xf>
    <xf numFmtId="10" fontId="0" fillId="0" borderId="0" xfId="0" applyNumberFormat="1" applyAlignment="1" applyProtection="1">
      <alignment vertical="top"/>
      <protection hidden="1"/>
    </xf>
    <xf numFmtId="0" fontId="0" fillId="0" borderId="0" xfId="0" applyAlignment="1" applyProtection="1">
      <alignment vertical="top"/>
      <protection hidden="1"/>
    </xf>
    <xf numFmtId="165" fontId="3" fillId="4" borderId="8" xfId="3" applyNumberFormat="1" applyBorder="1" applyAlignment="1" applyProtection="1">
      <alignment vertical="top"/>
      <protection hidden="1"/>
    </xf>
    <xf numFmtId="0" fontId="0" fillId="0" borderId="8" xfId="0" applyBorder="1" applyAlignment="1">
      <alignment vertical="top"/>
    </xf>
    <xf numFmtId="165" fontId="0" fillId="0" borderId="6" xfId="0" applyNumberFormat="1" applyBorder="1" applyAlignment="1" applyProtection="1">
      <alignment vertical="top"/>
      <protection hidden="1"/>
    </xf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165" fontId="0" fillId="0" borderId="1" xfId="0" applyNumberFormat="1" applyBorder="1" applyProtection="1">
      <protection hidden="1"/>
    </xf>
    <xf numFmtId="1" fontId="0" fillId="0" borderId="1" xfId="0" applyNumberFormat="1" applyBorder="1" applyAlignment="1">
      <alignment horizontal="center"/>
    </xf>
    <xf numFmtId="0" fontId="0" fillId="0" borderId="8" xfId="0" applyBorder="1"/>
    <xf numFmtId="1" fontId="0" fillId="0" borderId="0" xfId="0" applyNumberFormat="1" applyAlignment="1">
      <alignment horizontal="center"/>
    </xf>
    <xf numFmtId="1" fontId="1" fillId="2" borderId="1" xfId="1" applyNumberFormat="1" applyBorder="1" applyAlignment="1">
      <alignment horizontal="center" wrapText="1"/>
    </xf>
    <xf numFmtId="1" fontId="0" fillId="0" borderId="0" xfId="0" applyNumberFormat="1" applyBorder="1" applyAlignment="1">
      <alignment horizontal="center"/>
    </xf>
    <xf numFmtId="0" fontId="0" fillId="0" borderId="0" xfId="0" applyBorder="1" applyAlignment="1"/>
    <xf numFmtId="0" fontId="0" fillId="0" borderId="8" xfId="0" applyBorder="1" applyAlignment="1"/>
    <xf numFmtId="0" fontId="1" fillId="2" borderId="1" xfId="1" applyBorder="1" applyAlignment="1">
      <alignment horizontal="center"/>
    </xf>
    <xf numFmtId="0" fontId="1" fillId="2" borderId="12" xfId="1" applyBorder="1" applyAlignment="1">
      <alignment horizontal="center"/>
    </xf>
    <xf numFmtId="0" fontId="0" fillId="0" borderId="11" xfId="0" applyBorder="1" applyAlignment="1"/>
    <xf numFmtId="0" fontId="1" fillId="2" borderId="0" xfId="1" applyBorder="1" applyAlignment="1">
      <alignment horizontal="center"/>
    </xf>
    <xf numFmtId="0" fontId="0" fillId="0" borderId="0" xfId="0" applyAlignment="1"/>
    <xf numFmtId="165" fontId="0" fillId="0" borderId="8" xfId="0" applyNumberFormat="1" applyBorder="1" applyAlignment="1">
      <alignment vertical="top"/>
    </xf>
    <xf numFmtId="49" fontId="0" fillId="0" borderId="3" xfId="0" applyNumberForma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1" fillId="2" borderId="5" xfId="1" applyBorder="1" applyAlignment="1">
      <alignment horizontal="center"/>
    </xf>
    <xf numFmtId="0" fontId="0" fillId="0" borderId="5" xfId="0" applyBorder="1"/>
    <xf numFmtId="10" fontId="0" fillId="0" borderId="8" xfId="0" applyNumberFormat="1" applyBorder="1" applyAlignment="1" applyProtection="1">
      <alignment vertical="top"/>
      <protection hidden="1"/>
    </xf>
    <xf numFmtId="0" fontId="0" fillId="0" borderId="11" xfId="0" applyBorder="1"/>
    <xf numFmtId="0" fontId="0" fillId="0" borderId="5" xfId="0" applyBorder="1" applyAlignment="1"/>
    <xf numFmtId="3" fontId="0" fillId="0" borderId="8" xfId="0" applyNumberFormat="1" applyBorder="1" applyAlignment="1" applyProtection="1">
      <alignment horizontal="center" vertical="top"/>
      <protection hidden="1"/>
    </xf>
    <xf numFmtId="0" fontId="5" fillId="0" borderId="0" xfId="5"/>
  </cellXfs>
  <cellStyles count="8">
    <cellStyle name="20% - Accent1" xfId="3" builtinId="30"/>
    <cellStyle name="20% - Accent3" xfId="4" builtinId="38"/>
    <cellStyle name="20% - Accent6" xfId="6" builtinId="50"/>
    <cellStyle name="Accent1" xfId="1" builtinId="29"/>
    <cellStyle name="Good" xfId="7" builtinId="26"/>
    <cellStyle name="Hyperlink" xfId="5" builtinId="8"/>
    <cellStyle name="Normal" xfId="0" builtinId="0"/>
    <cellStyle name="Output" xfId="2" builtinId="21"/>
  </cellStyles>
  <dxfs count="160">
    <dxf>
      <font>
        <color theme="0"/>
      </font>
      <fill>
        <patternFill>
          <bgColor rgb="FF4F81BD"/>
        </patternFill>
      </fill>
      <border>
        <left/>
        <right/>
        <top/>
        <bottom/>
      </border>
    </dxf>
    <dxf>
      <font>
        <color theme="0"/>
      </font>
      <fill>
        <patternFill>
          <bgColor rgb="FF4F81BD"/>
        </patternFill>
      </fill>
      <border>
        <left/>
        <right/>
        <top/>
        <bottom/>
      </border>
    </dxf>
    <dxf>
      <font>
        <color theme="0"/>
      </font>
      <fill>
        <patternFill>
          <bgColor rgb="FF4F81BD"/>
        </patternFill>
      </fill>
      <border>
        <left/>
        <right/>
        <top/>
        <bottom/>
      </border>
    </dxf>
    <dxf>
      <font>
        <color theme="0"/>
      </font>
      <fill>
        <patternFill>
          <bgColor rgb="FF4F81BD"/>
        </patternFill>
      </fill>
      <border>
        <left/>
        <right/>
        <top/>
        <bottom/>
      </border>
    </dxf>
    <dxf>
      <font>
        <color theme="0"/>
      </font>
      <fill>
        <patternFill>
          <bgColor rgb="FF4F81BD"/>
        </patternFill>
      </fill>
      <border>
        <left/>
        <right/>
        <top/>
        <bottom/>
      </border>
    </dxf>
    <dxf>
      <font>
        <color theme="0"/>
      </font>
      <fill>
        <patternFill>
          <bgColor rgb="FF4F81BD"/>
        </patternFill>
      </fill>
      <border>
        <left/>
        <right/>
        <top/>
        <bottom/>
      </border>
    </dxf>
    <dxf>
      <font>
        <color theme="0"/>
      </font>
      <fill>
        <patternFill>
          <bgColor rgb="FF4F81BD"/>
        </patternFill>
      </fill>
      <border>
        <left/>
        <right/>
        <top/>
        <bottom/>
      </border>
    </dxf>
    <dxf>
      <font>
        <color rgb="FF9C6500"/>
      </font>
      <fill>
        <patternFill patternType="none">
          <bgColor auto="1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 patternType="none">
          <bgColor auto="1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 patternType="none">
          <bgColor auto="1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4F81BD"/>
        </patternFill>
      </fill>
      <border>
        <left/>
        <right/>
        <top/>
        <bottom/>
      </border>
    </dxf>
    <dxf>
      <font>
        <color rgb="FF9C6500"/>
      </font>
      <fill>
        <patternFill patternType="none">
          <bgColor auto="1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4F81BD"/>
        </patternFill>
      </fill>
      <border>
        <left/>
        <right/>
        <top/>
        <bottom/>
      </border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4F81BD"/>
        </patternFill>
      </fill>
      <border>
        <left/>
        <right/>
        <top/>
        <bottom/>
      </border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4F81BD"/>
        </patternFill>
      </fill>
      <border>
        <left/>
        <right/>
        <top/>
        <bottom/>
      </border>
    </dxf>
    <dxf>
      <font>
        <color rgb="FF9C6500"/>
      </font>
      <fill>
        <patternFill patternType="none">
          <bgColor auto="1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4F81BD"/>
        </patternFill>
      </fill>
      <border>
        <left/>
        <right/>
        <top/>
        <bottom/>
      </border>
    </dxf>
    <dxf>
      <font>
        <color rgb="FF9C6500"/>
      </font>
      <fill>
        <patternFill patternType="none">
          <bgColor auto="1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4F81BD"/>
        </patternFill>
      </fill>
      <border>
        <left/>
        <right/>
        <top/>
        <bottom/>
      </border>
    </dxf>
    <dxf>
      <font>
        <color rgb="FF9C6500"/>
      </font>
      <fill>
        <patternFill patternType="none">
          <bgColor auto="1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4F81BD"/>
        </patternFill>
      </fill>
      <border>
        <left/>
        <right/>
        <top/>
        <bottom/>
      </border>
    </dxf>
    <dxf>
      <font>
        <color theme="0"/>
      </font>
      <fill>
        <patternFill>
          <bgColor rgb="FF4F81BD"/>
        </patternFill>
      </fill>
      <border>
        <left/>
        <right/>
        <top/>
        <bottom/>
      </border>
    </dxf>
    <dxf>
      <font>
        <color theme="0"/>
      </font>
      <fill>
        <patternFill>
          <bgColor rgb="FF4F81BD"/>
        </patternFill>
      </fill>
      <border>
        <left/>
        <right/>
        <top/>
        <bottom/>
      </border>
    </dxf>
    <dxf>
      <font>
        <color theme="0"/>
      </font>
      <fill>
        <patternFill>
          <bgColor rgb="FF4F81B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4F81B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rgb="FF9C6500"/>
      </font>
      <fill>
        <patternFill patternType="none">
          <bgColor auto="1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 patternType="none">
          <bgColor auto="1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 patternType="none">
          <bgColor auto="1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 patternType="none">
          <bgColor auto="1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 patternType="none">
          <bgColor auto="1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 patternType="none">
          <bgColor auto="1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6500"/>
      </font>
      <fill>
        <patternFill patternType="none">
          <bgColor auto="1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</dxf>
    <dxf>
      <font>
        <color rgb="FF9C0006"/>
      </font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 patternType="none">
          <bgColor auto="1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 patternType="none">
          <bgColor auto="1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6500"/>
      </font>
      <fill>
        <patternFill patternType="none">
          <bgColor auto="1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 patternType="none">
          <bgColor auto="1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 patternType="none">
          <bgColor auto="1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 patternType="none">
          <bgColor auto="1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</dxf>
    <dxf>
      <font>
        <color rgb="FF9C0006"/>
      </font>
    </dxf>
    <dxf>
      <font>
        <color rgb="FF9C6500"/>
      </font>
      <fill>
        <patternFill patternType="none">
          <bgColor auto="1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6500"/>
      </font>
      <fill>
        <patternFill patternType="none">
          <bgColor auto="1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6500"/>
      </font>
      <fill>
        <patternFill patternType="none">
          <bgColor auto="1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6500"/>
      </font>
      <fill>
        <patternFill patternType="none">
          <bgColor auto="1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6500"/>
      </font>
      <fill>
        <patternFill patternType="none">
          <bgColor auto="1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6500"/>
      </font>
      <fill>
        <patternFill patternType="none">
          <bgColor auto="1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 patternType="none">
          <bgColor auto="1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3F3F3F"/>
      <color rgb="FF7F7F7F"/>
      <color rgb="FFFFFFFF"/>
      <color rgb="FF000000"/>
      <color rgb="FF4F81BD"/>
      <color rgb="FFDADC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hartsheet" Target="chartsheets/sheet1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4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hartsheet" Target="chartsheets/sheet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3.xml"/><Relationship Id="rId22" Type="http://schemas.microsoft.com/office/2006/relationships/vbaProject" Target="vbaProject.bin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rotection>
    <c:chartObject val="0"/>
    <c:data val="0"/>
    <c:formatting val="0"/>
    <c:selection val="0"/>
    <c:userInterface val="0"/>
  </c:protection>
  <c:chart>
    <c:autoTitleDeleted val="1"/>
    <c:plotArea>
      <c:layout/>
      <c:barChart>
        <c:barDir val="col"/>
        <c:grouping val="stacked"/>
        <c:varyColors val="0"/>
        <c:ser>
          <c:idx val="2"/>
          <c:order val="0"/>
          <c:invertIfNegative val="0"/>
          <c:val>
            <c:numRef>
              <c:f>[0]!SC_ZX_DebtNW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[0]!SC_ZX_Year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FC80-4554-8C33-422D9C411FC5}"/>
            </c:ext>
          </c:extLst>
        </c:ser>
        <c:ser>
          <c:idx val="1"/>
          <c:order val="1"/>
          <c:invertIfNegative val="0"/>
          <c:val>
            <c:numRef>
              <c:f>[0]!SC_ZX_BalanceAT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[0]!SC_ZX_Year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FC80-4554-8C33-422D9C411FC5}"/>
            </c:ext>
          </c:extLst>
        </c:ser>
        <c:ser>
          <c:idx val="0"/>
          <c:order val="2"/>
          <c:invertIfNegative val="0"/>
          <c:val>
            <c:numRef>
              <c:f>[0]!SC_ZX_BalanceBT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[0]!SC_ZX_Year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FC80-4554-8C33-422D9C411F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49372672"/>
        <c:axId val="249374208"/>
      </c:barChart>
      <c:dateAx>
        <c:axId val="2493726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49374208"/>
        <c:crosses val="autoZero"/>
        <c:auto val="0"/>
        <c:lblOffset val="100"/>
        <c:baseTimeUnit val="days"/>
      </c:dateAx>
      <c:valAx>
        <c:axId val="249374208"/>
        <c:scaling>
          <c:orientation val="minMax"/>
        </c:scaling>
        <c:delete val="1"/>
        <c:axPos val="l"/>
        <c:numFmt formatCode="&quot;$&quot;#,##0" sourceLinked="1"/>
        <c:majorTickMark val="out"/>
        <c:minorTickMark val="in"/>
        <c:tickLblPos val="nextTo"/>
        <c:crossAx val="249372672"/>
        <c:crosses val="autoZero"/>
        <c:crossBetween val="between"/>
      </c:valAx>
      <c:spPr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c:spPr>
    </c:plotArea>
    <c:plotVisOnly val="1"/>
    <c:dispBlanksAs val="gap"/>
    <c:showDLblsOverMax val="0"/>
  </c:chart>
  <c:spPr>
    <a:solidFill>
      <a:schemeClr val="bg2"/>
    </a:solidFill>
  </c:sp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rotection>
    <c:chartObject val="0"/>
    <c:data val="0"/>
    <c:formatting val="0"/>
    <c:selection val="0"/>
    <c:userInterface val="0"/>
  </c:protection>
  <c:chart>
    <c:autoTitleDeleted val="1"/>
    <c:plotArea>
      <c:layout/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53705600"/>
        <c:axId val="253707392"/>
      </c:barChart>
      <c:dateAx>
        <c:axId val="253705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53707392"/>
        <c:crosses val="autoZero"/>
        <c:auto val="0"/>
        <c:lblOffset val="100"/>
        <c:baseTimeUnit val="days"/>
      </c:dateAx>
      <c:valAx>
        <c:axId val="253707392"/>
        <c:scaling>
          <c:orientation val="minMax"/>
        </c:scaling>
        <c:delete val="0"/>
        <c:axPos val="l"/>
        <c:majorGridlines/>
        <c:numFmt formatCode="&quot;$&quot;#,##0" sourceLinked="1"/>
        <c:majorTickMark val="out"/>
        <c:minorTickMark val="in"/>
        <c:tickLblPos val="nextTo"/>
        <c:crossAx val="253705600"/>
        <c:crosses val="autoZero"/>
        <c:crossBetween val="between"/>
      </c:valAx>
    </c:plotArea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2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 codeName="Chart2"/>
  <sheetViews>
    <sheetView workbookViewId="0" zoomToFit="1"/>
  </sheetViews>
  <sheetProtection content="1" objects="1"/>
  <pageMargins left="0.7" right="0.7" top="0.75" bottom="0.75" header="0.3" footer="0.3"/>
  <pageSetup paperSize="5" orientation="landscape" horizontalDpi="4294967293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 codeName="Chart1"/>
  <sheetViews>
    <sheetView zoomScale="111" workbookViewId="0" zoomToFit="1"/>
  </sheetViews>
  <sheetProtection content="1" objects="1"/>
  <pageMargins left="0.7" right="0.7" top="0.75" bottom="0.75" header="0.3" footer="0.3"/>
  <pageSetup paperSize="5" orientation="landscape" horizontalDpi="4294967293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11410950" cy="62960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11404257" cy="628135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</xdr:row>
      <xdr:rowOff>0</xdr:rowOff>
    </xdr:from>
    <xdr:to>
      <xdr:col>1</xdr:col>
      <xdr:colOff>304800</xdr:colOff>
      <xdr:row>7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143000"/>
          <a:ext cx="304800" cy="304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hyperlink" Target="https://www.retireator.org/" TargetMode="External"/><Relationship Id="rId1" Type="http://schemas.openxmlformats.org/officeDocument/2006/relationships/hyperlink" Target="mailto:larry.blumer@retireator.org" TargetMode="External"/><Relationship Id="rId4" Type="http://schemas.openxmlformats.org/officeDocument/2006/relationships/drawing" Target="../drawings/drawing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retireator.org/documentation/sp_reference/" TargetMode="External"/><Relationship Id="rId18" Type="http://schemas.openxmlformats.org/officeDocument/2006/relationships/hyperlink" Target="https://www.retireator.org/documentation/sp_reference/" TargetMode="External"/><Relationship Id="rId26" Type="http://schemas.openxmlformats.org/officeDocument/2006/relationships/hyperlink" Target="https://www.retireator.org/documentation/sp_reference/" TargetMode="External"/><Relationship Id="rId39" Type="http://schemas.openxmlformats.org/officeDocument/2006/relationships/hyperlink" Target="https://www.retireator.org/documentation/sp_reference/" TargetMode="External"/><Relationship Id="rId21" Type="http://schemas.openxmlformats.org/officeDocument/2006/relationships/hyperlink" Target="https://www.retireator.org/documentation/sp_reference/" TargetMode="External"/><Relationship Id="rId34" Type="http://schemas.openxmlformats.org/officeDocument/2006/relationships/hyperlink" Target="https://www.retireator.org/documentation/sp_reference/" TargetMode="External"/><Relationship Id="rId42" Type="http://schemas.openxmlformats.org/officeDocument/2006/relationships/hyperlink" Target="https://www.retireator.org/documentation/sp_reference/" TargetMode="External"/><Relationship Id="rId47" Type="http://schemas.openxmlformats.org/officeDocument/2006/relationships/hyperlink" Target="https://www.retireator.org/documentation/sp_reference/" TargetMode="External"/><Relationship Id="rId50" Type="http://schemas.openxmlformats.org/officeDocument/2006/relationships/hyperlink" Target="https://www.retireator.org/documentation/sp_reference/" TargetMode="External"/><Relationship Id="rId55" Type="http://schemas.openxmlformats.org/officeDocument/2006/relationships/hyperlink" Target="https://www.retireator.org/documentation/sp_reference/" TargetMode="External"/><Relationship Id="rId63" Type="http://schemas.openxmlformats.org/officeDocument/2006/relationships/hyperlink" Target="https://www.retireator.org/documentation/sp_reference/" TargetMode="External"/><Relationship Id="rId68" Type="http://schemas.openxmlformats.org/officeDocument/2006/relationships/hyperlink" Target="https://www.retireator.org/documentation/sp_reference/" TargetMode="External"/><Relationship Id="rId7" Type="http://schemas.openxmlformats.org/officeDocument/2006/relationships/hyperlink" Target="https://www.retireator.org/documentation/sp_reference/" TargetMode="External"/><Relationship Id="rId71" Type="http://schemas.openxmlformats.org/officeDocument/2006/relationships/printerSettings" Target="../printerSettings/printerSettings2.bin"/><Relationship Id="rId2" Type="http://schemas.openxmlformats.org/officeDocument/2006/relationships/hyperlink" Target="https://www.retireator.org/documentation/sp_reference/" TargetMode="External"/><Relationship Id="rId16" Type="http://schemas.openxmlformats.org/officeDocument/2006/relationships/hyperlink" Target="https://www.retireator.org/documentation/sp_reference/" TargetMode="External"/><Relationship Id="rId29" Type="http://schemas.openxmlformats.org/officeDocument/2006/relationships/hyperlink" Target="https://www.retireator.org/documentation/sp_reference/" TargetMode="External"/><Relationship Id="rId1" Type="http://schemas.openxmlformats.org/officeDocument/2006/relationships/hyperlink" Target="https://www.retireator.org/documentation/sp_reference/" TargetMode="External"/><Relationship Id="rId6" Type="http://schemas.openxmlformats.org/officeDocument/2006/relationships/hyperlink" Target="https://www.retireator.org/documentation/sp_reference/" TargetMode="External"/><Relationship Id="rId11" Type="http://schemas.openxmlformats.org/officeDocument/2006/relationships/hyperlink" Target="https://www.retireator.org/documentation/sp_reference/" TargetMode="External"/><Relationship Id="rId24" Type="http://schemas.openxmlformats.org/officeDocument/2006/relationships/hyperlink" Target="https://www.retireator.org/documentation/sp_reference/" TargetMode="External"/><Relationship Id="rId32" Type="http://schemas.openxmlformats.org/officeDocument/2006/relationships/hyperlink" Target="https://www.retireator.org/documentation/sp_reference/" TargetMode="External"/><Relationship Id="rId37" Type="http://schemas.openxmlformats.org/officeDocument/2006/relationships/hyperlink" Target="https://www.retireator.org/documentation/sp_reference/" TargetMode="External"/><Relationship Id="rId40" Type="http://schemas.openxmlformats.org/officeDocument/2006/relationships/hyperlink" Target="https://www.retireator.org/documentation/sp_reference/" TargetMode="External"/><Relationship Id="rId45" Type="http://schemas.openxmlformats.org/officeDocument/2006/relationships/hyperlink" Target="https://www.retireator.org/documentation/sp_reference/" TargetMode="External"/><Relationship Id="rId53" Type="http://schemas.openxmlformats.org/officeDocument/2006/relationships/hyperlink" Target="https://www.retireator.org/documentation/sp_reference/" TargetMode="External"/><Relationship Id="rId58" Type="http://schemas.openxmlformats.org/officeDocument/2006/relationships/hyperlink" Target="https://www.retireator.org/documentation/sp_reference/" TargetMode="External"/><Relationship Id="rId66" Type="http://schemas.openxmlformats.org/officeDocument/2006/relationships/hyperlink" Target="https://www.retireator.org/documentation/sp_reference/" TargetMode="External"/><Relationship Id="rId5" Type="http://schemas.openxmlformats.org/officeDocument/2006/relationships/hyperlink" Target="https://www.retireator.org/documentation/sp_reference/" TargetMode="External"/><Relationship Id="rId15" Type="http://schemas.openxmlformats.org/officeDocument/2006/relationships/hyperlink" Target="https://www.retireator.org/documentation/sp_reference/" TargetMode="External"/><Relationship Id="rId23" Type="http://schemas.openxmlformats.org/officeDocument/2006/relationships/hyperlink" Target="https://www.retireator.org/documentation/sp_reference/" TargetMode="External"/><Relationship Id="rId28" Type="http://schemas.openxmlformats.org/officeDocument/2006/relationships/hyperlink" Target="https://www.retireator.org/documentation/sp_reference/" TargetMode="External"/><Relationship Id="rId36" Type="http://schemas.openxmlformats.org/officeDocument/2006/relationships/hyperlink" Target="https://www.retireator.org/documentation/sp_reference/" TargetMode="External"/><Relationship Id="rId49" Type="http://schemas.openxmlformats.org/officeDocument/2006/relationships/hyperlink" Target="https://www.retireator.org/documentation/sp_reference/" TargetMode="External"/><Relationship Id="rId57" Type="http://schemas.openxmlformats.org/officeDocument/2006/relationships/hyperlink" Target="https://www.retireator.org/documentation/sp_reference/" TargetMode="External"/><Relationship Id="rId61" Type="http://schemas.openxmlformats.org/officeDocument/2006/relationships/hyperlink" Target="https://www.retireator.org/documentation/sp_reference/" TargetMode="External"/><Relationship Id="rId10" Type="http://schemas.openxmlformats.org/officeDocument/2006/relationships/hyperlink" Target="https://www.retireator.org/documentation/sp_reference/" TargetMode="External"/><Relationship Id="rId19" Type="http://schemas.openxmlformats.org/officeDocument/2006/relationships/hyperlink" Target="https://www.retireator.org/documentation/sp_reference/" TargetMode="External"/><Relationship Id="rId31" Type="http://schemas.openxmlformats.org/officeDocument/2006/relationships/hyperlink" Target="https://www.retireator.org/documentation/sp_reference/" TargetMode="External"/><Relationship Id="rId44" Type="http://schemas.openxmlformats.org/officeDocument/2006/relationships/hyperlink" Target="https://www.retireator.org/documentation/sp_reference/" TargetMode="External"/><Relationship Id="rId52" Type="http://schemas.openxmlformats.org/officeDocument/2006/relationships/hyperlink" Target="https://www.retireator.org/documentation/sp_reference/" TargetMode="External"/><Relationship Id="rId60" Type="http://schemas.openxmlformats.org/officeDocument/2006/relationships/hyperlink" Target="https://www.retireator.org/documentation/sp_reference/" TargetMode="External"/><Relationship Id="rId65" Type="http://schemas.openxmlformats.org/officeDocument/2006/relationships/hyperlink" Target="https://www.retireator.org/documentation/sp_reference/" TargetMode="External"/><Relationship Id="rId4" Type="http://schemas.openxmlformats.org/officeDocument/2006/relationships/hyperlink" Target="https://www.retireator.org/documentation/sp_reference/" TargetMode="External"/><Relationship Id="rId9" Type="http://schemas.openxmlformats.org/officeDocument/2006/relationships/hyperlink" Target="https://www.retireator.org/documentation/sp_reference/" TargetMode="External"/><Relationship Id="rId14" Type="http://schemas.openxmlformats.org/officeDocument/2006/relationships/hyperlink" Target="https://www.retireator.org/documentation/sp_reference/" TargetMode="External"/><Relationship Id="rId22" Type="http://schemas.openxmlformats.org/officeDocument/2006/relationships/hyperlink" Target="https://www.retireator.org/documentation/sp_reference/" TargetMode="External"/><Relationship Id="rId27" Type="http://schemas.openxmlformats.org/officeDocument/2006/relationships/hyperlink" Target="https://www.retireator.org/documentation/sp_reference/" TargetMode="External"/><Relationship Id="rId30" Type="http://schemas.openxmlformats.org/officeDocument/2006/relationships/hyperlink" Target="https://www.retireator.org/documentation/sp_reference/" TargetMode="External"/><Relationship Id="rId35" Type="http://schemas.openxmlformats.org/officeDocument/2006/relationships/hyperlink" Target="https://www.retireator.org/documentation/sp_reference/" TargetMode="External"/><Relationship Id="rId43" Type="http://schemas.openxmlformats.org/officeDocument/2006/relationships/hyperlink" Target="https://www.retireator.org/documentation/sp_reference/" TargetMode="External"/><Relationship Id="rId48" Type="http://schemas.openxmlformats.org/officeDocument/2006/relationships/hyperlink" Target="https://www.retireator.org/documentation/sp_reference/" TargetMode="External"/><Relationship Id="rId56" Type="http://schemas.openxmlformats.org/officeDocument/2006/relationships/hyperlink" Target="https://www.retireator.org/documentation/sp_reference/" TargetMode="External"/><Relationship Id="rId64" Type="http://schemas.openxmlformats.org/officeDocument/2006/relationships/hyperlink" Target="https://www.retireator.org/documentation/sp_reference/" TargetMode="External"/><Relationship Id="rId69" Type="http://schemas.openxmlformats.org/officeDocument/2006/relationships/hyperlink" Target="https://www.retireator.org/documentation/sp_reference/" TargetMode="External"/><Relationship Id="rId8" Type="http://schemas.openxmlformats.org/officeDocument/2006/relationships/hyperlink" Target="https://www.retireator.org/documentation/sp_reference/" TargetMode="External"/><Relationship Id="rId51" Type="http://schemas.openxmlformats.org/officeDocument/2006/relationships/hyperlink" Target="https://www.retireator.org/documentation/sp_reference/" TargetMode="External"/><Relationship Id="rId3" Type="http://schemas.openxmlformats.org/officeDocument/2006/relationships/hyperlink" Target="https://www.retireator.org/documentation/sp_reference/" TargetMode="External"/><Relationship Id="rId12" Type="http://schemas.openxmlformats.org/officeDocument/2006/relationships/hyperlink" Target="https://www.retireator.org/documentation/sp_reference/" TargetMode="External"/><Relationship Id="rId17" Type="http://schemas.openxmlformats.org/officeDocument/2006/relationships/hyperlink" Target="https://www.retireator.org/documentation/sp_reference/" TargetMode="External"/><Relationship Id="rId25" Type="http://schemas.openxmlformats.org/officeDocument/2006/relationships/hyperlink" Target="https://www.retireator.org/documentation/sp_reference/" TargetMode="External"/><Relationship Id="rId33" Type="http://schemas.openxmlformats.org/officeDocument/2006/relationships/hyperlink" Target="https://www.retireator.org/documentation/sp_reference/" TargetMode="External"/><Relationship Id="rId38" Type="http://schemas.openxmlformats.org/officeDocument/2006/relationships/hyperlink" Target="https://www.retireator.org/documentation/sp_reference/" TargetMode="External"/><Relationship Id="rId46" Type="http://schemas.openxmlformats.org/officeDocument/2006/relationships/hyperlink" Target="https://www.retireator.org/documentation/sp_reference/" TargetMode="External"/><Relationship Id="rId59" Type="http://schemas.openxmlformats.org/officeDocument/2006/relationships/hyperlink" Target="https://www.retireator.org/documentation/sp_reference/" TargetMode="External"/><Relationship Id="rId67" Type="http://schemas.openxmlformats.org/officeDocument/2006/relationships/hyperlink" Target="https://www.retireator.org/documentation/sp_reference/" TargetMode="External"/><Relationship Id="rId20" Type="http://schemas.openxmlformats.org/officeDocument/2006/relationships/hyperlink" Target="https://www.retireator.org/documentation/sp_reference/" TargetMode="External"/><Relationship Id="rId41" Type="http://schemas.openxmlformats.org/officeDocument/2006/relationships/hyperlink" Target="https://www.retireator.org/documentation/sp_reference/" TargetMode="External"/><Relationship Id="rId54" Type="http://schemas.openxmlformats.org/officeDocument/2006/relationships/hyperlink" Target="https://www.retireator.org/documentation/sp_reference/" TargetMode="External"/><Relationship Id="rId62" Type="http://schemas.openxmlformats.org/officeDocument/2006/relationships/hyperlink" Target="https://www.retireator.org/documentation/sp_reference/" TargetMode="External"/><Relationship Id="rId70" Type="http://schemas.openxmlformats.org/officeDocument/2006/relationships/hyperlink" Target="https://www.retireator.org/documentation/sp_reference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retireator.org/documentation/sp_reference/" TargetMode="External"/><Relationship Id="rId2" Type="http://schemas.openxmlformats.org/officeDocument/2006/relationships/hyperlink" Target="https://www.retireator.org/documentation/sp_reference/" TargetMode="External"/><Relationship Id="rId1" Type="http://schemas.openxmlformats.org/officeDocument/2006/relationships/hyperlink" Target="https://www.retireator.org/documentation/sp_reference/" TargetMode="External"/><Relationship Id="rId5" Type="http://schemas.openxmlformats.org/officeDocument/2006/relationships/printerSettings" Target="../printerSettings/printerSettings3.bin"/><Relationship Id="rId4" Type="http://schemas.openxmlformats.org/officeDocument/2006/relationships/hyperlink" Target="https://www.retireator.org/documentation/sp_reference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retireator.org/documentation/sp_reference/" TargetMode="External"/><Relationship Id="rId2" Type="http://schemas.openxmlformats.org/officeDocument/2006/relationships/hyperlink" Target="https://www.retireator.org/documentation/sp_reference/" TargetMode="External"/><Relationship Id="rId1" Type="http://schemas.openxmlformats.org/officeDocument/2006/relationships/hyperlink" Target="https://www.retireator.org/documentation/sp_reference/" TargetMode="External"/><Relationship Id="rId5" Type="http://schemas.openxmlformats.org/officeDocument/2006/relationships/printerSettings" Target="../printerSettings/printerSettings4.bin"/><Relationship Id="rId4" Type="http://schemas.openxmlformats.org/officeDocument/2006/relationships/hyperlink" Target="https://www.retireator.org/documentation/sp_reference/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retireator.org/documentation/sp_reference/" TargetMode="External"/><Relationship Id="rId13" Type="http://schemas.openxmlformats.org/officeDocument/2006/relationships/hyperlink" Target="https://www.retireator.org/documentation/sp_reference/" TargetMode="External"/><Relationship Id="rId3" Type="http://schemas.openxmlformats.org/officeDocument/2006/relationships/hyperlink" Target="https://www.retireator.org/documentation/sp_reference/" TargetMode="External"/><Relationship Id="rId7" Type="http://schemas.openxmlformats.org/officeDocument/2006/relationships/hyperlink" Target="https://www.retireator.org/documentation/sp_reference/" TargetMode="External"/><Relationship Id="rId12" Type="http://schemas.openxmlformats.org/officeDocument/2006/relationships/hyperlink" Target="https://www.retireator.org/documentation/sp_reference/" TargetMode="External"/><Relationship Id="rId2" Type="http://schemas.openxmlformats.org/officeDocument/2006/relationships/hyperlink" Target="https://www.retireator.org/documentation/sp_reference/" TargetMode="External"/><Relationship Id="rId1" Type="http://schemas.openxmlformats.org/officeDocument/2006/relationships/hyperlink" Target="https://www.retireator.org/documentation/sp_reference/" TargetMode="External"/><Relationship Id="rId6" Type="http://schemas.openxmlformats.org/officeDocument/2006/relationships/hyperlink" Target="https://www.retireator.org/documentation/sp_reference/" TargetMode="External"/><Relationship Id="rId11" Type="http://schemas.openxmlformats.org/officeDocument/2006/relationships/hyperlink" Target="https://www.retireator.org/documentation/sp_reference/" TargetMode="External"/><Relationship Id="rId5" Type="http://schemas.openxmlformats.org/officeDocument/2006/relationships/hyperlink" Target="https://www.retireator.org/documentation/sp_reference/" TargetMode="External"/><Relationship Id="rId15" Type="http://schemas.openxmlformats.org/officeDocument/2006/relationships/printerSettings" Target="../printerSettings/printerSettings5.bin"/><Relationship Id="rId10" Type="http://schemas.openxmlformats.org/officeDocument/2006/relationships/hyperlink" Target="https://www.retireator.org/documentation/sp_reference/" TargetMode="External"/><Relationship Id="rId4" Type="http://schemas.openxmlformats.org/officeDocument/2006/relationships/hyperlink" Target="https://www.retireator.org/documentation/sp_reference/" TargetMode="External"/><Relationship Id="rId9" Type="http://schemas.openxmlformats.org/officeDocument/2006/relationships/hyperlink" Target="https://www.retireator.org/documentation/sp_reference/" TargetMode="External"/><Relationship Id="rId14" Type="http://schemas.openxmlformats.org/officeDocument/2006/relationships/hyperlink" Target="https://www.retireator.org/documentation/sp_reference/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2"/>
  <dimension ref="A1:I39"/>
  <sheetViews>
    <sheetView topLeftCell="A2" workbookViewId="0"/>
  </sheetViews>
  <sheetFormatPr defaultRowHeight="15" x14ac:dyDescent="0.25"/>
  <cols>
    <col min="1" max="1" width="9.140625" hidden="1" customWidth="1"/>
    <col min="2" max="2" width="9.140625" customWidth="1"/>
    <col min="3" max="3" width="43" customWidth="1"/>
    <col min="4" max="5" width="13.28515625" customWidth="1"/>
    <col min="6" max="6" width="11.140625" customWidth="1"/>
    <col min="8" max="8" width="10.7109375" bestFit="1" customWidth="1"/>
  </cols>
  <sheetData>
    <row r="1" spans="1:9" hidden="1" x14ac:dyDescent="0.25">
      <c r="A1">
        <f>PMBASIC+PMADVANCED</f>
        <v>48</v>
      </c>
    </row>
    <row r="3" spans="1:9" x14ac:dyDescent="0.25">
      <c r="C3" s="129" t="s">
        <v>767</v>
      </c>
      <c r="D3" s="13">
        <v>2022</v>
      </c>
      <c r="E3" s="9" t="s">
        <v>768</v>
      </c>
      <c r="F3" s="130">
        <v>213</v>
      </c>
    </row>
    <row r="4" spans="1:9" x14ac:dyDescent="0.25">
      <c r="C4" s="129" t="s">
        <v>744</v>
      </c>
      <c r="D4" s="13">
        <v>1</v>
      </c>
      <c r="F4" s="1"/>
    </row>
    <row r="5" spans="1:9" x14ac:dyDescent="0.25">
      <c r="C5" s="129" t="s">
        <v>781</v>
      </c>
      <c r="D5" s="123" t="b">
        <v>0</v>
      </c>
      <c r="F5" s="1"/>
    </row>
    <row r="6" spans="1:9" x14ac:dyDescent="0.25">
      <c r="C6" s="129" t="s">
        <v>669</v>
      </c>
      <c r="D6" s="13">
        <f>1954</f>
        <v>1954</v>
      </c>
    </row>
    <row r="7" spans="1:9" x14ac:dyDescent="0.25">
      <c r="C7" s="129" t="s">
        <v>760</v>
      </c>
      <c r="D7" s="13">
        <v>80</v>
      </c>
      <c r="F7" s="1"/>
    </row>
    <row r="8" spans="1:9" x14ac:dyDescent="0.25">
      <c r="C8" s="129" t="s">
        <v>869</v>
      </c>
      <c r="D8" s="13">
        <v>100</v>
      </c>
      <c r="F8" s="1"/>
    </row>
    <row r="9" spans="1:9" x14ac:dyDescent="0.25">
      <c r="H9" s="54" t="s">
        <v>746</v>
      </c>
      <c r="I9" s="55" t="s">
        <v>751</v>
      </c>
    </row>
    <row r="10" spans="1:9" x14ac:dyDescent="0.25">
      <c r="C10" s="9" t="s">
        <v>837</v>
      </c>
      <c r="D10" s="476"/>
      <c r="H10" s="207" t="str">
        <f t="shared" ref="H10" si="0">IF(IF(COLUMN()=COLUMN(D10),TRUE,ISBLANK(D10)), I10, D10)</f>
        <v>Basic</v>
      </c>
      <c r="I10" s="207" t="s">
        <v>836</v>
      </c>
    </row>
    <row r="11" spans="1:9" x14ac:dyDescent="0.25">
      <c r="C11" s="9" t="s">
        <v>823</v>
      </c>
      <c r="D11" s="527"/>
      <c r="H11" s="192">
        <f ca="1">IF(IF(COLUMN()=COLUMN(D11),TRUE,ISBLANK(D11)), SP_CurrentDate, D11)</f>
        <v>44605</v>
      </c>
      <c r="I11" s="56"/>
    </row>
    <row r="12" spans="1:9" x14ac:dyDescent="0.25">
      <c r="C12" s="9" t="s">
        <v>828</v>
      </c>
      <c r="D12" s="474"/>
      <c r="H12" s="56" t="b">
        <f t="shared" ref="H12:H17" si="1">IF(IF(COLUMN()=COLUMN(D12),TRUE,ISBLANK(D12)), I12, D12)</f>
        <v>1</v>
      </c>
      <c r="I12" s="56" t="b">
        <v>1</v>
      </c>
    </row>
    <row r="13" spans="1:9" x14ac:dyDescent="0.25">
      <c r="C13" s="9" t="s">
        <v>795</v>
      </c>
      <c r="D13" s="474"/>
      <c r="H13" s="56" t="b">
        <f t="shared" si="1"/>
        <v>0</v>
      </c>
      <c r="I13" s="56" t="b">
        <v>0</v>
      </c>
    </row>
    <row r="14" spans="1:9" x14ac:dyDescent="0.25">
      <c r="C14" s="9" t="s">
        <v>796</v>
      </c>
      <c r="D14" s="474"/>
      <c r="H14" s="56" t="b">
        <f t="shared" si="1"/>
        <v>0</v>
      </c>
      <c r="I14" s="56" t="b">
        <v>0</v>
      </c>
    </row>
    <row r="15" spans="1:9" x14ac:dyDescent="0.25">
      <c r="C15" s="9" t="s">
        <v>797</v>
      </c>
      <c r="D15" s="474"/>
      <c r="H15" s="56" t="b">
        <f t="shared" si="1"/>
        <v>0</v>
      </c>
      <c r="I15" s="56" t="b">
        <v>0</v>
      </c>
    </row>
    <row r="16" spans="1:9" x14ac:dyDescent="0.25">
      <c r="C16" s="9" t="s">
        <v>798</v>
      </c>
      <c r="D16" s="474"/>
      <c r="H16" s="56" t="b">
        <f t="shared" si="1"/>
        <v>0</v>
      </c>
      <c r="I16" s="56" t="b">
        <v>0</v>
      </c>
    </row>
    <row r="17" spans="2:9" x14ac:dyDescent="0.25">
      <c r="C17" s="9" t="s">
        <v>799</v>
      </c>
      <c r="D17" s="474"/>
      <c r="H17" s="56" t="b">
        <f t="shared" si="1"/>
        <v>0</v>
      </c>
      <c r="I17" s="56" t="b">
        <v>0</v>
      </c>
    </row>
    <row r="19" spans="2:9" x14ac:dyDescent="0.25">
      <c r="C19" s="150" t="s">
        <v>673</v>
      </c>
      <c r="D19" s="128">
        <f>IF(NOT(INDEX(SC_ShowRetireatee,1)),0,1)</f>
        <v>0</v>
      </c>
      <c r="E19" s="128">
        <f>IF(NOT(INDEX(SC_ShowRetireatee,2)),0,IF(SP_FilingStatus="Married Filing Jointly", 1, IF(SP_FilingStatus="Married Filing Separately",2,0)))</f>
        <v>0</v>
      </c>
    </row>
    <row r="20" spans="2:9" x14ac:dyDescent="0.25">
      <c r="C20" s="150"/>
    </row>
    <row r="21" spans="2:9" x14ac:dyDescent="0.25">
      <c r="B21" s="54" t="s">
        <v>27</v>
      </c>
      <c r="C21" s="54" t="s">
        <v>811</v>
      </c>
    </row>
    <row r="22" spans="2:9" x14ac:dyDescent="0.25">
      <c r="B22" s="151">
        <v>100</v>
      </c>
      <c r="C22" s="151"/>
    </row>
    <row r="23" spans="2:9" x14ac:dyDescent="0.25">
      <c r="B23" s="151">
        <v>101</v>
      </c>
      <c r="C23" s="151" t="s">
        <v>813</v>
      </c>
    </row>
    <row r="24" spans="2:9" x14ac:dyDescent="0.25">
      <c r="B24" s="151">
        <v>102</v>
      </c>
      <c r="C24" s="151" t="s">
        <v>863</v>
      </c>
    </row>
    <row r="25" spans="2:9" x14ac:dyDescent="0.25">
      <c r="B25" s="151">
        <v>103</v>
      </c>
      <c r="C25" s="151" t="s">
        <v>866</v>
      </c>
    </row>
    <row r="26" spans="2:9" x14ac:dyDescent="0.25">
      <c r="B26" s="151">
        <v>104</v>
      </c>
      <c r="C26" s="151" t="s">
        <v>838</v>
      </c>
    </row>
    <row r="27" spans="2:9" x14ac:dyDescent="0.25">
      <c r="B27" s="151">
        <v>105</v>
      </c>
      <c r="C27" s="151" t="s">
        <v>985</v>
      </c>
    </row>
    <row r="28" spans="2:9" x14ac:dyDescent="0.25">
      <c r="B28" s="151">
        <v>110</v>
      </c>
      <c r="C28" s="151" t="s">
        <v>816</v>
      </c>
    </row>
    <row r="29" spans="2:9" x14ac:dyDescent="0.25">
      <c r="B29" s="151">
        <v>111</v>
      </c>
      <c r="C29" s="151" t="s">
        <v>982</v>
      </c>
    </row>
    <row r="30" spans="2:9" x14ac:dyDescent="0.25">
      <c r="B30" s="151">
        <v>200</v>
      </c>
      <c r="C30" s="151" t="s">
        <v>863</v>
      </c>
    </row>
    <row r="31" spans="2:9" x14ac:dyDescent="0.25">
      <c r="B31" s="151">
        <v>201</v>
      </c>
      <c r="C31" s="151" t="s">
        <v>864</v>
      </c>
    </row>
    <row r="32" spans="2:9" x14ac:dyDescent="0.25">
      <c r="B32" s="151">
        <v>202</v>
      </c>
      <c r="C32" s="151" t="s">
        <v>865</v>
      </c>
    </row>
    <row r="33" spans="2:3" x14ac:dyDescent="0.25">
      <c r="B33" s="151">
        <v>203</v>
      </c>
      <c r="C33" s="151" t="s">
        <v>824</v>
      </c>
    </row>
    <row r="34" spans="2:3" x14ac:dyDescent="0.25">
      <c r="B34" s="151">
        <v>204</v>
      </c>
      <c r="C34" s="151" t="s">
        <v>867</v>
      </c>
    </row>
    <row r="35" spans="2:3" x14ac:dyDescent="0.25">
      <c r="B35" s="151">
        <v>205</v>
      </c>
      <c r="C35" s="151" t="s">
        <v>895</v>
      </c>
    </row>
    <row r="36" spans="2:3" x14ac:dyDescent="0.25">
      <c r="B36" s="151">
        <v>206</v>
      </c>
      <c r="C36" s="151" t="s">
        <v>988</v>
      </c>
    </row>
    <row r="37" spans="2:3" x14ac:dyDescent="0.25">
      <c r="B37" s="151">
        <v>210</v>
      </c>
      <c r="C37" s="151" t="s">
        <v>814</v>
      </c>
    </row>
    <row r="38" spans="2:3" x14ac:dyDescent="0.25">
      <c r="B38" s="151">
        <v>211</v>
      </c>
      <c r="C38" s="151" t="s">
        <v>815</v>
      </c>
    </row>
    <row r="39" spans="2:3" x14ac:dyDescent="0.25">
      <c r="B39" s="152">
        <v>299</v>
      </c>
      <c r="C39" s="152" t="s">
        <v>812</v>
      </c>
    </row>
  </sheetData>
  <sheetProtection sheet="1" objects="1" scenarios="1" autoFilter="0"/>
  <dataConsolidate/>
  <pageMargins left="0.7" right="0.7" top="0.75" bottom="0.75" header="0.3" footer="0.3"/>
  <pageSetup orientation="portrait" horizontalDpi="4294967293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5"/>
  <dimension ref="A1:AL169"/>
  <sheetViews>
    <sheetView workbookViewId="0">
      <pane xSplit="10" ySplit="3" topLeftCell="K4" activePane="bottomRight" state="frozen"/>
      <selection activeCell="P48" sqref="P48"/>
      <selection pane="topRight" activeCell="P48" sqref="P48"/>
      <selection pane="bottomLeft" activeCell="P48" sqref="P48"/>
      <selection pane="bottomRight"/>
    </sheetView>
  </sheetViews>
  <sheetFormatPr defaultRowHeight="15" x14ac:dyDescent="0.25"/>
  <cols>
    <col min="1" max="1" width="9.140625" hidden="1" customWidth="1"/>
    <col min="2" max="2" width="5" hidden="1" customWidth="1"/>
    <col min="3" max="3" width="4.28515625" hidden="1" customWidth="1"/>
    <col min="4" max="4" width="6.5703125" hidden="1" customWidth="1"/>
    <col min="5" max="5" width="3.5703125" hidden="1" customWidth="1"/>
    <col min="6" max="6" width="6.140625" hidden="1" customWidth="1"/>
    <col min="7" max="7" width="3.42578125" hidden="1" customWidth="1"/>
    <col min="8" max="8" width="3.5703125" hidden="1" customWidth="1"/>
    <col min="9" max="9" width="6.7109375" style="334" hidden="1" customWidth="1"/>
    <col min="10" max="10" width="6.5703125" hidden="1" customWidth="1"/>
    <col min="11" max="12" width="5.85546875" hidden="1" customWidth="1"/>
    <col min="13" max="13" width="4.5703125" hidden="1" customWidth="1"/>
    <col min="14" max="14" width="5.85546875" hidden="1" customWidth="1"/>
    <col min="15" max="15" width="4.5703125" hidden="1" customWidth="1"/>
    <col min="16" max="24" width="13.140625" hidden="1" customWidth="1"/>
    <col min="25" max="25" width="7.7109375" hidden="1" customWidth="1"/>
    <col min="26" max="36" width="13" hidden="1" customWidth="1"/>
    <col min="37" max="37" width="8.85546875" hidden="1" customWidth="1"/>
    <col min="38" max="38" width="13.5703125" customWidth="1"/>
  </cols>
  <sheetData>
    <row r="1" spans="1:38" hidden="1" x14ac:dyDescent="0.25">
      <c r="A1">
        <f>PMADVANCED+VMONLINE+VMMACRO</f>
        <v>38</v>
      </c>
      <c r="B1">
        <f>PMBASIC+PMADVANCED+VMONLINE+VMMACRO</f>
        <v>54</v>
      </c>
      <c r="C1">
        <f>PMBASIC+PMADVANCED+VMONLINE+VMMACRO</f>
        <v>54</v>
      </c>
      <c r="D1" s="334">
        <f>PMBASIC+PMADVANCED+IF(INDEX(SC_ShowRetireatee,2), VMONLINE+VMMACRO, 0)</f>
        <v>48</v>
      </c>
      <c r="E1">
        <f>PMBASIC+PMADVANCED</f>
        <v>48</v>
      </c>
      <c r="F1" s="4">
        <f>PMBASIC+PMADVANCED</f>
        <v>48</v>
      </c>
      <c r="G1">
        <f>PMBASIC+PMADVANCED</f>
        <v>48</v>
      </c>
      <c r="H1">
        <f>PMBASIC+PMADVANCED</f>
        <v>48</v>
      </c>
      <c r="I1" s="334">
        <f>PMBASIC+PMADVANCED+VMONLINE+VMMACRO</f>
        <v>54</v>
      </c>
      <c r="J1" s="334">
        <f t="shared" ref="J1:O1" si="0">PMBASIC+PMADVANCED</f>
        <v>48</v>
      </c>
      <c r="K1">
        <f t="shared" si="0"/>
        <v>48</v>
      </c>
      <c r="L1">
        <f t="shared" si="0"/>
        <v>48</v>
      </c>
      <c r="M1">
        <f t="shared" si="0"/>
        <v>48</v>
      </c>
      <c r="N1">
        <f t="shared" si="0"/>
        <v>48</v>
      </c>
      <c r="O1">
        <f t="shared" si="0"/>
        <v>48</v>
      </c>
      <c r="P1">
        <f t="shared" ref="P1:AG1" si="1">PMBASIC+PMADVANCED+VMONLINE+VMMACRO</f>
        <v>54</v>
      </c>
      <c r="Q1">
        <f t="shared" si="1"/>
        <v>54</v>
      </c>
      <c r="R1">
        <f t="shared" si="1"/>
        <v>54</v>
      </c>
      <c r="S1">
        <f t="shared" si="1"/>
        <v>54</v>
      </c>
      <c r="T1">
        <f t="shared" si="1"/>
        <v>54</v>
      </c>
      <c r="U1">
        <f t="shared" si="1"/>
        <v>54</v>
      </c>
      <c r="V1">
        <f t="shared" si="1"/>
        <v>54</v>
      </c>
      <c r="W1">
        <f t="shared" si="1"/>
        <v>54</v>
      </c>
      <c r="X1">
        <f t="shared" si="1"/>
        <v>54</v>
      </c>
      <c r="Y1">
        <f t="shared" si="1"/>
        <v>54</v>
      </c>
      <c r="Z1">
        <f t="shared" si="1"/>
        <v>54</v>
      </c>
      <c r="AA1">
        <f t="shared" si="1"/>
        <v>54</v>
      </c>
      <c r="AB1">
        <f t="shared" si="1"/>
        <v>54</v>
      </c>
      <c r="AC1">
        <f t="shared" si="1"/>
        <v>54</v>
      </c>
      <c r="AD1">
        <f t="shared" si="1"/>
        <v>54</v>
      </c>
      <c r="AE1">
        <f t="shared" si="1"/>
        <v>54</v>
      </c>
      <c r="AF1">
        <f t="shared" si="1"/>
        <v>54</v>
      </c>
      <c r="AG1">
        <f t="shared" si="1"/>
        <v>54</v>
      </c>
      <c r="AH1">
        <f>PMBASIC+PMADVANCED</f>
        <v>48</v>
      </c>
      <c r="AI1">
        <f>PMBASIC+PMADVANCED+VMONLINE+VMMACRO</f>
        <v>54</v>
      </c>
      <c r="AJ1">
        <f>PMBASIC+PMADVANCED+VMONLINE+VMMACRO</f>
        <v>54</v>
      </c>
      <c r="AK1">
        <f>PMBASIC+PMADVANCED+VMONLINE+VMMACRO</f>
        <v>54</v>
      </c>
    </row>
    <row r="2" spans="1:38" hidden="1" x14ac:dyDescent="0.25">
      <c r="A2">
        <f>PMBASIC+PMADVANCED+VMONLINE+VMMACRO</f>
        <v>54</v>
      </c>
      <c r="F2" s="336"/>
      <c r="J2" s="335"/>
      <c r="K2" s="658" t="s">
        <v>718</v>
      </c>
      <c r="L2" s="667"/>
      <c r="M2" s="667"/>
      <c r="N2" s="667"/>
      <c r="O2" s="667"/>
      <c r="P2" s="658" t="s">
        <v>41</v>
      </c>
      <c r="Q2" s="670"/>
      <c r="R2" s="670"/>
      <c r="S2" s="670"/>
      <c r="T2" s="670"/>
      <c r="U2" s="670"/>
      <c r="V2" s="670"/>
      <c r="W2" s="670"/>
      <c r="X2" s="670"/>
      <c r="Y2" s="659"/>
      <c r="Z2" s="666" t="s">
        <v>70</v>
      </c>
      <c r="AA2" s="667"/>
      <c r="AB2" s="658" t="s">
        <v>72</v>
      </c>
      <c r="AC2" s="667"/>
      <c r="AD2" s="667"/>
      <c r="AE2" s="669"/>
      <c r="AF2" s="658" t="s">
        <v>71</v>
      </c>
      <c r="AG2" s="667"/>
      <c r="AH2" s="667"/>
      <c r="AI2" s="669"/>
      <c r="AJ2" s="582" t="s">
        <v>716</v>
      </c>
      <c r="AK2" s="615"/>
    </row>
    <row r="3" spans="1:38" ht="45" hidden="1" x14ac:dyDescent="0.25">
      <c r="A3">
        <f>PMBASIC+PMADVANCED+VMONLINE+VMMACRO</f>
        <v>54</v>
      </c>
      <c r="B3" s="22" t="s">
        <v>0</v>
      </c>
      <c r="C3" s="47" t="s">
        <v>740</v>
      </c>
      <c r="D3" s="47" t="s">
        <v>690</v>
      </c>
      <c r="E3" s="22" t="s">
        <v>708</v>
      </c>
      <c r="F3" s="22" t="s">
        <v>839</v>
      </c>
      <c r="G3" s="22" t="s">
        <v>655</v>
      </c>
      <c r="H3" s="22" t="s">
        <v>656</v>
      </c>
      <c r="I3" s="22" t="s">
        <v>62</v>
      </c>
      <c r="J3" s="22" t="s">
        <v>1008</v>
      </c>
      <c r="K3" s="663" t="s">
        <v>835</v>
      </c>
      <c r="L3" s="664"/>
      <c r="M3" s="664"/>
      <c r="N3" s="664"/>
      <c r="O3" s="665"/>
      <c r="P3" s="17" t="s">
        <v>20</v>
      </c>
      <c r="Q3" s="17" t="s">
        <v>702</v>
      </c>
      <c r="R3" s="22" t="s">
        <v>890</v>
      </c>
      <c r="S3" s="17" t="s">
        <v>701</v>
      </c>
      <c r="T3" s="17" t="s">
        <v>721</v>
      </c>
      <c r="U3" s="17" t="s">
        <v>714</v>
      </c>
      <c r="V3" s="17" t="s">
        <v>12</v>
      </c>
      <c r="W3" s="17" t="s">
        <v>715</v>
      </c>
      <c r="X3" s="17" t="s">
        <v>705</v>
      </c>
      <c r="Y3" s="19" t="s">
        <v>657</v>
      </c>
      <c r="Z3" s="17" t="s">
        <v>13</v>
      </c>
      <c r="AA3" s="17" t="s">
        <v>67</v>
      </c>
      <c r="AB3" s="20" t="s">
        <v>665</v>
      </c>
      <c r="AC3" s="17" t="s">
        <v>73</v>
      </c>
      <c r="AD3" s="17" t="s">
        <v>74</v>
      </c>
      <c r="AE3" s="25" t="s">
        <v>75</v>
      </c>
      <c r="AF3" s="20" t="s">
        <v>665</v>
      </c>
      <c r="AG3" s="17" t="s">
        <v>73</v>
      </c>
      <c r="AH3" s="17" t="s">
        <v>922</v>
      </c>
      <c r="AI3" s="25" t="s">
        <v>74</v>
      </c>
      <c r="AJ3" s="139" t="s">
        <v>700</v>
      </c>
      <c r="AK3" s="31" t="s">
        <v>724</v>
      </c>
    </row>
    <row r="4" spans="1:38" x14ac:dyDescent="0.25">
      <c r="B4" s="90">
        <v>0</v>
      </c>
      <c r="C4" s="76"/>
      <c r="D4" s="146"/>
      <c r="E4" s="77"/>
      <c r="F4" s="77"/>
      <c r="G4" s="77"/>
      <c r="H4" s="76"/>
      <c r="I4" s="4"/>
      <c r="J4" s="77"/>
      <c r="K4" s="202"/>
      <c r="L4" s="203"/>
      <c r="M4" s="203"/>
      <c r="N4" s="203"/>
      <c r="O4" s="99"/>
      <c r="P4" s="70"/>
      <c r="Q4" s="70"/>
      <c r="R4" s="70"/>
      <c r="S4" s="70"/>
      <c r="T4" s="70"/>
      <c r="U4" s="70"/>
      <c r="V4" s="70"/>
      <c r="W4" s="70"/>
      <c r="X4" s="70"/>
      <c r="Y4" s="98"/>
      <c r="Z4" s="70"/>
      <c r="AA4" s="70"/>
      <c r="AB4" s="75"/>
      <c r="AC4" s="70"/>
      <c r="AD4" s="70"/>
      <c r="AE4" s="70"/>
      <c r="AF4" s="75"/>
      <c r="AG4" s="70"/>
      <c r="AH4" s="70"/>
      <c r="AI4" s="109"/>
      <c r="AJ4" s="75"/>
      <c r="AK4" s="74"/>
    </row>
    <row r="5" spans="1:38" x14ac:dyDescent="0.25">
      <c r="B5" s="90">
        <v>0</v>
      </c>
      <c r="C5" s="76"/>
      <c r="D5" s="146"/>
      <c r="E5" s="77"/>
      <c r="F5" s="77"/>
      <c r="G5" s="77"/>
      <c r="H5" s="76"/>
      <c r="I5" s="4"/>
      <c r="J5" s="77"/>
      <c r="K5" s="204"/>
      <c r="L5" s="93"/>
      <c r="M5" s="93"/>
      <c r="N5" s="93"/>
      <c r="O5" s="100"/>
      <c r="P5" s="70"/>
      <c r="Q5" s="70"/>
      <c r="R5" s="70"/>
      <c r="S5" s="70"/>
      <c r="T5" s="70"/>
      <c r="U5" s="70"/>
      <c r="V5" s="70"/>
      <c r="W5" s="70"/>
      <c r="X5" s="70"/>
      <c r="Y5" s="98"/>
      <c r="Z5" s="70"/>
      <c r="AA5" s="70"/>
      <c r="AB5" s="75"/>
      <c r="AC5" s="70"/>
      <c r="AD5" s="70"/>
      <c r="AE5" s="70"/>
      <c r="AF5" s="75"/>
      <c r="AG5" s="70"/>
      <c r="AH5" s="70"/>
      <c r="AI5" s="109"/>
      <c r="AJ5" s="75"/>
      <c r="AK5" s="74"/>
      <c r="AL5" s="2"/>
    </row>
    <row r="6" spans="1:38" x14ac:dyDescent="0.25">
      <c r="B6" s="90">
        <v>0</v>
      </c>
      <c r="C6" s="76"/>
      <c r="D6" s="146"/>
      <c r="E6" s="77"/>
      <c r="F6" s="77"/>
      <c r="G6" s="77"/>
      <c r="H6" s="76"/>
      <c r="I6" s="4"/>
      <c r="J6" s="77"/>
      <c r="K6" s="204"/>
      <c r="L6" s="93"/>
      <c r="M6" s="93"/>
      <c r="N6" s="93"/>
      <c r="O6" s="100"/>
      <c r="P6" s="70"/>
      <c r="Q6" s="70"/>
      <c r="R6" s="70"/>
      <c r="S6" s="70"/>
      <c r="T6" s="70"/>
      <c r="U6" s="70"/>
      <c r="V6" s="70"/>
      <c r="W6" s="70"/>
      <c r="X6" s="70"/>
      <c r="Y6" s="98"/>
      <c r="Z6" s="70"/>
      <c r="AA6" s="70"/>
      <c r="AB6" s="75"/>
      <c r="AC6" s="70"/>
      <c r="AD6" s="70"/>
      <c r="AE6" s="70"/>
      <c r="AF6" s="75"/>
      <c r="AG6" s="70"/>
      <c r="AH6" s="70"/>
      <c r="AI6" s="109"/>
      <c r="AJ6" s="75"/>
      <c r="AK6" s="74"/>
    </row>
    <row r="7" spans="1:38" x14ac:dyDescent="0.25">
      <c r="B7" s="90">
        <v>0</v>
      </c>
      <c r="C7" s="76"/>
      <c r="D7" s="146"/>
      <c r="E7" s="77"/>
      <c r="F7" s="77"/>
      <c r="G7" s="77"/>
      <c r="H7" s="76"/>
      <c r="I7" s="4"/>
      <c r="J7" s="77"/>
      <c r="K7" s="204"/>
      <c r="L7" s="93"/>
      <c r="M7" s="93"/>
      <c r="N7" s="93"/>
      <c r="O7" s="100"/>
      <c r="P7" s="70"/>
      <c r="Q7" s="70"/>
      <c r="R7" s="70"/>
      <c r="S7" s="70"/>
      <c r="T7" s="70"/>
      <c r="U7" s="70"/>
      <c r="V7" s="70"/>
      <c r="W7" s="70"/>
      <c r="X7" s="70"/>
      <c r="Y7" s="98"/>
      <c r="Z7" s="70"/>
      <c r="AA7" s="70"/>
      <c r="AB7" s="75"/>
      <c r="AC7" s="70"/>
      <c r="AD7" s="70"/>
      <c r="AE7" s="70"/>
      <c r="AF7" s="75"/>
      <c r="AG7" s="70"/>
      <c r="AH7" s="70"/>
      <c r="AI7" s="109"/>
      <c r="AJ7" s="75"/>
      <c r="AK7" s="74"/>
      <c r="AL7" s="2"/>
    </row>
    <row r="8" spans="1:38" x14ac:dyDescent="0.25">
      <c r="B8" s="90">
        <f t="shared" ref="B8:B9" ca="1" si="2">SP_CurrentYear-1</f>
        <v>2021</v>
      </c>
      <c r="C8" s="76"/>
      <c r="D8" s="146"/>
      <c r="E8" s="90">
        <f t="shared" ref="E8:E39" si="3">INDEX(SC_TaxIndex,$G8)</f>
        <v>0</v>
      </c>
      <c r="F8" s="77"/>
      <c r="G8" s="90">
        <f>MOD(ROW(),2)+1</f>
        <v>1</v>
      </c>
      <c r="H8" s="76"/>
      <c r="I8" s="4"/>
      <c r="J8" s="77"/>
      <c r="K8" s="204"/>
      <c r="L8" s="93"/>
      <c r="M8" s="93"/>
      <c r="N8" s="92"/>
      <c r="O8" s="100"/>
      <c r="P8" s="70"/>
      <c r="Q8" s="70"/>
      <c r="R8" s="70"/>
      <c r="S8" s="70"/>
      <c r="T8" s="70"/>
      <c r="U8" s="70"/>
      <c r="V8" s="70"/>
      <c r="W8" s="70"/>
      <c r="X8" s="70"/>
      <c r="Y8" s="98"/>
      <c r="Z8" s="70"/>
      <c r="AA8" s="70"/>
      <c r="AB8" s="75"/>
      <c r="AC8" s="70"/>
      <c r="AD8" s="70"/>
      <c r="AE8" s="70"/>
      <c r="AF8" s="75"/>
      <c r="AG8" s="70"/>
      <c r="AH8" s="70"/>
      <c r="AI8" s="109"/>
      <c r="AJ8" s="75"/>
      <c r="AK8" s="74"/>
    </row>
    <row r="9" spans="1:38" x14ac:dyDescent="0.25">
      <c r="B9" s="90">
        <f t="shared" ca="1" si="2"/>
        <v>2021</v>
      </c>
      <c r="C9" s="76"/>
      <c r="D9" s="146"/>
      <c r="E9" s="90">
        <f t="shared" si="3"/>
        <v>0</v>
      </c>
      <c r="F9" s="77"/>
      <c r="G9" s="90">
        <f t="shared" ref="G9:G72" si="4">MOD(ROW(),2)+1</f>
        <v>2</v>
      </c>
      <c r="H9" s="76"/>
      <c r="I9" s="4"/>
      <c r="J9" s="77"/>
      <c r="K9" s="204"/>
      <c r="L9" s="93"/>
      <c r="M9" s="93"/>
      <c r="N9" s="92"/>
      <c r="O9" s="100"/>
      <c r="P9" s="70"/>
      <c r="Q9" s="70"/>
      <c r="R9" s="70"/>
      <c r="S9" s="70"/>
      <c r="T9" s="70"/>
      <c r="U9" s="70"/>
      <c r="V9" s="70"/>
      <c r="W9" s="70"/>
      <c r="X9" s="70"/>
      <c r="Y9" s="98"/>
      <c r="Z9" s="70"/>
      <c r="AA9" s="70"/>
      <c r="AB9" s="75"/>
      <c r="AC9" s="70"/>
      <c r="AD9" s="70"/>
      <c r="AE9" s="70"/>
      <c r="AF9" s="75"/>
      <c r="AG9" s="70"/>
      <c r="AH9" s="70"/>
      <c r="AI9" s="109"/>
      <c r="AJ9" s="75"/>
      <c r="AK9" s="74"/>
      <c r="AL9" s="2"/>
    </row>
    <row r="10" spans="1:38" x14ac:dyDescent="0.25">
      <c r="B10" s="65">
        <f ca="1">B8+1</f>
        <v>2022</v>
      </c>
      <c r="C10" s="76" t="s">
        <v>741</v>
      </c>
      <c r="D10" s="146" t="str">
        <f t="shared" ref="D10:D41" si="5">INDEX(SP_Initials,G10)</f>
        <v/>
      </c>
      <c r="E10" s="77">
        <f t="shared" si="3"/>
        <v>0</v>
      </c>
      <c r="F10" s="77" t="b">
        <f t="shared" ref="F10:F41" si="6">G10=E10</f>
        <v>0</v>
      </c>
      <c r="G10" s="77">
        <f t="shared" si="4"/>
        <v>1</v>
      </c>
      <c r="H10" s="76">
        <f t="shared" ref="H10:H41" si="7">MOD($G10,2)-($G10-1)</f>
        <v>1</v>
      </c>
      <c r="I10" s="76">
        <f t="shared" ref="I10:I41" si="8">IF(INDEX(SC_ShowRetireatee,$G10),IF($B10&lt;YEAR(INDEX(SP_BirthDate,$G10)),0,$B10-YEAR(INDEX(SP_BirthDate,$G10))),0)</f>
        <v>0</v>
      </c>
      <c r="J10" s="77">
        <f t="shared" ref="J10:J41" si="9">IF(INDEX(SC_ShowRetireatee,$G10),IF($B10&lt;YEAR(INDEX(SP_BirthDate,$G10)),0,IF($B10&gt;(YEAR(INDEX(SP_BirthDate,$G10))+INDEX(SP_LifeExp,$G10)),0,$B10-YEAR(INDEX(SP_BirthDate,$G10)))),0)</f>
        <v>0</v>
      </c>
      <c r="K10" s="204">
        <f t="shared" ref="K10:L10" ca="1" si="10">INDEX(SC_EA_InflationWageIdx,EAIDX)</f>
        <v>1</v>
      </c>
      <c r="L10" s="93">
        <f t="shared" ca="1" si="10"/>
        <v>1</v>
      </c>
      <c r="M10" s="93">
        <v>1</v>
      </c>
      <c r="N10" s="92">
        <f t="shared" ref="N10" ca="1" si="11">INDEX(SC_EA_InflationWageIdx,EAIDX)</f>
        <v>1</v>
      </c>
      <c r="O10" s="100">
        <v>1</v>
      </c>
      <c r="P10" s="70">
        <f t="shared" ref="P10:P41" ca="1" si="12">SUMIF($E$8:$E$9,$G10,OFFSET(SC_EX_IncomeActiveT,EXIDX1-1,0,2,1))+SUMIF($E$8:$E$9,$G10,OFFSET(SC_EX_IncomePassiveT,EXIDX1-1,0,2,1))</f>
        <v>0</v>
      </c>
      <c r="Q10" s="70">
        <f t="shared" ref="Q10:Q41" ca="1" si="13">SUMIF($E$8:$E$9,$G10,OFFSET(SC_ZX_IncomeCapitalT,ZXIDX1-1,0,2,1))</f>
        <v>0</v>
      </c>
      <c r="R10" s="70">
        <f t="shared" ref="R10:R41" ca="1" si="14">IF($G10=1,INDEX(SC_ZA_IncomeAnnyT,ZAIDX),0)</f>
        <v>0</v>
      </c>
      <c r="S10" s="70">
        <f t="shared" ref="S10:S41" ca="1" si="15">SUMIF($E$8:$E$9,$G10,OFFSET(SC_ZX_SSRIB,ZXIDX1-1,0,2,1))</f>
        <v>0</v>
      </c>
      <c r="T10" s="70">
        <f t="shared" ref="T10:T41" ca="1" si="16">SUMIF($E$8:$E$9,$G10,OFFSET(SC_ZX_IRAContribD,ZXIDX1-1,0,2,1))</f>
        <v>0</v>
      </c>
      <c r="U10" s="70">
        <f t="shared" ref="U10:U41" ca="1" si="17">MAX(SUM($P10:$T10),0)</f>
        <v>0</v>
      </c>
      <c r="V10" s="70">
        <f t="shared" ref="V10:V41" ca="1" si="18">P10+Q10+$S10/2</f>
        <v>0</v>
      </c>
      <c r="W10" s="70">
        <f t="shared" ref="W10:W41" ca="1" si="19">MIN(VLOOKUP($V10, LT_SSBases, 2, TRUE)+VLOOKUP($V10,LT_SSBases,3,TRUE)*($V10-VLOOKUP($V10,LT_SSBases,1,TRUE)),$S10*0.85)</f>
        <v>0</v>
      </c>
      <c r="X10" s="70">
        <f t="shared" ref="X10:X41" ca="1" si="20">SUMIF($E$8:$E$9,$G10,OFFSET(SC_ZX_LTCapitalGains,ZXIDX1-1,0,2,1))</f>
        <v>0</v>
      </c>
      <c r="Y10" s="98">
        <f t="shared" ref="Y10:Y41" ca="1" si="21">COUNTIF(SC_TaxIndex,$G10)+SUMIF(SC_TaxIndex,$G10,SP_Dependents)</f>
        <v>0</v>
      </c>
      <c r="Z10" s="70">
        <f t="shared" ref="Z10:Z41" ca="1" si="22">-LT_SSRate*SUMIF($E$8:$E$9,$G10,OFFSET(SC_EX_SSWages,EXIDX1-1,0,2,1))-LT_MedicareRate*SUMIF($E$8:$E$9,$G10,OFFSET(SC_EX_MedicareWages,EXIDX1-1,0,2,1))</f>
        <v>0</v>
      </c>
      <c r="AA10" s="70">
        <f t="shared" ref="AA10:AA41" ca="1" si="23">-LT_SSRate*2*SUMIF($E$8:$E$9,$G10,OFFSET(SC_EX_SSWagesSE,EXIDX1-1,0,2,1))-LT_MedicareRate*2*SUMIF($E$8:$E$9,$G10,OFFSET(SC_EX_MedicareWagesSE,EXIDX1-1,0,2,1))</f>
        <v>0</v>
      </c>
      <c r="AB10" s="75">
        <f t="shared" ref="AB10:AB41" ca="1" si="24">SUMIF($E$8:$E$9,$G10,OFFSET(SC_ExpensesLivingPF,0,1-ROUND(ABS(INDEX(SC_EX_APW,EXIDX)),0),2,1))/INDEX(SC_EA_InflationCPIdx,EAIDX)*12+MIN(SUMIF($E$8:$E$9,$G10,OFFSET(SC_ExpensesLivingD,0,1-ROUND(ABS(INDEX(SC_EX_APW,EXIDX)),0),2,1))/INDEX(SC_EA_InflationCPIdx,EAIDX)*12+SUMIF(SC_TaxIndex,$G10,OFFSET(SC_ZA_ExpensesHomeD, ZAIDX-1, 0))+$AI10,-LT_StandardDeduction/$K10)</f>
        <v>-12950</v>
      </c>
      <c r="AC10" s="70">
        <f t="shared" ref="AC10:AC41" ca="1" si="25">MAX($P10+$Q10+$R10+$T10+$W10-$X10-$Y10*LT_PersonalExemptAmt/$K10+$AA10/2+$AB10,0)</f>
        <v>0</v>
      </c>
      <c r="AD10" s="70">
        <f t="array" aca="1" ref="AD10" ca="1">-(VLOOKUP(AC10, LT_IncomeTaxFed/$K10:$O10, 2, TRUE)+VLOOKUP(AC10,LT_IncomeTaxFed/$K10:$O10,3,TRUE)*(AC10-VLOOKUP(AC10,LT_IncomeTaxFed/$K10:$O10,1,TRUE)))</f>
        <v>0</v>
      </c>
      <c r="AE10" s="70">
        <f t="array" aca="1" ref="AE10" ca="1">-(VLOOKUP($AC10+$X10, LT_IncomeTaxFed/$K10:$O10, 4, TRUE)+VLOOKUP($AC10+$X10,LT_IncomeTaxFed/$K10:$O10,5,TRUE)*($AC10+$X10-VLOOKUP($AC10+$X10,LT_IncomeTaxFed/$K10:$O10,1,TRUE)))+(VLOOKUP($AC10, LT_IncomeTaxFed/$K10:$O10, 4, TRUE)+VLOOKUP($AC10,LT_IncomeTaxFed/$K10:$O10,5,TRUE)*($AC10-VLOOKUP($AC10,LT_IncomeTaxFed/$K10:$O10,1,TRUE)))</f>
        <v>0</v>
      </c>
      <c r="AF10" s="75">
        <f t="shared" ref="AF10:AF41" ca="1" si="26">SUMIF($E$8:$E$9,$G10,OFFSET(SC_ExpensesLivingPF,0,1-ROUND(ABS(INDEX(SC_EX_APW,EXIDX)),0),2,1))/INDEX(SC_EA_InflationCPIdx,EAIDX)*12+MIN(SUMIF($E$8:$E$9,$G10,OFFSET(SC_ExpensesLivingD,0,1-ROUND(ABS(INDEX(SC_EX_APW,EXIDX)),0),2,1))/INDEX(SC_EA_InflationCPIdx,EAIDX)*12+SUMIF(SC_TaxIndex,$G10,OFFSET(SC_ZA_ExpensesHomeD, ZAIDX-1, 0)),-LT_StandardDeduction/$K10)</f>
        <v>-12950</v>
      </c>
      <c r="AG10" s="70">
        <f t="shared" ref="AG10:AG41" ca="1" si="27">MAX($P10+$Q10+$R10+$T10+IF(VLOOKUP(SP_Taxes, LT_StateTax, 5, FALSE),$W10,0)-$Y10*LT_PersonalExemptAmt/$K10+$AA10/2+$AF10,0)</f>
        <v>0</v>
      </c>
      <c r="AH10" s="67">
        <f t="array" aca="1" ref="AH10" ca="1">IF(AG10&gt;0,(VLOOKUP(AG10, LT_IncomeTaxFed/$K10:$O10, 2, TRUE)+VLOOKUP(AG10,LT_IncomeTaxFed/$K10:$O10,3,TRUE)*(AG10-VLOOKUP(AG10,LT_IncomeTaxFed/$K10:$O10,1,TRUE)))/AG10,0)</f>
        <v>0</v>
      </c>
      <c r="AI10" s="70">
        <f t="shared" ref="AI10:AI41" ca="1" si="28">IF(AG10&gt;0,AG10*-(VLOOKUP(SP_Taxes, LT_StateTax, 2, FALSE)*POWER(AH10,2)+VLOOKUP(SP_Taxes, LT_StateTax, 3, FALSE)*AH10+VLOOKUP(SP_Taxes, LT_StateTax, 4, FALSE)),0)</f>
        <v>0</v>
      </c>
      <c r="AJ10" s="634">
        <f ca="1">SUMPRODUCT($Z10:$Z11+$AA10:$AA11+$AD10:$AD11+$AE10:$AE11+$AI10:$AI11)</f>
        <v>0</v>
      </c>
      <c r="AK10" s="668">
        <f ca="1">IF($U10&gt;0, -AJ10/$U10, 0)</f>
        <v>0</v>
      </c>
      <c r="AL10" s="1"/>
    </row>
    <row r="11" spans="1:38" x14ac:dyDescent="0.25">
      <c r="B11" s="86">
        <f t="shared" ref="B11:B73" ca="1" si="29">B9+1</f>
        <v>2022</v>
      </c>
      <c r="C11" s="80" t="s">
        <v>741</v>
      </c>
      <c r="D11" s="147" t="str">
        <f t="shared" si="5"/>
        <v/>
      </c>
      <c r="E11" s="81">
        <f t="shared" si="3"/>
        <v>0</v>
      </c>
      <c r="F11" s="81" t="b">
        <f t="shared" si="6"/>
        <v>0</v>
      </c>
      <c r="G11" s="81">
        <f t="shared" si="4"/>
        <v>2</v>
      </c>
      <c r="H11" s="82">
        <f t="shared" si="7"/>
        <v>-1</v>
      </c>
      <c r="I11" s="82">
        <f t="shared" si="8"/>
        <v>0</v>
      </c>
      <c r="J11" s="81">
        <f t="shared" si="9"/>
        <v>0</v>
      </c>
      <c r="K11" s="205">
        <f t="shared" ref="K11:L117" ca="1" si="30">INDEX(SC_EA_InflationWageIdx,EAIDX)</f>
        <v>1</v>
      </c>
      <c r="L11" s="95">
        <f t="shared" ca="1" si="30"/>
        <v>1</v>
      </c>
      <c r="M11" s="95">
        <v>1</v>
      </c>
      <c r="N11" s="94">
        <f t="shared" ref="N11:N169" ca="1" si="31">INDEX(SC_EA_InflationWageIdx,EAIDX)</f>
        <v>1</v>
      </c>
      <c r="O11" s="206">
        <v>1</v>
      </c>
      <c r="P11" s="107">
        <f t="shared" ca="1" si="12"/>
        <v>0</v>
      </c>
      <c r="Q11" s="107">
        <f t="shared" ca="1" si="13"/>
        <v>0</v>
      </c>
      <c r="R11" s="107">
        <f t="shared" si="14"/>
        <v>0</v>
      </c>
      <c r="S11" s="107">
        <f t="shared" ca="1" si="15"/>
        <v>0</v>
      </c>
      <c r="T11" s="107">
        <f t="shared" ca="1" si="16"/>
        <v>0</v>
      </c>
      <c r="U11" s="107">
        <f t="shared" ca="1" si="17"/>
        <v>0</v>
      </c>
      <c r="V11" s="107">
        <f t="shared" ca="1" si="18"/>
        <v>0</v>
      </c>
      <c r="W11" s="107">
        <f t="shared" ca="1" si="19"/>
        <v>0</v>
      </c>
      <c r="X11" s="107">
        <f t="shared" ca="1" si="20"/>
        <v>0</v>
      </c>
      <c r="Y11" s="101">
        <f t="shared" ca="1" si="21"/>
        <v>0</v>
      </c>
      <c r="Z11" s="107">
        <f t="shared" ca="1" si="22"/>
        <v>0</v>
      </c>
      <c r="AA11" s="107">
        <f t="shared" ca="1" si="23"/>
        <v>0</v>
      </c>
      <c r="AB11" s="106">
        <f t="shared" ca="1" si="24"/>
        <v>-12950</v>
      </c>
      <c r="AC11" s="107">
        <f t="shared" ca="1" si="25"/>
        <v>0</v>
      </c>
      <c r="AD11" s="107">
        <f t="array" aca="1" ref="AD11" ca="1">-(VLOOKUP(AC11, LT_IncomeTaxFed/$K11:$O11, 2, TRUE)+VLOOKUP(AC11,LT_IncomeTaxFed/$K11:$O11,3,TRUE)*(AC11-VLOOKUP(AC11,LT_IncomeTaxFed/$K11:$O11,1,TRUE)))</f>
        <v>0</v>
      </c>
      <c r="AE11" s="107">
        <f t="array" aca="1" ref="AE11" ca="1">-(VLOOKUP($AC11+$X11, LT_IncomeTaxFed/$K11:$O11, 4, TRUE)+VLOOKUP($AC11+$X11,LT_IncomeTaxFed/$K11:$O11,5,TRUE)*($AC11+$X11-VLOOKUP($AC11+$X11,LT_IncomeTaxFed/$K11:$O11,1,TRUE)))+(VLOOKUP($AC11, LT_IncomeTaxFed/$K11:$O11, 4, TRUE)+VLOOKUP($AC11,LT_IncomeTaxFed/$K11:$O11,5,TRUE)*($AC11-VLOOKUP($AC11,LT_IncomeTaxFed/$K11:$O11,1,TRUE)))</f>
        <v>0</v>
      </c>
      <c r="AF11" s="106">
        <f t="shared" ca="1" si="26"/>
        <v>-12950</v>
      </c>
      <c r="AG11" s="107">
        <f t="shared" ca="1" si="27"/>
        <v>0</v>
      </c>
      <c r="AH11" s="91">
        <f t="array" aca="1" ref="AH11" ca="1">IF(AG11&gt;0,(VLOOKUP(AG11, LT_IncomeTaxFed/$K11:$O11, 2, TRUE)+VLOOKUP(AG11,LT_IncomeTaxFed/$K11:$O11,3,TRUE)*(AG11-VLOOKUP(AG11,LT_IncomeTaxFed/$K11:$O11,1,TRUE)))/AG11,0)</f>
        <v>0</v>
      </c>
      <c r="AI11" s="110">
        <f t="shared" ca="1" si="28"/>
        <v>0</v>
      </c>
      <c r="AJ11" s="634"/>
      <c r="AK11" s="668"/>
      <c r="AL11" s="1"/>
    </row>
    <row r="12" spans="1:38" x14ac:dyDescent="0.25">
      <c r="B12" s="65">
        <f ca="1">B10+1</f>
        <v>2023</v>
      </c>
      <c r="C12" s="76" t="s">
        <v>741</v>
      </c>
      <c r="D12" s="146" t="str">
        <f t="shared" si="5"/>
        <v/>
      </c>
      <c r="E12" s="77">
        <f t="shared" si="3"/>
        <v>0</v>
      </c>
      <c r="F12" s="77" t="b">
        <f t="shared" si="6"/>
        <v>0</v>
      </c>
      <c r="G12" s="77">
        <f t="shared" si="4"/>
        <v>1</v>
      </c>
      <c r="H12" s="76">
        <f t="shared" si="7"/>
        <v>1</v>
      </c>
      <c r="I12" s="76">
        <f t="shared" si="8"/>
        <v>0</v>
      </c>
      <c r="J12" s="77">
        <f t="shared" si="9"/>
        <v>0</v>
      </c>
      <c r="K12" s="204">
        <f t="shared" ca="1" si="30"/>
        <v>0.96385542168674687</v>
      </c>
      <c r="L12" s="93">
        <f t="shared" ca="1" si="30"/>
        <v>0.96385542168674687</v>
      </c>
      <c r="M12" s="93">
        <v>1</v>
      </c>
      <c r="N12" s="92">
        <f t="shared" ca="1" si="31"/>
        <v>0.96385542168674687</v>
      </c>
      <c r="O12" s="100">
        <v>1</v>
      </c>
      <c r="P12" s="70">
        <f t="shared" ca="1" si="12"/>
        <v>0</v>
      </c>
      <c r="Q12" s="70">
        <f t="shared" ca="1" si="13"/>
        <v>0</v>
      </c>
      <c r="R12" s="70" t="e">
        <f t="shared" ca="1" si="14"/>
        <v>#REF!</v>
      </c>
      <c r="S12" s="70">
        <f t="shared" ca="1" si="15"/>
        <v>0</v>
      </c>
      <c r="T12" s="70">
        <f t="shared" ca="1" si="16"/>
        <v>0</v>
      </c>
      <c r="U12" s="70" t="e">
        <f t="shared" ca="1" si="17"/>
        <v>#REF!</v>
      </c>
      <c r="V12" s="70">
        <f t="shared" ca="1" si="18"/>
        <v>0</v>
      </c>
      <c r="W12" s="70">
        <f t="shared" ca="1" si="19"/>
        <v>0</v>
      </c>
      <c r="X12" s="70">
        <f t="shared" ca="1" si="20"/>
        <v>0</v>
      </c>
      <c r="Y12" s="98">
        <f t="shared" ca="1" si="21"/>
        <v>0</v>
      </c>
      <c r="Z12" s="70">
        <f t="shared" ca="1" si="22"/>
        <v>0</v>
      </c>
      <c r="AA12" s="70">
        <f t="shared" ca="1" si="23"/>
        <v>0</v>
      </c>
      <c r="AB12" s="409" t="e">
        <f t="shared" ca="1" si="24"/>
        <v>#REF!</v>
      </c>
      <c r="AC12" s="70" t="e">
        <f t="shared" ca="1" si="25"/>
        <v>#REF!</v>
      </c>
      <c r="AD12" s="70" t="e">
        <f t="array" aca="1" ref="AD12" ca="1">-(VLOOKUP(AC12, LT_IncomeTaxFed/$K12:$O12, 2, TRUE)+VLOOKUP(AC12,LT_IncomeTaxFed/$K12:$O12,3,TRUE)*(AC12-VLOOKUP(AC12,LT_IncomeTaxFed/$K12:$O12,1,TRUE)))</f>
        <v>#REF!</v>
      </c>
      <c r="AE12" s="70" t="e">
        <f t="array" aca="1" ref="AE12" ca="1">-(VLOOKUP($AC12+$X12, LT_IncomeTaxFed/$K12:$O12, 4, TRUE)+VLOOKUP($AC12+$X12,LT_IncomeTaxFed/$K12:$O12,5,TRUE)*($AC12+$X12-VLOOKUP($AC12+$X12,LT_IncomeTaxFed/$K12:$O12,1,TRUE)))+(VLOOKUP($AC12, LT_IncomeTaxFed/$K12:$O12, 4, TRUE)+VLOOKUP($AC12,LT_IncomeTaxFed/$K12:$O12,5,TRUE)*($AC12-VLOOKUP($AC12,LT_IncomeTaxFed/$K12:$O12,1,TRUE)))</f>
        <v>#REF!</v>
      </c>
      <c r="AF12" s="75" t="e">
        <f t="shared" ca="1" si="26"/>
        <v>#REF!</v>
      </c>
      <c r="AG12" s="70" t="e">
        <f t="shared" ca="1" si="27"/>
        <v>#REF!</v>
      </c>
      <c r="AH12" s="67" t="e">
        <f t="array" aca="1" ref="AH12" ca="1">IF(AG12&gt;0,(VLOOKUP(AG12, LT_IncomeTaxFed/$K12:$O12, 2, TRUE)+VLOOKUP(AG12,LT_IncomeTaxFed/$K12:$O12,3,TRUE)*(AG12-VLOOKUP(AG12,LT_IncomeTaxFed/$K12:$O12,1,TRUE)))/AG12,0)</f>
        <v>#REF!</v>
      </c>
      <c r="AI12" s="109" t="e">
        <f t="shared" ca="1" si="28"/>
        <v>#REF!</v>
      </c>
      <c r="AJ12" s="634" t="e">
        <f ca="1">SUMPRODUCT($Z12:$Z13+$AA12:$AA13+$AD12:$AD13+$AE12:$AE13+$AI12:$AI13)</f>
        <v>#REF!</v>
      </c>
      <c r="AK12" s="668" t="e">
        <f t="shared" ref="AK12" ca="1" si="32">IF($U12&gt;0, -AJ12/$U12, 0)</f>
        <v>#REF!</v>
      </c>
      <c r="AL12" s="1"/>
    </row>
    <row r="13" spans="1:38" x14ac:dyDescent="0.25">
      <c r="B13" s="86">
        <f t="shared" ca="1" si="29"/>
        <v>2023</v>
      </c>
      <c r="C13" s="80" t="s">
        <v>741</v>
      </c>
      <c r="D13" s="147" t="str">
        <f t="shared" si="5"/>
        <v/>
      </c>
      <c r="E13" s="81">
        <f t="shared" si="3"/>
        <v>0</v>
      </c>
      <c r="F13" s="81" t="b">
        <f t="shared" si="6"/>
        <v>0</v>
      </c>
      <c r="G13" s="81">
        <f t="shared" si="4"/>
        <v>2</v>
      </c>
      <c r="H13" s="82">
        <f t="shared" si="7"/>
        <v>-1</v>
      </c>
      <c r="I13" s="82">
        <f t="shared" si="8"/>
        <v>0</v>
      </c>
      <c r="J13" s="81">
        <f t="shared" si="9"/>
        <v>0</v>
      </c>
      <c r="K13" s="205">
        <f t="shared" ca="1" si="30"/>
        <v>0.96385542168674687</v>
      </c>
      <c r="L13" s="95">
        <f t="shared" ca="1" si="30"/>
        <v>0.96385542168674687</v>
      </c>
      <c r="M13" s="95">
        <v>1</v>
      </c>
      <c r="N13" s="94">
        <f t="shared" ca="1" si="31"/>
        <v>0.96385542168674687</v>
      </c>
      <c r="O13" s="206">
        <v>1</v>
      </c>
      <c r="P13" s="107">
        <f t="shared" ca="1" si="12"/>
        <v>0</v>
      </c>
      <c r="Q13" s="107">
        <f t="shared" ca="1" si="13"/>
        <v>0</v>
      </c>
      <c r="R13" s="107">
        <f t="shared" si="14"/>
        <v>0</v>
      </c>
      <c r="S13" s="107">
        <f t="shared" ca="1" si="15"/>
        <v>0</v>
      </c>
      <c r="T13" s="107">
        <f t="shared" ca="1" si="16"/>
        <v>0</v>
      </c>
      <c r="U13" s="107">
        <f t="shared" ca="1" si="17"/>
        <v>0</v>
      </c>
      <c r="V13" s="107">
        <f t="shared" ca="1" si="18"/>
        <v>0</v>
      </c>
      <c r="W13" s="107">
        <f t="shared" ca="1" si="19"/>
        <v>0</v>
      </c>
      <c r="X13" s="107">
        <f t="shared" ca="1" si="20"/>
        <v>0</v>
      </c>
      <c r="Y13" s="101">
        <f t="shared" ca="1" si="21"/>
        <v>0</v>
      </c>
      <c r="Z13" s="107">
        <f t="shared" ca="1" si="22"/>
        <v>0</v>
      </c>
      <c r="AA13" s="107">
        <f t="shared" ca="1" si="23"/>
        <v>0</v>
      </c>
      <c r="AB13" s="106" t="e">
        <f t="shared" ca="1" si="24"/>
        <v>#REF!</v>
      </c>
      <c r="AC13" s="107" t="e">
        <f t="shared" ca="1" si="25"/>
        <v>#REF!</v>
      </c>
      <c r="AD13" s="107" t="e">
        <f t="array" aca="1" ref="AD13" ca="1">-(VLOOKUP(AC13, LT_IncomeTaxFed/$K13:$O13, 2, TRUE)+VLOOKUP(AC13,LT_IncomeTaxFed/$K13:$O13,3,TRUE)*(AC13-VLOOKUP(AC13,LT_IncomeTaxFed/$K13:$O13,1,TRUE)))</f>
        <v>#REF!</v>
      </c>
      <c r="AE13" s="107" t="e">
        <f t="array" aca="1" ref="AE13" ca="1">-(VLOOKUP($AC13+$X13, LT_IncomeTaxFed/$K13:$O13, 4, TRUE)+VLOOKUP($AC13+$X13,LT_IncomeTaxFed/$K13:$O13,5,TRUE)*($AC13+$X13-VLOOKUP($AC13+$X13,LT_IncomeTaxFed/$K13:$O13,1,TRUE)))+(VLOOKUP($AC13, LT_IncomeTaxFed/$K13:$O13, 4, TRUE)+VLOOKUP($AC13,LT_IncomeTaxFed/$K13:$O13,5,TRUE)*($AC13-VLOOKUP($AC13,LT_IncomeTaxFed/$K13:$O13,1,TRUE)))</f>
        <v>#REF!</v>
      </c>
      <c r="AF13" s="106" t="e">
        <f t="shared" ca="1" si="26"/>
        <v>#REF!</v>
      </c>
      <c r="AG13" s="107" t="e">
        <f t="shared" ca="1" si="27"/>
        <v>#REF!</v>
      </c>
      <c r="AH13" s="91" t="e">
        <f t="array" aca="1" ref="AH13" ca="1">IF(AG13&gt;0,(VLOOKUP(AG13, LT_IncomeTaxFed/$K13:$O13, 2, TRUE)+VLOOKUP(AG13,LT_IncomeTaxFed/$K13:$O13,3,TRUE)*(AG13-VLOOKUP(AG13,LT_IncomeTaxFed/$K13:$O13,1,TRUE)))/AG13,0)</f>
        <v>#REF!</v>
      </c>
      <c r="AI13" s="110" t="e">
        <f t="shared" ca="1" si="28"/>
        <v>#REF!</v>
      </c>
      <c r="AJ13" s="634"/>
      <c r="AK13" s="668"/>
      <c r="AL13" s="1"/>
    </row>
    <row r="14" spans="1:38" x14ac:dyDescent="0.25">
      <c r="B14" s="65">
        <f ca="1">B12+1</f>
        <v>2024</v>
      </c>
      <c r="C14" s="76" t="s">
        <v>741</v>
      </c>
      <c r="D14" s="146" t="str">
        <f t="shared" si="5"/>
        <v/>
      </c>
      <c r="E14" s="77">
        <f t="shared" si="3"/>
        <v>0</v>
      </c>
      <c r="F14" s="77" t="b">
        <f t="shared" si="6"/>
        <v>0</v>
      </c>
      <c r="G14" s="77">
        <f t="shared" si="4"/>
        <v>1</v>
      </c>
      <c r="H14" s="76">
        <f t="shared" si="7"/>
        <v>1</v>
      </c>
      <c r="I14" s="76">
        <f t="shared" si="8"/>
        <v>0</v>
      </c>
      <c r="J14" s="77">
        <f t="shared" si="9"/>
        <v>0</v>
      </c>
      <c r="K14" s="204">
        <f t="shared" ca="1" si="30"/>
        <v>0.9290172739149366</v>
      </c>
      <c r="L14" s="93">
        <f t="shared" ca="1" si="30"/>
        <v>0.9290172739149366</v>
      </c>
      <c r="M14" s="93">
        <v>1</v>
      </c>
      <c r="N14" s="92">
        <f t="shared" ca="1" si="31"/>
        <v>0.9290172739149366</v>
      </c>
      <c r="O14" s="100">
        <v>1</v>
      </c>
      <c r="P14" s="70">
        <f t="shared" ca="1" si="12"/>
        <v>0</v>
      </c>
      <c r="Q14" s="70">
        <f t="shared" ca="1" si="13"/>
        <v>0</v>
      </c>
      <c r="R14" s="70" t="e">
        <f t="shared" ca="1" si="14"/>
        <v>#REF!</v>
      </c>
      <c r="S14" s="70">
        <f t="shared" ca="1" si="15"/>
        <v>0</v>
      </c>
      <c r="T14" s="70">
        <f t="shared" ca="1" si="16"/>
        <v>0</v>
      </c>
      <c r="U14" s="70" t="e">
        <f t="shared" ca="1" si="17"/>
        <v>#REF!</v>
      </c>
      <c r="V14" s="70">
        <f t="shared" ca="1" si="18"/>
        <v>0</v>
      </c>
      <c r="W14" s="70">
        <f t="shared" ca="1" si="19"/>
        <v>0</v>
      </c>
      <c r="X14" s="70">
        <f t="shared" ca="1" si="20"/>
        <v>0</v>
      </c>
      <c r="Y14" s="98">
        <f t="shared" ca="1" si="21"/>
        <v>0</v>
      </c>
      <c r="Z14" s="70">
        <f t="shared" ca="1" si="22"/>
        <v>0</v>
      </c>
      <c r="AA14" s="70">
        <f t="shared" ca="1" si="23"/>
        <v>0</v>
      </c>
      <c r="AB14" s="409" t="e">
        <f t="shared" ca="1" si="24"/>
        <v>#REF!</v>
      </c>
      <c r="AC14" s="70" t="e">
        <f t="shared" ca="1" si="25"/>
        <v>#REF!</v>
      </c>
      <c r="AD14" s="70" t="e">
        <f t="array" aca="1" ref="AD14" ca="1">-(VLOOKUP(AC14, LT_IncomeTaxFed/$K14:$O14, 2, TRUE)+VLOOKUP(AC14,LT_IncomeTaxFed/$K14:$O14,3,TRUE)*(AC14-VLOOKUP(AC14,LT_IncomeTaxFed/$K14:$O14,1,TRUE)))</f>
        <v>#REF!</v>
      </c>
      <c r="AE14" s="70" t="e">
        <f t="array" aca="1" ref="AE14" ca="1">-(VLOOKUP($AC14+$X14, LT_IncomeTaxFed/$K14:$O14, 4, TRUE)+VLOOKUP($AC14+$X14,LT_IncomeTaxFed/$K14:$O14,5,TRUE)*($AC14+$X14-VLOOKUP($AC14+$X14,LT_IncomeTaxFed/$K14:$O14,1,TRUE)))+(VLOOKUP($AC14, LT_IncomeTaxFed/$K14:$O14, 4, TRUE)+VLOOKUP($AC14,LT_IncomeTaxFed/$K14:$O14,5,TRUE)*($AC14-VLOOKUP($AC14,LT_IncomeTaxFed/$K14:$O14,1,TRUE)))</f>
        <v>#REF!</v>
      </c>
      <c r="AF14" s="75" t="e">
        <f t="shared" ca="1" si="26"/>
        <v>#REF!</v>
      </c>
      <c r="AG14" s="70" t="e">
        <f t="shared" ca="1" si="27"/>
        <v>#REF!</v>
      </c>
      <c r="AH14" s="67" t="e">
        <f t="array" aca="1" ref="AH14" ca="1">IF(AG14&gt;0,(VLOOKUP(AG14, LT_IncomeTaxFed/$K14:$O14, 2, TRUE)+VLOOKUP(AG14,LT_IncomeTaxFed/$K14:$O14,3,TRUE)*(AG14-VLOOKUP(AG14,LT_IncomeTaxFed/$K14:$O14,1,TRUE)))/AG14,0)</f>
        <v>#REF!</v>
      </c>
      <c r="AI14" s="109" t="e">
        <f t="shared" ca="1" si="28"/>
        <v>#REF!</v>
      </c>
      <c r="AJ14" s="634" t="e">
        <f ca="1">SUMPRODUCT($Z14:$Z15+$AA14:$AA15+$AD14:$AD15+$AE14:$AE15+$AI14:$AI15)</f>
        <v>#REF!</v>
      </c>
      <c r="AK14" s="668" t="e">
        <f t="shared" ref="AK14" ca="1" si="33">IF($U14&gt;0, -AJ14/$U14, 0)</f>
        <v>#REF!</v>
      </c>
      <c r="AL14" s="1"/>
    </row>
    <row r="15" spans="1:38" x14ac:dyDescent="0.25">
      <c r="B15" s="86">
        <f t="shared" ca="1" si="29"/>
        <v>2024</v>
      </c>
      <c r="C15" s="80" t="s">
        <v>741</v>
      </c>
      <c r="D15" s="147" t="str">
        <f t="shared" si="5"/>
        <v/>
      </c>
      <c r="E15" s="81">
        <f t="shared" si="3"/>
        <v>0</v>
      </c>
      <c r="F15" s="81" t="b">
        <f t="shared" si="6"/>
        <v>0</v>
      </c>
      <c r="G15" s="81">
        <f t="shared" si="4"/>
        <v>2</v>
      </c>
      <c r="H15" s="82">
        <f t="shared" si="7"/>
        <v>-1</v>
      </c>
      <c r="I15" s="82">
        <f t="shared" si="8"/>
        <v>0</v>
      </c>
      <c r="J15" s="81">
        <f t="shared" si="9"/>
        <v>0</v>
      </c>
      <c r="K15" s="205">
        <f t="shared" ca="1" si="30"/>
        <v>0.9290172739149366</v>
      </c>
      <c r="L15" s="95">
        <f t="shared" ca="1" si="30"/>
        <v>0.9290172739149366</v>
      </c>
      <c r="M15" s="95">
        <v>1</v>
      </c>
      <c r="N15" s="94">
        <f t="shared" ca="1" si="31"/>
        <v>0.9290172739149366</v>
      </c>
      <c r="O15" s="206">
        <v>1</v>
      </c>
      <c r="P15" s="107">
        <f t="shared" ca="1" si="12"/>
        <v>0</v>
      </c>
      <c r="Q15" s="107">
        <f t="shared" ca="1" si="13"/>
        <v>0</v>
      </c>
      <c r="R15" s="107">
        <f t="shared" si="14"/>
        <v>0</v>
      </c>
      <c r="S15" s="107">
        <f t="shared" ca="1" si="15"/>
        <v>0</v>
      </c>
      <c r="T15" s="107">
        <f t="shared" ca="1" si="16"/>
        <v>0</v>
      </c>
      <c r="U15" s="107">
        <f t="shared" ca="1" si="17"/>
        <v>0</v>
      </c>
      <c r="V15" s="107">
        <f t="shared" ca="1" si="18"/>
        <v>0</v>
      </c>
      <c r="W15" s="107">
        <f t="shared" ca="1" si="19"/>
        <v>0</v>
      </c>
      <c r="X15" s="107">
        <f t="shared" ca="1" si="20"/>
        <v>0</v>
      </c>
      <c r="Y15" s="101">
        <f t="shared" ca="1" si="21"/>
        <v>0</v>
      </c>
      <c r="Z15" s="107">
        <f t="shared" ca="1" si="22"/>
        <v>0</v>
      </c>
      <c r="AA15" s="107">
        <f t="shared" ca="1" si="23"/>
        <v>0</v>
      </c>
      <c r="AB15" s="106" t="e">
        <f t="shared" ca="1" si="24"/>
        <v>#REF!</v>
      </c>
      <c r="AC15" s="107" t="e">
        <f t="shared" ca="1" si="25"/>
        <v>#REF!</v>
      </c>
      <c r="AD15" s="107" t="e">
        <f t="array" aca="1" ref="AD15" ca="1">-(VLOOKUP(AC15, LT_IncomeTaxFed/$K15:$O15, 2, TRUE)+VLOOKUP(AC15,LT_IncomeTaxFed/$K15:$O15,3,TRUE)*(AC15-VLOOKUP(AC15,LT_IncomeTaxFed/$K15:$O15,1,TRUE)))</f>
        <v>#REF!</v>
      </c>
      <c r="AE15" s="107" t="e">
        <f t="array" aca="1" ref="AE15" ca="1">-(VLOOKUP($AC15+$X15, LT_IncomeTaxFed/$K15:$O15, 4, TRUE)+VLOOKUP($AC15+$X15,LT_IncomeTaxFed/$K15:$O15,5,TRUE)*($AC15+$X15-VLOOKUP($AC15+$X15,LT_IncomeTaxFed/$K15:$O15,1,TRUE)))+(VLOOKUP($AC15, LT_IncomeTaxFed/$K15:$O15, 4, TRUE)+VLOOKUP($AC15,LT_IncomeTaxFed/$K15:$O15,5,TRUE)*($AC15-VLOOKUP($AC15,LT_IncomeTaxFed/$K15:$O15,1,TRUE)))</f>
        <v>#REF!</v>
      </c>
      <c r="AF15" s="106" t="e">
        <f t="shared" ca="1" si="26"/>
        <v>#REF!</v>
      </c>
      <c r="AG15" s="107" t="e">
        <f t="shared" ca="1" si="27"/>
        <v>#REF!</v>
      </c>
      <c r="AH15" s="91" t="e">
        <f t="array" aca="1" ref="AH15" ca="1">IF(AG15&gt;0,(VLOOKUP(AG15, LT_IncomeTaxFed/$K15:$O15, 2, TRUE)+VLOOKUP(AG15,LT_IncomeTaxFed/$K15:$O15,3,TRUE)*(AG15-VLOOKUP(AG15,LT_IncomeTaxFed/$K15:$O15,1,TRUE)))/AG15,0)</f>
        <v>#REF!</v>
      </c>
      <c r="AI15" s="110" t="e">
        <f t="shared" ca="1" si="28"/>
        <v>#REF!</v>
      </c>
      <c r="AJ15" s="634"/>
      <c r="AK15" s="668"/>
      <c r="AL15" s="1"/>
    </row>
    <row r="16" spans="1:38" x14ac:dyDescent="0.25">
      <c r="B16" s="65">
        <f ca="1">B14+1</f>
        <v>2025</v>
      </c>
      <c r="C16" s="76" t="s">
        <v>741</v>
      </c>
      <c r="D16" s="146" t="str">
        <f t="shared" si="5"/>
        <v/>
      </c>
      <c r="E16" s="77">
        <f t="shared" si="3"/>
        <v>0</v>
      </c>
      <c r="F16" s="77" t="b">
        <f t="shared" si="6"/>
        <v>0</v>
      </c>
      <c r="G16" s="77">
        <f t="shared" si="4"/>
        <v>1</v>
      </c>
      <c r="H16" s="76">
        <f t="shared" si="7"/>
        <v>1</v>
      </c>
      <c r="I16" s="76">
        <f t="shared" si="8"/>
        <v>0</v>
      </c>
      <c r="J16" s="77">
        <f t="shared" si="9"/>
        <v>0</v>
      </c>
      <c r="K16" s="204">
        <f t="shared" ca="1" si="30"/>
        <v>0.89543833630355341</v>
      </c>
      <c r="L16" s="93">
        <f t="shared" ca="1" si="30"/>
        <v>0.89543833630355341</v>
      </c>
      <c r="M16" s="93">
        <v>1</v>
      </c>
      <c r="N16" s="92">
        <f t="shared" ca="1" si="31"/>
        <v>0.89543833630355341</v>
      </c>
      <c r="O16" s="100">
        <v>1</v>
      </c>
      <c r="P16" s="70">
        <f t="shared" ca="1" si="12"/>
        <v>0</v>
      </c>
      <c r="Q16" s="70">
        <f t="shared" ca="1" si="13"/>
        <v>0</v>
      </c>
      <c r="R16" s="70" t="e">
        <f t="shared" ca="1" si="14"/>
        <v>#REF!</v>
      </c>
      <c r="S16" s="70">
        <f t="shared" ca="1" si="15"/>
        <v>0</v>
      </c>
      <c r="T16" s="70">
        <f t="shared" ca="1" si="16"/>
        <v>0</v>
      </c>
      <c r="U16" s="70" t="e">
        <f t="shared" ca="1" si="17"/>
        <v>#REF!</v>
      </c>
      <c r="V16" s="70">
        <f t="shared" ca="1" si="18"/>
        <v>0</v>
      </c>
      <c r="W16" s="70">
        <f t="shared" ca="1" si="19"/>
        <v>0</v>
      </c>
      <c r="X16" s="70">
        <f t="shared" ca="1" si="20"/>
        <v>0</v>
      </c>
      <c r="Y16" s="98">
        <f t="shared" ca="1" si="21"/>
        <v>0</v>
      </c>
      <c r="Z16" s="70">
        <f t="shared" ca="1" si="22"/>
        <v>0</v>
      </c>
      <c r="AA16" s="70">
        <f t="shared" ca="1" si="23"/>
        <v>0</v>
      </c>
      <c r="AB16" s="409" t="e">
        <f t="shared" ca="1" si="24"/>
        <v>#REF!</v>
      </c>
      <c r="AC16" s="70" t="e">
        <f t="shared" ca="1" si="25"/>
        <v>#REF!</v>
      </c>
      <c r="AD16" s="70" t="e">
        <f t="array" aca="1" ref="AD16" ca="1">-(VLOOKUP(AC16, LT_IncomeTaxFed/$K16:$O16, 2, TRUE)+VLOOKUP(AC16,LT_IncomeTaxFed/$K16:$O16,3,TRUE)*(AC16-VLOOKUP(AC16,LT_IncomeTaxFed/$K16:$O16,1,TRUE)))</f>
        <v>#REF!</v>
      </c>
      <c r="AE16" s="70" t="e">
        <f t="array" aca="1" ref="AE16" ca="1">-(VLOOKUP($AC16+$X16, LT_IncomeTaxFed/$K16:$O16, 4, TRUE)+VLOOKUP($AC16+$X16,LT_IncomeTaxFed/$K16:$O16,5,TRUE)*($AC16+$X16-VLOOKUP($AC16+$X16,LT_IncomeTaxFed/$K16:$O16,1,TRUE)))+(VLOOKUP($AC16, LT_IncomeTaxFed/$K16:$O16, 4, TRUE)+VLOOKUP($AC16,LT_IncomeTaxFed/$K16:$O16,5,TRUE)*($AC16-VLOOKUP($AC16,LT_IncomeTaxFed/$K16:$O16,1,TRUE)))</f>
        <v>#REF!</v>
      </c>
      <c r="AF16" s="75" t="e">
        <f t="shared" ca="1" si="26"/>
        <v>#REF!</v>
      </c>
      <c r="AG16" s="70" t="e">
        <f t="shared" ca="1" si="27"/>
        <v>#REF!</v>
      </c>
      <c r="AH16" s="67" t="e">
        <f t="array" aca="1" ref="AH16" ca="1">IF(AG16&gt;0,(VLOOKUP(AG16, LT_IncomeTaxFed/$K16:$O16, 2, TRUE)+VLOOKUP(AG16,LT_IncomeTaxFed/$K16:$O16,3,TRUE)*(AG16-VLOOKUP(AG16,LT_IncomeTaxFed/$K16:$O16,1,TRUE)))/AG16,0)</f>
        <v>#REF!</v>
      </c>
      <c r="AI16" s="109" t="e">
        <f t="shared" ca="1" si="28"/>
        <v>#REF!</v>
      </c>
      <c r="AJ16" s="634" t="e">
        <f ca="1">SUMPRODUCT($Z16:$Z17+$AA16:$AA17+$AD16:$AD17+$AE16:$AE17+$AI16:$AI17)</f>
        <v>#REF!</v>
      </c>
      <c r="AK16" s="668" t="e">
        <f t="shared" ref="AK16" ca="1" si="34">IF($U16&gt;0, -AJ16/$U16, 0)</f>
        <v>#REF!</v>
      </c>
      <c r="AL16" s="1"/>
    </row>
    <row r="17" spans="2:38" x14ac:dyDescent="0.25">
      <c r="B17" s="86">
        <f t="shared" ca="1" si="29"/>
        <v>2025</v>
      </c>
      <c r="C17" s="80" t="s">
        <v>741</v>
      </c>
      <c r="D17" s="147" t="str">
        <f t="shared" si="5"/>
        <v/>
      </c>
      <c r="E17" s="81">
        <f t="shared" si="3"/>
        <v>0</v>
      </c>
      <c r="F17" s="81" t="b">
        <f t="shared" si="6"/>
        <v>0</v>
      </c>
      <c r="G17" s="81">
        <f t="shared" si="4"/>
        <v>2</v>
      </c>
      <c r="H17" s="82">
        <f t="shared" si="7"/>
        <v>-1</v>
      </c>
      <c r="I17" s="82">
        <f t="shared" si="8"/>
        <v>0</v>
      </c>
      <c r="J17" s="81">
        <f t="shared" si="9"/>
        <v>0</v>
      </c>
      <c r="K17" s="205">
        <f t="shared" ca="1" si="30"/>
        <v>0.89543833630355341</v>
      </c>
      <c r="L17" s="95">
        <f t="shared" ca="1" si="30"/>
        <v>0.89543833630355341</v>
      </c>
      <c r="M17" s="95">
        <v>1</v>
      </c>
      <c r="N17" s="94">
        <f t="shared" ca="1" si="31"/>
        <v>0.89543833630355341</v>
      </c>
      <c r="O17" s="206">
        <v>1</v>
      </c>
      <c r="P17" s="107">
        <f t="shared" ca="1" si="12"/>
        <v>0</v>
      </c>
      <c r="Q17" s="107">
        <f t="shared" ca="1" si="13"/>
        <v>0</v>
      </c>
      <c r="R17" s="107">
        <f t="shared" si="14"/>
        <v>0</v>
      </c>
      <c r="S17" s="107">
        <f t="shared" ca="1" si="15"/>
        <v>0</v>
      </c>
      <c r="T17" s="107">
        <f t="shared" ca="1" si="16"/>
        <v>0</v>
      </c>
      <c r="U17" s="107">
        <f t="shared" ca="1" si="17"/>
        <v>0</v>
      </c>
      <c r="V17" s="107">
        <f t="shared" ca="1" si="18"/>
        <v>0</v>
      </c>
      <c r="W17" s="107">
        <f t="shared" ca="1" si="19"/>
        <v>0</v>
      </c>
      <c r="X17" s="107">
        <f t="shared" ca="1" si="20"/>
        <v>0</v>
      </c>
      <c r="Y17" s="101">
        <f t="shared" ca="1" si="21"/>
        <v>0</v>
      </c>
      <c r="Z17" s="107">
        <f t="shared" ca="1" si="22"/>
        <v>0</v>
      </c>
      <c r="AA17" s="107">
        <f t="shared" ca="1" si="23"/>
        <v>0</v>
      </c>
      <c r="AB17" s="106" t="e">
        <f t="shared" ca="1" si="24"/>
        <v>#REF!</v>
      </c>
      <c r="AC17" s="107" t="e">
        <f t="shared" ca="1" si="25"/>
        <v>#REF!</v>
      </c>
      <c r="AD17" s="107" t="e">
        <f t="array" aca="1" ref="AD17" ca="1">-(VLOOKUP(AC17, LT_IncomeTaxFed/$K17:$O17, 2, TRUE)+VLOOKUP(AC17,LT_IncomeTaxFed/$K17:$O17,3,TRUE)*(AC17-VLOOKUP(AC17,LT_IncomeTaxFed/$K17:$O17,1,TRUE)))</f>
        <v>#REF!</v>
      </c>
      <c r="AE17" s="107" t="e">
        <f t="array" aca="1" ref="AE17" ca="1">-(VLOOKUP($AC17+$X17, LT_IncomeTaxFed/$K17:$O17, 4, TRUE)+VLOOKUP($AC17+$X17,LT_IncomeTaxFed/$K17:$O17,5,TRUE)*($AC17+$X17-VLOOKUP($AC17+$X17,LT_IncomeTaxFed/$K17:$O17,1,TRUE)))+(VLOOKUP($AC17, LT_IncomeTaxFed/$K17:$O17, 4, TRUE)+VLOOKUP($AC17,LT_IncomeTaxFed/$K17:$O17,5,TRUE)*($AC17-VLOOKUP($AC17,LT_IncomeTaxFed/$K17:$O17,1,TRUE)))</f>
        <v>#REF!</v>
      </c>
      <c r="AF17" s="106" t="e">
        <f t="shared" ca="1" si="26"/>
        <v>#REF!</v>
      </c>
      <c r="AG17" s="107" t="e">
        <f t="shared" ca="1" si="27"/>
        <v>#REF!</v>
      </c>
      <c r="AH17" s="91" t="e">
        <f t="array" aca="1" ref="AH17" ca="1">IF(AG17&gt;0,(VLOOKUP(AG17, LT_IncomeTaxFed/$K17:$O17, 2, TRUE)+VLOOKUP(AG17,LT_IncomeTaxFed/$K17:$O17,3,TRUE)*(AG17-VLOOKUP(AG17,LT_IncomeTaxFed/$K17:$O17,1,TRUE)))/AG17,0)</f>
        <v>#REF!</v>
      </c>
      <c r="AI17" s="110" t="e">
        <f t="shared" ca="1" si="28"/>
        <v>#REF!</v>
      </c>
      <c r="AJ17" s="634"/>
      <c r="AK17" s="668"/>
      <c r="AL17" s="1"/>
    </row>
    <row r="18" spans="2:38" x14ac:dyDescent="0.25">
      <c r="B18" s="65">
        <f ca="1">B16+1</f>
        <v>2026</v>
      </c>
      <c r="C18" s="76" t="s">
        <v>741</v>
      </c>
      <c r="D18" s="146" t="str">
        <f t="shared" si="5"/>
        <v/>
      </c>
      <c r="E18" s="77">
        <f t="shared" si="3"/>
        <v>0</v>
      </c>
      <c r="F18" s="77" t="b">
        <f t="shared" si="6"/>
        <v>0</v>
      </c>
      <c r="G18" s="77">
        <f t="shared" si="4"/>
        <v>1</v>
      </c>
      <c r="H18" s="76">
        <f t="shared" si="7"/>
        <v>1</v>
      </c>
      <c r="I18" s="76">
        <f t="shared" si="8"/>
        <v>0</v>
      </c>
      <c r="J18" s="77">
        <f t="shared" si="9"/>
        <v>0</v>
      </c>
      <c r="K18" s="204">
        <f t="shared" ca="1" si="30"/>
        <v>0.86307309523234055</v>
      </c>
      <c r="L18" s="93">
        <f t="shared" ca="1" si="30"/>
        <v>0.86307309523234055</v>
      </c>
      <c r="M18" s="93">
        <v>1</v>
      </c>
      <c r="N18" s="92">
        <f t="shared" ca="1" si="31"/>
        <v>0.86307309523234055</v>
      </c>
      <c r="O18" s="100">
        <v>1</v>
      </c>
      <c r="P18" s="70">
        <f t="shared" ca="1" si="12"/>
        <v>0</v>
      </c>
      <c r="Q18" s="70">
        <f t="shared" ca="1" si="13"/>
        <v>0</v>
      </c>
      <c r="R18" s="70" t="e">
        <f t="shared" ca="1" si="14"/>
        <v>#REF!</v>
      </c>
      <c r="S18" s="70">
        <f t="shared" ca="1" si="15"/>
        <v>0</v>
      </c>
      <c r="T18" s="70">
        <f t="shared" ca="1" si="16"/>
        <v>0</v>
      </c>
      <c r="U18" s="70" t="e">
        <f t="shared" ca="1" si="17"/>
        <v>#REF!</v>
      </c>
      <c r="V18" s="70">
        <f t="shared" ca="1" si="18"/>
        <v>0</v>
      </c>
      <c r="W18" s="70">
        <f t="shared" ca="1" si="19"/>
        <v>0</v>
      </c>
      <c r="X18" s="70">
        <f t="shared" ca="1" si="20"/>
        <v>0</v>
      </c>
      <c r="Y18" s="98">
        <f t="shared" ca="1" si="21"/>
        <v>0</v>
      </c>
      <c r="Z18" s="70">
        <f t="shared" ca="1" si="22"/>
        <v>0</v>
      </c>
      <c r="AA18" s="70">
        <f t="shared" ca="1" si="23"/>
        <v>0</v>
      </c>
      <c r="AB18" s="409" t="e">
        <f t="shared" ca="1" si="24"/>
        <v>#REF!</v>
      </c>
      <c r="AC18" s="70" t="e">
        <f t="shared" ca="1" si="25"/>
        <v>#REF!</v>
      </c>
      <c r="AD18" s="70" t="e">
        <f t="array" aca="1" ref="AD18" ca="1">-(VLOOKUP(AC18, LT_IncomeTaxFed/$K18:$O18, 2, TRUE)+VLOOKUP(AC18,LT_IncomeTaxFed/$K18:$O18,3,TRUE)*(AC18-VLOOKUP(AC18,LT_IncomeTaxFed/$K18:$O18,1,TRUE)))</f>
        <v>#REF!</v>
      </c>
      <c r="AE18" s="70" t="e">
        <f t="array" aca="1" ref="AE18" ca="1">-(VLOOKUP($AC18+$X18, LT_IncomeTaxFed/$K18:$O18, 4, TRUE)+VLOOKUP($AC18+$X18,LT_IncomeTaxFed/$K18:$O18,5,TRUE)*($AC18+$X18-VLOOKUP($AC18+$X18,LT_IncomeTaxFed/$K18:$O18,1,TRUE)))+(VLOOKUP($AC18, LT_IncomeTaxFed/$K18:$O18, 4, TRUE)+VLOOKUP($AC18,LT_IncomeTaxFed/$K18:$O18,5,TRUE)*($AC18-VLOOKUP($AC18,LT_IncomeTaxFed/$K18:$O18,1,TRUE)))</f>
        <v>#REF!</v>
      </c>
      <c r="AF18" s="75" t="e">
        <f t="shared" ca="1" si="26"/>
        <v>#REF!</v>
      </c>
      <c r="AG18" s="70" t="e">
        <f t="shared" ca="1" si="27"/>
        <v>#REF!</v>
      </c>
      <c r="AH18" s="67" t="e">
        <f t="array" aca="1" ref="AH18" ca="1">IF(AG18&gt;0,(VLOOKUP(AG18, LT_IncomeTaxFed/$K18:$O18, 2, TRUE)+VLOOKUP(AG18,LT_IncomeTaxFed/$K18:$O18,3,TRUE)*(AG18-VLOOKUP(AG18,LT_IncomeTaxFed/$K18:$O18,1,TRUE)))/AG18,0)</f>
        <v>#REF!</v>
      </c>
      <c r="AI18" s="109" t="e">
        <f t="shared" ca="1" si="28"/>
        <v>#REF!</v>
      </c>
      <c r="AJ18" s="634" t="e">
        <f ca="1">SUMPRODUCT($Z18:$Z19+$AA18:$AA19+$AD18:$AD19+$AE18:$AE19+$AI18:$AI19)</f>
        <v>#REF!</v>
      </c>
      <c r="AK18" s="668" t="e">
        <f t="shared" ref="AK18" ca="1" si="35">IF($U18&gt;0, -AJ18/$U18, 0)</f>
        <v>#REF!</v>
      </c>
      <c r="AL18" s="1"/>
    </row>
    <row r="19" spans="2:38" x14ac:dyDescent="0.25">
      <c r="B19" s="86">
        <f t="shared" ca="1" si="29"/>
        <v>2026</v>
      </c>
      <c r="C19" s="80" t="s">
        <v>741</v>
      </c>
      <c r="D19" s="147" t="str">
        <f t="shared" si="5"/>
        <v/>
      </c>
      <c r="E19" s="81">
        <f t="shared" si="3"/>
        <v>0</v>
      </c>
      <c r="F19" s="81" t="b">
        <f t="shared" si="6"/>
        <v>0</v>
      </c>
      <c r="G19" s="81">
        <f t="shared" si="4"/>
        <v>2</v>
      </c>
      <c r="H19" s="82">
        <f t="shared" si="7"/>
        <v>-1</v>
      </c>
      <c r="I19" s="82">
        <f t="shared" si="8"/>
        <v>0</v>
      </c>
      <c r="J19" s="81">
        <f t="shared" si="9"/>
        <v>0</v>
      </c>
      <c r="K19" s="205">
        <f t="shared" ca="1" si="30"/>
        <v>0.86307309523234055</v>
      </c>
      <c r="L19" s="95">
        <f t="shared" ca="1" si="30"/>
        <v>0.86307309523234055</v>
      </c>
      <c r="M19" s="95">
        <v>1</v>
      </c>
      <c r="N19" s="94">
        <f t="shared" ca="1" si="31"/>
        <v>0.86307309523234055</v>
      </c>
      <c r="O19" s="206">
        <v>1</v>
      </c>
      <c r="P19" s="107">
        <f t="shared" ca="1" si="12"/>
        <v>0</v>
      </c>
      <c r="Q19" s="107">
        <f t="shared" ca="1" si="13"/>
        <v>0</v>
      </c>
      <c r="R19" s="107">
        <f t="shared" si="14"/>
        <v>0</v>
      </c>
      <c r="S19" s="107">
        <f t="shared" ca="1" si="15"/>
        <v>0</v>
      </c>
      <c r="T19" s="107">
        <f t="shared" ca="1" si="16"/>
        <v>0</v>
      </c>
      <c r="U19" s="107">
        <f t="shared" ca="1" si="17"/>
        <v>0</v>
      </c>
      <c r="V19" s="107">
        <f t="shared" ca="1" si="18"/>
        <v>0</v>
      </c>
      <c r="W19" s="107">
        <f t="shared" ca="1" si="19"/>
        <v>0</v>
      </c>
      <c r="X19" s="107">
        <f t="shared" ca="1" si="20"/>
        <v>0</v>
      </c>
      <c r="Y19" s="101">
        <f t="shared" ca="1" si="21"/>
        <v>0</v>
      </c>
      <c r="Z19" s="107">
        <f t="shared" ca="1" si="22"/>
        <v>0</v>
      </c>
      <c r="AA19" s="107">
        <f t="shared" ca="1" si="23"/>
        <v>0</v>
      </c>
      <c r="AB19" s="106" t="e">
        <f t="shared" ca="1" si="24"/>
        <v>#REF!</v>
      </c>
      <c r="AC19" s="107" t="e">
        <f t="shared" ca="1" si="25"/>
        <v>#REF!</v>
      </c>
      <c r="AD19" s="107" t="e">
        <f t="array" aca="1" ref="AD19" ca="1">-(VLOOKUP(AC19, LT_IncomeTaxFed/$K19:$O19, 2, TRUE)+VLOOKUP(AC19,LT_IncomeTaxFed/$K19:$O19,3,TRUE)*(AC19-VLOOKUP(AC19,LT_IncomeTaxFed/$K19:$O19,1,TRUE)))</f>
        <v>#REF!</v>
      </c>
      <c r="AE19" s="107" t="e">
        <f t="array" aca="1" ref="AE19" ca="1">-(VLOOKUP($AC19+$X19, LT_IncomeTaxFed/$K19:$O19, 4, TRUE)+VLOOKUP($AC19+$X19,LT_IncomeTaxFed/$K19:$O19,5,TRUE)*($AC19+$X19-VLOOKUP($AC19+$X19,LT_IncomeTaxFed/$K19:$O19,1,TRUE)))+(VLOOKUP($AC19, LT_IncomeTaxFed/$K19:$O19, 4, TRUE)+VLOOKUP($AC19,LT_IncomeTaxFed/$K19:$O19,5,TRUE)*($AC19-VLOOKUP($AC19,LT_IncomeTaxFed/$K19:$O19,1,TRUE)))</f>
        <v>#REF!</v>
      </c>
      <c r="AF19" s="106" t="e">
        <f t="shared" ca="1" si="26"/>
        <v>#REF!</v>
      </c>
      <c r="AG19" s="107" t="e">
        <f t="shared" ca="1" si="27"/>
        <v>#REF!</v>
      </c>
      <c r="AH19" s="91" t="e">
        <f t="array" aca="1" ref="AH19" ca="1">IF(AG19&gt;0,(VLOOKUP(AG19, LT_IncomeTaxFed/$K19:$O19, 2, TRUE)+VLOOKUP(AG19,LT_IncomeTaxFed/$K19:$O19,3,TRUE)*(AG19-VLOOKUP(AG19,LT_IncomeTaxFed/$K19:$O19,1,TRUE)))/AG19,0)</f>
        <v>#REF!</v>
      </c>
      <c r="AI19" s="110" t="e">
        <f t="shared" ca="1" si="28"/>
        <v>#REF!</v>
      </c>
      <c r="AJ19" s="634"/>
      <c r="AK19" s="668"/>
      <c r="AL19" s="1"/>
    </row>
    <row r="20" spans="2:38" x14ac:dyDescent="0.25">
      <c r="B20" s="65">
        <f ca="1">B18+1</f>
        <v>2027</v>
      </c>
      <c r="C20" s="76" t="s">
        <v>741</v>
      </c>
      <c r="D20" s="146" t="str">
        <f t="shared" si="5"/>
        <v/>
      </c>
      <c r="E20" s="77">
        <f t="shared" si="3"/>
        <v>0</v>
      </c>
      <c r="F20" s="77" t="b">
        <f t="shared" si="6"/>
        <v>0</v>
      </c>
      <c r="G20" s="77">
        <f t="shared" si="4"/>
        <v>1</v>
      </c>
      <c r="H20" s="76">
        <f t="shared" si="7"/>
        <v>1</v>
      </c>
      <c r="I20" s="76">
        <f t="shared" si="8"/>
        <v>0</v>
      </c>
      <c r="J20" s="77">
        <f t="shared" si="9"/>
        <v>0</v>
      </c>
      <c r="K20" s="204">
        <f t="shared" ca="1" si="30"/>
        <v>0.83187768215165347</v>
      </c>
      <c r="L20" s="93">
        <f t="shared" ca="1" si="30"/>
        <v>0.83187768215165347</v>
      </c>
      <c r="M20" s="93">
        <v>1</v>
      </c>
      <c r="N20" s="92">
        <f t="shared" ca="1" si="31"/>
        <v>0.83187768215165347</v>
      </c>
      <c r="O20" s="100">
        <v>1</v>
      </c>
      <c r="P20" s="70">
        <f t="shared" ca="1" si="12"/>
        <v>0</v>
      </c>
      <c r="Q20" s="70">
        <f t="shared" ca="1" si="13"/>
        <v>0</v>
      </c>
      <c r="R20" s="70" t="e">
        <f t="shared" ca="1" si="14"/>
        <v>#REF!</v>
      </c>
      <c r="S20" s="70">
        <f t="shared" ca="1" si="15"/>
        <v>0</v>
      </c>
      <c r="T20" s="70">
        <f t="shared" ca="1" si="16"/>
        <v>0</v>
      </c>
      <c r="U20" s="70" t="e">
        <f t="shared" ca="1" si="17"/>
        <v>#REF!</v>
      </c>
      <c r="V20" s="70">
        <f t="shared" ca="1" si="18"/>
        <v>0</v>
      </c>
      <c r="W20" s="70">
        <f t="shared" ca="1" si="19"/>
        <v>0</v>
      </c>
      <c r="X20" s="70">
        <f t="shared" ca="1" si="20"/>
        <v>0</v>
      </c>
      <c r="Y20" s="98">
        <f t="shared" ca="1" si="21"/>
        <v>0</v>
      </c>
      <c r="Z20" s="70">
        <f t="shared" ca="1" si="22"/>
        <v>0</v>
      </c>
      <c r="AA20" s="70">
        <f t="shared" ca="1" si="23"/>
        <v>0</v>
      </c>
      <c r="AB20" s="409" t="e">
        <f t="shared" ca="1" si="24"/>
        <v>#REF!</v>
      </c>
      <c r="AC20" s="70" t="e">
        <f t="shared" ca="1" si="25"/>
        <v>#REF!</v>
      </c>
      <c r="AD20" s="70" t="e">
        <f t="array" aca="1" ref="AD20" ca="1">-(VLOOKUP(AC20, LT_IncomeTaxFed/$K20:$O20, 2, TRUE)+VLOOKUP(AC20,LT_IncomeTaxFed/$K20:$O20,3,TRUE)*(AC20-VLOOKUP(AC20,LT_IncomeTaxFed/$K20:$O20,1,TRUE)))</f>
        <v>#REF!</v>
      </c>
      <c r="AE20" s="70" t="e">
        <f t="array" aca="1" ref="AE20" ca="1">-(VLOOKUP($AC20+$X20, LT_IncomeTaxFed/$K20:$O20, 4, TRUE)+VLOOKUP($AC20+$X20,LT_IncomeTaxFed/$K20:$O20,5,TRUE)*($AC20+$X20-VLOOKUP($AC20+$X20,LT_IncomeTaxFed/$K20:$O20,1,TRUE)))+(VLOOKUP($AC20, LT_IncomeTaxFed/$K20:$O20, 4, TRUE)+VLOOKUP($AC20,LT_IncomeTaxFed/$K20:$O20,5,TRUE)*($AC20-VLOOKUP($AC20,LT_IncomeTaxFed/$K20:$O20,1,TRUE)))</f>
        <v>#REF!</v>
      </c>
      <c r="AF20" s="75" t="e">
        <f t="shared" ca="1" si="26"/>
        <v>#REF!</v>
      </c>
      <c r="AG20" s="70" t="e">
        <f t="shared" ca="1" si="27"/>
        <v>#REF!</v>
      </c>
      <c r="AH20" s="67" t="e">
        <f t="array" aca="1" ref="AH20" ca="1">IF(AG20&gt;0,(VLOOKUP(AG20, LT_IncomeTaxFed/$K20:$O20, 2, TRUE)+VLOOKUP(AG20,LT_IncomeTaxFed/$K20:$O20,3,TRUE)*(AG20-VLOOKUP(AG20,LT_IncomeTaxFed/$K20:$O20,1,TRUE)))/AG20,0)</f>
        <v>#REF!</v>
      </c>
      <c r="AI20" s="109" t="e">
        <f t="shared" ca="1" si="28"/>
        <v>#REF!</v>
      </c>
      <c r="AJ20" s="634" t="e">
        <f ca="1">SUMPRODUCT($Z20:$Z21+$AA20:$AA21+$AD20:$AD21+$AE20:$AE21+$AI20:$AI21)</f>
        <v>#REF!</v>
      </c>
      <c r="AK20" s="668" t="e">
        <f t="shared" ref="AK20" ca="1" si="36">IF($U20&gt;0, -AJ20/$U20, 0)</f>
        <v>#REF!</v>
      </c>
      <c r="AL20" s="2"/>
    </row>
    <row r="21" spans="2:38" x14ac:dyDescent="0.25">
      <c r="B21" s="86">
        <f t="shared" ca="1" si="29"/>
        <v>2027</v>
      </c>
      <c r="C21" s="80" t="s">
        <v>741</v>
      </c>
      <c r="D21" s="147" t="str">
        <f t="shared" si="5"/>
        <v/>
      </c>
      <c r="E21" s="81">
        <f t="shared" si="3"/>
        <v>0</v>
      </c>
      <c r="F21" s="81" t="b">
        <f t="shared" si="6"/>
        <v>0</v>
      </c>
      <c r="G21" s="81">
        <f t="shared" si="4"/>
        <v>2</v>
      </c>
      <c r="H21" s="82">
        <f t="shared" si="7"/>
        <v>-1</v>
      </c>
      <c r="I21" s="82">
        <f t="shared" si="8"/>
        <v>0</v>
      </c>
      <c r="J21" s="81">
        <f t="shared" si="9"/>
        <v>0</v>
      </c>
      <c r="K21" s="205">
        <f t="shared" ca="1" si="30"/>
        <v>0.83187768215165347</v>
      </c>
      <c r="L21" s="95">
        <f t="shared" ca="1" si="30"/>
        <v>0.83187768215165347</v>
      </c>
      <c r="M21" s="95">
        <v>1</v>
      </c>
      <c r="N21" s="94">
        <f t="shared" ca="1" si="31"/>
        <v>0.83187768215165347</v>
      </c>
      <c r="O21" s="206">
        <v>1</v>
      </c>
      <c r="P21" s="107">
        <f t="shared" ca="1" si="12"/>
        <v>0</v>
      </c>
      <c r="Q21" s="107">
        <f t="shared" ca="1" si="13"/>
        <v>0</v>
      </c>
      <c r="R21" s="107">
        <f t="shared" si="14"/>
        <v>0</v>
      </c>
      <c r="S21" s="107">
        <f t="shared" ca="1" si="15"/>
        <v>0</v>
      </c>
      <c r="T21" s="107">
        <f t="shared" ca="1" si="16"/>
        <v>0</v>
      </c>
      <c r="U21" s="107">
        <f t="shared" ca="1" si="17"/>
        <v>0</v>
      </c>
      <c r="V21" s="107">
        <f t="shared" ca="1" si="18"/>
        <v>0</v>
      </c>
      <c r="W21" s="107">
        <f t="shared" ca="1" si="19"/>
        <v>0</v>
      </c>
      <c r="X21" s="107">
        <f t="shared" ca="1" si="20"/>
        <v>0</v>
      </c>
      <c r="Y21" s="101">
        <f t="shared" ca="1" si="21"/>
        <v>0</v>
      </c>
      <c r="Z21" s="107">
        <f t="shared" ca="1" si="22"/>
        <v>0</v>
      </c>
      <c r="AA21" s="107">
        <f t="shared" ca="1" si="23"/>
        <v>0</v>
      </c>
      <c r="AB21" s="106" t="e">
        <f t="shared" ca="1" si="24"/>
        <v>#REF!</v>
      </c>
      <c r="AC21" s="107" t="e">
        <f t="shared" ca="1" si="25"/>
        <v>#REF!</v>
      </c>
      <c r="AD21" s="107" t="e">
        <f t="array" aca="1" ref="AD21" ca="1">-(VLOOKUP(AC21, LT_IncomeTaxFed/$K21:$O21, 2, TRUE)+VLOOKUP(AC21,LT_IncomeTaxFed/$K21:$O21,3,TRUE)*(AC21-VLOOKUP(AC21,LT_IncomeTaxFed/$K21:$O21,1,TRUE)))</f>
        <v>#REF!</v>
      </c>
      <c r="AE21" s="107" t="e">
        <f t="array" aca="1" ref="AE21" ca="1">-(VLOOKUP($AC21+$X21, LT_IncomeTaxFed/$K21:$O21, 4, TRUE)+VLOOKUP($AC21+$X21,LT_IncomeTaxFed/$K21:$O21,5,TRUE)*($AC21+$X21-VLOOKUP($AC21+$X21,LT_IncomeTaxFed/$K21:$O21,1,TRUE)))+(VLOOKUP($AC21, LT_IncomeTaxFed/$K21:$O21, 4, TRUE)+VLOOKUP($AC21,LT_IncomeTaxFed/$K21:$O21,5,TRUE)*($AC21-VLOOKUP($AC21,LT_IncomeTaxFed/$K21:$O21,1,TRUE)))</f>
        <v>#REF!</v>
      </c>
      <c r="AF21" s="106" t="e">
        <f t="shared" ca="1" si="26"/>
        <v>#REF!</v>
      </c>
      <c r="AG21" s="107" t="e">
        <f t="shared" ca="1" si="27"/>
        <v>#REF!</v>
      </c>
      <c r="AH21" s="91" t="e">
        <f t="array" aca="1" ref="AH21" ca="1">IF(AG21&gt;0,(VLOOKUP(AG21, LT_IncomeTaxFed/$K21:$O21, 2, TRUE)+VLOOKUP(AG21,LT_IncomeTaxFed/$K21:$O21,3,TRUE)*(AG21-VLOOKUP(AG21,LT_IncomeTaxFed/$K21:$O21,1,TRUE)))/AG21,0)</f>
        <v>#REF!</v>
      </c>
      <c r="AI21" s="110" t="e">
        <f t="shared" ca="1" si="28"/>
        <v>#REF!</v>
      </c>
      <c r="AJ21" s="634"/>
      <c r="AK21" s="668"/>
      <c r="AL21" s="1"/>
    </row>
    <row r="22" spans="2:38" x14ac:dyDescent="0.25">
      <c r="B22" s="65">
        <f ca="1">B20+1</f>
        <v>2028</v>
      </c>
      <c r="C22" s="76" t="s">
        <v>741</v>
      </c>
      <c r="D22" s="146" t="str">
        <f t="shared" si="5"/>
        <v/>
      </c>
      <c r="E22" s="77">
        <f t="shared" si="3"/>
        <v>0</v>
      </c>
      <c r="F22" s="77" t="b">
        <f t="shared" si="6"/>
        <v>0</v>
      </c>
      <c r="G22" s="77">
        <f t="shared" si="4"/>
        <v>1</v>
      </c>
      <c r="H22" s="76">
        <f t="shared" si="7"/>
        <v>1</v>
      </c>
      <c r="I22" s="76">
        <f t="shared" si="8"/>
        <v>0</v>
      </c>
      <c r="J22" s="77">
        <f t="shared" si="9"/>
        <v>0</v>
      </c>
      <c r="K22" s="204">
        <f t="shared" ca="1" si="30"/>
        <v>0.80180981412207553</v>
      </c>
      <c r="L22" s="93">
        <f t="shared" ca="1" si="30"/>
        <v>0.80180981412207553</v>
      </c>
      <c r="M22" s="93">
        <v>1</v>
      </c>
      <c r="N22" s="92">
        <f t="shared" ca="1" si="31"/>
        <v>0.80180981412207553</v>
      </c>
      <c r="O22" s="100">
        <v>1</v>
      </c>
      <c r="P22" s="70">
        <f t="shared" ca="1" si="12"/>
        <v>0</v>
      </c>
      <c r="Q22" s="70">
        <f t="shared" ca="1" si="13"/>
        <v>0</v>
      </c>
      <c r="R22" s="70" t="e">
        <f t="shared" ca="1" si="14"/>
        <v>#REF!</v>
      </c>
      <c r="S22" s="70">
        <f t="shared" ca="1" si="15"/>
        <v>0</v>
      </c>
      <c r="T22" s="70">
        <f t="shared" ca="1" si="16"/>
        <v>0</v>
      </c>
      <c r="U22" s="70" t="e">
        <f t="shared" ca="1" si="17"/>
        <v>#REF!</v>
      </c>
      <c r="V22" s="70">
        <f t="shared" ca="1" si="18"/>
        <v>0</v>
      </c>
      <c r="W22" s="70">
        <f t="shared" ca="1" si="19"/>
        <v>0</v>
      </c>
      <c r="X22" s="70">
        <f t="shared" ca="1" si="20"/>
        <v>0</v>
      </c>
      <c r="Y22" s="98">
        <f t="shared" ca="1" si="21"/>
        <v>0</v>
      </c>
      <c r="Z22" s="70">
        <f t="shared" ca="1" si="22"/>
        <v>0</v>
      </c>
      <c r="AA22" s="70">
        <f t="shared" ca="1" si="23"/>
        <v>0</v>
      </c>
      <c r="AB22" s="409" t="e">
        <f t="shared" ca="1" si="24"/>
        <v>#REF!</v>
      </c>
      <c r="AC22" s="70" t="e">
        <f t="shared" ca="1" si="25"/>
        <v>#REF!</v>
      </c>
      <c r="AD22" s="70" t="e">
        <f t="array" aca="1" ref="AD22" ca="1">-(VLOOKUP(AC22, LT_IncomeTaxFed/$K22:$O22, 2, TRUE)+VLOOKUP(AC22,LT_IncomeTaxFed/$K22:$O22,3,TRUE)*(AC22-VLOOKUP(AC22,LT_IncomeTaxFed/$K22:$O22,1,TRUE)))</f>
        <v>#REF!</v>
      </c>
      <c r="AE22" s="70" t="e">
        <f t="array" aca="1" ref="AE22" ca="1">-(VLOOKUP($AC22+$X22, LT_IncomeTaxFed/$K22:$O22, 4, TRUE)+VLOOKUP($AC22+$X22,LT_IncomeTaxFed/$K22:$O22,5,TRUE)*($AC22+$X22-VLOOKUP($AC22+$X22,LT_IncomeTaxFed/$K22:$O22,1,TRUE)))+(VLOOKUP($AC22, LT_IncomeTaxFed/$K22:$O22, 4, TRUE)+VLOOKUP($AC22,LT_IncomeTaxFed/$K22:$O22,5,TRUE)*($AC22-VLOOKUP($AC22,LT_IncomeTaxFed/$K22:$O22,1,TRUE)))</f>
        <v>#REF!</v>
      </c>
      <c r="AF22" s="75" t="e">
        <f t="shared" ca="1" si="26"/>
        <v>#REF!</v>
      </c>
      <c r="AG22" s="70" t="e">
        <f t="shared" ca="1" si="27"/>
        <v>#REF!</v>
      </c>
      <c r="AH22" s="67" t="e">
        <f t="array" aca="1" ref="AH22" ca="1">IF(AG22&gt;0,(VLOOKUP(AG22, LT_IncomeTaxFed/$K22:$O22, 2, TRUE)+VLOOKUP(AG22,LT_IncomeTaxFed/$K22:$O22,3,TRUE)*(AG22-VLOOKUP(AG22,LT_IncomeTaxFed/$K22:$O22,1,TRUE)))/AG22,0)</f>
        <v>#REF!</v>
      </c>
      <c r="AI22" s="109" t="e">
        <f t="shared" ca="1" si="28"/>
        <v>#REF!</v>
      </c>
      <c r="AJ22" s="634" t="e">
        <f ca="1">SUMPRODUCT($Z22:$Z23+$AA22:$AA23+$AD22:$AD23+$AE22:$AE23+$AI22:$AI23)</f>
        <v>#REF!</v>
      </c>
      <c r="AK22" s="668" t="e">
        <f t="shared" ref="AK22" ca="1" si="37">IF($U22&gt;0, -AJ22/$U22, 0)</f>
        <v>#REF!</v>
      </c>
      <c r="AL22" s="1"/>
    </row>
    <row r="23" spans="2:38" x14ac:dyDescent="0.25">
      <c r="B23" s="86">
        <f t="shared" ca="1" si="29"/>
        <v>2028</v>
      </c>
      <c r="C23" s="80" t="s">
        <v>741</v>
      </c>
      <c r="D23" s="147" t="str">
        <f t="shared" si="5"/>
        <v/>
      </c>
      <c r="E23" s="81">
        <f t="shared" si="3"/>
        <v>0</v>
      </c>
      <c r="F23" s="81" t="b">
        <f t="shared" si="6"/>
        <v>0</v>
      </c>
      <c r="G23" s="81">
        <f t="shared" si="4"/>
        <v>2</v>
      </c>
      <c r="H23" s="82">
        <f t="shared" si="7"/>
        <v>-1</v>
      </c>
      <c r="I23" s="82">
        <f t="shared" si="8"/>
        <v>0</v>
      </c>
      <c r="J23" s="81">
        <f t="shared" si="9"/>
        <v>0</v>
      </c>
      <c r="K23" s="205">
        <f t="shared" ca="1" si="30"/>
        <v>0.80180981412207553</v>
      </c>
      <c r="L23" s="95">
        <f t="shared" ca="1" si="30"/>
        <v>0.80180981412207553</v>
      </c>
      <c r="M23" s="95">
        <v>1</v>
      </c>
      <c r="N23" s="94">
        <f t="shared" ca="1" si="31"/>
        <v>0.80180981412207553</v>
      </c>
      <c r="O23" s="206">
        <v>1</v>
      </c>
      <c r="P23" s="107">
        <f t="shared" ca="1" si="12"/>
        <v>0</v>
      </c>
      <c r="Q23" s="107">
        <f t="shared" ca="1" si="13"/>
        <v>0</v>
      </c>
      <c r="R23" s="107">
        <f t="shared" si="14"/>
        <v>0</v>
      </c>
      <c r="S23" s="107">
        <f t="shared" ca="1" si="15"/>
        <v>0</v>
      </c>
      <c r="T23" s="107">
        <f t="shared" ca="1" si="16"/>
        <v>0</v>
      </c>
      <c r="U23" s="107">
        <f t="shared" ca="1" si="17"/>
        <v>0</v>
      </c>
      <c r="V23" s="107">
        <f t="shared" ca="1" si="18"/>
        <v>0</v>
      </c>
      <c r="W23" s="107">
        <f t="shared" ca="1" si="19"/>
        <v>0</v>
      </c>
      <c r="X23" s="107">
        <f t="shared" ca="1" si="20"/>
        <v>0</v>
      </c>
      <c r="Y23" s="101">
        <f t="shared" ca="1" si="21"/>
        <v>0</v>
      </c>
      <c r="Z23" s="107">
        <f t="shared" ca="1" si="22"/>
        <v>0</v>
      </c>
      <c r="AA23" s="107">
        <f t="shared" ca="1" si="23"/>
        <v>0</v>
      </c>
      <c r="AB23" s="106" t="e">
        <f t="shared" ca="1" si="24"/>
        <v>#REF!</v>
      </c>
      <c r="AC23" s="107" t="e">
        <f t="shared" ca="1" si="25"/>
        <v>#REF!</v>
      </c>
      <c r="AD23" s="107" t="e">
        <f t="array" aca="1" ref="AD23" ca="1">-(VLOOKUP(AC23, LT_IncomeTaxFed/$K23:$O23, 2, TRUE)+VLOOKUP(AC23,LT_IncomeTaxFed/$K23:$O23,3,TRUE)*(AC23-VLOOKUP(AC23,LT_IncomeTaxFed/$K23:$O23,1,TRUE)))</f>
        <v>#REF!</v>
      </c>
      <c r="AE23" s="107" t="e">
        <f t="array" aca="1" ref="AE23" ca="1">-(VLOOKUP($AC23+$X23, LT_IncomeTaxFed/$K23:$O23, 4, TRUE)+VLOOKUP($AC23+$X23,LT_IncomeTaxFed/$K23:$O23,5,TRUE)*($AC23+$X23-VLOOKUP($AC23+$X23,LT_IncomeTaxFed/$K23:$O23,1,TRUE)))+(VLOOKUP($AC23, LT_IncomeTaxFed/$K23:$O23, 4, TRUE)+VLOOKUP($AC23,LT_IncomeTaxFed/$K23:$O23,5,TRUE)*($AC23-VLOOKUP($AC23,LT_IncomeTaxFed/$K23:$O23,1,TRUE)))</f>
        <v>#REF!</v>
      </c>
      <c r="AF23" s="106" t="e">
        <f t="shared" ca="1" si="26"/>
        <v>#REF!</v>
      </c>
      <c r="AG23" s="107" t="e">
        <f t="shared" ca="1" si="27"/>
        <v>#REF!</v>
      </c>
      <c r="AH23" s="91" t="e">
        <f t="array" aca="1" ref="AH23" ca="1">IF(AG23&gt;0,(VLOOKUP(AG23, LT_IncomeTaxFed/$K23:$O23, 2, TRUE)+VLOOKUP(AG23,LT_IncomeTaxFed/$K23:$O23,3,TRUE)*(AG23-VLOOKUP(AG23,LT_IncomeTaxFed/$K23:$O23,1,TRUE)))/AG23,0)</f>
        <v>#REF!</v>
      </c>
      <c r="AI23" s="110" t="e">
        <f t="shared" ca="1" si="28"/>
        <v>#REF!</v>
      </c>
      <c r="AJ23" s="634"/>
      <c r="AK23" s="668"/>
      <c r="AL23" s="1"/>
    </row>
    <row r="24" spans="2:38" x14ac:dyDescent="0.25">
      <c r="B24" s="65">
        <f ca="1">B22+1</f>
        <v>2029</v>
      </c>
      <c r="C24" s="76" t="s">
        <v>741</v>
      </c>
      <c r="D24" s="146" t="str">
        <f t="shared" si="5"/>
        <v/>
      </c>
      <c r="E24" s="77">
        <f t="shared" si="3"/>
        <v>0</v>
      </c>
      <c r="F24" s="77" t="b">
        <f t="shared" si="6"/>
        <v>0</v>
      </c>
      <c r="G24" s="77">
        <f t="shared" si="4"/>
        <v>1</v>
      </c>
      <c r="H24" s="76">
        <f t="shared" si="7"/>
        <v>1</v>
      </c>
      <c r="I24" s="76">
        <f t="shared" si="8"/>
        <v>0</v>
      </c>
      <c r="J24" s="77">
        <f t="shared" si="9"/>
        <v>0</v>
      </c>
      <c r="K24" s="204">
        <f t="shared" ca="1" si="30"/>
        <v>0.77282873650320538</v>
      </c>
      <c r="L24" s="93">
        <f t="shared" ca="1" si="30"/>
        <v>0.77282873650320538</v>
      </c>
      <c r="M24" s="93">
        <v>1</v>
      </c>
      <c r="N24" s="92">
        <f t="shared" ca="1" si="31"/>
        <v>0.77282873650320538</v>
      </c>
      <c r="O24" s="100">
        <v>1</v>
      </c>
      <c r="P24" s="70">
        <f t="shared" ca="1" si="12"/>
        <v>0</v>
      </c>
      <c r="Q24" s="70">
        <f t="shared" ca="1" si="13"/>
        <v>0</v>
      </c>
      <c r="R24" s="70" t="e">
        <f t="shared" ca="1" si="14"/>
        <v>#REF!</v>
      </c>
      <c r="S24" s="70">
        <f t="shared" ca="1" si="15"/>
        <v>0</v>
      </c>
      <c r="T24" s="70">
        <f t="shared" ca="1" si="16"/>
        <v>0</v>
      </c>
      <c r="U24" s="70" t="e">
        <f t="shared" ca="1" si="17"/>
        <v>#REF!</v>
      </c>
      <c r="V24" s="70">
        <f t="shared" ca="1" si="18"/>
        <v>0</v>
      </c>
      <c r="W24" s="70">
        <f t="shared" ca="1" si="19"/>
        <v>0</v>
      </c>
      <c r="X24" s="70">
        <f t="shared" ca="1" si="20"/>
        <v>0</v>
      </c>
      <c r="Y24" s="98">
        <f t="shared" ca="1" si="21"/>
        <v>0</v>
      </c>
      <c r="Z24" s="70">
        <f t="shared" ca="1" si="22"/>
        <v>0</v>
      </c>
      <c r="AA24" s="70">
        <f t="shared" ca="1" si="23"/>
        <v>0</v>
      </c>
      <c r="AB24" s="409" t="e">
        <f t="shared" ca="1" si="24"/>
        <v>#REF!</v>
      </c>
      <c r="AC24" s="70" t="e">
        <f t="shared" ca="1" si="25"/>
        <v>#REF!</v>
      </c>
      <c r="AD24" s="70" t="e">
        <f t="array" aca="1" ref="AD24" ca="1">-(VLOOKUP(AC24, LT_IncomeTaxFed/$K24:$O24, 2, TRUE)+VLOOKUP(AC24,LT_IncomeTaxFed/$K24:$O24,3,TRUE)*(AC24-VLOOKUP(AC24,LT_IncomeTaxFed/$K24:$O24,1,TRUE)))</f>
        <v>#REF!</v>
      </c>
      <c r="AE24" s="70" t="e">
        <f t="array" aca="1" ref="AE24" ca="1">-(VLOOKUP($AC24+$X24, LT_IncomeTaxFed/$K24:$O24, 4, TRUE)+VLOOKUP($AC24+$X24,LT_IncomeTaxFed/$K24:$O24,5,TRUE)*($AC24+$X24-VLOOKUP($AC24+$X24,LT_IncomeTaxFed/$K24:$O24,1,TRUE)))+(VLOOKUP($AC24, LT_IncomeTaxFed/$K24:$O24, 4, TRUE)+VLOOKUP($AC24,LT_IncomeTaxFed/$K24:$O24,5,TRUE)*($AC24-VLOOKUP($AC24,LT_IncomeTaxFed/$K24:$O24,1,TRUE)))</f>
        <v>#REF!</v>
      </c>
      <c r="AF24" s="75" t="e">
        <f t="shared" ca="1" si="26"/>
        <v>#REF!</v>
      </c>
      <c r="AG24" s="70" t="e">
        <f t="shared" ca="1" si="27"/>
        <v>#REF!</v>
      </c>
      <c r="AH24" s="67" t="e">
        <f t="array" aca="1" ref="AH24" ca="1">IF(AG24&gt;0,(VLOOKUP(AG24, LT_IncomeTaxFed/$K24:$O24, 2, TRUE)+VLOOKUP(AG24,LT_IncomeTaxFed/$K24:$O24,3,TRUE)*(AG24-VLOOKUP(AG24,LT_IncomeTaxFed/$K24:$O24,1,TRUE)))/AG24,0)</f>
        <v>#REF!</v>
      </c>
      <c r="AI24" s="109" t="e">
        <f t="shared" ca="1" si="28"/>
        <v>#REF!</v>
      </c>
      <c r="AJ24" s="634" t="e">
        <f ca="1">SUMPRODUCT($Z24:$Z25+$AA24:$AA25+$AD24:$AD25+$AE24:$AE25+$AI24:$AI25)</f>
        <v>#REF!</v>
      </c>
      <c r="AK24" s="668" t="e">
        <f t="shared" ref="AK24" ca="1" si="38">IF($U24&gt;0, -AJ24/$U24, 0)</f>
        <v>#REF!</v>
      </c>
      <c r="AL24" s="1"/>
    </row>
    <row r="25" spans="2:38" x14ac:dyDescent="0.25">
      <c r="B25" s="86">
        <f t="shared" ca="1" si="29"/>
        <v>2029</v>
      </c>
      <c r="C25" s="80" t="s">
        <v>741</v>
      </c>
      <c r="D25" s="147" t="str">
        <f t="shared" si="5"/>
        <v/>
      </c>
      <c r="E25" s="81">
        <f t="shared" si="3"/>
        <v>0</v>
      </c>
      <c r="F25" s="81" t="b">
        <f t="shared" si="6"/>
        <v>0</v>
      </c>
      <c r="G25" s="81">
        <f t="shared" si="4"/>
        <v>2</v>
      </c>
      <c r="H25" s="82">
        <f t="shared" si="7"/>
        <v>-1</v>
      </c>
      <c r="I25" s="82">
        <f t="shared" si="8"/>
        <v>0</v>
      </c>
      <c r="J25" s="81">
        <f t="shared" si="9"/>
        <v>0</v>
      </c>
      <c r="K25" s="205">
        <f t="shared" ca="1" si="30"/>
        <v>0.77282873650320538</v>
      </c>
      <c r="L25" s="95">
        <f t="shared" ca="1" si="30"/>
        <v>0.77282873650320538</v>
      </c>
      <c r="M25" s="95">
        <v>1</v>
      </c>
      <c r="N25" s="94">
        <f t="shared" ca="1" si="31"/>
        <v>0.77282873650320538</v>
      </c>
      <c r="O25" s="206">
        <v>1</v>
      </c>
      <c r="P25" s="107">
        <f t="shared" ca="1" si="12"/>
        <v>0</v>
      </c>
      <c r="Q25" s="107">
        <f t="shared" ca="1" si="13"/>
        <v>0</v>
      </c>
      <c r="R25" s="107">
        <f t="shared" si="14"/>
        <v>0</v>
      </c>
      <c r="S25" s="107">
        <f t="shared" ca="1" si="15"/>
        <v>0</v>
      </c>
      <c r="T25" s="107">
        <f t="shared" ca="1" si="16"/>
        <v>0</v>
      </c>
      <c r="U25" s="107">
        <f t="shared" ca="1" si="17"/>
        <v>0</v>
      </c>
      <c r="V25" s="107">
        <f t="shared" ca="1" si="18"/>
        <v>0</v>
      </c>
      <c r="W25" s="107">
        <f t="shared" ca="1" si="19"/>
        <v>0</v>
      </c>
      <c r="X25" s="107">
        <f t="shared" ca="1" si="20"/>
        <v>0</v>
      </c>
      <c r="Y25" s="101">
        <f t="shared" ca="1" si="21"/>
        <v>0</v>
      </c>
      <c r="Z25" s="107">
        <f t="shared" ca="1" si="22"/>
        <v>0</v>
      </c>
      <c r="AA25" s="107">
        <f t="shared" ca="1" si="23"/>
        <v>0</v>
      </c>
      <c r="AB25" s="106" t="e">
        <f t="shared" ca="1" si="24"/>
        <v>#REF!</v>
      </c>
      <c r="AC25" s="107" t="e">
        <f t="shared" ca="1" si="25"/>
        <v>#REF!</v>
      </c>
      <c r="AD25" s="107" t="e">
        <f t="array" aca="1" ref="AD25" ca="1">-(VLOOKUP(AC25, LT_IncomeTaxFed/$K25:$O25, 2, TRUE)+VLOOKUP(AC25,LT_IncomeTaxFed/$K25:$O25,3,TRUE)*(AC25-VLOOKUP(AC25,LT_IncomeTaxFed/$K25:$O25,1,TRUE)))</f>
        <v>#REF!</v>
      </c>
      <c r="AE25" s="107" t="e">
        <f t="array" aca="1" ref="AE25" ca="1">-(VLOOKUP($AC25+$X25, LT_IncomeTaxFed/$K25:$O25, 4, TRUE)+VLOOKUP($AC25+$X25,LT_IncomeTaxFed/$K25:$O25,5,TRUE)*($AC25+$X25-VLOOKUP($AC25+$X25,LT_IncomeTaxFed/$K25:$O25,1,TRUE)))+(VLOOKUP($AC25, LT_IncomeTaxFed/$K25:$O25, 4, TRUE)+VLOOKUP($AC25,LT_IncomeTaxFed/$K25:$O25,5,TRUE)*($AC25-VLOOKUP($AC25,LT_IncomeTaxFed/$K25:$O25,1,TRUE)))</f>
        <v>#REF!</v>
      </c>
      <c r="AF25" s="106" t="e">
        <f t="shared" ca="1" si="26"/>
        <v>#REF!</v>
      </c>
      <c r="AG25" s="107" t="e">
        <f t="shared" ca="1" si="27"/>
        <v>#REF!</v>
      </c>
      <c r="AH25" s="91" t="e">
        <f t="array" aca="1" ref="AH25" ca="1">IF(AG25&gt;0,(VLOOKUP(AG25, LT_IncomeTaxFed/$K25:$O25, 2, TRUE)+VLOOKUP(AG25,LT_IncomeTaxFed/$K25:$O25,3,TRUE)*(AG25-VLOOKUP(AG25,LT_IncomeTaxFed/$K25:$O25,1,TRUE)))/AG25,0)</f>
        <v>#REF!</v>
      </c>
      <c r="AI25" s="110" t="e">
        <f t="shared" ca="1" si="28"/>
        <v>#REF!</v>
      </c>
      <c r="AJ25" s="634"/>
      <c r="AK25" s="668"/>
      <c r="AL25" s="1"/>
    </row>
    <row r="26" spans="2:38" x14ac:dyDescent="0.25">
      <c r="B26" s="65">
        <f ca="1">B24+1</f>
        <v>2030</v>
      </c>
      <c r="C26" s="76" t="s">
        <v>741</v>
      </c>
      <c r="D26" s="146" t="str">
        <f t="shared" si="5"/>
        <v/>
      </c>
      <c r="E26" s="77">
        <f t="shared" si="3"/>
        <v>0</v>
      </c>
      <c r="F26" s="77" t="b">
        <f t="shared" si="6"/>
        <v>0</v>
      </c>
      <c r="G26" s="77">
        <f t="shared" si="4"/>
        <v>1</v>
      </c>
      <c r="H26" s="76">
        <f t="shared" si="7"/>
        <v>1</v>
      </c>
      <c r="I26" s="76">
        <f t="shared" si="8"/>
        <v>0</v>
      </c>
      <c r="J26" s="77">
        <f t="shared" si="9"/>
        <v>0</v>
      </c>
      <c r="K26" s="204">
        <f t="shared" ca="1" si="30"/>
        <v>0.74489516771393283</v>
      </c>
      <c r="L26" s="93">
        <f t="shared" ca="1" si="30"/>
        <v>0.74489516771393283</v>
      </c>
      <c r="M26" s="93">
        <v>1</v>
      </c>
      <c r="N26" s="92">
        <f t="shared" ca="1" si="31"/>
        <v>0.74489516771393283</v>
      </c>
      <c r="O26" s="100">
        <v>1</v>
      </c>
      <c r="P26" s="70">
        <f t="shared" ca="1" si="12"/>
        <v>0</v>
      </c>
      <c r="Q26" s="70">
        <f t="shared" ca="1" si="13"/>
        <v>0</v>
      </c>
      <c r="R26" s="70" t="e">
        <f t="shared" ca="1" si="14"/>
        <v>#REF!</v>
      </c>
      <c r="S26" s="70">
        <f t="shared" ca="1" si="15"/>
        <v>0</v>
      </c>
      <c r="T26" s="70">
        <f t="shared" ca="1" si="16"/>
        <v>0</v>
      </c>
      <c r="U26" s="70" t="e">
        <f t="shared" ca="1" si="17"/>
        <v>#REF!</v>
      </c>
      <c r="V26" s="70">
        <f t="shared" ca="1" si="18"/>
        <v>0</v>
      </c>
      <c r="W26" s="70">
        <f t="shared" ca="1" si="19"/>
        <v>0</v>
      </c>
      <c r="X26" s="70">
        <f t="shared" ca="1" si="20"/>
        <v>0</v>
      </c>
      <c r="Y26" s="98">
        <f t="shared" ca="1" si="21"/>
        <v>0</v>
      </c>
      <c r="Z26" s="70">
        <f t="shared" ca="1" si="22"/>
        <v>0</v>
      </c>
      <c r="AA26" s="70">
        <f t="shared" ca="1" si="23"/>
        <v>0</v>
      </c>
      <c r="AB26" s="409" t="e">
        <f t="shared" ca="1" si="24"/>
        <v>#REF!</v>
      </c>
      <c r="AC26" s="70" t="e">
        <f t="shared" ca="1" si="25"/>
        <v>#REF!</v>
      </c>
      <c r="AD26" s="70" t="e">
        <f t="array" aca="1" ref="AD26" ca="1">-(VLOOKUP(AC26, LT_IncomeTaxFed/$K26:$O26, 2, TRUE)+VLOOKUP(AC26,LT_IncomeTaxFed/$K26:$O26,3,TRUE)*(AC26-VLOOKUP(AC26,LT_IncomeTaxFed/$K26:$O26,1,TRUE)))</f>
        <v>#REF!</v>
      </c>
      <c r="AE26" s="70" t="e">
        <f t="array" aca="1" ref="AE26" ca="1">-(VLOOKUP($AC26+$X26, LT_IncomeTaxFed/$K26:$O26, 4, TRUE)+VLOOKUP($AC26+$X26,LT_IncomeTaxFed/$K26:$O26,5,TRUE)*($AC26+$X26-VLOOKUP($AC26+$X26,LT_IncomeTaxFed/$K26:$O26,1,TRUE)))+(VLOOKUP($AC26, LT_IncomeTaxFed/$K26:$O26, 4, TRUE)+VLOOKUP($AC26,LT_IncomeTaxFed/$K26:$O26,5,TRUE)*($AC26-VLOOKUP($AC26,LT_IncomeTaxFed/$K26:$O26,1,TRUE)))</f>
        <v>#REF!</v>
      </c>
      <c r="AF26" s="75" t="e">
        <f t="shared" ca="1" si="26"/>
        <v>#REF!</v>
      </c>
      <c r="AG26" s="70" t="e">
        <f t="shared" ca="1" si="27"/>
        <v>#REF!</v>
      </c>
      <c r="AH26" s="67" t="e">
        <f t="array" aca="1" ref="AH26" ca="1">IF(AG26&gt;0,(VLOOKUP(AG26, LT_IncomeTaxFed/$K26:$O26, 2, TRUE)+VLOOKUP(AG26,LT_IncomeTaxFed/$K26:$O26,3,TRUE)*(AG26-VLOOKUP(AG26,LT_IncomeTaxFed/$K26:$O26,1,TRUE)))/AG26,0)</f>
        <v>#REF!</v>
      </c>
      <c r="AI26" s="109" t="e">
        <f t="shared" ca="1" si="28"/>
        <v>#REF!</v>
      </c>
      <c r="AJ26" s="634" t="e">
        <f ca="1">SUMPRODUCT($Z26:$Z27+$AA26:$AA27+$AD26:$AD27+$AE26:$AE27+$AI26:$AI27)</f>
        <v>#REF!</v>
      </c>
      <c r="AK26" s="668" t="e">
        <f t="shared" ref="AK26" ca="1" si="39">IF($U26&gt;0, -AJ26/$U26, 0)</f>
        <v>#REF!</v>
      </c>
      <c r="AL26" s="1"/>
    </row>
    <row r="27" spans="2:38" x14ac:dyDescent="0.25">
      <c r="B27" s="86">
        <f t="shared" ca="1" si="29"/>
        <v>2030</v>
      </c>
      <c r="C27" s="80" t="s">
        <v>741</v>
      </c>
      <c r="D27" s="147" t="str">
        <f t="shared" si="5"/>
        <v/>
      </c>
      <c r="E27" s="81">
        <f t="shared" si="3"/>
        <v>0</v>
      </c>
      <c r="F27" s="81" t="b">
        <f t="shared" si="6"/>
        <v>0</v>
      </c>
      <c r="G27" s="81">
        <f t="shared" si="4"/>
        <v>2</v>
      </c>
      <c r="H27" s="82">
        <f t="shared" si="7"/>
        <v>-1</v>
      </c>
      <c r="I27" s="82">
        <f t="shared" si="8"/>
        <v>0</v>
      </c>
      <c r="J27" s="81">
        <f t="shared" si="9"/>
        <v>0</v>
      </c>
      <c r="K27" s="205">
        <f t="shared" ca="1" si="30"/>
        <v>0.74489516771393283</v>
      </c>
      <c r="L27" s="95">
        <f t="shared" ca="1" si="30"/>
        <v>0.74489516771393283</v>
      </c>
      <c r="M27" s="95">
        <v>1</v>
      </c>
      <c r="N27" s="94">
        <f t="shared" ca="1" si="31"/>
        <v>0.74489516771393283</v>
      </c>
      <c r="O27" s="206">
        <v>1</v>
      </c>
      <c r="P27" s="107">
        <f t="shared" ca="1" si="12"/>
        <v>0</v>
      </c>
      <c r="Q27" s="107">
        <f t="shared" ca="1" si="13"/>
        <v>0</v>
      </c>
      <c r="R27" s="107">
        <f t="shared" si="14"/>
        <v>0</v>
      </c>
      <c r="S27" s="107">
        <f t="shared" ca="1" si="15"/>
        <v>0</v>
      </c>
      <c r="T27" s="107">
        <f t="shared" ca="1" si="16"/>
        <v>0</v>
      </c>
      <c r="U27" s="107">
        <f t="shared" ca="1" si="17"/>
        <v>0</v>
      </c>
      <c r="V27" s="107">
        <f t="shared" ca="1" si="18"/>
        <v>0</v>
      </c>
      <c r="W27" s="107">
        <f t="shared" ca="1" si="19"/>
        <v>0</v>
      </c>
      <c r="X27" s="107">
        <f t="shared" ca="1" si="20"/>
        <v>0</v>
      </c>
      <c r="Y27" s="101">
        <f t="shared" ca="1" si="21"/>
        <v>0</v>
      </c>
      <c r="Z27" s="107">
        <f t="shared" ca="1" si="22"/>
        <v>0</v>
      </c>
      <c r="AA27" s="107">
        <f t="shared" ca="1" si="23"/>
        <v>0</v>
      </c>
      <c r="AB27" s="106" t="e">
        <f t="shared" ca="1" si="24"/>
        <v>#REF!</v>
      </c>
      <c r="AC27" s="107" t="e">
        <f t="shared" ca="1" si="25"/>
        <v>#REF!</v>
      </c>
      <c r="AD27" s="107" t="e">
        <f t="array" aca="1" ref="AD27" ca="1">-(VLOOKUP(AC27, LT_IncomeTaxFed/$K27:$O27, 2, TRUE)+VLOOKUP(AC27,LT_IncomeTaxFed/$K27:$O27,3,TRUE)*(AC27-VLOOKUP(AC27,LT_IncomeTaxFed/$K27:$O27,1,TRUE)))</f>
        <v>#REF!</v>
      </c>
      <c r="AE27" s="107" t="e">
        <f t="array" aca="1" ref="AE27" ca="1">-(VLOOKUP($AC27+$X27, LT_IncomeTaxFed/$K27:$O27, 4, TRUE)+VLOOKUP($AC27+$X27,LT_IncomeTaxFed/$K27:$O27,5,TRUE)*($AC27+$X27-VLOOKUP($AC27+$X27,LT_IncomeTaxFed/$K27:$O27,1,TRUE)))+(VLOOKUP($AC27, LT_IncomeTaxFed/$K27:$O27, 4, TRUE)+VLOOKUP($AC27,LT_IncomeTaxFed/$K27:$O27,5,TRUE)*($AC27-VLOOKUP($AC27,LT_IncomeTaxFed/$K27:$O27,1,TRUE)))</f>
        <v>#REF!</v>
      </c>
      <c r="AF27" s="106" t="e">
        <f t="shared" ca="1" si="26"/>
        <v>#REF!</v>
      </c>
      <c r="AG27" s="107" t="e">
        <f t="shared" ca="1" si="27"/>
        <v>#REF!</v>
      </c>
      <c r="AH27" s="91" t="e">
        <f t="array" aca="1" ref="AH27" ca="1">IF(AG27&gt;0,(VLOOKUP(AG27, LT_IncomeTaxFed/$K27:$O27, 2, TRUE)+VLOOKUP(AG27,LT_IncomeTaxFed/$K27:$O27,3,TRUE)*(AG27-VLOOKUP(AG27,LT_IncomeTaxFed/$K27:$O27,1,TRUE)))/AG27,0)</f>
        <v>#REF!</v>
      </c>
      <c r="AI27" s="110" t="e">
        <f t="shared" ca="1" si="28"/>
        <v>#REF!</v>
      </c>
      <c r="AJ27" s="634"/>
      <c r="AK27" s="668"/>
      <c r="AL27" s="1"/>
    </row>
    <row r="28" spans="2:38" x14ac:dyDescent="0.25">
      <c r="B28" s="65">
        <f ca="1">B26+1</f>
        <v>2031</v>
      </c>
      <c r="C28" s="76" t="s">
        <v>741</v>
      </c>
      <c r="D28" s="146" t="str">
        <f t="shared" si="5"/>
        <v/>
      </c>
      <c r="E28" s="77">
        <f t="shared" si="3"/>
        <v>0</v>
      </c>
      <c r="F28" s="77" t="b">
        <f t="shared" si="6"/>
        <v>0</v>
      </c>
      <c r="G28" s="77">
        <f t="shared" si="4"/>
        <v>1</v>
      </c>
      <c r="H28" s="76">
        <f t="shared" si="7"/>
        <v>1</v>
      </c>
      <c r="I28" s="76">
        <f t="shared" si="8"/>
        <v>0</v>
      </c>
      <c r="J28" s="77">
        <f t="shared" si="9"/>
        <v>0</v>
      </c>
      <c r="K28" s="204">
        <f t="shared" ca="1" si="30"/>
        <v>0.71797124598933271</v>
      </c>
      <c r="L28" s="93">
        <f t="shared" ca="1" si="30"/>
        <v>0.71797124598933271</v>
      </c>
      <c r="M28" s="93">
        <v>1</v>
      </c>
      <c r="N28" s="92">
        <f t="shared" ca="1" si="31"/>
        <v>0.71797124598933271</v>
      </c>
      <c r="O28" s="100">
        <v>1</v>
      </c>
      <c r="P28" s="70">
        <f t="shared" ca="1" si="12"/>
        <v>0</v>
      </c>
      <c r="Q28" s="70">
        <f t="shared" ca="1" si="13"/>
        <v>0</v>
      </c>
      <c r="R28" s="70" t="e">
        <f t="shared" ca="1" si="14"/>
        <v>#REF!</v>
      </c>
      <c r="S28" s="70">
        <f t="shared" ca="1" si="15"/>
        <v>0</v>
      </c>
      <c r="T28" s="70">
        <f t="shared" ca="1" si="16"/>
        <v>0</v>
      </c>
      <c r="U28" s="70" t="e">
        <f t="shared" ca="1" si="17"/>
        <v>#REF!</v>
      </c>
      <c r="V28" s="70">
        <f t="shared" ca="1" si="18"/>
        <v>0</v>
      </c>
      <c r="W28" s="70">
        <f t="shared" ca="1" si="19"/>
        <v>0</v>
      </c>
      <c r="X28" s="70">
        <f t="shared" ca="1" si="20"/>
        <v>0</v>
      </c>
      <c r="Y28" s="98">
        <f t="shared" ca="1" si="21"/>
        <v>0</v>
      </c>
      <c r="Z28" s="70">
        <f t="shared" ca="1" si="22"/>
        <v>0</v>
      </c>
      <c r="AA28" s="70">
        <f t="shared" ca="1" si="23"/>
        <v>0</v>
      </c>
      <c r="AB28" s="409" t="e">
        <f t="shared" ca="1" si="24"/>
        <v>#REF!</v>
      </c>
      <c r="AC28" s="70" t="e">
        <f t="shared" ca="1" si="25"/>
        <v>#REF!</v>
      </c>
      <c r="AD28" s="70" t="e">
        <f t="array" aca="1" ref="AD28" ca="1">-(VLOOKUP(AC28, LT_IncomeTaxFed/$K28:$O28, 2, TRUE)+VLOOKUP(AC28,LT_IncomeTaxFed/$K28:$O28,3,TRUE)*(AC28-VLOOKUP(AC28,LT_IncomeTaxFed/$K28:$O28,1,TRUE)))</f>
        <v>#REF!</v>
      </c>
      <c r="AE28" s="70" t="e">
        <f t="array" aca="1" ref="AE28" ca="1">-(VLOOKUP($AC28+$X28, LT_IncomeTaxFed/$K28:$O28, 4, TRUE)+VLOOKUP($AC28+$X28,LT_IncomeTaxFed/$K28:$O28,5,TRUE)*($AC28+$X28-VLOOKUP($AC28+$X28,LT_IncomeTaxFed/$K28:$O28,1,TRUE)))+(VLOOKUP($AC28, LT_IncomeTaxFed/$K28:$O28, 4, TRUE)+VLOOKUP($AC28,LT_IncomeTaxFed/$K28:$O28,5,TRUE)*($AC28-VLOOKUP($AC28,LT_IncomeTaxFed/$K28:$O28,1,TRUE)))</f>
        <v>#REF!</v>
      </c>
      <c r="AF28" s="75" t="e">
        <f t="shared" ca="1" si="26"/>
        <v>#REF!</v>
      </c>
      <c r="AG28" s="70" t="e">
        <f t="shared" ca="1" si="27"/>
        <v>#REF!</v>
      </c>
      <c r="AH28" s="67" t="e">
        <f t="array" aca="1" ref="AH28" ca="1">IF(AG28&gt;0,(VLOOKUP(AG28, LT_IncomeTaxFed/$K28:$O28, 2, TRUE)+VLOOKUP(AG28,LT_IncomeTaxFed/$K28:$O28,3,TRUE)*(AG28-VLOOKUP(AG28,LT_IncomeTaxFed/$K28:$O28,1,TRUE)))/AG28,0)</f>
        <v>#REF!</v>
      </c>
      <c r="AI28" s="109" t="e">
        <f t="shared" ca="1" si="28"/>
        <v>#REF!</v>
      </c>
      <c r="AJ28" s="634" t="e">
        <f ca="1">SUMPRODUCT($Z28:$Z29+$AA28:$AA29+$AD28:$AD29+$AE28:$AE29+$AI28:$AI29)</f>
        <v>#REF!</v>
      </c>
      <c r="AK28" s="668" t="e">
        <f t="shared" ref="AK28" ca="1" si="40">IF($U28&gt;0, -AJ28/$U28, 0)</f>
        <v>#REF!</v>
      </c>
      <c r="AL28" s="1"/>
    </row>
    <row r="29" spans="2:38" x14ac:dyDescent="0.25">
      <c r="B29" s="86">
        <f t="shared" ca="1" si="29"/>
        <v>2031</v>
      </c>
      <c r="C29" s="80" t="s">
        <v>741</v>
      </c>
      <c r="D29" s="147" t="str">
        <f t="shared" si="5"/>
        <v/>
      </c>
      <c r="E29" s="81">
        <f t="shared" si="3"/>
        <v>0</v>
      </c>
      <c r="F29" s="81" t="b">
        <f t="shared" si="6"/>
        <v>0</v>
      </c>
      <c r="G29" s="81">
        <f t="shared" si="4"/>
        <v>2</v>
      </c>
      <c r="H29" s="82">
        <f t="shared" si="7"/>
        <v>-1</v>
      </c>
      <c r="I29" s="82">
        <f t="shared" si="8"/>
        <v>0</v>
      </c>
      <c r="J29" s="81">
        <f t="shared" si="9"/>
        <v>0</v>
      </c>
      <c r="K29" s="205">
        <f t="shared" ca="1" si="30"/>
        <v>0.71797124598933271</v>
      </c>
      <c r="L29" s="95">
        <f t="shared" ca="1" si="30"/>
        <v>0.71797124598933271</v>
      </c>
      <c r="M29" s="95">
        <v>1</v>
      </c>
      <c r="N29" s="94">
        <f t="shared" ca="1" si="31"/>
        <v>0.71797124598933271</v>
      </c>
      <c r="O29" s="206">
        <v>1</v>
      </c>
      <c r="P29" s="107">
        <f t="shared" ca="1" si="12"/>
        <v>0</v>
      </c>
      <c r="Q29" s="107">
        <f t="shared" ca="1" si="13"/>
        <v>0</v>
      </c>
      <c r="R29" s="107">
        <f t="shared" si="14"/>
        <v>0</v>
      </c>
      <c r="S29" s="107">
        <f t="shared" ca="1" si="15"/>
        <v>0</v>
      </c>
      <c r="T29" s="107">
        <f t="shared" ca="1" si="16"/>
        <v>0</v>
      </c>
      <c r="U29" s="107">
        <f t="shared" ca="1" si="17"/>
        <v>0</v>
      </c>
      <c r="V29" s="107">
        <f t="shared" ca="1" si="18"/>
        <v>0</v>
      </c>
      <c r="W29" s="107">
        <f t="shared" ca="1" si="19"/>
        <v>0</v>
      </c>
      <c r="X29" s="107">
        <f t="shared" ca="1" si="20"/>
        <v>0</v>
      </c>
      <c r="Y29" s="101">
        <f t="shared" ca="1" si="21"/>
        <v>0</v>
      </c>
      <c r="Z29" s="107">
        <f t="shared" ca="1" si="22"/>
        <v>0</v>
      </c>
      <c r="AA29" s="107">
        <f t="shared" ca="1" si="23"/>
        <v>0</v>
      </c>
      <c r="AB29" s="106" t="e">
        <f t="shared" ca="1" si="24"/>
        <v>#REF!</v>
      </c>
      <c r="AC29" s="107" t="e">
        <f t="shared" ca="1" si="25"/>
        <v>#REF!</v>
      </c>
      <c r="AD29" s="107" t="e">
        <f t="array" aca="1" ref="AD29" ca="1">-(VLOOKUP(AC29, LT_IncomeTaxFed/$K29:$O29, 2, TRUE)+VLOOKUP(AC29,LT_IncomeTaxFed/$K29:$O29,3,TRUE)*(AC29-VLOOKUP(AC29,LT_IncomeTaxFed/$K29:$O29,1,TRUE)))</f>
        <v>#REF!</v>
      </c>
      <c r="AE29" s="107" t="e">
        <f t="array" aca="1" ref="AE29" ca="1">-(VLOOKUP($AC29+$X29, LT_IncomeTaxFed/$K29:$O29, 4, TRUE)+VLOOKUP($AC29+$X29,LT_IncomeTaxFed/$K29:$O29,5,TRUE)*($AC29+$X29-VLOOKUP($AC29+$X29,LT_IncomeTaxFed/$K29:$O29,1,TRUE)))+(VLOOKUP($AC29, LT_IncomeTaxFed/$K29:$O29, 4, TRUE)+VLOOKUP($AC29,LT_IncomeTaxFed/$K29:$O29,5,TRUE)*($AC29-VLOOKUP($AC29,LT_IncomeTaxFed/$K29:$O29,1,TRUE)))</f>
        <v>#REF!</v>
      </c>
      <c r="AF29" s="106" t="e">
        <f t="shared" ca="1" si="26"/>
        <v>#REF!</v>
      </c>
      <c r="AG29" s="107" t="e">
        <f t="shared" ca="1" si="27"/>
        <v>#REF!</v>
      </c>
      <c r="AH29" s="91" t="e">
        <f t="array" aca="1" ref="AH29" ca="1">IF(AG29&gt;0,(VLOOKUP(AG29, LT_IncomeTaxFed/$K29:$O29, 2, TRUE)+VLOOKUP(AG29,LT_IncomeTaxFed/$K29:$O29,3,TRUE)*(AG29-VLOOKUP(AG29,LT_IncomeTaxFed/$K29:$O29,1,TRUE)))/AG29,0)</f>
        <v>#REF!</v>
      </c>
      <c r="AI29" s="110" t="e">
        <f t="shared" ca="1" si="28"/>
        <v>#REF!</v>
      </c>
      <c r="AJ29" s="634"/>
      <c r="AK29" s="668"/>
      <c r="AL29" s="1"/>
    </row>
    <row r="30" spans="2:38" x14ac:dyDescent="0.25">
      <c r="B30" s="65">
        <f ca="1">B28+1</f>
        <v>2032</v>
      </c>
      <c r="C30" s="76" t="s">
        <v>741</v>
      </c>
      <c r="D30" s="146" t="str">
        <f t="shared" si="5"/>
        <v/>
      </c>
      <c r="E30" s="77">
        <f t="shared" si="3"/>
        <v>0</v>
      </c>
      <c r="F30" s="77" t="b">
        <f t="shared" si="6"/>
        <v>0</v>
      </c>
      <c r="G30" s="77">
        <f t="shared" si="4"/>
        <v>1</v>
      </c>
      <c r="H30" s="76">
        <f t="shared" si="7"/>
        <v>1</v>
      </c>
      <c r="I30" s="76">
        <f t="shared" si="8"/>
        <v>0</v>
      </c>
      <c r="J30" s="77">
        <f t="shared" si="9"/>
        <v>0</v>
      </c>
      <c r="K30" s="204">
        <f t="shared" ca="1" si="30"/>
        <v>0.69202047806200739</v>
      </c>
      <c r="L30" s="93">
        <f t="shared" ca="1" si="30"/>
        <v>0.69202047806200739</v>
      </c>
      <c r="M30" s="93">
        <v>1</v>
      </c>
      <c r="N30" s="92">
        <f t="shared" ca="1" si="31"/>
        <v>0.69202047806200739</v>
      </c>
      <c r="O30" s="100">
        <v>1</v>
      </c>
      <c r="P30" s="70">
        <f t="shared" ca="1" si="12"/>
        <v>0</v>
      </c>
      <c r="Q30" s="70">
        <f t="shared" ca="1" si="13"/>
        <v>0</v>
      </c>
      <c r="R30" s="70" t="e">
        <f t="shared" ca="1" si="14"/>
        <v>#REF!</v>
      </c>
      <c r="S30" s="70">
        <f t="shared" ca="1" si="15"/>
        <v>0</v>
      </c>
      <c r="T30" s="70">
        <f t="shared" ca="1" si="16"/>
        <v>0</v>
      </c>
      <c r="U30" s="70" t="e">
        <f t="shared" ca="1" si="17"/>
        <v>#REF!</v>
      </c>
      <c r="V30" s="70">
        <f t="shared" ca="1" si="18"/>
        <v>0</v>
      </c>
      <c r="W30" s="70">
        <f t="shared" ca="1" si="19"/>
        <v>0</v>
      </c>
      <c r="X30" s="70">
        <f t="shared" ca="1" si="20"/>
        <v>0</v>
      </c>
      <c r="Y30" s="98">
        <f t="shared" ca="1" si="21"/>
        <v>0</v>
      </c>
      <c r="Z30" s="70">
        <f t="shared" ca="1" si="22"/>
        <v>0</v>
      </c>
      <c r="AA30" s="70">
        <f t="shared" ca="1" si="23"/>
        <v>0</v>
      </c>
      <c r="AB30" s="409" t="e">
        <f t="shared" ca="1" si="24"/>
        <v>#REF!</v>
      </c>
      <c r="AC30" s="70" t="e">
        <f t="shared" ca="1" si="25"/>
        <v>#REF!</v>
      </c>
      <c r="AD30" s="70" t="e">
        <f t="array" aca="1" ref="AD30" ca="1">-(VLOOKUP(AC30, LT_IncomeTaxFed/$K30:$O30, 2, TRUE)+VLOOKUP(AC30,LT_IncomeTaxFed/$K30:$O30,3,TRUE)*(AC30-VLOOKUP(AC30,LT_IncomeTaxFed/$K30:$O30,1,TRUE)))</f>
        <v>#REF!</v>
      </c>
      <c r="AE30" s="70" t="e">
        <f t="array" aca="1" ref="AE30" ca="1">-(VLOOKUP($AC30+$X30, LT_IncomeTaxFed/$K30:$O30, 4, TRUE)+VLOOKUP($AC30+$X30,LT_IncomeTaxFed/$K30:$O30,5,TRUE)*($AC30+$X30-VLOOKUP($AC30+$X30,LT_IncomeTaxFed/$K30:$O30,1,TRUE)))+(VLOOKUP($AC30, LT_IncomeTaxFed/$K30:$O30, 4, TRUE)+VLOOKUP($AC30,LT_IncomeTaxFed/$K30:$O30,5,TRUE)*($AC30-VLOOKUP($AC30,LT_IncomeTaxFed/$K30:$O30,1,TRUE)))</f>
        <v>#REF!</v>
      </c>
      <c r="AF30" s="75" t="e">
        <f t="shared" ca="1" si="26"/>
        <v>#REF!</v>
      </c>
      <c r="AG30" s="70" t="e">
        <f t="shared" ca="1" si="27"/>
        <v>#REF!</v>
      </c>
      <c r="AH30" s="67" t="e">
        <f t="array" aca="1" ref="AH30" ca="1">IF(AG30&gt;0,(VLOOKUP(AG30, LT_IncomeTaxFed/$K30:$O30, 2, TRUE)+VLOOKUP(AG30,LT_IncomeTaxFed/$K30:$O30,3,TRUE)*(AG30-VLOOKUP(AG30,LT_IncomeTaxFed/$K30:$O30,1,TRUE)))/AG30,0)</f>
        <v>#REF!</v>
      </c>
      <c r="AI30" s="109" t="e">
        <f t="shared" ca="1" si="28"/>
        <v>#REF!</v>
      </c>
      <c r="AJ30" s="634" t="e">
        <f ca="1">SUMPRODUCT($Z30:$Z31+$AA30:$AA31+$AD30:$AD31+$AE30:$AE31+$AI30:$AI31)</f>
        <v>#REF!</v>
      </c>
      <c r="AK30" s="668" t="e">
        <f t="shared" ref="AK30" ca="1" si="41">IF($U30&gt;0, -AJ30/$U30, 0)</f>
        <v>#REF!</v>
      </c>
      <c r="AL30" s="1"/>
    </row>
    <row r="31" spans="2:38" x14ac:dyDescent="0.25">
      <c r="B31" s="86">
        <f t="shared" ca="1" si="29"/>
        <v>2032</v>
      </c>
      <c r="C31" s="80" t="s">
        <v>741</v>
      </c>
      <c r="D31" s="147" t="str">
        <f t="shared" si="5"/>
        <v/>
      </c>
      <c r="E31" s="81">
        <f t="shared" si="3"/>
        <v>0</v>
      </c>
      <c r="F31" s="81" t="b">
        <f t="shared" si="6"/>
        <v>0</v>
      </c>
      <c r="G31" s="81">
        <f t="shared" si="4"/>
        <v>2</v>
      </c>
      <c r="H31" s="82">
        <f t="shared" si="7"/>
        <v>-1</v>
      </c>
      <c r="I31" s="82">
        <f t="shared" si="8"/>
        <v>0</v>
      </c>
      <c r="J31" s="81">
        <f t="shared" si="9"/>
        <v>0</v>
      </c>
      <c r="K31" s="205">
        <f t="shared" ca="1" si="30"/>
        <v>0.69202047806200739</v>
      </c>
      <c r="L31" s="95">
        <f t="shared" ca="1" si="30"/>
        <v>0.69202047806200739</v>
      </c>
      <c r="M31" s="95">
        <v>1</v>
      </c>
      <c r="N31" s="94">
        <f t="shared" ca="1" si="31"/>
        <v>0.69202047806200739</v>
      </c>
      <c r="O31" s="206">
        <v>1</v>
      </c>
      <c r="P31" s="107">
        <f t="shared" ca="1" si="12"/>
        <v>0</v>
      </c>
      <c r="Q31" s="107">
        <f t="shared" ca="1" si="13"/>
        <v>0</v>
      </c>
      <c r="R31" s="107">
        <f t="shared" si="14"/>
        <v>0</v>
      </c>
      <c r="S31" s="107">
        <f t="shared" ca="1" si="15"/>
        <v>0</v>
      </c>
      <c r="T31" s="107">
        <f t="shared" ca="1" si="16"/>
        <v>0</v>
      </c>
      <c r="U31" s="107">
        <f t="shared" ca="1" si="17"/>
        <v>0</v>
      </c>
      <c r="V31" s="107">
        <f t="shared" ca="1" si="18"/>
        <v>0</v>
      </c>
      <c r="W31" s="107">
        <f t="shared" ca="1" si="19"/>
        <v>0</v>
      </c>
      <c r="X31" s="107">
        <f t="shared" ca="1" si="20"/>
        <v>0</v>
      </c>
      <c r="Y31" s="101">
        <f t="shared" ca="1" si="21"/>
        <v>0</v>
      </c>
      <c r="Z31" s="107">
        <f t="shared" ca="1" si="22"/>
        <v>0</v>
      </c>
      <c r="AA31" s="107">
        <f t="shared" ca="1" si="23"/>
        <v>0</v>
      </c>
      <c r="AB31" s="106" t="e">
        <f t="shared" ca="1" si="24"/>
        <v>#REF!</v>
      </c>
      <c r="AC31" s="107" t="e">
        <f t="shared" ca="1" si="25"/>
        <v>#REF!</v>
      </c>
      <c r="AD31" s="107" t="e">
        <f t="array" aca="1" ref="AD31" ca="1">-(VLOOKUP(AC31, LT_IncomeTaxFed/$K31:$O31, 2, TRUE)+VLOOKUP(AC31,LT_IncomeTaxFed/$K31:$O31,3,TRUE)*(AC31-VLOOKUP(AC31,LT_IncomeTaxFed/$K31:$O31,1,TRUE)))</f>
        <v>#REF!</v>
      </c>
      <c r="AE31" s="107" t="e">
        <f t="array" aca="1" ref="AE31" ca="1">-(VLOOKUP($AC31+$X31, LT_IncomeTaxFed/$K31:$O31, 4, TRUE)+VLOOKUP($AC31+$X31,LT_IncomeTaxFed/$K31:$O31,5,TRUE)*($AC31+$X31-VLOOKUP($AC31+$X31,LT_IncomeTaxFed/$K31:$O31,1,TRUE)))+(VLOOKUP($AC31, LT_IncomeTaxFed/$K31:$O31, 4, TRUE)+VLOOKUP($AC31,LT_IncomeTaxFed/$K31:$O31,5,TRUE)*($AC31-VLOOKUP($AC31,LT_IncomeTaxFed/$K31:$O31,1,TRUE)))</f>
        <v>#REF!</v>
      </c>
      <c r="AF31" s="106" t="e">
        <f t="shared" ca="1" si="26"/>
        <v>#REF!</v>
      </c>
      <c r="AG31" s="107" t="e">
        <f t="shared" ca="1" si="27"/>
        <v>#REF!</v>
      </c>
      <c r="AH31" s="91" t="e">
        <f t="array" aca="1" ref="AH31" ca="1">IF(AG31&gt;0,(VLOOKUP(AG31, LT_IncomeTaxFed/$K31:$O31, 2, TRUE)+VLOOKUP(AG31,LT_IncomeTaxFed/$K31:$O31,3,TRUE)*(AG31-VLOOKUP(AG31,LT_IncomeTaxFed/$K31:$O31,1,TRUE)))/AG31,0)</f>
        <v>#REF!</v>
      </c>
      <c r="AI31" s="110" t="e">
        <f t="shared" ca="1" si="28"/>
        <v>#REF!</v>
      </c>
      <c r="AJ31" s="634"/>
      <c r="AK31" s="668"/>
      <c r="AL31" s="1"/>
    </row>
    <row r="32" spans="2:38" x14ac:dyDescent="0.25">
      <c r="B32" s="65">
        <f ca="1">B30+1</f>
        <v>2033</v>
      </c>
      <c r="C32" s="76" t="s">
        <v>741</v>
      </c>
      <c r="D32" s="146" t="str">
        <f t="shared" si="5"/>
        <v/>
      </c>
      <c r="E32" s="77">
        <f t="shared" si="3"/>
        <v>0</v>
      </c>
      <c r="F32" s="77" t="b">
        <f t="shared" si="6"/>
        <v>0</v>
      </c>
      <c r="G32" s="77">
        <f t="shared" si="4"/>
        <v>1</v>
      </c>
      <c r="H32" s="76">
        <f t="shared" si="7"/>
        <v>1</v>
      </c>
      <c r="I32" s="76">
        <f t="shared" si="8"/>
        <v>0</v>
      </c>
      <c r="J32" s="77">
        <f t="shared" si="9"/>
        <v>0</v>
      </c>
      <c r="K32" s="204">
        <f t="shared" ca="1" si="30"/>
        <v>0.66700768969832036</v>
      </c>
      <c r="L32" s="93">
        <f t="shared" ca="1" si="30"/>
        <v>0.66700768969832036</v>
      </c>
      <c r="M32" s="93">
        <v>1</v>
      </c>
      <c r="N32" s="92">
        <f t="shared" ca="1" si="31"/>
        <v>0.66700768969832036</v>
      </c>
      <c r="O32" s="100">
        <v>1</v>
      </c>
      <c r="P32" s="70">
        <f t="shared" ca="1" si="12"/>
        <v>0</v>
      </c>
      <c r="Q32" s="70">
        <f t="shared" ca="1" si="13"/>
        <v>0</v>
      </c>
      <c r="R32" s="70" t="e">
        <f t="shared" ca="1" si="14"/>
        <v>#REF!</v>
      </c>
      <c r="S32" s="70">
        <f t="shared" ca="1" si="15"/>
        <v>0</v>
      </c>
      <c r="T32" s="70">
        <f t="shared" ca="1" si="16"/>
        <v>0</v>
      </c>
      <c r="U32" s="70" t="e">
        <f t="shared" ca="1" si="17"/>
        <v>#REF!</v>
      </c>
      <c r="V32" s="70">
        <f t="shared" ca="1" si="18"/>
        <v>0</v>
      </c>
      <c r="W32" s="70">
        <f t="shared" ca="1" si="19"/>
        <v>0</v>
      </c>
      <c r="X32" s="70">
        <f t="shared" ca="1" si="20"/>
        <v>0</v>
      </c>
      <c r="Y32" s="98">
        <f t="shared" ca="1" si="21"/>
        <v>0</v>
      </c>
      <c r="Z32" s="70">
        <f t="shared" ca="1" si="22"/>
        <v>0</v>
      </c>
      <c r="AA32" s="70">
        <f t="shared" ca="1" si="23"/>
        <v>0</v>
      </c>
      <c r="AB32" s="409" t="e">
        <f t="shared" ca="1" si="24"/>
        <v>#REF!</v>
      </c>
      <c r="AC32" s="70" t="e">
        <f t="shared" ca="1" si="25"/>
        <v>#REF!</v>
      </c>
      <c r="AD32" s="70" t="e">
        <f t="array" aca="1" ref="AD32" ca="1">-(VLOOKUP(AC32, LT_IncomeTaxFed/$K32:$O32, 2, TRUE)+VLOOKUP(AC32,LT_IncomeTaxFed/$K32:$O32,3,TRUE)*(AC32-VLOOKUP(AC32,LT_IncomeTaxFed/$K32:$O32,1,TRUE)))</f>
        <v>#REF!</v>
      </c>
      <c r="AE32" s="70" t="e">
        <f t="array" aca="1" ref="AE32" ca="1">-(VLOOKUP($AC32+$X32, LT_IncomeTaxFed/$K32:$O32, 4, TRUE)+VLOOKUP($AC32+$X32,LT_IncomeTaxFed/$K32:$O32,5,TRUE)*($AC32+$X32-VLOOKUP($AC32+$X32,LT_IncomeTaxFed/$K32:$O32,1,TRUE)))+(VLOOKUP($AC32, LT_IncomeTaxFed/$K32:$O32, 4, TRUE)+VLOOKUP($AC32,LT_IncomeTaxFed/$K32:$O32,5,TRUE)*($AC32-VLOOKUP($AC32,LT_IncomeTaxFed/$K32:$O32,1,TRUE)))</f>
        <v>#REF!</v>
      </c>
      <c r="AF32" s="75" t="e">
        <f t="shared" ca="1" si="26"/>
        <v>#REF!</v>
      </c>
      <c r="AG32" s="70" t="e">
        <f t="shared" ca="1" si="27"/>
        <v>#REF!</v>
      </c>
      <c r="AH32" s="67" t="e">
        <f t="array" aca="1" ref="AH32" ca="1">IF(AG32&gt;0,(VLOOKUP(AG32, LT_IncomeTaxFed/$K32:$O32, 2, TRUE)+VLOOKUP(AG32,LT_IncomeTaxFed/$K32:$O32,3,TRUE)*(AG32-VLOOKUP(AG32,LT_IncomeTaxFed/$K32:$O32,1,TRUE)))/AG32,0)</f>
        <v>#REF!</v>
      </c>
      <c r="AI32" s="109" t="e">
        <f t="shared" ca="1" si="28"/>
        <v>#REF!</v>
      </c>
      <c r="AJ32" s="634" t="e">
        <f ca="1">SUMPRODUCT($Z32:$Z33+$AA32:$AA33+$AD32:$AD33+$AE32:$AE33+$AI32:$AI33)</f>
        <v>#REF!</v>
      </c>
      <c r="AK32" s="668" t="e">
        <f t="shared" ref="AK32" ca="1" si="42">IF($U32&gt;0, -AJ32/$U32, 0)</f>
        <v>#REF!</v>
      </c>
      <c r="AL32" s="1"/>
    </row>
    <row r="33" spans="2:38" x14ac:dyDescent="0.25">
      <c r="B33" s="86">
        <f t="shared" ca="1" si="29"/>
        <v>2033</v>
      </c>
      <c r="C33" s="80" t="s">
        <v>741</v>
      </c>
      <c r="D33" s="147" t="str">
        <f t="shared" si="5"/>
        <v/>
      </c>
      <c r="E33" s="81">
        <f t="shared" si="3"/>
        <v>0</v>
      </c>
      <c r="F33" s="81" t="b">
        <f t="shared" si="6"/>
        <v>0</v>
      </c>
      <c r="G33" s="81">
        <f t="shared" si="4"/>
        <v>2</v>
      </c>
      <c r="H33" s="82">
        <f t="shared" si="7"/>
        <v>-1</v>
      </c>
      <c r="I33" s="82">
        <f t="shared" si="8"/>
        <v>0</v>
      </c>
      <c r="J33" s="81">
        <f t="shared" si="9"/>
        <v>0</v>
      </c>
      <c r="K33" s="205">
        <f t="shared" ca="1" si="30"/>
        <v>0.66700768969832036</v>
      </c>
      <c r="L33" s="95">
        <f t="shared" ca="1" si="30"/>
        <v>0.66700768969832036</v>
      </c>
      <c r="M33" s="95">
        <v>1</v>
      </c>
      <c r="N33" s="94">
        <f t="shared" ca="1" si="31"/>
        <v>0.66700768969832036</v>
      </c>
      <c r="O33" s="206">
        <v>1</v>
      </c>
      <c r="P33" s="107">
        <f t="shared" ca="1" si="12"/>
        <v>0</v>
      </c>
      <c r="Q33" s="107">
        <f t="shared" ca="1" si="13"/>
        <v>0</v>
      </c>
      <c r="R33" s="107">
        <f t="shared" si="14"/>
        <v>0</v>
      </c>
      <c r="S33" s="107">
        <f t="shared" ca="1" si="15"/>
        <v>0</v>
      </c>
      <c r="T33" s="107">
        <f t="shared" ca="1" si="16"/>
        <v>0</v>
      </c>
      <c r="U33" s="107">
        <f t="shared" ca="1" si="17"/>
        <v>0</v>
      </c>
      <c r="V33" s="107">
        <f t="shared" ca="1" si="18"/>
        <v>0</v>
      </c>
      <c r="W33" s="107">
        <f t="shared" ca="1" si="19"/>
        <v>0</v>
      </c>
      <c r="X33" s="107">
        <f t="shared" ca="1" si="20"/>
        <v>0</v>
      </c>
      <c r="Y33" s="101">
        <f t="shared" ca="1" si="21"/>
        <v>0</v>
      </c>
      <c r="Z33" s="107">
        <f t="shared" ca="1" si="22"/>
        <v>0</v>
      </c>
      <c r="AA33" s="107">
        <f t="shared" ca="1" si="23"/>
        <v>0</v>
      </c>
      <c r="AB33" s="106" t="e">
        <f t="shared" ca="1" si="24"/>
        <v>#REF!</v>
      </c>
      <c r="AC33" s="107" t="e">
        <f t="shared" ca="1" si="25"/>
        <v>#REF!</v>
      </c>
      <c r="AD33" s="107" t="e">
        <f t="array" aca="1" ref="AD33" ca="1">-(VLOOKUP(AC33, LT_IncomeTaxFed/$K33:$O33, 2, TRUE)+VLOOKUP(AC33,LT_IncomeTaxFed/$K33:$O33,3,TRUE)*(AC33-VLOOKUP(AC33,LT_IncomeTaxFed/$K33:$O33,1,TRUE)))</f>
        <v>#REF!</v>
      </c>
      <c r="AE33" s="107" t="e">
        <f t="array" aca="1" ref="AE33" ca="1">-(VLOOKUP($AC33+$X33, LT_IncomeTaxFed/$K33:$O33, 4, TRUE)+VLOOKUP($AC33+$X33,LT_IncomeTaxFed/$K33:$O33,5,TRUE)*($AC33+$X33-VLOOKUP($AC33+$X33,LT_IncomeTaxFed/$K33:$O33,1,TRUE)))+(VLOOKUP($AC33, LT_IncomeTaxFed/$K33:$O33, 4, TRUE)+VLOOKUP($AC33,LT_IncomeTaxFed/$K33:$O33,5,TRUE)*($AC33-VLOOKUP($AC33,LT_IncomeTaxFed/$K33:$O33,1,TRUE)))</f>
        <v>#REF!</v>
      </c>
      <c r="AF33" s="106" t="e">
        <f t="shared" ca="1" si="26"/>
        <v>#REF!</v>
      </c>
      <c r="AG33" s="107" t="e">
        <f t="shared" ca="1" si="27"/>
        <v>#REF!</v>
      </c>
      <c r="AH33" s="91" t="e">
        <f t="array" aca="1" ref="AH33" ca="1">IF(AG33&gt;0,(VLOOKUP(AG33, LT_IncomeTaxFed/$K33:$O33, 2, TRUE)+VLOOKUP(AG33,LT_IncomeTaxFed/$K33:$O33,3,TRUE)*(AG33-VLOOKUP(AG33,LT_IncomeTaxFed/$K33:$O33,1,TRUE)))/AG33,0)</f>
        <v>#REF!</v>
      </c>
      <c r="AI33" s="110" t="e">
        <f t="shared" ca="1" si="28"/>
        <v>#REF!</v>
      </c>
      <c r="AJ33" s="634"/>
      <c r="AK33" s="668"/>
      <c r="AL33" s="1"/>
    </row>
    <row r="34" spans="2:38" x14ac:dyDescent="0.25">
      <c r="B34" s="65">
        <f ca="1">B32+1</f>
        <v>2034</v>
      </c>
      <c r="C34" s="76" t="s">
        <v>741</v>
      </c>
      <c r="D34" s="146" t="str">
        <f t="shared" si="5"/>
        <v/>
      </c>
      <c r="E34" s="77">
        <f t="shared" si="3"/>
        <v>0</v>
      </c>
      <c r="F34" s="77" t="b">
        <f t="shared" si="6"/>
        <v>0</v>
      </c>
      <c r="G34" s="77">
        <f t="shared" si="4"/>
        <v>1</v>
      </c>
      <c r="H34" s="76">
        <f t="shared" si="7"/>
        <v>1</v>
      </c>
      <c r="I34" s="76">
        <f t="shared" si="8"/>
        <v>0</v>
      </c>
      <c r="J34" s="77">
        <f t="shared" si="9"/>
        <v>0</v>
      </c>
      <c r="K34" s="204">
        <f t="shared" ca="1" si="30"/>
        <v>0.64289897802247742</v>
      </c>
      <c r="L34" s="93">
        <f t="shared" ca="1" si="30"/>
        <v>0.64289897802247742</v>
      </c>
      <c r="M34" s="93">
        <v>1</v>
      </c>
      <c r="N34" s="92">
        <f t="shared" ca="1" si="31"/>
        <v>0.64289897802247742</v>
      </c>
      <c r="O34" s="100">
        <v>1</v>
      </c>
      <c r="P34" s="70">
        <f t="shared" ca="1" si="12"/>
        <v>0</v>
      </c>
      <c r="Q34" s="70">
        <f t="shared" ca="1" si="13"/>
        <v>0</v>
      </c>
      <c r="R34" s="70" t="e">
        <f t="shared" ca="1" si="14"/>
        <v>#REF!</v>
      </c>
      <c r="S34" s="70">
        <f t="shared" ca="1" si="15"/>
        <v>0</v>
      </c>
      <c r="T34" s="70">
        <f t="shared" ca="1" si="16"/>
        <v>0</v>
      </c>
      <c r="U34" s="70" t="e">
        <f t="shared" ca="1" si="17"/>
        <v>#REF!</v>
      </c>
      <c r="V34" s="70">
        <f t="shared" ca="1" si="18"/>
        <v>0</v>
      </c>
      <c r="W34" s="70">
        <f t="shared" ca="1" si="19"/>
        <v>0</v>
      </c>
      <c r="X34" s="70">
        <f t="shared" ca="1" si="20"/>
        <v>0</v>
      </c>
      <c r="Y34" s="98">
        <f t="shared" ca="1" si="21"/>
        <v>0</v>
      </c>
      <c r="Z34" s="70">
        <f t="shared" ca="1" si="22"/>
        <v>0</v>
      </c>
      <c r="AA34" s="70">
        <f t="shared" ca="1" si="23"/>
        <v>0</v>
      </c>
      <c r="AB34" s="409" t="e">
        <f t="shared" ca="1" si="24"/>
        <v>#REF!</v>
      </c>
      <c r="AC34" s="70" t="e">
        <f t="shared" ca="1" si="25"/>
        <v>#REF!</v>
      </c>
      <c r="AD34" s="70" t="e">
        <f t="array" aca="1" ref="AD34" ca="1">-(VLOOKUP(AC34, LT_IncomeTaxFed/$K34:$O34, 2, TRUE)+VLOOKUP(AC34,LT_IncomeTaxFed/$K34:$O34,3,TRUE)*(AC34-VLOOKUP(AC34,LT_IncomeTaxFed/$K34:$O34,1,TRUE)))</f>
        <v>#REF!</v>
      </c>
      <c r="AE34" s="70" t="e">
        <f t="array" aca="1" ref="AE34" ca="1">-(VLOOKUP($AC34+$X34, LT_IncomeTaxFed/$K34:$O34, 4, TRUE)+VLOOKUP($AC34+$X34,LT_IncomeTaxFed/$K34:$O34,5,TRUE)*($AC34+$X34-VLOOKUP($AC34+$X34,LT_IncomeTaxFed/$K34:$O34,1,TRUE)))+(VLOOKUP($AC34, LT_IncomeTaxFed/$K34:$O34, 4, TRUE)+VLOOKUP($AC34,LT_IncomeTaxFed/$K34:$O34,5,TRUE)*($AC34-VLOOKUP($AC34,LT_IncomeTaxFed/$K34:$O34,1,TRUE)))</f>
        <v>#REF!</v>
      </c>
      <c r="AF34" s="75" t="e">
        <f t="shared" ca="1" si="26"/>
        <v>#REF!</v>
      </c>
      <c r="AG34" s="70" t="e">
        <f t="shared" ca="1" si="27"/>
        <v>#REF!</v>
      </c>
      <c r="AH34" s="67" t="e">
        <f t="array" aca="1" ref="AH34" ca="1">IF(AG34&gt;0,(VLOOKUP(AG34, LT_IncomeTaxFed/$K34:$O34, 2, TRUE)+VLOOKUP(AG34,LT_IncomeTaxFed/$K34:$O34,3,TRUE)*(AG34-VLOOKUP(AG34,LT_IncomeTaxFed/$K34:$O34,1,TRUE)))/AG34,0)</f>
        <v>#REF!</v>
      </c>
      <c r="AI34" s="109" t="e">
        <f t="shared" ca="1" si="28"/>
        <v>#REF!</v>
      </c>
      <c r="AJ34" s="634" t="e">
        <f ca="1">SUMPRODUCT($Z34:$Z35+$AA34:$AA35+$AD34:$AD35+$AE34:$AE35+$AI34:$AI35)</f>
        <v>#REF!</v>
      </c>
      <c r="AK34" s="668" t="e">
        <f t="shared" ref="AK34" ca="1" si="43">IF($U34&gt;0, -AJ34/$U34, 0)</f>
        <v>#REF!</v>
      </c>
      <c r="AL34" s="1"/>
    </row>
    <row r="35" spans="2:38" x14ac:dyDescent="0.25">
      <c r="B35" s="86">
        <f t="shared" ca="1" si="29"/>
        <v>2034</v>
      </c>
      <c r="C35" s="80" t="s">
        <v>741</v>
      </c>
      <c r="D35" s="147" t="str">
        <f t="shared" si="5"/>
        <v/>
      </c>
      <c r="E35" s="81">
        <f t="shared" si="3"/>
        <v>0</v>
      </c>
      <c r="F35" s="81" t="b">
        <f t="shared" si="6"/>
        <v>0</v>
      </c>
      <c r="G35" s="81">
        <f t="shared" si="4"/>
        <v>2</v>
      </c>
      <c r="H35" s="82">
        <f t="shared" si="7"/>
        <v>-1</v>
      </c>
      <c r="I35" s="82">
        <f t="shared" si="8"/>
        <v>0</v>
      </c>
      <c r="J35" s="81">
        <f t="shared" si="9"/>
        <v>0</v>
      </c>
      <c r="K35" s="205">
        <f t="shared" ca="1" si="30"/>
        <v>0.64289897802247742</v>
      </c>
      <c r="L35" s="95">
        <f t="shared" ca="1" si="30"/>
        <v>0.64289897802247742</v>
      </c>
      <c r="M35" s="95">
        <v>1</v>
      </c>
      <c r="N35" s="94">
        <f t="shared" ca="1" si="31"/>
        <v>0.64289897802247742</v>
      </c>
      <c r="O35" s="206">
        <v>1</v>
      </c>
      <c r="P35" s="107">
        <f t="shared" ca="1" si="12"/>
        <v>0</v>
      </c>
      <c r="Q35" s="107">
        <f t="shared" ca="1" si="13"/>
        <v>0</v>
      </c>
      <c r="R35" s="107">
        <f t="shared" si="14"/>
        <v>0</v>
      </c>
      <c r="S35" s="107">
        <f t="shared" ca="1" si="15"/>
        <v>0</v>
      </c>
      <c r="T35" s="107">
        <f t="shared" ca="1" si="16"/>
        <v>0</v>
      </c>
      <c r="U35" s="107">
        <f t="shared" ca="1" si="17"/>
        <v>0</v>
      </c>
      <c r="V35" s="107">
        <f t="shared" ca="1" si="18"/>
        <v>0</v>
      </c>
      <c r="W35" s="107">
        <f t="shared" ca="1" si="19"/>
        <v>0</v>
      </c>
      <c r="X35" s="107">
        <f t="shared" ca="1" si="20"/>
        <v>0</v>
      </c>
      <c r="Y35" s="101">
        <f t="shared" ca="1" si="21"/>
        <v>0</v>
      </c>
      <c r="Z35" s="107">
        <f t="shared" ca="1" si="22"/>
        <v>0</v>
      </c>
      <c r="AA35" s="107">
        <f t="shared" ca="1" si="23"/>
        <v>0</v>
      </c>
      <c r="AB35" s="106" t="e">
        <f t="shared" ca="1" si="24"/>
        <v>#REF!</v>
      </c>
      <c r="AC35" s="107" t="e">
        <f t="shared" ca="1" si="25"/>
        <v>#REF!</v>
      </c>
      <c r="AD35" s="107" t="e">
        <f t="array" aca="1" ref="AD35" ca="1">-(VLOOKUP(AC35, LT_IncomeTaxFed/$K35:$O35, 2, TRUE)+VLOOKUP(AC35,LT_IncomeTaxFed/$K35:$O35,3,TRUE)*(AC35-VLOOKUP(AC35,LT_IncomeTaxFed/$K35:$O35,1,TRUE)))</f>
        <v>#REF!</v>
      </c>
      <c r="AE35" s="107" t="e">
        <f t="array" aca="1" ref="AE35" ca="1">-(VLOOKUP($AC35+$X35, LT_IncomeTaxFed/$K35:$O35, 4, TRUE)+VLOOKUP($AC35+$X35,LT_IncomeTaxFed/$K35:$O35,5,TRUE)*($AC35+$X35-VLOOKUP($AC35+$X35,LT_IncomeTaxFed/$K35:$O35,1,TRUE)))+(VLOOKUP($AC35, LT_IncomeTaxFed/$K35:$O35, 4, TRUE)+VLOOKUP($AC35,LT_IncomeTaxFed/$K35:$O35,5,TRUE)*($AC35-VLOOKUP($AC35,LT_IncomeTaxFed/$K35:$O35,1,TRUE)))</f>
        <v>#REF!</v>
      </c>
      <c r="AF35" s="106" t="e">
        <f t="shared" ca="1" si="26"/>
        <v>#REF!</v>
      </c>
      <c r="AG35" s="107" t="e">
        <f t="shared" ca="1" si="27"/>
        <v>#REF!</v>
      </c>
      <c r="AH35" s="91" t="e">
        <f t="array" aca="1" ref="AH35" ca="1">IF(AG35&gt;0,(VLOOKUP(AG35, LT_IncomeTaxFed/$K35:$O35, 2, TRUE)+VLOOKUP(AG35,LT_IncomeTaxFed/$K35:$O35,3,TRUE)*(AG35-VLOOKUP(AG35,LT_IncomeTaxFed/$K35:$O35,1,TRUE)))/AG35,0)</f>
        <v>#REF!</v>
      </c>
      <c r="AI35" s="110" t="e">
        <f t="shared" ca="1" si="28"/>
        <v>#REF!</v>
      </c>
      <c r="AJ35" s="634"/>
      <c r="AK35" s="668"/>
      <c r="AL35" s="1"/>
    </row>
    <row r="36" spans="2:38" x14ac:dyDescent="0.25">
      <c r="B36" s="65">
        <f ca="1">B34+1</f>
        <v>2035</v>
      </c>
      <c r="C36" s="76" t="s">
        <v>741</v>
      </c>
      <c r="D36" s="146" t="str">
        <f t="shared" si="5"/>
        <v/>
      </c>
      <c r="E36" s="77">
        <f t="shared" si="3"/>
        <v>0</v>
      </c>
      <c r="F36" s="77" t="b">
        <f t="shared" si="6"/>
        <v>0</v>
      </c>
      <c r="G36" s="77">
        <f t="shared" si="4"/>
        <v>1</v>
      </c>
      <c r="H36" s="76">
        <f t="shared" si="7"/>
        <v>1</v>
      </c>
      <c r="I36" s="76">
        <f t="shared" si="8"/>
        <v>0</v>
      </c>
      <c r="J36" s="77">
        <f t="shared" si="9"/>
        <v>0</v>
      </c>
      <c r="K36" s="204">
        <f t="shared" ca="1" si="30"/>
        <v>0.61966166556383362</v>
      </c>
      <c r="L36" s="93">
        <f t="shared" ca="1" si="30"/>
        <v>0.61966166556383362</v>
      </c>
      <c r="M36" s="93">
        <v>1</v>
      </c>
      <c r="N36" s="92">
        <f t="shared" ca="1" si="31"/>
        <v>0.61966166556383362</v>
      </c>
      <c r="O36" s="100">
        <v>1</v>
      </c>
      <c r="P36" s="70">
        <f t="shared" ca="1" si="12"/>
        <v>0</v>
      </c>
      <c r="Q36" s="70">
        <f t="shared" ca="1" si="13"/>
        <v>0</v>
      </c>
      <c r="R36" s="70" t="e">
        <f t="shared" ca="1" si="14"/>
        <v>#REF!</v>
      </c>
      <c r="S36" s="70">
        <f t="shared" ca="1" si="15"/>
        <v>0</v>
      </c>
      <c r="T36" s="70">
        <f t="shared" ca="1" si="16"/>
        <v>0</v>
      </c>
      <c r="U36" s="70" t="e">
        <f t="shared" ca="1" si="17"/>
        <v>#REF!</v>
      </c>
      <c r="V36" s="70">
        <f t="shared" ca="1" si="18"/>
        <v>0</v>
      </c>
      <c r="W36" s="70">
        <f t="shared" ca="1" si="19"/>
        <v>0</v>
      </c>
      <c r="X36" s="70">
        <f t="shared" ca="1" si="20"/>
        <v>0</v>
      </c>
      <c r="Y36" s="98">
        <f t="shared" ca="1" si="21"/>
        <v>0</v>
      </c>
      <c r="Z36" s="70">
        <f t="shared" ca="1" si="22"/>
        <v>0</v>
      </c>
      <c r="AA36" s="70">
        <f t="shared" ca="1" si="23"/>
        <v>0</v>
      </c>
      <c r="AB36" s="409" t="e">
        <f t="shared" ca="1" si="24"/>
        <v>#REF!</v>
      </c>
      <c r="AC36" s="70" t="e">
        <f t="shared" ca="1" si="25"/>
        <v>#REF!</v>
      </c>
      <c r="AD36" s="70" t="e">
        <f t="array" aca="1" ref="AD36" ca="1">-(VLOOKUP(AC36, LT_IncomeTaxFed/$K36:$O36, 2, TRUE)+VLOOKUP(AC36,LT_IncomeTaxFed/$K36:$O36,3,TRUE)*(AC36-VLOOKUP(AC36,LT_IncomeTaxFed/$K36:$O36,1,TRUE)))</f>
        <v>#REF!</v>
      </c>
      <c r="AE36" s="70" t="e">
        <f t="array" aca="1" ref="AE36" ca="1">-(VLOOKUP($AC36+$X36, LT_IncomeTaxFed/$K36:$O36, 4, TRUE)+VLOOKUP($AC36+$X36,LT_IncomeTaxFed/$K36:$O36,5,TRUE)*($AC36+$X36-VLOOKUP($AC36+$X36,LT_IncomeTaxFed/$K36:$O36,1,TRUE)))+(VLOOKUP($AC36, LT_IncomeTaxFed/$K36:$O36, 4, TRUE)+VLOOKUP($AC36,LT_IncomeTaxFed/$K36:$O36,5,TRUE)*($AC36-VLOOKUP($AC36,LT_IncomeTaxFed/$K36:$O36,1,TRUE)))</f>
        <v>#REF!</v>
      </c>
      <c r="AF36" s="75" t="e">
        <f t="shared" ca="1" si="26"/>
        <v>#REF!</v>
      </c>
      <c r="AG36" s="70" t="e">
        <f t="shared" ca="1" si="27"/>
        <v>#REF!</v>
      </c>
      <c r="AH36" s="67" t="e">
        <f t="array" aca="1" ref="AH36" ca="1">IF(AG36&gt;0,(VLOOKUP(AG36, LT_IncomeTaxFed/$K36:$O36, 2, TRUE)+VLOOKUP(AG36,LT_IncomeTaxFed/$K36:$O36,3,TRUE)*(AG36-VLOOKUP(AG36,LT_IncomeTaxFed/$K36:$O36,1,TRUE)))/AG36,0)</f>
        <v>#REF!</v>
      </c>
      <c r="AI36" s="109" t="e">
        <f t="shared" ca="1" si="28"/>
        <v>#REF!</v>
      </c>
      <c r="AJ36" s="634" t="e">
        <f ca="1">SUMPRODUCT($Z36:$Z37+$AA36:$AA37+$AD36:$AD37+$AE36:$AE37+$AI36:$AI37)</f>
        <v>#REF!</v>
      </c>
      <c r="AK36" s="668" t="e">
        <f t="shared" ref="AK36" ca="1" si="44">IF($U36&gt;0, -AJ36/$U36, 0)</f>
        <v>#REF!</v>
      </c>
      <c r="AL36" s="1"/>
    </row>
    <row r="37" spans="2:38" x14ac:dyDescent="0.25">
      <c r="B37" s="86">
        <f t="shared" ca="1" si="29"/>
        <v>2035</v>
      </c>
      <c r="C37" s="80" t="s">
        <v>741</v>
      </c>
      <c r="D37" s="147" t="str">
        <f t="shared" si="5"/>
        <v/>
      </c>
      <c r="E37" s="81">
        <f t="shared" si="3"/>
        <v>0</v>
      </c>
      <c r="F37" s="81" t="b">
        <f t="shared" si="6"/>
        <v>0</v>
      </c>
      <c r="G37" s="81">
        <f t="shared" si="4"/>
        <v>2</v>
      </c>
      <c r="H37" s="82">
        <f t="shared" si="7"/>
        <v>-1</v>
      </c>
      <c r="I37" s="82">
        <f t="shared" si="8"/>
        <v>0</v>
      </c>
      <c r="J37" s="81">
        <f t="shared" si="9"/>
        <v>0</v>
      </c>
      <c r="K37" s="205">
        <f t="shared" ca="1" si="30"/>
        <v>0.61966166556383362</v>
      </c>
      <c r="L37" s="95">
        <f t="shared" ca="1" si="30"/>
        <v>0.61966166556383362</v>
      </c>
      <c r="M37" s="95">
        <v>1</v>
      </c>
      <c r="N37" s="94">
        <f t="shared" ca="1" si="31"/>
        <v>0.61966166556383362</v>
      </c>
      <c r="O37" s="206">
        <v>1</v>
      </c>
      <c r="P37" s="107">
        <f t="shared" ca="1" si="12"/>
        <v>0</v>
      </c>
      <c r="Q37" s="107">
        <f t="shared" ca="1" si="13"/>
        <v>0</v>
      </c>
      <c r="R37" s="107">
        <f t="shared" si="14"/>
        <v>0</v>
      </c>
      <c r="S37" s="107">
        <f t="shared" ca="1" si="15"/>
        <v>0</v>
      </c>
      <c r="T37" s="107">
        <f t="shared" ca="1" si="16"/>
        <v>0</v>
      </c>
      <c r="U37" s="107">
        <f t="shared" ca="1" si="17"/>
        <v>0</v>
      </c>
      <c r="V37" s="107">
        <f t="shared" ca="1" si="18"/>
        <v>0</v>
      </c>
      <c r="W37" s="107">
        <f t="shared" ca="1" si="19"/>
        <v>0</v>
      </c>
      <c r="X37" s="107">
        <f t="shared" ca="1" si="20"/>
        <v>0</v>
      </c>
      <c r="Y37" s="101">
        <f t="shared" ca="1" si="21"/>
        <v>0</v>
      </c>
      <c r="Z37" s="107">
        <f t="shared" ca="1" si="22"/>
        <v>0</v>
      </c>
      <c r="AA37" s="107">
        <f t="shared" ca="1" si="23"/>
        <v>0</v>
      </c>
      <c r="AB37" s="106" t="e">
        <f t="shared" ca="1" si="24"/>
        <v>#REF!</v>
      </c>
      <c r="AC37" s="107" t="e">
        <f t="shared" ca="1" si="25"/>
        <v>#REF!</v>
      </c>
      <c r="AD37" s="107" t="e">
        <f t="array" aca="1" ref="AD37" ca="1">-(VLOOKUP(AC37, LT_IncomeTaxFed/$K37:$O37, 2, TRUE)+VLOOKUP(AC37,LT_IncomeTaxFed/$K37:$O37,3,TRUE)*(AC37-VLOOKUP(AC37,LT_IncomeTaxFed/$K37:$O37,1,TRUE)))</f>
        <v>#REF!</v>
      </c>
      <c r="AE37" s="107" t="e">
        <f t="array" aca="1" ref="AE37" ca="1">-(VLOOKUP($AC37+$X37, LT_IncomeTaxFed/$K37:$O37, 4, TRUE)+VLOOKUP($AC37+$X37,LT_IncomeTaxFed/$K37:$O37,5,TRUE)*($AC37+$X37-VLOOKUP($AC37+$X37,LT_IncomeTaxFed/$K37:$O37,1,TRUE)))+(VLOOKUP($AC37, LT_IncomeTaxFed/$K37:$O37, 4, TRUE)+VLOOKUP($AC37,LT_IncomeTaxFed/$K37:$O37,5,TRUE)*($AC37-VLOOKUP($AC37,LT_IncomeTaxFed/$K37:$O37,1,TRUE)))</f>
        <v>#REF!</v>
      </c>
      <c r="AF37" s="106" t="e">
        <f t="shared" ca="1" si="26"/>
        <v>#REF!</v>
      </c>
      <c r="AG37" s="107" t="e">
        <f t="shared" ca="1" si="27"/>
        <v>#REF!</v>
      </c>
      <c r="AH37" s="91" t="e">
        <f t="array" aca="1" ref="AH37" ca="1">IF(AG37&gt;0,(VLOOKUP(AG37, LT_IncomeTaxFed/$K37:$O37, 2, TRUE)+VLOOKUP(AG37,LT_IncomeTaxFed/$K37:$O37,3,TRUE)*(AG37-VLOOKUP(AG37,LT_IncomeTaxFed/$K37:$O37,1,TRUE)))/AG37,0)</f>
        <v>#REF!</v>
      </c>
      <c r="AI37" s="110" t="e">
        <f t="shared" ca="1" si="28"/>
        <v>#REF!</v>
      </c>
      <c r="AJ37" s="634"/>
      <c r="AK37" s="668"/>
      <c r="AL37" s="1"/>
    </row>
    <row r="38" spans="2:38" x14ac:dyDescent="0.25">
      <c r="B38" s="65">
        <f ca="1">B36+1</f>
        <v>2036</v>
      </c>
      <c r="C38" s="76" t="s">
        <v>741</v>
      </c>
      <c r="D38" s="146" t="str">
        <f t="shared" si="5"/>
        <v/>
      </c>
      <c r="E38" s="77">
        <f t="shared" si="3"/>
        <v>0</v>
      </c>
      <c r="F38" s="77" t="b">
        <f t="shared" si="6"/>
        <v>0</v>
      </c>
      <c r="G38" s="77">
        <f t="shared" si="4"/>
        <v>1</v>
      </c>
      <c r="H38" s="76">
        <f t="shared" si="7"/>
        <v>1</v>
      </c>
      <c r="I38" s="76">
        <f t="shared" si="8"/>
        <v>0</v>
      </c>
      <c r="J38" s="77">
        <f t="shared" si="9"/>
        <v>0</v>
      </c>
      <c r="K38" s="204">
        <f t="shared" ca="1" si="30"/>
        <v>0.59726425596514077</v>
      </c>
      <c r="L38" s="93">
        <f t="shared" ca="1" si="30"/>
        <v>0.59726425596514077</v>
      </c>
      <c r="M38" s="93">
        <v>1</v>
      </c>
      <c r="N38" s="92">
        <f t="shared" ca="1" si="31"/>
        <v>0.59726425596514077</v>
      </c>
      <c r="O38" s="100">
        <v>1</v>
      </c>
      <c r="P38" s="70">
        <f t="shared" ca="1" si="12"/>
        <v>0</v>
      </c>
      <c r="Q38" s="70">
        <f t="shared" ca="1" si="13"/>
        <v>0</v>
      </c>
      <c r="R38" s="70" t="e">
        <f t="shared" ca="1" si="14"/>
        <v>#REF!</v>
      </c>
      <c r="S38" s="70">
        <f t="shared" ca="1" si="15"/>
        <v>0</v>
      </c>
      <c r="T38" s="70">
        <f t="shared" ca="1" si="16"/>
        <v>0</v>
      </c>
      <c r="U38" s="70" t="e">
        <f t="shared" ca="1" si="17"/>
        <v>#REF!</v>
      </c>
      <c r="V38" s="70">
        <f t="shared" ca="1" si="18"/>
        <v>0</v>
      </c>
      <c r="W38" s="70">
        <f t="shared" ca="1" si="19"/>
        <v>0</v>
      </c>
      <c r="X38" s="70">
        <f t="shared" ca="1" si="20"/>
        <v>0</v>
      </c>
      <c r="Y38" s="98">
        <f t="shared" ca="1" si="21"/>
        <v>0</v>
      </c>
      <c r="Z38" s="70">
        <f t="shared" ca="1" si="22"/>
        <v>0</v>
      </c>
      <c r="AA38" s="70">
        <f t="shared" ca="1" si="23"/>
        <v>0</v>
      </c>
      <c r="AB38" s="409" t="e">
        <f t="shared" ca="1" si="24"/>
        <v>#REF!</v>
      </c>
      <c r="AC38" s="70" t="e">
        <f t="shared" ca="1" si="25"/>
        <v>#REF!</v>
      </c>
      <c r="AD38" s="70" t="e">
        <f t="array" aca="1" ref="AD38" ca="1">-(VLOOKUP(AC38, LT_IncomeTaxFed/$K38:$O38, 2, TRUE)+VLOOKUP(AC38,LT_IncomeTaxFed/$K38:$O38,3,TRUE)*(AC38-VLOOKUP(AC38,LT_IncomeTaxFed/$K38:$O38,1,TRUE)))</f>
        <v>#REF!</v>
      </c>
      <c r="AE38" s="70" t="e">
        <f t="array" aca="1" ref="AE38" ca="1">-(VLOOKUP($AC38+$X38, LT_IncomeTaxFed/$K38:$O38, 4, TRUE)+VLOOKUP($AC38+$X38,LT_IncomeTaxFed/$K38:$O38,5,TRUE)*($AC38+$X38-VLOOKUP($AC38+$X38,LT_IncomeTaxFed/$K38:$O38,1,TRUE)))+(VLOOKUP($AC38, LT_IncomeTaxFed/$K38:$O38, 4, TRUE)+VLOOKUP($AC38,LT_IncomeTaxFed/$K38:$O38,5,TRUE)*($AC38-VLOOKUP($AC38,LT_IncomeTaxFed/$K38:$O38,1,TRUE)))</f>
        <v>#REF!</v>
      </c>
      <c r="AF38" s="75" t="e">
        <f t="shared" ca="1" si="26"/>
        <v>#REF!</v>
      </c>
      <c r="AG38" s="70" t="e">
        <f t="shared" ca="1" si="27"/>
        <v>#REF!</v>
      </c>
      <c r="AH38" s="67" t="e">
        <f t="array" aca="1" ref="AH38" ca="1">IF(AG38&gt;0,(VLOOKUP(AG38, LT_IncomeTaxFed/$K38:$O38, 2, TRUE)+VLOOKUP(AG38,LT_IncomeTaxFed/$K38:$O38,3,TRUE)*(AG38-VLOOKUP(AG38,LT_IncomeTaxFed/$K38:$O38,1,TRUE)))/AG38,0)</f>
        <v>#REF!</v>
      </c>
      <c r="AI38" s="109" t="e">
        <f t="shared" ca="1" si="28"/>
        <v>#REF!</v>
      </c>
      <c r="AJ38" s="634" t="e">
        <f ca="1">SUMPRODUCT($Z38:$Z39+$AA38:$AA39+$AD38:$AD39+$AE38:$AE39+$AI38:$AI39)</f>
        <v>#REF!</v>
      </c>
      <c r="AK38" s="668" t="e">
        <f t="shared" ref="AK38" ca="1" si="45">IF($U38&gt;0, -AJ38/$U38, 0)</f>
        <v>#REF!</v>
      </c>
      <c r="AL38" s="1"/>
    </row>
    <row r="39" spans="2:38" x14ac:dyDescent="0.25">
      <c r="B39" s="86">
        <f t="shared" ca="1" si="29"/>
        <v>2036</v>
      </c>
      <c r="C39" s="80" t="s">
        <v>741</v>
      </c>
      <c r="D39" s="147" t="str">
        <f t="shared" si="5"/>
        <v/>
      </c>
      <c r="E39" s="81">
        <f t="shared" si="3"/>
        <v>0</v>
      </c>
      <c r="F39" s="81" t="b">
        <f t="shared" si="6"/>
        <v>0</v>
      </c>
      <c r="G39" s="81">
        <f t="shared" si="4"/>
        <v>2</v>
      </c>
      <c r="H39" s="82">
        <f t="shared" si="7"/>
        <v>-1</v>
      </c>
      <c r="I39" s="82">
        <f t="shared" si="8"/>
        <v>0</v>
      </c>
      <c r="J39" s="81">
        <f t="shared" si="9"/>
        <v>0</v>
      </c>
      <c r="K39" s="205">
        <f t="shared" ca="1" si="30"/>
        <v>0.59726425596514077</v>
      </c>
      <c r="L39" s="95">
        <f t="shared" ca="1" si="30"/>
        <v>0.59726425596514077</v>
      </c>
      <c r="M39" s="95">
        <v>1</v>
      </c>
      <c r="N39" s="94">
        <f t="shared" ca="1" si="31"/>
        <v>0.59726425596514077</v>
      </c>
      <c r="O39" s="206">
        <v>1</v>
      </c>
      <c r="P39" s="107">
        <f t="shared" ca="1" si="12"/>
        <v>0</v>
      </c>
      <c r="Q39" s="107">
        <f t="shared" ca="1" si="13"/>
        <v>0</v>
      </c>
      <c r="R39" s="107">
        <f t="shared" si="14"/>
        <v>0</v>
      </c>
      <c r="S39" s="107">
        <f t="shared" ca="1" si="15"/>
        <v>0</v>
      </c>
      <c r="T39" s="107">
        <f t="shared" ca="1" si="16"/>
        <v>0</v>
      </c>
      <c r="U39" s="107">
        <f t="shared" ca="1" si="17"/>
        <v>0</v>
      </c>
      <c r="V39" s="107">
        <f t="shared" ca="1" si="18"/>
        <v>0</v>
      </c>
      <c r="W39" s="107">
        <f t="shared" ca="1" si="19"/>
        <v>0</v>
      </c>
      <c r="X39" s="107">
        <f t="shared" ca="1" si="20"/>
        <v>0</v>
      </c>
      <c r="Y39" s="101">
        <f t="shared" ca="1" si="21"/>
        <v>0</v>
      </c>
      <c r="Z39" s="107">
        <f t="shared" ca="1" si="22"/>
        <v>0</v>
      </c>
      <c r="AA39" s="107">
        <f t="shared" ca="1" si="23"/>
        <v>0</v>
      </c>
      <c r="AB39" s="106" t="e">
        <f t="shared" ca="1" si="24"/>
        <v>#REF!</v>
      </c>
      <c r="AC39" s="107" t="e">
        <f t="shared" ca="1" si="25"/>
        <v>#REF!</v>
      </c>
      <c r="AD39" s="107" t="e">
        <f t="array" aca="1" ref="AD39" ca="1">-(VLOOKUP(AC39, LT_IncomeTaxFed/$K39:$O39, 2, TRUE)+VLOOKUP(AC39,LT_IncomeTaxFed/$K39:$O39,3,TRUE)*(AC39-VLOOKUP(AC39,LT_IncomeTaxFed/$K39:$O39,1,TRUE)))</f>
        <v>#REF!</v>
      </c>
      <c r="AE39" s="107" t="e">
        <f t="array" aca="1" ref="AE39" ca="1">-(VLOOKUP($AC39+$X39, LT_IncomeTaxFed/$K39:$O39, 4, TRUE)+VLOOKUP($AC39+$X39,LT_IncomeTaxFed/$K39:$O39,5,TRUE)*($AC39+$X39-VLOOKUP($AC39+$X39,LT_IncomeTaxFed/$K39:$O39,1,TRUE)))+(VLOOKUP($AC39, LT_IncomeTaxFed/$K39:$O39, 4, TRUE)+VLOOKUP($AC39,LT_IncomeTaxFed/$K39:$O39,5,TRUE)*($AC39-VLOOKUP($AC39,LT_IncomeTaxFed/$K39:$O39,1,TRUE)))</f>
        <v>#REF!</v>
      </c>
      <c r="AF39" s="106" t="e">
        <f t="shared" ca="1" si="26"/>
        <v>#REF!</v>
      </c>
      <c r="AG39" s="107" t="e">
        <f t="shared" ca="1" si="27"/>
        <v>#REF!</v>
      </c>
      <c r="AH39" s="91" t="e">
        <f t="array" aca="1" ref="AH39" ca="1">IF(AG39&gt;0,(VLOOKUP(AG39, LT_IncomeTaxFed/$K39:$O39, 2, TRUE)+VLOOKUP(AG39,LT_IncomeTaxFed/$K39:$O39,3,TRUE)*(AG39-VLOOKUP(AG39,LT_IncomeTaxFed/$K39:$O39,1,TRUE)))/AG39,0)</f>
        <v>#REF!</v>
      </c>
      <c r="AI39" s="110" t="e">
        <f t="shared" ca="1" si="28"/>
        <v>#REF!</v>
      </c>
      <c r="AJ39" s="634"/>
      <c r="AK39" s="668"/>
      <c r="AL39" s="1"/>
    </row>
    <row r="40" spans="2:38" x14ac:dyDescent="0.25">
      <c r="B40" s="65">
        <f ca="1">B38+1</f>
        <v>2037</v>
      </c>
      <c r="C40" s="76" t="s">
        <v>741</v>
      </c>
      <c r="D40" s="146" t="str">
        <f t="shared" si="5"/>
        <v/>
      </c>
      <c r="E40" s="77">
        <f t="shared" ref="E40:E71" si="46">INDEX(SC_TaxIndex,$G40)</f>
        <v>0</v>
      </c>
      <c r="F40" s="77" t="b">
        <f t="shared" si="6"/>
        <v>0</v>
      </c>
      <c r="G40" s="77">
        <f t="shared" si="4"/>
        <v>1</v>
      </c>
      <c r="H40" s="76">
        <f t="shared" si="7"/>
        <v>1</v>
      </c>
      <c r="I40" s="76">
        <f t="shared" si="8"/>
        <v>0</v>
      </c>
      <c r="J40" s="77">
        <f t="shared" si="9"/>
        <v>0</v>
      </c>
      <c r="K40" s="204">
        <f t="shared" ca="1" si="30"/>
        <v>0.57567639129170189</v>
      </c>
      <c r="L40" s="93">
        <f t="shared" ca="1" si="30"/>
        <v>0.57567639129170189</v>
      </c>
      <c r="M40" s="93">
        <v>1</v>
      </c>
      <c r="N40" s="92">
        <f t="shared" ca="1" si="31"/>
        <v>0.57567639129170189</v>
      </c>
      <c r="O40" s="100">
        <v>1</v>
      </c>
      <c r="P40" s="70">
        <f t="shared" ca="1" si="12"/>
        <v>0</v>
      </c>
      <c r="Q40" s="70">
        <f t="shared" ca="1" si="13"/>
        <v>0</v>
      </c>
      <c r="R40" s="70" t="e">
        <f t="shared" ca="1" si="14"/>
        <v>#REF!</v>
      </c>
      <c r="S40" s="70">
        <f t="shared" ca="1" si="15"/>
        <v>0</v>
      </c>
      <c r="T40" s="70">
        <f t="shared" ca="1" si="16"/>
        <v>0</v>
      </c>
      <c r="U40" s="70" t="e">
        <f t="shared" ca="1" si="17"/>
        <v>#REF!</v>
      </c>
      <c r="V40" s="70">
        <f t="shared" ca="1" si="18"/>
        <v>0</v>
      </c>
      <c r="W40" s="70">
        <f t="shared" ca="1" si="19"/>
        <v>0</v>
      </c>
      <c r="X40" s="70">
        <f t="shared" ca="1" si="20"/>
        <v>0</v>
      </c>
      <c r="Y40" s="98">
        <f t="shared" ca="1" si="21"/>
        <v>0</v>
      </c>
      <c r="Z40" s="70">
        <f t="shared" ca="1" si="22"/>
        <v>0</v>
      </c>
      <c r="AA40" s="70">
        <f t="shared" ca="1" si="23"/>
        <v>0</v>
      </c>
      <c r="AB40" s="409" t="e">
        <f t="shared" ca="1" si="24"/>
        <v>#REF!</v>
      </c>
      <c r="AC40" s="70" t="e">
        <f t="shared" ca="1" si="25"/>
        <v>#REF!</v>
      </c>
      <c r="AD40" s="70" t="e">
        <f t="array" aca="1" ref="AD40" ca="1">-(VLOOKUP(AC40, LT_IncomeTaxFed/$K40:$O40, 2, TRUE)+VLOOKUP(AC40,LT_IncomeTaxFed/$K40:$O40,3,TRUE)*(AC40-VLOOKUP(AC40,LT_IncomeTaxFed/$K40:$O40,1,TRUE)))</f>
        <v>#REF!</v>
      </c>
      <c r="AE40" s="70" t="e">
        <f t="array" aca="1" ref="AE40" ca="1">-(VLOOKUP($AC40+$X40, LT_IncomeTaxFed/$K40:$O40, 4, TRUE)+VLOOKUP($AC40+$X40,LT_IncomeTaxFed/$K40:$O40,5,TRUE)*($AC40+$X40-VLOOKUP($AC40+$X40,LT_IncomeTaxFed/$K40:$O40,1,TRUE)))+(VLOOKUP($AC40, LT_IncomeTaxFed/$K40:$O40, 4, TRUE)+VLOOKUP($AC40,LT_IncomeTaxFed/$K40:$O40,5,TRUE)*($AC40-VLOOKUP($AC40,LT_IncomeTaxFed/$K40:$O40,1,TRUE)))</f>
        <v>#REF!</v>
      </c>
      <c r="AF40" s="75" t="e">
        <f t="shared" ca="1" si="26"/>
        <v>#REF!</v>
      </c>
      <c r="AG40" s="70" t="e">
        <f t="shared" ca="1" si="27"/>
        <v>#REF!</v>
      </c>
      <c r="AH40" s="67" t="e">
        <f t="array" aca="1" ref="AH40" ca="1">IF(AG40&gt;0,(VLOOKUP(AG40, LT_IncomeTaxFed/$K40:$O40, 2, TRUE)+VLOOKUP(AG40,LT_IncomeTaxFed/$K40:$O40,3,TRUE)*(AG40-VLOOKUP(AG40,LT_IncomeTaxFed/$K40:$O40,1,TRUE)))/AG40,0)</f>
        <v>#REF!</v>
      </c>
      <c r="AI40" s="109" t="e">
        <f t="shared" ca="1" si="28"/>
        <v>#REF!</v>
      </c>
      <c r="AJ40" s="634" t="e">
        <f ca="1">SUMPRODUCT($Z40:$Z41+$AA40:$AA41+$AD40:$AD41+$AE40:$AE41+$AI40:$AI41)</f>
        <v>#REF!</v>
      </c>
      <c r="AK40" s="668" t="e">
        <f t="shared" ref="AK40" ca="1" si="47">IF($U40&gt;0, -AJ40/$U40, 0)</f>
        <v>#REF!</v>
      </c>
      <c r="AL40" s="1"/>
    </row>
    <row r="41" spans="2:38" x14ac:dyDescent="0.25">
      <c r="B41" s="86">
        <f t="shared" ca="1" si="29"/>
        <v>2037</v>
      </c>
      <c r="C41" s="80" t="s">
        <v>741</v>
      </c>
      <c r="D41" s="147" t="str">
        <f t="shared" si="5"/>
        <v/>
      </c>
      <c r="E41" s="81">
        <f t="shared" si="46"/>
        <v>0</v>
      </c>
      <c r="F41" s="81" t="b">
        <f t="shared" si="6"/>
        <v>0</v>
      </c>
      <c r="G41" s="81">
        <f t="shared" si="4"/>
        <v>2</v>
      </c>
      <c r="H41" s="82">
        <f t="shared" si="7"/>
        <v>-1</v>
      </c>
      <c r="I41" s="82">
        <f t="shared" si="8"/>
        <v>0</v>
      </c>
      <c r="J41" s="81">
        <f t="shared" si="9"/>
        <v>0</v>
      </c>
      <c r="K41" s="205">
        <f t="shared" ca="1" si="30"/>
        <v>0.57567639129170189</v>
      </c>
      <c r="L41" s="95">
        <f t="shared" ca="1" si="30"/>
        <v>0.57567639129170189</v>
      </c>
      <c r="M41" s="95">
        <v>1</v>
      </c>
      <c r="N41" s="94">
        <f t="shared" ca="1" si="31"/>
        <v>0.57567639129170189</v>
      </c>
      <c r="O41" s="206">
        <v>1</v>
      </c>
      <c r="P41" s="107">
        <f t="shared" ca="1" si="12"/>
        <v>0</v>
      </c>
      <c r="Q41" s="107">
        <f t="shared" ca="1" si="13"/>
        <v>0</v>
      </c>
      <c r="R41" s="107">
        <f t="shared" si="14"/>
        <v>0</v>
      </c>
      <c r="S41" s="107">
        <f t="shared" ca="1" si="15"/>
        <v>0</v>
      </c>
      <c r="T41" s="107">
        <f t="shared" ca="1" si="16"/>
        <v>0</v>
      </c>
      <c r="U41" s="107">
        <f t="shared" ca="1" si="17"/>
        <v>0</v>
      </c>
      <c r="V41" s="107">
        <f t="shared" ca="1" si="18"/>
        <v>0</v>
      </c>
      <c r="W41" s="107">
        <f t="shared" ca="1" si="19"/>
        <v>0</v>
      </c>
      <c r="X41" s="107">
        <f t="shared" ca="1" si="20"/>
        <v>0</v>
      </c>
      <c r="Y41" s="101">
        <f t="shared" ca="1" si="21"/>
        <v>0</v>
      </c>
      <c r="Z41" s="107">
        <f t="shared" ca="1" si="22"/>
        <v>0</v>
      </c>
      <c r="AA41" s="107">
        <f t="shared" ca="1" si="23"/>
        <v>0</v>
      </c>
      <c r="AB41" s="106" t="e">
        <f t="shared" ca="1" si="24"/>
        <v>#REF!</v>
      </c>
      <c r="AC41" s="107" t="e">
        <f t="shared" ca="1" si="25"/>
        <v>#REF!</v>
      </c>
      <c r="AD41" s="107" t="e">
        <f t="array" aca="1" ref="AD41" ca="1">-(VLOOKUP(AC41, LT_IncomeTaxFed/$K41:$O41, 2, TRUE)+VLOOKUP(AC41,LT_IncomeTaxFed/$K41:$O41,3,TRUE)*(AC41-VLOOKUP(AC41,LT_IncomeTaxFed/$K41:$O41,1,TRUE)))</f>
        <v>#REF!</v>
      </c>
      <c r="AE41" s="107" t="e">
        <f t="array" aca="1" ref="AE41" ca="1">-(VLOOKUP($AC41+$X41, LT_IncomeTaxFed/$K41:$O41, 4, TRUE)+VLOOKUP($AC41+$X41,LT_IncomeTaxFed/$K41:$O41,5,TRUE)*($AC41+$X41-VLOOKUP($AC41+$X41,LT_IncomeTaxFed/$K41:$O41,1,TRUE)))+(VLOOKUP($AC41, LT_IncomeTaxFed/$K41:$O41, 4, TRUE)+VLOOKUP($AC41,LT_IncomeTaxFed/$K41:$O41,5,TRUE)*($AC41-VLOOKUP($AC41,LT_IncomeTaxFed/$K41:$O41,1,TRUE)))</f>
        <v>#REF!</v>
      </c>
      <c r="AF41" s="106" t="e">
        <f t="shared" ca="1" si="26"/>
        <v>#REF!</v>
      </c>
      <c r="AG41" s="107" t="e">
        <f t="shared" ca="1" si="27"/>
        <v>#REF!</v>
      </c>
      <c r="AH41" s="91" t="e">
        <f t="array" aca="1" ref="AH41" ca="1">IF(AG41&gt;0,(VLOOKUP(AG41, LT_IncomeTaxFed/$K41:$O41, 2, TRUE)+VLOOKUP(AG41,LT_IncomeTaxFed/$K41:$O41,3,TRUE)*(AG41-VLOOKUP(AG41,LT_IncomeTaxFed/$K41:$O41,1,TRUE)))/AG41,0)</f>
        <v>#REF!</v>
      </c>
      <c r="AI41" s="110" t="e">
        <f t="shared" ca="1" si="28"/>
        <v>#REF!</v>
      </c>
      <c r="AJ41" s="634"/>
      <c r="AK41" s="668"/>
      <c r="AL41" s="1"/>
    </row>
    <row r="42" spans="2:38" x14ac:dyDescent="0.25">
      <c r="B42" s="65">
        <f ca="1">B40+1</f>
        <v>2038</v>
      </c>
      <c r="C42" s="76" t="s">
        <v>741</v>
      </c>
      <c r="D42" s="146" t="str">
        <f t="shared" ref="D42:D73" si="48">INDEX(SP_Initials,G42)</f>
        <v/>
      </c>
      <c r="E42" s="77">
        <f t="shared" si="46"/>
        <v>0</v>
      </c>
      <c r="F42" s="77" t="b">
        <f t="shared" ref="F42:F73" si="49">G42=E42</f>
        <v>0</v>
      </c>
      <c r="G42" s="77">
        <f t="shared" si="4"/>
        <v>1</v>
      </c>
      <c r="H42" s="76">
        <f t="shared" ref="H42:H73" si="50">MOD($G42,2)-($G42-1)</f>
        <v>1</v>
      </c>
      <c r="I42" s="76">
        <f t="shared" ref="I42:I73" si="51">IF(INDEX(SC_ShowRetireatee,$G42),IF($B42&lt;YEAR(INDEX(SP_BirthDate,$G42)),0,$B42-YEAR(INDEX(SP_BirthDate,$G42))),0)</f>
        <v>0</v>
      </c>
      <c r="J42" s="77">
        <f t="shared" ref="J42:J73" si="52">IF(INDEX(SC_ShowRetireatee,$G42),IF($B42&lt;YEAR(INDEX(SP_BirthDate,$G42)),0,IF($B42&gt;(YEAR(INDEX(SP_BirthDate,$G42))+INDEX(SP_LifeExp,$G42)),0,$B42-YEAR(INDEX(SP_BirthDate,$G42)))),0)</f>
        <v>0</v>
      </c>
      <c r="K42" s="204">
        <f t="shared" ca="1" si="30"/>
        <v>0.5548688108835681</v>
      </c>
      <c r="L42" s="93">
        <f t="shared" ca="1" si="30"/>
        <v>0.5548688108835681</v>
      </c>
      <c r="M42" s="93">
        <v>1</v>
      </c>
      <c r="N42" s="92">
        <f t="shared" ca="1" si="31"/>
        <v>0.5548688108835681</v>
      </c>
      <c r="O42" s="100">
        <v>1</v>
      </c>
      <c r="P42" s="70">
        <f t="shared" ref="P42:P73" ca="1" si="53">SUMIF($E$8:$E$9,$G42,OFFSET(SC_EX_IncomeActiveT,EXIDX1-1,0,2,1))+SUMIF($E$8:$E$9,$G42,OFFSET(SC_EX_IncomePassiveT,EXIDX1-1,0,2,1))</f>
        <v>0</v>
      </c>
      <c r="Q42" s="70">
        <f t="shared" ref="Q42:Q73" ca="1" si="54">SUMIF($E$8:$E$9,$G42,OFFSET(SC_ZX_IncomeCapitalT,ZXIDX1-1,0,2,1))</f>
        <v>0</v>
      </c>
      <c r="R42" s="70" t="e">
        <f t="shared" ref="R42:R73" ca="1" si="55">IF($G42=1,INDEX(SC_ZA_IncomeAnnyT,ZAIDX),0)</f>
        <v>#REF!</v>
      </c>
      <c r="S42" s="70">
        <f t="shared" ref="S42:S73" ca="1" si="56">SUMIF($E$8:$E$9,$G42,OFFSET(SC_ZX_SSRIB,ZXIDX1-1,0,2,1))</f>
        <v>0</v>
      </c>
      <c r="T42" s="70">
        <f t="shared" ref="T42:T73" ca="1" si="57">SUMIF($E$8:$E$9,$G42,OFFSET(SC_ZX_IRAContribD,ZXIDX1-1,0,2,1))</f>
        <v>0</v>
      </c>
      <c r="U42" s="70" t="e">
        <f t="shared" ref="U42:U73" ca="1" si="58">MAX(SUM($P42:$T42),0)</f>
        <v>#REF!</v>
      </c>
      <c r="V42" s="70">
        <f t="shared" ref="V42:V73" ca="1" si="59">P42+Q42+$S42/2</f>
        <v>0</v>
      </c>
      <c r="W42" s="70">
        <f t="shared" ref="W42:W73" ca="1" si="60">MIN(VLOOKUP($V42, LT_SSBases, 2, TRUE)+VLOOKUP($V42,LT_SSBases,3,TRUE)*($V42-VLOOKUP($V42,LT_SSBases,1,TRUE)),$S42*0.85)</f>
        <v>0</v>
      </c>
      <c r="X42" s="70">
        <f t="shared" ref="X42:X73" ca="1" si="61">SUMIF($E$8:$E$9,$G42,OFFSET(SC_ZX_LTCapitalGains,ZXIDX1-1,0,2,1))</f>
        <v>0</v>
      </c>
      <c r="Y42" s="98">
        <f t="shared" ref="Y42:Y73" ca="1" si="62">COUNTIF(SC_TaxIndex,$G42)+SUMIF(SC_TaxIndex,$G42,SP_Dependents)</f>
        <v>0</v>
      </c>
      <c r="Z42" s="70">
        <f t="shared" ref="Z42:Z73" ca="1" si="63">-LT_SSRate*SUMIF($E$8:$E$9,$G42,OFFSET(SC_EX_SSWages,EXIDX1-1,0,2,1))-LT_MedicareRate*SUMIF($E$8:$E$9,$G42,OFFSET(SC_EX_MedicareWages,EXIDX1-1,0,2,1))</f>
        <v>0</v>
      </c>
      <c r="AA42" s="70">
        <f t="shared" ref="AA42:AA73" ca="1" si="64">-LT_SSRate*2*SUMIF($E$8:$E$9,$G42,OFFSET(SC_EX_SSWagesSE,EXIDX1-1,0,2,1))-LT_MedicareRate*2*SUMIF($E$8:$E$9,$G42,OFFSET(SC_EX_MedicareWagesSE,EXIDX1-1,0,2,1))</f>
        <v>0</v>
      </c>
      <c r="AB42" s="409" t="e">
        <f t="shared" ref="AB42:AB73" ca="1" si="65">SUMIF($E$8:$E$9,$G42,OFFSET(SC_ExpensesLivingPF,0,1-ROUND(ABS(INDEX(SC_EX_APW,EXIDX)),0),2,1))/INDEX(SC_EA_InflationCPIdx,EAIDX)*12+MIN(SUMIF($E$8:$E$9,$G42,OFFSET(SC_ExpensesLivingD,0,1-ROUND(ABS(INDEX(SC_EX_APW,EXIDX)),0),2,1))/INDEX(SC_EA_InflationCPIdx,EAIDX)*12+SUMIF(SC_TaxIndex,$G42,OFFSET(SC_ZA_ExpensesHomeD, ZAIDX-1, 0))+$AI42,-LT_StandardDeduction/$K42)</f>
        <v>#REF!</v>
      </c>
      <c r="AC42" s="70" t="e">
        <f t="shared" ref="AC42:AC73" ca="1" si="66">MAX($P42+$Q42+$R42+$T42+$W42-$X42-$Y42*LT_PersonalExemptAmt/$K42+$AA42/2+$AB42,0)</f>
        <v>#REF!</v>
      </c>
      <c r="AD42" s="70" t="e">
        <f t="array" aca="1" ref="AD42" ca="1">-(VLOOKUP(AC42, LT_IncomeTaxFed/$K42:$O42, 2, TRUE)+VLOOKUP(AC42,LT_IncomeTaxFed/$K42:$O42,3,TRUE)*(AC42-VLOOKUP(AC42,LT_IncomeTaxFed/$K42:$O42,1,TRUE)))</f>
        <v>#REF!</v>
      </c>
      <c r="AE42" s="70" t="e">
        <f t="array" aca="1" ref="AE42" ca="1">-(VLOOKUP($AC42+$X42, LT_IncomeTaxFed/$K42:$O42, 4, TRUE)+VLOOKUP($AC42+$X42,LT_IncomeTaxFed/$K42:$O42,5,TRUE)*($AC42+$X42-VLOOKUP($AC42+$X42,LT_IncomeTaxFed/$K42:$O42,1,TRUE)))+(VLOOKUP($AC42, LT_IncomeTaxFed/$K42:$O42, 4, TRUE)+VLOOKUP($AC42,LT_IncomeTaxFed/$K42:$O42,5,TRUE)*($AC42-VLOOKUP($AC42,LT_IncomeTaxFed/$K42:$O42,1,TRUE)))</f>
        <v>#REF!</v>
      </c>
      <c r="AF42" s="75" t="e">
        <f t="shared" ref="AF42:AF73" ca="1" si="67">SUMIF($E$8:$E$9,$G42,OFFSET(SC_ExpensesLivingPF,0,1-ROUND(ABS(INDEX(SC_EX_APW,EXIDX)),0),2,1))/INDEX(SC_EA_InflationCPIdx,EAIDX)*12+MIN(SUMIF($E$8:$E$9,$G42,OFFSET(SC_ExpensesLivingD,0,1-ROUND(ABS(INDEX(SC_EX_APW,EXIDX)),0),2,1))/INDEX(SC_EA_InflationCPIdx,EAIDX)*12+SUMIF(SC_TaxIndex,$G42,OFFSET(SC_ZA_ExpensesHomeD, ZAIDX-1, 0)),-LT_StandardDeduction/$K42)</f>
        <v>#REF!</v>
      </c>
      <c r="AG42" s="70" t="e">
        <f t="shared" ref="AG42:AG73" ca="1" si="68">MAX($P42+$Q42+$R42+$T42+IF(VLOOKUP(SP_Taxes, LT_StateTax, 5, FALSE),$W42,0)-$Y42*LT_PersonalExemptAmt/$K42+$AA42/2+$AF42,0)</f>
        <v>#REF!</v>
      </c>
      <c r="AH42" s="67" t="e">
        <f t="array" aca="1" ref="AH42" ca="1">IF(AG42&gt;0,(VLOOKUP(AG42, LT_IncomeTaxFed/$K42:$O42, 2, TRUE)+VLOOKUP(AG42,LT_IncomeTaxFed/$K42:$O42,3,TRUE)*(AG42-VLOOKUP(AG42,LT_IncomeTaxFed/$K42:$O42,1,TRUE)))/AG42,0)</f>
        <v>#REF!</v>
      </c>
      <c r="AI42" s="109" t="e">
        <f t="shared" ref="AI42:AI73" ca="1" si="69">IF(AG42&gt;0,AG42*-(VLOOKUP(SP_Taxes, LT_StateTax, 2, FALSE)*POWER(AH42,2)+VLOOKUP(SP_Taxes, LT_StateTax, 3, FALSE)*AH42+VLOOKUP(SP_Taxes, LT_StateTax, 4, FALSE)),0)</f>
        <v>#REF!</v>
      </c>
      <c r="AJ42" s="634" t="e">
        <f ca="1">SUMPRODUCT($Z42:$Z43+$AA42:$AA43+$AD42:$AD43+$AE42:$AE43+$AI42:$AI43)</f>
        <v>#REF!</v>
      </c>
      <c r="AK42" s="668" t="e">
        <f t="shared" ref="AK42" ca="1" si="70">IF($U42&gt;0, -AJ42/$U42, 0)</f>
        <v>#REF!</v>
      </c>
      <c r="AL42" s="1"/>
    </row>
    <row r="43" spans="2:38" x14ac:dyDescent="0.25">
      <c r="B43" s="86">
        <f t="shared" ca="1" si="29"/>
        <v>2038</v>
      </c>
      <c r="C43" s="80" t="s">
        <v>741</v>
      </c>
      <c r="D43" s="147" t="str">
        <f t="shared" si="48"/>
        <v/>
      </c>
      <c r="E43" s="81">
        <f t="shared" si="46"/>
        <v>0</v>
      </c>
      <c r="F43" s="81" t="b">
        <f t="shared" si="49"/>
        <v>0</v>
      </c>
      <c r="G43" s="81">
        <f t="shared" si="4"/>
        <v>2</v>
      </c>
      <c r="H43" s="82">
        <f t="shared" si="50"/>
        <v>-1</v>
      </c>
      <c r="I43" s="82">
        <f t="shared" si="51"/>
        <v>0</v>
      </c>
      <c r="J43" s="81">
        <f t="shared" si="52"/>
        <v>0</v>
      </c>
      <c r="K43" s="205">
        <f t="shared" ca="1" si="30"/>
        <v>0.5548688108835681</v>
      </c>
      <c r="L43" s="95">
        <f t="shared" ca="1" si="30"/>
        <v>0.5548688108835681</v>
      </c>
      <c r="M43" s="95">
        <v>1</v>
      </c>
      <c r="N43" s="94">
        <f t="shared" ca="1" si="31"/>
        <v>0.5548688108835681</v>
      </c>
      <c r="O43" s="206">
        <v>1</v>
      </c>
      <c r="P43" s="107">
        <f t="shared" ca="1" si="53"/>
        <v>0</v>
      </c>
      <c r="Q43" s="107">
        <f t="shared" ca="1" si="54"/>
        <v>0</v>
      </c>
      <c r="R43" s="107">
        <f t="shared" si="55"/>
        <v>0</v>
      </c>
      <c r="S43" s="107">
        <f t="shared" ca="1" si="56"/>
        <v>0</v>
      </c>
      <c r="T43" s="107">
        <f t="shared" ca="1" si="57"/>
        <v>0</v>
      </c>
      <c r="U43" s="107">
        <f t="shared" ca="1" si="58"/>
        <v>0</v>
      </c>
      <c r="V43" s="107">
        <f t="shared" ca="1" si="59"/>
        <v>0</v>
      </c>
      <c r="W43" s="107">
        <f t="shared" ca="1" si="60"/>
        <v>0</v>
      </c>
      <c r="X43" s="107">
        <f t="shared" ca="1" si="61"/>
        <v>0</v>
      </c>
      <c r="Y43" s="101">
        <f t="shared" ca="1" si="62"/>
        <v>0</v>
      </c>
      <c r="Z43" s="107">
        <f t="shared" ca="1" si="63"/>
        <v>0</v>
      </c>
      <c r="AA43" s="107">
        <f t="shared" ca="1" si="64"/>
        <v>0</v>
      </c>
      <c r="AB43" s="106" t="e">
        <f t="shared" ca="1" si="65"/>
        <v>#REF!</v>
      </c>
      <c r="AC43" s="107" t="e">
        <f t="shared" ca="1" si="66"/>
        <v>#REF!</v>
      </c>
      <c r="AD43" s="107" t="e">
        <f t="array" aca="1" ref="AD43" ca="1">-(VLOOKUP(AC43, LT_IncomeTaxFed/$K43:$O43, 2, TRUE)+VLOOKUP(AC43,LT_IncomeTaxFed/$K43:$O43,3,TRUE)*(AC43-VLOOKUP(AC43,LT_IncomeTaxFed/$K43:$O43,1,TRUE)))</f>
        <v>#REF!</v>
      </c>
      <c r="AE43" s="107" t="e">
        <f t="array" aca="1" ref="AE43" ca="1">-(VLOOKUP($AC43+$X43, LT_IncomeTaxFed/$K43:$O43, 4, TRUE)+VLOOKUP($AC43+$X43,LT_IncomeTaxFed/$K43:$O43,5,TRUE)*($AC43+$X43-VLOOKUP($AC43+$X43,LT_IncomeTaxFed/$K43:$O43,1,TRUE)))+(VLOOKUP($AC43, LT_IncomeTaxFed/$K43:$O43, 4, TRUE)+VLOOKUP($AC43,LT_IncomeTaxFed/$K43:$O43,5,TRUE)*($AC43-VLOOKUP($AC43,LT_IncomeTaxFed/$K43:$O43,1,TRUE)))</f>
        <v>#REF!</v>
      </c>
      <c r="AF43" s="106" t="e">
        <f t="shared" ca="1" si="67"/>
        <v>#REF!</v>
      </c>
      <c r="AG43" s="107" t="e">
        <f t="shared" ca="1" si="68"/>
        <v>#REF!</v>
      </c>
      <c r="AH43" s="91" t="e">
        <f t="array" aca="1" ref="AH43" ca="1">IF(AG43&gt;0,(VLOOKUP(AG43, LT_IncomeTaxFed/$K43:$O43, 2, TRUE)+VLOOKUP(AG43,LT_IncomeTaxFed/$K43:$O43,3,TRUE)*(AG43-VLOOKUP(AG43,LT_IncomeTaxFed/$K43:$O43,1,TRUE)))/AG43,0)</f>
        <v>#REF!</v>
      </c>
      <c r="AI43" s="110" t="e">
        <f t="shared" ca="1" si="69"/>
        <v>#REF!</v>
      </c>
      <c r="AJ43" s="634"/>
      <c r="AK43" s="668"/>
      <c r="AL43" s="1"/>
    </row>
    <row r="44" spans="2:38" x14ac:dyDescent="0.25">
      <c r="B44" s="65">
        <f ca="1">B42+1</f>
        <v>2039</v>
      </c>
      <c r="C44" s="76" t="s">
        <v>741</v>
      </c>
      <c r="D44" s="146" t="str">
        <f t="shared" si="48"/>
        <v/>
      </c>
      <c r="E44" s="77">
        <f t="shared" si="46"/>
        <v>0</v>
      </c>
      <c r="F44" s="77" t="b">
        <f t="shared" si="49"/>
        <v>0</v>
      </c>
      <c r="G44" s="77">
        <f t="shared" si="4"/>
        <v>1</v>
      </c>
      <c r="H44" s="76">
        <f t="shared" si="50"/>
        <v>1</v>
      </c>
      <c r="I44" s="76">
        <f t="shared" si="51"/>
        <v>0</v>
      </c>
      <c r="J44" s="77">
        <f t="shared" si="52"/>
        <v>0</v>
      </c>
      <c r="K44" s="204">
        <f t="shared" ca="1" si="30"/>
        <v>0.53481331169500534</v>
      </c>
      <c r="L44" s="93">
        <f t="shared" ca="1" si="30"/>
        <v>0.53481331169500534</v>
      </c>
      <c r="M44" s="93">
        <v>1</v>
      </c>
      <c r="N44" s="92">
        <f t="shared" ca="1" si="31"/>
        <v>0.53481331169500534</v>
      </c>
      <c r="O44" s="100">
        <v>1</v>
      </c>
      <c r="P44" s="70">
        <f t="shared" ca="1" si="53"/>
        <v>0</v>
      </c>
      <c r="Q44" s="70">
        <f t="shared" ca="1" si="54"/>
        <v>0</v>
      </c>
      <c r="R44" s="70" t="e">
        <f t="shared" ca="1" si="55"/>
        <v>#REF!</v>
      </c>
      <c r="S44" s="70">
        <f t="shared" ca="1" si="56"/>
        <v>0</v>
      </c>
      <c r="T44" s="70">
        <f t="shared" ca="1" si="57"/>
        <v>0</v>
      </c>
      <c r="U44" s="70" t="e">
        <f t="shared" ca="1" si="58"/>
        <v>#REF!</v>
      </c>
      <c r="V44" s="70">
        <f t="shared" ca="1" si="59"/>
        <v>0</v>
      </c>
      <c r="W44" s="70">
        <f t="shared" ca="1" si="60"/>
        <v>0</v>
      </c>
      <c r="X44" s="70">
        <f t="shared" ca="1" si="61"/>
        <v>0</v>
      </c>
      <c r="Y44" s="98">
        <f t="shared" ca="1" si="62"/>
        <v>0</v>
      </c>
      <c r="Z44" s="70">
        <f t="shared" ca="1" si="63"/>
        <v>0</v>
      </c>
      <c r="AA44" s="70">
        <f t="shared" ca="1" si="64"/>
        <v>0</v>
      </c>
      <c r="AB44" s="409" t="e">
        <f t="shared" ca="1" si="65"/>
        <v>#REF!</v>
      </c>
      <c r="AC44" s="70" t="e">
        <f t="shared" ca="1" si="66"/>
        <v>#REF!</v>
      </c>
      <c r="AD44" s="70" t="e">
        <f t="array" aca="1" ref="AD44" ca="1">-(VLOOKUP(AC44, LT_IncomeTaxFed/$K44:$O44, 2, TRUE)+VLOOKUP(AC44,LT_IncomeTaxFed/$K44:$O44,3,TRUE)*(AC44-VLOOKUP(AC44,LT_IncomeTaxFed/$K44:$O44,1,TRUE)))</f>
        <v>#REF!</v>
      </c>
      <c r="AE44" s="70" t="e">
        <f t="array" aca="1" ref="AE44" ca="1">-(VLOOKUP($AC44+$X44, LT_IncomeTaxFed/$K44:$O44, 4, TRUE)+VLOOKUP($AC44+$X44,LT_IncomeTaxFed/$K44:$O44,5,TRUE)*($AC44+$X44-VLOOKUP($AC44+$X44,LT_IncomeTaxFed/$K44:$O44,1,TRUE)))+(VLOOKUP($AC44, LT_IncomeTaxFed/$K44:$O44, 4, TRUE)+VLOOKUP($AC44,LT_IncomeTaxFed/$K44:$O44,5,TRUE)*($AC44-VLOOKUP($AC44,LT_IncomeTaxFed/$K44:$O44,1,TRUE)))</f>
        <v>#REF!</v>
      </c>
      <c r="AF44" s="75" t="e">
        <f t="shared" ca="1" si="67"/>
        <v>#REF!</v>
      </c>
      <c r="AG44" s="70" t="e">
        <f t="shared" ca="1" si="68"/>
        <v>#REF!</v>
      </c>
      <c r="AH44" s="67" t="e">
        <f t="array" aca="1" ref="AH44" ca="1">IF(AG44&gt;0,(VLOOKUP(AG44, LT_IncomeTaxFed/$K44:$O44, 2, TRUE)+VLOOKUP(AG44,LT_IncomeTaxFed/$K44:$O44,3,TRUE)*(AG44-VLOOKUP(AG44,LT_IncomeTaxFed/$K44:$O44,1,TRUE)))/AG44,0)</f>
        <v>#REF!</v>
      </c>
      <c r="AI44" s="109" t="e">
        <f t="shared" ca="1" si="69"/>
        <v>#REF!</v>
      </c>
      <c r="AJ44" s="634" t="e">
        <f ca="1">SUMPRODUCT($Z44:$Z45+$AA44:$AA45+$AD44:$AD45+$AE44:$AE45+$AI44:$AI45)</f>
        <v>#REF!</v>
      </c>
      <c r="AK44" s="668" t="e">
        <f t="shared" ref="AK44" ca="1" si="71">IF($U44&gt;0, -AJ44/$U44, 0)</f>
        <v>#REF!</v>
      </c>
      <c r="AL44" s="1"/>
    </row>
    <row r="45" spans="2:38" x14ac:dyDescent="0.25">
      <c r="B45" s="86">
        <f t="shared" ca="1" si="29"/>
        <v>2039</v>
      </c>
      <c r="C45" s="80" t="s">
        <v>741</v>
      </c>
      <c r="D45" s="147" t="str">
        <f t="shared" si="48"/>
        <v/>
      </c>
      <c r="E45" s="81">
        <f t="shared" si="46"/>
        <v>0</v>
      </c>
      <c r="F45" s="81" t="b">
        <f t="shared" si="49"/>
        <v>0</v>
      </c>
      <c r="G45" s="81">
        <f t="shared" si="4"/>
        <v>2</v>
      </c>
      <c r="H45" s="82">
        <f t="shared" si="50"/>
        <v>-1</v>
      </c>
      <c r="I45" s="82">
        <f t="shared" si="51"/>
        <v>0</v>
      </c>
      <c r="J45" s="81">
        <f t="shared" si="52"/>
        <v>0</v>
      </c>
      <c r="K45" s="205">
        <f t="shared" ca="1" si="30"/>
        <v>0.53481331169500534</v>
      </c>
      <c r="L45" s="95">
        <f t="shared" ca="1" si="30"/>
        <v>0.53481331169500534</v>
      </c>
      <c r="M45" s="95">
        <v>1</v>
      </c>
      <c r="N45" s="94">
        <f t="shared" ca="1" si="31"/>
        <v>0.53481331169500534</v>
      </c>
      <c r="O45" s="206">
        <v>1</v>
      </c>
      <c r="P45" s="107">
        <f t="shared" ca="1" si="53"/>
        <v>0</v>
      </c>
      <c r="Q45" s="107">
        <f t="shared" ca="1" si="54"/>
        <v>0</v>
      </c>
      <c r="R45" s="107">
        <f t="shared" si="55"/>
        <v>0</v>
      </c>
      <c r="S45" s="107">
        <f t="shared" ca="1" si="56"/>
        <v>0</v>
      </c>
      <c r="T45" s="107">
        <f t="shared" ca="1" si="57"/>
        <v>0</v>
      </c>
      <c r="U45" s="107">
        <f t="shared" ca="1" si="58"/>
        <v>0</v>
      </c>
      <c r="V45" s="107">
        <f t="shared" ca="1" si="59"/>
        <v>0</v>
      </c>
      <c r="W45" s="107">
        <f t="shared" ca="1" si="60"/>
        <v>0</v>
      </c>
      <c r="X45" s="107">
        <f t="shared" ca="1" si="61"/>
        <v>0</v>
      </c>
      <c r="Y45" s="101">
        <f t="shared" ca="1" si="62"/>
        <v>0</v>
      </c>
      <c r="Z45" s="107">
        <f t="shared" ca="1" si="63"/>
        <v>0</v>
      </c>
      <c r="AA45" s="107">
        <f t="shared" ca="1" si="64"/>
        <v>0</v>
      </c>
      <c r="AB45" s="106" t="e">
        <f t="shared" ca="1" si="65"/>
        <v>#REF!</v>
      </c>
      <c r="AC45" s="107" t="e">
        <f t="shared" ca="1" si="66"/>
        <v>#REF!</v>
      </c>
      <c r="AD45" s="107" t="e">
        <f t="array" aca="1" ref="AD45" ca="1">-(VLOOKUP(AC45, LT_IncomeTaxFed/$K45:$O45, 2, TRUE)+VLOOKUP(AC45,LT_IncomeTaxFed/$K45:$O45,3,TRUE)*(AC45-VLOOKUP(AC45,LT_IncomeTaxFed/$K45:$O45,1,TRUE)))</f>
        <v>#REF!</v>
      </c>
      <c r="AE45" s="107" t="e">
        <f t="array" aca="1" ref="AE45" ca="1">-(VLOOKUP($AC45+$X45, LT_IncomeTaxFed/$K45:$O45, 4, TRUE)+VLOOKUP($AC45+$X45,LT_IncomeTaxFed/$K45:$O45,5,TRUE)*($AC45+$X45-VLOOKUP($AC45+$X45,LT_IncomeTaxFed/$K45:$O45,1,TRUE)))+(VLOOKUP($AC45, LT_IncomeTaxFed/$K45:$O45, 4, TRUE)+VLOOKUP($AC45,LT_IncomeTaxFed/$K45:$O45,5,TRUE)*($AC45-VLOOKUP($AC45,LT_IncomeTaxFed/$K45:$O45,1,TRUE)))</f>
        <v>#REF!</v>
      </c>
      <c r="AF45" s="106" t="e">
        <f t="shared" ca="1" si="67"/>
        <v>#REF!</v>
      </c>
      <c r="AG45" s="107" t="e">
        <f t="shared" ca="1" si="68"/>
        <v>#REF!</v>
      </c>
      <c r="AH45" s="91" t="e">
        <f t="array" aca="1" ref="AH45" ca="1">IF(AG45&gt;0,(VLOOKUP(AG45, LT_IncomeTaxFed/$K45:$O45, 2, TRUE)+VLOOKUP(AG45,LT_IncomeTaxFed/$K45:$O45,3,TRUE)*(AG45-VLOOKUP(AG45,LT_IncomeTaxFed/$K45:$O45,1,TRUE)))/AG45,0)</f>
        <v>#REF!</v>
      </c>
      <c r="AI45" s="110" t="e">
        <f t="shared" ca="1" si="69"/>
        <v>#REF!</v>
      </c>
      <c r="AJ45" s="634"/>
      <c r="AK45" s="668"/>
      <c r="AL45" s="1"/>
    </row>
    <row r="46" spans="2:38" x14ac:dyDescent="0.25">
      <c r="B46" s="65">
        <f ca="1">B44+1</f>
        <v>2040</v>
      </c>
      <c r="C46" s="76" t="s">
        <v>741</v>
      </c>
      <c r="D46" s="146" t="str">
        <f t="shared" si="48"/>
        <v/>
      </c>
      <c r="E46" s="77">
        <f t="shared" si="46"/>
        <v>0</v>
      </c>
      <c r="F46" s="77" t="b">
        <f t="shared" si="49"/>
        <v>0</v>
      </c>
      <c r="G46" s="77">
        <f t="shared" si="4"/>
        <v>1</v>
      </c>
      <c r="H46" s="76">
        <f t="shared" si="50"/>
        <v>1</v>
      </c>
      <c r="I46" s="76">
        <f t="shared" si="51"/>
        <v>0</v>
      </c>
      <c r="J46" s="77">
        <f t="shared" si="52"/>
        <v>0</v>
      </c>
      <c r="K46" s="204">
        <f t="shared" ca="1" si="30"/>
        <v>0.51548271006747504</v>
      </c>
      <c r="L46" s="93">
        <f t="shared" ca="1" si="30"/>
        <v>0.51548271006747504</v>
      </c>
      <c r="M46" s="93">
        <v>1</v>
      </c>
      <c r="N46" s="92">
        <f t="shared" ca="1" si="31"/>
        <v>0.51548271006747504</v>
      </c>
      <c r="O46" s="100">
        <v>1</v>
      </c>
      <c r="P46" s="70">
        <f t="shared" ca="1" si="53"/>
        <v>0</v>
      </c>
      <c r="Q46" s="70">
        <f t="shared" ca="1" si="54"/>
        <v>0</v>
      </c>
      <c r="R46" s="70" t="e">
        <f t="shared" ca="1" si="55"/>
        <v>#REF!</v>
      </c>
      <c r="S46" s="70">
        <f t="shared" ca="1" si="56"/>
        <v>0</v>
      </c>
      <c r="T46" s="70">
        <f t="shared" ca="1" si="57"/>
        <v>0</v>
      </c>
      <c r="U46" s="70" t="e">
        <f t="shared" ca="1" si="58"/>
        <v>#REF!</v>
      </c>
      <c r="V46" s="70">
        <f t="shared" ca="1" si="59"/>
        <v>0</v>
      </c>
      <c r="W46" s="70">
        <f t="shared" ca="1" si="60"/>
        <v>0</v>
      </c>
      <c r="X46" s="70">
        <f t="shared" ca="1" si="61"/>
        <v>0</v>
      </c>
      <c r="Y46" s="98">
        <f t="shared" ca="1" si="62"/>
        <v>0</v>
      </c>
      <c r="Z46" s="70">
        <f t="shared" ca="1" si="63"/>
        <v>0</v>
      </c>
      <c r="AA46" s="70">
        <f t="shared" ca="1" si="64"/>
        <v>0</v>
      </c>
      <c r="AB46" s="409" t="e">
        <f t="shared" ca="1" si="65"/>
        <v>#REF!</v>
      </c>
      <c r="AC46" s="70" t="e">
        <f t="shared" ca="1" si="66"/>
        <v>#REF!</v>
      </c>
      <c r="AD46" s="70" t="e">
        <f t="array" aca="1" ref="AD46" ca="1">-(VLOOKUP(AC46, LT_IncomeTaxFed/$K46:$O46, 2, TRUE)+VLOOKUP(AC46,LT_IncomeTaxFed/$K46:$O46,3,TRUE)*(AC46-VLOOKUP(AC46,LT_IncomeTaxFed/$K46:$O46,1,TRUE)))</f>
        <v>#REF!</v>
      </c>
      <c r="AE46" s="70" t="e">
        <f t="array" aca="1" ref="AE46" ca="1">-(VLOOKUP($AC46+$X46, LT_IncomeTaxFed/$K46:$O46, 4, TRUE)+VLOOKUP($AC46+$X46,LT_IncomeTaxFed/$K46:$O46,5,TRUE)*($AC46+$X46-VLOOKUP($AC46+$X46,LT_IncomeTaxFed/$K46:$O46,1,TRUE)))+(VLOOKUP($AC46, LT_IncomeTaxFed/$K46:$O46, 4, TRUE)+VLOOKUP($AC46,LT_IncomeTaxFed/$K46:$O46,5,TRUE)*($AC46-VLOOKUP($AC46,LT_IncomeTaxFed/$K46:$O46,1,TRUE)))</f>
        <v>#REF!</v>
      </c>
      <c r="AF46" s="75" t="e">
        <f t="shared" ca="1" si="67"/>
        <v>#REF!</v>
      </c>
      <c r="AG46" s="70" t="e">
        <f t="shared" ca="1" si="68"/>
        <v>#REF!</v>
      </c>
      <c r="AH46" s="67" t="e">
        <f t="array" aca="1" ref="AH46" ca="1">IF(AG46&gt;0,(VLOOKUP(AG46, LT_IncomeTaxFed/$K46:$O46, 2, TRUE)+VLOOKUP(AG46,LT_IncomeTaxFed/$K46:$O46,3,TRUE)*(AG46-VLOOKUP(AG46,LT_IncomeTaxFed/$K46:$O46,1,TRUE)))/AG46,0)</f>
        <v>#REF!</v>
      </c>
      <c r="AI46" s="109" t="e">
        <f t="shared" ca="1" si="69"/>
        <v>#REF!</v>
      </c>
      <c r="AJ46" s="634" t="e">
        <f ca="1">SUMPRODUCT($Z46:$Z47+$AA46:$AA47+$AD46:$AD47+$AE46:$AE47+$AI46:$AI47)</f>
        <v>#REF!</v>
      </c>
      <c r="AK46" s="668" t="e">
        <f t="shared" ref="AK46" ca="1" si="72">IF($U46&gt;0, -AJ46/$U46, 0)</f>
        <v>#REF!</v>
      </c>
      <c r="AL46" s="1"/>
    </row>
    <row r="47" spans="2:38" x14ac:dyDescent="0.25">
      <c r="B47" s="86">
        <f t="shared" ca="1" si="29"/>
        <v>2040</v>
      </c>
      <c r="C47" s="80" t="s">
        <v>741</v>
      </c>
      <c r="D47" s="147" t="str">
        <f t="shared" si="48"/>
        <v/>
      </c>
      <c r="E47" s="81">
        <f t="shared" si="46"/>
        <v>0</v>
      </c>
      <c r="F47" s="81" t="b">
        <f t="shared" si="49"/>
        <v>0</v>
      </c>
      <c r="G47" s="81">
        <f t="shared" si="4"/>
        <v>2</v>
      </c>
      <c r="H47" s="82">
        <f t="shared" si="50"/>
        <v>-1</v>
      </c>
      <c r="I47" s="82">
        <f t="shared" si="51"/>
        <v>0</v>
      </c>
      <c r="J47" s="81">
        <f t="shared" si="52"/>
        <v>0</v>
      </c>
      <c r="K47" s="205">
        <f t="shared" ca="1" si="30"/>
        <v>0.51548271006747504</v>
      </c>
      <c r="L47" s="95">
        <f t="shared" ca="1" si="30"/>
        <v>0.51548271006747504</v>
      </c>
      <c r="M47" s="95">
        <v>1</v>
      </c>
      <c r="N47" s="94">
        <f t="shared" ca="1" si="31"/>
        <v>0.51548271006747504</v>
      </c>
      <c r="O47" s="206">
        <v>1</v>
      </c>
      <c r="P47" s="107">
        <f t="shared" ca="1" si="53"/>
        <v>0</v>
      </c>
      <c r="Q47" s="107">
        <f t="shared" ca="1" si="54"/>
        <v>0</v>
      </c>
      <c r="R47" s="107">
        <f t="shared" si="55"/>
        <v>0</v>
      </c>
      <c r="S47" s="107">
        <f t="shared" ca="1" si="56"/>
        <v>0</v>
      </c>
      <c r="T47" s="107">
        <f t="shared" ca="1" si="57"/>
        <v>0</v>
      </c>
      <c r="U47" s="107">
        <f t="shared" ca="1" si="58"/>
        <v>0</v>
      </c>
      <c r="V47" s="107">
        <f t="shared" ca="1" si="59"/>
        <v>0</v>
      </c>
      <c r="W47" s="107">
        <f t="shared" ca="1" si="60"/>
        <v>0</v>
      </c>
      <c r="X47" s="107">
        <f t="shared" ca="1" si="61"/>
        <v>0</v>
      </c>
      <c r="Y47" s="101">
        <f t="shared" ca="1" si="62"/>
        <v>0</v>
      </c>
      <c r="Z47" s="107">
        <f t="shared" ca="1" si="63"/>
        <v>0</v>
      </c>
      <c r="AA47" s="107">
        <f t="shared" ca="1" si="64"/>
        <v>0</v>
      </c>
      <c r="AB47" s="106" t="e">
        <f t="shared" ca="1" si="65"/>
        <v>#REF!</v>
      </c>
      <c r="AC47" s="107" t="e">
        <f t="shared" ca="1" si="66"/>
        <v>#REF!</v>
      </c>
      <c r="AD47" s="107" t="e">
        <f t="array" aca="1" ref="AD47" ca="1">-(VLOOKUP(AC47, LT_IncomeTaxFed/$K47:$O47, 2, TRUE)+VLOOKUP(AC47,LT_IncomeTaxFed/$K47:$O47,3,TRUE)*(AC47-VLOOKUP(AC47,LT_IncomeTaxFed/$K47:$O47,1,TRUE)))</f>
        <v>#REF!</v>
      </c>
      <c r="AE47" s="107" t="e">
        <f t="array" aca="1" ref="AE47" ca="1">-(VLOOKUP($AC47+$X47, LT_IncomeTaxFed/$K47:$O47, 4, TRUE)+VLOOKUP($AC47+$X47,LT_IncomeTaxFed/$K47:$O47,5,TRUE)*($AC47+$X47-VLOOKUP($AC47+$X47,LT_IncomeTaxFed/$K47:$O47,1,TRUE)))+(VLOOKUP($AC47, LT_IncomeTaxFed/$K47:$O47, 4, TRUE)+VLOOKUP($AC47,LT_IncomeTaxFed/$K47:$O47,5,TRUE)*($AC47-VLOOKUP($AC47,LT_IncomeTaxFed/$K47:$O47,1,TRUE)))</f>
        <v>#REF!</v>
      </c>
      <c r="AF47" s="106" t="e">
        <f t="shared" ca="1" si="67"/>
        <v>#REF!</v>
      </c>
      <c r="AG47" s="107" t="e">
        <f t="shared" ca="1" si="68"/>
        <v>#REF!</v>
      </c>
      <c r="AH47" s="91" t="e">
        <f t="array" aca="1" ref="AH47" ca="1">IF(AG47&gt;0,(VLOOKUP(AG47, LT_IncomeTaxFed/$K47:$O47, 2, TRUE)+VLOOKUP(AG47,LT_IncomeTaxFed/$K47:$O47,3,TRUE)*(AG47-VLOOKUP(AG47,LT_IncomeTaxFed/$K47:$O47,1,TRUE)))/AG47,0)</f>
        <v>#REF!</v>
      </c>
      <c r="AI47" s="110" t="e">
        <f t="shared" ca="1" si="69"/>
        <v>#REF!</v>
      </c>
      <c r="AJ47" s="634"/>
      <c r="AK47" s="668"/>
      <c r="AL47" s="1"/>
    </row>
    <row r="48" spans="2:38" x14ac:dyDescent="0.25">
      <c r="B48" s="65">
        <f ca="1">B46+1</f>
        <v>2041</v>
      </c>
      <c r="C48" s="76" t="s">
        <v>741</v>
      </c>
      <c r="D48" s="146" t="str">
        <f t="shared" si="48"/>
        <v/>
      </c>
      <c r="E48" s="77">
        <f t="shared" si="46"/>
        <v>0</v>
      </c>
      <c r="F48" s="77" t="b">
        <f t="shared" si="49"/>
        <v>0</v>
      </c>
      <c r="G48" s="77">
        <f t="shared" si="4"/>
        <v>1</v>
      </c>
      <c r="H48" s="76">
        <f t="shared" si="50"/>
        <v>1</v>
      </c>
      <c r="I48" s="76">
        <f t="shared" si="51"/>
        <v>0</v>
      </c>
      <c r="J48" s="77">
        <f t="shared" si="52"/>
        <v>0</v>
      </c>
      <c r="K48" s="204">
        <f t="shared" ca="1" si="30"/>
        <v>0.49685080488431327</v>
      </c>
      <c r="L48" s="93">
        <f t="shared" ca="1" si="30"/>
        <v>0.49685080488431327</v>
      </c>
      <c r="M48" s="93">
        <v>1</v>
      </c>
      <c r="N48" s="92">
        <f t="shared" ca="1" si="31"/>
        <v>0.49685080488431327</v>
      </c>
      <c r="O48" s="100">
        <v>1</v>
      </c>
      <c r="P48" s="70">
        <f t="shared" ca="1" si="53"/>
        <v>0</v>
      </c>
      <c r="Q48" s="70">
        <f t="shared" ca="1" si="54"/>
        <v>0</v>
      </c>
      <c r="R48" s="70" t="e">
        <f t="shared" ca="1" si="55"/>
        <v>#REF!</v>
      </c>
      <c r="S48" s="70">
        <f t="shared" ca="1" si="56"/>
        <v>0</v>
      </c>
      <c r="T48" s="70">
        <f t="shared" ca="1" si="57"/>
        <v>0</v>
      </c>
      <c r="U48" s="70" t="e">
        <f t="shared" ca="1" si="58"/>
        <v>#REF!</v>
      </c>
      <c r="V48" s="70">
        <f t="shared" ca="1" si="59"/>
        <v>0</v>
      </c>
      <c r="W48" s="70">
        <f t="shared" ca="1" si="60"/>
        <v>0</v>
      </c>
      <c r="X48" s="70">
        <f t="shared" ca="1" si="61"/>
        <v>0</v>
      </c>
      <c r="Y48" s="98">
        <f t="shared" ca="1" si="62"/>
        <v>0</v>
      </c>
      <c r="Z48" s="70">
        <f t="shared" ca="1" si="63"/>
        <v>0</v>
      </c>
      <c r="AA48" s="70">
        <f t="shared" ca="1" si="64"/>
        <v>0</v>
      </c>
      <c r="AB48" s="409" t="e">
        <f t="shared" ca="1" si="65"/>
        <v>#REF!</v>
      </c>
      <c r="AC48" s="70" t="e">
        <f t="shared" ca="1" si="66"/>
        <v>#REF!</v>
      </c>
      <c r="AD48" s="70" t="e">
        <f t="array" aca="1" ref="AD48" ca="1">-(VLOOKUP(AC48, LT_IncomeTaxFed/$K48:$O48, 2, TRUE)+VLOOKUP(AC48,LT_IncomeTaxFed/$K48:$O48,3,TRUE)*(AC48-VLOOKUP(AC48,LT_IncomeTaxFed/$K48:$O48,1,TRUE)))</f>
        <v>#REF!</v>
      </c>
      <c r="AE48" s="70" t="e">
        <f t="array" aca="1" ref="AE48" ca="1">-(VLOOKUP($AC48+$X48, LT_IncomeTaxFed/$K48:$O48, 4, TRUE)+VLOOKUP($AC48+$X48,LT_IncomeTaxFed/$K48:$O48,5,TRUE)*($AC48+$X48-VLOOKUP($AC48+$X48,LT_IncomeTaxFed/$K48:$O48,1,TRUE)))+(VLOOKUP($AC48, LT_IncomeTaxFed/$K48:$O48, 4, TRUE)+VLOOKUP($AC48,LT_IncomeTaxFed/$K48:$O48,5,TRUE)*($AC48-VLOOKUP($AC48,LT_IncomeTaxFed/$K48:$O48,1,TRUE)))</f>
        <v>#REF!</v>
      </c>
      <c r="AF48" s="75" t="e">
        <f t="shared" ca="1" si="67"/>
        <v>#REF!</v>
      </c>
      <c r="AG48" s="70" t="e">
        <f t="shared" ca="1" si="68"/>
        <v>#REF!</v>
      </c>
      <c r="AH48" s="67" t="e">
        <f t="array" aca="1" ref="AH48" ca="1">IF(AG48&gt;0,(VLOOKUP(AG48, LT_IncomeTaxFed/$K48:$O48, 2, TRUE)+VLOOKUP(AG48,LT_IncomeTaxFed/$K48:$O48,3,TRUE)*(AG48-VLOOKUP(AG48,LT_IncomeTaxFed/$K48:$O48,1,TRUE)))/AG48,0)</f>
        <v>#REF!</v>
      </c>
      <c r="AI48" s="109" t="e">
        <f t="shared" ca="1" si="69"/>
        <v>#REF!</v>
      </c>
      <c r="AJ48" s="634" t="e">
        <f ca="1">SUMPRODUCT($Z48:$Z49+$AA48:$AA49+$AD48:$AD49+$AE48:$AE49+$AI48:$AI49)</f>
        <v>#REF!</v>
      </c>
      <c r="AK48" s="668" t="e">
        <f t="shared" ref="AK48" ca="1" si="73">IF($U48&gt;0, -AJ48/$U48, 0)</f>
        <v>#REF!</v>
      </c>
      <c r="AL48" s="1"/>
    </row>
    <row r="49" spans="2:38" x14ac:dyDescent="0.25">
      <c r="B49" s="86">
        <f t="shared" ca="1" si="29"/>
        <v>2041</v>
      </c>
      <c r="C49" s="80" t="s">
        <v>741</v>
      </c>
      <c r="D49" s="147" t="str">
        <f t="shared" si="48"/>
        <v/>
      </c>
      <c r="E49" s="81">
        <f t="shared" si="46"/>
        <v>0</v>
      </c>
      <c r="F49" s="81" t="b">
        <f t="shared" si="49"/>
        <v>0</v>
      </c>
      <c r="G49" s="81">
        <f t="shared" si="4"/>
        <v>2</v>
      </c>
      <c r="H49" s="82">
        <f t="shared" si="50"/>
        <v>-1</v>
      </c>
      <c r="I49" s="82">
        <f t="shared" si="51"/>
        <v>0</v>
      </c>
      <c r="J49" s="81">
        <f t="shared" si="52"/>
        <v>0</v>
      </c>
      <c r="K49" s="205">
        <f t="shared" ca="1" si="30"/>
        <v>0.49685080488431327</v>
      </c>
      <c r="L49" s="95">
        <f t="shared" ca="1" si="30"/>
        <v>0.49685080488431327</v>
      </c>
      <c r="M49" s="95">
        <v>1</v>
      </c>
      <c r="N49" s="94">
        <f t="shared" ca="1" si="31"/>
        <v>0.49685080488431327</v>
      </c>
      <c r="O49" s="206">
        <v>1</v>
      </c>
      <c r="P49" s="107">
        <f t="shared" ca="1" si="53"/>
        <v>0</v>
      </c>
      <c r="Q49" s="107">
        <f t="shared" ca="1" si="54"/>
        <v>0</v>
      </c>
      <c r="R49" s="107">
        <f t="shared" si="55"/>
        <v>0</v>
      </c>
      <c r="S49" s="107">
        <f t="shared" ca="1" si="56"/>
        <v>0</v>
      </c>
      <c r="T49" s="107">
        <f t="shared" ca="1" si="57"/>
        <v>0</v>
      </c>
      <c r="U49" s="107">
        <f t="shared" ca="1" si="58"/>
        <v>0</v>
      </c>
      <c r="V49" s="107">
        <f t="shared" ca="1" si="59"/>
        <v>0</v>
      </c>
      <c r="W49" s="107">
        <f t="shared" ca="1" si="60"/>
        <v>0</v>
      </c>
      <c r="X49" s="107">
        <f t="shared" ca="1" si="61"/>
        <v>0</v>
      </c>
      <c r="Y49" s="101">
        <f t="shared" ca="1" si="62"/>
        <v>0</v>
      </c>
      <c r="Z49" s="107">
        <f t="shared" ca="1" si="63"/>
        <v>0</v>
      </c>
      <c r="AA49" s="107">
        <f t="shared" ca="1" si="64"/>
        <v>0</v>
      </c>
      <c r="AB49" s="106" t="e">
        <f t="shared" ca="1" si="65"/>
        <v>#REF!</v>
      </c>
      <c r="AC49" s="107" t="e">
        <f t="shared" ca="1" si="66"/>
        <v>#REF!</v>
      </c>
      <c r="AD49" s="107" t="e">
        <f t="array" aca="1" ref="AD49" ca="1">-(VLOOKUP(AC49, LT_IncomeTaxFed/$K49:$O49, 2, TRUE)+VLOOKUP(AC49,LT_IncomeTaxFed/$K49:$O49,3,TRUE)*(AC49-VLOOKUP(AC49,LT_IncomeTaxFed/$K49:$O49,1,TRUE)))</f>
        <v>#REF!</v>
      </c>
      <c r="AE49" s="107" t="e">
        <f t="array" aca="1" ref="AE49" ca="1">-(VLOOKUP($AC49+$X49, LT_IncomeTaxFed/$K49:$O49, 4, TRUE)+VLOOKUP($AC49+$X49,LT_IncomeTaxFed/$K49:$O49,5,TRUE)*($AC49+$X49-VLOOKUP($AC49+$X49,LT_IncomeTaxFed/$K49:$O49,1,TRUE)))+(VLOOKUP($AC49, LT_IncomeTaxFed/$K49:$O49, 4, TRUE)+VLOOKUP($AC49,LT_IncomeTaxFed/$K49:$O49,5,TRUE)*($AC49-VLOOKUP($AC49,LT_IncomeTaxFed/$K49:$O49,1,TRUE)))</f>
        <v>#REF!</v>
      </c>
      <c r="AF49" s="106" t="e">
        <f t="shared" ca="1" si="67"/>
        <v>#REF!</v>
      </c>
      <c r="AG49" s="107" t="e">
        <f t="shared" ca="1" si="68"/>
        <v>#REF!</v>
      </c>
      <c r="AH49" s="91" t="e">
        <f t="array" aca="1" ref="AH49" ca="1">IF(AG49&gt;0,(VLOOKUP(AG49, LT_IncomeTaxFed/$K49:$O49, 2, TRUE)+VLOOKUP(AG49,LT_IncomeTaxFed/$K49:$O49,3,TRUE)*(AG49-VLOOKUP(AG49,LT_IncomeTaxFed/$K49:$O49,1,TRUE)))/AG49,0)</f>
        <v>#REF!</v>
      </c>
      <c r="AI49" s="110" t="e">
        <f t="shared" ca="1" si="69"/>
        <v>#REF!</v>
      </c>
      <c r="AJ49" s="634"/>
      <c r="AK49" s="668"/>
      <c r="AL49" s="1"/>
    </row>
    <row r="50" spans="2:38" x14ac:dyDescent="0.25">
      <c r="B50" s="65">
        <f ca="1">B48+1</f>
        <v>2042</v>
      </c>
      <c r="C50" s="76" t="s">
        <v>741</v>
      </c>
      <c r="D50" s="146" t="str">
        <f t="shared" si="48"/>
        <v/>
      </c>
      <c r="E50" s="77">
        <f t="shared" si="46"/>
        <v>0</v>
      </c>
      <c r="F50" s="77" t="b">
        <f t="shared" si="49"/>
        <v>0</v>
      </c>
      <c r="G50" s="77">
        <f t="shared" si="4"/>
        <v>1</v>
      </c>
      <c r="H50" s="76">
        <f t="shared" si="50"/>
        <v>1</v>
      </c>
      <c r="I50" s="76">
        <f t="shared" si="51"/>
        <v>0</v>
      </c>
      <c r="J50" s="77">
        <f t="shared" si="52"/>
        <v>0</v>
      </c>
      <c r="K50" s="204">
        <f t="shared" ca="1" si="30"/>
        <v>0.47889234205716935</v>
      </c>
      <c r="L50" s="93">
        <f t="shared" ca="1" si="30"/>
        <v>0.47889234205716935</v>
      </c>
      <c r="M50" s="93">
        <v>1</v>
      </c>
      <c r="N50" s="92">
        <f t="shared" ca="1" si="31"/>
        <v>0.47889234205716935</v>
      </c>
      <c r="O50" s="100">
        <v>1</v>
      </c>
      <c r="P50" s="70">
        <f t="shared" ca="1" si="53"/>
        <v>0</v>
      </c>
      <c r="Q50" s="70">
        <f t="shared" ca="1" si="54"/>
        <v>0</v>
      </c>
      <c r="R50" s="70" t="e">
        <f t="shared" ca="1" si="55"/>
        <v>#REF!</v>
      </c>
      <c r="S50" s="70">
        <f t="shared" ca="1" si="56"/>
        <v>0</v>
      </c>
      <c r="T50" s="70">
        <f t="shared" ca="1" si="57"/>
        <v>0</v>
      </c>
      <c r="U50" s="70" t="e">
        <f t="shared" ca="1" si="58"/>
        <v>#REF!</v>
      </c>
      <c r="V50" s="70">
        <f t="shared" ca="1" si="59"/>
        <v>0</v>
      </c>
      <c r="W50" s="70">
        <f t="shared" ca="1" si="60"/>
        <v>0</v>
      </c>
      <c r="X50" s="70">
        <f t="shared" ca="1" si="61"/>
        <v>0</v>
      </c>
      <c r="Y50" s="98">
        <f t="shared" ca="1" si="62"/>
        <v>0</v>
      </c>
      <c r="Z50" s="70">
        <f t="shared" ca="1" si="63"/>
        <v>0</v>
      </c>
      <c r="AA50" s="70">
        <f t="shared" ca="1" si="64"/>
        <v>0</v>
      </c>
      <c r="AB50" s="409" t="e">
        <f t="shared" ca="1" si="65"/>
        <v>#REF!</v>
      </c>
      <c r="AC50" s="70" t="e">
        <f t="shared" ca="1" si="66"/>
        <v>#REF!</v>
      </c>
      <c r="AD50" s="70" t="e">
        <f t="array" aca="1" ref="AD50" ca="1">-(VLOOKUP(AC50, LT_IncomeTaxFed/$K50:$O50, 2, TRUE)+VLOOKUP(AC50,LT_IncomeTaxFed/$K50:$O50,3,TRUE)*(AC50-VLOOKUP(AC50,LT_IncomeTaxFed/$K50:$O50,1,TRUE)))</f>
        <v>#REF!</v>
      </c>
      <c r="AE50" s="70" t="e">
        <f t="array" aca="1" ref="AE50" ca="1">-(VLOOKUP($AC50+$X50, LT_IncomeTaxFed/$K50:$O50, 4, TRUE)+VLOOKUP($AC50+$X50,LT_IncomeTaxFed/$K50:$O50,5,TRUE)*($AC50+$X50-VLOOKUP($AC50+$X50,LT_IncomeTaxFed/$K50:$O50,1,TRUE)))+(VLOOKUP($AC50, LT_IncomeTaxFed/$K50:$O50, 4, TRUE)+VLOOKUP($AC50,LT_IncomeTaxFed/$K50:$O50,5,TRUE)*($AC50-VLOOKUP($AC50,LT_IncomeTaxFed/$K50:$O50,1,TRUE)))</f>
        <v>#REF!</v>
      </c>
      <c r="AF50" s="75" t="e">
        <f t="shared" ca="1" si="67"/>
        <v>#REF!</v>
      </c>
      <c r="AG50" s="70" t="e">
        <f t="shared" ca="1" si="68"/>
        <v>#REF!</v>
      </c>
      <c r="AH50" s="67" t="e">
        <f t="array" aca="1" ref="AH50" ca="1">IF(AG50&gt;0,(VLOOKUP(AG50, LT_IncomeTaxFed/$K50:$O50, 2, TRUE)+VLOOKUP(AG50,LT_IncomeTaxFed/$K50:$O50,3,TRUE)*(AG50-VLOOKUP(AG50,LT_IncomeTaxFed/$K50:$O50,1,TRUE)))/AG50,0)</f>
        <v>#REF!</v>
      </c>
      <c r="AI50" s="109" t="e">
        <f t="shared" ca="1" si="69"/>
        <v>#REF!</v>
      </c>
      <c r="AJ50" s="634" t="e">
        <f ca="1">SUMPRODUCT($Z50:$Z51+$AA50:$AA51+$AD50:$AD51+$AE50:$AE51+$AI50:$AI51)</f>
        <v>#REF!</v>
      </c>
      <c r="AK50" s="668" t="e">
        <f t="shared" ref="AK50" ca="1" si="74">IF($U50&gt;0, -AJ50/$U50, 0)</f>
        <v>#REF!</v>
      </c>
      <c r="AL50" s="1"/>
    </row>
    <row r="51" spans="2:38" x14ac:dyDescent="0.25">
      <c r="B51" s="86">
        <f t="shared" ca="1" si="29"/>
        <v>2042</v>
      </c>
      <c r="C51" s="80" t="s">
        <v>741</v>
      </c>
      <c r="D51" s="147" t="str">
        <f t="shared" si="48"/>
        <v/>
      </c>
      <c r="E51" s="81">
        <f t="shared" si="46"/>
        <v>0</v>
      </c>
      <c r="F51" s="81" t="b">
        <f t="shared" si="49"/>
        <v>0</v>
      </c>
      <c r="G51" s="81">
        <f t="shared" si="4"/>
        <v>2</v>
      </c>
      <c r="H51" s="82">
        <f t="shared" si="50"/>
        <v>-1</v>
      </c>
      <c r="I51" s="82">
        <f t="shared" si="51"/>
        <v>0</v>
      </c>
      <c r="J51" s="81">
        <f t="shared" si="52"/>
        <v>0</v>
      </c>
      <c r="K51" s="205">
        <f t="shared" ca="1" si="30"/>
        <v>0.47889234205716935</v>
      </c>
      <c r="L51" s="95">
        <f t="shared" ca="1" si="30"/>
        <v>0.47889234205716935</v>
      </c>
      <c r="M51" s="95">
        <v>1</v>
      </c>
      <c r="N51" s="94">
        <f t="shared" ca="1" si="31"/>
        <v>0.47889234205716935</v>
      </c>
      <c r="O51" s="206">
        <v>1</v>
      </c>
      <c r="P51" s="107">
        <f t="shared" ca="1" si="53"/>
        <v>0</v>
      </c>
      <c r="Q51" s="107">
        <f t="shared" ca="1" si="54"/>
        <v>0</v>
      </c>
      <c r="R51" s="107">
        <f t="shared" si="55"/>
        <v>0</v>
      </c>
      <c r="S51" s="107">
        <f t="shared" ca="1" si="56"/>
        <v>0</v>
      </c>
      <c r="T51" s="107">
        <f t="shared" ca="1" si="57"/>
        <v>0</v>
      </c>
      <c r="U51" s="107">
        <f t="shared" ca="1" si="58"/>
        <v>0</v>
      </c>
      <c r="V51" s="107">
        <f t="shared" ca="1" si="59"/>
        <v>0</v>
      </c>
      <c r="W51" s="107">
        <f t="shared" ca="1" si="60"/>
        <v>0</v>
      </c>
      <c r="X51" s="107">
        <f t="shared" ca="1" si="61"/>
        <v>0</v>
      </c>
      <c r="Y51" s="101">
        <f t="shared" ca="1" si="62"/>
        <v>0</v>
      </c>
      <c r="Z51" s="107">
        <f t="shared" ca="1" si="63"/>
        <v>0</v>
      </c>
      <c r="AA51" s="107">
        <f t="shared" ca="1" si="64"/>
        <v>0</v>
      </c>
      <c r="AB51" s="106" t="e">
        <f t="shared" ca="1" si="65"/>
        <v>#REF!</v>
      </c>
      <c r="AC51" s="107" t="e">
        <f t="shared" ca="1" si="66"/>
        <v>#REF!</v>
      </c>
      <c r="AD51" s="107" t="e">
        <f t="array" aca="1" ref="AD51" ca="1">-(VLOOKUP(AC51, LT_IncomeTaxFed/$K51:$O51, 2, TRUE)+VLOOKUP(AC51,LT_IncomeTaxFed/$K51:$O51,3,TRUE)*(AC51-VLOOKUP(AC51,LT_IncomeTaxFed/$K51:$O51,1,TRUE)))</f>
        <v>#REF!</v>
      </c>
      <c r="AE51" s="107" t="e">
        <f t="array" aca="1" ref="AE51" ca="1">-(VLOOKUP($AC51+$X51, LT_IncomeTaxFed/$K51:$O51, 4, TRUE)+VLOOKUP($AC51+$X51,LT_IncomeTaxFed/$K51:$O51,5,TRUE)*($AC51+$X51-VLOOKUP($AC51+$X51,LT_IncomeTaxFed/$K51:$O51,1,TRUE)))+(VLOOKUP($AC51, LT_IncomeTaxFed/$K51:$O51, 4, TRUE)+VLOOKUP($AC51,LT_IncomeTaxFed/$K51:$O51,5,TRUE)*($AC51-VLOOKUP($AC51,LT_IncomeTaxFed/$K51:$O51,1,TRUE)))</f>
        <v>#REF!</v>
      </c>
      <c r="AF51" s="106" t="e">
        <f t="shared" ca="1" si="67"/>
        <v>#REF!</v>
      </c>
      <c r="AG51" s="107" t="e">
        <f t="shared" ca="1" si="68"/>
        <v>#REF!</v>
      </c>
      <c r="AH51" s="91" t="e">
        <f t="array" aca="1" ref="AH51" ca="1">IF(AG51&gt;0,(VLOOKUP(AG51, LT_IncomeTaxFed/$K51:$O51, 2, TRUE)+VLOOKUP(AG51,LT_IncomeTaxFed/$K51:$O51,3,TRUE)*(AG51-VLOOKUP(AG51,LT_IncomeTaxFed/$K51:$O51,1,TRUE)))/AG51,0)</f>
        <v>#REF!</v>
      </c>
      <c r="AI51" s="110" t="e">
        <f t="shared" ca="1" si="69"/>
        <v>#REF!</v>
      </c>
      <c r="AJ51" s="634"/>
      <c r="AK51" s="668"/>
      <c r="AL51" s="1"/>
    </row>
    <row r="52" spans="2:38" x14ac:dyDescent="0.25">
      <c r="B52" s="65">
        <f ca="1">B50+1</f>
        <v>2043</v>
      </c>
      <c r="C52" s="76" t="s">
        <v>741</v>
      </c>
      <c r="D52" s="146" t="str">
        <f t="shared" si="48"/>
        <v/>
      </c>
      <c r="E52" s="77">
        <f t="shared" si="46"/>
        <v>0</v>
      </c>
      <c r="F52" s="77" t="b">
        <f t="shared" si="49"/>
        <v>0</v>
      </c>
      <c r="G52" s="77">
        <f t="shared" si="4"/>
        <v>1</v>
      </c>
      <c r="H52" s="76">
        <f t="shared" si="50"/>
        <v>1</v>
      </c>
      <c r="I52" s="76">
        <f t="shared" si="51"/>
        <v>0</v>
      </c>
      <c r="J52" s="77">
        <f t="shared" si="52"/>
        <v>0</v>
      </c>
      <c r="K52" s="204">
        <f t="shared" ca="1" si="30"/>
        <v>0.46158298029606676</v>
      </c>
      <c r="L52" s="93">
        <f t="shared" ca="1" si="30"/>
        <v>0.46158298029606676</v>
      </c>
      <c r="M52" s="93">
        <v>1</v>
      </c>
      <c r="N52" s="92">
        <f t="shared" ca="1" si="31"/>
        <v>0.46158298029606676</v>
      </c>
      <c r="O52" s="100">
        <v>1</v>
      </c>
      <c r="P52" s="70">
        <f t="shared" ca="1" si="53"/>
        <v>0</v>
      </c>
      <c r="Q52" s="70">
        <f t="shared" ca="1" si="54"/>
        <v>0</v>
      </c>
      <c r="R52" s="70" t="e">
        <f t="shared" ca="1" si="55"/>
        <v>#REF!</v>
      </c>
      <c r="S52" s="70">
        <f t="shared" ca="1" si="56"/>
        <v>0</v>
      </c>
      <c r="T52" s="70">
        <f t="shared" ca="1" si="57"/>
        <v>0</v>
      </c>
      <c r="U52" s="70" t="e">
        <f t="shared" ca="1" si="58"/>
        <v>#REF!</v>
      </c>
      <c r="V52" s="70">
        <f t="shared" ca="1" si="59"/>
        <v>0</v>
      </c>
      <c r="W52" s="70">
        <f t="shared" ca="1" si="60"/>
        <v>0</v>
      </c>
      <c r="X52" s="70">
        <f t="shared" ca="1" si="61"/>
        <v>0</v>
      </c>
      <c r="Y52" s="98">
        <f t="shared" ca="1" si="62"/>
        <v>0</v>
      </c>
      <c r="Z52" s="70">
        <f t="shared" ca="1" si="63"/>
        <v>0</v>
      </c>
      <c r="AA52" s="70">
        <f t="shared" ca="1" si="64"/>
        <v>0</v>
      </c>
      <c r="AB52" s="409" t="e">
        <f t="shared" ca="1" si="65"/>
        <v>#REF!</v>
      </c>
      <c r="AC52" s="70" t="e">
        <f t="shared" ca="1" si="66"/>
        <v>#REF!</v>
      </c>
      <c r="AD52" s="70" t="e">
        <f t="array" aca="1" ref="AD52" ca="1">-(VLOOKUP(AC52, LT_IncomeTaxFed/$K52:$O52, 2, TRUE)+VLOOKUP(AC52,LT_IncomeTaxFed/$K52:$O52,3,TRUE)*(AC52-VLOOKUP(AC52,LT_IncomeTaxFed/$K52:$O52,1,TRUE)))</f>
        <v>#REF!</v>
      </c>
      <c r="AE52" s="70" t="e">
        <f t="array" aca="1" ref="AE52" ca="1">-(VLOOKUP($AC52+$X52, LT_IncomeTaxFed/$K52:$O52, 4, TRUE)+VLOOKUP($AC52+$X52,LT_IncomeTaxFed/$K52:$O52,5,TRUE)*($AC52+$X52-VLOOKUP($AC52+$X52,LT_IncomeTaxFed/$K52:$O52,1,TRUE)))+(VLOOKUP($AC52, LT_IncomeTaxFed/$K52:$O52, 4, TRUE)+VLOOKUP($AC52,LT_IncomeTaxFed/$K52:$O52,5,TRUE)*($AC52-VLOOKUP($AC52,LT_IncomeTaxFed/$K52:$O52,1,TRUE)))</f>
        <v>#REF!</v>
      </c>
      <c r="AF52" s="75" t="e">
        <f t="shared" ca="1" si="67"/>
        <v>#REF!</v>
      </c>
      <c r="AG52" s="70" t="e">
        <f t="shared" ca="1" si="68"/>
        <v>#REF!</v>
      </c>
      <c r="AH52" s="67" t="e">
        <f t="array" aca="1" ref="AH52" ca="1">IF(AG52&gt;0,(VLOOKUP(AG52, LT_IncomeTaxFed/$K52:$O52, 2, TRUE)+VLOOKUP(AG52,LT_IncomeTaxFed/$K52:$O52,3,TRUE)*(AG52-VLOOKUP(AG52,LT_IncomeTaxFed/$K52:$O52,1,TRUE)))/AG52,0)</f>
        <v>#REF!</v>
      </c>
      <c r="AI52" s="109" t="e">
        <f t="shared" ca="1" si="69"/>
        <v>#REF!</v>
      </c>
      <c r="AJ52" s="634" t="e">
        <f ca="1">SUMPRODUCT($Z52:$Z53+$AA52:$AA53+$AD52:$AD53+$AE52:$AE53+$AI52:$AI53)</f>
        <v>#REF!</v>
      </c>
      <c r="AK52" s="668" t="e">
        <f t="shared" ref="AK52" ca="1" si="75">IF($U52&gt;0, -AJ52/$U52, 0)</f>
        <v>#REF!</v>
      </c>
      <c r="AL52" s="1"/>
    </row>
    <row r="53" spans="2:38" x14ac:dyDescent="0.25">
      <c r="B53" s="86">
        <f t="shared" ca="1" si="29"/>
        <v>2043</v>
      </c>
      <c r="C53" s="80" t="s">
        <v>741</v>
      </c>
      <c r="D53" s="147" t="str">
        <f t="shared" si="48"/>
        <v/>
      </c>
      <c r="E53" s="81">
        <f t="shared" si="46"/>
        <v>0</v>
      </c>
      <c r="F53" s="81" t="b">
        <f t="shared" si="49"/>
        <v>0</v>
      </c>
      <c r="G53" s="81">
        <f t="shared" si="4"/>
        <v>2</v>
      </c>
      <c r="H53" s="82">
        <f t="shared" si="50"/>
        <v>-1</v>
      </c>
      <c r="I53" s="82">
        <f t="shared" si="51"/>
        <v>0</v>
      </c>
      <c r="J53" s="81">
        <f t="shared" si="52"/>
        <v>0</v>
      </c>
      <c r="K53" s="205">
        <f t="shared" ca="1" si="30"/>
        <v>0.46158298029606676</v>
      </c>
      <c r="L53" s="95">
        <f t="shared" ca="1" si="30"/>
        <v>0.46158298029606676</v>
      </c>
      <c r="M53" s="95">
        <v>1</v>
      </c>
      <c r="N53" s="94">
        <f t="shared" ca="1" si="31"/>
        <v>0.46158298029606676</v>
      </c>
      <c r="O53" s="206">
        <v>1</v>
      </c>
      <c r="P53" s="107">
        <f t="shared" ca="1" si="53"/>
        <v>0</v>
      </c>
      <c r="Q53" s="107">
        <f t="shared" ca="1" si="54"/>
        <v>0</v>
      </c>
      <c r="R53" s="107">
        <f t="shared" si="55"/>
        <v>0</v>
      </c>
      <c r="S53" s="107">
        <f t="shared" ca="1" si="56"/>
        <v>0</v>
      </c>
      <c r="T53" s="107">
        <f t="shared" ca="1" si="57"/>
        <v>0</v>
      </c>
      <c r="U53" s="107">
        <f t="shared" ca="1" si="58"/>
        <v>0</v>
      </c>
      <c r="V53" s="107">
        <f t="shared" ca="1" si="59"/>
        <v>0</v>
      </c>
      <c r="W53" s="107">
        <f t="shared" ca="1" si="60"/>
        <v>0</v>
      </c>
      <c r="X53" s="107">
        <f t="shared" ca="1" si="61"/>
        <v>0</v>
      </c>
      <c r="Y53" s="101">
        <f t="shared" ca="1" si="62"/>
        <v>0</v>
      </c>
      <c r="Z53" s="107">
        <f t="shared" ca="1" si="63"/>
        <v>0</v>
      </c>
      <c r="AA53" s="107">
        <f t="shared" ca="1" si="64"/>
        <v>0</v>
      </c>
      <c r="AB53" s="106" t="e">
        <f t="shared" ca="1" si="65"/>
        <v>#REF!</v>
      </c>
      <c r="AC53" s="107" t="e">
        <f t="shared" ca="1" si="66"/>
        <v>#REF!</v>
      </c>
      <c r="AD53" s="107" t="e">
        <f t="array" aca="1" ref="AD53" ca="1">-(VLOOKUP(AC53, LT_IncomeTaxFed/$K53:$O53, 2, TRUE)+VLOOKUP(AC53,LT_IncomeTaxFed/$K53:$O53,3,TRUE)*(AC53-VLOOKUP(AC53,LT_IncomeTaxFed/$K53:$O53,1,TRUE)))</f>
        <v>#REF!</v>
      </c>
      <c r="AE53" s="107" t="e">
        <f t="array" aca="1" ref="AE53" ca="1">-(VLOOKUP($AC53+$X53, LT_IncomeTaxFed/$K53:$O53, 4, TRUE)+VLOOKUP($AC53+$X53,LT_IncomeTaxFed/$K53:$O53,5,TRUE)*($AC53+$X53-VLOOKUP($AC53+$X53,LT_IncomeTaxFed/$K53:$O53,1,TRUE)))+(VLOOKUP($AC53, LT_IncomeTaxFed/$K53:$O53, 4, TRUE)+VLOOKUP($AC53,LT_IncomeTaxFed/$K53:$O53,5,TRUE)*($AC53-VLOOKUP($AC53,LT_IncomeTaxFed/$K53:$O53,1,TRUE)))</f>
        <v>#REF!</v>
      </c>
      <c r="AF53" s="106" t="e">
        <f t="shared" ca="1" si="67"/>
        <v>#REF!</v>
      </c>
      <c r="AG53" s="107" t="e">
        <f t="shared" ca="1" si="68"/>
        <v>#REF!</v>
      </c>
      <c r="AH53" s="91" t="e">
        <f t="array" aca="1" ref="AH53" ca="1">IF(AG53&gt;0,(VLOOKUP(AG53, LT_IncomeTaxFed/$K53:$O53, 2, TRUE)+VLOOKUP(AG53,LT_IncomeTaxFed/$K53:$O53,3,TRUE)*(AG53-VLOOKUP(AG53,LT_IncomeTaxFed/$K53:$O53,1,TRUE)))/AG53,0)</f>
        <v>#REF!</v>
      </c>
      <c r="AI53" s="110" t="e">
        <f t="shared" ca="1" si="69"/>
        <v>#REF!</v>
      </c>
      <c r="AJ53" s="634"/>
      <c r="AK53" s="668"/>
      <c r="AL53" s="1"/>
    </row>
    <row r="54" spans="2:38" x14ac:dyDescent="0.25">
      <c r="B54" s="65">
        <f ca="1">B52+1</f>
        <v>2044</v>
      </c>
      <c r="C54" s="76" t="s">
        <v>741</v>
      </c>
      <c r="D54" s="146" t="str">
        <f t="shared" si="48"/>
        <v/>
      </c>
      <c r="E54" s="77">
        <f t="shared" si="46"/>
        <v>0</v>
      </c>
      <c r="F54" s="77" t="b">
        <f t="shared" si="49"/>
        <v>0</v>
      </c>
      <c r="G54" s="77">
        <f t="shared" si="4"/>
        <v>1</v>
      </c>
      <c r="H54" s="76">
        <f t="shared" si="50"/>
        <v>1</v>
      </c>
      <c r="I54" s="76">
        <f t="shared" si="51"/>
        <v>0</v>
      </c>
      <c r="J54" s="77">
        <f t="shared" si="52"/>
        <v>0</v>
      </c>
      <c r="K54" s="204">
        <f t="shared" ca="1" si="30"/>
        <v>0.44489925811669079</v>
      </c>
      <c r="L54" s="93">
        <f t="shared" ca="1" si="30"/>
        <v>0.44489925811669079</v>
      </c>
      <c r="M54" s="93">
        <v>1</v>
      </c>
      <c r="N54" s="92">
        <f t="shared" ca="1" si="31"/>
        <v>0.44489925811669079</v>
      </c>
      <c r="O54" s="100">
        <v>1</v>
      </c>
      <c r="P54" s="70">
        <f t="shared" ca="1" si="53"/>
        <v>0</v>
      </c>
      <c r="Q54" s="70">
        <f t="shared" ca="1" si="54"/>
        <v>0</v>
      </c>
      <c r="R54" s="70" t="e">
        <f t="shared" ca="1" si="55"/>
        <v>#REF!</v>
      </c>
      <c r="S54" s="70">
        <f t="shared" ca="1" si="56"/>
        <v>0</v>
      </c>
      <c r="T54" s="70">
        <f t="shared" ca="1" si="57"/>
        <v>0</v>
      </c>
      <c r="U54" s="70" t="e">
        <f t="shared" ca="1" si="58"/>
        <v>#REF!</v>
      </c>
      <c r="V54" s="70">
        <f t="shared" ca="1" si="59"/>
        <v>0</v>
      </c>
      <c r="W54" s="70">
        <f t="shared" ca="1" si="60"/>
        <v>0</v>
      </c>
      <c r="X54" s="70">
        <f t="shared" ca="1" si="61"/>
        <v>0</v>
      </c>
      <c r="Y54" s="98">
        <f t="shared" ca="1" si="62"/>
        <v>0</v>
      </c>
      <c r="Z54" s="70">
        <f t="shared" ca="1" si="63"/>
        <v>0</v>
      </c>
      <c r="AA54" s="70">
        <f t="shared" ca="1" si="64"/>
        <v>0</v>
      </c>
      <c r="AB54" s="409" t="e">
        <f t="shared" ca="1" si="65"/>
        <v>#REF!</v>
      </c>
      <c r="AC54" s="70" t="e">
        <f t="shared" ca="1" si="66"/>
        <v>#REF!</v>
      </c>
      <c r="AD54" s="70" t="e">
        <f t="array" aca="1" ref="AD54" ca="1">-(VLOOKUP(AC54, LT_IncomeTaxFed/$K54:$O54, 2, TRUE)+VLOOKUP(AC54,LT_IncomeTaxFed/$K54:$O54,3,TRUE)*(AC54-VLOOKUP(AC54,LT_IncomeTaxFed/$K54:$O54,1,TRUE)))</f>
        <v>#REF!</v>
      </c>
      <c r="AE54" s="70" t="e">
        <f t="array" aca="1" ref="AE54" ca="1">-(VLOOKUP($AC54+$X54, LT_IncomeTaxFed/$K54:$O54, 4, TRUE)+VLOOKUP($AC54+$X54,LT_IncomeTaxFed/$K54:$O54,5,TRUE)*($AC54+$X54-VLOOKUP($AC54+$X54,LT_IncomeTaxFed/$K54:$O54,1,TRUE)))+(VLOOKUP($AC54, LT_IncomeTaxFed/$K54:$O54, 4, TRUE)+VLOOKUP($AC54,LT_IncomeTaxFed/$K54:$O54,5,TRUE)*($AC54-VLOOKUP($AC54,LT_IncomeTaxFed/$K54:$O54,1,TRUE)))</f>
        <v>#REF!</v>
      </c>
      <c r="AF54" s="75" t="e">
        <f t="shared" ca="1" si="67"/>
        <v>#REF!</v>
      </c>
      <c r="AG54" s="70" t="e">
        <f t="shared" ca="1" si="68"/>
        <v>#REF!</v>
      </c>
      <c r="AH54" s="67" t="e">
        <f t="array" aca="1" ref="AH54" ca="1">IF(AG54&gt;0,(VLOOKUP(AG54, LT_IncomeTaxFed/$K54:$O54, 2, TRUE)+VLOOKUP(AG54,LT_IncomeTaxFed/$K54:$O54,3,TRUE)*(AG54-VLOOKUP(AG54,LT_IncomeTaxFed/$K54:$O54,1,TRUE)))/AG54,0)</f>
        <v>#REF!</v>
      </c>
      <c r="AI54" s="109" t="e">
        <f t="shared" ca="1" si="69"/>
        <v>#REF!</v>
      </c>
      <c r="AJ54" s="634" t="e">
        <f ca="1">SUMPRODUCT($Z54:$Z55+$AA54:$AA55+$AD54:$AD55+$AE54:$AE55+$AI54:$AI55)</f>
        <v>#REF!</v>
      </c>
      <c r="AK54" s="668" t="e">
        <f t="shared" ref="AK54" ca="1" si="76">IF($U54&gt;0, -AJ54/$U54, 0)</f>
        <v>#REF!</v>
      </c>
      <c r="AL54" s="1"/>
    </row>
    <row r="55" spans="2:38" x14ac:dyDescent="0.25">
      <c r="B55" s="86">
        <f t="shared" ca="1" si="29"/>
        <v>2044</v>
      </c>
      <c r="C55" s="80" t="s">
        <v>741</v>
      </c>
      <c r="D55" s="147" t="str">
        <f t="shared" si="48"/>
        <v/>
      </c>
      <c r="E55" s="81">
        <f t="shared" si="46"/>
        <v>0</v>
      </c>
      <c r="F55" s="81" t="b">
        <f t="shared" si="49"/>
        <v>0</v>
      </c>
      <c r="G55" s="81">
        <f t="shared" si="4"/>
        <v>2</v>
      </c>
      <c r="H55" s="82">
        <f t="shared" si="50"/>
        <v>-1</v>
      </c>
      <c r="I55" s="82">
        <f t="shared" si="51"/>
        <v>0</v>
      </c>
      <c r="J55" s="81">
        <f t="shared" si="52"/>
        <v>0</v>
      </c>
      <c r="K55" s="205">
        <f t="shared" ca="1" si="30"/>
        <v>0.44489925811669079</v>
      </c>
      <c r="L55" s="95">
        <f t="shared" ca="1" si="30"/>
        <v>0.44489925811669079</v>
      </c>
      <c r="M55" s="95">
        <v>1</v>
      </c>
      <c r="N55" s="94">
        <f t="shared" ca="1" si="31"/>
        <v>0.44489925811669079</v>
      </c>
      <c r="O55" s="206">
        <v>1</v>
      </c>
      <c r="P55" s="107">
        <f t="shared" ca="1" si="53"/>
        <v>0</v>
      </c>
      <c r="Q55" s="107">
        <f t="shared" ca="1" si="54"/>
        <v>0</v>
      </c>
      <c r="R55" s="107">
        <f t="shared" si="55"/>
        <v>0</v>
      </c>
      <c r="S55" s="107">
        <f t="shared" ca="1" si="56"/>
        <v>0</v>
      </c>
      <c r="T55" s="107">
        <f t="shared" ca="1" si="57"/>
        <v>0</v>
      </c>
      <c r="U55" s="107">
        <f t="shared" ca="1" si="58"/>
        <v>0</v>
      </c>
      <c r="V55" s="107">
        <f t="shared" ca="1" si="59"/>
        <v>0</v>
      </c>
      <c r="W55" s="107">
        <f t="shared" ca="1" si="60"/>
        <v>0</v>
      </c>
      <c r="X55" s="107">
        <f t="shared" ca="1" si="61"/>
        <v>0</v>
      </c>
      <c r="Y55" s="101">
        <f t="shared" ca="1" si="62"/>
        <v>0</v>
      </c>
      <c r="Z55" s="107">
        <f t="shared" ca="1" si="63"/>
        <v>0</v>
      </c>
      <c r="AA55" s="107">
        <f t="shared" ca="1" si="64"/>
        <v>0</v>
      </c>
      <c r="AB55" s="106" t="e">
        <f t="shared" ca="1" si="65"/>
        <v>#REF!</v>
      </c>
      <c r="AC55" s="107" t="e">
        <f t="shared" ca="1" si="66"/>
        <v>#REF!</v>
      </c>
      <c r="AD55" s="107" t="e">
        <f t="array" aca="1" ref="AD55" ca="1">-(VLOOKUP(AC55, LT_IncomeTaxFed/$K55:$O55, 2, TRUE)+VLOOKUP(AC55,LT_IncomeTaxFed/$K55:$O55,3,TRUE)*(AC55-VLOOKUP(AC55,LT_IncomeTaxFed/$K55:$O55,1,TRUE)))</f>
        <v>#REF!</v>
      </c>
      <c r="AE55" s="107" t="e">
        <f t="array" aca="1" ref="AE55" ca="1">-(VLOOKUP($AC55+$X55, LT_IncomeTaxFed/$K55:$O55, 4, TRUE)+VLOOKUP($AC55+$X55,LT_IncomeTaxFed/$K55:$O55,5,TRUE)*($AC55+$X55-VLOOKUP($AC55+$X55,LT_IncomeTaxFed/$K55:$O55,1,TRUE)))+(VLOOKUP($AC55, LT_IncomeTaxFed/$K55:$O55, 4, TRUE)+VLOOKUP($AC55,LT_IncomeTaxFed/$K55:$O55,5,TRUE)*($AC55-VLOOKUP($AC55,LT_IncomeTaxFed/$K55:$O55,1,TRUE)))</f>
        <v>#REF!</v>
      </c>
      <c r="AF55" s="106" t="e">
        <f t="shared" ca="1" si="67"/>
        <v>#REF!</v>
      </c>
      <c r="AG55" s="107" t="e">
        <f t="shared" ca="1" si="68"/>
        <v>#REF!</v>
      </c>
      <c r="AH55" s="91" t="e">
        <f t="array" aca="1" ref="AH55" ca="1">IF(AG55&gt;0,(VLOOKUP(AG55, LT_IncomeTaxFed/$K55:$O55, 2, TRUE)+VLOOKUP(AG55,LT_IncomeTaxFed/$K55:$O55,3,TRUE)*(AG55-VLOOKUP(AG55,LT_IncomeTaxFed/$K55:$O55,1,TRUE)))/AG55,0)</f>
        <v>#REF!</v>
      </c>
      <c r="AI55" s="110" t="e">
        <f t="shared" ca="1" si="69"/>
        <v>#REF!</v>
      </c>
      <c r="AJ55" s="634"/>
      <c r="AK55" s="668"/>
      <c r="AL55" s="1"/>
    </row>
    <row r="56" spans="2:38" x14ac:dyDescent="0.25">
      <c r="B56" s="65">
        <f ca="1">B54+1</f>
        <v>2045</v>
      </c>
      <c r="C56" s="76" t="s">
        <v>741</v>
      </c>
      <c r="D56" s="146" t="str">
        <f t="shared" si="48"/>
        <v/>
      </c>
      <c r="E56" s="77">
        <f t="shared" si="46"/>
        <v>0</v>
      </c>
      <c r="F56" s="77" t="b">
        <f t="shared" si="49"/>
        <v>0</v>
      </c>
      <c r="G56" s="77">
        <f t="shared" si="4"/>
        <v>1</v>
      </c>
      <c r="H56" s="76">
        <f t="shared" si="50"/>
        <v>1</v>
      </c>
      <c r="I56" s="76">
        <f t="shared" si="51"/>
        <v>0</v>
      </c>
      <c r="J56" s="77">
        <f t="shared" si="52"/>
        <v>0</v>
      </c>
      <c r="K56" s="204">
        <f t="shared" ca="1" si="30"/>
        <v>0.42881856204018387</v>
      </c>
      <c r="L56" s="93">
        <f t="shared" ca="1" si="30"/>
        <v>0.42881856204018387</v>
      </c>
      <c r="M56" s="93">
        <v>1</v>
      </c>
      <c r="N56" s="92">
        <f t="shared" ca="1" si="31"/>
        <v>0.42881856204018387</v>
      </c>
      <c r="O56" s="100">
        <v>1</v>
      </c>
      <c r="P56" s="70">
        <f t="shared" ca="1" si="53"/>
        <v>0</v>
      </c>
      <c r="Q56" s="70">
        <f t="shared" ca="1" si="54"/>
        <v>0</v>
      </c>
      <c r="R56" s="70" t="e">
        <f t="shared" ca="1" si="55"/>
        <v>#REF!</v>
      </c>
      <c r="S56" s="70">
        <f t="shared" ca="1" si="56"/>
        <v>0</v>
      </c>
      <c r="T56" s="70">
        <f t="shared" ca="1" si="57"/>
        <v>0</v>
      </c>
      <c r="U56" s="70" t="e">
        <f t="shared" ca="1" si="58"/>
        <v>#REF!</v>
      </c>
      <c r="V56" s="70">
        <f t="shared" ca="1" si="59"/>
        <v>0</v>
      </c>
      <c r="W56" s="70">
        <f t="shared" ca="1" si="60"/>
        <v>0</v>
      </c>
      <c r="X56" s="70">
        <f t="shared" ca="1" si="61"/>
        <v>0</v>
      </c>
      <c r="Y56" s="98">
        <f t="shared" ca="1" si="62"/>
        <v>0</v>
      </c>
      <c r="Z56" s="70">
        <f t="shared" ca="1" si="63"/>
        <v>0</v>
      </c>
      <c r="AA56" s="70">
        <f t="shared" ca="1" si="64"/>
        <v>0</v>
      </c>
      <c r="AB56" s="409" t="e">
        <f t="shared" ca="1" si="65"/>
        <v>#REF!</v>
      </c>
      <c r="AC56" s="70" t="e">
        <f t="shared" ca="1" si="66"/>
        <v>#REF!</v>
      </c>
      <c r="AD56" s="70" t="e">
        <f t="array" aca="1" ref="AD56" ca="1">-(VLOOKUP(AC56, LT_IncomeTaxFed/$K56:$O56, 2, TRUE)+VLOOKUP(AC56,LT_IncomeTaxFed/$K56:$O56,3,TRUE)*(AC56-VLOOKUP(AC56,LT_IncomeTaxFed/$K56:$O56,1,TRUE)))</f>
        <v>#REF!</v>
      </c>
      <c r="AE56" s="70" t="e">
        <f t="array" aca="1" ref="AE56" ca="1">-(VLOOKUP($AC56+$X56, LT_IncomeTaxFed/$K56:$O56, 4, TRUE)+VLOOKUP($AC56+$X56,LT_IncomeTaxFed/$K56:$O56,5,TRUE)*($AC56+$X56-VLOOKUP($AC56+$X56,LT_IncomeTaxFed/$K56:$O56,1,TRUE)))+(VLOOKUP($AC56, LT_IncomeTaxFed/$K56:$O56, 4, TRUE)+VLOOKUP($AC56,LT_IncomeTaxFed/$K56:$O56,5,TRUE)*($AC56-VLOOKUP($AC56,LT_IncomeTaxFed/$K56:$O56,1,TRUE)))</f>
        <v>#REF!</v>
      </c>
      <c r="AF56" s="75" t="e">
        <f t="shared" ca="1" si="67"/>
        <v>#REF!</v>
      </c>
      <c r="AG56" s="70" t="e">
        <f t="shared" ca="1" si="68"/>
        <v>#REF!</v>
      </c>
      <c r="AH56" s="67" t="e">
        <f t="array" aca="1" ref="AH56" ca="1">IF(AG56&gt;0,(VLOOKUP(AG56, LT_IncomeTaxFed/$K56:$O56, 2, TRUE)+VLOOKUP(AG56,LT_IncomeTaxFed/$K56:$O56,3,TRUE)*(AG56-VLOOKUP(AG56,LT_IncomeTaxFed/$K56:$O56,1,TRUE)))/AG56,0)</f>
        <v>#REF!</v>
      </c>
      <c r="AI56" s="109" t="e">
        <f t="shared" ca="1" si="69"/>
        <v>#REF!</v>
      </c>
      <c r="AJ56" s="634" t="e">
        <f ca="1">SUMPRODUCT($Z56:$Z57+$AA56:$AA57+$AD56:$AD57+$AE56:$AE57+$AI56:$AI57)</f>
        <v>#REF!</v>
      </c>
      <c r="AK56" s="668" t="e">
        <f t="shared" ref="AK56" ca="1" si="77">IF($U56&gt;0, -AJ56/$U56, 0)</f>
        <v>#REF!</v>
      </c>
      <c r="AL56" s="1"/>
    </row>
    <row r="57" spans="2:38" x14ac:dyDescent="0.25">
      <c r="B57" s="86">
        <f t="shared" ca="1" si="29"/>
        <v>2045</v>
      </c>
      <c r="C57" s="80" t="s">
        <v>741</v>
      </c>
      <c r="D57" s="147" t="str">
        <f t="shared" si="48"/>
        <v/>
      </c>
      <c r="E57" s="81">
        <f t="shared" si="46"/>
        <v>0</v>
      </c>
      <c r="F57" s="81" t="b">
        <f t="shared" si="49"/>
        <v>0</v>
      </c>
      <c r="G57" s="81">
        <f t="shared" si="4"/>
        <v>2</v>
      </c>
      <c r="H57" s="82">
        <f t="shared" si="50"/>
        <v>-1</v>
      </c>
      <c r="I57" s="82">
        <f t="shared" si="51"/>
        <v>0</v>
      </c>
      <c r="J57" s="81">
        <f t="shared" si="52"/>
        <v>0</v>
      </c>
      <c r="K57" s="205">
        <f t="shared" ca="1" si="30"/>
        <v>0.42881856204018387</v>
      </c>
      <c r="L57" s="95">
        <f t="shared" ca="1" si="30"/>
        <v>0.42881856204018387</v>
      </c>
      <c r="M57" s="95">
        <v>1</v>
      </c>
      <c r="N57" s="94">
        <f t="shared" ca="1" si="31"/>
        <v>0.42881856204018387</v>
      </c>
      <c r="O57" s="206">
        <v>1</v>
      </c>
      <c r="P57" s="107">
        <f t="shared" ca="1" si="53"/>
        <v>0</v>
      </c>
      <c r="Q57" s="107">
        <f t="shared" ca="1" si="54"/>
        <v>0</v>
      </c>
      <c r="R57" s="107">
        <f t="shared" si="55"/>
        <v>0</v>
      </c>
      <c r="S57" s="107">
        <f t="shared" ca="1" si="56"/>
        <v>0</v>
      </c>
      <c r="T57" s="107">
        <f t="shared" ca="1" si="57"/>
        <v>0</v>
      </c>
      <c r="U57" s="107">
        <f t="shared" ca="1" si="58"/>
        <v>0</v>
      </c>
      <c r="V57" s="107">
        <f t="shared" ca="1" si="59"/>
        <v>0</v>
      </c>
      <c r="W57" s="107">
        <f t="shared" ca="1" si="60"/>
        <v>0</v>
      </c>
      <c r="X57" s="107">
        <f t="shared" ca="1" si="61"/>
        <v>0</v>
      </c>
      <c r="Y57" s="101">
        <f t="shared" ca="1" si="62"/>
        <v>0</v>
      </c>
      <c r="Z57" s="107">
        <f t="shared" ca="1" si="63"/>
        <v>0</v>
      </c>
      <c r="AA57" s="107">
        <f t="shared" ca="1" si="64"/>
        <v>0</v>
      </c>
      <c r="AB57" s="106" t="e">
        <f t="shared" ca="1" si="65"/>
        <v>#REF!</v>
      </c>
      <c r="AC57" s="107" t="e">
        <f t="shared" ca="1" si="66"/>
        <v>#REF!</v>
      </c>
      <c r="AD57" s="107" t="e">
        <f t="array" aca="1" ref="AD57" ca="1">-(VLOOKUP(AC57, LT_IncomeTaxFed/$K57:$O57, 2, TRUE)+VLOOKUP(AC57,LT_IncomeTaxFed/$K57:$O57,3,TRUE)*(AC57-VLOOKUP(AC57,LT_IncomeTaxFed/$K57:$O57,1,TRUE)))</f>
        <v>#REF!</v>
      </c>
      <c r="AE57" s="107" t="e">
        <f t="array" aca="1" ref="AE57" ca="1">-(VLOOKUP($AC57+$X57, LT_IncomeTaxFed/$K57:$O57, 4, TRUE)+VLOOKUP($AC57+$X57,LT_IncomeTaxFed/$K57:$O57,5,TRUE)*($AC57+$X57-VLOOKUP($AC57+$X57,LT_IncomeTaxFed/$K57:$O57,1,TRUE)))+(VLOOKUP($AC57, LT_IncomeTaxFed/$K57:$O57, 4, TRUE)+VLOOKUP($AC57,LT_IncomeTaxFed/$K57:$O57,5,TRUE)*($AC57-VLOOKUP($AC57,LT_IncomeTaxFed/$K57:$O57,1,TRUE)))</f>
        <v>#REF!</v>
      </c>
      <c r="AF57" s="106" t="e">
        <f t="shared" ca="1" si="67"/>
        <v>#REF!</v>
      </c>
      <c r="AG57" s="107" t="e">
        <f t="shared" ca="1" si="68"/>
        <v>#REF!</v>
      </c>
      <c r="AH57" s="91" t="e">
        <f t="array" aca="1" ref="AH57" ca="1">IF(AG57&gt;0,(VLOOKUP(AG57, LT_IncomeTaxFed/$K57:$O57, 2, TRUE)+VLOOKUP(AG57,LT_IncomeTaxFed/$K57:$O57,3,TRUE)*(AG57-VLOOKUP(AG57,LT_IncomeTaxFed/$K57:$O57,1,TRUE)))/AG57,0)</f>
        <v>#REF!</v>
      </c>
      <c r="AI57" s="110" t="e">
        <f t="shared" ca="1" si="69"/>
        <v>#REF!</v>
      </c>
      <c r="AJ57" s="634"/>
      <c r="AK57" s="668"/>
      <c r="AL57" s="1"/>
    </row>
    <row r="58" spans="2:38" x14ac:dyDescent="0.25">
      <c r="B58" s="65">
        <f ca="1">B56+1</f>
        <v>2046</v>
      </c>
      <c r="C58" s="76" t="s">
        <v>741</v>
      </c>
      <c r="D58" s="146" t="str">
        <f t="shared" si="48"/>
        <v/>
      </c>
      <c r="E58" s="77">
        <f t="shared" si="46"/>
        <v>0</v>
      </c>
      <c r="F58" s="77" t="b">
        <f t="shared" si="49"/>
        <v>0</v>
      </c>
      <c r="G58" s="77">
        <f t="shared" si="4"/>
        <v>1</v>
      </c>
      <c r="H58" s="76">
        <f t="shared" si="50"/>
        <v>1</v>
      </c>
      <c r="I58" s="76">
        <f t="shared" si="51"/>
        <v>0</v>
      </c>
      <c r="J58" s="77">
        <f t="shared" si="52"/>
        <v>0</v>
      </c>
      <c r="K58" s="204">
        <f t="shared" ca="1" si="30"/>
        <v>0.41331909594234584</v>
      </c>
      <c r="L58" s="93">
        <f t="shared" ca="1" si="30"/>
        <v>0.41331909594234584</v>
      </c>
      <c r="M58" s="93">
        <v>1</v>
      </c>
      <c r="N58" s="92">
        <f t="shared" ca="1" si="31"/>
        <v>0.41331909594234584</v>
      </c>
      <c r="O58" s="100">
        <v>1</v>
      </c>
      <c r="P58" s="70">
        <f t="shared" ca="1" si="53"/>
        <v>0</v>
      </c>
      <c r="Q58" s="70">
        <f t="shared" ca="1" si="54"/>
        <v>0</v>
      </c>
      <c r="R58" s="70" t="e">
        <f t="shared" ca="1" si="55"/>
        <v>#REF!</v>
      </c>
      <c r="S58" s="70">
        <f t="shared" ca="1" si="56"/>
        <v>0</v>
      </c>
      <c r="T58" s="70">
        <f t="shared" ca="1" si="57"/>
        <v>0</v>
      </c>
      <c r="U58" s="70" t="e">
        <f t="shared" ca="1" si="58"/>
        <v>#REF!</v>
      </c>
      <c r="V58" s="70">
        <f t="shared" ca="1" si="59"/>
        <v>0</v>
      </c>
      <c r="W58" s="70">
        <f t="shared" ca="1" si="60"/>
        <v>0</v>
      </c>
      <c r="X58" s="70">
        <f t="shared" ca="1" si="61"/>
        <v>0</v>
      </c>
      <c r="Y58" s="98">
        <f t="shared" ca="1" si="62"/>
        <v>0</v>
      </c>
      <c r="Z58" s="70">
        <f t="shared" ca="1" si="63"/>
        <v>0</v>
      </c>
      <c r="AA58" s="70">
        <f t="shared" ca="1" si="64"/>
        <v>0</v>
      </c>
      <c r="AB58" s="409" t="e">
        <f t="shared" ca="1" si="65"/>
        <v>#REF!</v>
      </c>
      <c r="AC58" s="70" t="e">
        <f t="shared" ca="1" si="66"/>
        <v>#REF!</v>
      </c>
      <c r="AD58" s="70" t="e">
        <f t="array" aca="1" ref="AD58" ca="1">-(VLOOKUP(AC58, LT_IncomeTaxFed/$K58:$O58, 2, TRUE)+VLOOKUP(AC58,LT_IncomeTaxFed/$K58:$O58,3,TRUE)*(AC58-VLOOKUP(AC58,LT_IncomeTaxFed/$K58:$O58,1,TRUE)))</f>
        <v>#REF!</v>
      </c>
      <c r="AE58" s="70" t="e">
        <f t="array" aca="1" ref="AE58" ca="1">-(VLOOKUP($AC58+$X58, LT_IncomeTaxFed/$K58:$O58, 4, TRUE)+VLOOKUP($AC58+$X58,LT_IncomeTaxFed/$K58:$O58,5,TRUE)*($AC58+$X58-VLOOKUP($AC58+$X58,LT_IncomeTaxFed/$K58:$O58,1,TRUE)))+(VLOOKUP($AC58, LT_IncomeTaxFed/$K58:$O58, 4, TRUE)+VLOOKUP($AC58,LT_IncomeTaxFed/$K58:$O58,5,TRUE)*($AC58-VLOOKUP($AC58,LT_IncomeTaxFed/$K58:$O58,1,TRUE)))</f>
        <v>#REF!</v>
      </c>
      <c r="AF58" s="75" t="e">
        <f t="shared" ca="1" si="67"/>
        <v>#REF!</v>
      </c>
      <c r="AG58" s="70" t="e">
        <f t="shared" ca="1" si="68"/>
        <v>#REF!</v>
      </c>
      <c r="AH58" s="67" t="e">
        <f t="array" aca="1" ref="AH58" ca="1">IF(AG58&gt;0,(VLOOKUP(AG58, LT_IncomeTaxFed/$K58:$O58, 2, TRUE)+VLOOKUP(AG58,LT_IncomeTaxFed/$K58:$O58,3,TRUE)*(AG58-VLOOKUP(AG58,LT_IncomeTaxFed/$K58:$O58,1,TRUE)))/AG58,0)</f>
        <v>#REF!</v>
      </c>
      <c r="AI58" s="109" t="e">
        <f t="shared" ca="1" si="69"/>
        <v>#REF!</v>
      </c>
      <c r="AJ58" s="634" t="e">
        <f ca="1">SUMPRODUCT($Z58:$Z59+$AA58:$AA59+$AD58:$AD59+$AE58:$AE59+$AI58:$AI59)</f>
        <v>#REF!</v>
      </c>
      <c r="AK58" s="668" t="e">
        <f t="shared" ref="AK58" ca="1" si="78">IF($U58&gt;0, -AJ58/$U58, 0)</f>
        <v>#REF!</v>
      </c>
      <c r="AL58" s="1"/>
    </row>
    <row r="59" spans="2:38" x14ac:dyDescent="0.25">
      <c r="B59" s="86">
        <f t="shared" ca="1" si="29"/>
        <v>2046</v>
      </c>
      <c r="C59" s="80" t="s">
        <v>741</v>
      </c>
      <c r="D59" s="147" t="str">
        <f t="shared" si="48"/>
        <v/>
      </c>
      <c r="E59" s="81">
        <f t="shared" si="46"/>
        <v>0</v>
      </c>
      <c r="F59" s="81" t="b">
        <f t="shared" si="49"/>
        <v>0</v>
      </c>
      <c r="G59" s="81">
        <f t="shared" si="4"/>
        <v>2</v>
      </c>
      <c r="H59" s="82">
        <f t="shared" si="50"/>
        <v>-1</v>
      </c>
      <c r="I59" s="82">
        <f t="shared" si="51"/>
        <v>0</v>
      </c>
      <c r="J59" s="81">
        <f t="shared" si="52"/>
        <v>0</v>
      </c>
      <c r="K59" s="205">
        <f t="shared" ca="1" si="30"/>
        <v>0.41331909594234584</v>
      </c>
      <c r="L59" s="95">
        <f t="shared" ca="1" si="30"/>
        <v>0.41331909594234584</v>
      </c>
      <c r="M59" s="95">
        <v>1</v>
      </c>
      <c r="N59" s="94">
        <f t="shared" ca="1" si="31"/>
        <v>0.41331909594234584</v>
      </c>
      <c r="O59" s="206">
        <v>1</v>
      </c>
      <c r="P59" s="107">
        <f t="shared" ca="1" si="53"/>
        <v>0</v>
      </c>
      <c r="Q59" s="107">
        <f t="shared" ca="1" si="54"/>
        <v>0</v>
      </c>
      <c r="R59" s="107">
        <f t="shared" si="55"/>
        <v>0</v>
      </c>
      <c r="S59" s="107">
        <f t="shared" ca="1" si="56"/>
        <v>0</v>
      </c>
      <c r="T59" s="107">
        <f t="shared" ca="1" si="57"/>
        <v>0</v>
      </c>
      <c r="U59" s="107">
        <f t="shared" ca="1" si="58"/>
        <v>0</v>
      </c>
      <c r="V59" s="107">
        <f t="shared" ca="1" si="59"/>
        <v>0</v>
      </c>
      <c r="W59" s="107">
        <f t="shared" ca="1" si="60"/>
        <v>0</v>
      </c>
      <c r="X59" s="107">
        <f t="shared" ca="1" si="61"/>
        <v>0</v>
      </c>
      <c r="Y59" s="101">
        <f t="shared" ca="1" si="62"/>
        <v>0</v>
      </c>
      <c r="Z59" s="107">
        <f t="shared" ca="1" si="63"/>
        <v>0</v>
      </c>
      <c r="AA59" s="107">
        <f t="shared" ca="1" si="64"/>
        <v>0</v>
      </c>
      <c r="AB59" s="106" t="e">
        <f t="shared" ca="1" si="65"/>
        <v>#REF!</v>
      </c>
      <c r="AC59" s="107" t="e">
        <f t="shared" ca="1" si="66"/>
        <v>#REF!</v>
      </c>
      <c r="AD59" s="107" t="e">
        <f t="array" aca="1" ref="AD59" ca="1">-(VLOOKUP(AC59, LT_IncomeTaxFed/$K59:$O59, 2, TRUE)+VLOOKUP(AC59,LT_IncomeTaxFed/$K59:$O59,3,TRUE)*(AC59-VLOOKUP(AC59,LT_IncomeTaxFed/$K59:$O59,1,TRUE)))</f>
        <v>#REF!</v>
      </c>
      <c r="AE59" s="107" t="e">
        <f t="array" aca="1" ref="AE59" ca="1">-(VLOOKUP($AC59+$X59, LT_IncomeTaxFed/$K59:$O59, 4, TRUE)+VLOOKUP($AC59+$X59,LT_IncomeTaxFed/$K59:$O59,5,TRUE)*($AC59+$X59-VLOOKUP($AC59+$X59,LT_IncomeTaxFed/$K59:$O59,1,TRUE)))+(VLOOKUP($AC59, LT_IncomeTaxFed/$K59:$O59, 4, TRUE)+VLOOKUP($AC59,LT_IncomeTaxFed/$K59:$O59,5,TRUE)*($AC59-VLOOKUP($AC59,LT_IncomeTaxFed/$K59:$O59,1,TRUE)))</f>
        <v>#REF!</v>
      </c>
      <c r="AF59" s="106" t="e">
        <f t="shared" ca="1" si="67"/>
        <v>#REF!</v>
      </c>
      <c r="AG59" s="107" t="e">
        <f t="shared" ca="1" si="68"/>
        <v>#REF!</v>
      </c>
      <c r="AH59" s="91" t="e">
        <f t="array" aca="1" ref="AH59" ca="1">IF(AG59&gt;0,(VLOOKUP(AG59, LT_IncomeTaxFed/$K59:$O59, 2, TRUE)+VLOOKUP(AG59,LT_IncomeTaxFed/$K59:$O59,3,TRUE)*(AG59-VLOOKUP(AG59,LT_IncomeTaxFed/$K59:$O59,1,TRUE)))/AG59,0)</f>
        <v>#REF!</v>
      </c>
      <c r="AI59" s="110" t="e">
        <f t="shared" ca="1" si="69"/>
        <v>#REF!</v>
      </c>
      <c r="AJ59" s="634"/>
      <c r="AK59" s="668"/>
      <c r="AL59" s="1"/>
    </row>
    <row r="60" spans="2:38" x14ac:dyDescent="0.25">
      <c r="B60" s="65">
        <f ca="1">B58+1</f>
        <v>2047</v>
      </c>
      <c r="C60" s="76" t="s">
        <v>741</v>
      </c>
      <c r="D60" s="146" t="str">
        <f t="shared" si="48"/>
        <v/>
      </c>
      <c r="E60" s="77">
        <f t="shared" si="46"/>
        <v>0</v>
      </c>
      <c r="F60" s="77" t="b">
        <f t="shared" si="49"/>
        <v>0</v>
      </c>
      <c r="G60" s="77">
        <f t="shared" si="4"/>
        <v>1</v>
      </c>
      <c r="H60" s="76">
        <f t="shared" si="50"/>
        <v>1</v>
      </c>
      <c r="I60" s="76">
        <f t="shared" si="51"/>
        <v>0</v>
      </c>
      <c r="J60" s="77">
        <f t="shared" si="52"/>
        <v>0</v>
      </c>
      <c r="K60" s="204">
        <f t="shared" ca="1" si="30"/>
        <v>0.39837985151069477</v>
      </c>
      <c r="L60" s="93">
        <f t="shared" ca="1" si="30"/>
        <v>0.39837985151069477</v>
      </c>
      <c r="M60" s="93">
        <v>1</v>
      </c>
      <c r="N60" s="92">
        <f t="shared" ca="1" si="31"/>
        <v>0.39837985151069477</v>
      </c>
      <c r="O60" s="100">
        <v>1</v>
      </c>
      <c r="P60" s="70">
        <f t="shared" ca="1" si="53"/>
        <v>0</v>
      </c>
      <c r="Q60" s="70">
        <f t="shared" ca="1" si="54"/>
        <v>0</v>
      </c>
      <c r="R60" s="70" t="e">
        <f t="shared" ca="1" si="55"/>
        <v>#REF!</v>
      </c>
      <c r="S60" s="70">
        <f t="shared" ca="1" si="56"/>
        <v>0</v>
      </c>
      <c r="T60" s="70">
        <f t="shared" ca="1" si="57"/>
        <v>0</v>
      </c>
      <c r="U60" s="70" t="e">
        <f t="shared" ca="1" si="58"/>
        <v>#REF!</v>
      </c>
      <c r="V60" s="70">
        <f t="shared" ca="1" si="59"/>
        <v>0</v>
      </c>
      <c r="W60" s="70">
        <f t="shared" ca="1" si="60"/>
        <v>0</v>
      </c>
      <c r="X60" s="70">
        <f t="shared" ca="1" si="61"/>
        <v>0</v>
      </c>
      <c r="Y60" s="98">
        <f t="shared" ca="1" si="62"/>
        <v>0</v>
      </c>
      <c r="Z60" s="70">
        <f t="shared" ca="1" si="63"/>
        <v>0</v>
      </c>
      <c r="AA60" s="70">
        <f t="shared" ca="1" si="64"/>
        <v>0</v>
      </c>
      <c r="AB60" s="409" t="e">
        <f t="shared" ca="1" si="65"/>
        <v>#REF!</v>
      </c>
      <c r="AC60" s="70" t="e">
        <f t="shared" ca="1" si="66"/>
        <v>#REF!</v>
      </c>
      <c r="AD60" s="70" t="e">
        <f t="array" aca="1" ref="AD60" ca="1">-(VLOOKUP(AC60, LT_IncomeTaxFed/$K60:$O60, 2, TRUE)+VLOOKUP(AC60,LT_IncomeTaxFed/$K60:$O60,3,TRUE)*(AC60-VLOOKUP(AC60,LT_IncomeTaxFed/$K60:$O60,1,TRUE)))</f>
        <v>#REF!</v>
      </c>
      <c r="AE60" s="70" t="e">
        <f t="array" aca="1" ref="AE60" ca="1">-(VLOOKUP($AC60+$X60, LT_IncomeTaxFed/$K60:$O60, 4, TRUE)+VLOOKUP($AC60+$X60,LT_IncomeTaxFed/$K60:$O60,5,TRUE)*($AC60+$X60-VLOOKUP($AC60+$X60,LT_IncomeTaxFed/$K60:$O60,1,TRUE)))+(VLOOKUP($AC60, LT_IncomeTaxFed/$K60:$O60, 4, TRUE)+VLOOKUP($AC60,LT_IncomeTaxFed/$K60:$O60,5,TRUE)*($AC60-VLOOKUP($AC60,LT_IncomeTaxFed/$K60:$O60,1,TRUE)))</f>
        <v>#REF!</v>
      </c>
      <c r="AF60" s="75" t="e">
        <f t="shared" ca="1" si="67"/>
        <v>#REF!</v>
      </c>
      <c r="AG60" s="70" t="e">
        <f t="shared" ca="1" si="68"/>
        <v>#REF!</v>
      </c>
      <c r="AH60" s="67" t="e">
        <f t="array" aca="1" ref="AH60" ca="1">IF(AG60&gt;0,(VLOOKUP(AG60, LT_IncomeTaxFed/$K60:$O60, 2, TRUE)+VLOOKUP(AG60,LT_IncomeTaxFed/$K60:$O60,3,TRUE)*(AG60-VLOOKUP(AG60,LT_IncomeTaxFed/$K60:$O60,1,TRUE)))/AG60,0)</f>
        <v>#REF!</v>
      </c>
      <c r="AI60" s="109" t="e">
        <f t="shared" ca="1" si="69"/>
        <v>#REF!</v>
      </c>
      <c r="AJ60" s="634" t="e">
        <f ca="1">SUMPRODUCT($Z60:$Z61+$AA60:$AA61+$AD60:$AD61+$AE60:$AE61+$AI60:$AI61)</f>
        <v>#REF!</v>
      </c>
      <c r="AK60" s="668" t="e">
        <f t="shared" ref="AK60" ca="1" si="79">IF($U60&gt;0, -AJ60/$U60, 0)</f>
        <v>#REF!</v>
      </c>
      <c r="AL60" s="1"/>
    </row>
    <row r="61" spans="2:38" x14ac:dyDescent="0.25">
      <c r="B61" s="86">
        <f t="shared" ca="1" si="29"/>
        <v>2047</v>
      </c>
      <c r="C61" s="80" t="s">
        <v>741</v>
      </c>
      <c r="D61" s="147" t="str">
        <f t="shared" si="48"/>
        <v/>
      </c>
      <c r="E61" s="81">
        <f t="shared" si="46"/>
        <v>0</v>
      </c>
      <c r="F61" s="81" t="b">
        <f t="shared" si="49"/>
        <v>0</v>
      </c>
      <c r="G61" s="81">
        <f t="shared" si="4"/>
        <v>2</v>
      </c>
      <c r="H61" s="82">
        <f t="shared" si="50"/>
        <v>-1</v>
      </c>
      <c r="I61" s="82">
        <f t="shared" si="51"/>
        <v>0</v>
      </c>
      <c r="J61" s="81">
        <f t="shared" si="52"/>
        <v>0</v>
      </c>
      <c r="K61" s="205">
        <f t="shared" ca="1" si="30"/>
        <v>0.39837985151069477</v>
      </c>
      <c r="L61" s="95">
        <f t="shared" ca="1" si="30"/>
        <v>0.39837985151069477</v>
      </c>
      <c r="M61" s="95">
        <v>1</v>
      </c>
      <c r="N61" s="94">
        <f t="shared" ca="1" si="31"/>
        <v>0.39837985151069477</v>
      </c>
      <c r="O61" s="206">
        <v>1</v>
      </c>
      <c r="P61" s="107">
        <f t="shared" ca="1" si="53"/>
        <v>0</v>
      </c>
      <c r="Q61" s="107">
        <f t="shared" ca="1" si="54"/>
        <v>0</v>
      </c>
      <c r="R61" s="107">
        <f t="shared" si="55"/>
        <v>0</v>
      </c>
      <c r="S61" s="107">
        <f t="shared" ca="1" si="56"/>
        <v>0</v>
      </c>
      <c r="T61" s="107">
        <f t="shared" ca="1" si="57"/>
        <v>0</v>
      </c>
      <c r="U61" s="107">
        <f t="shared" ca="1" si="58"/>
        <v>0</v>
      </c>
      <c r="V61" s="107">
        <f t="shared" ca="1" si="59"/>
        <v>0</v>
      </c>
      <c r="W61" s="107">
        <f t="shared" ca="1" si="60"/>
        <v>0</v>
      </c>
      <c r="X61" s="107">
        <f t="shared" ca="1" si="61"/>
        <v>0</v>
      </c>
      <c r="Y61" s="101">
        <f t="shared" ca="1" si="62"/>
        <v>0</v>
      </c>
      <c r="Z61" s="107">
        <f t="shared" ca="1" si="63"/>
        <v>0</v>
      </c>
      <c r="AA61" s="107">
        <f t="shared" ca="1" si="64"/>
        <v>0</v>
      </c>
      <c r="AB61" s="106" t="e">
        <f t="shared" ca="1" si="65"/>
        <v>#REF!</v>
      </c>
      <c r="AC61" s="107" t="e">
        <f t="shared" ca="1" si="66"/>
        <v>#REF!</v>
      </c>
      <c r="AD61" s="107" t="e">
        <f t="array" aca="1" ref="AD61" ca="1">-(VLOOKUP(AC61, LT_IncomeTaxFed/$K61:$O61, 2, TRUE)+VLOOKUP(AC61,LT_IncomeTaxFed/$K61:$O61,3,TRUE)*(AC61-VLOOKUP(AC61,LT_IncomeTaxFed/$K61:$O61,1,TRUE)))</f>
        <v>#REF!</v>
      </c>
      <c r="AE61" s="107" t="e">
        <f t="array" aca="1" ref="AE61" ca="1">-(VLOOKUP($AC61+$X61, LT_IncomeTaxFed/$K61:$O61, 4, TRUE)+VLOOKUP($AC61+$X61,LT_IncomeTaxFed/$K61:$O61,5,TRUE)*($AC61+$X61-VLOOKUP($AC61+$X61,LT_IncomeTaxFed/$K61:$O61,1,TRUE)))+(VLOOKUP($AC61, LT_IncomeTaxFed/$K61:$O61, 4, TRUE)+VLOOKUP($AC61,LT_IncomeTaxFed/$K61:$O61,5,TRUE)*($AC61-VLOOKUP($AC61,LT_IncomeTaxFed/$K61:$O61,1,TRUE)))</f>
        <v>#REF!</v>
      </c>
      <c r="AF61" s="106" t="e">
        <f t="shared" ca="1" si="67"/>
        <v>#REF!</v>
      </c>
      <c r="AG61" s="107" t="e">
        <f t="shared" ca="1" si="68"/>
        <v>#REF!</v>
      </c>
      <c r="AH61" s="91" t="e">
        <f t="array" aca="1" ref="AH61" ca="1">IF(AG61&gt;0,(VLOOKUP(AG61, LT_IncomeTaxFed/$K61:$O61, 2, TRUE)+VLOOKUP(AG61,LT_IncomeTaxFed/$K61:$O61,3,TRUE)*(AG61-VLOOKUP(AG61,LT_IncomeTaxFed/$K61:$O61,1,TRUE)))/AG61,0)</f>
        <v>#REF!</v>
      </c>
      <c r="AI61" s="110" t="e">
        <f t="shared" ca="1" si="69"/>
        <v>#REF!</v>
      </c>
      <c r="AJ61" s="634"/>
      <c r="AK61" s="668"/>
      <c r="AL61" s="1"/>
    </row>
    <row r="62" spans="2:38" x14ac:dyDescent="0.25">
      <c r="B62" s="65">
        <f ca="1">B60+1</f>
        <v>2048</v>
      </c>
      <c r="C62" s="76" t="s">
        <v>741</v>
      </c>
      <c r="D62" s="146" t="str">
        <f t="shared" si="48"/>
        <v/>
      </c>
      <c r="E62" s="77">
        <f t="shared" si="46"/>
        <v>0</v>
      </c>
      <c r="F62" s="77" t="b">
        <f t="shared" si="49"/>
        <v>0</v>
      </c>
      <c r="G62" s="77">
        <f t="shared" si="4"/>
        <v>1</v>
      </c>
      <c r="H62" s="76">
        <f t="shared" si="50"/>
        <v>1</v>
      </c>
      <c r="I62" s="76">
        <f t="shared" si="51"/>
        <v>0</v>
      </c>
      <c r="J62" s="77">
        <f t="shared" si="52"/>
        <v>0</v>
      </c>
      <c r="K62" s="204">
        <f t="shared" ca="1" si="30"/>
        <v>0.38398057976934435</v>
      </c>
      <c r="L62" s="93">
        <f t="shared" ca="1" si="30"/>
        <v>0.38398057976934435</v>
      </c>
      <c r="M62" s="93">
        <v>1</v>
      </c>
      <c r="N62" s="92">
        <f t="shared" ca="1" si="31"/>
        <v>0.38398057976934435</v>
      </c>
      <c r="O62" s="100">
        <v>1</v>
      </c>
      <c r="P62" s="70">
        <f t="shared" ca="1" si="53"/>
        <v>0</v>
      </c>
      <c r="Q62" s="70">
        <f t="shared" ca="1" si="54"/>
        <v>0</v>
      </c>
      <c r="R62" s="70" t="e">
        <f t="shared" ca="1" si="55"/>
        <v>#REF!</v>
      </c>
      <c r="S62" s="70">
        <f t="shared" ca="1" si="56"/>
        <v>0</v>
      </c>
      <c r="T62" s="70">
        <f t="shared" ca="1" si="57"/>
        <v>0</v>
      </c>
      <c r="U62" s="70" t="e">
        <f t="shared" ca="1" si="58"/>
        <v>#REF!</v>
      </c>
      <c r="V62" s="70">
        <f t="shared" ca="1" si="59"/>
        <v>0</v>
      </c>
      <c r="W62" s="70">
        <f t="shared" ca="1" si="60"/>
        <v>0</v>
      </c>
      <c r="X62" s="70">
        <f t="shared" ca="1" si="61"/>
        <v>0</v>
      </c>
      <c r="Y62" s="98">
        <f t="shared" ca="1" si="62"/>
        <v>0</v>
      </c>
      <c r="Z62" s="70">
        <f t="shared" ca="1" si="63"/>
        <v>0</v>
      </c>
      <c r="AA62" s="70">
        <f t="shared" ca="1" si="64"/>
        <v>0</v>
      </c>
      <c r="AB62" s="409" t="e">
        <f t="shared" ca="1" si="65"/>
        <v>#REF!</v>
      </c>
      <c r="AC62" s="70" t="e">
        <f t="shared" ca="1" si="66"/>
        <v>#REF!</v>
      </c>
      <c r="AD62" s="70" t="e">
        <f t="array" aca="1" ref="AD62" ca="1">-(VLOOKUP(AC62, LT_IncomeTaxFed/$K62:$O62, 2, TRUE)+VLOOKUP(AC62,LT_IncomeTaxFed/$K62:$O62,3,TRUE)*(AC62-VLOOKUP(AC62,LT_IncomeTaxFed/$K62:$O62,1,TRUE)))</f>
        <v>#REF!</v>
      </c>
      <c r="AE62" s="70" t="e">
        <f t="array" aca="1" ref="AE62" ca="1">-(VLOOKUP($AC62+$X62, LT_IncomeTaxFed/$K62:$O62, 4, TRUE)+VLOOKUP($AC62+$X62,LT_IncomeTaxFed/$K62:$O62,5,TRUE)*($AC62+$X62-VLOOKUP($AC62+$X62,LT_IncomeTaxFed/$K62:$O62,1,TRUE)))+(VLOOKUP($AC62, LT_IncomeTaxFed/$K62:$O62, 4, TRUE)+VLOOKUP($AC62,LT_IncomeTaxFed/$K62:$O62,5,TRUE)*($AC62-VLOOKUP($AC62,LT_IncomeTaxFed/$K62:$O62,1,TRUE)))</f>
        <v>#REF!</v>
      </c>
      <c r="AF62" s="75" t="e">
        <f t="shared" ca="1" si="67"/>
        <v>#REF!</v>
      </c>
      <c r="AG62" s="70" t="e">
        <f t="shared" ca="1" si="68"/>
        <v>#REF!</v>
      </c>
      <c r="AH62" s="67" t="e">
        <f t="array" aca="1" ref="AH62" ca="1">IF(AG62&gt;0,(VLOOKUP(AG62, LT_IncomeTaxFed/$K62:$O62, 2, TRUE)+VLOOKUP(AG62,LT_IncomeTaxFed/$K62:$O62,3,TRUE)*(AG62-VLOOKUP(AG62,LT_IncomeTaxFed/$K62:$O62,1,TRUE)))/AG62,0)</f>
        <v>#REF!</v>
      </c>
      <c r="AI62" s="109" t="e">
        <f t="shared" ca="1" si="69"/>
        <v>#REF!</v>
      </c>
      <c r="AJ62" s="634" t="e">
        <f ca="1">SUMPRODUCT($Z62:$Z63+$AA62:$AA63+$AD62:$AD63+$AE62:$AE63+$AI62:$AI63)</f>
        <v>#REF!</v>
      </c>
      <c r="AK62" s="668" t="e">
        <f t="shared" ref="AK62" ca="1" si="80">IF($U62&gt;0, -AJ62/$U62, 0)</f>
        <v>#REF!</v>
      </c>
      <c r="AL62" s="1"/>
    </row>
    <row r="63" spans="2:38" x14ac:dyDescent="0.25">
      <c r="B63" s="86">
        <f t="shared" ca="1" si="29"/>
        <v>2048</v>
      </c>
      <c r="C63" s="80" t="s">
        <v>741</v>
      </c>
      <c r="D63" s="147" t="str">
        <f t="shared" si="48"/>
        <v/>
      </c>
      <c r="E63" s="81">
        <f t="shared" si="46"/>
        <v>0</v>
      </c>
      <c r="F63" s="81" t="b">
        <f t="shared" si="49"/>
        <v>0</v>
      </c>
      <c r="G63" s="81">
        <f t="shared" si="4"/>
        <v>2</v>
      </c>
      <c r="H63" s="82">
        <f t="shared" si="50"/>
        <v>-1</v>
      </c>
      <c r="I63" s="82">
        <f t="shared" si="51"/>
        <v>0</v>
      </c>
      <c r="J63" s="81">
        <f t="shared" si="52"/>
        <v>0</v>
      </c>
      <c r="K63" s="205">
        <f t="shared" ca="1" si="30"/>
        <v>0.38398057976934435</v>
      </c>
      <c r="L63" s="95">
        <f t="shared" ca="1" si="30"/>
        <v>0.38398057976934435</v>
      </c>
      <c r="M63" s="95">
        <v>1</v>
      </c>
      <c r="N63" s="94">
        <f t="shared" ca="1" si="31"/>
        <v>0.38398057976934435</v>
      </c>
      <c r="O63" s="206">
        <v>1</v>
      </c>
      <c r="P63" s="107">
        <f t="shared" ca="1" si="53"/>
        <v>0</v>
      </c>
      <c r="Q63" s="107">
        <f t="shared" ca="1" si="54"/>
        <v>0</v>
      </c>
      <c r="R63" s="107">
        <f t="shared" si="55"/>
        <v>0</v>
      </c>
      <c r="S63" s="107">
        <f t="shared" ca="1" si="56"/>
        <v>0</v>
      </c>
      <c r="T63" s="107">
        <f t="shared" ca="1" si="57"/>
        <v>0</v>
      </c>
      <c r="U63" s="107">
        <f t="shared" ca="1" si="58"/>
        <v>0</v>
      </c>
      <c r="V63" s="107">
        <f t="shared" ca="1" si="59"/>
        <v>0</v>
      </c>
      <c r="W63" s="107">
        <f t="shared" ca="1" si="60"/>
        <v>0</v>
      </c>
      <c r="X63" s="107">
        <f t="shared" ca="1" si="61"/>
        <v>0</v>
      </c>
      <c r="Y63" s="101">
        <f t="shared" ca="1" si="62"/>
        <v>0</v>
      </c>
      <c r="Z63" s="107">
        <f t="shared" ca="1" si="63"/>
        <v>0</v>
      </c>
      <c r="AA63" s="107">
        <f t="shared" ca="1" si="64"/>
        <v>0</v>
      </c>
      <c r="AB63" s="106" t="e">
        <f t="shared" ca="1" si="65"/>
        <v>#REF!</v>
      </c>
      <c r="AC63" s="107" t="e">
        <f t="shared" ca="1" si="66"/>
        <v>#REF!</v>
      </c>
      <c r="AD63" s="107" t="e">
        <f t="array" aca="1" ref="AD63" ca="1">-(VLOOKUP(AC63, LT_IncomeTaxFed/$K63:$O63, 2, TRUE)+VLOOKUP(AC63,LT_IncomeTaxFed/$K63:$O63,3,TRUE)*(AC63-VLOOKUP(AC63,LT_IncomeTaxFed/$K63:$O63,1,TRUE)))</f>
        <v>#REF!</v>
      </c>
      <c r="AE63" s="107" t="e">
        <f t="array" aca="1" ref="AE63" ca="1">-(VLOOKUP($AC63+$X63, LT_IncomeTaxFed/$K63:$O63, 4, TRUE)+VLOOKUP($AC63+$X63,LT_IncomeTaxFed/$K63:$O63,5,TRUE)*($AC63+$X63-VLOOKUP($AC63+$X63,LT_IncomeTaxFed/$K63:$O63,1,TRUE)))+(VLOOKUP($AC63, LT_IncomeTaxFed/$K63:$O63, 4, TRUE)+VLOOKUP($AC63,LT_IncomeTaxFed/$K63:$O63,5,TRUE)*($AC63-VLOOKUP($AC63,LT_IncomeTaxFed/$K63:$O63,1,TRUE)))</f>
        <v>#REF!</v>
      </c>
      <c r="AF63" s="106" t="e">
        <f t="shared" ca="1" si="67"/>
        <v>#REF!</v>
      </c>
      <c r="AG63" s="107" t="e">
        <f t="shared" ca="1" si="68"/>
        <v>#REF!</v>
      </c>
      <c r="AH63" s="91" t="e">
        <f t="array" aca="1" ref="AH63" ca="1">IF(AG63&gt;0,(VLOOKUP(AG63, LT_IncomeTaxFed/$K63:$O63, 2, TRUE)+VLOOKUP(AG63,LT_IncomeTaxFed/$K63:$O63,3,TRUE)*(AG63-VLOOKUP(AG63,LT_IncomeTaxFed/$K63:$O63,1,TRUE)))/AG63,0)</f>
        <v>#REF!</v>
      </c>
      <c r="AI63" s="110" t="e">
        <f t="shared" ca="1" si="69"/>
        <v>#REF!</v>
      </c>
      <c r="AJ63" s="634"/>
      <c r="AK63" s="668"/>
      <c r="AL63" s="1"/>
    </row>
    <row r="64" spans="2:38" x14ac:dyDescent="0.25">
      <c r="B64" s="65">
        <f ca="1">B62+1</f>
        <v>2049</v>
      </c>
      <c r="C64" s="76" t="s">
        <v>741</v>
      </c>
      <c r="D64" s="146" t="str">
        <f t="shared" si="48"/>
        <v/>
      </c>
      <c r="E64" s="77">
        <f t="shared" si="46"/>
        <v>0</v>
      </c>
      <c r="F64" s="77" t="b">
        <f t="shared" si="49"/>
        <v>0</v>
      </c>
      <c r="G64" s="77">
        <f t="shared" si="4"/>
        <v>1</v>
      </c>
      <c r="H64" s="76">
        <f t="shared" si="50"/>
        <v>1</v>
      </c>
      <c r="I64" s="76">
        <f t="shared" si="51"/>
        <v>0</v>
      </c>
      <c r="J64" s="77">
        <f t="shared" si="52"/>
        <v>0</v>
      </c>
      <c r="K64" s="204">
        <f t="shared" ca="1" si="30"/>
        <v>0.37010176363310293</v>
      </c>
      <c r="L64" s="93">
        <f t="shared" ca="1" si="30"/>
        <v>0.37010176363310293</v>
      </c>
      <c r="M64" s="93">
        <v>1</v>
      </c>
      <c r="N64" s="92">
        <f t="shared" ca="1" si="31"/>
        <v>0.37010176363310293</v>
      </c>
      <c r="O64" s="100">
        <v>1</v>
      </c>
      <c r="P64" s="70">
        <f t="shared" ca="1" si="53"/>
        <v>0</v>
      </c>
      <c r="Q64" s="70">
        <f t="shared" ca="1" si="54"/>
        <v>0</v>
      </c>
      <c r="R64" s="70" t="e">
        <f t="shared" ca="1" si="55"/>
        <v>#REF!</v>
      </c>
      <c r="S64" s="70">
        <f t="shared" ca="1" si="56"/>
        <v>0</v>
      </c>
      <c r="T64" s="70">
        <f t="shared" ca="1" si="57"/>
        <v>0</v>
      </c>
      <c r="U64" s="70" t="e">
        <f t="shared" ca="1" si="58"/>
        <v>#REF!</v>
      </c>
      <c r="V64" s="70">
        <f t="shared" ca="1" si="59"/>
        <v>0</v>
      </c>
      <c r="W64" s="70">
        <f t="shared" ca="1" si="60"/>
        <v>0</v>
      </c>
      <c r="X64" s="70">
        <f t="shared" ca="1" si="61"/>
        <v>0</v>
      </c>
      <c r="Y64" s="98">
        <f t="shared" ca="1" si="62"/>
        <v>0</v>
      </c>
      <c r="Z64" s="70">
        <f t="shared" ca="1" si="63"/>
        <v>0</v>
      </c>
      <c r="AA64" s="70">
        <f t="shared" ca="1" si="64"/>
        <v>0</v>
      </c>
      <c r="AB64" s="409" t="e">
        <f t="shared" ca="1" si="65"/>
        <v>#REF!</v>
      </c>
      <c r="AC64" s="70" t="e">
        <f t="shared" ca="1" si="66"/>
        <v>#REF!</v>
      </c>
      <c r="AD64" s="70" t="e">
        <f t="array" aca="1" ref="AD64" ca="1">-(VLOOKUP(AC64, LT_IncomeTaxFed/$K64:$O64, 2, TRUE)+VLOOKUP(AC64,LT_IncomeTaxFed/$K64:$O64,3,TRUE)*(AC64-VLOOKUP(AC64,LT_IncomeTaxFed/$K64:$O64,1,TRUE)))</f>
        <v>#REF!</v>
      </c>
      <c r="AE64" s="70" t="e">
        <f t="array" aca="1" ref="AE64" ca="1">-(VLOOKUP($AC64+$X64, LT_IncomeTaxFed/$K64:$O64, 4, TRUE)+VLOOKUP($AC64+$X64,LT_IncomeTaxFed/$K64:$O64,5,TRUE)*($AC64+$X64-VLOOKUP($AC64+$X64,LT_IncomeTaxFed/$K64:$O64,1,TRUE)))+(VLOOKUP($AC64, LT_IncomeTaxFed/$K64:$O64, 4, TRUE)+VLOOKUP($AC64,LT_IncomeTaxFed/$K64:$O64,5,TRUE)*($AC64-VLOOKUP($AC64,LT_IncomeTaxFed/$K64:$O64,1,TRUE)))</f>
        <v>#REF!</v>
      </c>
      <c r="AF64" s="75" t="e">
        <f t="shared" ca="1" si="67"/>
        <v>#REF!</v>
      </c>
      <c r="AG64" s="70" t="e">
        <f t="shared" ca="1" si="68"/>
        <v>#REF!</v>
      </c>
      <c r="AH64" s="67" t="e">
        <f t="array" aca="1" ref="AH64" ca="1">IF(AG64&gt;0,(VLOOKUP(AG64, LT_IncomeTaxFed/$K64:$O64, 2, TRUE)+VLOOKUP(AG64,LT_IncomeTaxFed/$K64:$O64,3,TRUE)*(AG64-VLOOKUP(AG64,LT_IncomeTaxFed/$K64:$O64,1,TRUE)))/AG64,0)</f>
        <v>#REF!</v>
      </c>
      <c r="AI64" s="109" t="e">
        <f t="shared" ca="1" si="69"/>
        <v>#REF!</v>
      </c>
      <c r="AJ64" s="634" t="e">
        <f ca="1">SUMPRODUCT($Z64:$Z65+$AA64:$AA65+$AD64:$AD65+$AE64:$AE65+$AI64:$AI65)</f>
        <v>#REF!</v>
      </c>
      <c r="AK64" s="668" t="e">
        <f t="shared" ref="AK64" ca="1" si="81">IF($U64&gt;0, -AJ64/$U64, 0)</f>
        <v>#REF!</v>
      </c>
      <c r="AL64" s="1"/>
    </row>
    <row r="65" spans="2:38" x14ac:dyDescent="0.25">
      <c r="B65" s="86">
        <f t="shared" ca="1" si="29"/>
        <v>2049</v>
      </c>
      <c r="C65" s="80" t="s">
        <v>741</v>
      </c>
      <c r="D65" s="147" t="str">
        <f t="shared" si="48"/>
        <v/>
      </c>
      <c r="E65" s="81">
        <f t="shared" si="46"/>
        <v>0</v>
      </c>
      <c r="F65" s="81" t="b">
        <f t="shared" si="49"/>
        <v>0</v>
      </c>
      <c r="G65" s="81">
        <f t="shared" si="4"/>
        <v>2</v>
      </c>
      <c r="H65" s="82">
        <f t="shared" si="50"/>
        <v>-1</v>
      </c>
      <c r="I65" s="82">
        <f t="shared" si="51"/>
        <v>0</v>
      </c>
      <c r="J65" s="81">
        <f t="shared" si="52"/>
        <v>0</v>
      </c>
      <c r="K65" s="205">
        <f t="shared" ca="1" si="30"/>
        <v>0.37010176363310293</v>
      </c>
      <c r="L65" s="95">
        <f t="shared" ca="1" si="30"/>
        <v>0.37010176363310293</v>
      </c>
      <c r="M65" s="95">
        <v>1</v>
      </c>
      <c r="N65" s="94">
        <f t="shared" ca="1" si="31"/>
        <v>0.37010176363310293</v>
      </c>
      <c r="O65" s="206">
        <v>1</v>
      </c>
      <c r="P65" s="107">
        <f t="shared" ca="1" si="53"/>
        <v>0</v>
      </c>
      <c r="Q65" s="107">
        <f t="shared" ca="1" si="54"/>
        <v>0</v>
      </c>
      <c r="R65" s="107">
        <f t="shared" si="55"/>
        <v>0</v>
      </c>
      <c r="S65" s="107">
        <f t="shared" ca="1" si="56"/>
        <v>0</v>
      </c>
      <c r="T65" s="107">
        <f t="shared" ca="1" si="57"/>
        <v>0</v>
      </c>
      <c r="U65" s="107">
        <f t="shared" ca="1" si="58"/>
        <v>0</v>
      </c>
      <c r="V65" s="107">
        <f t="shared" ca="1" si="59"/>
        <v>0</v>
      </c>
      <c r="W65" s="107">
        <f t="shared" ca="1" si="60"/>
        <v>0</v>
      </c>
      <c r="X65" s="107">
        <f t="shared" ca="1" si="61"/>
        <v>0</v>
      </c>
      <c r="Y65" s="101">
        <f t="shared" ca="1" si="62"/>
        <v>0</v>
      </c>
      <c r="Z65" s="107">
        <f t="shared" ca="1" si="63"/>
        <v>0</v>
      </c>
      <c r="AA65" s="107">
        <f t="shared" ca="1" si="64"/>
        <v>0</v>
      </c>
      <c r="AB65" s="106" t="e">
        <f t="shared" ca="1" si="65"/>
        <v>#REF!</v>
      </c>
      <c r="AC65" s="107" t="e">
        <f t="shared" ca="1" si="66"/>
        <v>#REF!</v>
      </c>
      <c r="AD65" s="107" t="e">
        <f t="array" aca="1" ref="AD65" ca="1">-(VLOOKUP(AC65, LT_IncomeTaxFed/$K65:$O65, 2, TRUE)+VLOOKUP(AC65,LT_IncomeTaxFed/$K65:$O65,3,TRUE)*(AC65-VLOOKUP(AC65,LT_IncomeTaxFed/$K65:$O65,1,TRUE)))</f>
        <v>#REF!</v>
      </c>
      <c r="AE65" s="107" t="e">
        <f t="array" aca="1" ref="AE65" ca="1">-(VLOOKUP($AC65+$X65, LT_IncomeTaxFed/$K65:$O65, 4, TRUE)+VLOOKUP($AC65+$X65,LT_IncomeTaxFed/$K65:$O65,5,TRUE)*($AC65+$X65-VLOOKUP($AC65+$X65,LT_IncomeTaxFed/$K65:$O65,1,TRUE)))+(VLOOKUP($AC65, LT_IncomeTaxFed/$K65:$O65, 4, TRUE)+VLOOKUP($AC65,LT_IncomeTaxFed/$K65:$O65,5,TRUE)*($AC65-VLOOKUP($AC65,LT_IncomeTaxFed/$K65:$O65,1,TRUE)))</f>
        <v>#REF!</v>
      </c>
      <c r="AF65" s="106" t="e">
        <f t="shared" ca="1" si="67"/>
        <v>#REF!</v>
      </c>
      <c r="AG65" s="107" t="e">
        <f t="shared" ca="1" si="68"/>
        <v>#REF!</v>
      </c>
      <c r="AH65" s="91" t="e">
        <f t="array" aca="1" ref="AH65" ca="1">IF(AG65&gt;0,(VLOOKUP(AG65, LT_IncomeTaxFed/$K65:$O65, 2, TRUE)+VLOOKUP(AG65,LT_IncomeTaxFed/$K65:$O65,3,TRUE)*(AG65-VLOOKUP(AG65,LT_IncomeTaxFed/$K65:$O65,1,TRUE)))/AG65,0)</f>
        <v>#REF!</v>
      </c>
      <c r="AI65" s="110" t="e">
        <f t="shared" ca="1" si="69"/>
        <v>#REF!</v>
      </c>
      <c r="AJ65" s="634"/>
      <c r="AK65" s="668"/>
      <c r="AL65" s="1"/>
    </row>
    <row r="66" spans="2:38" x14ac:dyDescent="0.25">
      <c r="B66" s="65">
        <f ca="1">B64+1</f>
        <v>2050</v>
      </c>
      <c r="C66" s="76" t="s">
        <v>741</v>
      </c>
      <c r="D66" s="146" t="str">
        <f t="shared" si="48"/>
        <v/>
      </c>
      <c r="E66" s="77">
        <f t="shared" si="46"/>
        <v>0</v>
      </c>
      <c r="F66" s="77" t="b">
        <f t="shared" si="49"/>
        <v>0</v>
      </c>
      <c r="G66" s="77">
        <f t="shared" si="4"/>
        <v>1</v>
      </c>
      <c r="H66" s="76">
        <f t="shared" si="50"/>
        <v>1</v>
      </c>
      <c r="I66" s="76">
        <f t="shared" si="51"/>
        <v>0</v>
      </c>
      <c r="J66" s="77">
        <f t="shared" si="52"/>
        <v>0</v>
      </c>
      <c r="K66" s="204">
        <f t="shared" ca="1" si="30"/>
        <v>0.3567245914535932</v>
      </c>
      <c r="L66" s="93">
        <f t="shared" ca="1" si="30"/>
        <v>0.3567245914535932</v>
      </c>
      <c r="M66" s="93">
        <v>1</v>
      </c>
      <c r="N66" s="92">
        <f t="shared" ca="1" si="31"/>
        <v>0.3567245914535932</v>
      </c>
      <c r="O66" s="100">
        <v>1</v>
      </c>
      <c r="P66" s="70">
        <f t="shared" ca="1" si="53"/>
        <v>0</v>
      </c>
      <c r="Q66" s="70">
        <f t="shared" ca="1" si="54"/>
        <v>0</v>
      </c>
      <c r="R66" s="70" t="e">
        <f t="shared" ca="1" si="55"/>
        <v>#REF!</v>
      </c>
      <c r="S66" s="70">
        <f t="shared" ca="1" si="56"/>
        <v>0</v>
      </c>
      <c r="T66" s="70">
        <f t="shared" ca="1" si="57"/>
        <v>0</v>
      </c>
      <c r="U66" s="70" t="e">
        <f t="shared" ca="1" si="58"/>
        <v>#REF!</v>
      </c>
      <c r="V66" s="70">
        <f t="shared" ca="1" si="59"/>
        <v>0</v>
      </c>
      <c r="W66" s="70">
        <f t="shared" ca="1" si="60"/>
        <v>0</v>
      </c>
      <c r="X66" s="70">
        <f t="shared" ca="1" si="61"/>
        <v>0</v>
      </c>
      <c r="Y66" s="98">
        <f t="shared" ca="1" si="62"/>
        <v>0</v>
      </c>
      <c r="Z66" s="70">
        <f t="shared" ca="1" si="63"/>
        <v>0</v>
      </c>
      <c r="AA66" s="70">
        <f t="shared" ca="1" si="64"/>
        <v>0</v>
      </c>
      <c r="AB66" s="409" t="e">
        <f t="shared" ca="1" si="65"/>
        <v>#REF!</v>
      </c>
      <c r="AC66" s="70" t="e">
        <f t="shared" ca="1" si="66"/>
        <v>#REF!</v>
      </c>
      <c r="AD66" s="70" t="e">
        <f t="array" aca="1" ref="AD66" ca="1">-(VLOOKUP(AC66, LT_IncomeTaxFed/$K66:$O66, 2, TRUE)+VLOOKUP(AC66,LT_IncomeTaxFed/$K66:$O66,3,TRUE)*(AC66-VLOOKUP(AC66,LT_IncomeTaxFed/$K66:$O66,1,TRUE)))</f>
        <v>#REF!</v>
      </c>
      <c r="AE66" s="70" t="e">
        <f t="array" aca="1" ref="AE66" ca="1">-(VLOOKUP($AC66+$X66, LT_IncomeTaxFed/$K66:$O66, 4, TRUE)+VLOOKUP($AC66+$X66,LT_IncomeTaxFed/$K66:$O66,5,TRUE)*($AC66+$X66-VLOOKUP($AC66+$X66,LT_IncomeTaxFed/$K66:$O66,1,TRUE)))+(VLOOKUP($AC66, LT_IncomeTaxFed/$K66:$O66, 4, TRUE)+VLOOKUP($AC66,LT_IncomeTaxFed/$K66:$O66,5,TRUE)*($AC66-VLOOKUP($AC66,LT_IncomeTaxFed/$K66:$O66,1,TRUE)))</f>
        <v>#REF!</v>
      </c>
      <c r="AF66" s="75" t="e">
        <f t="shared" ca="1" si="67"/>
        <v>#REF!</v>
      </c>
      <c r="AG66" s="70" t="e">
        <f t="shared" ca="1" si="68"/>
        <v>#REF!</v>
      </c>
      <c r="AH66" s="67" t="e">
        <f t="array" aca="1" ref="AH66" ca="1">IF(AG66&gt;0,(VLOOKUP(AG66, LT_IncomeTaxFed/$K66:$O66, 2, TRUE)+VLOOKUP(AG66,LT_IncomeTaxFed/$K66:$O66,3,TRUE)*(AG66-VLOOKUP(AG66,LT_IncomeTaxFed/$K66:$O66,1,TRUE)))/AG66,0)</f>
        <v>#REF!</v>
      </c>
      <c r="AI66" s="109" t="e">
        <f t="shared" ca="1" si="69"/>
        <v>#REF!</v>
      </c>
      <c r="AJ66" s="634" t="e">
        <f ca="1">SUMPRODUCT($Z66:$Z67+$AA66:$AA67+$AD66:$AD67+$AE66:$AE67+$AI66:$AI67)</f>
        <v>#REF!</v>
      </c>
      <c r="AK66" s="668" t="e">
        <f t="shared" ref="AK66" ca="1" si="82">IF($U66&gt;0, -AJ66/$U66, 0)</f>
        <v>#REF!</v>
      </c>
      <c r="AL66" s="1"/>
    </row>
    <row r="67" spans="2:38" x14ac:dyDescent="0.25">
      <c r="B67" s="86">
        <f t="shared" ca="1" si="29"/>
        <v>2050</v>
      </c>
      <c r="C67" s="80" t="s">
        <v>741</v>
      </c>
      <c r="D67" s="147" t="str">
        <f t="shared" si="48"/>
        <v/>
      </c>
      <c r="E67" s="81">
        <f t="shared" si="46"/>
        <v>0</v>
      </c>
      <c r="F67" s="81" t="b">
        <f t="shared" si="49"/>
        <v>0</v>
      </c>
      <c r="G67" s="81">
        <f t="shared" si="4"/>
        <v>2</v>
      </c>
      <c r="H67" s="82">
        <f t="shared" si="50"/>
        <v>-1</v>
      </c>
      <c r="I67" s="82">
        <f t="shared" si="51"/>
        <v>0</v>
      </c>
      <c r="J67" s="81">
        <f t="shared" si="52"/>
        <v>0</v>
      </c>
      <c r="K67" s="205">
        <f t="shared" ca="1" si="30"/>
        <v>0.3567245914535932</v>
      </c>
      <c r="L67" s="95">
        <f t="shared" ca="1" si="30"/>
        <v>0.3567245914535932</v>
      </c>
      <c r="M67" s="95">
        <v>1</v>
      </c>
      <c r="N67" s="94">
        <f t="shared" ca="1" si="31"/>
        <v>0.3567245914535932</v>
      </c>
      <c r="O67" s="206">
        <v>1</v>
      </c>
      <c r="P67" s="107">
        <f t="shared" ca="1" si="53"/>
        <v>0</v>
      </c>
      <c r="Q67" s="107">
        <f t="shared" ca="1" si="54"/>
        <v>0</v>
      </c>
      <c r="R67" s="107">
        <f t="shared" si="55"/>
        <v>0</v>
      </c>
      <c r="S67" s="107">
        <f t="shared" ca="1" si="56"/>
        <v>0</v>
      </c>
      <c r="T67" s="107">
        <f t="shared" ca="1" si="57"/>
        <v>0</v>
      </c>
      <c r="U67" s="107">
        <f t="shared" ca="1" si="58"/>
        <v>0</v>
      </c>
      <c r="V67" s="107">
        <f t="shared" ca="1" si="59"/>
        <v>0</v>
      </c>
      <c r="W67" s="107">
        <f t="shared" ca="1" si="60"/>
        <v>0</v>
      </c>
      <c r="X67" s="107">
        <f t="shared" ca="1" si="61"/>
        <v>0</v>
      </c>
      <c r="Y67" s="101">
        <f t="shared" ca="1" si="62"/>
        <v>0</v>
      </c>
      <c r="Z67" s="107">
        <f t="shared" ca="1" si="63"/>
        <v>0</v>
      </c>
      <c r="AA67" s="107">
        <f t="shared" ca="1" si="64"/>
        <v>0</v>
      </c>
      <c r="AB67" s="106" t="e">
        <f t="shared" ca="1" si="65"/>
        <v>#REF!</v>
      </c>
      <c r="AC67" s="107" t="e">
        <f t="shared" ca="1" si="66"/>
        <v>#REF!</v>
      </c>
      <c r="AD67" s="107" t="e">
        <f t="array" aca="1" ref="AD67" ca="1">-(VLOOKUP(AC67, LT_IncomeTaxFed/$K67:$O67, 2, TRUE)+VLOOKUP(AC67,LT_IncomeTaxFed/$K67:$O67,3,TRUE)*(AC67-VLOOKUP(AC67,LT_IncomeTaxFed/$K67:$O67,1,TRUE)))</f>
        <v>#REF!</v>
      </c>
      <c r="AE67" s="107" t="e">
        <f t="array" aca="1" ref="AE67" ca="1">-(VLOOKUP($AC67+$X67, LT_IncomeTaxFed/$K67:$O67, 4, TRUE)+VLOOKUP($AC67+$X67,LT_IncomeTaxFed/$K67:$O67,5,TRUE)*($AC67+$X67-VLOOKUP($AC67+$X67,LT_IncomeTaxFed/$K67:$O67,1,TRUE)))+(VLOOKUP($AC67, LT_IncomeTaxFed/$K67:$O67, 4, TRUE)+VLOOKUP($AC67,LT_IncomeTaxFed/$K67:$O67,5,TRUE)*($AC67-VLOOKUP($AC67,LT_IncomeTaxFed/$K67:$O67,1,TRUE)))</f>
        <v>#REF!</v>
      </c>
      <c r="AF67" s="106" t="e">
        <f t="shared" ca="1" si="67"/>
        <v>#REF!</v>
      </c>
      <c r="AG67" s="107" t="e">
        <f t="shared" ca="1" si="68"/>
        <v>#REF!</v>
      </c>
      <c r="AH67" s="91" t="e">
        <f t="array" aca="1" ref="AH67" ca="1">IF(AG67&gt;0,(VLOOKUP(AG67, LT_IncomeTaxFed/$K67:$O67, 2, TRUE)+VLOOKUP(AG67,LT_IncomeTaxFed/$K67:$O67,3,TRUE)*(AG67-VLOOKUP(AG67,LT_IncomeTaxFed/$K67:$O67,1,TRUE)))/AG67,0)</f>
        <v>#REF!</v>
      </c>
      <c r="AI67" s="110" t="e">
        <f t="shared" ca="1" si="69"/>
        <v>#REF!</v>
      </c>
      <c r="AJ67" s="634"/>
      <c r="AK67" s="668"/>
      <c r="AL67" s="1"/>
    </row>
    <row r="68" spans="2:38" x14ac:dyDescent="0.25">
      <c r="B68" s="65">
        <f ca="1">B66+1</f>
        <v>2051</v>
      </c>
      <c r="C68" s="76" t="s">
        <v>741</v>
      </c>
      <c r="D68" s="146" t="str">
        <f t="shared" si="48"/>
        <v/>
      </c>
      <c r="E68" s="77">
        <f t="shared" si="46"/>
        <v>0</v>
      </c>
      <c r="F68" s="77" t="b">
        <f t="shared" si="49"/>
        <v>0</v>
      </c>
      <c r="G68" s="77">
        <f t="shared" si="4"/>
        <v>1</v>
      </c>
      <c r="H68" s="76">
        <f t="shared" si="50"/>
        <v>1</v>
      </c>
      <c r="I68" s="76">
        <f t="shared" si="51"/>
        <v>0</v>
      </c>
      <c r="J68" s="77">
        <f t="shared" si="52"/>
        <v>0</v>
      </c>
      <c r="K68" s="204">
        <f t="shared" ca="1" si="30"/>
        <v>0.34383093152153554</v>
      </c>
      <c r="L68" s="93">
        <f t="shared" ca="1" si="30"/>
        <v>0.34383093152153554</v>
      </c>
      <c r="M68" s="93">
        <v>1</v>
      </c>
      <c r="N68" s="92">
        <f t="shared" ca="1" si="31"/>
        <v>0.34383093152153554</v>
      </c>
      <c r="O68" s="100">
        <v>1</v>
      </c>
      <c r="P68" s="70">
        <f t="shared" ca="1" si="53"/>
        <v>0</v>
      </c>
      <c r="Q68" s="70">
        <f t="shared" ca="1" si="54"/>
        <v>0</v>
      </c>
      <c r="R68" s="70" t="e">
        <f t="shared" ca="1" si="55"/>
        <v>#REF!</v>
      </c>
      <c r="S68" s="70">
        <f t="shared" ca="1" si="56"/>
        <v>0</v>
      </c>
      <c r="T68" s="70">
        <f t="shared" ca="1" si="57"/>
        <v>0</v>
      </c>
      <c r="U68" s="70" t="e">
        <f t="shared" ca="1" si="58"/>
        <v>#REF!</v>
      </c>
      <c r="V68" s="70">
        <f t="shared" ca="1" si="59"/>
        <v>0</v>
      </c>
      <c r="W68" s="70">
        <f t="shared" ca="1" si="60"/>
        <v>0</v>
      </c>
      <c r="X68" s="70">
        <f t="shared" ca="1" si="61"/>
        <v>0</v>
      </c>
      <c r="Y68" s="98">
        <f t="shared" ca="1" si="62"/>
        <v>0</v>
      </c>
      <c r="Z68" s="70">
        <f t="shared" ca="1" si="63"/>
        <v>0</v>
      </c>
      <c r="AA68" s="70">
        <f t="shared" ca="1" si="64"/>
        <v>0</v>
      </c>
      <c r="AB68" s="409" t="e">
        <f t="shared" ca="1" si="65"/>
        <v>#REF!</v>
      </c>
      <c r="AC68" s="70" t="e">
        <f t="shared" ca="1" si="66"/>
        <v>#REF!</v>
      </c>
      <c r="AD68" s="70" t="e">
        <f t="array" aca="1" ref="AD68" ca="1">-(VLOOKUP(AC68, LT_IncomeTaxFed/$K68:$O68, 2, TRUE)+VLOOKUP(AC68,LT_IncomeTaxFed/$K68:$O68,3,TRUE)*(AC68-VLOOKUP(AC68,LT_IncomeTaxFed/$K68:$O68,1,TRUE)))</f>
        <v>#REF!</v>
      </c>
      <c r="AE68" s="70" t="e">
        <f t="array" aca="1" ref="AE68" ca="1">-(VLOOKUP($AC68+$X68, LT_IncomeTaxFed/$K68:$O68, 4, TRUE)+VLOOKUP($AC68+$X68,LT_IncomeTaxFed/$K68:$O68,5,TRUE)*($AC68+$X68-VLOOKUP($AC68+$X68,LT_IncomeTaxFed/$K68:$O68,1,TRUE)))+(VLOOKUP($AC68, LT_IncomeTaxFed/$K68:$O68, 4, TRUE)+VLOOKUP($AC68,LT_IncomeTaxFed/$K68:$O68,5,TRUE)*($AC68-VLOOKUP($AC68,LT_IncomeTaxFed/$K68:$O68,1,TRUE)))</f>
        <v>#REF!</v>
      </c>
      <c r="AF68" s="75" t="e">
        <f t="shared" ca="1" si="67"/>
        <v>#REF!</v>
      </c>
      <c r="AG68" s="70" t="e">
        <f t="shared" ca="1" si="68"/>
        <v>#REF!</v>
      </c>
      <c r="AH68" s="67" t="e">
        <f t="array" aca="1" ref="AH68" ca="1">IF(AG68&gt;0,(VLOOKUP(AG68, LT_IncomeTaxFed/$K68:$O68, 2, TRUE)+VLOOKUP(AG68,LT_IncomeTaxFed/$K68:$O68,3,TRUE)*(AG68-VLOOKUP(AG68,LT_IncomeTaxFed/$K68:$O68,1,TRUE)))/AG68,0)</f>
        <v>#REF!</v>
      </c>
      <c r="AI68" s="109" t="e">
        <f t="shared" ca="1" si="69"/>
        <v>#REF!</v>
      </c>
      <c r="AJ68" s="634" t="e">
        <f ca="1">SUMPRODUCT($Z68:$Z69+$AA68:$AA69+$AD68:$AD69+$AE68:$AE69+$AI68:$AI69)</f>
        <v>#REF!</v>
      </c>
      <c r="AK68" s="668" t="e">
        <f t="shared" ref="AK68" ca="1" si="83">IF($U68&gt;0, -AJ68/$U68, 0)</f>
        <v>#REF!</v>
      </c>
      <c r="AL68" s="1"/>
    </row>
    <row r="69" spans="2:38" x14ac:dyDescent="0.25">
      <c r="B69" s="86">
        <f t="shared" ca="1" si="29"/>
        <v>2051</v>
      </c>
      <c r="C69" s="80" t="s">
        <v>741</v>
      </c>
      <c r="D69" s="147" t="str">
        <f t="shared" si="48"/>
        <v/>
      </c>
      <c r="E69" s="81">
        <f t="shared" si="46"/>
        <v>0</v>
      </c>
      <c r="F69" s="81" t="b">
        <f t="shared" si="49"/>
        <v>0</v>
      </c>
      <c r="G69" s="81">
        <f t="shared" si="4"/>
        <v>2</v>
      </c>
      <c r="H69" s="82">
        <f t="shared" si="50"/>
        <v>-1</v>
      </c>
      <c r="I69" s="82">
        <f t="shared" si="51"/>
        <v>0</v>
      </c>
      <c r="J69" s="81">
        <f t="shared" si="52"/>
        <v>0</v>
      </c>
      <c r="K69" s="205">
        <f t="shared" ca="1" si="30"/>
        <v>0.34383093152153554</v>
      </c>
      <c r="L69" s="95">
        <f t="shared" ca="1" si="30"/>
        <v>0.34383093152153554</v>
      </c>
      <c r="M69" s="95">
        <v>1</v>
      </c>
      <c r="N69" s="94">
        <f t="shared" ca="1" si="31"/>
        <v>0.34383093152153554</v>
      </c>
      <c r="O69" s="206">
        <v>1</v>
      </c>
      <c r="P69" s="107">
        <f t="shared" ca="1" si="53"/>
        <v>0</v>
      </c>
      <c r="Q69" s="107">
        <f t="shared" ca="1" si="54"/>
        <v>0</v>
      </c>
      <c r="R69" s="107">
        <f t="shared" si="55"/>
        <v>0</v>
      </c>
      <c r="S69" s="107">
        <f t="shared" ca="1" si="56"/>
        <v>0</v>
      </c>
      <c r="T69" s="107">
        <f t="shared" ca="1" si="57"/>
        <v>0</v>
      </c>
      <c r="U69" s="107">
        <f t="shared" ca="1" si="58"/>
        <v>0</v>
      </c>
      <c r="V69" s="107">
        <f t="shared" ca="1" si="59"/>
        <v>0</v>
      </c>
      <c r="W69" s="107">
        <f t="shared" ca="1" si="60"/>
        <v>0</v>
      </c>
      <c r="X69" s="107">
        <f t="shared" ca="1" si="61"/>
        <v>0</v>
      </c>
      <c r="Y69" s="101">
        <f t="shared" ca="1" si="62"/>
        <v>0</v>
      </c>
      <c r="Z69" s="107">
        <f t="shared" ca="1" si="63"/>
        <v>0</v>
      </c>
      <c r="AA69" s="107">
        <f t="shared" ca="1" si="64"/>
        <v>0</v>
      </c>
      <c r="AB69" s="106" t="e">
        <f t="shared" ca="1" si="65"/>
        <v>#REF!</v>
      </c>
      <c r="AC69" s="107" t="e">
        <f t="shared" ca="1" si="66"/>
        <v>#REF!</v>
      </c>
      <c r="AD69" s="107" t="e">
        <f t="array" aca="1" ref="AD69" ca="1">-(VLOOKUP(AC69, LT_IncomeTaxFed/$K69:$O69, 2, TRUE)+VLOOKUP(AC69,LT_IncomeTaxFed/$K69:$O69,3,TRUE)*(AC69-VLOOKUP(AC69,LT_IncomeTaxFed/$K69:$O69,1,TRUE)))</f>
        <v>#REF!</v>
      </c>
      <c r="AE69" s="107" t="e">
        <f t="array" aca="1" ref="AE69" ca="1">-(VLOOKUP($AC69+$X69, LT_IncomeTaxFed/$K69:$O69, 4, TRUE)+VLOOKUP($AC69+$X69,LT_IncomeTaxFed/$K69:$O69,5,TRUE)*($AC69+$X69-VLOOKUP($AC69+$X69,LT_IncomeTaxFed/$K69:$O69,1,TRUE)))+(VLOOKUP($AC69, LT_IncomeTaxFed/$K69:$O69, 4, TRUE)+VLOOKUP($AC69,LT_IncomeTaxFed/$K69:$O69,5,TRUE)*($AC69-VLOOKUP($AC69,LT_IncomeTaxFed/$K69:$O69,1,TRUE)))</f>
        <v>#REF!</v>
      </c>
      <c r="AF69" s="106" t="e">
        <f t="shared" ca="1" si="67"/>
        <v>#REF!</v>
      </c>
      <c r="AG69" s="107" t="e">
        <f t="shared" ca="1" si="68"/>
        <v>#REF!</v>
      </c>
      <c r="AH69" s="91" t="e">
        <f t="array" aca="1" ref="AH69" ca="1">IF(AG69&gt;0,(VLOOKUP(AG69, LT_IncomeTaxFed/$K69:$O69, 2, TRUE)+VLOOKUP(AG69,LT_IncomeTaxFed/$K69:$O69,3,TRUE)*(AG69-VLOOKUP(AG69,LT_IncomeTaxFed/$K69:$O69,1,TRUE)))/AG69,0)</f>
        <v>#REF!</v>
      </c>
      <c r="AI69" s="110" t="e">
        <f t="shared" ca="1" si="69"/>
        <v>#REF!</v>
      </c>
      <c r="AJ69" s="634"/>
      <c r="AK69" s="668"/>
      <c r="AL69" s="1"/>
    </row>
    <row r="70" spans="2:38" x14ac:dyDescent="0.25">
      <c r="B70" s="65">
        <f ca="1">B68+1</f>
        <v>2052</v>
      </c>
      <c r="C70" s="76" t="s">
        <v>741</v>
      </c>
      <c r="D70" s="146" t="str">
        <f t="shared" si="48"/>
        <v/>
      </c>
      <c r="E70" s="77">
        <f t="shared" si="46"/>
        <v>0</v>
      </c>
      <c r="F70" s="77" t="b">
        <f t="shared" si="49"/>
        <v>0</v>
      </c>
      <c r="G70" s="77">
        <f t="shared" si="4"/>
        <v>1</v>
      </c>
      <c r="H70" s="76">
        <f t="shared" si="50"/>
        <v>1</v>
      </c>
      <c r="I70" s="76">
        <f t="shared" si="51"/>
        <v>0</v>
      </c>
      <c r="J70" s="77">
        <f t="shared" si="52"/>
        <v>0</v>
      </c>
      <c r="K70" s="204">
        <f t="shared" ca="1" si="30"/>
        <v>0.33140330749063668</v>
      </c>
      <c r="L70" s="93">
        <f t="shared" ca="1" si="30"/>
        <v>0.33140330749063668</v>
      </c>
      <c r="M70" s="93">
        <v>1</v>
      </c>
      <c r="N70" s="92">
        <f t="shared" ca="1" si="31"/>
        <v>0.33140330749063668</v>
      </c>
      <c r="O70" s="100">
        <v>1</v>
      </c>
      <c r="P70" s="70">
        <f t="shared" ca="1" si="53"/>
        <v>0</v>
      </c>
      <c r="Q70" s="70">
        <f t="shared" ca="1" si="54"/>
        <v>0</v>
      </c>
      <c r="R70" s="70" t="e">
        <f t="shared" ca="1" si="55"/>
        <v>#REF!</v>
      </c>
      <c r="S70" s="70">
        <f t="shared" ca="1" si="56"/>
        <v>0</v>
      </c>
      <c r="T70" s="70">
        <f t="shared" ca="1" si="57"/>
        <v>0</v>
      </c>
      <c r="U70" s="70" t="e">
        <f t="shared" ca="1" si="58"/>
        <v>#REF!</v>
      </c>
      <c r="V70" s="70">
        <f t="shared" ca="1" si="59"/>
        <v>0</v>
      </c>
      <c r="W70" s="70">
        <f t="shared" ca="1" si="60"/>
        <v>0</v>
      </c>
      <c r="X70" s="70">
        <f t="shared" ca="1" si="61"/>
        <v>0</v>
      </c>
      <c r="Y70" s="98">
        <f t="shared" ca="1" si="62"/>
        <v>0</v>
      </c>
      <c r="Z70" s="70">
        <f t="shared" ca="1" si="63"/>
        <v>0</v>
      </c>
      <c r="AA70" s="70">
        <f t="shared" ca="1" si="64"/>
        <v>0</v>
      </c>
      <c r="AB70" s="409" t="e">
        <f t="shared" ca="1" si="65"/>
        <v>#REF!</v>
      </c>
      <c r="AC70" s="70" t="e">
        <f t="shared" ca="1" si="66"/>
        <v>#REF!</v>
      </c>
      <c r="AD70" s="70" t="e">
        <f t="array" aca="1" ref="AD70" ca="1">-(VLOOKUP(AC70, LT_IncomeTaxFed/$K70:$O70, 2, TRUE)+VLOOKUP(AC70,LT_IncomeTaxFed/$K70:$O70,3,TRUE)*(AC70-VLOOKUP(AC70,LT_IncomeTaxFed/$K70:$O70,1,TRUE)))</f>
        <v>#REF!</v>
      </c>
      <c r="AE70" s="70" t="e">
        <f t="array" aca="1" ref="AE70" ca="1">-(VLOOKUP($AC70+$X70, LT_IncomeTaxFed/$K70:$O70, 4, TRUE)+VLOOKUP($AC70+$X70,LT_IncomeTaxFed/$K70:$O70,5,TRUE)*($AC70+$X70-VLOOKUP($AC70+$X70,LT_IncomeTaxFed/$K70:$O70,1,TRUE)))+(VLOOKUP($AC70, LT_IncomeTaxFed/$K70:$O70, 4, TRUE)+VLOOKUP($AC70,LT_IncomeTaxFed/$K70:$O70,5,TRUE)*($AC70-VLOOKUP($AC70,LT_IncomeTaxFed/$K70:$O70,1,TRUE)))</f>
        <v>#REF!</v>
      </c>
      <c r="AF70" s="75" t="e">
        <f t="shared" ca="1" si="67"/>
        <v>#REF!</v>
      </c>
      <c r="AG70" s="70" t="e">
        <f t="shared" ca="1" si="68"/>
        <v>#REF!</v>
      </c>
      <c r="AH70" s="67" t="e">
        <f t="array" aca="1" ref="AH70" ca="1">IF(AG70&gt;0,(VLOOKUP(AG70, LT_IncomeTaxFed/$K70:$O70, 2, TRUE)+VLOOKUP(AG70,LT_IncomeTaxFed/$K70:$O70,3,TRUE)*(AG70-VLOOKUP(AG70,LT_IncomeTaxFed/$K70:$O70,1,TRUE)))/AG70,0)</f>
        <v>#REF!</v>
      </c>
      <c r="AI70" s="109" t="e">
        <f t="shared" ca="1" si="69"/>
        <v>#REF!</v>
      </c>
      <c r="AJ70" s="634" t="e">
        <f ca="1">SUMPRODUCT($Z70:$Z71+$AA70:$AA71+$AD70:$AD71+$AE70:$AE71+$AI70:$AI71)</f>
        <v>#REF!</v>
      </c>
      <c r="AK70" s="668" t="e">
        <f t="shared" ref="AK70" ca="1" si="84">IF($U70&gt;0, -AJ70/$U70, 0)</f>
        <v>#REF!</v>
      </c>
      <c r="AL70" s="1"/>
    </row>
    <row r="71" spans="2:38" x14ac:dyDescent="0.25">
      <c r="B71" s="86">
        <f t="shared" ca="1" si="29"/>
        <v>2052</v>
      </c>
      <c r="C71" s="80" t="s">
        <v>741</v>
      </c>
      <c r="D71" s="147" t="str">
        <f t="shared" si="48"/>
        <v/>
      </c>
      <c r="E71" s="81">
        <f t="shared" si="46"/>
        <v>0</v>
      </c>
      <c r="F71" s="81" t="b">
        <f t="shared" si="49"/>
        <v>0</v>
      </c>
      <c r="G71" s="81">
        <f t="shared" si="4"/>
        <v>2</v>
      </c>
      <c r="H71" s="82">
        <f t="shared" si="50"/>
        <v>-1</v>
      </c>
      <c r="I71" s="82">
        <f t="shared" si="51"/>
        <v>0</v>
      </c>
      <c r="J71" s="81">
        <f t="shared" si="52"/>
        <v>0</v>
      </c>
      <c r="K71" s="205">
        <f t="shared" ca="1" si="30"/>
        <v>0.33140330749063668</v>
      </c>
      <c r="L71" s="95">
        <f t="shared" ca="1" si="30"/>
        <v>0.33140330749063668</v>
      </c>
      <c r="M71" s="95">
        <v>1</v>
      </c>
      <c r="N71" s="94">
        <f t="shared" ca="1" si="31"/>
        <v>0.33140330749063668</v>
      </c>
      <c r="O71" s="206">
        <v>1</v>
      </c>
      <c r="P71" s="107">
        <f t="shared" ca="1" si="53"/>
        <v>0</v>
      </c>
      <c r="Q71" s="107">
        <f t="shared" ca="1" si="54"/>
        <v>0</v>
      </c>
      <c r="R71" s="107">
        <f t="shared" si="55"/>
        <v>0</v>
      </c>
      <c r="S71" s="107">
        <f t="shared" ca="1" si="56"/>
        <v>0</v>
      </c>
      <c r="T71" s="107">
        <f t="shared" ca="1" si="57"/>
        <v>0</v>
      </c>
      <c r="U71" s="107">
        <f t="shared" ca="1" si="58"/>
        <v>0</v>
      </c>
      <c r="V71" s="107">
        <f t="shared" ca="1" si="59"/>
        <v>0</v>
      </c>
      <c r="W71" s="107">
        <f t="shared" ca="1" si="60"/>
        <v>0</v>
      </c>
      <c r="X71" s="107">
        <f t="shared" ca="1" si="61"/>
        <v>0</v>
      </c>
      <c r="Y71" s="101">
        <f t="shared" ca="1" si="62"/>
        <v>0</v>
      </c>
      <c r="Z71" s="107">
        <f t="shared" ca="1" si="63"/>
        <v>0</v>
      </c>
      <c r="AA71" s="107">
        <f t="shared" ca="1" si="64"/>
        <v>0</v>
      </c>
      <c r="AB71" s="106" t="e">
        <f t="shared" ca="1" si="65"/>
        <v>#REF!</v>
      </c>
      <c r="AC71" s="107" t="e">
        <f t="shared" ca="1" si="66"/>
        <v>#REF!</v>
      </c>
      <c r="AD71" s="107" t="e">
        <f t="array" aca="1" ref="AD71" ca="1">-(VLOOKUP(AC71, LT_IncomeTaxFed/$K71:$O71, 2, TRUE)+VLOOKUP(AC71,LT_IncomeTaxFed/$K71:$O71,3,TRUE)*(AC71-VLOOKUP(AC71,LT_IncomeTaxFed/$K71:$O71,1,TRUE)))</f>
        <v>#REF!</v>
      </c>
      <c r="AE71" s="107" t="e">
        <f t="array" aca="1" ref="AE71" ca="1">-(VLOOKUP($AC71+$X71, LT_IncomeTaxFed/$K71:$O71, 4, TRUE)+VLOOKUP($AC71+$X71,LT_IncomeTaxFed/$K71:$O71,5,TRUE)*($AC71+$X71-VLOOKUP($AC71+$X71,LT_IncomeTaxFed/$K71:$O71,1,TRUE)))+(VLOOKUP($AC71, LT_IncomeTaxFed/$K71:$O71, 4, TRUE)+VLOOKUP($AC71,LT_IncomeTaxFed/$K71:$O71,5,TRUE)*($AC71-VLOOKUP($AC71,LT_IncomeTaxFed/$K71:$O71,1,TRUE)))</f>
        <v>#REF!</v>
      </c>
      <c r="AF71" s="106" t="e">
        <f t="shared" ca="1" si="67"/>
        <v>#REF!</v>
      </c>
      <c r="AG71" s="107" t="e">
        <f t="shared" ca="1" si="68"/>
        <v>#REF!</v>
      </c>
      <c r="AH71" s="91" t="e">
        <f t="array" aca="1" ref="AH71" ca="1">IF(AG71&gt;0,(VLOOKUP(AG71, LT_IncomeTaxFed/$K71:$O71, 2, TRUE)+VLOOKUP(AG71,LT_IncomeTaxFed/$K71:$O71,3,TRUE)*(AG71-VLOOKUP(AG71,LT_IncomeTaxFed/$K71:$O71,1,TRUE)))/AG71,0)</f>
        <v>#REF!</v>
      </c>
      <c r="AI71" s="110" t="e">
        <f t="shared" ca="1" si="69"/>
        <v>#REF!</v>
      </c>
      <c r="AJ71" s="634"/>
      <c r="AK71" s="668"/>
      <c r="AL71" s="1"/>
    </row>
    <row r="72" spans="2:38" x14ac:dyDescent="0.25">
      <c r="B72" s="65">
        <f ca="1">B70+1</f>
        <v>2053</v>
      </c>
      <c r="C72" s="76" t="s">
        <v>741</v>
      </c>
      <c r="D72" s="146" t="str">
        <f t="shared" si="48"/>
        <v/>
      </c>
      <c r="E72" s="77">
        <f t="shared" ref="E72:E103" si="85">INDEX(SC_TaxIndex,$G72)</f>
        <v>0</v>
      </c>
      <c r="F72" s="77" t="b">
        <f t="shared" si="49"/>
        <v>0</v>
      </c>
      <c r="G72" s="77">
        <f t="shared" si="4"/>
        <v>1</v>
      </c>
      <c r="H72" s="76">
        <f t="shared" si="50"/>
        <v>1</v>
      </c>
      <c r="I72" s="76">
        <f t="shared" si="51"/>
        <v>0</v>
      </c>
      <c r="J72" s="77">
        <f t="shared" si="52"/>
        <v>0</v>
      </c>
      <c r="K72" s="204">
        <f t="shared" ca="1" si="30"/>
        <v>0.31942487468977021</v>
      </c>
      <c r="L72" s="93">
        <f t="shared" ca="1" si="30"/>
        <v>0.31942487468977021</v>
      </c>
      <c r="M72" s="93">
        <v>1</v>
      </c>
      <c r="N72" s="92">
        <f t="shared" ca="1" si="31"/>
        <v>0.31942487468977021</v>
      </c>
      <c r="O72" s="100">
        <v>1</v>
      </c>
      <c r="P72" s="70">
        <f t="shared" ca="1" si="53"/>
        <v>0</v>
      </c>
      <c r="Q72" s="70">
        <f t="shared" ca="1" si="54"/>
        <v>0</v>
      </c>
      <c r="R72" s="70" t="e">
        <f t="shared" ca="1" si="55"/>
        <v>#REF!</v>
      </c>
      <c r="S72" s="70">
        <f t="shared" ca="1" si="56"/>
        <v>0</v>
      </c>
      <c r="T72" s="70">
        <f t="shared" ca="1" si="57"/>
        <v>0</v>
      </c>
      <c r="U72" s="70" t="e">
        <f t="shared" ca="1" si="58"/>
        <v>#REF!</v>
      </c>
      <c r="V72" s="70">
        <f t="shared" ca="1" si="59"/>
        <v>0</v>
      </c>
      <c r="W72" s="70">
        <f t="shared" ca="1" si="60"/>
        <v>0</v>
      </c>
      <c r="X72" s="70">
        <f t="shared" ca="1" si="61"/>
        <v>0</v>
      </c>
      <c r="Y72" s="98">
        <f t="shared" ca="1" si="62"/>
        <v>0</v>
      </c>
      <c r="Z72" s="70">
        <f t="shared" ca="1" si="63"/>
        <v>0</v>
      </c>
      <c r="AA72" s="70">
        <f t="shared" ca="1" si="64"/>
        <v>0</v>
      </c>
      <c r="AB72" s="409" t="e">
        <f t="shared" ca="1" si="65"/>
        <v>#REF!</v>
      </c>
      <c r="AC72" s="70" t="e">
        <f t="shared" ca="1" si="66"/>
        <v>#REF!</v>
      </c>
      <c r="AD72" s="70" t="e">
        <f t="array" aca="1" ref="AD72" ca="1">-(VLOOKUP(AC72, LT_IncomeTaxFed/$K72:$O72, 2, TRUE)+VLOOKUP(AC72,LT_IncomeTaxFed/$K72:$O72,3,TRUE)*(AC72-VLOOKUP(AC72,LT_IncomeTaxFed/$K72:$O72,1,TRUE)))</f>
        <v>#REF!</v>
      </c>
      <c r="AE72" s="70" t="e">
        <f t="array" aca="1" ref="AE72" ca="1">-(VLOOKUP($AC72+$X72, LT_IncomeTaxFed/$K72:$O72, 4, TRUE)+VLOOKUP($AC72+$X72,LT_IncomeTaxFed/$K72:$O72,5,TRUE)*($AC72+$X72-VLOOKUP($AC72+$X72,LT_IncomeTaxFed/$K72:$O72,1,TRUE)))+(VLOOKUP($AC72, LT_IncomeTaxFed/$K72:$O72, 4, TRUE)+VLOOKUP($AC72,LT_IncomeTaxFed/$K72:$O72,5,TRUE)*($AC72-VLOOKUP($AC72,LT_IncomeTaxFed/$K72:$O72,1,TRUE)))</f>
        <v>#REF!</v>
      </c>
      <c r="AF72" s="75" t="e">
        <f t="shared" ca="1" si="67"/>
        <v>#REF!</v>
      </c>
      <c r="AG72" s="70" t="e">
        <f t="shared" ca="1" si="68"/>
        <v>#REF!</v>
      </c>
      <c r="AH72" s="67" t="e">
        <f t="array" aca="1" ref="AH72" ca="1">IF(AG72&gt;0,(VLOOKUP(AG72, LT_IncomeTaxFed/$K72:$O72, 2, TRUE)+VLOOKUP(AG72,LT_IncomeTaxFed/$K72:$O72,3,TRUE)*(AG72-VLOOKUP(AG72,LT_IncomeTaxFed/$K72:$O72,1,TRUE)))/AG72,0)</f>
        <v>#REF!</v>
      </c>
      <c r="AI72" s="109" t="e">
        <f t="shared" ca="1" si="69"/>
        <v>#REF!</v>
      </c>
      <c r="AJ72" s="634" t="e">
        <f ca="1">SUMPRODUCT($Z72:$Z73+$AA72:$AA73+$AD72:$AD73+$AE72:$AE73+$AI72:$AI73)</f>
        <v>#REF!</v>
      </c>
      <c r="AK72" s="668" t="e">
        <f t="shared" ref="AK72" ca="1" si="86">IF($U72&gt;0, -AJ72/$U72, 0)</f>
        <v>#REF!</v>
      </c>
      <c r="AL72" s="1"/>
    </row>
    <row r="73" spans="2:38" x14ac:dyDescent="0.25">
      <c r="B73" s="86">
        <f t="shared" ca="1" si="29"/>
        <v>2053</v>
      </c>
      <c r="C73" s="80" t="s">
        <v>741</v>
      </c>
      <c r="D73" s="147" t="str">
        <f t="shared" si="48"/>
        <v/>
      </c>
      <c r="E73" s="81">
        <f t="shared" si="85"/>
        <v>0</v>
      </c>
      <c r="F73" s="81" t="b">
        <f t="shared" si="49"/>
        <v>0</v>
      </c>
      <c r="G73" s="81">
        <f t="shared" ref="G73:G136" si="87">MOD(ROW(),2)+1</f>
        <v>2</v>
      </c>
      <c r="H73" s="82">
        <f t="shared" si="50"/>
        <v>-1</v>
      </c>
      <c r="I73" s="82">
        <f t="shared" si="51"/>
        <v>0</v>
      </c>
      <c r="J73" s="81">
        <f t="shared" si="52"/>
        <v>0</v>
      </c>
      <c r="K73" s="205">
        <f t="shared" ca="1" si="30"/>
        <v>0.31942487468977021</v>
      </c>
      <c r="L73" s="95">
        <f t="shared" ca="1" si="30"/>
        <v>0.31942487468977021</v>
      </c>
      <c r="M73" s="95">
        <v>1</v>
      </c>
      <c r="N73" s="94">
        <f t="shared" ca="1" si="31"/>
        <v>0.31942487468977021</v>
      </c>
      <c r="O73" s="206">
        <v>1</v>
      </c>
      <c r="P73" s="107">
        <f t="shared" ca="1" si="53"/>
        <v>0</v>
      </c>
      <c r="Q73" s="107">
        <f t="shared" ca="1" si="54"/>
        <v>0</v>
      </c>
      <c r="R73" s="107">
        <f t="shared" si="55"/>
        <v>0</v>
      </c>
      <c r="S73" s="107">
        <f t="shared" ca="1" si="56"/>
        <v>0</v>
      </c>
      <c r="T73" s="107">
        <f t="shared" ca="1" si="57"/>
        <v>0</v>
      </c>
      <c r="U73" s="107">
        <f t="shared" ca="1" si="58"/>
        <v>0</v>
      </c>
      <c r="V73" s="107">
        <f t="shared" ca="1" si="59"/>
        <v>0</v>
      </c>
      <c r="W73" s="107">
        <f t="shared" ca="1" si="60"/>
        <v>0</v>
      </c>
      <c r="X73" s="107">
        <f t="shared" ca="1" si="61"/>
        <v>0</v>
      </c>
      <c r="Y73" s="101">
        <f t="shared" ca="1" si="62"/>
        <v>0</v>
      </c>
      <c r="Z73" s="107">
        <f t="shared" ca="1" si="63"/>
        <v>0</v>
      </c>
      <c r="AA73" s="107">
        <f t="shared" ca="1" si="64"/>
        <v>0</v>
      </c>
      <c r="AB73" s="106" t="e">
        <f t="shared" ca="1" si="65"/>
        <v>#REF!</v>
      </c>
      <c r="AC73" s="107" t="e">
        <f t="shared" ca="1" si="66"/>
        <v>#REF!</v>
      </c>
      <c r="AD73" s="107" t="e">
        <f t="array" aca="1" ref="AD73" ca="1">-(VLOOKUP(AC73, LT_IncomeTaxFed/$K73:$O73, 2, TRUE)+VLOOKUP(AC73,LT_IncomeTaxFed/$K73:$O73,3,TRUE)*(AC73-VLOOKUP(AC73,LT_IncomeTaxFed/$K73:$O73,1,TRUE)))</f>
        <v>#REF!</v>
      </c>
      <c r="AE73" s="107" t="e">
        <f t="array" aca="1" ref="AE73" ca="1">-(VLOOKUP($AC73+$X73, LT_IncomeTaxFed/$K73:$O73, 4, TRUE)+VLOOKUP($AC73+$X73,LT_IncomeTaxFed/$K73:$O73,5,TRUE)*($AC73+$X73-VLOOKUP($AC73+$X73,LT_IncomeTaxFed/$K73:$O73,1,TRUE)))+(VLOOKUP($AC73, LT_IncomeTaxFed/$K73:$O73, 4, TRUE)+VLOOKUP($AC73,LT_IncomeTaxFed/$K73:$O73,5,TRUE)*($AC73-VLOOKUP($AC73,LT_IncomeTaxFed/$K73:$O73,1,TRUE)))</f>
        <v>#REF!</v>
      </c>
      <c r="AF73" s="106" t="e">
        <f t="shared" ca="1" si="67"/>
        <v>#REF!</v>
      </c>
      <c r="AG73" s="107" t="e">
        <f t="shared" ca="1" si="68"/>
        <v>#REF!</v>
      </c>
      <c r="AH73" s="91" t="e">
        <f t="array" aca="1" ref="AH73" ca="1">IF(AG73&gt;0,(VLOOKUP(AG73, LT_IncomeTaxFed/$K73:$O73, 2, TRUE)+VLOOKUP(AG73,LT_IncomeTaxFed/$K73:$O73,3,TRUE)*(AG73-VLOOKUP(AG73,LT_IncomeTaxFed/$K73:$O73,1,TRUE)))/AG73,0)</f>
        <v>#REF!</v>
      </c>
      <c r="AI73" s="110" t="e">
        <f t="shared" ca="1" si="69"/>
        <v>#REF!</v>
      </c>
      <c r="AJ73" s="634"/>
      <c r="AK73" s="668"/>
      <c r="AL73" s="1"/>
    </row>
    <row r="74" spans="2:38" x14ac:dyDescent="0.25">
      <c r="B74" s="65">
        <f ca="1">B72+1</f>
        <v>2054</v>
      </c>
      <c r="C74" s="76" t="s">
        <v>741</v>
      </c>
      <c r="D74" s="146" t="str">
        <f t="shared" ref="D74:D105" si="88">INDEX(SP_Initials,G74)</f>
        <v/>
      </c>
      <c r="E74" s="77">
        <f t="shared" si="85"/>
        <v>0</v>
      </c>
      <c r="F74" s="77" t="b">
        <f t="shared" ref="F74:F105" si="89">G74=E74</f>
        <v>0</v>
      </c>
      <c r="G74" s="77">
        <f t="shared" si="87"/>
        <v>1</v>
      </c>
      <c r="H74" s="76">
        <f t="shared" ref="H74:H105" si="90">MOD($G74,2)-($G74-1)</f>
        <v>1</v>
      </c>
      <c r="I74" s="4">
        <f t="shared" ref="I74:I105" si="91">IF(INDEX(SC_ShowRetireatee,$G74),IF($B74&lt;YEAR(INDEX(SP_BirthDate,$G74)),0,$B74-YEAR(INDEX(SP_BirthDate,$G74))),0)</f>
        <v>0</v>
      </c>
      <c r="J74" s="77">
        <f t="shared" ref="J74:J105" si="92">IF(INDEX(SC_ShowRetireatee,$G74),IF($B74&lt;YEAR(INDEX(SP_BirthDate,$G74)),0,IF($B74&gt;(YEAR(INDEX(SP_BirthDate,$G74))+INDEX(SP_LifeExp,$G74)),0,$B74-YEAR(INDEX(SP_BirthDate,$G74)))),0)</f>
        <v>0</v>
      </c>
      <c r="K74" s="204">
        <f t="shared" ca="1" si="30"/>
        <v>0.30787939729134473</v>
      </c>
      <c r="L74" s="93">
        <f t="shared" ca="1" si="30"/>
        <v>0.30787939729134473</v>
      </c>
      <c r="M74" s="93">
        <v>1</v>
      </c>
      <c r="N74" s="92">
        <f t="shared" ca="1" si="31"/>
        <v>0.30787939729134473</v>
      </c>
      <c r="O74" s="100">
        <v>1</v>
      </c>
      <c r="P74" s="70">
        <f t="shared" ref="P74:P105" ca="1" si="93">SUMIF($E$8:$E$9,$G74,OFFSET(SC_EX_IncomeActiveT,EXIDX1-1,0,2,1))+SUMIF($E$8:$E$9,$G74,OFFSET(SC_EX_IncomePassiveT,EXIDX1-1,0,2,1))</f>
        <v>0</v>
      </c>
      <c r="Q74" s="70">
        <f t="shared" ref="Q74:Q105" ca="1" si="94">SUMIF($E$8:$E$9,$G74,OFFSET(SC_ZX_IncomeCapitalT,ZXIDX1-1,0,2,1))</f>
        <v>0</v>
      </c>
      <c r="R74" s="70" t="e">
        <f t="shared" ref="R74:R105" ca="1" si="95">IF($G74=1,INDEX(SC_ZA_IncomeAnnyT,ZAIDX),0)</f>
        <v>#REF!</v>
      </c>
      <c r="S74" s="70">
        <f t="shared" ref="S74:S105" ca="1" si="96">SUMIF($E$8:$E$9,$G74,OFFSET(SC_ZX_SSRIB,ZXIDX1-1,0,2,1))</f>
        <v>0</v>
      </c>
      <c r="T74" s="70">
        <f t="shared" ref="T74:T105" ca="1" si="97">SUMIF($E$8:$E$9,$G74,OFFSET(SC_ZX_IRAContribD,ZXIDX1-1,0,2,1))</f>
        <v>0</v>
      </c>
      <c r="U74" s="70" t="e">
        <f t="shared" ref="U74:U105" ca="1" si="98">MAX(SUM($P74:$T74),0)</f>
        <v>#REF!</v>
      </c>
      <c r="V74" s="70">
        <f t="shared" ref="V74:V105" ca="1" si="99">P74+Q74+$S74/2</f>
        <v>0</v>
      </c>
      <c r="W74" s="70">
        <f t="shared" ref="W74:W105" ca="1" si="100">MIN(VLOOKUP($V74, LT_SSBases, 2, TRUE)+VLOOKUP($V74,LT_SSBases,3,TRUE)*($V74-VLOOKUP($V74,LT_SSBases,1,TRUE)),$S74*0.85)</f>
        <v>0</v>
      </c>
      <c r="X74" s="70">
        <f t="shared" ref="X74:X105" ca="1" si="101">SUMIF($E$8:$E$9,$G74,OFFSET(SC_ZX_LTCapitalGains,ZXIDX1-1,0,2,1))</f>
        <v>0</v>
      </c>
      <c r="Y74" s="98">
        <f t="shared" ref="Y74:Y105" ca="1" si="102">COUNTIF(SC_TaxIndex,$G74)+SUMIF(SC_TaxIndex,$G74,SP_Dependents)</f>
        <v>0</v>
      </c>
      <c r="Z74" s="70">
        <f t="shared" ref="Z74:Z105" ca="1" si="103">-LT_SSRate*SUMIF($E$8:$E$9,$G74,OFFSET(SC_EX_SSWages,EXIDX1-1,0,2,1))-LT_MedicareRate*SUMIF($E$8:$E$9,$G74,OFFSET(SC_EX_MedicareWages,EXIDX1-1,0,2,1))</f>
        <v>0</v>
      </c>
      <c r="AA74" s="70">
        <f t="shared" ref="AA74:AA105" ca="1" si="104">-LT_SSRate*2*SUMIF($E$8:$E$9,$G74,OFFSET(SC_EX_SSWagesSE,EXIDX1-1,0,2,1))-LT_MedicareRate*2*SUMIF($E$8:$E$9,$G74,OFFSET(SC_EX_MedicareWagesSE,EXIDX1-1,0,2,1))</f>
        <v>0</v>
      </c>
      <c r="AB74" s="409" t="e">
        <f t="shared" ref="AB74:AB105" ca="1" si="105">SUMIF($E$8:$E$9,$G74,OFFSET(SC_ExpensesLivingPF,0,1-ROUND(ABS(INDEX(SC_EX_APW,EXIDX)),0),2,1))/INDEX(SC_EA_InflationCPIdx,EAIDX)*12+MIN(SUMIF($E$8:$E$9,$G74,OFFSET(SC_ExpensesLivingD,0,1-ROUND(ABS(INDEX(SC_EX_APW,EXIDX)),0),2,1))/INDEX(SC_EA_InflationCPIdx,EAIDX)*12+SUMIF(SC_TaxIndex,$G74,OFFSET(SC_ZA_ExpensesHomeD, ZAIDX-1, 0))+$AI74,-LT_StandardDeduction/$K74)</f>
        <v>#REF!</v>
      </c>
      <c r="AC74" s="70" t="e">
        <f t="shared" ref="AC74:AC105" ca="1" si="106">MAX($P74+$Q74+$R74+$T74+$W74-$X74-$Y74*LT_PersonalExemptAmt/$K74+$AA74/2+$AB74,0)</f>
        <v>#REF!</v>
      </c>
      <c r="AD74" s="70" t="e">
        <f t="array" aca="1" ref="AD74" ca="1">-(VLOOKUP(AC74, LT_IncomeTaxFed/$K74:$O74, 2, TRUE)+VLOOKUP(AC74,LT_IncomeTaxFed/$K74:$O74,3,TRUE)*(AC74-VLOOKUP(AC74,LT_IncomeTaxFed/$K74:$O74,1,TRUE)))</f>
        <v>#REF!</v>
      </c>
      <c r="AE74" s="70" t="e">
        <f t="array" aca="1" ref="AE74" ca="1">-(VLOOKUP($AC74+$X74, LT_IncomeTaxFed/$K74:$O74, 4, TRUE)+VLOOKUP($AC74+$X74,LT_IncomeTaxFed/$K74:$O74,5,TRUE)*($AC74+$X74-VLOOKUP($AC74+$X74,LT_IncomeTaxFed/$K74:$O74,1,TRUE)))+(VLOOKUP($AC74, LT_IncomeTaxFed/$K74:$O74, 4, TRUE)+VLOOKUP($AC74,LT_IncomeTaxFed/$K74:$O74,5,TRUE)*($AC74-VLOOKUP($AC74,LT_IncomeTaxFed/$K74:$O74,1,TRUE)))</f>
        <v>#REF!</v>
      </c>
      <c r="AF74" s="75" t="e">
        <f t="shared" ref="AF74:AF105" ca="1" si="107">SUMIF($E$8:$E$9,$G74,OFFSET(SC_ExpensesLivingPF,0,1-ROUND(ABS(INDEX(SC_EX_APW,EXIDX)),0),2,1))/INDEX(SC_EA_InflationCPIdx,EAIDX)*12+MIN(SUMIF($E$8:$E$9,$G74,OFFSET(SC_ExpensesLivingD,0,1-ROUND(ABS(INDEX(SC_EX_APW,EXIDX)),0),2,1))/INDEX(SC_EA_InflationCPIdx,EAIDX)*12+SUMIF(SC_TaxIndex,$G74,OFFSET(SC_ZA_ExpensesHomeD, ZAIDX-1, 0)),-LT_StandardDeduction/$K74)</f>
        <v>#REF!</v>
      </c>
      <c r="AG74" s="70" t="e">
        <f t="shared" ref="AG74:AG105" ca="1" si="108">MAX($P74+$Q74+$R74+$T74+IF(VLOOKUP(SP_Taxes, LT_StateTax, 5, FALSE),$W74,0)-$Y74*LT_PersonalExemptAmt/$K74+$AA74/2+$AF74,0)</f>
        <v>#REF!</v>
      </c>
      <c r="AH74" s="67" t="e">
        <f t="array" aca="1" ref="AH74" ca="1">IF(AG74&gt;0,(VLOOKUP(AG74, LT_IncomeTaxFed/$K74:$O74, 2, TRUE)+VLOOKUP(AG74,LT_IncomeTaxFed/$K74:$O74,3,TRUE)*(AG74-VLOOKUP(AG74,LT_IncomeTaxFed/$K74:$O74,1,TRUE)))/AG74,0)</f>
        <v>#REF!</v>
      </c>
      <c r="AI74" s="109" t="e">
        <f t="shared" ref="AI74:AI105" ca="1" si="109">IF(AG74&gt;0,AG74*-(VLOOKUP(SP_Taxes, LT_StateTax, 2, FALSE)*POWER(AH74,2)+VLOOKUP(SP_Taxes, LT_StateTax, 3, FALSE)*AH74+VLOOKUP(SP_Taxes, LT_StateTax, 4, FALSE)),0)</f>
        <v>#REF!</v>
      </c>
      <c r="AJ74" s="634" t="e">
        <f ca="1">SUMPRODUCT($Z74:$Z75+$AA74:$AA75+$AD74:$AD75+$AE74:$AE75+$AI74:$AI75)</f>
        <v>#REF!</v>
      </c>
      <c r="AK74" s="668" t="e">
        <f t="shared" ref="AK74" ca="1" si="110">IF($U74&gt;0, -AJ74/$U74, 0)</f>
        <v>#REF!</v>
      </c>
      <c r="AL74" s="1"/>
    </row>
    <row r="75" spans="2:38" x14ac:dyDescent="0.25">
      <c r="B75" s="86">
        <f t="shared" ref="B75:B137" ca="1" si="111">B73+1</f>
        <v>2054</v>
      </c>
      <c r="C75" s="80" t="s">
        <v>741</v>
      </c>
      <c r="D75" s="147" t="str">
        <f t="shared" si="88"/>
        <v/>
      </c>
      <c r="E75" s="81">
        <f t="shared" si="85"/>
        <v>0</v>
      </c>
      <c r="F75" s="81" t="b">
        <f t="shared" si="89"/>
        <v>0</v>
      </c>
      <c r="G75" s="81">
        <f t="shared" si="87"/>
        <v>2</v>
      </c>
      <c r="H75" s="82">
        <f t="shared" si="90"/>
        <v>-1</v>
      </c>
      <c r="I75" s="35">
        <f t="shared" si="91"/>
        <v>0</v>
      </c>
      <c r="J75" s="81">
        <f t="shared" si="92"/>
        <v>0</v>
      </c>
      <c r="K75" s="205">
        <f t="shared" ca="1" si="30"/>
        <v>0.30787939729134473</v>
      </c>
      <c r="L75" s="95">
        <f t="shared" ca="1" si="30"/>
        <v>0.30787939729134473</v>
      </c>
      <c r="M75" s="95">
        <v>1</v>
      </c>
      <c r="N75" s="94">
        <f t="shared" ca="1" si="31"/>
        <v>0.30787939729134473</v>
      </c>
      <c r="O75" s="206">
        <v>1</v>
      </c>
      <c r="P75" s="107">
        <f t="shared" ca="1" si="93"/>
        <v>0</v>
      </c>
      <c r="Q75" s="107">
        <f t="shared" ca="1" si="94"/>
        <v>0</v>
      </c>
      <c r="R75" s="107">
        <f t="shared" si="95"/>
        <v>0</v>
      </c>
      <c r="S75" s="107">
        <f t="shared" ca="1" si="96"/>
        <v>0</v>
      </c>
      <c r="T75" s="107">
        <f t="shared" ca="1" si="97"/>
        <v>0</v>
      </c>
      <c r="U75" s="107">
        <f t="shared" ca="1" si="98"/>
        <v>0</v>
      </c>
      <c r="V75" s="107">
        <f t="shared" ca="1" si="99"/>
        <v>0</v>
      </c>
      <c r="W75" s="107">
        <f t="shared" ca="1" si="100"/>
        <v>0</v>
      </c>
      <c r="X75" s="107">
        <f t="shared" ca="1" si="101"/>
        <v>0</v>
      </c>
      <c r="Y75" s="101">
        <f t="shared" ca="1" si="102"/>
        <v>0</v>
      </c>
      <c r="Z75" s="107">
        <f t="shared" ca="1" si="103"/>
        <v>0</v>
      </c>
      <c r="AA75" s="107">
        <f t="shared" ca="1" si="104"/>
        <v>0</v>
      </c>
      <c r="AB75" s="106" t="e">
        <f t="shared" ca="1" si="105"/>
        <v>#REF!</v>
      </c>
      <c r="AC75" s="107" t="e">
        <f t="shared" ca="1" si="106"/>
        <v>#REF!</v>
      </c>
      <c r="AD75" s="107" t="e">
        <f t="array" aca="1" ref="AD75" ca="1">-(VLOOKUP(AC75, LT_IncomeTaxFed/$K75:$O75, 2, TRUE)+VLOOKUP(AC75,LT_IncomeTaxFed/$K75:$O75,3,TRUE)*(AC75-VLOOKUP(AC75,LT_IncomeTaxFed/$K75:$O75,1,TRUE)))</f>
        <v>#REF!</v>
      </c>
      <c r="AE75" s="107" t="e">
        <f t="array" aca="1" ref="AE75" ca="1">-(VLOOKUP($AC75+$X75, LT_IncomeTaxFed/$K75:$O75, 4, TRUE)+VLOOKUP($AC75+$X75,LT_IncomeTaxFed/$K75:$O75,5,TRUE)*($AC75+$X75-VLOOKUP($AC75+$X75,LT_IncomeTaxFed/$K75:$O75,1,TRUE)))+(VLOOKUP($AC75, LT_IncomeTaxFed/$K75:$O75, 4, TRUE)+VLOOKUP($AC75,LT_IncomeTaxFed/$K75:$O75,5,TRUE)*($AC75-VLOOKUP($AC75,LT_IncomeTaxFed/$K75:$O75,1,TRUE)))</f>
        <v>#REF!</v>
      </c>
      <c r="AF75" s="106" t="e">
        <f t="shared" ca="1" si="107"/>
        <v>#REF!</v>
      </c>
      <c r="AG75" s="107" t="e">
        <f t="shared" ca="1" si="108"/>
        <v>#REF!</v>
      </c>
      <c r="AH75" s="91" t="e">
        <f t="array" aca="1" ref="AH75" ca="1">IF(AG75&gt;0,(VLOOKUP(AG75, LT_IncomeTaxFed/$K75:$O75, 2, TRUE)+VLOOKUP(AG75,LT_IncomeTaxFed/$K75:$O75,3,TRUE)*(AG75-VLOOKUP(AG75,LT_IncomeTaxFed/$K75:$O75,1,TRUE)))/AG75,0)</f>
        <v>#REF!</v>
      </c>
      <c r="AI75" s="110" t="e">
        <f t="shared" ca="1" si="109"/>
        <v>#REF!</v>
      </c>
      <c r="AJ75" s="634"/>
      <c r="AK75" s="668"/>
      <c r="AL75" s="1"/>
    </row>
    <row r="76" spans="2:38" x14ac:dyDescent="0.25">
      <c r="B76" s="65">
        <f ca="1">B74+1</f>
        <v>2055</v>
      </c>
      <c r="C76" s="76" t="s">
        <v>741</v>
      </c>
      <c r="D76" s="146" t="str">
        <f t="shared" si="88"/>
        <v/>
      </c>
      <c r="E76" s="77">
        <f t="shared" si="85"/>
        <v>0</v>
      </c>
      <c r="F76" s="77" t="b">
        <f t="shared" si="89"/>
        <v>0</v>
      </c>
      <c r="G76" s="77">
        <f t="shared" si="87"/>
        <v>1</v>
      </c>
      <c r="H76" s="76">
        <f t="shared" si="90"/>
        <v>1</v>
      </c>
      <c r="I76" s="4">
        <f t="shared" si="91"/>
        <v>0</v>
      </c>
      <c r="J76" s="77">
        <f t="shared" si="92"/>
        <v>0</v>
      </c>
      <c r="K76" s="204">
        <f t="shared" ca="1" si="30"/>
        <v>0.29675122630491052</v>
      </c>
      <c r="L76" s="93">
        <f t="shared" ca="1" si="30"/>
        <v>0.29675122630491052</v>
      </c>
      <c r="M76" s="93">
        <v>1</v>
      </c>
      <c r="N76" s="92">
        <f t="shared" ca="1" si="31"/>
        <v>0.29675122630491052</v>
      </c>
      <c r="O76" s="100">
        <v>1</v>
      </c>
      <c r="P76" s="70">
        <f t="shared" ca="1" si="93"/>
        <v>0</v>
      </c>
      <c r="Q76" s="70">
        <f t="shared" ca="1" si="94"/>
        <v>0</v>
      </c>
      <c r="R76" s="70" t="e">
        <f t="shared" ca="1" si="95"/>
        <v>#REF!</v>
      </c>
      <c r="S76" s="70">
        <f t="shared" ca="1" si="96"/>
        <v>0</v>
      </c>
      <c r="T76" s="70">
        <f t="shared" ca="1" si="97"/>
        <v>0</v>
      </c>
      <c r="U76" s="70" t="e">
        <f t="shared" ca="1" si="98"/>
        <v>#REF!</v>
      </c>
      <c r="V76" s="70">
        <f t="shared" ca="1" si="99"/>
        <v>0</v>
      </c>
      <c r="W76" s="70">
        <f t="shared" ca="1" si="100"/>
        <v>0</v>
      </c>
      <c r="X76" s="70">
        <f t="shared" ca="1" si="101"/>
        <v>0</v>
      </c>
      <c r="Y76" s="98">
        <f t="shared" ca="1" si="102"/>
        <v>0</v>
      </c>
      <c r="Z76" s="70">
        <f t="shared" ca="1" si="103"/>
        <v>0</v>
      </c>
      <c r="AA76" s="70">
        <f t="shared" ca="1" si="104"/>
        <v>0</v>
      </c>
      <c r="AB76" s="409" t="e">
        <f t="shared" ca="1" si="105"/>
        <v>#REF!</v>
      </c>
      <c r="AC76" s="70" t="e">
        <f t="shared" ca="1" si="106"/>
        <v>#REF!</v>
      </c>
      <c r="AD76" s="70" t="e">
        <f t="array" aca="1" ref="AD76" ca="1">-(VLOOKUP(AC76, LT_IncomeTaxFed/$K76:$O76, 2, TRUE)+VLOOKUP(AC76,LT_IncomeTaxFed/$K76:$O76,3,TRUE)*(AC76-VLOOKUP(AC76,LT_IncomeTaxFed/$K76:$O76,1,TRUE)))</f>
        <v>#REF!</v>
      </c>
      <c r="AE76" s="70" t="e">
        <f t="array" aca="1" ref="AE76" ca="1">-(VLOOKUP($AC76+$X76, LT_IncomeTaxFed/$K76:$O76, 4, TRUE)+VLOOKUP($AC76+$X76,LT_IncomeTaxFed/$K76:$O76,5,TRUE)*($AC76+$X76-VLOOKUP($AC76+$X76,LT_IncomeTaxFed/$K76:$O76,1,TRUE)))+(VLOOKUP($AC76, LT_IncomeTaxFed/$K76:$O76, 4, TRUE)+VLOOKUP($AC76,LT_IncomeTaxFed/$K76:$O76,5,TRUE)*($AC76-VLOOKUP($AC76,LT_IncomeTaxFed/$K76:$O76,1,TRUE)))</f>
        <v>#REF!</v>
      </c>
      <c r="AF76" s="75" t="e">
        <f t="shared" ca="1" si="107"/>
        <v>#REF!</v>
      </c>
      <c r="AG76" s="70" t="e">
        <f t="shared" ca="1" si="108"/>
        <v>#REF!</v>
      </c>
      <c r="AH76" s="67" t="e">
        <f t="array" aca="1" ref="AH76" ca="1">IF(AG76&gt;0,(VLOOKUP(AG76, LT_IncomeTaxFed/$K76:$O76, 2, TRUE)+VLOOKUP(AG76,LT_IncomeTaxFed/$K76:$O76,3,TRUE)*(AG76-VLOOKUP(AG76,LT_IncomeTaxFed/$K76:$O76,1,TRUE)))/AG76,0)</f>
        <v>#REF!</v>
      </c>
      <c r="AI76" s="109" t="e">
        <f t="shared" ca="1" si="109"/>
        <v>#REF!</v>
      </c>
      <c r="AJ76" s="634" t="e">
        <f ca="1">SUMPRODUCT($Z76:$Z77+$AA76:$AA77+$AD76:$AD77+$AE76:$AE77+$AI76:$AI77)</f>
        <v>#REF!</v>
      </c>
      <c r="AK76" s="668" t="e">
        <f t="shared" ref="AK76" ca="1" si="112">IF($U76&gt;0, -AJ76/$U76, 0)</f>
        <v>#REF!</v>
      </c>
      <c r="AL76" s="1"/>
    </row>
    <row r="77" spans="2:38" x14ac:dyDescent="0.25">
      <c r="B77" s="86">
        <f t="shared" ca="1" si="111"/>
        <v>2055</v>
      </c>
      <c r="C77" s="80" t="s">
        <v>741</v>
      </c>
      <c r="D77" s="147" t="str">
        <f t="shared" si="88"/>
        <v/>
      </c>
      <c r="E77" s="81">
        <f t="shared" si="85"/>
        <v>0</v>
      </c>
      <c r="F77" s="81" t="b">
        <f t="shared" si="89"/>
        <v>0</v>
      </c>
      <c r="G77" s="81">
        <f t="shared" si="87"/>
        <v>2</v>
      </c>
      <c r="H77" s="82">
        <f t="shared" si="90"/>
        <v>-1</v>
      </c>
      <c r="I77" s="35">
        <f t="shared" si="91"/>
        <v>0</v>
      </c>
      <c r="J77" s="81">
        <f t="shared" si="92"/>
        <v>0</v>
      </c>
      <c r="K77" s="205">
        <f t="shared" ca="1" si="30"/>
        <v>0.29675122630491052</v>
      </c>
      <c r="L77" s="95">
        <f t="shared" ca="1" si="30"/>
        <v>0.29675122630491052</v>
      </c>
      <c r="M77" s="95">
        <v>1</v>
      </c>
      <c r="N77" s="94">
        <f t="shared" ca="1" si="31"/>
        <v>0.29675122630491052</v>
      </c>
      <c r="O77" s="206">
        <v>1</v>
      </c>
      <c r="P77" s="107">
        <f t="shared" ca="1" si="93"/>
        <v>0</v>
      </c>
      <c r="Q77" s="107">
        <f t="shared" ca="1" si="94"/>
        <v>0</v>
      </c>
      <c r="R77" s="107">
        <f t="shared" si="95"/>
        <v>0</v>
      </c>
      <c r="S77" s="107">
        <f t="shared" ca="1" si="96"/>
        <v>0</v>
      </c>
      <c r="T77" s="107">
        <f t="shared" ca="1" si="97"/>
        <v>0</v>
      </c>
      <c r="U77" s="107">
        <f t="shared" ca="1" si="98"/>
        <v>0</v>
      </c>
      <c r="V77" s="107">
        <f t="shared" ca="1" si="99"/>
        <v>0</v>
      </c>
      <c r="W77" s="107">
        <f t="shared" ca="1" si="100"/>
        <v>0</v>
      </c>
      <c r="X77" s="107">
        <f t="shared" ca="1" si="101"/>
        <v>0</v>
      </c>
      <c r="Y77" s="101">
        <f t="shared" ca="1" si="102"/>
        <v>0</v>
      </c>
      <c r="Z77" s="107">
        <f t="shared" ca="1" si="103"/>
        <v>0</v>
      </c>
      <c r="AA77" s="107">
        <f t="shared" ca="1" si="104"/>
        <v>0</v>
      </c>
      <c r="AB77" s="106" t="e">
        <f t="shared" ca="1" si="105"/>
        <v>#REF!</v>
      </c>
      <c r="AC77" s="107" t="e">
        <f t="shared" ca="1" si="106"/>
        <v>#REF!</v>
      </c>
      <c r="AD77" s="107" t="e">
        <f t="array" aca="1" ref="AD77" ca="1">-(VLOOKUP(AC77, LT_IncomeTaxFed/$K77:$O77, 2, TRUE)+VLOOKUP(AC77,LT_IncomeTaxFed/$K77:$O77,3,TRUE)*(AC77-VLOOKUP(AC77,LT_IncomeTaxFed/$K77:$O77,1,TRUE)))</f>
        <v>#REF!</v>
      </c>
      <c r="AE77" s="107" t="e">
        <f t="array" aca="1" ref="AE77" ca="1">-(VLOOKUP($AC77+$X77, LT_IncomeTaxFed/$K77:$O77, 4, TRUE)+VLOOKUP($AC77+$X77,LT_IncomeTaxFed/$K77:$O77,5,TRUE)*($AC77+$X77-VLOOKUP($AC77+$X77,LT_IncomeTaxFed/$K77:$O77,1,TRUE)))+(VLOOKUP($AC77, LT_IncomeTaxFed/$K77:$O77, 4, TRUE)+VLOOKUP($AC77,LT_IncomeTaxFed/$K77:$O77,5,TRUE)*($AC77-VLOOKUP($AC77,LT_IncomeTaxFed/$K77:$O77,1,TRUE)))</f>
        <v>#REF!</v>
      </c>
      <c r="AF77" s="106" t="e">
        <f t="shared" ca="1" si="107"/>
        <v>#REF!</v>
      </c>
      <c r="AG77" s="107" t="e">
        <f t="shared" ca="1" si="108"/>
        <v>#REF!</v>
      </c>
      <c r="AH77" s="91" t="e">
        <f t="array" aca="1" ref="AH77" ca="1">IF(AG77&gt;0,(VLOOKUP(AG77, LT_IncomeTaxFed/$K77:$O77, 2, TRUE)+VLOOKUP(AG77,LT_IncomeTaxFed/$K77:$O77,3,TRUE)*(AG77-VLOOKUP(AG77,LT_IncomeTaxFed/$K77:$O77,1,TRUE)))/AG77,0)</f>
        <v>#REF!</v>
      </c>
      <c r="AI77" s="110" t="e">
        <f t="shared" ca="1" si="109"/>
        <v>#REF!</v>
      </c>
      <c r="AJ77" s="634"/>
      <c r="AK77" s="668"/>
      <c r="AL77" s="1"/>
    </row>
    <row r="78" spans="2:38" x14ac:dyDescent="0.25">
      <c r="B78" s="65">
        <f ca="1">B76+1</f>
        <v>2056</v>
      </c>
      <c r="C78" s="76" t="s">
        <v>741</v>
      </c>
      <c r="D78" s="146" t="str">
        <f t="shared" si="88"/>
        <v/>
      </c>
      <c r="E78" s="77">
        <f t="shared" si="85"/>
        <v>0</v>
      </c>
      <c r="F78" s="77" t="b">
        <f t="shared" si="89"/>
        <v>0</v>
      </c>
      <c r="G78" s="77">
        <f t="shared" si="87"/>
        <v>1</v>
      </c>
      <c r="H78" s="76">
        <f t="shared" si="90"/>
        <v>1</v>
      </c>
      <c r="I78" s="4">
        <f t="shared" si="91"/>
        <v>0</v>
      </c>
      <c r="J78" s="77">
        <f t="shared" si="92"/>
        <v>0</v>
      </c>
      <c r="K78" s="204">
        <f t="shared" ca="1" si="30"/>
        <v>0.28602527836617875</v>
      </c>
      <c r="L78" s="93">
        <f t="shared" ca="1" si="30"/>
        <v>0.28602527836617875</v>
      </c>
      <c r="M78" s="93">
        <v>1</v>
      </c>
      <c r="N78" s="92">
        <f t="shared" ca="1" si="31"/>
        <v>0.28602527836617875</v>
      </c>
      <c r="O78" s="100">
        <v>1</v>
      </c>
      <c r="P78" s="70">
        <f t="shared" ca="1" si="93"/>
        <v>0</v>
      </c>
      <c r="Q78" s="70">
        <f t="shared" ca="1" si="94"/>
        <v>0</v>
      </c>
      <c r="R78" s="70" t="e">
        <f t="shared" ca="1" si="95"/>
        <v>#REF!</v>
      </c>
      <c r="S78" s="70">
        <f t="shared" ca="1" si="96"/>
        <v>0</v>
      </c>
      <c r="T78" s="70">
        <f t="shared" ca="1" si="97"/>
        <v>0</v>
      </c>
      <c r="U78" s="70" t="e">
        <f t="shared" ca="1" si="98"/>
        <v>#REF!</v>
      </c>
      <c r="V78" s="70">
        <f t="shared" ca="1" si="99"/>
        <v>0</v>
      </c>
      <c r="W78" s="70">
        <f t="shared" ca="1" si="100"/>
        <v>0</v>
      </c>
      <c r="X78" s="70">
        <f t="shared" ca="1" si="101"/>
        <v>0</v>
      </c>
      <c r="Y78" s="98">
        <f t="shared" ca="1" si="102"/>
        <v>0</v>
      </c>
      <c r="Z78" s="70">
        <f t="shared" ca="1" si="103"/>
        <v>0</v>
      </c>
      <c r="AA78" s="70">
        <f t="shared" ca="1" si="104"/>
        <v>0</v>
      </c>
      <c r="AB78" s="409" t="e">
        <f t="shared" ca="1" si="105"/>
        <v>#REF!</v>
      </c>
      <c r="AC78" s="70" t="e">
        <f t="shared" ca="1" si="106"/>
        <v>#REF!</v>
      </c>
      <c r="AD78" s="70" t="e">
        <f t="array" aca="1" ref="AD78" ca="1">-(VLOOKUP(AC78, LT_IncomeTaxFed/$K78:$O78, 2, TRUE)+VLOOKUP(AC78,LT_IncomeTaxFed/$K78:$O78,3,TRUE)*(AC78-VLOOKUP(AC78,LT_IncomeTaxFed/$K78:$O78,1,TRUE)))</f>
        <v>#REF!</v>
      </c>
      <c r="AE78" s="70" t="e">
        <f t="array" aca="1" ref="AE78" ca="1">-(VLOOKUP($AC78+$X78, LT_IncomeTaxFed/$K78:$O78, 4, TRUE)+VLOOKUP($AC78+$X78,LT_IncomeTaxFed/$K78:$O78,5,TRUE)*($AC78+$X78-VLOOKUP($AC78+$X78,LT_IncomeTaxFed/$K78:$O78,1,TRUE)))+(VLOOKUP($AC78, LT_IncomeTaxFed/$K78:$O78, 4, TRUE)+VLOOKUP($AC78,LT_IncomeTaxFed/$K78:$O78,5,TRUE)*($AC78-VLOOKUP($AC78,LT_IncomeTaxFed/$K78:$O78,1,TRUE)))</f>
        <v>#REF!</v>
      </c>
      <c r="AF78" s="75" t="e">
        <f t="shared" ca="1" si="107"/>
        <v>#REF!</v>
      </c>
      <c r="AG78" s="70" t="e">
        <f t="shared" ca="1" si="108"/>
        <v>#REF!</v>
      </c>
      <c r="AH78" s="67" t="e">
        <f t="array" aca="1" ref="AH78" ca="1">IF(AG78&gt;0,(VLOOKUP(AG78, LT_IncomeTaxFed/$K78:$O78, 2, TRUE)+VLOOKUP(AG78,LT_IncomeTaxFed/$K78:$O78,3,TRUE)*(AG78-VLOOKUP(AG78,LT_IncomeTaxFed/$K78:$O78,1,TRUE)))/AG78,0)</f>
        <v>#REF!</v>
      </c>
      <c r="AI78" s="109" t="e">
        <f t="shared" ca="1" si="109"/>
        <v>#REF!</v>
      </c>
      <c r="AJ78" s="634" t="e">
        <f ca="1">SUMPRODUCT($Z78:$Z79+$AA78:$AA79+$AD78:$AD79+$AE78:$AE79+$AI78:$AI79)</f>
        <v>#REF!</v>
      </c>
      <c r="AK78" s="668" t="e">
        <f t="shared" ref="AK78" ca="1" si="113">IF($U78&gt;0, -AJ78/$U78, 0)</f>
        <v>#REF!</v>
      </c>
      <c r="AL78" s="1"/>
    </row>
    <row r="79" spans="2:38" x14ac:dyDescent="0.25">
      <c r="B79" s="86">
        <f t="shared" ca="1" si="111"/>
        <v>2056</v>
      </c>
      <c r="C79" s="80" t="s">
        <v>741</v>
      </c>
      <c r="D79" s="147" t="str">
        <f t="shared" si="88"/>
        <v/>
      </c>
      <c r="E79" s="81">
        <f t="shared" si="85"/>
        <v>0</v>
      </c>
      <c r="F79" s="81" t="b">
        <f t="shared" si="89"/>
        <v>0</v>
      </c>
      <c r="G79" s="81">
        <f t="shared" si="87"/>
        <v>2</v>
      </c>
      <c r="H79" s="82">
        <f t="shared" si="90"/>
        <v>-1</v>
      </c>
      <c r="I79" s="35">
        <f t="shared" si="91"/>
        <v>0</v>
      </c>
      <c r="J79" s="81">
        <f t="shared" si="92"/>
        <v>0</v>
      </c>
      <c r="K79" s="205">
        <f t="shared" ca="1" si="30"/>
        <v>0.28602527836617875</v>
      </c>
      <c r="L79" s="95">
        <f t="shared" ca="1" si="30"/>
        <v>0.28602527836617875</v>
      </c>
      <c r="M79" s="95">
        <v>1</v>
      </c>
      <c r="N79" s="94">
        <f t="shared" ca="1" si="31"/>
        <v>0.28602527836617875</v>
      </c>
      <c r="O79" s="206">
        <v>1</v>
      </c>
      <c r="P79" s="107">
        <f t="shared" ca="1" si="93"/>
        <v>0</v>
      </c>
      <c r="Q79" s="107">
        <f t="shared" ca="1" si="94"/>
        <v>0</v>
      </c>
      <c r="R79" s="107">
        <f t="shared" si="95"/>
        <v>0</v>
      </c>
      <c r="S79" s="107">
        <f t="shared" ca="1" si="96"/>
        <v>0</v>
      </c>
      <c r="T79" s="107">
        <f t="shared" ca="1" si="97"/>
        <v>0</v>
      </c>
      <c r="U79" s="107">
        <f t="shared" ca="1" si="98"/>
        <v>0</v>
      </c>
      <c r="V79" s="107">
        <f t="shared" ca="1" si="99"/>
        <v>0</v>
      </c>
      <c r="W79" s="107">
        <f t="shared" ca="1" si="100"/>
        <v>0</v>
      </c>
      <c r="X79" s="107">
        <f t="shared" ca="1" si="101"/>
        <v>0</v>
      </c>
      <c r="Y79" s="101">
        <f t="shared" ca="1" si="102"/>
        <v>0</v>
      </c>
      <c r="Z79" s="107">
        <f t="shared" ca="1" si="103"/>
        <v>0</v>
      </c>
      <c r="AA79" s="107">
        <f t="shared" ca="1" si="104"/>
        <v>0</v>
      </c>
      <c r="AB79" s="106" t="e">
        <f t="shared" ca="1" si="105"/>
        <v>#REF!</v>
      </c>
      <c r="AC79" s="107" t="e">
        <f t="shared" ca="1" si="106"/>
        <v>#REF!</v>
      </c>
      <c r="AD79" s="107" t="e">
        <f t="array" aca="1" ref="AD79" ca="1">-(VLOOKUP(AC79, LT_IncomeTaxFed/$K79:$O79, 2, TRUE)+VLOOKUP(AC79,LT_IncomeTaxFed/$K79:$O79,3,TRUE)*(AC79-VLOOKUP(AC79,LT_IncomeTaxFed/$K79:$O79,1,TRUE)))</f>
        <v>#REF!</v>
      </c>
      <c r="AE79" s="107" t="e">
        <f t="array" aca="1" ref="AE79" ca="1">-(VLOOKUP($AC79+$X79, LT_IncomeTaxFed/$K79:$O79, 4, TRUE)+VLOOKUP($AC79+$X79,LT_IncomeTaxFed/$K79:$O79,5,TRUE)*($AC79+$X79-VLOOKUP($AC79+$X79,LT_IncomeTaxFed/$K79:$O79,1,TRUE)))+(VLOOKUP($AC79, LT_IncomeTaxFed/$K79:$O79, 4, TRUE)+VLOOKUP($AC79,LT_IncomeTaxFed/$K79:$O79,5,TRUE)*($AC79-VLOOKUP($AC79,LT_IncomeTaxFed/$K79:$O79,1,TRUE)))</f>
        <v>#REF!</v>
      </c>
      <c r="AF79" s="106" t="e">
        <f t="shared" ca="1" si="107"/>
        <v>#REF!</v>
      </c>
      <c r="AG79" s="107" t="e">
        <f t="shared" ca="1" si="108"/>
        <v>#REF!</v>
      </c>
      <c r="AH79" s="91" t="e">
        <f t="array" aca="1" ref="AH79" ca="1">IF(AG79&gt;0,(VLOOKUP(AG79, LT_IncomeTaxFed/$K79:$O79, 2, TRUE)+VLOOKUP(AG79,LT_IncomeTaxFed/$K79:$O79,3,TRUE)*(AG79-VLOOKUP(AG79,LT_IncomeTaxFed/$K79:$O79,1,TRUE)))/AG79,0)</f>
        <v>#REF!</v>
      </c>
      <c r="AI79" s="110" t="e">
        <f t="shared" ca="1" si="109"/>
        <v>#REF!</v>
      </c>
      <c r="AJ79" s="634"/>
      <c r="AK79" s="668"/>
      <c r="AL79" s="1"/>
    </row>
    <row r="80" spans="2:38" x14ac:dyDescent="0.25">
      <c r="B80" s="65">
        <f ca="1">B78+1</f>
        <v>2057</v>
      </c>
      <c r="C80" s="76" t="s">
        <v>741</v>
      </c>
      <c r="D80" s="146" t="str">
        <f t="shared" si="88"/>
        <v/>
      </c>
      <c r="E80" s="77">
        <f t="shared" si="85"/>
        <v>0</v>
      </c>
      <c r="F80" s="77" t="b">
        <f t="shared" si="89"/>
        <v>0</v>
      </c>
      <c r="G80" s="77">
        <f t="shared" si="87"/>
        <v>1</v>
      </c>
      <c r="H80" s="76">
        <f t="shared" si="90"/>
        <v>1</v>
      </c>
      <c r="I80" s="4">
        <f t="shared" si="91"/>
        <v>0</v>
      </c>
      <c r="J80" s="77">
        <f t="shared" si="92"/>
        <v>0</v>
      </c>
      <c r="K80" s="204">
        <f t="shared" ca="1" si="30"/>
        <v>0.2756870152927024</v>
      </c>
      <c r="L80" s="93">
        <f t="shared" ca="1" si="30"/>
        <v>0.2756870152927024</v>
      </c>
      <c r="M80" s="93">
        <v>1</v>
      </c>
      <c r="N80" s="92">
        <f t="shared" ca="1" si="31"/>
        <v>0.2756870152927024</v>
      </c>
      <c r="O80" s="100">
        <v>1</v>
      </c>
      <c r="P80" s="70">
        <f t="shared" ca="1" si="93"/>
        <v>0</v>
      </c>
      <c r="Q80" s="70">
        <f t="shared" ca="1" si="94"/>
        <v>0</v>
      </c>
      <c r="R80" s="70" t="e">
        <f t="shared" ca="1" si="95"/>
        <v>#REF!</v>
      </c>
      <c r="S80" s="70">
        <f t="shared" ca="1" si="96"/>
        <v>0</v>
      </c>
      <c r="T80" s="70">
        <f t="shared" ca="1" si="97"/>
        <v>0</v>
      </c>
      <c r="U80" s="70" t="e">
        <f t="shared" ca="1" si="98"/>
        <v>#REF!</v>
      </c>
      <c r="V80" s="70">
        <f t="shared" ca="1" si="99"/>
        <v>0</v>
      </c>
      <c r="W80" s="70">
        <f t="shared" ca="1" si="100"/>
        <v>0</v>
      </c>
      <c r="X80" s="70">
        <f t="shared" ca="1" si="101"/>
        <v>0</v>
      </c>
      <c r="Y80" s="98">
        <f t="shared" ca="1" si="102"/>
        <v>0</v>
      </c>
      <c r="Z80" s="70">
        <f t="shared" ca="1" si="103"/>
        <v>0</v>
      </c>
      <c r="AA80" s="70">
        <f t="shared" ca="1" si="104"/>
        <v>0</v>
      </c>
      <c r="AB80" s="409" t="e">
        <f t="shared" ca="1" si="105"/>
        <v>#REF!</v>
      </c>
      <c r="AC80" s="70" t="e">
        <f t="shared" ca="1" si="106"/>
        <v>#REF!</v>
      </c>
      <c r="AD80" s="70" t="e">
        <f t="array" aca="1" ref="AD80" ca="1">-(VLOOKUP(AC80, LT_IncomeTaxFed/$K80:$O80, 2, TRUE)+VLOOKUP(AC80,LT_IncomeTaxFed/$K80:$O80,3,TRUE)*(AC80-VLOOKUP(AC80,LT_IncomeTaxFed/$K80:$O80,1,TRUE)))</f>
        <v>#REF!</v>
      </c>
      <c r="AE80" s="70" t="e">
        <f t="array" aca="1" ref="AE80" ca="1">-(VLOOKUP($AC80+$X80, LT_IncomeTaxFed/$K80:$O80, 4, TRUE)+VLOOKUP($AC80+$X80,LT_IncomeTaxFed/$K80:$O80,5,TRUE)*($AC80+$X80-VLOOKUP($AC80+$X80,LT_IncomeTaxFed/$K80:$O80,1,TRUE)))+(VLOOKUP($AC80, LT_IncomeTaxFed/$K80:$O80, 4, TRUE)+VLOOKUP($AC80,LT_IncomeTaxFed/$K80:$O80,5,TRUE)*($AC80-VLOOKUP($AC80,LT_IncomeTaxFed/$K80:$O80,1,TRUE)))</f>
        <v>#REF!</v>
      </c>
      <c r="AF80" s="75" t="e">
        <f t="shared" ca="1" si="107"/>
        <v>#REF!</v>
      </c>
      <c r="AG80" s="70" t="e">
        <f t="shared" ca="1" si="108"/>
        <v>#REF!</v>
      </c>
      <c r="AH80" s="67" t="e">
        <f t="array" aca="1" ref="AH80" ca="1">IF(AG80&gt;0,(VLOOKUP(AG80, LT_IncomeTaxFed/$K80:$O80, 2, TRUE)+VLOOKUP(AG80,LT_IncomeTaxFed/$K80:$O80,3,TRUE)*(AG80-VLOOKUP(AG80,LT_IncomeTaxFed/$K80:$O80,1,TRUE)))/AG80,0)</f>
        <v>#REF!</v>
      </c>
      <c r="AI80" s="109" t="e">
        <f t="shared" ca="1" si="109"/>
        <v>#REF!</v>
      </c>
      <c r="AJ80" s="634" t="e">
        <f ca="1">SUMPRODUCT($Z80:$Z81+$AA80:$AA81+$AD80:$AD81+$AE80:$AE81+$AI80:$AI81)</f>
        <v>#REF!</v>
      </c>
      <c r="AK80" s="668" t="e">
        <f t="shared" ref="AK80" ca="1" si="114">IF($U80&gt;0, -AJ80/$U80, 0)</f>
        <v>#REF!</v>
      </c>
      <c r="AL80" s="1"/>
    </row>
    <row r="81" spans="2:38" x14ac:dyDescent="0.25">
      <c r="B81" s="86">
        <f t="shared" ca="1" si="111"/>
        <v>2057</v>
      </c>
      <c r="C81" s="80" t="s">
        <v>741</v>
      </c>
      <c r="D81" s="147" t="str">
        <f t="shared" si="88"/>
        <v/>
      </c>
      <c r="E81" s="81">
        <f t="shared" si="85"/>
        <v>0</v>
      </c>
      <c r="F81" s="81" t="b">
        <f t="shared" si="89"/>
        <v>0</v>
      </c>
      <c r="G81" s="81">
        <f t="shared" si="87"/>
        <v>2</v>
      </c>
      <c r="H81" s="82">
        <f t="shared" si="90"/>
        <v>-1</v>
      </c>
      <c r="I81" s="35">
        <f t="shared" si="91"/>
        <v>0</v>
      </c>
      <c r="J81" s="81">
        <f t="shared" si="92"/>
        <v>0</v>
      </c>
      <c r="K81" s="205">
        <f t="shared" ca="1" si="30"/>
        <v>0.2756870152927024</v>
      </c>
      <c r="L81" s="95">
        <f t="shared" ca="1" si="30"/>
        <v>0.2756870152927024</v>
      </c>
      <c r="M81" s="95">
        <v>1</v>
      </c>
      <c r="N81" s="94">
        <f t="shared" ca="1" si="31"/>
        <v>0.2756870152927024</v>
      </c>
      <c r="O81" s="206">
        <v>1</v>
      </c>
      <c r="P81" s="107">
        <f t="shared" ca="1" si="93"/>
        <v>0</v>
      </c>
      <c r="Q81" s="107">
        <f t="shared" ca="1" si="94"/>
        <v>0</v>
      </c>
      <c r="R81" s="107">
        <f t="shared" si="95"/>
        <v>0</v>
      </c>
      <c r="S81" s="107">
        <f t="shared" ca="1" si="96"/>
        <v>0</v>
      </c>
      <c r="T81" s="107">
        <f t="shared" ca="1" si="97"/>
        <v>0</v>
      </c>
      <c r="U81" s="107">
        <f t="shared" ca="1" si="98"/>
        <v>0</v>
      </c>
      <c r="V81" s="107">
        <f t="shared" ca="1" si="99"/>
        <v>0</v>
      </c>
      <c r="W81" s="107">
        <f t="shared" ca="1" si="100"/>
        <v>0</v>
      </c>
      <c r="X81" s="107">
        <f t="shared" ca="1" si="101"/>
        <v>0</v>
      </c>
      <c r="Y81" s="101">
        <f t="shared" ca="1" si="102"/>
        <v>0</v>
      </c>
      <c r="Z81" s="107">
        <f t="shared" ca="1" si="103"/>
        <v>0</v>
      </c>
      <c r="AA81" s="107">
        <f t="shared" ca="1" si="104"/>
        <v>0</v>
      </c>
      <c r="AB81" s="106" t="e">
        <f t="shared" ca="1" si="105"/>
        <v>#REF!</v>
      </c>
      <c r="AC81" s="107" t="e">
        <f t="shared" ca="1" si="106"/>
        <v>#REF!</v>
      </c>
      <c r="AD81" s="107" t="e">
        <f t="array" aca="1" ref="AD81" ca="1">-(VLOOKUP(AC81, LT_IncomeTaxFed/$K81:$O81, 2, TRUE)+VLOOKUP(AC81,LT_IncomeTaxFed/$K81:$O81,3,TRUE)*(AC81-VLOOKUP(AC81,LT_IncomeTaxFed/$K81:$O81,1,TRUE)))</f>
        <v>#REF!</v>
      </c>
      <c r="AE81" s="107" t="e">
        <f t="array" aca="1" ref="AE81" ca="1">-(VLOOKUP($AC81+$X81, LT_IncomeTaxFed/$K81:$O81, 4, TRUE)+VLOOKUP($AC81+$X81,LT_IncomeTaxFed/$K81:$O81,5,TRUE)*($AC81+$X81-VLOOKUP($AC81+$X81,LT_IncomeTaxFed/$K81:$O81,1,TRUE)))+(VLOOKUP($AC81, LT_IncomeTaxFed/$K81:$O81, 4, TRUE)+VLOOKUP($AC81,LT_IncomeTaxFed/$K81:$O81,5,TRUE)*($AC81-VLOOKUP($AC81,LT_IncomeTaxFed/$K81:$O81,1,TRUE)))</f>
        <v>#REF!</v>
      </c>
      <c r="AF81" s="106" t="e">
        <f t="shared" ca="1" si="107"/>
        <v>#REF!</v>
      </c>
      <c r="AG81" s="107" t="e">
        <f t="shared" ca="1" si="108"/>
        <v>#REF!</v>
      </c>
      <c r="AH81" s="91" t="e">
        <f t="array" aca="1" ref="AH81" ca="1">IF(AG81&gt;0,(VLOOKUP(AG81, LT_IncomeTaxFed/$K81:$O81, 2, TRUE)+VLOOKUP(AG81,LT_IncomeTaxFed/$K81:$O81,3,TRUE)*(AG81-VLOOKUP(AG81,LT_IncomeTaxFed/$K81:$O81,1,TRUE)))/AG81,0)</f>
        <v>#REF!</v>
      </c>
      <c r="AI81" s="110" t="e">
        <f t="shared" ca="1" si="109"/>
        <v>#REF!</v>
      </c>
      <c r="AJ81" s="634"/>
      <c r="AK81" s="668"/>
      <c r="AL81" s="1"/>
    </row>
    <row r="82" spans="2:38" x14ac:dyDescent="0.25">
      <c r="B82" s="65">
        <f ca="1">B80+1</f>
        <v>2058</v>
      </c>
      <c r="C82" s="76" t="s">
        <v>741</v>
      </c>
      <c r="D82" s="146" t="str">
        <f t="shared" si="88"/>
        <v/>
      </c>
      <c r="E82" s="77">
        <f t="shared" si="85"/>
        <v>0</v>
      </c>
      <c r="F82" s="77" t="b">
        <f t="shared" si="89"/>
        <v>0</v>
      </c>
      <c r="G82" s="77">
        <f t="shared" si="87"/>
        <v>1</v>
      </c>
      <c r="H82" s="76">
        <f t="shared" si="90"/>
        <v>1</v>
      </c>
      <c r="I82" s="4">
        <f t="shared" si="91"/>
        <v>0</v>
      </c>
      <c r="J82" s="77">
        <f t="shared" si="92"/>
        <v>0</v>
      </c>
      <c r="K82" s="204">
        <f t="shared" ca="1" si="30"/>
        <v>0.26572242437850829</v>
      </c>
      <c r="L82" s="93">
        <f t="shared" ca="1" si="30"/>
        <v>0.26572242437850829</v>
      </c>
      <c r="M82" s="93">
        <v>1</v>
      </c>
      <c r="N82" s="92">
        <f t="shared" ca="1" si="31"/>
        <v>0.26572242437850829</v>
      </c>
      <c r="O82" s="100">
        <v>1</v>
      </c>
      <c r="P82" s="70">
        <f t="shared" ca="1" si="93"/>
        <v>0</v>
      </c>
      <c r="Q82" s="70">
        <f t="shared" ca="1" si="94"/>
        <v>0</v>
      </c>
      <c r="R82" s="70" t="e">
        <f t="shared" ca="1" si="95"/>
        <v>#REF!</v>
      </c>
      <c r="S82" s="70">
        <f t="shared" ca="1" si="96"/>
        <v>0</v>
      </c>
      <c r="T82" s="70">
        <f t="shared" ca="1" si="97"/>
        <v>0</v>
      </c>
      <c r="U82" s="70" t="e">
        <f t="shared" ca="1" si="98"/>
        <v>#REF!</v>
      </c>
      <c r="V82" s="70">
        <f t="shared" ca="1" si="99"/>
        <v>0</v>
      </c>
      <c r="W82" s="70">
        <f t="shared" ca="1" si="100"/>
        <v>0</v>
      </c>
      <c r="X82" s="70">
        <f t="shared" ca="1" si="101"/>
        <v>0</v>
      </c>
      <c r="Y82" s="98">
        <f t="shared" ca="1" si="102"/>
        <v>0</v>
      </c>
      <c r="Z82" s="70">
        <f t="shared" ca="1" si="103"/>
        <v>0</v>
      </c>
      <c r="AA82" s="70">
        <f t="shared" ca="1" si="104"/>
        <v>0</v>
      </c>
      <c r="AB82" s="409" t="e">
        <f t="shared" ca="1" si="105"/>
        <v>#REF!</v>
      </c>
      <c r="AC82" s="70" t="e">
        <f t="shared" ca="1" si="106"/>
        <v>#REF!</v>
      </c>
      <c r="AD82" s="70" t="e">
        <f t="array" aca="1" ref="AD82" ca="1">-(VLOOKUP(AC82, LT_IncomeTaxFed/$K82:$O82, 2, TRUE)+VLOOKUP(AC82,LT_IncomeTaxFed/$K82:$O82,3,TRUE)*(AC82-VLOOKUP(AC82,LT_IncomeTaxFed/$K82:$O82,1,TRUE)))</f>
        <v>#REF!</v>
      </c>
      <c r="AE82" s="70" t="e">
        <f t="array" aca="1" ref="AE82" ca="1">-(VLOOKUP($AC82+$X82, LT_IncomeTaxFed/$K82:$O82, 4, TRUE)+VLOOKUP($AC82+$X82,LT_IncomeTaxFed/$K82:$O82,5,TRUE)*($AC82+$X82-VLOOKUP($AC82+$X82,LT_IncomeTaxFed/$K82:$O82,1,TRUE)))+(VLOOKUP($AC82, LT_IncomeTaxFed/$K82:$O82, 4, TRUE)+VLOOKUP($AC82,LT_IncomeTaxFed/$K82:$O82,5,TRUE)*($AC82-VLOOKUP($AC82,LT_IncomeTaxFed/$K82:$O82,1,TRUE)))</f>
        <v>#REF!</v>
      </c>
      <c r="AF82" s="75" t="e">
        <f t="shared" ca="1" si="107"/>
        <v>#REF!</v>
      </c>
      <c r="AG82" s="70" t="e">
        <f t="shared" ca="1" si="108"/>
        <v>#REF!</v>
      </c>
      <c r="AH82" s="67" t="e">
        <f t="array" aca="1" ref="AH82" ca="1">IF(AG82&gt;0,(VLOOKUP(AG82, LT_IncomeTaxFed/$K82:$O82, 2, TRUE)+VLOOKUP(AG82,LT_IncomeTaxFed/$K82:$O82,3,TRUE)*(AG82-VLOOKUP(AG82,LT_IncomeTaxFed/$K82:$O82,1,TRUE)))/AG82,0)</f>
        <v>#REF!</v>
      </c>
      <c r="AI82" s="109" t="e">
        <f t="shared" ca="1" si="109"/>
        <v>#REF!</v>
      </c>
      <c r="AJ82" s="634" t="e">
        <f ca="1">SUMPRODUCT($Z82:$Z83+$AA82:$AA83+$AD82:$AD83+$AE82:$AE83+$AI82:$AI83)</f>
        <v>#REF!</v>
      </c>
      <c r="AK82" s="668" t="e">
        <f t="shared" ref="AK82" ca="1" si="115">IF($U82&gt;0, -AJ82/$U82, 0)</f>
        <v>#REF!</v>
      </c>
      <c r="AL82" s="1"/>
    </row>
    <row r="83" spans="2:38" x14ac:dyDescent="0.25">
      <c r="B83" s="86">
        <f t="shared" ca="1" si="111"/>
        <v>2058</v>
      </c>
      <c r="C83" s="80" t="s">
        <v>741</v>
      </c>
      <c r="D83" s="147" t="str">
        <f t="shared" si="88"/>
        <v/>
      </c>
      <c r="E83" s="81">
        <f t="shared" si="85"/>
        <v>0</v>
      </c>
      <c r="F83" s="81" t="b">
        <f t="shared" si="89"/>
        <v>0</v>
      </c>
      <c r="G83" s="81">
        <f t="shared" si="87"/>
        <v>2</v>
      </c>
      <c r="H83" s="82">
        <f t="shared" si="90"/>
        <v>-1</v>
      </c>
      <c r="I83" s="35">
        <f t="shared" si="91"/>
        <v>0</v>
      </c>
      <c r="J83" s="81">
        <f t="shared" si="92"/>
        <v>0</v>
      </c>
      <c r="K83" s="205">
        <f t="shared" ca="1" si="30"/>
        <v>0.26572242437850829</v>
      </c>
      <c r="L83" s="95">
        <f t="shared" ca="1" si="30"/>
        <v>0.26572242437850829</v>
      </c>
      <c r="M83" s="95">
        <v>1</v>
      </c>
      <c r="N83" s="94">
        <f t="shared" ca="1" si="31"/>
        <v>0.26572242437850829</v>
      </c>
      <c r="O83" s="206">
        <v>1</v>
      </c>
      <c r="P83" s="107">
        <f t="shared" ca="1" si="93"/>
        <v>0</v>
      </c>
      <c r="Q83" s="107">
        <f t="shared" ca="1" si="94"/>
        <v>0</v>
      </c>
      <c r="R83" s="107">
        <f t="shared" si="95"/>
        <v>0</v>
      </c>
      <c r="S83" s="107">
        <f t="shared" ca="1" si="96"/>
        <v>0</v>
      </c>
      <c r="T83" s="107">
        <f t="shared" ca="1" si="97"/>
        <v>0</v>
      </c>
      <c r="U83" s="107">
        <f t="shared" ca="1" si="98"/>
        <v>0</v>
      </c>
      <c r="V83" s="107">
        <f t="shared" ca="1" si="99"/>
        <v>0</v>
      </c>
      <c r="W83" s="107">
        <f t="shared" ca="1" si="100"/>
        <v>0</v>
      </c>
      <c r="X83" s="107">
        <f t="shared" ca="1" si="101"/>
        <v>0</v>
      </c>
      <c r="Y83" s="101">
        <f t="shared" ca="1" si="102"/>
        <v>0</v>
      </c>
      <c r="Z83" s="107">
        <f t="shared" ca="1" si="103"/>
        <v>0</v>
      </c>
      <c r="AA83" s="107">
        <f t="shared" ca="1" si="104"/>
        <v>0</v>
      </c>
      <c r="AB83" s="106" t="e">
        <f t="shared" ca="1" si="105"/>
        <v>#REF!</v>
      </c>
      <c r="AC83" s="107" t="e">
        <f t="shared" ca="1" si="106"/>
        <v>#REF!</v>
      </c>
      <c r="AD83" s="107" t="e">
        <f t="array" aca="1" ref="AD83" ca="1">-(VLOOKUP(AC83, LT_IncomeTaxFed/$K83:$O83, 2, TRUE)+VLOOKUP(AC83,LT_IncomeTaxFed/$K83:$O83,3,TRUE)*(AC83-VLOOKUP(AC83,LT_IncomeTaxFed/$K83:$O83,1,TRUE)))</f>
        <v>#REF!</v>
      </c>
      <c r="AE83" s="107" t="e">
        <f t="array" aca="1" ref="AE83" ca="1">-(VLOOKUP($AC83+$X83, LT_IncomeTaxFed/$K83:$O83, 4, TRUE)+VLOOKUP($AC83+$X83,LT_IncomeTaxFed/$K83:$O83,5,TRUE)*($AC83+$X83-VLOOKUP($AC83+$X83,LT_IncomeTaxFed/$K83:$O83,1,TRUE)))+(VLOOKUP($AC83, LT_IncomeTaxFed/$K83:$O83, 4, TRUE)+VLOOKUP($AC83,LT_IncomeTaxFed/$K83:$O83,5,TRUE)*($AC83-VLOOKUP($AC83,LT_IncomeTaxFed/$K83:$O83,1,TRUE)))</f>
        <v>#REF!</v>
      </c>
      <c r="AF83" s="106" t="e">
        <f t="shared" ca="1" si="107"/>
        <v>#REF!</v>
      </c>
      <c r="AG83" s="107" t="e">
        <f t="shared" ca="1" si="108"/>
        <v>#REF!</v>
      </c>
      <c r="AH83" s="91" t="e">
        <f t="array" aca="1" ref="AH83" ca="1">IF(AG83&gt;0,(VLOOKUP(AG83, LT_IncomeTaxFed/$K83:$O83, 2, TRUE)+VLOOKUP(AG83,LT_IncomeTaxFed/$K83:$O83,3,TRUE)*(AG83-VLOOKUP(AG83,LT_IncomeTaxFed/$K83:$O83,1,TRUE)))/AG83,0)</f>
        <v>#REF!</v>
      </c>
      <c r="AI83" s="110" t="e">
        <f t="shared" ca="1" si="109"/>
        <v>#REF!</v>
      </c>
      <c r="AJ83" s="634"/>
      <c r="AK83" s="668"/>
      <c r="AL83" s="1"/>
    </row>
    <row r="84" spans="2:38" x14ac:dyDescent="0.25">
      <c r="B84" s="65">
        <f ca="1">B82+1</f>
        <v>2059</v>
      </c>
      <c r="C84" s="76" t="s">
        <v>741</v>
      </c>
      <c r="D84" s="146" t="str">
        <f t="shared" si="88"/>
        <v/>
      </c>
      <c r="E84" s="77">
        <f t="shared" si="85"/>
        <v>0</v>
      </c>
      <c r="F84" s="77" t="b">
        <f t="shared" si="89"/>
        <v>0</v>
      </c>
      <c r="G84" s="77">
        <f t="shared" si="87"/>
        <v>1</v>
      </c>
      <c r="H84" s="76">
        <f t="shared" si="90"/>
        <v>1</v>
      </c>
      <c r="I84" s="4">
        <f t="shared" si="91"/>
        <v>0</v>
      </c>
      <c r="J84" s="77">
        <f t="shared" si="92"/>
        <v>0</v>
      </c>
      <c r="K84" s="204">
        <f t="shared" ca="1" si="30"/>
        <v>0.25611799940097185</v>
      </c>
      <c r="L84" s="93">
        <f t="shared" ca="1" si="30"/>
        <v>0.25611799940097185</v>
      </c>
      <c r="M84" s="93">
        <v>1</v>
      </c>
      <c r="N84" s="92">
        <f t="shared" ca="1" si="31"/>
        <v>0.25611799940097185</v>
      </c>
      <c r="O84" s="100">
        <v>1</v>
      </c>
      <c r="P84" s="70">
        <f t="shared" ca="1" si="93"/>
        <v>0</v>
      </c>
      <c r="Q84" s="70">
        <f t="shared" ca="1" si="94"/>
        <v>0</v>
      </c>
      <c r="R84" s="70" t="e">
        <f t="shared" ca="1" si="95"/>
        <v>#REF!</v>
      </c>
      <c r="S84" s="70">
        <f t="shared" ca="1" si="96"/>
        <v>0</v>
      </c>
      <c r="T84" s="70">
        <f t="shared" ca="1" si="97"/>
        <v>0</v>
      </c>
      <c r="U84" s="70" t="e">
        <f t="shared" ca="1" si="98"/>
        <v>#REF!</v>
      </c>
      <c r="V84" s="70">
        <f t="shared" ca="1" si="99"/>
        <v>0</v>
      </c>
      <c r="W84" s="70">
        <f t="shared" ca="1" si="100"/>
        <v>0</v>
      </c>
      <c r="X84" s="70">
        <f t="shared" ca="1" si="101"/>
        <v>0</v>
      </c>
      <c r="Y84" s="98">
        <f t="shared" ca="1" si="102"/>
        <v>0</v>
      </c>
      <c r="Z84" s="70">
        <f t="shared" ca="1" si="103"/>
        <v>0</v>
      </c>
      <c r="AA84" s="70">
        <f t="shared" ca="1" si="104"/>
        <v>0</v>
      </c>
      <c r="AB84" s="409" t="e">
        <f t="shared" ca="1" si="105"/>
        <v>#REF!</v>
      </c>
      <c r="AC84" s="70" t="e">
        <f t="shared" ca="1" si="106"/>
        <v>#REF!</v>
      </c>
      <c r="AD84" s="70" t="e">
        <f t="array" aca="1" ref="AD84" ca="1">-(VLOOKUP(AC84, LT_IncomeTaxFed/$K84:$O84, 2, TRUE)+VLOOKUP(AC84,LT_IncomeTaxFed/$K84:$O84,3,TRUE)*(AC84-VLOOKUP(AC84,LT_IncomeTaxFed/$K84:$O84,1,TRUE)))</f>
        <v>#REF!</v>
      </c>
      <c r="AE84" s="70" t="e">
        <f t="array" aca="1" ref="AE84" ca="1">-(VLOOKUP($AC84+$X84, LT_IncomeTaxFed/$K84:$O84, 4, TRUE)+VLOOKUP($AC84+$X84,LT_IncomeTaxFed/$K84:$O84,5,TRUE)*($AC84+$X84-VLOOKUP($AC84+$X84,LT_IncomeTaxFed/$K84:$O84,1,TRUE)))+(VLOOKUP($AC84, LT_IncomeTaxFed/$K84:$O84, 4, TRUE)+VLOOKUP($AC84,LT_IncomeTaxFed/$K84:$O84,5,TRUE)*($AC84-VLOOKUP($AC84,LT_IncomeTaxFed/$K84:$O84,1,TRUE)))</f>
        <v>#REF!</v>
      </c>
      <c r="AF84" s="75" t="e">
        <f t="shared" ca="1" si="107"/>
        <v>#REF!</v>
      </c>
      <c r="AG84" s="70" t="e">
        <f t="shared" ca="1" si="108"/>
        <v>#REF!</v>
      </c>
      <c r="AH84" s="67" t="e">
        <f t="array" aca="1" ref="AH84" ca="1">IF(AG84&gt;0,(VLOOKUP(AG84, LT_IncomeTaxFed/$K84:$O84, 2, TRUE)+VLOOKUP(AG84,LT_IncomeTaxFed/$K84:$O84,3,TRUE)*(AG84-VLOOKUP(AG84,LT_IncomeTaxFed/$K84:$O84,1,TRUE)))/AG84,0)</f>
        <v>#REF!</v>
      </c>
      <c r="AI84" s="109" t="e">
        <f t="shared" ca="1" si="109"/>
        <v>#REF!</v>
      </c>
      <c r="AJ84" s="634" t="e">
        <f ca="1">SUMPRODUCT($Z84:$Z85+$AA84:$AA85+$AD84:$AD85+$AE84:$AE85+$AI84:$AI85)</f>
        <v>#REF!</v>
      </c>
      <c r="AK84" s="668" t="e">
        <f t="shared" ref="AK84" ca="1" si="116">IF($U84&gt;0, -AJ84/$U84, 0)</f>
        <v>#REF!</v>
      </c>
      <c r="AL84" s="1"/>
    </row>
    <row r="85" spans="2:38" x14ac:dyDescent="0.25">
      <c r="B85" s="86">
        <f t="shared" ca="1" si="111"/>
        <v>2059</v>
      </c>
      <c r="C85" s="80" t="s">
        <v>741</v>
      </c>
      <c r="D85" s="147" t="str">
        <f t="shared" si="88"/>
        <v/>
      </c>
      <c r="E85" s="81">
        <f t="shared" si="85"/>
        <v>0</v>
      </c>
      <c r="F85" s="81" t="b">
        <f t="shared" si="89"/>
        <v>0</v>
      </c>
      <c r="G85" s="81">
        <f t="shared" si="87"/>
        <v>2</v>
      </c>
      <c r="H85" s="82">
        <f t="shared" si="90"/>
        <v>-1</v>
      </c>
      <c r="I85" s="35">
        <f t="shared" si="91"/>
        <v>0</v>
      </c>
      <c r="J85" s="81">
        <f t="shared" si="92"/>
        <v>0</v>
      </c>
      <c r="K85" s="205">
        <f t="shared" ca="1" si="30"/>
        <v>0.25611799940097185</v>
      </c>
      <c r="L85" s="95">
        <f t="shared" ca="1" si="30"/>
        <v>0.25611799940097185</v>
      </c>
      <c r="M85" s="95">
        <v>1</v>
      </c>
      <c r="N85" s="94">
        <f t="shared" ca="1" si="31"/>
        <v>0.25611799940097185</v>
      </c>
      <c r="O85" s="206">
        <v>1</v>
      </c>
      <c r="P85" s="107">
        <f t="shared" ca="1" si="93"/>
        <v>0</v>
      </c>
      <c r="Q85" s="107">
        <f t="shared" ca="1" si="94"/>
        <v>0</v>
      </c>
      <c r="R85" s="107">
        <f t="shared" si="95"/>
        <v>0</v>
      </c>
      <c r="S85" s="107">
        <f t="shared" ca="1" si="96"/>
        <v>0</v>
      </c>
      <c r="T85" s="107">
        <f t="shared" ca="1" si="97"/>
        <v>0</v>
      </c>
      <c r="U85" s="107">
        <f t="shared" ca="1" si="98"/>
        <v>0</v>
      </c>
      <c r="V85" s="107">
        <f t="shared" ca="1" si="99"/>
        <v>0</v>
      </c>
      <c r="W85" s="107">
        <f t="shared" ca="1" si="100"/>
        <v>0</v>
      </c>
      <c r="X85" s="107">
        <f t="shared" ca="1" si="101"/>
        <v>0</v>
      </c>
      <c r="Y85" s="101">
        <f t="shared" ca="1" si="102"/>
        <v>0</v>
      </c>
      <c r="Z85" s="107">
        <f t="shared" ca="1" si="103"/>
        <v>0</v>
      </c>
      <c r="AA85" s="107">
        <f t="shared" ca="1" si="104"/>
        <v>0</v>
      </c>
      <c r="AB85" s="106" t="e">
        <f t="shared" ca="1" si="105"/>
        <v>#REF!</v>
      </c>
      <c r="AC85" s="107" t="e">
        <f t="shared" ca="1" si="106"/>
        <v>#REF!</v>
      </c>
      <c r="AD85" s="107" t="e">
        <f t="array" aca="1" ref="AD85" ca="1">-(VLOOKUP(AC85, LT_IncomeTaxFed/$K85:$O85, 2, TRUE)+VLOOKUP(AC85,LT_IncomeTaxFed/$K85:$O85,3,TRUE)*(AC85-VLOOKUP(AC85,LT_IncomeTaxFed/$K85:$O85,1,TRUE)))</f>
        <v>#REF!</v>
      </c>
      <c r="AE85" s="107" t="e">
        <f t="array" aca="1" ref="AE85" ca="1">-(VLOOKUP($AC85+$X85, LT_IncomeTaxFed/$K85:$O85, 4, TRUE)+VLOOKUP($AC85+$X85,LT_IncomeTaxFed/$K85:$O85,5,TRUE)*($AC85+$X85-VLOOKUP($AC85+$X85,LT_IncomeTaxFed/$K85:$O85,1,TRUE)))+(VLOOKUP($AC85, LT_IncomeTaxFed/$K85:$O85, 4, TRUE)+VLOOKUP($AC85,LT_IncomeTaxFed/$K85:$O85,5,TRUE)*($AC85-VLOOKUP($AC85,LT_IncomeTaxFed/$K85:$O85,1,TRUE)))</f>
        <v>#REF!</v>
      </c>
      <c r="AF85" s="106" t="e">
        <f t="shared" ca="1" si="107"/>
        <v>#REF!</v>
      </c>
      <c r="AG85" s="107" t="e">
        <f t="shared" ca="1" si="108"/>
        <v>#REF!</v>
      </c>
      <c r="AH85" s="91" t="e">
        <f t="array" aca="1" ref="AH85" ca="1">IF(AG85&gt;0,(VLOOKUP(AG85, LT_IncomeTaxFed/$K85:$O85, 2, TRUE)+VLOOKUP(AG85,LT_IncomeTaxFed/$K85:$O85,3,TRUE)*(AG85-VLOOKUP(AG85,LT_IncomeTaxFed/$K85:$O85,1,TRUE)))/AG85,0)</f>
        <v>#REF!</v>
      </c>
      <c r="AI85" s="110" t="e">
        <f t="shared" ca="1" si="109"/>
        <v>#REF!</v>
      </c>
      <c r="AJ85" s="634"/>
      <c r="AK85" s="668"/>
      <c r="AL85" s="1"/>
    </row>
    <row r="86" spans="2:38" x14ac:dyDescent="0.25">
      <c r="B86" s="65">
        <f ca="1">B84+1</f>
        <v>2060</v>
      </c>
      <c r="C86" s="76" t="s">
        <v>741</v>
      </c>
      <c r="D86" s="146" t="str">
        <f t="shared" si="88"/>
        <v/>
      </c>
      <c r="E86" s="77">
        <f t="shared" si="85"/>
        <v>0</v>
      </c>
      <c r="F86" s="77" t="b">
        <f t="shared" si="89"/>
        <v>0</v>
      </c>
      <c r="G86" s="77">
        <f t="shared" si="87"/>
        <v>1</v>
      </c>
      <c r="H86" s="76">
        <f t="shared" si="90"/>
        <v>1</v>
      </c>
      <c r="I86" s="4">
        <f t="shared" si="91"/>
        <v>0</v>
      </c>
      <c r="J86" s="77">
        <f t="shared" si="92"/>
        <v>0</v>
      </c>
      <c r="K86" s="204">
        <f t="shared" ca="1" si="30"/>
        <v>0.24686072231418973</v>
      </c>
      <c r="L86" s="93">
        <f t="shared" ca="1" si="30"/>
        <v>0.24686072231418973</v>
      </c>
      <c r="M86" s="93">
        <v>1</v>
      </c>
      <c r="N86" s="92">
        <f t="shared" ca="1" si="31"/>
        <v>0.24686072231418973</v>
      </c>
      <c r="O86" s="100">
        <v>1</v>
      </c>
      <c r="P86" s="70">
        <f t="shared" ca="1" si="93"/>
        <v>0</v>
      </c>
      <c r="Q86" s="70">
        <f t="shared" ca="1" si="94"/>
        <v>0</v>
      </c>
      <c r="R86" s="70" t="e">
        <f t="shared" ca="1" si="95"/>
        <v>#REF!</v>
      </c>
      <c r="S86" s="70">
        <f t="shared" ca="1" si="96"/>
        <v>0</v>
      </c>
      <c r="T86" s="70">
        <f t="shared" ca="1" si="97"/>
        <v>0</v>
      </c>
      <c r="U86" s="70" t="e">
        <f t="shared" ca="1" si="98"/>
        <v>#REF!</v>
      </c>
      <c r="V86" s="70">
        <f t="shared" ca="1" si="99"/>
        <v>0</v>
      </c>
      <c r="W86" s="70">
        <f t="shared" ca="1" si="100"/>
        <v>0</v>
      </c>
      <c r="X86" s="70">
        <f t="shared" ca="1" si="101"/>
        <v>0</v>
      </c>
      <c r="Y86" s="98">
        <f t="shared" ca="1" si="102"/>
        <v>0</v>
      </c>
      <c r="Z86" s="70">
        <f t="shared" ca="1" si="103"/>
        <v>0</v>
      </c>
      <c r="AA86" s="70">
        <f t="shared" ca="1" si="104"/>
        <v>0</v>
      </c>
      <c r="AB86" s="409" t="e">
        <f t="shared" ca="1" si="105"/>
        <v>#REF!</v>
      </c>
      <c r="AC86" s="70" t="e">
        <f t="shared" ca="1" si="106"/>
        <v>#REF!</v>
      </c>
      <c r="AD86" s="70" t="e">
        <f t="array" aca="1" ref="AD86" ca="1">-(VLOOKUP(AC86, LT_IncomeTaxFed/$K86:$O86, 2, TRUE)+VLOOKUP(AC86,LT_IncomeTaxFed/$K86:$O86,3,TRUE)*(AC86-VLOOKUP(AC86,LT_IncomeTaxFed/$K86:$O86,1,TRUE)))</f>
        <v>#REF!</v>
      </c>
      <c r="AE86" s="70" t="e">
        <f t="array" aca="1" ref="AE86" ca="1">-(VLOOKUP($AC86+$X86, LT_IncomeTaxFed/$K86:$O86, 4, TRUE)+VLOOKUP($AC86+$X86,LT_IncomeTaxFed/$K86:$O86,5,TRUE)*($AC86+$X86-VLOOKUP($AC86+$X86,LT_IncomeTaxFed/$K86:$O86,1,TRUE)))+(VLOOKUP($AC86, LT_IncomeTaxFed/$K86:$O86, 4, TRUE)+VLOOKUP($AC86,LT_IncomeTaxFed/$K86:$O86,5,TRUE)*($AC86-VLOOKUP($AC86,LT_IncomeTaxFed/$K86:$O86,1,TRUE)))</f>
        <v>#REF!</v>
      </c>
      <c r="AF86" s="75" t="e">
        <f t="shared" ca="1" si="107"/>
        <v>#REF!</v>
      </c>
      <c r="AG86" s="70" t="e">
        <f t="shared" ca="1" si="108"/>
        <v>#REF!</v>
      </c>
      <c r="AH86" s="67" t="e">
        <f t="array" aca="1" ref="AH86" ca="1">IF(AG86&gt;0,(VLOOKUP(AG86, LT_IncomeTaxFed/$K86:$O86, 2, TRUE)+VLOOKUP(AG86,LT_IncomeTaxFed/$K86:$O86,3,TRUE)*(AG86-VLOOKUP(AG86,LT_IncomeTaxFed/$K86:$O86,1,TRUE)))/AG86,0)</f>
        <v>#REF!</v>
      </c>
      <c r="AI86" s="109" t="e">
        <f t="shared" ca="1" si="109"/>
        <v>#REF!</v>
      </c>
      <c r="AJ86" s="634" t="e">
        <f ca="1">SUMPRODUCT($Z86:$Z87+$AA86:$AA87+$AD86:$AD87+$AE86:$AE87+$AI86:$AI87)</f>
        <v>#REF!</v>
      </c>
      <c r="AK86" s="668" t="e">
        <f t="shared" ref="AK86" ca="1" si="117">IF($U86&gt;0, -AJ86/$U86, 0)</f>
        <v>#REF!</v>
      </c>
      <c r="AL86" s="1"/>
    </row>
    <row r="87" spans="2:38" x14ac:dyDescent="0.25">
      <c r="B87" s="86">
        <f t="shared" ca="1" si="111"/>
        <v>2060</v>
      </c>
      <c r="C87" s="80" t="s">
        <v>741</v>
      </c>
      <c r="D87" s="147" t="str">
        <f t="shared" si="88"/>
        <v/>
      </c>
      <c r="E87" s="81">
        <f t="shared" si="85"/>
        <v>0</v>
      </c>
      <c r="F87" s="81" t="b">
        <f t="shared" si="89"/>
        <v>0</v>
      </c>
      <c r="G87" s="81">
        <f t="shared" si="87"/>
        <v>2</v>
      </c>
      <c r="H87" s="82">
        <f t="shared" si="90"/>
        <v>-1</v>
      </c>
      <c r="I87" s="35">
        <f t="shared" si="91"/>
        <v>0</v>
      </c>
      <c r="J87" s="81">
        <f t="shared" si="92"/>
        <v>0</v>
      </c>
      <c r="K87" s="205">
        <f t="shared" ca="1" si="30"/>
        <v>0.24686072231418973</v>
      </c>
      <c r="L87" s="95">
        <f t="shared" ca="1" si="30"/>
        <v>0.24686072231418973</v>
      </c>
      <c r="M87" s="95">
        <v>1</v>
      </c>
      <c r="N87" s="94">
        <f t="shared" ca="1" si="31"/>
        <v>0.24686072231418973</v>
      </c>
      <c r="O87" s="206">
        <v>1</v>
      </c>
      <c r="P87" s="107">
        <f t="shared" ca="1" si="93"/>
        <v>0</v>
      </c>
      <c r="Q87" s="107">
        <f t="shared" ca="1" si="94"/>
        <v>0</v>
      </c>
      <c r="R87" s="107">
        <f t="shared" si="95"/>
        <v>0</v>
      </c>
      <c r="S87" s="107">
        <f t="shared" ca="1" si="96"/>
        <v>0</v>
      </c>
      <c r="T87" s="107">
        <f t="shared" ca="1" si="97"/>
        <v>0</v>
      </c>
      <c r="U87" s="107">
        <f t="shared" ca="1" si="98"/>
        <v>0</v>
      </c>
      <c r="V87" s="107">
        <f t="shared" ca="1" si="99"/>
        <v>0</v>
      </c>
      <c r="W87" s="107">
        <f t="shared" ca="1" si="100"/>
        <v>0</v>
      </c>
      <c r="X87" s="107">
        <f t="shared" ca="1" si="101"/>
        <v>0</v>
      </c>
      <c r="Y87" s="101">
        <f t="shared" ca="1" si="102"/>
        <v>0</v>
      </c>
      <c r="Z87" s="107">
        <f t="shared" ca="1" si="103"/>
        <v>0</v>
      </c>
      <c r="AA87" s="107">
        <f t="shared" ca="1" si="104"/>
        <v>0</v>
      </c>
      <c r="AB87" s="106" t="e">
        <f t="shared" ca="1" si="105"/>
        <v>#REF!</v>
      </c>
      <c r="AC87" s="107" t="e">
        <f t="shared" ca="1" si="106"/>
        <v>#REF!</v>
      </c>
      <c r="AD87" s="107" t="e">
        <f t="array" aca="1" ref="AD87" ca="1">-(VLOOKUP(AC87, LT_IncomeTaxFed/$K87:$O87, 2, TRUE)+VLOOKUP(AC87,LT_IncomeTaxFed/$K87:$O87,3,TRUE)*(AC87-VLOOKUP(AC87,LT_IncomeTaxFed/$K87:$O87,1,TRUE)))</f>
        <v>#REF!</v>
      </c>
      <c r="AE87" s="107" t="e">
        <f t="array" aca="1" ref="AE87" ca="1">-(VLOOKUP($AC87+$X87, LT_IncomeTaxFed/$K87:$O87, 4, TRUE)+VLOOKUP($AC87+$X87,LT_IncomeTaxFed/$K87:$O87,5,TRUE)*($AC87+$X87-VLOOKUP($AC87+$X87,LT_IncomeTaxFed/$K87:$O87,1,TRUE)))+(VLOOKUP($AC87, LT_IncomeTaxFed/$K87:$O87, 4, TRUE)+VLOOKUP($AC87,LT_IncomeTaxFed/$K87:$O87,5,TRUE)*($AC87-VLOOKUP($AC87,LT_IncomeTaxFed/$K87:$O87,1,TRUE)))</f>
        <v>#REF!</v>
      </c>
      <c r="AF87" s="106" t="e">
        <f t="shared" ca="1" si="107"/>
        <v>#REF!</v>
      </c>
      <c r="AG87" s="107" t="e">
        <f t="shared" ca="1" si="108"/>
        <v>#REF!</v>
      </c>
      <c r="AH87" s="91" t="e">
        <f t="array" aca="1" ref="AH87" ca="1">IF(AG87&gt;0,(VLOOKUP(AG87, LT_IncomeTaxFed/$K87:$O87, 2, TRUE)+VLOOKUP(AG87,LT_IncomeTaxFed/$K87:$O87,3,TRUE)*(AG87-VLOOKUP(AG87,LT_IncomeTaxFed/$K87:$O87,1,TRUE)))/AG87,0)</f>
        <v>#REF!</v>
      </c>
      <c r="AI87" s="110" t="e">
        <f t="shared" ca="1" si="109"/>
        <v>#REF!</v>
      </c>
      <c r="AJ87" s="634"/>
      <c r="AK87" s="668"/>
      <c r="AL87" s="1"/>
    </row>
    <row r="88" spans="2:38" x14ac:dyDescent="0.25">
      <c r="B88" s="65">
        <f ca="1">B86+1</f>
        <v>2061</v>
      </c>
      <c r="C88" s="76" t="s">
        <v>741</v>
      </c>
      <c r="D88" s="146" t="str">
        <f t="shared" si="88"/>
        <v/>
      </c>
      <c r="E88" s="77">
        <f t="shared" si="85"/>
        <v>0</v>
      </c>
      <c r="F88" s="77" t="b">
        <f t="shared" si="89"/>
        <v>0</v>
      </c>
      <c r="G88" s="77">
        <f t="shared" si="87"/>
        <v>1</v>
      </c>
      <c r="H88" s="76">
        <f t="shared" si="90"/>
        <v>1</v>
      </c>
      <c r="I88" s="4">
        <f t="shared" si="91"/>
        <v>0</v>
      </c>
      <c r="J88" s="77">
        <f t="shared" si="92"/>
        <v>0</v>
      </c>
      <c r="K88" s="204">
        <f t="shared" ca="1" si="30"/>
        <v>0.23793804560403825</v>
      </c>
      <c r="L88" s="93">
        <f t="shared" ca="1" si="30"/>
        <v>0.23793804560403825</v>
      </c>
      <c r="M88" s="93">
        <v>1</v>
      </c>
      <c r="N88" s="93">
        <f t="shared" ca="1" si="31"/>
        <v>0.23793804560403825</v>
      </c>
      <c r="O88" s="100">
        <v>1</v>
      </c>
      <c r="P88" s="70">
        <f t="shared" ca="1" si="93"/>
        <v>0</v>
      </c>
      <c r="Q88" s="70">
        <f t="shared" ca="1" si="94"/>
        <v>0</v>
      </c>
      <c r="R88" s="70" t="e">
        <f t="shared" ca="1" si="95"/>
        <v>#REF!</v>
      </c>
      <c r="S88" s="70">
        <f t="shared" ca="1" si="96"/>
        <v>0</v>
      </c>
      <c r="T88" s="70">
        <f t="shared" ca="1" si="97"/>
        <v>0</v>
      </c>
      <c r="U88" s="70" t="e">
        <f t="shared" ca="1" si="98"/>
        <v>#REF!</v>
      </c>
      <c r="V88" s="70">
        <f t="shared" ca="1" si="99"/>
        <v>0</v>
      </c>
      <c r="W88" s="70">
        <f t="shared" ca="1" si="100"/>
        <v>0</v>
      </c>
      <c r="X88" s="70">
        <f t="shared" ca="1" si="101"/>
        <v>0</v>
      </c>
      <c r="Y88" s="98">
        <f t="shared" ca="1" si="102"/>
        <v>0</v>
      </c>
      <c r="Z88" s="70">
        <f t="shared" ca="1" si="103"/>
        <v>0</v>
      </c>
      <c r="AA88" s="70">
        <f t="shared" ca="1" si="104"/>
        <v>0</v>
      </c>
      <c r="AB88" s="409" t="e">
        <f t="shared" ca="1" si="105"/>
        <v>#REF!</v>
      </c>
      <c r="AC88" s="70" t="e">
        <f t="shared" ca="1" si="106"/>
        <v>#REF!</v>
      </c>
      <c r="AD88" s="70" t="e">
        <f t="array" aca="1" ref="AD88" ca="1">-(VLOOKUP(AC88, LT_IncomeTaxFed/$K88:$O88, 2, TRUE)+VLOOKUP(AC88,LT_IncomeTaxFed/$K88:$O88,3,TRUE)*(AC88-VLOOKUP(AC88,LT_IncomeTaxFed/$K88:$O88,1,TRUE)))</f>
        <v>#REF!</v>
      </c>
      <c r="AE88" s="70" t="e">
        <f t="array" aca="1" ref="AE88" ca="1">-(VLOOKUP($AC88+$X88, LT_IncomeTaxFed/$K88:$O88, 4, TRUE)+VLOOKUP($AC88+$X88,LT_IncomeTaxFed/$K88:$O88,5,TRUE)*($AC88+$X88-VLOOKUP($AC88+$X88,LT_IncomeTaxFed/$K88:$O88,1,TRUE)))+(VLOOKUP($AC88, LT_IncomeTaxFed/$K88:$O88, 4, TRUE)+VLOOKUP($AC88,LT_IncomeTaxFed/$K88:$O88,5,TRUE)*($AC88-VLOOKUP($AC88,LT_IncomeTaxFed/$K88:$O88,1,TRUE)))</f>
        <v>#REF!</v>
      </c>
      <c r="AF88" s="75" t="e">
        <f t="shared" ca="1" si="107"/>
        <v>#REF!</v>
      </c>
      <c r="AG88" s="70" t="e">
        <f t="shared" ca="1" si="108"/>
        <v>#REF!</v>
      </c>
      <c r="AH88" s="67" t="e">
        <f t="array" aca="1" ref="AH88" ca="1">IF(AG88&gt;0,(VLOOKUP(AG88, LT_IncomeTaxFed/$K88:$O88, 2, TRUE)+VLOOKUP(AG88,LT_IncomeTaxFed/$K88:$O88,3,TRUE)*(AG88-VLOOKUP(AG88,LT_IncomeTaxFed/$K88:$O88,1,TRUE)))/AG88,0)</f>
        <v>#REF!</v>
      </c>
      <c r="AI88" s="109" t="e">
        <f t="shared" ca="1" si="109"/>
        <v>#REF!</v>
      </c>
      <c r="AJ88" s="634" t="e">
        <f ca="1">SUMPRODUCT($Z88:$Z89+$AA88:$AA89+$AD88:$AD89+$AE88:$AE89+$AI88:$AI89)</f>
        <v>#REF!</v>
      </c>
      <c r="AK88" s="668" t="e">
        <f t="shared" ref="AK88" ca="1" si="118">IF($U88&gt;0, -AJ88/$U88, 0)</f>
        <v>#REF!</v>
      </c>
      <c r="AL88" s="1"/>
    </row>
    <row r="89" spans="2:38" x14ac:dyDescent="0.25">
      <c r="B89" s="86">
        <f t="shared" ca="1" si="111"/>
        <v>2061</v>
      </c>
      <c r="C89" s="80" t="s">
        <v>741</v>
      </c>
      <c r="D89" s="147" t="str">
        <f t="shared" si="88"/>
        <v/>
      </c>
      <c r="E89" s="81">
        <f t="shared" si="85"/>
        <v>0</v>
      </c>
      <c r="F89" s="81" t="b">
        <f t="shared" si="89"/>
        <v>0</v>
      </c>
      <c r="G89" s="81">
        <f t="shared" si="87"/>
        <v>2</v>
      </c>
      <c r="H89" s="82">
        <f t="shared" si="90"/>
        <v>-1</v>
      </c>
      <c r="I89" s="35">
        <f t="shared" si="91"/>
        <v>0</v>
      </c>
      <c r="J89" s="81">
        <f t="shared" si="92"/>
        <v>0</v>
      </c>
      <c r="K89" s="205">
        <f t="shared" ca="1" si="30"/>
        <v>0.23793804560403825</v>
      </c>
      <c r="L89" s="95">
        <f t="shared" ca="1" si="30"/>
        <v>0.23793804560403825</v>
      </c>
      <c r="M89" s="95">
        <v>1</v>
      </c>
      <c r="N89" s="95">
        <f t="shared" ca="1" si="31"/>
        <v>0.23793804560403825</v>
      </c>
      <c r="O89" s="206">
        <v>1</v>
      </c>
      <c r="P89" s="107">
        <f t="shared" ca="1" si="93"/>
        <v>0</v>
      </c>
      <c r="Q89" s="107">
        <f t="shared" ca="1" si="94"/>
        <v>0</v>
      </c>
      <c r="R89" s="107">
        <f t="shared" si="95"/>
        <v>0</v>
      </c>
      <c r="S89" s="107">
        <f t="shared" ca="1" si="96"/>
        <v>0</v>
      </c>
      <c r="T89" s="107">
        <f t="shared" ca="1" si="97"/>
        <v>0</v>
      </c>
      <c r="U89" s="107">
        <f t="shared" ca="1" si="98"/>
        <v>0</v>
      </c>
      <c r="V89" s="107">
        <f t="shared" ca="1" si="99"/>
        <v>0</v>
      </c>
      <c r="W89" s="107">
        <f t="shared" ca="1" si="100"/>
        <v>0</v>
      </c>
      <c r="X89" s="107">
        <f t="shared" ca="1" si="101"/>
        <v>0</v>
      </c>
      <c r="Y89" s="101">
        <f t="shared" ca="1" si="102"/>
        <v>0</v>
      </c>
      <c r="Z89" s="107">
        <f t="shared" ca="1" si="103"/>
        <v>0</v>
      </c>
      <c r="AA89" s="107">
        <f t="shared" ca="1" si="104"/>
        <v>0</v>
      </c>
      <c r="AB89" s="106" t="e">
        <f t="shared" ca="1" si="105"/>
        <v>#REF!</v>
      </c>
      <c r="AC89" s="107" t="e">
        <f t="shared" ca="1" si="106"/>
        <v>#REF!</v>
      </c>
      <c r="AD89" s="107" t="e">
        <f t="array" aca="1" ref="AD89" ca="1">-(VLOOKUP(AC89, LT_IncomeTaxFed/$K89:$O89, 2, TRUE)+VLOOKUP(AC89,LT_IncomeTaxFed/$K89:$O89,3,TRUE)*(AC89-VLOOKUP(AC89,LT_IncomeTaxFed/$K89:$O89,1,TRUE)))</f>
        <v>#REF!</v>
      </c>
      <c r="AE89" s="107" t="e">
        <f t="array" aca="1" ref="AE89" ca="1">-(VLOOKUP($AC89+$X89, LT_IncomeTaxFed/$K89:$O89, 4, TRUE)+VLOOKUP($AC89+$X89,LT_IncomeTaxFed/$K89:$O89,5,TRUE)*($AC89+$X89-VLOOKUP($AC89+$X89,LT_IncomeTaxFed/$K89:$O89,1,TRUE)))+(VLOOKUP($AC89, LT_IncomeTaxFed/$K89:$O89, 4, TRUE)+VLOOKUP($AC89,LT_IncomeTaxFed/$K89:$O89,5,TRUE)*($AC89-VLOOKUP($AC89,LT_IncomeTaxFed/$K89:$O89,1,TRUE)))</f>
        <v>#REF!</v>
      </c>
      <c r="AF89" s="106" t="e">
        <f t="shared" ca="1" si="107"/>
        <v>#REF!</v>
      </c>
      <c r="AG89" s="107" t="e">
        <f t="shared" ca="1" si="108"/>
        <v>#REF!</v>
      </c>
      <c r="AH89" s="91" t="e">
        <f t="array" aca="1" ref="AH89" ca="1">IF(AG89&gt;0,(VLOOKUP(AG89, LT_IncomeTaxFed/$K89:$O89, 2, TRUE)+VLOOKUP(AG89,LT_IncomeTaxFed/$K89:$O89,3,TRUE)*(AG89-VLOOKUP(AG89,LT_IncomeTaxFed/$K89:$O89,1,TRUE)))/AG89,0)</f>
        <v>#REF!</v>
      </c>
      <c r="AI89" s="110" t="e">
        <f t="shared" ca="1" si="109"/>
        <v>#REF!</v>
      </c>
      <c r="AJ89" s="634"/>
      <c r="AK89" s="668"/>
    </row>
    <row r="90" spans="2:38" x14ac:dyDescent="0.25">
      <c r="B90" s="65">
        <f ca="1">B88+1</f>
        <v>2062</v>
      </c>
      <c r="C90" s="76" t="s">
        <v>741</v>
      </c>
      <c r="D90" s="146" t="str">
        <f t="shared" si="88"/>
        <v/>
      </c>
      <c r="E90" s="77">
        <f t="shared" si="85"/>
        <v>0</v>
      </c>
      <c r="F90" s="77" t="b">
        <f t="shared" si="89"/>
        <v>0</v>
      </c>
      <c r="G90" s="77">
        <f t="shared" si="87"/>
        <v>1</v>
      </c>
      <c r="H90" s="76">
        <f t="shared" si="90"/>
        <v>1</v>
      </c>
      <c r="I90" s="4">
        <f t="shared" si="91"/>
        <v>0</v>
      </c>
      <c r="J90" s="77">
        <f t="shared" si="92"/>
        <v>0</v>
      </c>
      <c r="K90" s="204">
        <f t="shared" ca="1" si="30"/>
        <v>0.22933787528100072</v>
      </c>
      <c r="L90" s="93">
        <f t="shared" ca="1" si="30"/>
        <v>0.22933787528100072</v>
      </c>
      <c r="M90" s="93">
        <v>1</v>
      </c>
      <c r="N90" s="93">
        <f t="shared" ca="1" si="31"/>
        <v>0.22933787528100072</v>
      </c>
      <c r="O90" s="100">
        <v>1</v>
      </c>
      <c r="P90" s="70">
        <f t="shared" ca="1" si="93"/>
        <v>0</v>
      </c>
      <c r="Q90" s="70">
        <f t="shared" ca="1" si="94"/>
        <v>0</v>
      </c>
      <c r="R90" s="70" t="e">
        <f t="shared" ca="1" si="95"/>
        <v>#REF!</v>
      </c>
      <c r="S90" s="70">
        <f t="shared" ca="1" si="96"/>
        <v>0</v>
      </c>
      <c r="T90" s="70">
        <f t="shared" ca="1" si="97"/>
        <v>0</v>
      </c>
      <c r="U90" s="70" t="e">
        <f t="shared" ca="1" si="98"/>
        <v>#REF!</v>
      </c>
      <c r="V90" s="70">
        <f t="shared" ca="1" si="99"/>
        <v>0</v>
      </c>
      <c r="W90" s="70">
        <f t="shared" ca="1" si="100"/>
        <v>0</v>
      </c>
      <c r="X90" s="70">
        <f t="shared" ca="1" si="101"/>
        <v>0</v>
      </c>
      <c r="Y90" s="98">
        <f t="shared" ca="1" si="102"/>
        <v>0</v>
      </c>
      <c r="Z90" s="70">
        <f t="shared" ca="1" si="103"/>
        <v>0</v>
      </c>
      <c r="AA90" s="70">
        <f t="shared" ca="1" si="104"/>
        <v>0</v>
      </c>
      <c r="AB90" s="409" t="e">
        <f t="shared" ca="1" si="105"/>
        <v>#REF!</v>
      </c>
      <c r="AC90" s="70" t="e">
        <f t="shared" ca="1" si="106"/>
        <v>#REF!</v>
      </c>
      <c r="AD90" s="70" t="e">
        <f t="array" aca="1" ref="AD90" ca="1">-(VLOOKUP(AC90, LT_IncomeTaxFed/$K90:$O90, 2, TRUE)+VLOOKUP(AC90,LT_IncomeTaxFed/$K90:$O90,3,TRUE)*(AC90-VLOOKUP(AC90,LT_IncomeTaxFed/$K90:$O90,1,TRUE)))</f>
        <v>#REF!</v>
      </c>
      <c r="AE90" s="70" t="e">
        <f t="array" aca="1" ref="AE90" ca="1">-(VLOOKUP($AC90+$X90, LT_IncomeTaxFed/$K90:$O90, 4, TRUE)+VLOOKUP($AC90+$X90,LT_IncomeTaxFed/$K90:$O90,5,TRUE)*($AC90+$X90-VLOOKUP($AC90+$X90,LT_IncomeTaxFed/$K90:$O90,1,TRUE)))+(VLOOKUP($AC90, LT_IncomeTaxFed/$K90:$O90, 4, TRUE)+VLOOKUP($AC90,LT_IncomeTaxFed/$K90:$O90,5,TRUE)*($AC90-VLOOKUP($AC90,LT_IncomeTaxFed/$K90:$O90,1,TRUE)))</f>
        <v>#REF!</v>
      </c>
      <c r="AF90" s="75" t="e">
        <f t="shared" ca="1" si="107"/>
        <v>#REF!</v>
      </c>
      <c r="AG90" s="70" t="e">
        <f t="shared" ca="1" si="108"/>
        <v>#REF!</v>
      </c>
      <c r="AH90" s="67" t="e">
        <f t="array" aca="1" ref="AH90" ca="1">IF(AG90&gt;0,(VLOOKUP(AG90, LT_IncomeTaxFed/$K90:$O90, 2, TRUE)+VLOOKUP(AG90,LT_IncomeTaxFed/$K90:$O90,3,TRUE)*(AG90-VLOOKUP(AG90,LT_IncomeTaxFed/$K90:$O90,1,TRUE)))/AG90,0)</f>
        <v>#REF!</v>
      </c>
      <c r="AI90" s="109" t="e">
        <f t="shared" ca="1" si="109"/>
        <v>#REF!</v>
      </c>
      <c r="AJ90" s="634" t="e">
        <f ca="1">SUMPRODUCT($Z90:$Z91+$AA90:$AA91+$AD90:$AD91+$AE90:$AE91+$AI90:$AI91)</f>
        <v>#REF!</v>
      </c>
      <c r="AK90" s="668" t="e">
        <f t="shared" ref="AK90" ca="1" si="119">IF($U90&gt;0, -AJ90/$U90, 0)</f>
        <v>#REF!</v>
      </c>
    </row>
    <row r="91" spans="2:38" x14ac:dyDescent="0.25">
      <c r="B91" s="86">
        <f t="shared" ca="1" si="111"/>
        <v>2062</v>
      </c>
      <c r="C91" s="80" t="s">
        <v>741</v>
      </c>
      <c r="D91" s="147" t="str">
        <f t="shared" si="88"/>
        <v/>
      </c>
      <c r="E91" s="81">
        <f t="shared" si="85"/>
        <v>0</v>
      </c>
      <c r="F91" s="81" t="b">
        <f t="shared" si="89"/>
        <v>0</v>
      </c>
      <c r="G91" s="81">
        <f t="shared" si="87"/>
        <v>2</v>
      </c>
      <c r="H91" s="82">
        <f t="shared" si="90"/>
        <v>-1</v>
      </c>
      <c r="I91" s="35">
        <f t="shared" si="91"/>
        <v>0</v>
      </c>
      <c r="J91" s="81">
        <f t="shared" si="92"/>
        <v>0</v>
      </c>
      <c r="K91" s="205">
        <f t="shared" ca="1" si="30"/>
        <v>0.22933787528100072</v>
      </c>
      <c r="L91" s="95">
        <f t="shared" ca="1" si="30"/>
        <v>0.22933787528100072</v>
      </c>
      <c r="M91" s="95">
        <v>1</v>
      </c>
      <c r="N91" s="95">
        <f t="shared" ca="1" si="31"/>
        <v>0.22933787528100072</v>
      </c>
      <c r="O91" s="206">
        <v>1</v>
      </c>
      <c r="P91" s="107">
        <f t="shared" ca="1" si="93"/>
        <v>0</v>
      </c>
      <c r="Q91" s="107">
        <f t="shared" ca="1" si="94"/>
        <v>0</v>
      </c>
      <c r="R91" s="107">
        <f t="shared" si="95"/>
        <v>0</v>
      </c>
      <c r="S91" s="107">
        <f t="shared" ca="1" si="96"/>
        <v>0</v>
      </c>
      <c r="T91" s="107">
        <f t="shared" ca="1" si="97"/>
        <v>0</v>
      </c>
      <c r="U91" s="107">
        <f t="shared" ca="1" si="98"/>
        <v>0</v>
      </c>
      <c r="V91" s="107">
        <f t="shared" ca="1" si="99"/>
        <v>0</v>
      </c>
      <c r="W91" s="107">
        <f t="shared" ca="1" si="100"/>
        <v>0</v>
      </c>
      <c r="X91" s="107">
        <f t="shared" ca="1" si="101"/>
        <v>0</v>
      </c>
      <c r="Y91" s="101">
        <f t="shared" ca="1" si="102"/>
        <v>0</v>
      </c>
      <c r="Z91" s="107">
        <f t="shared" ca="1" si="103"/>
        <v>0</v>
      </c>
      <c r="AA91" s="107">
        <f t="shared" ca="1" si="104"/>
        <v>0</v>
      </c>
      <c r="AB91" s="106" t="e">
        <f t="shared" ca="1" si="105"/>
        <v>#REF!</v>
      </c>
      <c r="AC91" s="107" t="e">
        <f t="shared" ca="1" si="106"/>
        <v>#REF!</v>
      </c>
      <c r="AD91" s="107" t="e">
        <f t="array" aca="1" ref="AD91" ca="1">-(VLOOKUP(AC91, LT_IncomeTaxFed/$K91:$O91, 2, TRUE)+VLOOKUP(AC91,LT_IncomeTaxFed/$K91:$O91,3,TRUE)*(AC91-VLOOKUP(AC91,LT_IncomeTaxFed/$K91:$O91,1,TRUE)))</f>
        <v>#REF!</v>
      </c>
      <c r="AE91" s="107" t="e">
        <f t="array" aca="1" ref="AE91" ca="1">-(VLOOKUP($AC91+$X91, LT_IncomeTaxFed/$K91:$O91, 4, TRUE)+VLOOKUP($AC91+$X91,LT_IncomeTaxFed/$K91:$O91,5,TRUE)*($AC91+$X91-VLOOKUP($AC91+$X91,LT_IncomeTaxFed/$K91:$O91,1,TRUE)))+(VLOOKUP($AC91, LT_IncomeTaxFed/$K91:$O91, 4, TRUE)+VLOOKUP($AC91,LT_IncomeTaxFed/$K91:$O91,5,TRUE)*($AC91-VLOOKUP($AC91,LT_IncomeTaxFed/$K91:$O91,1,TRUE)))</f>
        <v>#REF!</v>
      </c>
      <c r="AF91" s="106" t="e">
        <f t="shared" ca="1" si="107"/>
        <v>#REF!</v>
      </c>
      <c r="AG91" s="107" t="e">
        <f t="shared" ca="1" si="108"/>
        <v>#REF!</v>
      </c>
      <c r="AH91" s="91" t="e">
        <f t="array" aca="1" ref="AH91" ca="1">IF(AG91&gt;0,(VLOOKUP(AG91, LT_IncomeTaxFed/$K91:$O91, 2, TRUE)+VLOOKUP(AG91,LT_IncomeTaxFed/$K91:$O91,3,TRUE)*(AG91-VLOOKUP(AG91,LT_IncomeTaxFed/$K91:$O91,1,TRUE)))/AG91,0)</f>
        <v>#REF!</v>
      </c>
      <c r="AI91" s="110" t="e">
        <f t="shared" ca="1" si="109"/>
        <v>#REF!</v>
      </c>
      <c r="AJ91" s="634"/>
      <c r="AK91" s="668"/>
    </row>
    <row r="92" spans="2:38" x14ac:dyDescent="0.25">
      <c r="B92" s="65">
        <f ca="1">B90+1</f>
        <v>2063</v>
      </c>
      <c r="C92" s="76" t="s">
        <v>741</v>
      </c>
      <c r="D92" s="146" t="str">
        <f t="shared" si="88"/>
        <v/>
      </c>
      <c r="E92" s="77">
        <f t="shared" si="85"/>
        <v>0</v>
      </c>
      <c r="F92" s="77" t="b">
        <f t="shared" si="89"/>
        <v>0</v>
      </c>
      <c r="G92" s="77">
        <f t="shared" si="87"/>
        <v>1</v>
      </c>
      <c r="H92" s="76">
        <f t="shared" si="90"/>
        <v>1</v>
      </c>
      <c r="I92" s="4">
        <f t="shared" si="91"/>
        <v>0</v>
      </c>
      <c r="J92" s="77">
        <f t="shared" si="92"/>
        <v>0</v>
      </c>
      <c r="K92" s="204">
        <f t="shared" ca="1" si="30"/>
        <v>0.22104855448771155</v>
      </c>
      <c r="L92" s="93">
        <f t="shared" ca="1" si="30"/>
        <v>0.22104855448771155</v>
      </c>
      <c r="M92" s="93">
        <v>1</v>
      </c>
      <c r="N92" s="93">
        <f t="shared" ca="1" si="31"/>
        <v>0.22104855448771155</v>
      </c>
      <c r="O92" s="100">
        <v>1</v>
      </c>
      <c r="P92" s="70">
        <f t="shared" ca="1" si="93"/>
        <v>0</v>
      </c>
      <c r="Q92" s="70">
        <f t="shared" ca="1" si="94"/>
        <v>0</v>
      </c>
      <c r="R92" s="70" t="e">
        <f t="shared" ca="1" si="95"/>
        <v>#REF!</v>
      </c>
      <c r="S92" s="70">
        <f t="shared" ca="1" si="96"/>
        <v>0</v>
      </c>
      <c r="T92" s="70">
        <f t="shared" ca="1" si="97"/>
        <v>0</v>
      </c>
      <c r="U92" s="70" t="e">
        <f t="shared" ca="1" si="98"/>
        <v>#REF!</v>
      </c>
      <c r="V92" s="70">
        <f t="shared" ca="1" si="99"/>
        <v>0</v>
      </c>
      <c r="W92" s="70">
        <f t="shared" ca="1" si="100"/>
        <v>0</v>
      </c>
      <c r="X92" s="70">
        <f t="shared" ca="1" si="101"/>
        <v>0</v>
      </c>
      <c r="Y92" s="98">
        <f t="shared" ca="1" si="102"/>
        <v>0</v>
      </c>
      <c r="Z92" s="70">
        <f t="shared" ca="1" si="103"/>
        <v>0</v>
      </c>
      <c r="AA92" s="70">
        <f t="shared" ca="1" si="104"/>
        <v>0</v>
      </c>
      <c r="AB92" s="409" t="e">
        <f t="shared" ca="1" si="105"/>
        <v>#REF!</v>
      </c>
      <c r="AC92" s="70" t="e">
        <f t="shared" ca="1" si="106"/>
        <v>#REF!</v>
      </c>
      <c r="AD92" s="70" t="e">
        <f t="array" aca="1" ref="AD92" ca="1">-(VLOOKUP(AC92, LT_IncomeTaxFed/$K92:$O92, 2, TRUE)+VLOOKUP(AC92,LT_IncomeTaxFed/$K92:$O92,3,TRUE)*(AC92-VLOOKUP(AC92,LT_IncomeTaxFed/$K92:$O92,1,TRUE)))</f>
        <v>#REF!</v>
      </c>
      <c r="AE92" s="70" t="e">
        <f t="array" aca="1" ref="AE92" ca="1">-(VLOOKUP($AC92+$X92, LT_IncomeTaxFed/$K92:$O92, 4, TRUE)+VLOOKUP($AC92+$X92,LT_IncomeTaxFed/$K92:$O92,5,TRUE)*($AC92+$X92-VLOOKUP($AC92+$X92,LT_IncomeTaxFed/$K92:$O92,1,TRUE)))+(VLOOKUP($AC92, LT_IncomeTaxFed/$K92:$O92, 4, TRUE)+VLOOKUP($AC92,LT_IncomeTaxFed/$K92:$O92,5,TRUE)*($AC92-VLOOKUP($AC92,LT_IncomeTaxFed/$K92:$O92,1,TRUE)))</f>
        <v>#REF!</v>
      </c>
      <c r="AF92" s="75" t="e">
        <f t="shared" ca="1" si="107"/>
        <v>#REF!</v>
      </c>
      <c r="AG92" s="70" t="e">
        <f t="shared" ca="1" si="108"/>
        <v>#REF!</v>
      </c>
      <c r="AH92" s="67" t="e">
        <f t="array" aca="1" ref="AH92" ca="1">IF(AG92&gt;0,(VLOOKUP(AG92, LT_IncomeTaxFed/$K92:$O92, 2, TRUE)+VLOOKUP(AG92,LT_IncomeTaxFed/$K92:$O92,3,TRUE)*(AG92-VLOOKUP(AG92,LT_IncomeTaxFed/$K92:$O92,1,TRUE)))/AG92,0)</f>
        <v>#REF!</v>
      </c>
      <c r="AI92" s="109" t="e">
        <f t="shared" ca="1" si="109"/>
        <v>#REF!</v>
      </c>
      <c r="AJ92" s="634" t="e">
        <f ca="1">SUMPRODUCT($Z92:$Z93+$AA92:$AA93+$AD92:$AD93+$AE92:$AE93+$AI92:$AI93)</f>
        <v>#REF!</v>
      </c>
      <c r="AK92" s="668" t="e">
        <f t="shared" ref="AK92" ca="1" si="120">IF($U92&gt;0, -AJ92/$U92, 0)</f>
        <v>#REF!</v>
      </c>
    </row>
    <row r="93" spans="2:38" x14ac:dyDescent="0.25">
      <c r="B93" s="86">
        <f t="shared" ca="1" si="111"/>
        <v>2063</v>
      </c>
      <c r="C93" s="80" t="s">
        <v>741</v>
      </c>
      <c r="D93" s="147" t="str">
        <f t="shared" si="88"/>
        <v/>
      </c>
      <c r="E93" s="81">
        <f t="shared" si="85"/>
        <v>0</v>
      </c>
      <c r="F93" s="81" t="b">
        <f t="shared" si="89"/>
        <v>0</v>
      </c>
      <c r="G93" s="81">
        <f t="shared" si="87"/>
        <v>2</v>
      </c>
      <c r="H93" s="82">
        <f t="shared" si="90"/>
        <v>-1</v>
      </c>
      <c r="I93" s="35">
        <f t="shared" si="91"/>
        <v>0</v>
      </c>
      <c r="J93" s="81">
        <f t="shared" si="92"/>
        <v>0</v>
      </c>
      <c r="K93" s="205">
        <f t="shared" ca="1" si="30"/>
        <v>0.22104855448771155</v>
      </c>
      <c r="L93" s="95">
        <f t="shared" ca="1" si="30"/>
        <v>0.22104855448771155</v>
      </c>
      <c r="M93" s="95">
        <v>1</v>
      </c>
      <c r="N93" s="95">
        <f t="shared" ca="1" si="31"/>
        <v>0.22104855448771155</v>
      </c>
      <c r="O93" s="206">
        <v>1</v>
      </c>
      <c r="P93" s="107">
        <f t="shared" ca="1" si="93"/>
        <v>0</v>
      </c>
      <c r="Q93" s="107">
        <f t="shared" ca="1" si="94"/>
        <v>0</v>
      </c>
      <c r="R93" s="107">
        <f t="shared" si="95"/>
        <v>0</v>
      </c>
      <c r="S93" s="107">
        <f t="shared" ca="1" si="96"/>
        <v>0</v>
      </c>
      <c r="T93" s="107">
        <f t="shared" ca="1" si="97"/>
        <v>0</v>
      </c>
      <c r="U93" s="107">
        <f t="shared" ca="1" si="98"/>
        <v>0</v>
      </c>
      <c r="V93" s="107">
        <f t="shared" ca="1" si="99"/>
        <v>0</v>
      </c>
      <c r="W93" s="107">
        <f t="shared" ca="1" si="100"/>
        <v>0</v>
      </c>
      <c r="X93" s="107">
        <f t="shared" ca="1" si="101"/>
        <v>0</v>
      </c>
      <c r="Y93" s="101">
        <f t="shared" ca="1" si="102"/>
        <v>0</v>
      </c>
      <c r="Z93" s="107">
        <f t="shared" ca="1" si="103"/>
        <v>0</v>
      </c>
      <c r="AA93" s="107">
        <f t="shared" ca="1" si="104"/>
        <v>0</v>
      </c>
      <c r="AB93" s="106" t="e">
        <f t="shared" ca="1" si="105"/>
        <v>#REF!</v>
      </c>
      <c r="AC93" s="107" t="e">
        <f t="shared" ca="1" si="106"/>
        <v>#REF!</v>
      </c>
      <c r="AD93" s="107" t="e">
        <f t="array" aca="1" ref="AD93" ca="1">-(VLOOKUP(AC93, LT_IncomeTaxFed/$K93:$O93, 2, TRUE)+VLOOKUP(AC93,LT_IncomeTaxFed/$K93:$O93,3,TRUE)*(AC93-VLOOKUP(AC93,LT_IncomeTaxFed/$K93:$O93,1,TRUE)))</f>
        <v>#REF!</v>
      </c>
      <c r="AE93" s="107" t="e">
        <f t="array" aca="1" ref="AE93" ca="1">-(VLOOKUP($AC93+$X93, LT_IncomeTaxFed/$K93:$O93, 4, TRUE)+VLOOKUP($AC93+$X93,LT_IncomeTaxFed/$K93:$O93,5,TRUE)*($AC93+$X93-VLOOKUP($AC93+$X93,LT_IncomeTaxFed/$K93:$O93,1,TRUE)))+(VLOOKUP($AC93, LT_IncomeTaxFed/$K93:$O93, 4, TRUE)+VLOOKUP($AC93,LT_IncomeTaxFed/$K93:$O93,5,TRUE)*($AC93-VLOOKUP($AC93,LT_IncomeTaxFed/$K93:$O93,1,TRUE)))</f>
        <v>#REF!</v>
      </c>
      <c r="AF93" s="106" t="e">
        <f t="shared" ca="1" si="107"/>
        <v>#REF!</v>
      </c>
      <c r="AG93" s="107" t="e">
        <f t="shared" ca="1" si="108"/>
        <v>#REF!</v>
      </c>
      <c r="AH93" s="91" t="e">
        <f t="array" aca="1" ref="AH93" ca="1">IF(AG93&gt;0,(VLOOKUP(AG93, LT_IncomeTaxFed/$K93:$O93, 2, TRUE)+VLOOKUP(AG93,LT_IncomeTaxFed/$K93:$O93,3,TRUE)*(AG93-VLOOKUP(AG93,LT_IncomeTaxFed/$K93:$O93,1,TRUE)))/AG93,0)</f>
        <v>#REF!</v>
      </c>
      <c r="AI93" s="110" t="e">
        <f t="shared" ca="1" si="109"/>
        <v>#REF!</v>
      </c>
      <c r="AJ93" s="634"/>
      <c r="AK93" s="668"/>
    </row>
    <row r="94" spans="2:38" x14ac:dyDescent="0.25">
      <c r="B94" s="65">
        <f ca="1">B92+1</f>
        <v>2064</v>
      </c>
      <c r="C94" s="76" t="s">
        <v>741</v>
      </c>
      <c r="D94" s="146" t="str">
        <f t="shared" si="88"/>
        <v/>
      </c>
      <c r="E94" s="77">
        <f t="shared" si="85"/>
        <v>0</v>
      </c>
      <c r="F94" s="77" t="b">
        <f t="shared" si="89"/>
        <v>0</v>
      </c>
      <c r="G94" s="77">
        <f t="shared" si="87"/>
        <v>1</v>
      </c>
      <c r="H94" s="76">
        <f t="shared" si="90"/>
        <v>1</v>
      </c>
      <c r="I94" s="4">
        <f t="shared" si="91"/>
        <v>0</v>
      </c>
      <c r="J94" s="77">
        <f t="shared" si="92"/>
        <v>0</v>
      </c>
      <c r="K94" s="204">
        <f t="shared" ca="1" si="30"/>
        <v>0.21305884769899905</v>
      </c>
      <c r="L94" s="93">
        <f t="shared" ca="1" si="30"/>
        <v>0.21305884769899905</v>
      </c>
      <c r="M94" s="93">
        <v>1</v>
      </c>
      <c r="N94" s="93">
        <f t="shared" ca="1" si="31"/>
        <v>0.21305884769899905</v>
      </c>
      <c r="O94" s="100">
        <v>1</v>
      </c>
      <c r="P94" s="70">
        <f t="shared" ca="1" si="93"/>
        <v>0</v>
      </c>
      <c r="Q94" s="70">
        <f t="shared" ca="1" si="94"/>
        <v>0</v>
      </c>
      <c r="R94" s="70" t="e">
        <f t="shared" ca="1" si="95"/>
        <v>#REF!</v>
      </c>
      <c r="S94" s="70">
        <f t="shared" ca="1" si="96"/>
        <v>0</v>
      </c>
      <c r="T94" s="70">
        <f t="shared" ca="1" si="97"/>
        <v>0</v>
      </c>
      <c r="U94" s="70" t="e">
        <f t="shared" ca="1" si="98"/>
        <v>#REF!</v>
      </c>
      <c r="V94" s="70">
        <f t="shared" ca="1" si="99"/>
        <v>0</v>
      </c>
      <c r="W94" s="70">
        <f t="shared" ca="1" si="100"/>
        <v>0</v>
      </c>
      <c r="X94" s="70">
        <f t="shared" ca="1" si="101"/>
        <v>0</v>
      </c>
      <c r="Y94" s="98">
        <f t="shared" ca="1" si="102"/>
        <v>0</v>
      </c>
      <c r="Z94" s="70">
        <f t="shared" ca="1" si="103"/>
        <v>0</v>
      </c>
      <c r="AA94" s="70">
        <f t="shared" ca="1" si="104"/>
        <v>0</v>
      </c>
      <c r="AB94" s="409" t="e">
        <f t="shared" ca="1" si="105"/>
        <v>#REF!</v>
      </c>
      <c r="AC94" s="70" t="e">
        <f t="shared" ca="1" si="106"/>
        <v>#REF!</v>
      </c>
      <c r="AD94" s="70" t="e">
        <f t="array" aca="1" ref="AD94" ca="1">-(VLOOKUP(AC94, LT_IncomeTaxFed/$K94:$O94, 2, TRUE)+VLOOKUP(AC94,LT_IncomeTaxFed/$K94:$O94,3,TRUE)*(AC94-VLOOKUP(AC94,LT_IncomeTaxFed/$K94:$O94,1,TRUE)))</f>
        <v>#REF!</v>
      </c>
      <c r="AE94" s="70" t="e">
        <f t="array" aca="1" ref="AE94" ca="1">-(VLOOKUP($AC94+$X94, LT_IncomeTaxFed/$K94:$O94, 4, TRUE)+VLOOKUP($AC94+$X94,LT_IncomeTaxFed/$K94:$O94,5,TRUE)*($AC94+$X94-VLOOKUP($AC94+$X94,LT_IncomeTaxFed/$K94:$O94,1,TRUE)))+(VLOOKUP($AC94, LT_IncomeTaxFed/$K94:$O94, 4, TRUE)+VLOOKUP($AC94,LT_IncomeTaxFed/$K94:$O94,5,TRUE)*($AC94-VLOOKUP($AC94,LT_IncomeTaxFed/$K94:$O94,1,TRUE)))</f>
        <v>#REF!</v>
      </c>
      <c r="AF94" s="75" t="e">
        <f t="shared" ca="1" si="107"/>
        <v>#REF!</v>
      </c>
      <c r="AG94" s="70" t="e">
        <f t="shared" ca="1" si="108"/>
        <v>#REF!</v>
      </c>
      <c r="AH94" s="67" t="e">
        <f t="array" aca="1" ref="AH94" ca="1">IF(AG94&gt;0,(VLOOKUP(AG94, LT_IncomeTaxFed/$K94:$O94, 2, TRUE)+VLOOKUP(AG94,LT_IncomeTaxFed/$K94:$O94,3,TRUE)*(AG94-VLOOKUP(AG94,LT_IncomeTaxFed/$K94:$O94,1,TRUE)))/AG94,0)</f>
        <v>#REF!</v>
      </c>
      <c r="AI94" s="109" t="e">
        <f t="shared" ca="1" si="109"/>
        <v>#REF!</v>
      </c>
      <c r="AJ94" s="634" t="e">
        <f ca="1">SUMPRODUCT($Z94:$Z95+$AA94:$AA95+$AD94:$AD95+$AE94:$AE95+$AI94:$AI95)</f>
        <v>#REF!</v>
      </c>
      <c r="AK94" s="668" t="e">
        <f t="shared" ref="AK94" ca="1" si="121">IF($U94&gt;0, -AJ94/$U94, 0)</f>
        <v>#REF!</v>
      </c>
    </row>
    <row r="95" spans="2:38" x14ac:dyDescent="0.25">
      <c r="B95" s="86">
        <f t="shared" ca="1" si="111"/>
        <v>2064</v>
      </c>
      <c r="C95" s="80" t="s">
        <v>741</v>
      </c>
      <c r="D95" s="147" t="str">
        <f t="shared" si="88"/>
        <v/>
      </c>
      <c r="E95" s="81">
        <f t="shared" si="85"/>
        <v>0</v>
      </c>
      <c r="F95" s="81" t="b">
        <f t="shared" si="89"/>
        <v>0</v>
      </c>
      <c r="G95" s="81">
        <f t="shared" si="87"/>
        <v>2</v>
      </c>
      <c r="H95" s="82">
        <f t="shared" si="90"/>
        <v>-1</v>
      </c>
      <c r="I95" s="35">
        <f t="shared" si="91"/>
        <v>0</v>
      </c>
      <c r="J95" s="81">
        <f t="shared" si="92"/>
        <v>0</v>
      </c>
      <c r="K95" s="205">
        <f t="shared" ca="1" si="30"/>
        <v>0.21305884769899905</v>
      </c>
      <c r="L95" s="95">
        <f t="shared" ca="1" si="30"/>
        <v>0.21305884769899905</v>
      </c>
      <c r="M95" s="95">
        <v>1</v>
      </c>
      <c r="N95" s="95">
        <f t="shared" ca="1" si="31"/>
        <v>0.21305884769899905</v>
      </c>
      <c r="O95" s="206">
        <v>1</v>
      </c>
      <c r="P95" s="107">
        <f t="shared" ca="1" si="93"/>
        <v>0</v>
      </c>
      <c r="Q95" s="107">
        <f t="shared" ca="1" si="94"/>
        <v>0</v>
      </c>
      <c r="R95" s="107">
        <f t="shared" si="95"/>
        <v>0</v>
      </c>
      <c r="S95" s="107">
        <f t="shared" ca="1" si="96"/>
        <v>0</v>
      </c>
      <c r="T95" s="107">
        <f t="shared" ca="1" si="97"/>
        <v>0</v>
      </c>
      <c r="U95" s="107">
        <f t="shared" ca="1" si="98"/>
        <v>0</v>
      </c>
      <c r="V95" s="107">
        <f t="shared" ca="1" si="99"/>
        <v>0</v>
      </c>
      <c r="W95" s="107">
        <f t="shared" ca="1" si="100"/>
        <v>0</v>
      </c>
      <c r="X95" s="107">
        <f t="shared" ca="1" si="101"/>
        <v>0</v>
      </c>
      <c r="Y95" s="101">
        <f t="shared" ca="1" si="102"/>
        <v>0</v>
      </c>
      <c r="Z95" s="107">
        <f t="shared" ca="1" si="103"/>
        <v>0</v>
      </c>
      <c r="AA95" s="107">
        <f t="shared" ca="1" si="104"/>
        <v>0</v>
      </c>
      <c r="AB95" s="106" t="e">
        <f t="shared" ca="1" si="105"/>
        <v>#REF!</v>
      </c>
      <c r="AC95" s="107" t="e">
        <f t="shared" ca="1" si="106"/>
        <v>#REF!</v>
      </c>
      <c r="AD95" s="107" t="e">
        <f t="array" aca="1" ref="AD95" ca="1">-(VLOOKUP(AC95, LT_IncomeTaxFed/$K95:$O95, 2, TRUE)+VLOOKUP(AC95,LT_IncomeTaxFed/$K95:$O95,3,TRUE)*(AC95-VLOOKUP(AC95,LT_IncomeTaxFed/$K95:$O95,1,TRUE)))</f>
        <v>#REF!</v>
      </c>
      <c r="AE95" s="107" t="e">
        <f t="array" aca="1" ref="AE95" ca="1">-(VLOOKUP($AC95+$X95, LT_IncomeTaxFed/$K95:$O95, 4, TRUE)+VLOOKUP($AC95+$X95,LT_IncomeTaxFed/$K95:$O95,5,TRUE)*($AC95+$X95-VLOOKUP($AC95+$X95,LT_IncomeTaxFed/$K95:$O95,1,TRUE)))+(VLOOKUP($AC95, LT_IncomeTaxFed/$K95:$O95, 4, TRUE)+VLOOKUP($AC95,LT_IncomeTaxFed/$K95:$O95,5,TRUE)*($AC95-VLOOKUP($AC95,LT_IncomeTaxFed/$K95:$O95,1,TRUE)))</f>
        <v>#REF!</v>
      </c>
      <c r="AF95" s="106" t="e">
        <f t="shared" ca="1" si="107"/>
        <v>#REF!</v>
      </c>
      <c r="AG95" s="107" t="e">
        <f t="shared" ca="1" si="108"/>
        <v>#REF!</v>
      </c>
      <c r="AH95" s="91" t="e">
        <f t="array" aca="1" ref="AH95" ca="1">IF(AG95&gt;0,(VLOOKUP(AG95, LT_IncomeTaxFed/$K95:$O95, 2, TRUE)+VLOOKUP(AG95,LT_IncomeTaxFed/$K95:$O95,3,TRUE)*(AG95-VLOOKUP(AG95,LT_IncomeTaxFed/$K95:$O95,1,TRUE)))/AG95,0)</f>
        <v>#REF!</v>
      </c>
      <c r="AI95" s="110" t="e">
        <f t="shared" ca="1" si="109"/>
        <v>#REF!</v>
      </c>
      <c r="AJ95" s="634"/>
      <c r="AK95" s="668"/>
    </row>
    <row r="96" spans="2:38" x14ac:dyDescent="0.25">
      <c r="B96" s="65">
        <f ca="1">B94+1</f>
        <v>2065</v>
      </c>
      <c r="C96" s="76" t="s">
        <v>741</v>
      </c>
      <c r="D96" s="146" t="str">
        <f t="shared" si="88"/>
        <v/>
      </c>
      <c r="E96" s="77">
        <f t="shared" si="85"/>
        <v>0</v>
      </c>
      <c r="F96" s="77" t="b">
        <f t="shared" si="89"/>
        <v>0</v>
      </c>
      <c r="G96" s="77">
        <f t="shared" si="87"/>
        <v>1</v>
      </c>
      <c r="H96" s="76">
        <f t="shared" si="90"/>
        <v>1</v>
      </c>
      <c r="I96" s="4">
        <f t="shared" si="91"/>
        <v>0</v>
      </c>
      <c r="J96" s="77">
        <f t="shared" si="92"/>
        <v>0</v>
      </c>
      <c r="K96" s="204">
        <f t="shared" ca="1" si="30"/>
        <v>0.20535792549301113</v>
      </c>
      <c r="L96" s="93">
        <f t="shared" ca="1" si="30"/>
        <v>0.20535792549301113</v>
      </c>
      <c r="M96" s="93">
        <v>1</v>
      </c>
      <c r="N96" s="93">
        <f t="shared" ca="1" si="31"/>
        <v>0.20535792549301113</v>
      </c>
      <c r="O96" s="100">
        <v>1</v>
      </c>
      <c r="P96" s="70">
        <f t="shared" ca="1" si="93"/>
        <v>0</v>
      </c>
      <c r="Q96" s="70">
        <f t="shared" ca="1" si="94"/>
        <v>0</v>
      </c>
      <c r="R96" s="70" t="e">
        <f t="shared" ca="1" si="95"/>
        <v>#REF!</v>
      </c>
      <c r="S96" s="70">
        <f t="shared" ca="1" si="96"/>
        <v>0</v>
      </c>
      <c r="T96" s="70">
        <f t="shared" ca="1" si="97"/>
        <v>0</v>
      </c>
      <c r="U96" s="70" t="e">
        <f t="shared" ca="1" si="98"/>
        <v>#REF!</v>
      </c>
      <c r="V96" s="70">
        <f t="shared" ca="1" si="99"/>
        <v>0</v>
      </c>
      <c r="W96" s="70">
        <f t="shared" ca="1" si="100"/>
        <v>0</v>
      </c>
      <c r="X96" s="70">
        <f t="shared" ca="1" si="101"/>
        <v>0</v>
      </c>
      <c r="Y96" s="98">
        <f t="shared" ca="1" si="102"/>
        <v>0</v>
      </c>
      <c r="Z96" s="70">
        <f t="shared" ca="1" si="103"/>
        <v>0</v>
      </c>
      <c r="AA96" s="70">
        <f t="shared" ca="1" si="104"/>
        <v>0</v>
      </c>
      <c r="AB96" s="409" t="e">
        <f t="shared" ca="1" si="105"/>
        <v>#REF!</v>
      </c>
      <c r="AC96" s="70" t="e">
        <f t="shared" ca="1" si="106"/>
        <v>#REF!</v>
      </c>
      <c r="AD96" s="70" t="e">
        <f t="array" aca="1" ref="AD96" ca="1">-(VLOOKUP(AC96, LT_IncomeTaxFed/$K96:$O96, 2, TRUE)+VLOOKUP(AC96,LT_IncomeTaxFed/$K96:$O96,3,TRUE)*(AC96-VLOOKUP(AC96,LT_IncomeTaxFed/$K96:$O96,1,TRUE)))</f>
        <v>#REF!</v>
      </c>
      <c r="AE96" s="70" t="e">
        <f t="array" aca="1" ref="AE96" ca="1">-(VLOOKUP($AC96+$X96, LT_IncomeTaxFed/$K96:$O96, 4, TRUE)+VLOOKUP($AC96+$X96,LT_IncomeTaxFed/$K96:$O96,5,TRUE)*($AC96+$X96-VLOOKUP($AC96+$X96,LT_IncomeTaxFed/$K96:$O96,1,TRUE)))+(VLOOKUP($AC96, LT_IncomeTaxFed/$K96:$O96, 4, TRUE)+VLOOKUP($AC96,LT_IncomeTaxFed/$K96:$O96,5,TRUE)*($AC96-VLOOKUP($AC96,LT_IncomeTaxFed/$K96:$O96,1,TRUE)))</f>
        <v>#REF!</v>
      </c>
      <c r="AF96" s="75" t="e">
        <f t="shared" ca="1" si="107"/>
        <v>#REF!</v>
      </c>
      <c r="AG96" s="70" t="e">
        <f t="shared" ca="1" si="108"/>
        <v>#REF!</v>
      </c>
      <c r="AH96" s="67" t="e">
        <f t="array" aca="1" ref="AH96" ca="1">IF(AG96&gt;0,(VLOOKUP(AG96, LT_IncomeTaxFed/$K96:$O96, 2, TRUE)+VLOOKUP(AG96,LT_IncomeTaxFed/$K96:$O96,3,TRUE)*(AG96-VLOOKUP(AG96,LT_IncomeTaxFed/$K96:$O96,1,TRUE)))/AG96,0)</f>
        <v>#REF!</v>
      </c>
      <c r="AI96" s="109" t="e">
        <f t="shared" ca="1" si="109"/>
        <v>#REF!</v>
      </c>
      <c r="AJ96" s="634" t="e">
        <f ca="1">SUMPRODUCT($Z96:$Z97+$AA96:$AA97+$AD96:$AD97+$AE96:$AE97+$AI96:$AI97)</f>
        <v>#REF!</v>
      </c>
      <c r="AK96" s="668" t="e">
        <f t="shared" ref="AK96" ca="1" si="122">IF($U96&gt;0, -AJ96/$U96, 0)</f>
        <v>#REF!</v>
      </c>
    </row>
    <row r="97" spans="2:37" x14ac:dyDescent="0.25">
      <c r="B97" s="86">
        <f t="shared" ca="1" si="111"/>
        <v>2065</v>
      </c>
      <c r="C97" s="80" t="s">
        <v>741</v>
      </c>
      <c r="D97" s="147" t="str">
        <f t="shared" si="88"/>
        <v/>
      </c>
      <c r="E97" s="81">
        <f t="shared" si="85"/>
        <v>0</v>
      </c>
      <c r="F97" s="81" t="b">
        <f t="shared" si="89"/>
        <v>0</v>
      </c>
      <c r="G97" s="81">
        <f t="shared" si="87"/>
        <v>2</v>
      </c>
      <c r="H97" s="82">
        <f t="shared" si="90"/>
        <v>-1</v>
      </c>
      <c r="I97" s="35">
        <f t="shared" si="91"/>
        <v>0</v>
      </c>
      <c r="J97" s="81">
        <f t="shared" si="92"/>
        <v>0</v>
      </c>
      <c r="K97" s="205">
        <f t="shared" ca="1" si="30"/>
        <v>0.20535792549301113</v>
      </c>
      <c r="L97" s="95">
        <f t="shared" ca="1" si="30"/>
        <v>0.20535792549301113</v>
      </c>
      <c r="M97" s="95">
        <v>1</v>
      </c>
      <c r="N97" s="95">
        <f t="shared" ca="1" si="31"/>
        <v>0.20535792549301113</v>
      </c>
      <c r="O97" s="206">
        <v>1</v>
      </c>
      <c r="P97" s="107">
        <f t="shared" ca="1" si="93"/>
        <v>0</v>
      </c>
      <c r="Q97" s="107">
        <f t="shared" ca="1" si="94"/>
        <v>0</v>
      </c>
      <c r="R97" s="107">
        <f t="shared" si="95"/>
        <v>0</v>
      </c>
      <c r="S97" s="107">
        <f t="shared" ca="1" si="96"/>
        <v>0</v>
      </c>
      <c r="T97" s="107">
        <f t="shared" ca="1" si="97"/>
        <v>0</v>
      </c>
      <c r="U97" s="107">
        <f t="shared" ca="1" si="98"/>
        <v>0</v>
      </c>
      <c r="V97" s="107">
        <f t="shared" ca="1" si="99"/>
        <v>0</v>
      </c>
      <c r="W97" s="107">
        <f t="shared" ca="1" si="100"/>
        <v>0</v>
      </c>
      <c r="X97" s="107">
        <f t="shared" ca="1" si="101"/>
        <v>0</v>
      </c>
      <c r="Y97" s="101">
        <f t="shared" ca="1" si="102"/>
        <v>0</v>
      </c>
      <c r="Z97" s="107">
        <f t="shared" ca="1" si="103"/>
        <v>0</v>
      </c>
      <c r="AA97" s="107">
        <f t="shared" ca="1" si="104"/>
        <v>0</v>
      </c>
      <c r="AB97" s="106" t="e">
        <f t="shared" ca="1" si="105"/>
        <v>#REF!</v>
      </c>
      <c r="AC97" s="107" t="e">
        <f t="shared" ca="1" si="106"/>
        <v>#REF!</v>
      </c>
      <c r="AD97" s="107" t="e">
        <f t="array" aca="1" ref="AD97" ca="1">-(VLOOKUP(AC97, LT_IncomeTaxFed/$K97:$O97, 2, TRUE)+VLOOKUP(AC97,LT_IncomeTaxFed/$K97:$O97,3,TRUE)*(AC97-VLOOKUP(AC97,LT_IncomeTaxFed/$K97:$O97,1,TRUE)))</f>
        <v>#REF!</v>
      </c>
      <c r="AE97" s="107" t="e">
        <f t="array" aca="1" ref="AE97" ca="1">-(VLOOKUP($AC97+$X97, LT_IncomeTaxFed/$K97:$O97, 4, TRUE)+VLOOKUP($AC97+$X97,LT_IncomeTaxFed/$K97:$O97,5,TRUE)*($AC97+$X97-VLOOKUP($AC97+$X97,LT_IncomeTaxFed/$K97:$O97,1,TRUE)))+(VLOOKUP($AC97, LT_IncomeTaxFed/$K97:$O97, 4, TRUE)+VLOOKUP($AC97,LT_IncomeTaxFed/$K97:$O97,5,TRUE)*($AC97-VLOOKUP($AC97,LT_IncomeTaxFed/$K97:$O97,1,TRUE)))</f>
        <v>#REF!</v>
      </c>
      <c r="AF97" s="106" t="e">
        <f t="shared" ca="1" si="107"/>
        <v>#REF!</v>
      </c>
      <c r="AG97" s="107" t="e">
        <f t="shared" ca="1" si="108"/>
        <v>#REF!</v>
      </c>
      <c r="AH97" s="91" t="e">
        <f t="array" aca="1" ref="AH97" ca="1">IF(AG97&gt;0,(VLOOKUP(AG97, LT_IncomeTaxFed/$K97:$O97, 2, TRUE)+VLOOKUP(AG97,LT_IncomeTaxFed/$K97:$O97,3,TRUE)*(AG97-VLOOKUP(AG97,LT_IncomeTaxFed/$K97:$O97,1,TRUE)))/AG97,0)</f>
        <v>#REF!</v>
      </c>
      <c r="AI97" s="110" t="e">
        <f t="shared" ca="1" si="109"/>
        <v>#REF!</v>
      </c>
      <c r="AJ97" s="634"/>
      <c r="AK97" s="668"/>
    </row>
    <row r="98" spans="2:37" x14ac:dyDescent="0.25">
      <c r="B98" s="65">
        <f ca="1">B96+1</f>
        <v>2066</v>
      </c>
      <c r="C98" s="76" t="s">
        <v>741</v>
      </c>
      <c r="D98" s="146" t="str">
        <f t="shared" si="88"/>
        <v/>
      </c>
      <c r="E98" s="77">
        <f t="shared" si="85"/>
        <v>0</v>
      </c>
      <c r="F98" s="77" t="b">
        <f t="shared" si="89"/>
        <v>0</v>
      </c>
      <c r="G98" s="77">
        <f t="shared" si="87"/>
        <v>1</v>
      </c>
      <c r="H98" s="76">
        <f t="shared" si="90"/>
        <v>1</v>
      </c>
      <c r="I98" s="4">
        <f t="shared" si="91"/>
        <v>0</v>
      </c>
      <c r="J98" s="77">
        <f t="shared" si="92"/>
        <v>0</v>
      </c>
      <c r="K98" s="204">
        <f t="shared" ca="1" si="30"/>
        <v>0.1979353498727818</v>
      </c>
      <c r="L98" s="93">
        <f t="shared" ca="1" si="30"/>
        <v>0.1979353498727818</v>
      </c>
      <c r="M98" s="93">
        <v>1</v>
      </c>
      <c r="N98" s="93">
        <f t="shared" ca="1" si="31"/>
        <v>0.1979353498727818</v>
      </c>
      <c r="O98" s="100">
        <v>1</v>
      </c>
      <c r="P98" s="70">
        <f t="shared" ca="1" si="93"/>
        <v>0</v>
      </c>
      <c r="Q98" s="70">
        <f t="shared" ca="1" si="94"/>
        <v>0</v>
      </c>
      <c r="R98" s="70" t="e">
        <f t="shared" ca="1" si="95"/>
        <v>#REF!</v>
      </c>
      <c r="S98" s="70">
        <f t="shared" ca="1" si="96"/>
        <v>0</v>
      </c>
      <c r="T98" s="70">
        <f t="shared" ca="1" si="97"/>
        <v>0</v>
      </c>
      <c r="U98" s="70" t="e">
        <f t="shared" ca="1" si="98"/>
        <v>#REF!</v>
      </c>
      <c r="V98" s="70">
        <f t="shared" ca="1" si="99"/>
        <v>0</v>
      </c>
      <c r="W98" s="70">
        <f t="shared" ca="1" si="100"/>
        <v>0</v>
      </c>
      <c r="X98" s="70">
        <f t="shared" ca="1" si="101"/>
        <v>0</v>
      </c>
      <c r="Y98" s="98">
        <f t="shared" ca="1" si="102"/>
        <v>0</v>
      </c>
      <c r="Z98" s="70">
        <f t="shared" ca="1" si="103"/>
        <v>0</v>
      </c>
      <c r="AA98" s="70">
        <f t="shared" ca="1" si="104"/>
        <v>0</v>
      </c>
      <c r="AB98" s="409" t="e">
        <f t="shared" ca="1" si="105"/>
        <v>#REF!</v>
      </c>
      <c r="AC98" s="70" t="e">
        <f t="shared" ca="1" si="106"/>
        <v>#REF!</v>
      </c>
      <c r="AD98" s="70" t="e">
        <f t="array" aca="1" ref="AD98" ca="1">-(VLOOKUP(AC98, LT_IncomeTaxFed/$K98:$O98, 2, TRUE)+VLOOKUP(AC98,LT_IncomeTaxFed/$K98:$O98,3,TRUE)*(AC98-VLOOKUP(AC98,LT_IncomeTaxFed/$K98:$O98,1,TRUE)))</f>
        <v>#REF!</v>
      </c>
      <c r="AE98" s="70" t="e">
        <f t="array" aca="1" ref="AE98" ca="1">-(VLOOKUP($AC98+$X98, LT_IncomeTaxFed/$K98:$O98, 4, TRUE)+VLOOKUP($AC98+$X98,LT_IncomeTaxFed/$K98:$O98,5,TRUE)*($AC98+$X98-VLOOKUP($AC98+$X98,LT_IncomeTaxFed/$K98:$O98,1,TRUE)))+(VLOOKUP($AC98, LT_IncomeTaxFed/$K98:$O98, 4, TRUE)+VLOOKUP($AC98,LT_IncomeTaxFed/$K98:$O98,5,TRUE)*($AC98-VLOOKUP($AC98,LT_IncomeTaxFed/$K98:$O98,1,TRUE)))</f>
        <v>#REF!</v>
      </c>
      <c r="AF98" s="75" t="e">
        <f t="shared" ca="1" si="107"/>
        <v>#REF!</v>
      </c>
      <c r="AG98" s="70" t="e">
        <f t="shared" ca="1" si="108"/>
        <v>#REF!</v>
      </c>
      <c r="AH98" s="67" t="e">
        <f t="array" aca="1" ref="AH98" ca="1">IF(AG98&gt;0,(VLOOKUP(AG98, LT_IncomeTaxFed/$K98:$O98, 2, TRUE)+VLOOKUP(AG98,LT_IncomeTaxFed/$K98:$O98,3,TRUE)*(AG98-VLOOKUP(AG98,LT_IncomeTaxFed/$K98:$O98,1,TRUE)))/AG98,0)</f>
        <v>#REF!</v>
      </c>
      <c r="AI98" s="109" t="e">
        <f t="shared" ca="1" si="109"/>
        <v>#REF!</v>
      </c>
      <c r="AJ98" s="634" t="e">
        <f ca="1">SUMPRODUCT($Z98:$Z99+$AA98:$AA99+$AD98:$AD99+$AE98:$AE99+$AI98:$AI99)</f>
        <v>#REF!</v>
      </c>
      <c r="AK98" s="668" t="e">
        <f t="shared" ref="AK98" ca="1" si="123">IF($U98&gt;0, -AJ98/$U98, 0)</f>
        <v>#REF!</v>
      </c>
    </row>
    <row r="99" spans="2:37" x14ac:dyDescent="0.25">
      <c r="B99" s="86">
        <f t="shared" ca="1" si="111"/>
        <v>2066</v>
      </c>
      <c r="C99" s="80" t="s">
        <v>741</v>
      </c>
      <c r="D99" s="147" t="str">
        <f t="shared" si="88"/>
        <v/>
      </c>
      <c r="E99" s="81">
        <f t="shared" si="85"/>
        <v>0</v>
      </c>
      <c r="F99" s="81" t="b">
        <f t="shared" si="89"/>
        <v>0</v>
      </c>
      <c r="G99" s="81">
        <f t="shared" si="87"/>
        <v>2</v>
      </c>
      <c r="H99" s="82">
        <f t="shared" si="90"/>
        <v>-1</v>
      </c>
      <c r="I99" s="35">
        <f t="shared" si="91"/>
        <v>0</v>
      </c>
      <c r="J99" s="81">
        <f t="shared" si="92"/>
        <v>0</v>
      </c>
      <c r="K99" s="205">
        <f t="shared" ca="1" si="30"/>
        <v>0.1979353498727818</v>
      </c>
      <c r="L99" s="95">
        <f t="shared" ca="1" si="30"/>
        <v>0.1979353498727818</v>
      </c>
      <c r="M99" s="95">
        <v>1</v>
      </c>
      <c r="N99" s="95">
        <f t="shared" ca="1" si="31"/>
        <v>0.1979353498727818</v>
      </c>
      <c r="O99" s="206">
        <v>1</v>
      </c>
      <c r="P99" s="107">
        <f t="shared" ca="1" si="93"/>
        <v>0</v>
      </c>
      <c r="Q99" s="107">
        <f t="shared" ca="1" si="94"/>
        <v>0</v>
      </c>
      <c r="R99" s="107">
        <f t="shared" si="95"/>
        <v>0</v>
      </c>
      <c r="S99" s="107">
        <f t="shared" ca="1" si="96"/>
        <v>0</v>
      </c>
      <c r="T99" s="107">
        <f t="shared" ca="1" si="97"/>
        <v>0</v>
      </c>
      <c r="U99" s="107">
        <f t="shared" ca="1" si="98"/>
        <v>0</v>
      </c>
      <c r="V99" s="107">
        <f t="shared" ca="1" si="99"/>
        <v>0</v>
      </c>
      <c r="W99" s="107">
        <f t="shared" ca="1" si="100"/>
        <v>0</v>
      </c>
      <c r="X99" s="107">
        <f t="shared" ca="1" si="101"/>
        <v>0</v>
      </c>
      <c r="Y99" s="101">
        <f t="shared" ca="1" si="102"/>
        <v>0</v>
      </c>
      <c r="Z99" s="107">
        <f t="shared" ca="1" si="103"/>
        <v>0</v>
      </c>
      <c r="AA99" s="107">
        <f t="shared" ca="1" si="104"/>
        <v>0</v>
      </c>
      <c r="AB99" s="106" t="e">
        <f t="shared" ca="1" si="105"/>
        <v>#REF!</v>
      </c>
      <c r="AC99" s="107" t="e">
        <f t="shared" ca="1" si="106"/>
        <v>#REF!</v>
      </c>
      <c r="AD99" s="107" t="e">
        <f t="array" aca="1" ref="AD99" ca="1">-(VLOOKUP(AC99, LT_IncomeTaxFed/$K99:$O99, 2, TRUE)+VLOOKUP(AC99,LT_IncomeTaxFed/$K99:$O99,3,TRUE)*(AC99-VLOOKUP(AC99,LT_IncomeTaxFed/$K99:$O99,1,TRUE)))</f>
        <v>#REF!</v>
      </c>
      <c r="AE99" s="107" t="e">
        <f t="array" aca="1" ref="AE99" ca="1">-(VLOOKUP($AC99+$X99, LT_IncomeTaxFed/$K99:$O99, 4, TRUE)+VLOOKUP($AC99+$X99,LT_IncomeTaxFed/$K99:$O99,5,TRUE)*($AC99+$X99-VLOOKUP($AC99+$X99,LT_IncomeTaxFed/$K99:$O99,1,TRUE)))+(VLOOKUP($AC99, LT_IncomeTaxFed/$K99:$O99, 4, TRUE)+VLOOKUP($AC99,LT_IncomeTaxFed/$K99:$O99,5,TRUE)*($AC99-VLOOKUP($AC99,LT_IncomeTaxFed/$K99:$O99,1,TRUE)))</f>
        <v>#REF!</v>
      </c>
      <c r="AF99" s="106" t="e">
        <f t="shared" ca="1" si="107"/>
        <v>#REF!</v>
      </c>
      <c r="AG99" s="107" t="e">
        <f t="shared" ca="1" si="108"/>
        <v>#REF!</v>
      </c>
      <c r="AH99" s="91" t="e">
        <f t="array" aca="1" ref="AH99" ca="1">IF(AG99&gt;0,(VLOOKUP(AG99, LT_IncomeTaxFed/$K99:$O99, 2, TRUE)+VLOOKUP(AG99,LT_IncomeTaxFed/$K99:$O99,3,TRUE)*(AG99-VLOOKUP(AG99,LT_IncomeTaxFed/$K99:$O99,1,TRUE)))/AG99,0)</f>
        <v>#REF!</v>
      </c>
      <c r="AI99" s="110" t="e">
        <f t="shared" ca="1" si="109"/>
        <v>#REF!</v>
      </c>
      <c r="AJ99" s="634"/>
      <c r="AK99" s="668"/>
    </row>
    <row r="100" spans="2:37" x14ac:dyDescent="0.25">
      <c r="B100" s="65">
        <f ca="1">B98+1</f>
        <v>2067</v>
      </c>
      <c r="C100" s="76" t="s">
        <v>741</v>
      </c>
      <c r="D100" s="146" t="str">
        <f t="shared" si="88"/>
        <v/>
      </c>
      <c r="E100" s="77">
        <f t="shared" si="85"/>
        <v>0</v>
      </c>
      <c r="F100" s="77" t="b">
        <f t="shared" si="89"/>
        <v>0</v>
      </c>
      <c r="G100" s="77">
        <f t="shared" si="87"/>
        <v>1</v>
      </c>
      <c r="H100" s="76">
        <f t="shared" si="90"/>
        <v>1</v>
      </c>
      <c r="I100" s="4">
        <f t="shared" si="91"/>
        <v>0</v>
      </c>
      <c r="J100" s="77">
        <f t="shared" si="92"/>
        <v>0</v>
      </c>
      <c r="K100" s="204">
        <f t="shared" ca="1" si="30"/>
        <v>0.19078106011834389</v>
      </c>
      <c r="L100" s="93">
        <f t="shared" ca="1" si="30"/>
        <v>0.19078106011834389</v>
      </c>
      <c r="M100" s="93">
        <v>1</v>
      </c>
      <c r="N100" s="93">
        <f t="shared" ca="1" si="31"/>
        <v>0.19078106011834389</v>
      </c>
      <c r="O100" s="100">
        <v>1</v>
      </c>
      <c r="P100" s="70">
        <f t="shared" ca="1" si="93"/>
        <v>0</v>
      </c>
      <c r="Q100" s="70">
        <f t="shared" ca="1" si="94"/>
        <v>0</v>
      </c>
      <c r="R100" s="70" t="e">
        <f t="shared" ca="1" si="95"/>
        <v>#REF!</v>
      </c>
      <c r="S100" s="70">
        <f t="shared" ca="1" si="96"/>
        <v>0</v>
      </c>
      <c r="T100" s="70">
        <f t="shared" ca="1" si="97"/>
        <v>0</v>
      </c>
      <c r="U100" s="70" t="e">
        <f t="shared" ca="1" si="98"/>
        <v>#REF!</v>
      </c>
      <c r="V100" s="70">
        <f t="shared" ca="1" si="99"/>
        <v>0</v>
      </c>
      <c r="W100" s="70">
        <f t="shared" ca="1" si="100"/>
        <v>0</v>
      </c>
      <c r="X100" s="70">
        <f t="shared" ca="1" si="101"/>
        <v>0</v>
      </c>
      <c r="Y100" s="98">
        <f t="shared" ca="1" si="102"/>
        <v>0</v>
      </c>
      <c r="Z100" s="70">
        <f t="shared" ca="1" si="103"/>
        <v>0</v>
      </c>
      <c r="AA100" s="70">
        <f t="shared" ca="1" si="104"/>
        <v>0</v>
      </c>
      <c r="AB100" s="409" t="e">
        <f t="shared" ca="1" si="105"/>
        <v>#REF!</v>
      </c>
      <c r="AC100" s="70" t="e">
        <f t="shared" ca="1" si="106"/>
        <v>#REF!</v>
      </c>
      <c r="AD100" s="70" t="e">
        <f t="array" aca="1" ref="AD100" ca="1">-(VLOOKUP(AC100, LT_IncomeTaxFed/$K100:$O100, 2, TRUE)+VLOOKUP(AC100,LT_IncomeTaxFed/$K100:$O100,3,TRUE)*(AC100-VLOOKUP(AC100,LT_IncomeTaxFed/$K100:$O100,1,TRUE)))</f>
        <v>#REF!</v>
      </c>
      <c r="AE100" s="70" t="e">
        <f t="array" aca="1" ref="AE100" ca="1">-(VLOOKUP($AC100+$X100, LT_IncomeTaxFed/$K100:$O100, 4, TRUE)+VLOOKUP($AC100+$X100,LT_IncomeTaxFed/$K100:$O100,5,TRUE)*($AC100+$X100-VLOOKUP($AC100+$X100,LT_IncomeTaxFed/$K100:$O100,1,TRUE)))+(VLOOKUP($AC100, LT_IncomeTaxFed/$K100:$O100, 4, TRUE)+VLOOKUP($AC100,LT_IncomeTaxFed/$K100:$O100,5,TRUE)*($AC100-VLOOKUP($AC100,LT_IncomeTaxFed/$K100:$O100,1,TRUE)))</f>
        <v>#REF!</v>
      </c>
      <c r="AF100" s="75" t="e">
        <f t="shared" ca="1" si="107"/>
        <v>#REF!</v>
      </c>
      <c r="AG100" s="70" t="e">
        <f t="shared" ca="1" si="108"/>
        <v>#REF!</v>
      </c>
      <c r="AH100" s="67" t="e">
        <f t="array" aca="1" ref="AH100" ca="1">IF(AG100&gt;0,(VLOOKUP(AG100, LT_IncomeTaxFed/$K100:$O100, 2, TRUE)+VLOOKUP(AG100,LT_IncomeTaxFed/$K100:$O100,3,TRUE)*(AG100-VLOOKUP(AG100,LT_IncomeTaxFed/$K100:$O100,1,TRUE)))/AG100,0)</f>
        <v>#REF!</v>
      </c>
      <c r="AI100" s="109" t="e">
        <f t="shared" ca="1" si="109"/>
        <v>#REF!</v>
      </c>
      <c r="AJ100" s="634" t="e">
        <f ca="1">SUMPRODUCT($Z100:$Z101+$AA100:$AA101+$AD100:$AD101+$AE100:$AE101+$AI100:$AI101)</f>
        <v>#REF!</v>
      </c>
      <c r="AK100" s="668" t="e">
        <f t="shared" ref="AK100" ca="1" si="124">IF($U100&gt;0, -AJ100/$U100, 0)</f>
        <v>#REF!</v>
      </c>
    </row>
    <row r="101" spans="2:37" x14ac:dyDescent="0.25">
      <c r="B101" s="86">
        <f t="shared" ca="1" si="111"/>
        <v>2067</v>
      </c>
      <c r="C101" s="80" t="s">
        <v>741</v>
      </c>
      <c r="D101" s="147" t="str">
        <f t="shared" si="88"/>
        <v/>
      </c>
      <c r="E101" s="81">
        <f t="shared" si="85"/>
        <v>0</v>
      </c>
      <c r="F101" s="81" t="b">
        <f t="shared" si="89"/>
        <v>0</v>
      </c>
      <c r="G101" s="81">
        <f t="shared" si="87"/>
        <v>2</v>
      </c>
      <c r="H101" s="82">
        <f t="shared" si="90"/>
        <v>-1</v>
      </c>
      <c r="I101" s="35">
        <f t="shared" si="91"/>
        <v>0</v>
      </c>
      <c r="J101" s="81">
        <f t="shared" si="92"/>
        <v>0</v>
      </c>
      <c r="K101" s="205">
        <f t="shared" ca="1" si="30"/>
        <v>0.19078106011834389</v>
      </c>
      <c r="L101" s="95">
        <f t="shared" ca="1" si="30"/>
        <v>0.19078106011834389</v>
      </c>
      <c r="M101" s="95">
        <v>1</v>
      </c>
      <c r="N101" s="95">
        <f t="shared" ca="1" si="31"/>
        <v>0.19078106011834389</v>
      </c>
      <c r="O101" s="206">
        <v>1</v>
      </c>
      <c r="P101" s="107">
        <f t="shared" ca="1" si="93"/>
        <v>0</v>
      </c>
      <c r="Q101" s="107">
        <f t="shared" ca="1" si="94"/>
        <v>0</v>
      </c>
      <c r="R101" s="107">
        <f t="shared" si="95"/>
        <v>0</v>
      </c>
      <c r="S101" s="107">
        <f t="shared" ca="1" si="96"/>
        <v>0</v>
      </c>
      <c r="T101" s="107">
        <f t="shared" ca="1" si="97"/>
        <v>0</v>
      </c>
      <c r="U101" s="107">
        <f t="shared" ca="1" si="98"/>
        <v>0</v>
      </c>
      <c r="V101" s="107">
        <f t="shared" ca="1" si="99"/>
        <v>0</v>
      </c>
      <c r="W101" s="107">
        <f t="shared" ca="1" si="100"/>
        <v>0</v>
      </c>
      <c r="X101" s="107">
        <f t="shared" ca="1" si="101"/>
        <v>0</v>
      </c>
      <c r="Y101" s="101">
        <f t="shared" ca="1" si="102"/>
        <v>0</v>
      </c>
      <c r="Z101" s="107">
        <f t="shared" ca="1" si="103"/>
        <v>0</v>
      </c>
      <c r="AA101" s="107">
        <f t="shared" ca="1" si="104"/>
        <v>0</v>
      </c>
      <c r="AB101" s="106" t="e">
        <f t="shared" ca="1" si="105"/>
        <v>#REF!</v>
      </c>
      <c r="AC101" s="107" t="e">
        <f t="shared" ca="1" si="106"/>
        <v>#REF!</v>
      </c>
      <c r="AD101" s="107" t="e">
        <f t="array" aca="1" ref="AD101" ca="1">-(VLOOKUP(AC101, LT_IncomeTaxFed/$K101:$O101, 2, TRUE)+VLOOKUP(AC101,LT_IncomeTaxFed/$K101:$O101,3,TRUE)*(AC101-VLOOKUP(AC101,LT_IncomeTaxFed/$K101:$O101,1,TRUE)))</f>
        <v>#REF!</v>
      </c>
      <c r="AE101" s="107" t="e">
        <f t="array" aca="1" ref="AE101" ca="1">-(VLOOKUP($AC101+$X101, LT_IncomeTaxFed/$K101:$O101, 4, TRUE)+VLOOKUP($AC101+$X101,LT_IncomeTaxFed/$K101:$O101,5,TRUE)*($AC101+$X101-VLOOKUP($AC101+$X101,LT_IncomeTaxFed/$K101:$O101,1,TRUE)))+(VLOOKUP($AC101, LT_IncomeTaxFed/$K101:$O101, 4, TRUE)+VLOOKUP($AC101,LT_IncomeTaxFed/$K101:$O101,5,TRUE)*($AC101-VLOOKUP($AC101,LT_IncomeTaxFed/$K101:$O101,1,TRUE)))</f>
        <v>#REF!</v>
      </c>
      <c r="AF101" s="106" t="e">
        <f t="shared" ca="1" si="107"/>
        <v>#REF!</v>
      </c>
      <c r="AG101" s="107" t="e">
        <f t="shared" ca="1" si="108"/>
        <v>#REF!</v>
      </c>
      <c r="AH101" s="91" t="e">
        <f t="array" aca="1" ref="AH101" ca="1">IF(AG101&gt;0,(VLOOKUP(AG101, LT_IncomeTaxFed/$K101:$O101, 2, TRUE)+VLOOKUP(AG101,LT_IncomeTaxFed/$K101:$O101,3,TRUE)*(AG101-VLOOKUP(AG101,LT_IncomeTaxFed/$K101:$O101,1,TRUE)))/AG101,0)</f>
        <v>#REF!</v>
      </c>
      <c r="AI101" s="110" t="e">
        <f t="shared" ca="1" si="109"/>
        <v>#REF!</v>
      </c>
      <c r="AJ101" s="634"/>
      <c r="AK101" s="668"/>
    </row>
    <row r="102" spans="2:37" x14ac:dyDescent="0.25">
      <c r="B102" s="65">
        <f ca="1">B100+1</f>
        <v>2068</v>
      </c>
      <c r="C102" s="76" t="s">
        <v>741</v>
      </c>
      <c r="D102" s="146" t="str">
        <f t="shared" si="88"/>
        <v/>
      </c>
      <c r="E102" s="77">
        <f t="shared" si="85"/>
        <v>0</v>
      </c>
      <c r="F102" s="77" t="b">
        <f t="shared" si="89"/>
        <v>0</v>
      </c>
      <c r="G102" s="77">
        <f t="shared" si="87"/>
        <v>1</v>
      </c>
      <c r="H102" s="76">
        <f t="shared" si="90"/>
        <v>1</v>
      </c>
      <c r="I102" s="4">
        <f t="shared" si="91"/>
        <v>0</v>
      </c>
      <c r="J102" s="77">
        <f t="shared" si="92"/>
        <v>0</v>
      </c>
      <c r="K102" s="204">
        <f t="shared" ca="1" si="30"/>
        <v>0.18388535915021095</v>
      </c>
      <c r="L102" s="93">
        <f t="shared" ca="1" si="30"/>
        <v>0.18388535915021095</v>
      </c>
      <c r="M102" s="93">
        <v>1</v>
      </c>
      <c r="N102" s="93">
        <f t="shared" ca="1" si="31"/>
        <v>0.18388535915021095</v>
      </c>
      <c r="O102" s="100">
        <v>1</v>
      </c>
      <c r="P102" s="70">
        <f t="shared" ca="1" si="93"/>
        <v>0</v>
      </c>
      <c r="Q102" s="70">
        <f t="shared" ca="1" si="94"/>
        <v>0</v>
      </c>
      <c r="R102" s="70" t="e">
        <f t="shared" ca="1" si="95"/>
        <v>#REF!</v>
      </c>
      <c r="S102" s="70">
        <f t="shared" ca="1" si="96"/>
        <v>0</v>
      </c>
      <c r="T102" s="70">
        <f t="shared" ca="1" si="97"/>
        <v>0</v>
      </c>
      <c r="U102" s="70" t="e">
        <f t="shared" ca="1" si="98"/>
        <v>#REF!</v>
      </c>
      <c r="V102" s="70">
        <f t="shared" ca="1" si="99"/>
        <v>0</v>
      </c>
      <c r="W102" s="70">
        <f t="shared" ca="1" si="100"/>
        <v>0</v>
      </c>
      <c r="X102" s="70">
        <f t="shared" ca="1" si="101"/>
        <v>0</v>
      </c>
      <c r="Y102" s="98">
        <f t="shared" ca="1" si="102"/>
        <v>0</v>
      </c>
      <c r="Z102" s="70">
        <f t="shared" ca="1" si="103"/>
        <v>0</v>
      </c>
      <c r="AA102" s="70">
        <f t="shared" ca="1" si="104"/>
        <v>0</v>
      </c>
      <c r="AB102" s="409" t="e">
        <f t="shared" ca="1" si="105"/>
        <v>#REF!</v>
      </c>
      <c r="AC102" s="70" t="e">
        <f t="shared" ca="1" si="106"/>
        <v>#REF!</v>
      </c>
      <c r="AD102" s="70" t="e">
        <f t="array" aca="1" ref="AD102" ca="1">-(VLOOKUP(AC102, LT_IncomeTaxFed/$K102:$O102, 2, TRUE)+VLOOKUP(AC102,LT_IncomeTaxFed/$K102:$O102,3,TRUE)*(AC102-VLOOKUP(AC102,LT_IncomeTaxFed/$K102:$O102,1,TRUE)))</f>
        <v>#REF!</v>
      </c>
      <c r="AE102" s="70" t="e">
        <f t="array" aca="1" ref="AE102" ca="1">-(VLOOKUP($AC102+$X102, LT_IncomeTaxFed/$K102:$O102, 4, TRUE)+VLOOKUP($AC102+$X102,LT_IncomeTaxFed/$K102:$O102,5,TRUE)*($AC102+$X102-VLOOKUP($AC102+$X102,LT_IncomeTaxFed/$K102:$O102,1,TRUE)))+(VLOOKUP($AC102, LT_IncomeTaxFed/$K102:$O102, 4, TRUE)+VLOOKUP($AC102,LT_IncomeTaxFed/$K102:$O102,5,TRUE)*($AC102-VLOOKUP($AC102,LT_IncomeTaxFed/$K102:$O102,1,TRUE)))</f>
        <v>#REF!</v>
      </c>
      <c r="AF102" s="75" t="e">
        <f t="shared" ca="1" si="107"/>
        <v>#REF!</v>
      </c>
      <c r="AG102" s="70" t="e">
        <f t="shared" ca="1" si="108"/>
        <v>#REF!</v>
      </c>
      <c r="AH102" s="67" t="e">
        <f t="array" aca="1" ref="AH102" ca="1">IF(AG102&gt;0,(VLOOKUP(AG102, LT_IncomeTaxFed/$K102:$O102, 2, TRUE)+VLOOKUP(AG102,LT_IncomeTaxFed/$K102:$O102,3,TRUE)*(AG102-VLOOKUP(AG102,LT_IncomeTaxFed/$K102:$O102,1,TRUE)))/AG102,0)</f>
        <v>#REF!</v>
      </c>
      <c r="AI102" s="109" t="e">
        <f t="shared" ca="1" si="109"/>
        <v>#REF!</v>
      </c>
      <c r="AJ102" s="634" t="e">
        <f ca="1">SUMPRODUCT($Z102:$Z103+$AA102:$AA103+$AD102:$AD103+$AE102:$AE103+$AI102:$AI103)</f>
        <v>#REF!</v>
      </c>
      <c r="AK102" s="668" t="e">
        <f t="shared" ref="AK102" ca="1" si="125">IF($U102&gt;0, -AJ102/$U102, 0)</f>
        <v>#REF!</v>
      </c>
    </row>
    <row r="103" spans="2:37" x14ac:dyDescent="0.25">
      <c r="B103" s="86">
        <f t="shared" ca="1" si="111"/>
        <v>2068</v>
      </c>
      <c r="C103" s="80" t="s">
        <v>741</v>
      </c>
      <c r="D103" s="147" t="str">
        <f t="shared" si="88"/>
        <v/>
      </c>
      <c r="E103" s="81">
        <f t="shared" si="85"/>
        <v>0</v>
      </c>
      <c r="F103" s="81" t="b">
        <f t="shared" si="89"/>
        <v>0</v>
      </c>
      <c r="G103" s="81">
        <f t="shared" si="87"/>
        <v>2</v>
      </c>
      <c r="H103" s="82">
        <f t="shared" si="90"/>
        <v>-1</v>
      </c>
      <c r="I103" s="35">
        <f t="shared" si="91"/>
        <v>0</v>
      </c>
      <c r="J103" s="81">
        <f t="shared" si="92"/>
        <v>0</v>
      </c>
      <c r="K103" s="205">
        <f t="shared" ca="1" si="30"/>
        <v>0.18388535915021095</v>
      </c>
      <c r="L103" s="95">
        <f t="shared" ca="1" si="30"/>
        <v>0.18388535915021095</v>
      </c>
      <c r="M103" s="95">
        <v>1</v>
      </c>
      <c r="N103" s="95">
        <f t="shared" ca="1" si="31"/>
        <v>0.18388535915021095</v>
      </c>
      <c r="O103" s="206">
        <v>1</v>
      </c>
      <c r="P103" s="107">
        <f t="shared" ca="1" si="93"/>
        <v>0</v>
      </c>
      <c r="Q103" s="107">
        <f t="shared" ca="1" si="94"/>
        <v>0</v>
      </c>
      <c r="R103" s="107">
        <f t="shared" si="95"/>
        <v>0</v>
      </c>
      <c r="S103" s="107">
        <f t="shared" ca="1" si="96"/>
        <v>0</v>
      </c>
      <c r="T103" s="107">
        <f t="shared" ca="1" si="97"/>
        <v>0</v>
      </c>
      <c r="U103" s="107">
        <f t="shared" ca="1" si="98"/>
        <v>0</v>
      </c>
      <c r="V103" s="107">
        <f t="shared" ca="1" si="99"/>
        <v>0</v>
      </c>
      <c r="W103" s="107">
        <f t="shared" ca="1" si="100"/>
        <v>0</v>
      </c>
      <c r="X103" s="107">
        <f t="shared" ca="1" si="101"/>
        <v>0</v>
      </c>
      <c r="Y103" s="101">
        <f t="shared" ca="1" si="102"/>
        <v>0</v>
      </c>
      <c r="Z103" s="107">
        <f t="shared" ca="1" si="103"/>
        <v>0</v>
      </c>
      <c r="AA103" s="107">
        <f t="shared" ca="1" si="104"/>
        <v>0</v>
      </c>
      <c r="AB103" s="106" t="e">
        <f t="shared" ca="1" si="105"/>
        <v>#REF!</v>
      </c>
      <c r="AC103" s="107" t="e">
        <f t="shared" ca="1" si="106"/>
        <v>#REF!</v>
      </c>
      <c r="AD103" s="107" t="e">
        <f t="array" aca="1" ref="AD103" ca="1">-(VLOOKUP(AC103, LT_IncomeTaxFed/$K103:$O103, 2, TRUE)+VLOOKUP(AC103,LT_IncomeTaxFed/$K103:$O103,3,TRUE)*(AC103-VLOOKUP(AC103,LT_IncomeTaxFed/$K103:$O103,1,TRUE)))</f>
        <v>#REF!</v>
      </c>
      <c r="AE103" s="107" t="e">
        <f t="array" aca="1" ref="AE103" ca="1">-(VLOOKUP($AC103+$X103, LT_IncomeTaxFed/$K103:$O103, 4, TRUE)+VLOOKUP($AC103+$X103,LT_IncomeTaxFed/$K103:$O103,5,TRUE)*($AC103+$X103-VLOOKUP($AC103+$X103,LT_IncomeTaxFed/$K103:$O103,1,TRUE)))+(VLOOKUP($AC103, LT_IncomeTaxFed/$K103:$O103, 4, TRUE)+VLOOKUP($AC103,LT_IncomeTaxFed/$K103:$O103,5,TRUE)*($AC103-VLOOKUP($AC103,LT_IncomeTaxFed/$K103:$O103,1,TRUE)))</f>
        <v>#REF!</v>
      </c>
      <c r="AF103" s="106" t="e">
        <f t="shared" ca="1" si="107"/>
        <v>#REF!</v>
      </c>
      <c r="AG103" s="107" t="e">
        <f t="shared" ca="1" si="108"/>
        <v>#REF!</v>
      </c>
      <c r="AH103" s="91" t="e">
        <f t="array" aca="1" ref="AH103" ca="1">IF(AG103&gt;0,(VLOOKUP(AG103, LT_IncomeTaxFed/$K103:$O103, 2, TRUE)+VLOOKUP(AG103,LT_IncomeTaxFed/$K103:$O103,3,TRUE)*(AG103-VLOOKUP(AG103,LT_IncomeTaxFed/$K103:$O103,1,TRUE)))/AG103,0)</f>
        <v>#REF!</v>
      </c>
      <c r="AI103" s="110" t="e">
        <f t="shared" ca="1" si="109"/>
        <v>#REF!</v>
      </c>
      <c r="AJ103" s="634"/>
      <c r="AK103" s="668"/>
    </row>
    <row r="104" spans="2:37" x14ac:dyDescent="0.25">
      <c r="B104" s="65">
        <f ca="1">B102+1</f>
        <v>2069</v>
      </c>
      <c r="C104" s="76" t="s">
        <v>741</v>
      </c>
      <c r="D104" s="146" t="str">
        <f t="shared" si="88"/>
        <v/>
      </c>
      <c r="E104" s="77">
        <f t="shared" ref="E104:E135" si="126">INDEX(SC_TaxIndex,$G104)</f>
        <v>0</v>
      </c>
      <c r="F104" s="77" t="b">
        <f t="shared" si="89"/>
        <v>0</v>
      </c>
      <c r="G104" s="77">
        <f t="shared" si="87"/>
        <v>1</v>
      </c>
      <c r="H104" s="76">
        <f t="shared" si="90"/>
        <v>1</v>
      </c>
      <c r="I104" s="4">
        <f t="shared" si="91"/>
        <v>0</v>
      </c>
      <c r="J104" s="77">
        <f t="shared" si="92"/>
        <v>0</v>
      </c>
      <c r="K104" s="204">
        <f t="shared" ca="1" si="30"/>
        <v>0.1772389003857455</v>
      </c>
      <c r="L104" s="93">
        <f t="shared" ca="1" si="30"/>
        <v>0.1772389003857455</v>
      </c>
      <c r="M104" s="93">
        <v>1</v>
      </c>
      <c r="N104" s="93">
        <f t="shared" ca="1" si="31"/>
        <v>0.1772389003857455</v>
      </c>
      <c r="O104" s="100">
        <v>1</v>
      </c>
      <c r="P104" s="70">
        <f t="shared" ca="1" si="93"/>
        <v>0</v>
      </c>
      <c r="Q104" s="70">
        <f t="shared" ca="1" si="94"/>
        <v>0</v>
      </c>
      <c r="R104" s="70" t="e">
        <f t="shared" ca="1" si="95"/>
        <v>#REF!</v>
      </c>
      <c r="S104" s="70">
        <f t="shared" ca="1" si="96"/>
        <v>0</v>
      </c>
      <c r="T104" s="70">
        <f t="shared" ca="1" si="97"/>
        <v>0</v>
      </c>
      <c r="U104" s="70" t="e">
        <f t="shared" ca="1" si="98"/>
        <v>#REF!</v>
      </c>
      <c r="V104" s="70">
        <f t="shared" ca="1" si="99"/>
        <v>0</v>
      </c>
      <c r="W104" s="70">
        <f t="shared" ca="1" si="100"/>
        <v>0</v>
      </c>
      <c r="X104" s="70">
        <f t="shared" ca="1" si="101"/>
        <v>0</v>
      </c>
      <c r="Y104" s="98">
        <f t="shared" ca="1" si="102"/>
        <v>0</v>
      </c>
      <c r="Z104" s="70">
        <f t="shared" ca="1" si="103"/>
        <v>0</v>
      </c>
      <c r="AA104" s="70">
        <f t="shared" ca="1" si="104"/>
        <v>0</v>
      </c>
      <c r="AB104" s="409" t="e">
        <f t="shared" ca="1" si="105"/>
        <v>#REF!</v>
      </c>
      <c r="AC104" s="70" t="e">
        <f t="shared" ca="1" si="106"/>
        <v>#REF!</v>
      </c>
      <c r="AD104" s="70" t="e">
        <f t="array" aca="1" ref="AD104" ca="1">-(VLOOKUP(AC104, LT_IncomeTaxFed/$K104:$O104, 2, TRUE)+VLOOKUP(AC104,LT_IncomeTaxFed/$K104:$O104,3,TRUE)*(AC104-VLOOKUP(AC104,LT_IncomeTaxFed/$K104:$O104,1,TRUE)))</f>
        <v>#REF!</v>
      </c>
      <c r="AE104" s="70" t="e">
        <f t="array" aca="1" ref="AE104" ca="1">-(VLOOKUP($AC104+$X104, LT_IncomeTaxFed/$K104:$O104, 4, TRUE)+VLOOKUP($AC104+$X104,LT_IncomeTaxFed/$K104:$O104,5,TRUE)*($AC104+$X104-VLOOKUP($AC104+$X104,LT_IncomeTaxFed/$K104:$O104,1,TRUE)))+(VLOOKUP($AC104, LT_IncomeTaxFed/$K104:$O104, 4, TRUE)+VLOOKUP($AC104,LT_IncomeTaxFed/$K104:$O104,5,TRUE)*($AC104-VLOOKUP($AC104,LT_IncomeTaxFed/$K104:$O104,1,TRUE)))</f>
        <v>#REF!</v>
      </c>
      <c r="AF104" s="75" t="e">
        <f t="shared" ca="1" si="107"/>
        <v>#REF!</v>
      </c>
      <c r="AG104" s="70" t="e">
        <f t="shared" ca="1" si="108"/>
        <v>#REF!</v>
      </c>
      <c r="AH104" s="67" t="e">
        <f t="array" aca="1" ref="AH104" ca="1">IF(AG104&gt;0,(VLOOKUP(AG104, LT_IncomeTaxFed/$K104:$O104, 2, TRUE)+VLOOKUP(AG104,LT_IncomeTaxFed/$K104:$O104,3,TRUE)*(AG104-VLOOKUP(AG104,LT_IncomeTaxFed/$K104:$O104,1,TRUE)))/AG104,0)</f>
        <v>#REF!</v>
      </c>
      <c r="AI104" s="109" t="e">
        <f t="shared" ca="1" si="109"/>
        <v>#REF!</v>
      </c>
      <c r="AJ104" s="634" t="e">
        <f ca="1">SUMPRODUCT($Z104:$Z105+$AA104:$AA105+$AD104:$AD105+$AE104:$AE105+$AI104:$AI105)</f>
        <v>#REF!</v>
      </c>
      <c r="AK104" s="668" t="e">
        <f t="shared" ref="AK104" ca="1" si="127">IF($U104&gt;0, -AJ104/$U104, 0)</f>
        <v>#REF!</v>
      </c>
    </row>
    <row r="105" spans="2:37" x14ac:dyDescent="0.25">
      <c r="B105" s="86">
        <f t="shared" ca="1" si="111"/>
        <v>2069</v>
      </c>
      <c r="C105" s="80" t="s">
        <v>741</v>
      </c>
      <c r="D105" s="147" t="str">
        <f t="shared" si="88"/>
        <v/>
      </c>
      <c r="E105" s="81">
        <f t="shared" si="126"/>
        <v>0</v>
      </c>
      <c r="F105" s="81" t="b">
        <f t="shared" si="89"/>
        <v>0</v>
      </c>
      <c r="G105" s="81">
        <f t="shared" si="87"/>
        <v>2</v>
      </c>
      <c r="H105" s="82">
        <f t="shared" si="90"/>
        <v>-1</v>
      </c>
      <c r="I105" s="35">
        <f t="shared" si="91"/>
        <v>0</v>
      </c>
      <c r="J105" s="81">
        <f t="shared" si="92"/>
        <v>0</v>
      </c>
      <c r="K105" s="205">
        <f t="shared" ca="1" si="30"/>
        <v>0.1772389003857455</v>
      </c>
      <c r="L105" s="95">
        <f t="shared" ca="1" si="30"/>
        <v>0.1772389003857455</v>
      </c>
      <c r="M105" s="95">
        <v>1</v>
      </c>
      <c r="N105" s="95">
        <f t="shared" ca="1" si="31"/>
        <v>0.1772389003857455</v>
      </c>
      <c r="O105" s="206">
        <v>1</v>
      </c>
      <c r="P105" s="107">
        <f t="shared" ca="1" si="93"/>
        <v>0</v>
      </c>
      <c r="Q105" s="107">
        <f t="shared" ca="1" si="94"/>
        <v>0</v>
      </c>
      <c r="R105" s="107">
        <f t="shared" si="95"/>
        <v>0</v>
      </c>
      <c r="S105" s="107">
        <f t="shared" ca="1" si="96"/>
        <v>0</v>
      </c>
      <c r="T105" s="107">
        <f t="shared" ca="1" si="97"/>
        <v>0</v>
      </c>
      <c r="U105" s="107">
        <f t="shared" ca="1" si="98"/>
        <v>0</v>
      </c>
      <c r="V105" s="107">
        <f t="shared" ca="1" si="99"/>
        <v>0</v>
      </c>
      <c r="W105" s="107">
        <f t="shared" ca="1" si="100"/>
        <v>0</v>
      </c>
      <c r="X105" s="107">
        <f t="shared" ca="1" si="101"/>
        <v>0</v>
      </c>
      <c r="Y105" s="101">
        <f t="shared" ca="1" si="102"/>
        <v>0</v>
      </c>
      <c r="Z105" s="107">
        <f t="shared" ca="1" si="103"/>
        <v>0</v>
      </c>
      <c r="AA105" s="107">
        <f t="shared" ca="1" si="104"/>
        <v>0</v>
      </c>
      <c r="AB105" s="106" t="e">
        <f t="shared" ca="1" si="105"/>
        <v>#REF!</v>
      </c>
      <c r="AC105" s="107" t="e">
        <f t="shared" ca="1" si="106"/>
        <v>#REF!</v>
      </c>
      <c r="AD105" s="107" t="e">
        <f t="array" aca="1" ref="AD105" ca="1">-(VLOOKUP(AC105, LT_IncomeTaxFed/$K105:$O105, 2, TRUE)+VLOOKUP(AC105,LT_IncomeTaxFed/$K105:$O105,3,TRUE)*(AC105-VLOOKUP(AC105,LT_IncomeTaxFed/$K105:$O105,1,TRUE)))</f>
        <v>#REF!</v>
      </c>
      <c r="AE105" s="107" t="e">
        <f t="array" aca="1" ref="AE105" ca="1">-(VLOOKUP($AC105+$X105, LT_IncomeTaxFed/$K105:$O105, 4, TRUE)+VLOOKUP($AC105+$X105,LT_IncomeTaxFed/$K105:$O105,5,TRUE)*($AC105+$X105-VLOOKUP($AC105+$X105,LT_IncomeTaxFed/$K105:$O105,1,TRUE)))+(VLOOKUP($AC105, LT_IncomeTaxFed/$K105:$O105, 4, TRUE)+VLOOKUP($AC105,LT_IncomeTaxFed/$K105:$O105,5,TRUE)*($AC105-VLOOKUP($AC105,LT_IncomeTaxFed/$K105:$O105,1,TRUE)))</f>
        <v>#REF!</v>
      </c>
      <c r="AF105" s="106" t="e">
        <f t="shared" ca="1" si="107"/>
        <v>#REF!</v>
      </c>
      <c r="AG105" s="107" t="e">
        <f t="shared" ca="1" si="108"/>
        <v>#REF!</v>
      </c>
      <c r="AH105" s="91" t="e">
        <f t="array" aca="1" ref="AH105" ca="1">IF(AG105&gt;0,(VLOOKUP(AG105, LT_IncomeTaxFed/$K105:$O105, 2, TRUE)+VLOOKUP(AG105,LT_IncomeTaxFed/$K105:$O105,3,TRUE)*(AG105-VLOOKUP(AG105,LT_IncomeTaxFed/$K105:$O105,1,TRUE)))/AG105,0)</f>
        <v>#REF!</v>
      </c>
      <c r="AI105" s="110" t="e">
        <f t="shared" ca="1" si="109"/>
        <v>#REF!</v>
      </c>
      <c r="AJ105" s="634"/>
      <c r="AK105" s="668"/>
    </row>
    <row r="106" spans="2:37" x14ac:dyDescent="0.25">
      <c r="B106" s="65">
        <f ca="1">B104+1</f>
        <v>2070</v>
      </c>
      <c r="C106" s="76" t="s">
        <v>741</v>
      </c>
      <c r="D106" s="146" t="str">
        <f t="shared" ref="D106:D137" si="128">INDEX(SP_Initials,G106)</f>
        <v/>
      </c>
      <c r="E106" s="77">
        <f t="shared" si="126"/>
        <v>0</v>
      </c>
      <c r="F106" s="77" t="b">
        <f t="shared" ref="F106:F137" si="129">G106=E106</f>
        <v>0</v>
      </c>
      <c r="G106" s="77">
        <f t="shared" si="87"/>
        <v>1</v>
      </c>
      <c r="H106" s="76">
        <f t="shared" ref="H106:H137" si="130">MOD($G106,2)-($G106-1)</f>
        <v>1</v>
      </c>
      <c r="I106" s="4">
        <f t="shared" ref="I106:I137" si="131">IF(INDEX(SC_ShowRetireatee,$G106),IF($B106&lt;YEAR(INDEX(SP_BirthDate,$G106)),0,$B106-YEAR(INDEX(SP_BirthDate,$G106))),0)</f>
        <v>0</v>
      </c>
      <c r="J106" s="77">
        <f t="shared" ref="J106:J137" si="132">IF(INDEX(SC_ShowRetireatee,$G106),IF($B106&lt;YEAR(INDEX(SP_BirthDate,$G106)),0,IF($B106&gt;(YEAR(INDEX(SP_BirthDate,$G106))+INDEX(SP_LifeExp,$G106)),0,$B106-YEAR(INDEX(SP_BirthDate,$G106)))),0)</f>
        <v>0</v>
      </c>
      <c r="K106" s="204">
        <f t="shared" ca="1" si="30"/>
        <v>0.17083267507059804</v>
      </c>
      <c r="L106" s="93">
        <f t="shared" ca="1" si="30"/>
        <v>0.17083267507059804</v>
      </c>
      <c r="M106" s="93">
        <v>1</v>
      </c>
      <c r="N106" s="93">
        <f t="shared" ca="1" si="31"/>
        <v>0.17083267507059804</v>
      </c>
      <c r="O106" s="100">
        <v>1</v>
      </c>
      <c r="P106" s="70">
        <f t="shared" ref="P106:P137" ca="1" si="133">SUMIF($E$8:$E$9,$G106,OFFSET(SC_EX_IncomeActiveT,EXIDX1-1,0,2,1))+SUMIF($E$8:$E$9,$G106,OFFSET(SC_EX_IncomePassiveT,EXIDX1-1,0,2,1))</f>
        <v>0</v>
      </c>
      <c r="Q106" s="70">
        <f t="shared" ref="Q106:Q137" ca="1" si="134">SUMIF($E$8:$E$9,$G106,OFFSET(SC_ZX_IncomeCapitalT,ZXIDX1-1,0,2,1))</f>
        <v>0</v>
      </c>
      <c r="R106" s="70" t="e">
        <f t="shared" ref="R106:R137" ca="1" si="135">IF($G106=1,INDEX(SC_ZA_IncomeAnnyT,ZAIDX),0)</f>
        <v>#REF!</v>
      </c>
      <c r="S106" s="70">
        <f t="shared" ref="S106:S137" ca="1" si="136">SUMIF($E$8:$E$9,$G106,OFFSET(SC_ZX_SSRIB,ZXIDX1-1,0,2,1))</f>
        <v>0</v>
      </c>
      <c r="T106" s="70">
        <f t="shared" ref="T106:T137" ca="1" si="137">SUMIF($E$8:$E$9,$G106,OFFSET(SC_ZX_IRAContribD,ZXIDX1-1,0,2,1))</f>
        <v>0</v>
      </c>
      <c r="U106" s="70" t="e">
        <f t="shared" ref="U106:U137" ca="1" si="138">MAX(SUM($P106:$T106),0)</f>
        <v>#REF!</v>
      </c>
      <c r="V106" s="70">
        <f t="shared" ref="V106:V137" ca="1" si="139">P106+Q106+$S106/2</f>
        <v>0</v>
      </c>
      <c r="W106" s="70">
        <f t="shared" ref="W106:W137" ca="1" si="140">MIN(VLOOKUP($V106, LT_SSBases, 2, TRUE)+VLOOKUP($V106,LT_SSBases,3,TRUE)*($V106-VLOOKUP($V106,LT_SSBases,1,TRUE)),$S106*0.85)</f>
        <v>0</v>
      </c>
      <c r="X106" s="70">
        <f t="shared" ref="X106:X137" ca="1" si="141">SUMIF($E$8:$E$9,$G106,OFFSET(SC_ZX_LTCapitalGains,ZXIDX1-1,0,2,1))</f>
        <v>0</v>
      </c>
      <c r="Y106" s="98">
        <f t="shared" ref="Y106:Y137" ca="1" si="142">COUNTIF(SC_TaxIndex,$G106)+SUMIF(SC_TaxIndex,$G106,SP_Dependents)</f>
        <v>0</v>
      </c>
      <c r="Z106" s="70">
        <f t="shared" ref="Z106:Z137" ca="1" si="143">-LT_SSRate*SUMIF($E$8:$E$9,$G106,OFFSET(SC_EX_SSWages,EXIDX1-1,0,2,1))-LT_MedicareRate*SUMIF($E$8:$E$9,$G106,OFFSET(SC_EX_MedicareWages,EXIDX1-1,0,2,1))</f>
        <v>0</v>
      </c>
      <c r="AA106" s="70">
        <f t="shared" ref="AA106:AA137" ca="1" si="144">-LT_SSRate*2*SUMIF($E$8:$E$9,$G106,OFFSET(SC_EX_SSWagesSE,EXIDX1-1,0,2,1))-LT_MedicareRate*2*SUMIF($E$8:$E$9,$G106,OFFSET(SC_EX_MedicareWagesSE,EXIDX1-1,0,2,1))</f>
        <v>0</v>
      </c>
      <c r="AB106" s="409" t="e">
        <f t="shared" ref="AB106:AB137" ca="1" si="145">SUMIF($E$8:$E$9,$G106,OFFSET(SC_ExpensesLivingPF,0,1-ROUND(ABS(INDEX(SC_EX_APW,EXIDX)),0),2,1))/INDEX(SC_EA_InflationCPIdx,EAIDX)*12+MIN(SUMIF($E$8:$E$9,$G106,OFFSET(SC_ExpensesLivingD,0,1-ROUND(ABS(INDEX(SC_EX_APW,EXIDX)),0),2,1))/INDEX(SC_EA_InflationCPIdx,EAIDX)*12+SUMIF(SC_TaxIndex,$G106,OFFSET(SC_ZA_ExpensesHomeD, ZAIDX-1, 0))+$AI106,-LT_StandardDeduction/$K106)</f>
        <v>#REF!</v>
      </c>
      <c r="AC106" s="70" t="e">
        <f t="shared" ref="AC106:AC137" ca="1" si="146">MAX($P106+$Q106+$R106+$T106+$W106-$X106-$Y106*LT_PersonalExemptAmt/$K106+$AA106/2+$AB106,0)</f>
        <v>#REF!</v>
      </c>
      <c r="AD106" s="70" t="e">
        <f t="array" aca="1" ref="AD106" ca="1">-(VLOOKUP(AC106, LT_IncomeTaxFed/$K106:$O106, 2, TRUE)+VLOOKUP(AC106,LT_IncomeTaxFed/$K106:$O106,3,TRUE)*(AC106-VLOOKUP(AC106,LT_IncomeTaxFed/$K106:$O106,1,TRUE)))</f>
        <v>#REF!</v>
      </c>
      <c r="AE106" s="70" t="e">
        <f t="array" aca="1" ref="AE106" ca="1">-(VLOOKUP($AC106+$X106, LT_IncomeTaxFed/$K106:$O106, 4, TRUE)+VLOOKUP($AC106+$X106,LT_IncomeTaxFed/$K106:$O106,5,TRUE)*($AC106+$X106-VLOOKUP($AC106+$X106,LT_IncomeTaxFed/$K106:$O106,1,TRUE)))+(VLOOKUP($AC106, LT_IncomeTaxFed/$K106:$O106, 4, TRUE)+VLOOKUP($AC106,LT_IncomeTaxFed/$K106:$O106,5,TRUE)*($AC106-VLOOKUP($AC106,LT_IncomeTaxFed/$K106:$O106,1,TRUE)))</f>
        <v>#REF!</v>
      </c>
      <c r="AF106" s="75" t="e">
        <f t="shared" ref="AF106:AF137" ca="1" si="147">SUMIF($E$8:$E$9,$G106,OFFSET(SC_ExpensesLivingPF,0,1-ROUND(ABS(INDEX(SC_EX_APW,EXIDX)),0),2,1))/INDEX(SC_EA_InflationCPIdx,EAIDX)*12+MIN(SUMIF($E$8:$E$9,$G106,OFFSET(SC_ExpensesLivingD,0,1-ROUND(ABS(INDEX(SC_EX_APW,EXIDX)),0),2,1))/INDEX(SC_EA_InflationCPIdx,EAIDX)*12+SUMIF(SC_TaxIndex,$G106,OFFSET(SC_ZA_ExpensesHomeD, ZAIDX-1, 0)),-LT_StandardDeduction/$K106)</f>
        <v>#REF!</v>
      </c>
      <c r="AG106" s="70" t="e">
        <f t="shared" ref="AG106:AG137" ca="1" si="148">MAX($P106+$Q106+$R106+$T106+IF(VLOOKUP(SP_Taxes, LT_StateTax, 5, FALSE),$W106,0)-$Y106*LT_PersonalExemptAmt/$K106+$AA106/2+$AF106,0)</f>
        <v>#REF!</v>
      </c>
      <c r="AH106" s="67" t="e">
        <f t="array" aca="1" ref="AH106" ca="1">IF(AG106&gt;0,(VLOOKUP(AG106, LT_IncomeTaxFed/$K106:$O106, 2, TRUE)+VLOOKUP(AG106,LT_IncomeTaxFed/$K106:$O106,3,TRUE)*(AG106-VLOOKUP(AG106,LT_IncomeTaxFed/$K106:$O106,1,TRUE)))/AG106,0)</f>
        <v>#REF!</v>
      </c>
      <c r="AI106" s="109" t="e">
        <f t="shared" ref="AI106:AI137" ca="1" si="149">IF(AG106&gt;0,AG106*-(VLOOKUP(SP_Taxes, LT_StateTax, 2, FALSE)*POWER(AH106,2)+VLOOKUP(SP_Taxes, LT_StateTax, 3, FALSE)*AH106+VLOOKUP(SP_Taxes, LT_StateTax, 4, FALSE)),0)</f>
        <v>#REF!</v>
      </c>
      <c r="AJ106" s="634" t="e">
        <f ca="1">SUMPRODUCT($Z106:$Z107+$AA106:$AA107+$AD106:$AD107+$AE106:$AE107+$AI106:$AI107)</f>
        <v>#REF!</v>
      </c>
      <c r="AK106" s="668" t="e">
        <f t="shared" ref="AK106" ca="1" si="150">IF($U106&gt;0, -AJ106/$U106, 0)</f>
        <v>#REF!</v>
      </c>
    </row>
    <row r="107" spans="2:37" x14ac:dyDescent="0.25">
      <c r="B107" s="86">
        <f t="shared" ca="1" si="111"/>
        <v>2070</v>
      </c>
      <c r="C107" s="80" t="s">
        <v>741</v>
      </c>
      <c r="D107" s="147" t="str">
        <f t="shared" si="128"/>
        <v/>
      </c>
      <c r="E107" s="81">
        <f t="shared" si="126"/>
        <v>0</v>
      </c>
      <c r="F107" s="81" t="b">
        <f t="shared" si="129"/>
        <v>0</v>
      </c>
      <c r="G107" s="81">
        <f t="shared" si="87"/>
        <v>2</v>
      </c>
      <c r="H107" s="82">
        <f t="shared" si="130"/>
        <v>-1</v>
      </c>
      <c r="I107" s="35">
        <f t="shared" si="131"/>
        <v>0</v>
      </c>
      <c r="J107" s="81">
        <f t="shared" si="132"/>
        <v>0</v>
      </c>
      <c r="K107" s="205">
        <f t="shared" ca="1" si="30"/>
        <v>0.17083267507059804</v>
      </c>
      <c r="L107" s="95">
        <f t="shared" ca="1" si="30"/>
        <v>0.17083267507059804</v>
      </c>
      <c r="M107" s="95">
        <v>1</v>
      </c>
      <c r="N107" s="95">
        <f t="shared" ca="1" si="31"/>
        <v>0.17083267507059804</v>
      </c>
      <c r="O107" s="206">
        <v>1</v>
      </c>
      <c r="P107" s="107">
        <f t="shared" ca="1" si="133"/>
        <v>0</v>
      </c>
      <c r="Q107" s="107">
        <f t="shared" ca="1" si="134"/>
        <v>0</v>
      </c>
      <c r="R107" s="107">
        <f t="shared" si="135"/>
        <v>0</v>
      </c>
      <c r="S107" s="107">
        <f t="shared" ca="1" si="136"/>
        <v>0</v>
      </c>
      <c r="T107" s="107">
        <f t="shared" ca="1" si="137"/>
        <v>0</v>
      </c>
      <c r="U107" s="107">
        <f t="shared" ca="1" si="138"/>
        <v>0</v>
      </c>
      <c r="V107" s="107">
        <f t="shared" ca="1" si="139"/>
        <v>0</v>
      </c>
      <c r="W107" s="107">
        <f t="shared" ca="1" si="140"/>
        <v>0</v>
      </c>
      <c r="X107" s="107">
        <f t="shared" ca="1" si="141"/>
        <v>0</v>
      </c>
      <c r="Y107" s="101">
        <f t="shared" ca="1" si="142"/>
        <v>0</v>
      </c>
      <c r="Z107" s="107">
        <f t="shared" ca="1" si="143"/>
        <v>0</v>
      </c>
      <c r="AA107" s="107">
        <f t="shared" ca="1" si="144"/>
        <v>0</v>
      </c>
      <c r="AB107" s="106" t="e">
        <f t="shared" ca="1" si="145"/>
        <v>#REF!</v>
      </c>
      <c r="AC107" s="107" t="e">
        <f t="shared" ca="1" si="146"/>
        <v>#REF!</v>
      </c>
      <c r="AD107" s="107" t="e">
        <f t="array" aca="1" ref="AD107" ca="1">-(VLOOKUP(AC107, LT_IncomeTaxFed/$K107:$O107, 2, TRUE)+VLOOKUP(AC107,LT_IncomeTaxFed/$K107:$O107,3,TRUE)*(AC107-VLOOKUP(AC107,LT_IncomeTaxFed/$K107:$O107,1,TRUE)))</f>
        <v>#REF!</v>
      </c>
      <c r="AE107" s="107" t="e">
        <f t="array" aca="1" ref="AE107" ca="1">-(VLOOKUP($AC107+$X107, LT_IncomeTaxFed/$K107:$O107, 4, TRUE)+VLOOKUP($AC107+$X107,LT_IncomeTaxFed/$K107:$O107,5,TRUE)*($AC107+$X107-VLOOKUP($AC107+$X107,LT_IncomeTaxFed/$K107:$O107,1,TRUE)))+(VLOOKUP($AC107, LT_IncomeTaxFed/$K107:$O107, 4, TRUE)+VLOOKUP($AC107,LT_IncomeTaxFed/$K107:$O107,5,TRUE)*($AC107-VLOOKUP($AC107,LT_IncomeTaxFed/$K107:$O107,1,TRUE)))</f>
        <v>#REF!</v>
      </c>
      <c r="AF107" s="106" t="e">
        <f t="shared" ca="1" si="147"/>
        <v>#REF!</v>
      </c>
      <c r="AG107" s="107" t="e">
        <f t="shared" ca="1" si="148"/>
        <v>#REF!</v>
      </c>
      <c r="AH107" s="91" t="e">
        <f t="array" aca="1" ref="AH107" ca="1">IF(AG107&gt;0,(VLOOKUP(AG107, LT_IncomeTaxFed/$K107:$O107, 2, TRUE)+VLOOKUP(AG107,LT_IncomeTaxFed/$K107:$O107,3,TRUE)*(AG107-VLOOKUP(AG107,LT_IncomeTaxFed/$K107:$O107,1,TRUE)))/AG107,0)</f>
        <v>#REF!</v>
      </c>
      <c r="AI107" s="110" t="e">
        <f t="shared" ca="1" si="149"/>
        <v>#REF!</v>
      </c>
      <c r="AJ107" s="634"/>
      <c r="AK107" s="668"/>
    </row>
    <row r="108" spans="2:37" x14ac:dyDescent="0.25">
      <c r="B108" s="65">
        <f ca="1">B106+1</f>
        <v>2071</v>
      </c>
      <c r="C108" s="76" t="s">
        <v>741</v>
      </c>
      <c r="D108" s="146" t="str">
        <f t="shared" si="128"/>
        <v/>
      </c>
      <c r="E108" s="77">
        <f t="shared" si="126"/>
        <v>0</v>
      </c>
      <c r="F108" s="77" t="b">
        <f t="shared" si="129"/>
        <v>0</v>
      </c>
      <c r="G108" s="77">
        <f t="shared" si="87"/>
        <v>1</v>
      </c>
      <c r="H108" s="76">
        <f t="shared" si="130"/>
        <v>1</v>
      </c>
      <c r="I108" s="4">
        <f t="shared" si="131"/>
        <v>0</v>
      </c>
      <c r="J108" s="77">
        <f t="shared" si="132"/>
        <v>0</v>
      </c>
      <c r="K108" s="204">
        <f t="shared" ca="1" si="30"/>
        <v>0.16465800006804629</v>
      </c>
      <c r="L108" s="93">
        <f t="shared" ca="1" si="30"/>
        <v>0.16465800006804629</v>
      </c>
      <c r="M108" s="93">
        <v>1</v>
      </c>
      <c r="N108" s="93">
        <f t="shared" ca="1" si="31"/>
        <v>0.16465800006804629</v>
      </c>
      <c r="O108" s="100">
        <v>1</v>
      </c>
      <c r="P108" s="70">
        <f t="shared" ca="1" si="133"/>
        <v>0</v>
      </c>
      <c r="Q108" s="70">
        <f t="shared" ca="1" si="134"/>
        <v>0</v>
      </c>
      <c r="R108" s="70" t="e">
        <f t="shared" ca="1" si="135"/>
        <v>#REF!</v>
      </c>
      <c r="S108" s="70">
        <f t="shared" ca="1" si="136"/>
        <v>0</v>
      </c>
      <c r="T108" s="70">
        <f t="shared" ca="1" si="137"/>
        <v>0</v>
      </c>
      <c r="U108" s="70" t="e">
        <f t="shared" ca="1" si="138"/>
        <v>#REF!</v>
      </c>
      <c r="V108" s="70">
        <f t="shared" ca="1" si="139"/>
        <v>0</v>
      </c>
      <c r="W108" s="70">
        <f t="shared" ca="1" si="140"/>
        <v>0</v>
      </c>
      <c r="X108" s="70">
        <f t="shared" ca="1" si="141"/>
        <v>0</v>
      </c>
      <c r="Y108" s="98">
        <f t="shared" ca="1" si="142"/>
        <v>0</v>
      </c>
      <c r="Z108" s="70">
        <f t="shared" ca="1" si="143"/>
        <v>0</v>
      </c>
      <c r="AA108" s="70">
        <f t="shared" ca="1" si="144"/>
        <v>0</v>
      </c>
      <c r="AB108" s="409" t="e">
        <f t="shared" ca="1" si="145"/>
        <v>#REF!</v>
      </c>
      <c r="AC108" s="70" t="e">
        <f t="shared" ca="1" si="146"/>
        <v>#REF!</v>
      </c>
      <c r="AD108" s="70" t="e">
        <f t="array" aca="1" ref="AD108" ca="1">-(VLOOKUP(AC108, LT_IncomeTaxFed/$K108:$O108, 2, TRUE)+VLOOKUP(AC108,LT_IncomeTaxFed/$K108:$O108,3,TRUE)*(AC108-VLOOKUP(AC108,LT_IncomeTaxFed/$K108:$O108,1,TRUE)))</f>
        <v>#REF!</v>
      </c>
      <c r="AE108" s="70" t="e">
        <f t="array" aca="1" ref="AE108" ca="1">-(VLOOKUP($AC108+$X108, LT_IncomeTaxFed/$K108:$O108, 4, TRUE)+VLOOKUP($AC108+$X108,LT_IncomeTaxFed/$K108:$O108,5,TRUE)*($AC108+$X108-VLOOKUP($AC108+$X108,LT_IncomeTaxFed/$K108:$O108,1,TRUE)))+(VLOOKUP($AC108, LT_IncomeTaxFed/$K108:$O108, 4, TRUE)+VLOOKUP($AC108,LT_IncomeTaxFed/$K108:$O108,5,TRUE)*($AC108-VLOOKUP($AC108,LT_IncomeTaxFed/$K108:$O108,1,TRUE)))</f>
        <v>#REF!</v>
      </c>
      <c r="AF108" s="75" t="e">
        <f t="shared" ca="1" si="147"/>
        <v>#REF!</v>
      </c>
      <c r="AG108" s="70" t="e">
        <f t="shared" ca="1" si="148"/>
        <v>#REF!</v>
      </c>
      <c r="AH108" s="67" t="e">
        <f t="array" aca="1" ref="AH108" ca="1">IF(AG108&gt;0,(VLOOKUP(AG108, LT_IncomeTaxFed/$K108:$O108, 2, TRUE)+VLOOKUP(AG108,LT_IncomeTaxFed/$K108:$O108,3,TRUE)*(AG108-VLOOKUP(AG108,LT_IncomeTaxFed/$K108:$O108,1,TRUE)))/AG108,0)</f>
        <v>#REF!</v>
      </c>
      <c r="AI108" s="109" t="e">
        <f t="shared" ca="1" si="149"/>
        <v>#REF!</v>
      </c>
      <c r="AJ108" s="634" t="e">
        <f ca="1">SUMPRODUCT($Z108:$Z109+$AA108:$AA109+$AD108:$AD109+$AE108:$AE109+$AI108:$AI109)</f>
        <v>#REF!</v>
      </c>
      <c r="AK108" s="668" t="e">
        <f t="shared" ref="AK108" ca="1" si="151">IF($U108&gt;0, -AJ108/$U108, 0)</f>
        <v>#REF!</v>
      </c>
    </row>
    <row r="109" spans="2:37" x14ac:dyDescent="0.25">
      <c r="B109" s="86">
        <f t="shared" ca="1" si="111"/>
        <v>2071</v>
      </c>
      <c r="C109" s="80" t="s">
        <v>741</v>
      </c>
      <c r="D109" s="147" t="str">
        <f t="shared" si="128"/>
        <v/>
      </c>
      <c r="E109" s="81">
        <f t="shared" si="126"/>
        <v>0</v>
      </c>
      <c r="F109" s="81" t="b">
        <f t="shared" si="129"/>
        <v>0</v>
      </c>
      <c r="G109" s="81">
        <f t="shared" si="87"/>
        <v>2</v>
      </c>
      <c r="H109" s="82">
        <f t="shared" si="130"/>
        <v>-1</v>
      </c>
      <c r="I109" s="35">
        <f t="shared" si="131"/>
        <v>0</v>
      </c>
      <c r="J109" s="81">
        <f t="shared" si="132"/>
        <v>0</v>
      </c>
      <c r="K109" s="205">
        <f t="shared" ca="1" si="30"/>
        <v>0.16465800006804629</v>
      </c>
      <c r="L109" s="95">
        <f t="shared" ca="1" si="30"/>
        <v>0.16465800006804629</v>
      </c>
      <c r="M109" s="95">
        <v>1</v>
      </c>
      <c r="N109" s="95">
        <f t="shared" ca="1" si="31"/>
        <v>0.16465800006804629</v>
      </c>
      <c r="O109" s="206">
        <v>1</v>
      </c>
      <c r="P109" s="107">
        <f t="shared" ca="1" si="133"/>
        <v>0</v>
      </c>
      <c r="Q109" s="107">
        <f t="shared" ca="1" si="134"/>
        <v>0</v>
      </c>
      <c r="R109" s="107">
        <f t="shared" si="135"/>
        <v>0</v>
      </c>
      <c r="S109" s="107">
        <f t="shared" ca="1" si="136"/>
        <v>0</v>
      </c>
      <c r="T109" s="107">
        <f t="shared" ca="1" si="137"/>
        <v>0</v>
      </c>
      <c r="U109" s="107">
        <f t="shared" ca="1" si="138"/>
        <v>0</v>
      </c>
      <c r="V109" s="107">
        <f t="shared" ca="1" si="139"/>
        <v>0</v>
      </c>
      <c r="W109" s="107">
        <f t="shared" ca="1" si="140"/>
        <v>0</v>
      </c>
      <c r="X109" s="107">
        <f t="shared" ca="1" si="141"/>
        <v>0</v>
      </c>
      <c r="Y109" s="101">
        <f t="shared" ca="1" si="142"/>
        <v>0</v>
      </c>
      <c r="Z109" s="107">
        <f t="shared" ca="1" si="143"/>
        <v>0</v>
      </c>
      <c r="AA109" s="107">
        <f t="shared" ca="1" si="144"/>
        <v>0</v>
      </c>
      <c r="AB109" s="106" t="e">
        <f t="shared" ca="1" si="145"/>
        <v>#REF!</v>
      </c>
      <c r="AC109" s="107" t="e">
        <f t="shared" ca="1" si="146"/>
        <v>#REF!</v>
      </c>
      <c r="AD109" s="107" t="e">
        <f t="array" aca="1" ref="AD109" ca="1">-(VLOOKUP(AC109, LT_IncomeTaxFed/$K109:$O109, 2, TRUE)+VLOOKUP(AC109,LT_IncomeTaxFed/$K109:$O109,3,TRUE)*(AC109-VLOOKUP(AC109,LT_IncomeTaxFed/$K109:$O109,1,TRUE)))</f>
        <v>#REF!</v>
      </c>
      <c r="AE109" s="107" t="e">
        <f t="array" aca="1" ref="AE109" ca="1">-(VLOOKUP($AC109+$X109, LT_IncomeTaxFed/$K109:$O109, 4, TRUE)+VLOOKUP($AC109+$X109,LT_IncomeTaxFed/$K109:$O109,5,TRUE)*($AC109+$X109-VLOOKUP($AC109+$X109,LT_IncomeTaxFed/$K109:$O109,1,TRUE)))+(VLOOKUP($AC109, LT_IncomeTaxFed/$K109:$O109, 4, TRUE)+VLOOKUP($AC109,LT_IncomeTaxFed/$K109:$O109,5,TRUE)*($AC109-VLOOKUP($AC109,LT_IncomeTaxFed/$K109:$O109,1,TRUE)))</f>
        <v>#REF!</v>
      </c>
      <c r="AF109" s="106" t="e">
        <f t="shared" ca="1" si="147"/>
        <v>#REF!</v>
      </c>
      <c r="AG109" s="107" t="e">
        <f t="shared" ca="1" si="148"/>
        <v>#REF!</v>
      </c>
      <c r="AH109" s="91" t="e">
        <f t="array" aca="1" ref="AH109" ca="1">IF(AG109&gt;0,(VLOOKUP(AG109, LT_IncomeTaxFed/$K109:$O109, 2, TRUE)+VLOOKUP(AG109,LT_IncomeTaxFed/$K109:$O109,3,TRUE)*(AG109-VLOOKUP(AG109,LT_IncomeTaxFed/$K109:$O109,1,TRUE)))/AG109,0)</f>
        <v>#REF!</v>
      </c>
      <c r="AI109" s="110" t="e">
        <f t="shared" ca="1" si="149"/>
        <v>#REF!</v>
      </c>
      <c r="AJ109" s="634"/>
      <c r="AK109" s="668"/>
    </row>
    <row r="110" spans="2:37" x14ac:dyDescent="0.25">
      <c r="B110" s="65">
        <f ca="1">B108+1</f>
        <v>2072</v>
      </c>
      <c r="C110" s="76" t="s">
        <v>741</v>
      </c>
      <c r="D110" s="146" t="str">
        <f t="shared" si="128"/>
        <v/>
      </c>
      <c r="E110" s="77">
        <f t="shared" si="126"/>
        <v>0</v>
      </c>
      <c r="F110" s="77" t="b">
        <f t="shared" si="129"/>
        <v>0</v>
      </c>
      <c r="G110" s="77">
        <f t="shared" si="87"/>
        <v>1</v>
      </c>
      <c r="H110" s="76">
        <f t="shared" si="130"/>
        <v>1</v>
      </c>
      <c r="I110" s="4">
        <f t="shared" si="131"/>
        <v>0</v>
      </c>
      <c r="J110" s="77">
        <f t="shared" si="132"/>
        <v>0</v>
      </c>
      <c r="K110" s="204">
        <f t="shared" ca="1" si="30"/>
        <v>0.15870650608968315</v>
      </c>
      <c r="L110" s="93">
        <f t="shared" ca="1" si="30"/>
        <v>0.15870650608968315</v>
      </c>
      <c r="M110" s="93">
        <v>1</v>
      </c>
      <c r="N110" s="93">
        <f t="shared" ca="1" si="31"/>
        <v>0.15870650608968315</v>
      </c>
      <c r="O110" s="100">
        <v>1</v>
      </c>
      <c r="P110" s="70">
        <f t="shared" ca="1" si="133"/>
        <v>0</v>
      </c>
      <c r="Q110" s="70">
        <f t="shared" ca="1" si="134"/>
        <v>0</v>
      </c>
      <c r="R110" s="70" t="e">
        <f t="shared" ca="1" si="135"/>
        <v>#REF!</v>
      </c>
      <c r="S110" s="70">
        <f t="shared" ca="1" si="136"/>
        <v>0</v>
      </c>
      <c r="T110" s="70">
        <f t="shared" ca="1" si="137"/>
        <v>0</v>
      </c>
      <c r="U110" s="70" t="e">
        <f t="shared" ca="1" si="138"/>
        <v>#REF!</v>
      </c>
      <c r="V110" s="70">
        <f t="shared" ca="1" si="139"/>
        <v>0</v>
      </c>
      <c r="W110" s="70">
        <f t="shared" ca="1" si="140"/>
        <v>0</v>
      </c>
      <c r="X110" s="70">
        <f t="shared" ca="1" si="141"/>
        <v>0</v>
      </c>
      <c r="Y110" s="98">
        <f t="shared" ca="1" si="142"/>
        <v>0</v>
      </c>
      <c r="Z110" s="70">
        <f t="shared" ca="1" si="143"/>
        <v>0</v>
      </c>
      <c r="AA110" s="70">
        <f t="shared" ca="1" si="144"/>
        <v>0</v>
      </c>
      <c r="AB110" s="409" t="e">
        <f t="shared" ca="1" si="145"/>
        <v>#REF!</v>
      </c>
      <c r="AC110" s="70" t="e">
        <f t="shared" ca="1" si="146"/>
        <v>#REF!</v>
      </c>
      <c r="AD110" s="70" t="e">
        <f t="array" aca="1" ref="AD110" ca="1">-(VLOOKUP(AC110, LT_IncomeTaxFed/$K110:$O110, 2, TRUE)+VLOOKUP(AC110,LT_IncomeTaxFed/$K110:$O110,3,TRUE)*(AC110-VLOOKUP(AC110,LT_IncomeTaxFed/$K110:$O110,1,TRUE)))</f>
        <v>#REF!</v>
      </c>
      <c r="AE110" s="70" t="e">
        <f t="array" aca="1" ref="AE110" ca="1">-(VLOOKUP($AC110+$X110, LT_IncomeTaxFed/$K110:$O110, 4, TRUE)+VLOOKUP($AC110+$X110,LT_IncomeTaxFed/$K110:$O110,5,TRUE)*($AC110+$X110-VLOOKUP($AC110+$X110,LT_IncomeTaxFed/$K110:$O110,1,TRUE)))+(VLOOKUP($AC110, LT_IncomeTaxFed/$K110:$O110, 4, TRUE)+VLOOKUP($AC110,LT_IncomeTaxFed/$K110:$O110,5,TRUE)*($AC110-VLOOKUP($AC110,LT_IncomeTaxFed/$K110:$O110,1,TRUE)))</f>
        <v>#REF!</v>
      </c>
      <c r="AF110" s="75" t="e">
        <f t="shared" ca="1" si="147"/>
        <v>#REF!</v>
      </c>
      <c r="AG110" s="70" t="e">
        <f t="shared" ca="1" si="148"/>
        <v>#REF!</v>
      </c>
      <c r="AH110" s="67" t="e">
        <f t="array" aca="1" ref="AH110" ca="1">IF(AG110&gt;0,(VLOOKUP(AG110, LT_IncomeTaxFed/$K110:$O110, 2, TRUE)+VLOOKUP(AG110,LT_IncomeTaxFed/$K110:$O110,3,TRUE)*(AG110-VLOOKUP(AG110,LT_IncomeTaxFed/$K110:$O110,1,TRUE)))/AG110,0)</f>
        <v>#REF!</v>
      </c>
      <c r="AI110" s="109" t="e">
        <f t="shared" ca="1" si="149"/>
        <v>#REF!</v>
      </c>
      <c r="AJ110" s="634" t="e">
        <f ca="1">SUMPRODUCT($Z110:$Z111+$AA110:$AA111+$AD110:$AD111+$AE110:$AE111+$AI110:$AI111)</f>
        <v>#REF!</v>
      </c>
      <c r="AK110" s="668" t="e">
        <f t="shared" ref="AK110" ca="1" si="152">IF($U110&gt;0, -AJ110/$U110, 0)</f>
        <v>#REF!</v>
      </c>
    </row>
    <row r="111" spans="2:37" x14ac:dyDescent="0.25">
      <c r="B111" s="86">
        <f t="shared" ca="1" si="111"/>
        <v>2072</v>
      </c>
      <c r="C111" s="80" t="s">
        <v>741</v>
      </c>
      <c r="D111" s="147" t="str">
        <f t="shared" si="128"/>
        <v/>
      </c>
      <c r="E111" s="81">
        <f t="shared" si="126"/>
        <v>0</v>
      </c>
      <c r="F111" s="81" t="b">
        <f t="shared" si="129"/>
        <v>0</v>
      </c>
      <c r="G111" s="81">
        <f t="shared" si="87"/>
        <v>2</v>
      </c>
      <c r="H111" s="82">
        <f t="shared" si="130"/>
        <v>-1</v>
      </c>
      <c r="I111" s="35">
        <f t="shared" si="131"/>
        <v>0</v>
      </c>
      <c r="J111" s="81">
        <f t="shared" si="132"/>
        <v>0</v>
      </c>
      <c r="K111" s="205">
        <f t="shared" ca="1" si="30"/>
        <v>0.15870650608968315</v>
      </c>
      <c r="L111" s="95">
        <f t="shared" ca="1" si="30"/>
        <v>0.15870650608968315</v>
      </c>
      <c r="M111" s="95">
        <v>1</v>
      </c>
      <c r="N111" s="95">
        <f t="shared" ca="1" si="31"/>
        <v>0.15870650608968315</v>
      </c>
      <c r="O111" s="206">
        <v>1</v>
      </c>
      <c r="P111" s="107">
        <f t="shared" ca="1" si="133"/>
        <v>0</v>
      </c>
      <c r="Q111" s="107">
        <f t="shared" ca="1" si="134"/>
        <v>0</v>
      </c>
      <c r="R111" s="107">
        <f t="shared" si="135"/>
        <v>0</v>
      </c>
      <c r="S111" s="107">
        <f t="shared" ca="1" si="136"/>
        <v>0</v>
      </c>
      <c r="T111" s="107">
        <f t="shared" ca="1" si="137"/>
        <v>0</v>
      </c>
      <c r="U111" s="107">
        <f t="shared" ca="1" si="138"/>
        <v>0</v>
      </c>
      <c r="V111" s="107">
        <f t="shared" ca="1" si="139"/>
        <v>0</v>
      </c>
      <c r="W111" s="107">
        <f t="shared" ca="1" si="140"/>
        <v>0</v>
      </c>
      <c r="X111" s="107">
        <f t="shared" ca="1" si="141"/>
        <v>0</v>
      </c>
      <c r="Y111" s="101">
        <f t="shared" ca="1" si="142"/>
        <v>0</v>
      </c>
      <c r="Z111" s="107">
        <f t="shared" ca="1" si="143"/>
        <v>0</v>
      </c>
      <c r="AA111" s="107">
        <f t="shared" ca="1" si="144"/>
        <v>0</v>
      </c>
      <c r="AB111" s="106" t="e">
        <f t="shared" ca="1" si="145"/>
        <v>#REF!</v>
      </c>
      <c r="AC111" s="107" t="e">
        <f t="shared" ca="1" si="146"/>
        <v>#REF!</v>
      </c>
      <c r="AD111" s="107" t="e">
        <f t="array" aca="1" ref="AD111" ca="1">-(VLOOKUP(AC111, LT_IncomeTaxFed/$K111:$O111, 2, TRUE)+VLOOKUP(AC111,LT_IncomeTaxFed/$K111:$O111,3,TRUE)*(AC111-VLOOKUP(AC111,LT_IncomeTaxFed/$K111:$O111,1,TRUE)))</f>
        <v>#REF!</v>
      </c>
      <c r="AE111" s="107" t="e">
        <f t="array" aca="1" ref="AE111" ca="1">-(VLOOKUP($AC111+$X111, LT_IncomeTaxFed/$K111:$O111, 4, TRUE)+VLOOKUP($AC111+$X111,LT_IncomeTaxFed/$K111:$O111,5,TRUE)*($AC111+$X111-VLOOKUP($AC111+$X111,LT_IncomeTaxFed/$K111:$O111,1,TRUE)))+(VLOOKUP($AC111, LT_IncomeTaxFed/$K111:$O111, 4, TRUE)+VLOOKUP($AC111,LT_IncomeTaxFed/$K111:$O111,5,TRUE)*($AC111-VLOOKUP($AC111,LT_IncomeTaxFed/$K111:$O111,1,TRUE)))</f>
        <v>#REF!</v>
      </c>
      <c r="AF111" s="106" t="e">
        <f t="shared" ca="1" si="147"/>
        <v>#REF!</v>
      </c>
      <c r="AG111" s="107" t="e">
        <f t="shared" ca="1" si="148"/>
        <v>#REF!</v>
      </c>
      <c r="AH111" s="91" t="e">
        <f t="array" aca="1" ref="AH111" ca="1">IF(AG111&gt;0,(VLOOKUP(AG111, LT_IncomeTaxFed/$K111:$O111, 2, TRUE)+VLOOKUP(AG111,LT_IncomeTaxFed/$K111:$O111,3,TRUE)*(AG111-VLOOKUP(AG111,LT_IncomeTaxFed/$K111:$O111,1,TRUE)))/AG111,0)</f>
        <v>#REF!</v>
      </c>
      <c r="AI111" s="110" t="e">
        <f t="shared" ca="1" si="149"/>
        <v>#REF!</v>
      </c>
      <c r="AJ111" s="634"/>
      <c r="AK111" s="668"/>
    </row>
    <row r="112" spans="2:37" x14ac:dyDescent="0.25">
      <c r="B112" s="65">
        <f ca="1">B110+1</f>
        <v>2073</v>
      </c>
      <c r="C112" s="76" t="s">
        <v>741</v>
      </c>
      <c r="D112" s="146" t="str">
        <f t="shared" si="128"/>
        <v/>
      </c>
      <c r="E112" s="77">
        <f t="shared" si="126"/>
        <v>0</v>
      </c>
      <c r="F112" s="77" t="b">
        <f t="shared" si="129"/>
        <v>0</v>
      </c>
      <c r="G112" s="77">
        <f t="shared" si="87"/>
        <v>1</v>
      </c>
      <c r="H112" s="76">
        <f t="shared" si="130"/>
        <v>1</v>
      </c>
      <c r="I112" s="4">
        <f t="shared" si="131"/>
        <v>0</v>
      </c>
      <c r="J112" s="77">
        <f t="shared" si="132"/>
        <v>0</v>
      </c>
      <c r="K112" s="204">
        <f t="shared" ca="1" si="30"/>
        <v>0.15297012635150181</v>
      </c>
      <c r="L112" s="93">
        <f t="shared" ca="1" si="30"/>
        <v>0.15297012635150181</v>
      </c>
      <c r="M112" s="93">
        <v>1</v>
      </c>
      <c r="N112" s="93">
        <f t="shared" ca="1" si="31"/>
        <v>0.15297012635150181</v>
      </c>
      <c r="O112" s="100">
        <v>1</v>
      </c>
      <c r="P112" s="70">
        <f t="shared" ca="1" si="133"/>
        <v>0</v>
      </c>
      <c r="Q112" s="70">
        <f t="shared" ca="1" si="134"/>
        <v>0</v>
      </c>
      <c r="R112" s="70" t="e">
        <f t="shared" ca="1" si="135"/>
        <v>#REF!</v>
      </c>
      <c r="S112" s="70">
        <f t="shared" ca="1" si="136"/>
        <v>0</v>
      </c>
      <c r="T112" s="70">
        <f t="shared" ca="1" si="137"/>
        <v>0</v>
      </c>
      <c r="U112" s="70" t="e">
        <f t="shared" ca="1" si="138"/>
        <v>#REF!</v>
      </c>
      <c r="V112" s="70">
        <f t="shared" ca="1" si="139"/>
        <v>0</v>
      </c>
      <c r="W112" s="70">
        <f t="shared" ca="1" si="140"/>
        <v>0</v>
      </c>
      <c r="X112" s="70">
        <f t="shared" ca="1" si="141"/>
        <v>0</v>
      </c>
      <c r="Y112" s="98">
        <f t="shared" ca="1" si="142"/>
        <v>0</v>
      </c>
      <c r="Z112" s="70">
        <f t="shared" ca="1" si="143"/>
        <v>0</v>
      </c>
      <c r="AA112" s="70">
        <f t="shared" ca="1" si="144"/>
        <v>0</v>
      </c>
      <c r="AB112" s="409" t="e">
        <f t="shared" ca="1" si="145"/>
        <v>#REF!</v>
      </c>
      <c r="AC112" s="70" t="e">
        <f t="shared" ca="1" si="146"/>
        <v>#REF!</v>
      </c>
      <c r="AD112" s="70" t="e">
        <f t="array" aca="1" ref="AD112" ca="1">-(VLOOKUP(AC112, LT_IncomeTaxFed/$K112:$O112, 2, TRUE)+VLOOKUP(AC112,LT_IncomeTaxFed/$K112:$O112,3,TRUE)*(AC112-VLOOKUP(AC112,LT_IncomeTaxFed/$K112:$O112,1,TRUE)))</f>
        <v>#REF!</v>
      </c>
      <c r="AE112" s="70" t="e">
        <f t="array" aca="1" ref="AE112" ca="1">-(VLOOKUP($AC112+$X112, LT_IncomeTaxFed/$K112:$O112, 4, TRUE)+VLOOKUP($AC112+$X112,LT_IncomeTaxFed/$K112:$O112,5,TRUE)*($AC112+$X112-VLOOKUP($AC112+$X112,LT_IncomeTaxFed/$K112:$O112,1,TRUE)))+(VLOOKUP($AC112, LT_IncomeTaxFed/$K112:$O112, 4, TRUE)+VLOOKUP($AC112,LT_IncomeTaxFed/$K112:$O112,5,TRUE)*($AC112-VLOOKUP($AC112,LT_IncomeTaxFed/$K112:$O112,1,TRUE)))</f>
        <v>#REF!</v>
      </c>
      <c r="AF112" s="75" t="e">
        <f t="shared" ca="1" si="147"/>
        <v>#REF!</v>
      </c>
      <c r="AG112" s="70" t="e">
        <f t="shared" ca="1" si="148"/>
        <v>#REF!</v>
      </c>
      <c r="AH112" s="67" t="e">
        <f t="array" aca="1" ref="AH112" ca="1">IF(AG112&gt;0,(VLOOKUP(AG112, LT_IncomeTaxFed/$K112:$O112, 2, TRUE)+VLOOKUP(AG112,LT_IncomeTaxFed/$K112:$O112,3,TRUE)*(AG112-VLOOKUP(AG112,LT_IncomeTaxFed/$K112:$O112,1,TRUE)))/AG112,0)</f>
        <v>#REF!</v>
      </c>
      <c r="AI112" s="109" t="e">
        <f t="shared" ca="1" si="149"/>
        <v>#REF!</v>
      </c>
      <c r="AJ112" s="634" t="e">
        <f ca="1">SUMPRODUCT($Z112:$Z113+$AA112:$AA113+$AD112:$AD113+$AE112:$AE113+$AI112:$AI113)</f>
        <v>#REF!</v>
      </c>
      <c r="AK112" s="668" t="e">
        <f t="shared" ref="AK112" ca="1" si="153">IF($U112&gt;0, -AJ112/$U112, 0)</f>
        <v>#REF!</v>
      </c>
    </row>
    <row r="113" spans="2:37" x14ac:dyDescent="0.25">
      <c r="B113" s="86">
        <f t="shared" ca="1" si="111"/>
        <v>2073</v>
      </c>
      <c r="C113" s="80" t="s">
        <v>741</v>
      </c>
      <c r="D113" s="147" t="str">
        <f t="shared" si="128"/>
        <v/>
      </c>
      <c r="E113" s="81">
        <f t="shared" si="126"/>
        <v>0</v>
      </c>
      <c r="F113" s="81" t="b">
        <f t="shared" si="129"/>
        <v>0</v>
      </c>
      <c r="G113" s="81">
        <f t="shared" si="87"/>
        <v>2</v>
      </c>
      <c r="H113" s="82">
        <f t="shared" si="130"/>
        <v>-1</v>
      </c>
      <c r="I113" s="35">
        <f t="shared" si="131"/>
        <v>0</v>
      </c>
      <c r="J113" s="81">
        <f t="shared" si="132"/>
        <v>0</v>
      </c>
      <c r="K113" s="205">
        <f t="shared" ca="1" si="30"/>
        <v>0.15297012635150181</v>
      </c>
      <c r="L113" s="95">
        <f t="shared" ca="1" si="30"/>
        <v>0.15297012635150181</v>
      </c>
      <c r="M113" s="95">
        <v>1</v>
      </c>
      <c r="N113" s="95">
        <f t="shared" ca="1" si="31"/>
        <v>0.15297012635150181</v>
      </c>
      <c r="O113" s="206">
        <v>1</v>
      </c>
      <c r="P113" s="107">
        <f t="shared" ca="1" si="133"/>
        <v>0</v>
      </c>
      <c r="Q113" s="107">
        <f t="shared" ca="1" si="134"/>
        <v>0</v>
      </c>
      <c r="R113" s="107">
        <f t="shared" si="135"/>
        <v>0</v>
      </c>
      <c r="S113" s="107">
        <f t="shared" ca="1" si="136"/>
        <v>0</v>
      </c>
      <c r="T113" s="107">
        <f t="shared" ca="1" si="137"/>
        <v>0</v>
      </c>
      <c r="U113" s="107">
        <f t="shared" ca="1" si="138"/>
        <v>0</v>
      </c>
      <c r="V113" s="107">
        <f t="shared" ca="1" si="139"/>
        <v>0</v>
      </c>
      <c r="W113" s="107">
        <f t="shared" ca="1" si="140"/>
        <v>0</v>
      </c>
      <c r="X113" s="107">
        <f t="shared" ca="1" si="141"/>
        <v>0</v>
      </c>
      <c r="Y113" s="101">
        <f t="shared" ca="1" si="142"/>
        <v>0</v>
      </c>
      <c r="Z113" s="107">
        <f t="shared" ca="1" si="143"/>
        <v>0</v>
      </c>
      <c r="AA113" s="107">
        <f t="shared" ca="1" si="144"/>
        <v>0</v>
      </c>
      <c r="AB113" s="106" t="e">
        <f t="shared" ca="1" si="145"/>
        <v>#REF!</v>
      </c>
      <c r="AC113" s="107" t="e">
        <f t="shared" ca="1" si="146"/>
        <v>#REF!</v>
      </c>
      <c r="AD113" s="107" t="e">
        <f t="array" aca="1" ref="AD113" ca="1">-(VLOOKUP(AC113, LT_IncomeTaxFed/$K113:$O113, 2, TRUE)+VLOOKUP(AC113,LT_IncomeTaxFed/$K113:$O113,3,TRUE)*(AC113-VLOOKUP(AC113,LT_IncomeTaxFed/$K113:$O113,1,TRUE)))</f>
        <v>#REF!</v>
      </c>
      <c r="AE113" s="107" t="e">
        <f t="array" aca="1" ref="AE113" ca="1">-(VLOOKUP($AC113+$X113, LT_IncomeTaxFed/$K113:$O113, 4, TRUE)+VLOOKUP($AC113+$X113,LT_IncomeTaxFed/$K113:$O113,5,TRUE)*($AC113+$X113-VLOOKUP($AC113+$X113,LT_IncomeTaxFed/$K113:$O113,1,TRUE)))+(VLOOKUP($AC113, LT_IncomeTaxFed/$K113:$O113, 4, TRUE)+VLOOKUP($AC113,LT_IncomeTaxFed/$K113:$O113,5,TRUE)*($AC113-VLOOKUP($AC113,LT_IncomeTaxFed/$K113:$O113,1,TRUE)))</f>
        <v>#REF!</v>
      </c>
      <c r="AF113" s="106" t="e">
        <f t="shared" ca="1" si="147"/>
        <v>#REF!</v>
      </c>
      <c r="AG113" s="107" t="e">
        <f t="shared" ca="1" si="148"/>
        <v>#REF!</v>
      </c>
      <c r="AH113" s="91" t="e">
        <f t="array" aca="1" ref="AH113" ca="1">IF(AG113&gt;0,(VLOOKUP(AG113, LT_IncomeTaxFed/$K113:$O113, 2, TRUE)+VLOOKUP(AG113,LT_IncomeTaxFed/$K113:$O113,3,TRUE)*(AG113-VLOOKUP(AG113,LT_IncomeTaxFed/$K113:$O113,1,TRUE)))/AG113,0)</f>
        <v>#REF!</v>
      </c>
      <c r="AI113" s="110" t="e">
        <f t="shared" ca="1" si="149"/>
        <v>#REF!</v>
      </c>
      <c r="AJ113" s="634"/>
      <c r="AK113" s="668"/>
    </row>
    <row r="114" spans="2:37" x14ac:dyDescent="0.25">
      <c r="B114" s="65">
        <f ca="1">B112+1</f>
        <v>2074</v>
      </c>
      <c r="C114" s="76" t="s">
        <v>741</v>
      </c>
      <c r="D114" s="146" t="str">
        <f t="shared" si="128"/>
        <v/>
      </c>
      <c r="E114" s="77">
        <f t="shared" si="126"/>
        <v>0</v>
      </c>
      <c r="F114" s="77" t="b">
        <f t="shared" si="129"/>
        <v>0</v>
      </c>
      <c r="G114" s="77">
        <f t="shared" si="87"/>
        <v>1</v>
      </c>
      <c r="H114" s="76">
        <f t="shared" si="130"/>
        <v>1</v>
      </c>
      <c r="I114" s="4">
        <f t="shared" si="131"/>
        <v>0</v>
      </c>
      <c r="J114" s="77">
        <f t="shared" si="132"/>
        <v>0</v>
      </c>
      <c r="K114" s="204">
        <f t="shared" ca="1" si="30"/>
        <v>0.14744108564000175</v>
      </c>
      <c r="L114" s="93">
        <f t="shared" ca="1" si="30"/>
        <v>0.14744108564000175</v>
      </c>
      <c r="M114" s="93">
        <v>1</v>
      </c>
      <c r="N114" s="93">
        <f t="shared" ca="1" si="31"/>
        <v>0.14744108564000175</v>
      </c>
      <c r="O114" s="100">
        <v>1</v>
      </c>
      <c r="P114" s="70">
        <f t="shared" ca="1" si="133"/>
        <v>0</v>
      </c>
      <c r="Q114" s="70">
        <f t="shared" ca="1" si="134"/>
        <v>0</v>
      </c>
      <c r="R114" s="70" t="e">
        <f t="shared" ca="1" si="135"/>
        <v>#REF!</v>
      </c>
      <c r="S114" s="70">
        <f t="shared" ca="1" si="136"/>
        <v>0</v>
      </c>
      <c r="T114" s="70">
        <f t="shared" ca="1" si="137"/>
        <v>0</v>
      </c>
      <c r="U114" s="70" t="e">
        <f t="shared" ca="1" si="138"/>
        <v>#REF!</v>
      </c>
      <c r="V114" s="70">
        <f t="shared" ca="1" si="139"/>
        <v>0</v>
      </c>
      <c r="W114" s="70">
        <f t="shared" ca="1" si="140"/>
        <v>0</v>
      </c>
      <c r="X114" s="70">
        <f t="shared" ca="1" si="141"/>
        <v>0</v>
      </c>
      <c r="Y114" s="98">
        <f t="shared" ca="1" si="142"/>
        <v>0</v>
      </c>
      <c r="Z114" s="70">
        <f t="shared" ca="1" si="143"/>
        <v>0</v>
      </c>
      <c r="AA114" s="70">
        <f t="shared" ca="1" si="144"/>
        <v>0</v>
      </c>
      <c r="AB114" s="409" t="e">
        <f t="shared" ca="1" si="145"/>
        <v>#REF!</v>
      </c>
      <c r="AC114" s="70" t="e">
        <f t="shared" ca="1" si="146"/>
        <v>#REF!</v>
      </c>
      <c r="AD114" s="70" t="e">
        <f t="array" aca="1" ref="AD114" ca="1">-(VLOOKUP(AC114, LT_IncomeTaxFed/$K114:$O114, 2, TRUE)+VLOOKUP(AC114,LT_IncomeTaxFed/$K114:$O114,3,TRUE)*(AC114-VLOOKUP(AC114,LT_IncomeTaxFed/$K114:$O114,1,TRUE)))</f>
        <v>#REF!</v>
      </c>
      <c r="AE114" s="70" t="e">
        <f t="array" aca="1" ref="AE114" ca="1">-(VLOOKUP($AC114+$X114, LT_IncomeTaxFed/$K114:$O114, 4, TRUE)+VLOOKUP($AC114+$X114,LT_IncomeTaxFed/$K114:$O114,5,TRUE)*($AC114+$X114-VLOOKUP($AC114+$X114,LT_IncomeTaxFed/$K114:$O114,1,TRUE)))+(VLOOKUP($AC114, LT_IncomeTaxFed/$K114:$O114, 4, TRUE)+VLOOKUP($AC114,LT_IncomeTaxFed/$K114:$O114,5,TRUE)*($AC114-VLOOKUP($AC114,LT_IncomeTaxFed/$K114:$O114,1,TRUE)))</f>
        <v>#REF!</v>
      </c>
      <c r="AF114" s="75" t="e">
        <f t="shared" ca="1" si="147"/>
        <v>#REF!</v>
      </c>
      <c r="AG114" s="70" t="e">
        <f t="shared" ca="1" si="148"/>
        <v>#REF!</v>
      </c>
      <c r="AH114" s="67" t="e">
        <f t="array" aca="1" ref="AH114" ca="1">IF(AG114&gt;0,(VLOOKUP(AG114, LT_IncomeTaxFed/$K114:$O114, 2, TRUE)+VLOOKUP(AG114,LT_IncomeTaxFed/$K114:$O114,3,TRUE)*(AG114-VLOOKUP(AG114,LT_IncomeTaxFed/$K114:$O114,1,TRUE)))/AG114,0)</f>
        <v>#REF!</v>
      </c>
      <c r="AI114" s="109" t="e">
        <f t="shared" ca="1" si="149"/>
        <v>#REF!</v>
      </c>
      <c r="AJ114" s="634" t="e">
        <f ca="1">SUMPRODUCT($Z114:$Z115+$AA114:$AA115+$AD114:$AD115+$AE114:$AE115+$AI114:$AI115)</f>
        <v>#REF!</v>
      </c>
      <c r="AK114" s="668" t="e">
        <f t="shared" ref="AK114" ca="1" si="154">IF($U114&gt;0, -AJ114/$U114, 0)</f>
        <v>#REF!</v>
      </c>
    </row>
    <row r="115" spans="2:37" x14ac:dyDescent="0.25">
      <c r="B115" s="86">
        <f t="shared" ca="1" si="111"/>
        <v>2074</v>
      </c>
      <c r="C115" s="80" t="s">
        <v>741</v>
      </c>
      <c r="D115" s="147" t="str">
        <f t="shared" si="128"/>
        <v/>
      </c>
      <c r="E115" s="81">
        <f t="shared" si="126"/>
        <v>0</v>
      </c>
      <c r="F115" s="81" t="b">
        <f t="shared" si="129"/>
        <v>0</v>
      </c>
      <c r="G115" s="81">
        <f t="shared" si="87"/>
        <v>2</v>
      </c>
      <c r="H115" s="82">
        <f t="shared" si="130"/>
        <v>-1</v>
      </c>
      <c r="I115" s="35">
        <f t="shared" si="131"/>
        <v>0</v>
      </c>
      <c r="J115" s="81">
        <f t="shared" si="132"/>
        <v>0</v>
      </c>
      <c r="K115" s="205">
        <f t="shared" ca="1" si="30"/>
        <v>0.14744108564000175</v>
      </c>
      <c r="L115" s="95">
        <f t="shared" ca="1" si="30"/>
        <v>0.14744108564000175</v>
      </c>
      <c r="M115" s="95">
        <v>1</v>
      </c>
      <c r="N115" s="95">
        <f t="shared" ca="1" si="31"/>
        <v>0.14744108564000175</v>
      </c>
      <c r="O115" s="206">
        <v>1</v>
      </c>
      <c r="P115" s="107">
        <f t="shared" ca="1" si="133"/>
        <v>0</v>
      </c>
      <c r="Q115" s="107">
        <f t="shared" ca="1" si="134"/>
        <v>0</v>
      </c>
      <c r="R115" s="107">
        <f t="shared" si="135"/>
        <v>0</v>
      </c>
      <c r="S115" s="107">
        <f t="shared" ca="1" si="136"/>
        <v>0</v>
      </c>
      <c r="T115" s="107">
        <f t="shared" ca="1" si="137"/>
        <v>0</v>
      </c>
      <c r="U115" s="107">
        <f t="shared" ca="1" si="138"/>
        <v>0</v>
      </c>
      <c r="V115" s="107">
        <f t="shared" ca="1" si="139"/>
        <v>0</v>
      </c>
      <c r="W115" s="107">
        <f t="shared" ca="1" si="140"/>
        <v>0</v>
      </c>
      <c r="X115" s="107">
        <f t="shared" ca="1" si="141"/>
        <v>0</v>
      </c>
      <c r="Y115" s="101">
        <f t="shared" ca="1" si="142"/>
        <v>0</v>
      </c>
      <c r="Z115" s="107">
        <f t="shared" ca="1" si="143"/>
        <v>0</v>
      </c>
      <c r="AA115" s="107">
        <f t="shared" ca="1" si="144"/>
        <v>0</v>
      </c>
      <c r="AB115" s="106" t="e">
        <f t="shared" ca="1" si="145"/>
        <v>#REF!</v>
      </c>
      <c r="AC115" s="107" t="e">
        <f t="shared" ca="1" si="146"/>
        <v>#REF!</v>
      </c>
      <c r="AD115" s="107" t="e">
        <f t="array" aca="1" ref="AD115" ca="1">-(VLOOKUP(AC115, LT_IncomeTaxFed/$K115:$O115, 2, TRUE)+VLOOKUP(AC115,LT_IncomeTaxFed/$K115:$O115,3,TRUE)*(AC115-VLOOKUP(AC115,LT_IncomeTaxFed/$K115:$O115,1,TRUE)))</f>
        <v>#REF!</v>
      </c>
      <c r="AE115" s="107" t="e">
        <f t="array" aca="1" ref="AE115" ca="1">-(VLOOKUP($AC115+$X115, LT_IncomeTaxFed/$K115:$O115, 4, TRUE)+VLOOKUP($AC115+$X115,LT_IncomeTaxFed/$K115:$O115,5,TRUE)*($AC115+$X115-VLOOKUP($AC115+$X115,LT_IncomeTaxFed/$K115:$O115,1,TRUE)))+(VLOOKUP($AC115, LT_IncomeTaxFed/$K115:$O115, 4, TRUE)+VLOOKUP($AC115,LT_IncomeTaxFed/$K115:$O115,5,TRUE)*($AC115-VLOOKUP($AC115,LT_IncomeTaxFed/$K115:$O115,1,TRUE)))</f>
        <v>#REF!</v>
      </c>
      <c r="AF115" s="106" t="e">
        <f t="shared" ca="1" si="147"/>
        <v>#REF!</v>
      </c>
      <c r="AG115" s="107" t="e">
        <f t="shared" ca="1" si="148"/>
        <v>#REF!</v>
      </c>
      <c r="AH115" s="91" t="e">
        <f t="array" aca="1" ref="AH115" ca="1">IF(AG115&gt;0,(VLOOKUP(AG115, LT_IncomeTaxFed/$K115:$O115, 2, TRUE)+VLOOKUP(AG115,LT_IncomeTaxFed/$K115:$O115,3,TRUE)*(AG115-VLOOKUP(AG115,LT_IncomeTaxFed/$K115:$O115,1,TRUE)))/AG115,0)</f>
        <v>#REF!</v>
      </c>
      <c r="AI115" s="110" t="e">
        <f t="shared" ca="1" si="149"/>
        <v>#REF!</v>
      </c>
      <c r="AJ115" s="634"/>
      <c r="AK115" s="668"/>
    </row>
    <row r="116" spans="2:37" x14ac:dyDescent="0.25">
      <c r="B116" s="65">
        <f ca="1">B114+1</f>
        <v>2075</v>
      </c>
      <c r="C116" s="76" t="s">
        <v>741</v>
      </c>
      <c r="D116" s="146" t="str">
        <f t="shared" si="128"/>
        <v/>
      </c>
      <c r="E116" s="77">
        <f t="shared" si="126"/>
        <v>0</v>
      </c>
      <c r="F116" s="77" t="b">
        <f t="shared" si="129"/>
        <v>0</v>
      </c>
      <c r="G116" s="77">
        <f t="shared" si="87"/>
        <v>1</v>
      </c>
      <c r="H116" s="76">
        <f t="shared" si="130"/>
        <v>1</v>
      </c>
      <c r="I116" s="4">
        <f t="shared" si="131"/>
        <v>0</v>
      </c>
      <c r="J116" s="77">
        <f t="shared" si="132"/>
        <v>0</v>
      </c>
      <c r="K116" s="204">
        <f t="shared" ca="1" si="30"/>
        <v>0.14211188977349568</v>
      </c>
      <c r="L116" s="93">
        <f t="shared" ca="1" si="30"/>
        <v>0.14211188977349568</v>
      </c>
      <c r="M116" s="93">
        <v>1</v>
      </c>
      <c r="N116" s="93">
        <f t="shared" ca="1" si="31"/>
        <v>0.14211188977349568</v>
      </c>
      <c r="O116" s="100">
        <v>1</v>
      </c>
      <c r="P116" s="70">
        <f t="shared" ca="1" si="133"/>
        <v>0</v>
      </c>
      <c r="Q116" s="70">
        <f t="shared" ca="1" si="134"/>
        <v>0</v>
      </c>
      <c r="R116" s="70" t="e">
        <f t="shared" ca="1" si="135"/>
        <v>#REF!</v>
      </c>
      <c r="S116" s="70">
        <f t="shared" ca="1" si="136"/>
        <v>0</v>
      </c>
      <c r="T116" s="70">
        <f t="shared" ca="1" si="137"/>
        <v>0</v>
      </c>
      <c r="U116" s="70" t="e">
        <f t="shared" ca="1" si="138"/>
        <v>#REF!</v>
      </c>
      <c r="V116" s="70">
        <f t="shared" ca="1" si="139"/>
        <v>0</v>
      </c>
      <c r="W116" s="70">
        <f t="shared" ca="1" si="140"/>
        <v>0</v>
      </c>
      <c r="X116" s="70">
        <f t="shared" ca="1" si="141"/>
        <v>0</v>
      </c>
      <c r="Y116" s="98">
        <f t="shared" ca="1" si="142"/>
        <v>0</v>
      </c>
      <c r="Z116" s="70">
        <f t="shared" ca="1" si="143"/>
        <v>0</v>
      </c>
      <c r="AA116" s="70">
        <f t="shared" ca="1" si="144"/>
        <v>0</v>
      </c>
      <c r="AB116" s="409" t="e">
        <f t="shared" ca="1" si="145"/>
        <v>#REF!</v>
      </c>
      <c r="AC116" s="70" t="e">
        <f t="shared" ca="1" si="146"/>
        <v>#REF!</v>
      </c>
      <c r="AD116" s="70" t="e">
        <f t="array" aca="1" ref="AD116" ca="1">-(VLOOKUP(AC116, LT_IncomeTaxFed/$K116:$O116, 2, TRUE)+VLOOKUP(AC116,LT_IncomeTaxFed/$K116:$O116,3,TRUE)*(AC116-VLOOKUP(AC116,LT_IncomeTaxFed/$K116:$O116,1,TRUE)))</f>
        <v>#REF!</v>
      </c>
      <c r="AE116" s="70" t="e">
        <f t="array" aca="1" ref="AE116" ca="1">-(VLOOKUP($AC116+$X116, LT_IncomeTaxFed/$K116:$O116, 4, TRUE)+VLOOKUP($AC116+$X116,LT_IncomeTaxFed/$K116:$O116,5,TRUE)*($AC116+$X116-VLOOKUP($AC116+$X116,LT_IncomeTaxFed/$K116:$O116,1,TRUE)))+(VLOOKUP($AC116, LT_IncomeTaxFed/$K116:$O116, 4, TRUE)+VLOOKUP($AC116,LT_IncomeTaxFed/$K116:$O116,5,TRUE)*($AC116-VLOOKUP($AC116,LT_IncomeTaxFed/$K116:$O116,1,TRUE)))</f>
        <v>#REF!</v>
      </c>
      <c r="AF116" s="75" t="e">
        <f t="shared" ca="1" si="147"/>
        <v>#REF!</v>
      </c>
      <c r="AG116" s="70" t="e">
        <f t="shared" ca="1" si="148"/>
        <v>#REF!</v>
      </c>
      <c r="AH116" s="67" t="e">
        <f t="array" aca="1" ref="AH116" ca="1">IF(AG116&gt;0,(VLOOKUP(AG116, LT_IncomeTaxFed/$K116:$O116, 2, TRUE)+VLOOKUP(AG116,LT_IncomeTaxFed/$K116:$O116,3,TRUE)*(AG116-VLOOKUP(AG116,LT_IncomeTaxFed/$K116:$O116,1,TRUE)))/AG116,0)</f>
        <v>#REF!</v>
      </c>
      <c r="AI116" s="109" t="e">
        <f t="shared" ca="1" si="149"/>
        <v>#REF!</v>
      </c>
      <c r="AJ116" s="634" t="e">
        <f ca="1">SUMPRODUCT($Z116:$Z117+$AA116:$AA117+$AD116:$AD117+$AE116:$AE117+$AI116:$AI117)</f>
        <v>#REF!</v>
      </c>
      <c r="AK116" s="668" t="e">
        <f t="shared" ref="AK116" ca="1" si="155">IF($U116&gt;0, -AJ116/$U116, 0)</f>
        <v>#REF!</v>
      </c>
    </row>
    <row r="117" spans="2:37" x14ac:dyDescent="0.25">
      <c r="B117" s="86">
        <f t="shared" ca="1" si="111"/>
        <v>2075</v>
      </c>
      <c r="C117" s="80" t="s">
        <v>741</v>
      </c>
      <c r="D117" s="147" t="str">
        <f t="shared" si="128"/>
        <v/>
      </c>
      <c r="E117" s="81">
        <f t="shared" si="126"/>
        <v>0</v>
      </c>
      <c r="F117" s="81" t="b">
        <f t="shared" si="129"/>
        <v>0</v>
      </c>
      <c r="G117" s="81">
        <f t="shared" si="87"/>
        <v>2</v>
      </c>
      <c r="H117" s="82">
        <f t="shared" si="130"/>
        <v>-1</v>
      </c>
      <c r="I117" s="35">
        <f t="shared" si="131"/>
        <v>0</v>
      </c>
      <c r="J117" s="81">
        <f t="shared" si="132"/>
        <v>0</v>
      </c>
      <c r="K117" s="205">
        <f t="shared" ca="1" si="30"/>
        <v>0.14211188977349568</v>
      </c>
      <c r="L117" s="95">
        <f t="shared" ref="L117" ca="1" si="156">INDEX(SC_EA_InflationWageIdx,EAIDX)</f>
        <v>0.14211188977349568</v>
      </c>
      <c r="M117" s="95">
        <v>1</v>
      </c>
      <c r="N117" s="95">
        <f t="shared" ca="1" si="31"/>
        <v>0.14211188977349568</v>
      </c>
      <c r="O117" s="206">
        <v>1</v>
      </c>
      <c r="P117" s="107">
        <f t="shared" ca="1" si="133"/>
        <v>0</v>
      </c>
      <c r="Q117" s="107">
        <f t="shared" ca="1" si="134"/>
        <v>0</v>
      </c>
      <c r="R117" s="107">
        <f t="shared" si="135"/>
        <v>0</v>
      </c>
      <c r="S117" s="107">
        <f t="shared" ca="1" si="136"/>
        <v>0</v>
      </c>
      <c r="T117" s="107">
        <f t="shared" ca="1" si="137"/>
        <v>0</v>
      </c>
      <c r="U117" s="107">
        <f t="shared" ca="1" si="138"/>
        <v>0</v>
      </c>
      <c r="V117" s="107">
        <f t="shared" ca="1" si="139"/>
        <v>0</v>
      </c>
      <c r="W117" s="107">
        <f t="shared" ca="1" si="140"/>
        <v>0</v>
      </c>
      <c r="X117" s="107">
        <f t="shared" ca="1" si="141"/>
        <v>0</v>
      </c>
      <c r="Y117" s="101">
        <f t="shared" ca="1" si="142"/>
        <v>0</v>
      </c>
      <c r="Z117" s="107">
        <f t="shared" ca="1" si="143"/>
        <v>0</v>
      </c>
      <c r="AA117" s="107">
        <f t="shared" ca="1" si="144"/>
        <v>0</v>
      </c>
      <c r="AB117" s="106" t="e">
        <f t="shared" ca="1" si="145"/>
        <v>#REF!</v>
      </c>
      <c r="AC117" s="107" t="e">
        <f t="shared" ca="1" si="146"/>
        <v>#REF!</v>
      </c>
      <c r="AD117" s="107" t="e">
        <f t="array" aca="1" ref="AD117" ca="1">-(VLOOKUP(AC117, LT_IncomeTaxFed/$K117:$O117, 2, TRUE)+VLOOKUP(AC117,LT_IncomeTaxFed/$K117:$O117,3,TRUE)*(AC117-VLOOKUP(AC117,LT_IncomeTaxFed/$K117:$O117,1,TRUE)))</f>
        <v>#REF!</v>
      </c>
      <c r="AE117" s="107" t="e">
        <f t="array" aca="1" ref="AE117" ca="1">-(VLOOKUP($AC117+$X117, LT_IncomeTaxFed/$K117:$O117, 4, TRUE)+VLOOKUP($AC117+$X117,LT_IncomeTaxFed/$K117:$O117,5,TRUE)*($AC117+$X117-VLOOKUP($AC117+$X117,LT_IncomeTaxFed/$K117:$O117,1,TRUE)))+(VLOOKUP($AC117, LT_IncomeTaxFed/$K117:$O117, 4, TRUE)+VLOOKUP($AC117,LT_IncomeTaxFed/$K117:$O117,5,TRUE)*($AC117-VLOOKUP($AC117,LT_IncomeTaxFed/$K117:$O117,1,TRUE)))</f>
        <v>#REF!</v>
      </c>
      <c r="AF117" s="106" t="e">
        <f t="shared" ca="1" si="147"/>
        <v>#REF!</v>
      </c>
      <c r="AG117" s="107" t="e">
        <f t="shared" ca="1" si="148"/>
        <v>#REF!</v>
      </c>
      <c r="AH117" s="91" t="e">
        <f t="array" aca="1" ref="AH117" ca="1">IF(AG117&gt;0,(VLOOKUP(AG117, LT_IncomeTaxFed/$K117:$O117, 2, TRUE)+VLOOKUP(AG117,LT_IncomeTaxFed/$K117:$O117,3,TRUE)*(AG117-VLOOKUP(AG117,LT_IncomeTaxFed/$K117:$O117,1,TRUE)))/AG117,0)</f>
        <v>#REF!</v>
      </c>
      <c r="AI117" s="110" t="e">
        <f t="shared" ca="1" si="149"/>
        <v>#REF!</v>
      </c>
      <c r="AJ117" s="634"/>
      <c r="AK117" s="668"/>
    </row>
    <row r="118" spans="2:37" x14ac:dyDescent="0.25">
      <c r="B118" s="65">
        <f ca="1">B116+1</f>
        <v>2076</v>
      </c>
      <c r="C118" s="76" t="s">
        <v>741</v>
      </c>
      <c r="D118" s="146" t="str">
        <f t="shared" si="128"/>
        <v/>
      </c>
      <c r="E118" s="77">
        <f t="shared" si="126"/>
        <v>0</v>
      </c>
      <c r="F118" s="77" t="b">
        <f t="shared" si="129"/>
        <v>0</v>
      </c>
      <c r="G118" s="77">
        <f t="shared" si="87"/>
        <v>1</v>
      </c>
      <c r="H118" s="76">
        <f t="shared" si="130"/>
        <v>1</v>
      </c>
      <c r="I118" s="4">
        <f t="shared" si="131"/>
        <v>0</v>
      </c>
      <c r="J118" s="77">
        <f t="shared" si="132"/>
        <v>0</v>
      </c>
      <c r="K118" s="204">
        <f t="shared" ref="K118:L169" ca="1" si="157">INDEX(SC_EA_InflationWageIdx,EAIDX)</f>
        <v>0.13697531544433317</v>
      </c>
      <c r="L118" s="93">
        <f t="shared" ca="1" si="157"/>
        <v>0.13697531544433317</v>
      </c>
      <c r="M118" s="93">
        <v>1</v>
      </c>
      <c r="N118" s="93">
        <f t="shared" ca="1" si="31"/>
        <v>0.13697531544433317</v>
      </c>
      <c r="O118" s="100">
        <v>1</v>
      </c>
      <c r="P118" s="70">
        <f t="shared" ca="1" si="133"/>
        <v>0</v>
      </c>
      <c r="Q118" s="70">
        <f t="shared" ca="1" si="134"/>
        <v>0</v>
      </c>
      <c r="R118" s="70" t="e">
        <f t="shared" ca="1" si="135"/>
        <v>#REF!</v>
      </c>
      <c r="S118" s="70">
        <f t="shared" ca="1" si="136"/>
        <v>0</v>
      </c>
      <c r="T118" s="70">
        <f t="shared" ca="1" si="137"/>
        <v>0</v>
      </c>
      <c r="U118" s="70" t="e">
        <f t="shared" ca="1" si="138"/>
        <v>#REF!</v>
      </c>
      <c r="V118" s="70">
        <f t="shared" ca="1" si="139"/>
        <v>0</v>
      </c>
      <c r="W118" s="70">
        <f t="shared" ca="1" si="140"/>
        <v>0</v>
      </c>
      <c r="X118" s="70">
        <f t="shared" ca="1" si="141"/>
        <v>0</v>
      </c>
      <c r="Y118" s="98">
        <f t="shared" ca="1" si="142"/>
        <v>0</v>
      </c>
      <c r="Z118" s="70">
        <f t="shared" ca="1" si="143"/>
        <v>0</v>
      </c>
      <c r="AA118" s="70">
        <f t="shared" ca="1" si="144"/>
        <v>0</v>
      </c>
      <c r="AB118" s="409" t="e">
        <f t="shared" ca="1" si="145"/>
        <v>#REF!</v>
      </c>
      <c r="AC118" s="70" t="e">
        <f t="shared" ca="1" si="146"/>
        <v>#REF!</v>
      </c>
      <c r="AD118" s="70" t="e">
        <f t="array" aca="1" ref="AD118" ca="1">-(VLOOKUP(AC118, LT_IncomeTaxFed/$K118:$O118, 2, TRUE)+VLOOKUP(AC118,LT_IncomeTaxFed/$K118:$O118,3,TRUE)*(AC118-VLOOKUP(AC118,LT_IncomeTaxFed/$K118:$O118,1,TRUE)))</f>
        <v>#REF!</v>
      </c>
      <c r="AE118" s="70" t="e">
        <f t="array" aca="1" ref="AE118" ca="1">-(VLOOKUP($AC118+$X118, LT_IncomeTaxFed/$K118:$O118, 4, TRUE)+VLOOKUP($AC118+$X118,LT_IncomeTaxFed/$K118:$O118,5,TRUE)*($AC118+$X118-VLOOKUP($AC118+$X118,LT_IncomeTaxFed/$K118:$O118,1,TRUE)))+(VLOOKUP($AC118, LT_IncomeTaxFed/$K118:$O118, 4, TRUE)+VLOOKUP($AC118,LT_IncomeTaxFed/$K118:$O118,5,TRUE)*($AC118-VLOOKUP($AC118,LT_IncomeTaxFed/$K118:$O118,1,TRUE)))</f>
        <v>#REF!</v>
      </c>
      <c r="AF118" s="75" t="e">
        <f t="shared" ca="1" si="147"/>
        <v>#REF!</v>
      </c>
      <c r="AG118" s="70" t="e">
        <f t="shared" ca="1" si="148"/>
        <v>#REF!</v>
      </c>
      <c r="AH118" s="67" t="e">
        <f t="array" aca="1" ref="AH118" ca="1">IF(AG118&gt;0,(VLOOKUP(AG118, LT_IncomeTaxFed/$K118:$O118, 2, TRUE)+VLOOKUP(AG118,LT_IncomeTaxFed/$K118:$O118,3,TRUE)*(AG118-VLOOKUP(AG118,LT_IncomeTaxFed/$K118:$O118,1,TRUE)))/AG118,0)</f>
        <v>#REF!</v>
      </c>
      <c r="AI118" s="109" t="e">
        <f t="shared" ca="1" si="149"/>
        <v>#REF!</v>
      </c>
      <c r="AJ118" s="634" t="e">
        <f ca="1">SUMPRODUCT($Z118:$Z119+$AA118:$AA119+$AD118:$AD119+$AE118:$AE119+$AI118:$AI119)</f>
        <v>#REF!</v>
      </c>
      <c r="AK118" s="668" t="e">
        <f t="shared" ref="AK118" ca="1" si="158">IF($U118&gt;0, -AJ118/$U118, 0)</f>
        <v>#REF!</v>
      </c>
    </row>
    <row r="119" spans="2:37" x14ac:dyDescent="0.25">
      <c r="B119" s="86">
        <f t="shared" ca="1" si="111"/>
        <v>2076</v>
      </c>
      <c r="C119" s="80" t="s">
        <v>741</v>
      </c>
      <c r="D119" s="147" t="str">
        <f t="shared" si="128"/>
        <v/>
      </c>
      <c r="E119" s="81">
        <f t="shared" si="126"/>
        <v>0</v>
      </c>
      <c r="F119" s="81" t="b">
        <f t="shared" si="129"/>
        <v>0</v>
      </c>
      <c r="G119" s="81">
        <f t="shared" si="87"/>
        <v>2</v>
      </c>
      <c r="H119" s="82">
        <f t="shared" si="130"/>
        <v>-1</v>
      </c>
      <c r="I119" s="35">
        <f t="shared" si="131"/>
        <v>0</v>
      </c>
      <c r="J119" s="81">
        <f t="shared" si="132"/>
        <v>0</v>
      </c>
      <c r="K119" s="205">
        <f t="shared" ca="1" si="157"/>
        <v>0.13697531544433317</v>
      </c>
      <c r="L119" s="95">
        <f t="shared" ca="1" si="157"/>
        <v>0.13697531544433317</v>
      </c>
      <c r="M119" s="95">
        <v>1</v>
      </c>
      <c r="N119" s="95">
        <f t="shared" ca="1" si="31"/>
        <v>0.13697531544433317</v>
      </c>
      <c r="O119" s="206">
        <v>1</v>
      </c>
      <c r="P119" s="107">
        <f t="shared" ca="1" si="133"/>
        <v>0</v>
      </c>
      <c r="Q119" s="107">
        <f t="shared" ca="1" si="134"/>
        <v>0</v>
      </c>
      <c r="R119" s="107">
        <f t="shared" si="135"/>
        <v>0</v>
      </c>
      <c r="S119" s="107">
        <f t="shared" ca="1" si="136"/>
        <v>0</v>
      </c>
      <c r="T119" s="107">
        <f t="shared" ca="1" si="137"/>
        <v>0</v>
      </c>
      <c r="U119" s="107">
        <f t="shared" ca="1" si="138"/>
        <v>0</v>
      </c>
      <c r="V119" s="107">
        <f t="shared" ca="1" si="139"/>
        <v>0</v>
      </c>
      <c r="W119" s="107">
        <f t="shared" ca="1" si="140"/>
        <v>0</v>
      </c>
      <c r="X119" s="107">
        <f t="shared" ca="1" si="141"/>
        <v>0</v>
      </c>
      <c r="Y119" s="101">
        <f t="shared" ca="1" si="142"/>
        <v>0</v>
      </c>
      <c r="Z119" s="107">
        <f t="shared" ca="1" si="143"/>
        <v>0</v>
      </c>
      <c r="AA119" s="107">
        <f t="shared" ca="1" si="144"/>
        <v>0</v>
      </c>
      <c r="AB119" s="106" t="e">
        <f t="shared" ca="1" si="145"/>
        <v>#REF!</v>
      </c>
      <c r="AC119" s="107" t="e">
        <f t="shared" ca="1" si="146"/>
        <v>#REF!</v>
      </c>
      <c r="AD119" s="107" t="e">
        <f t="array" aca="1" ref="AD119" ca="1">-(VLOOKUP(AC119, LT_IncomeTaxFed/$K119:$O119, 2, TRUE)+VLOOKUP(AC119,LT_IncomeTaxFed/$K119:$O119,3,TRUE)*(AC119-VLOOKUP(AC119,LT_IncomeTaxFed/$K119:$O119,1,TRUE)))</f>
        <v>#REF!</v>
      </c>
      <c r="AE119" s="107" t="e">
        <f t="array" aca="1" ref="AE119" ca="1">-(VLOOKUP($AC119+$X119, LT_IncomeTaxFed/$K119:$O119, 4, TRUE)+VLOOKUP($AC119+$X119,LT_IncomeTaxFed/$K119:$O119,5,TRUE)*($AC119+$X119-VLOOKUP($AC119+$X119,LT_IncomeTaxFed/$K119:$O119,1,TRUE)))+(VLOOKUP($AC119, LT_IncomeTaxFed/$K119:$O119, 4, TRUE)+VLOOKUP($AC119,LT_IncomeTaxFed/$K119:$O119,5,TRUE)*($AC119-VLOOKUP($AC119,LT_IncomeTaxFed/$K119:$O119,1,TRUE)))</f>
        <v>#REF!</v>
      </c>
      <c r="AF119" s="106" t="e">
        <f t="shared" ca="1" si="147"/>
        <v>#REF!</v>
      </c>
      <c r="AG119" s="107" t="e">
        <f t="shared" ca="1" si="148"/>
        <v>#REF!</v>
      </c>
      <c r="AH119" s="91" t="e">
        <f t="array" aca="1" ref="AH119" ca="1">IF(AG119&gt;0,(VLOOKUP(AG119, LT_IncomeTaxFed/$K119:$O119, 2, TRUE)+VLOOKUP(AG119,LT_IncomeTaxFed/$K119:$O119,3,TRUE)*(AG119-VLOOKUP(AG119,LT_IncomeTaxFed/$K119:$O119,1,TRUE)))/AG119,0)</f>
        <v>#REF!</v>
      </c>
      <c r="AI119" s="110" t="e">
        <f t="shared" ca="1" si="149"/>
        <v>#REF!</v>
      </c>
      <c r="AJ119" s="634"/>
      <c r="AK119" s="668"/>
    </row>
    <row r="120" spans="2:37" x14ac:dyDescent="0.25">
      <c r="B120" s="65">
        <f ca="1">B118+1</f>
        <v>2077</v>
      </c>
      <c r="C120" s="76" t="s">
        <v>741</v>
      </c>
      <c r="D120" s="146" t="str">
        <f t="shared" si="128"/>
        <v/>
      </c>
      <c r="E120" s="77">
        <f t="shared" si="126"/>
        <v>0</v>
      </c>
      <c r="F120" s="77" t="b">
        <f t="shared" si="129"/>
        <v>0</v>
      </c>
      <c r="G120" s="77">
        <f t="shared" si="87"/>
        <v>1</v>
      </c>
      <c r="H120" s="76">
        <f t="shared" si="130"/>
        <v>1</v>
      </c>
      <c r="I120" s="4">
        <f t="shared" si="131"/>
        <v>0</v>
      </c>
      <c r="J120" s="77">
        <f t="shared" si="132"/>
        <v>0</v>
      </c>
      <c r="K120" s="204">
        <f t="shared" ca="1" si="157"/>
        <v>0.13202440042827293</v>
      </c>
      <c r="L120" s="93">
        <f t="shared" ca="1" si="157"/>
        <v>0.13202440042827293</v>
      </c>
      <c r="M120" s="93">
        <v>1</v>
      </c>
      <c r="N120" s="93">
        <f t="shared" ca="1" si="31"/>
        <v>0.13202440042827293</v>
      </c>
      <c r="O120" s="100">
        <v>1</v>
      </c>
      <c r="P120" s="70">
        <f t="shared" ca="1" si="133"/>
        <v>0</v>
      </c>
      <c r="Q120" s="70">
        <f t="shared" ca="1" si="134"/>
        <v>0</v>
      </c>
      <c r="R120" s="70" t="e">
        <f t="shared" ca="1" si="135"/>
        <v>#REF!</v>
      </c>
      <c r="S120" s="70">
        <f t="shared" ca="1" si="136"/>
        <v>0</v>
      </c>
      <c r="T120" s="70">
        <f t="shared" ca="1" si="137"/>
        <v>0</v>
      </c>
      <c r="U120" s="70" t="e">
        <f t="shared" ca="1" si="138"/>
        <v>#REF!</v>
      </c>
      <c r="V120" s="70">
        <f t="shared" ca="1" si="139"/>
        <v>0</v>
      </c>
      <c r="W120" s="70">
        <f t="shared" ca="1" si="140"/>
        <v>0</v>
      </c>
      <c r="X120" s="70">
        <f t="shared" ca="1" si="141"/>
        <v>0</v>
      </c>
      <c r="Y120" s="98">
        <f t="shared" ca="1" si="142"/>
        <v>0</v>
      </c>
      <c r="Z120" s="70">
        <f t="shared" ca="1" si="143"/>
        <v>0</v>
      </c>
      <c r="AA120" s="70">
        <f t="shared" ca="1" si="144"/>
        <v>0</v>
      </c>
      <c r="AB120" s="409" t="e">
        <f t="shared" ca="1" si="145"/>
        <v>#REF!</v>
      </c>
      <c r="AC120" s="70" t="e">
        <f t="shared" ca="1" si="146"/>
        <v>#REF!</v>
      </c>
      <c r="AD120" s="70" t="e">
        <f t="array" aca="1" ref="AD120" ca="1">-(VLOOKUP(AC120, LT_IncomeTaxFed/$K120:$O120, 2, TRUE)+VLOOKUP(AC120,LT_IncomeTaxFed/$K120:$O120,3,TRUE)*(AC120-VLOOKUP(AC120,LT_IncomeTaxFed/$K120:$O120,1,TRUE)))</f>
        <v>#REF!</v>
      </c>
      <c r="AE120" s="70" t="e">
        <f t="array" aca="1" ref="AE120" ca="1">-(VLOOKUP($AC120+$X120, LT_IncomeTaxFed/$K120:$O120, 4, TRUE)+VLOOKUP($AC120+$X120,LT_IncomeTaxFed/$K120:$O120,5,TRUE)*($AC120+$X120-VLOOKUP($AC120+$X120,LT_IncomeTaxFed/$K120:$O120,1,TRUE)))+(VLOOKUP($AC120, LT_IncomeTaxFed/$K120:$O120, 4, TRUE)+VLOOKUP($AC120,LT_IncomeTaxFed/$K120:$O120,5,TRUE)*($AC120-VLOOKUP($AC120,LT_IncomeTaxFed/$K120:$O120,1,TRUE)))</f>
        <v>#REF!</v>
      </c>
      <c r="AF120" s="75" t="e">
        <f t="shared" ca="1" si="147"/>
        <v>#REF!</v>
      </c>
      <c r="AG120" s="70" t="e">
        <f t="shared" ca="1" si="148"/>
        <v>#REF!</v>
      </c>
      <c r="AH120" s="67" t="e">
        <f t="array" aca="1" ref="AH120" ca="1">IF(AG120&gt;0,(VLOOKUP(AG120, LT_IncomeTaxFed/$K120:$O120, 2, TRUE)+VLOOKUP(AG120,LT_IncomeTaxFed/$K120:$O120,3,TRUE)*(AG120-VLOOKUP(AG120,LT_IncomeTaxFed/$K120:$O120,1,TRUE)))/AG120,0)</f>
        <v>#REF!</v>
      </c>
      <c r="AI120" s="109" t="e">
        <f t="shared" ca="1" si="149"/>
        <v>#REF!</v>
      </c>
      <c r="AJ120" s="634" t="e">
        <f ca="1">SUMPRODUCT($Z120:$Z121+$AA120:$AA121+$AD120:$AD121+$AE120:$AE121+$AI120:$AI121)</f>
        <v>#REF!</v>
      </c>
      <c r="AK120" s="668" t="e">
        <f t="shared" ref="AK120" ca="1" si="159">IF($U120&gt;0, -AJ120/$U120, 0)</f>
        <v>#REF!</v>
      </c>
    </row>
    <row r="121" spans="2:37" x14ac:dyDescent="0.25">
      <c r="B121" s="86">
        <f t="shared" ca="1" si="111"/>
        <v>2077</v>
      </c>
      <c r="C121" s="80" t="s">
        <v>741</v>
      </c>
      <c r="D121" s="147" t="str">
        <f t="shared" si="128"/>
        <v/>
      </c>
      <c r="E121" s="81">
        <f t="shared" si="126"/>
        <v>0</v>
      </c>
      <c r="F121" s="81" t="b">
        <f t="shared" si="129"/>
        <v>0</v>
      </c>
      <c r="G121" s="81">
        <f t="shared" si="87"/>
        <v>2</v>
      </c>
      <c r="H121" s="82">
        <f t="shared" si="130"/>
        <v>-1</v>
      </c>
      <c r="I121" s="35">
        <f t="shared" si="131"/>
        <v>0</v>
      </c>
      <c r="J121" s="81">
        <f t="shared" si="132"/>
        <v>0</v>
      </c>
      <c r="K121" s="205">
        <f t="shared" ca="1" si="157"/>
        <v>0.13202440042827293</v>
      </c>
      <c r="L121" s="95">
        <f t="shared" ca="1" si="157"/>
        <v>0.13202440042827293</v>
      </c>
      <c r="M121" s="95">
        <v>1</v>
      </c>
      <c r="N121" s="95">
        <f t="shared" ca="1" si="31"/>
        <v>0.13202440042827293</v>
      </c>
      <c r="O121" s="206">
        <v>1</v>
      </c>
      <c r="P121" s="107">
        <f t="shared" ca="1" si="133"/>
        <v>0</v>
      </c>
      <c r="Q121" s="107">
        <f t="shared" ca="1" si="134"/>
        <v>0</v>
      </c>
      <c r="R121" s="107">
        <f t="shared" si="135"/>
        <v>0</v>
      </c>
      <c r="S121" s="107">
        <f t="shared" ca="1" si="136"/>
        <v>0</v>
      </c>
      <c r="T121" s="107">
        <f t="shared" ca="1" si="137"/>
        <v>0</v>
      </c>
      <c r="U121" s="107">
        <f t="shared" ca="1" si="138"/>
        <v>0</v>
      </c>
      <c r="V121" s="107">
        <f t="shared" ca="1" si="139"/>
        <v>0</v>
      </c>
      <c r="W121" s="107">
        <f t="shared" ca="1" si="140"/>
        <v>0</v>
      </c>
      <c r="X121" s="107">
        <f t="shared" ca="1" si="141"/>
        <v>0</v>
      </c>
      <c r="Y121" s="101">
        <f t="shared" ca="1" si="142"/>
        <v>0</v>
      </c>
      <c r="Z121" s="107">
        <f t="shared" ca="1" si="143"/>
        <v>0</v>
      </c>
      <c r="AA121" s="107">
        <f t="shared" ca="1" si="144"/>
        <v>0</v>
      </c>
      <c r="AB121" s="106" t="e">
        <f t="shared" ca="1" si="145"/>
        <v>#REF!</v>
      </c>
      <c r="AC121" s="107" t="e">
        <f t="shared" ca="1" si="146"/>
        <v>#REF!</v>
      </c>
      <c r="AD121" s="107" t="e">
        <f t="array" aca="1" ref="AD121" ca="1">-(VLOOKUP(AC121, LT_IncomeTaxFed/$K121:$O121, 2, TRUE)+VLOOKUP(AC121,LT_IncomeTaxFed/$K121:$O121,3,TRUE)*(AC121-VLOOKUP(AC121,LT_IncomeTaxFed/$K121:$O121,1,TRUE)))</f>
        <v>#REF!</v>
      </c>
      <c r="AE121" s="107" t="e">
        <f t="array" aca="1" ref="AE121" ca="1">-(VLOOKUP($AC121+$X121, LT_IncomeTaxFed/$K121:$O121, 4, TRUE)+VLOOKUP($AC121+$X121,LT_IncomeTaxFed/$K121:$O121,5,TRUE)*($AC121+$X121-VLOOKUP($AC121+$X121,LT_IncomeTaxFed/$K121:$O121,1,TRUE)))+(VLOOKUP($AC121, LT_IncomeTaxFed/$K121:$O121, 4, TRUE)+VLOOKUP($AC121,LT_IncomeTaxFed/$K121:$O121,5,TRUE)*($AC121-VLOOKUP($AC121,LT_IncomeTaxFed/$K121:$O121,1,TRUE)))</f>
        <v>#REF!</v>
      </c>
      <c r="AF121" s="106" t="e">
        <f t="shared" ca="1" si="147"/>
        <v>#REF!</v>
      </c>
      <c r="AG121" s="107" t="e">
        <f t="shared" ca="1" si="148"/>
        <v>#REF!</v>
      </c>
      <c r="AH121" s="91" t="e">
        <f t="array" aca="1" ref="AH121" ca="1">IF(AG121&gt;0,(VLOOKUP(AG121, LT_IncomeTaxFed/$K121:$O121, 2, TRUE)+VLOOKUP(AG121,LT_IncomeTaxFed/$K121:$O121,3,TRUE)*(AG121-VLOOKUP(AG121,LT_IncomeTaxFed/$K121:$O121,1,TRUE)))/AG121,0)</f>
        <v>#REF!</v>
      </c>
      <c r="AI121" s="110" t="e">
        <f t="shared" ca="1" si="149"/>
        <v>#REF!</v>
      </c>
      <c r="AJ121" s="634"/>
      <c r="AK121" s="668"/>
    </row>
    <row r="122" spans="2:37" x14ac:dyDescent="0.25">
      <c r="B122" s="65">
        <f ca="1">B120+1</f>
        <v>2078</v>
      </c>
      <c r="C122" s="76" t="s">
        <v>741</v>
      </c>
      <c r="D122" s="146" t="str">
        <f t="shared" si="128"/>
        <v/>
      </c>
      <c r="E122" s="77">
        <f t="shared" si="126"/>
        <v>0</v>
      </c>
      <c r="F122" s="77" t="b">
        <f t="shared" si="129"/>
        <v>0</v>
      </c>
      <c r="G122" s="77">
        <f t="shared" si="87"/>
        <v>1</v>
      </c>
      <c r="H122" s="76">
        <f t="shared" si="130"/>
        <v>1</v>
      </c>
      <c r="I122" s="4">
        <f t="shared" si="131"/>
        <v>0</v>
      </c>
      <c r="J122" s="77">
        <f t="shared" si="132"/>
        <v>0</v>
      </c>
      <c r="K122" s="204">
        <f t="shared" ca="1" si="157"/>
        <v>0.12725243414773293</v>
      </c>
      <c r="L122" s="93">
        <f t="shared" ca="1" si="157"/>
        <v>0.12725243414773293</v>
      </c>
      <c r="M122" s="93">
        <v>1</v>
      </c>
      <c r="N122" s="93">
        <f t="shared" ca="1" si="31"/>
        <v>0.12725243414773293</v>
      </c>
      <c r="O122" s="100">
        <v>1</v>
      </c>
      <c r="P122" s="70">
        <f t="shared" ca="1" si="133"/>
        <v>0</v>
      </c>
      <c r="Q122" s="70">
        <f t="shared" ca="1" si="134"/>
        <v>0</v>
      </c>
      <c r="R122" s="70" t="e">
        <f t="shared" ca="1" si="135"/>
        <v>#REF!</v>
      </c>
      <c r="S122" s="70">
        <f t="shared" ca="1" si="136"/>
        <v>0</v>
      </c>
      <c r="T122" s="70">
        <f t="shared" ca="1" si="137"/>
        <v>0</v>
      </c>
      <c r="U122" s="70" t="e">
        <f t="shared" ca="1" si="138"/>
        <v>#REF!</v>
      </c>
      <c r="V122" s="70">
        <f t="shared" ca="1" si="139"/>
        <v>0</v>
      </c>
      <c r="W122" s="70">
        <f t="shared" ca="1" si="140"/>
        <v>0</v>
      </c>
      <c r="X122" s="70">
        <f t="shared" ca="1" si="141"/>
        <v>0</v>
      </c>
      <c r="Y122" s="98">
        <f t="shared" ca="1" si="142"/>
        <v>0</v>
      </c>
      <c r="Z122" s="70">
        <f t="shared" ca="1" si="143"/>
        <v>0</v>
      </c>
      <c r="AA122" s="70">
        <f t="shared" ca="1" si="144"/>
        <v>0</v>
      </c>
      <c r="AB122" s="409" t="e">
        <f t="shared" ca="1" si="145"/>
        <v>#REF!</v>
      </c>
      <c r="AC122" s="70" t="e">
        <f t="shared" ca="1" si="146"/>
        <v>#REF!</v>
      </c>
      <c r="AD122" s="70" t="e">
        <f t="array" aca="1" ref="AD122" ca="1">-(VLOOKUP(AC122, LT_IncomeTaxFed/$K122:$O122, 2, TRUE)+VLOOKUP(AC122,LT_IncomeTaxFed/$K122:$O122,3,TRUE)*(AC122-VLOOKUP(AC122,LT_IncomeTaxFed/$K122:$O122,1,TRUE)))</f>
        <v>#REF!</v>
      </c>
      <c r="AE122" s="70" t="e">
        <f t="array" aca="1" ref="AE122" ca="1">-(VLOOKUP($AC122+$X122, LT_IncomeTaxFed/$K122:$O122, 4, TRUE)+VLOOKUP($AC122+$X122,LT_IncomeTaxFed/$K122:$O122,5,TRUE)*($AC122+$X122-VLOOKUP($AC122+$X122,LT_IncomeTaxFed/$K122:$O122,1,TRUE)))+(VLOOKUP($AC122, LT_IncomeTaxFed/$K122:$O122, 4, TRUE)+VLOOKUP($AC122,LT_IncomeTaxFed/$K122:$O122,5,TRUE)*($AC122-VLOOKUP($AC122,LT_IncomeTaxFed/$K122:$O122,1,TRUE)))</f>
        <v>#REF!</v>
      </c>
      <c r="AF122" s="75" t="e">
        <f t="shared" ca="1" si="147"/>
        <v>#REF!</v>
      </c>
      <c r="AG122" s="70" t="e">
        <f t="shared" ca="1" si="148"/>
        <v>#REF!</v>
      </c>
      <c r="AH122" s="67" t="e">
        <f t="array" aca="1" ref="AH122" ca="1">IF(AG122&gt;0,(VLOOKUP(AG122, LT_IncomeTaxFed/$K122:$O122, 2, TRUE)+VLOOKUP(AG122,LT_IncomeTaxFed/$K122:$O122,3,TRUE)*(AG122-VLOOKUP(AG122,LT_IncomeTaxFed/$K122:$O122,1,TRUE)))/AG122,0)</f>
        <v>#REF!</v>
      </c>
      <c r="AI122" s="109" t="e">
        <f t="shared" ca="1" si="149"/>
        <v>#REF!</v>
      </c>
      <c r="AJ122" s="634" t="e">
        <f ca="1">SUMPRODUCT($Z122:$Z123+$AA122:$AA123+$AD122:$AD123+$AE122:$AE123+$AI122:$AI123)</f>
        <v>#REF!</v>
      </c>
      <c r="AK122" s="668" t="e">
        <f t="shared" ref="AK122" ca="1" si="160">IF($U122&gt;0, -AJ122/$U122, 0)</f>
        <v>#REF!</v>
      </c>
    </row>
    <row r="123" spans="2:37" x14ac:dyDescent="0.25">
      <c r="B123" s="86">
        <f t="shared" ca="1" si="111"/>
        <v>2078</v>
      </c>
      <c r="C123" s="80" t="s">
        <v>741</v>
      </c>
      <c r="D123" s="147" t="str">
        <f t="shared" si="128"/>
        <v/>
      </c>
      <c r="E123" s="81">
        <f t="shared" si="126"/>
        <v>0</v>
      </c>
      <c r="F123" s="81" t="b">
        <f t="shared" si="129"/>
        <v>0</v>
      </c>
      <c r="G123" s="81">
        <f t="shared" si="87"/>
        <v>2</v>
      </c>
      <c r="H123" s="82">
        <f t="shared" si="130"/>
        <v>-1</v>
      </c>
      <c r="I123" s="35">
        <f t="shared" si="131"/>
        <v>0</v>
      </c>
      <c r="J123" s="81">
        <f t="shared" si="132"/>
        <v>0</v>
      </c>
      <c r="K123" s="205">
        <f t="shared" ca="1" si="157"/>
        <v>0.12725243414773293</v>
      </c>
      <c r="L123" s="95">
        <f t="shared" ca="1" si="157"/>
        <v>0.12725243414773293</v>
      </c>
      <c r="M123" s="95">
        <v>1</v>
      </c>
      <c r="N123" s="95">
        <f t="shared" ca="1" si="31"/>
        <v>0.12725243414773293</v>
      </c>
      <c r="O123" s="206">
        <v>1</v>
      </c>
      <c r="P123" s="107">
        <f t="shared" ca="1" si="133"/>
        <v>0</v>
      </c>
      <c r="Q123" s="107">
        <f t="shared" ca="1" si="134"/>
        <v>0</v>
      </c>
      <c r="R123" s="107">
        <f t="shared" si="135"/>
        <v>0</v>
      </c>
      <c r="S123" s="107">
        <f t="shared" ca="1" si="136"/>
        <v>0</v>
      </c>
      <c r="T123" s="107">
        <f t="shared" ca="1" si="137"/>
        <v>0</v>
      </c>
      <c r="U123" s="107">
        <f t="shared" ca="1" si="138"/>
        <v>0</v>
      </c>
      <c r="V123" s="107">
        <f t="shared" ca="1" si="139"/>
        <v>0</v>
      </c>
      <c r="W123" s="107">
        <f t="shared" ca="1" si="140"/>
        <v>0</v>
      </c>
      <c r="X123" s="107">
        <f t="shared" ca="1" si="141"/>
        <v>0</v>
      </c>
      <c r="Y123" s="101">
        <f t="shared" ca="1" si="142"/>
        <v>0</v>
      </c>
      <c r="Z123" s="107">
        <f t="shared" ca="1" si="143"/>
        <v>0</v>
      </c>
      <c r="AA123" s="107">
        <f t="shared" ca="1" si="144"/>
        <v>0</v>
      </c>
      <c r="AB123" s="106" t="e">
        <f t="shared" ca="1" si="145"/>
        <v>#REF!</v>
      </c>
      <c r="AC123" s="107" t="e">
        <f t="shared" ca="1" si="146"/>
        <v>#REF!</v>
      </c>
      <c r="AD123" s="107" t="e">
        <f t="array" aca="1" ref="AD123" ca="1">-(VLOOKUP(AC123, LT_IncomeTaxFed/$K123:$O123, 2, TRUE)+VLOOKUP(AC123,LT_IncomeTaxFed/$K123:$O123,3,TRUE)*(AC123-VLOOKUP(AC123,LT_IncomeTaxFed/$K123:$O123,1,TRUE)))</f>
        <v>#REF!</v>
      </c>
      <c r="AE123" s="107" t="e">
        <f t="array" aca="1" ref="AE123" ca="1">-(VLOOKUP($AC123+$X123, LT_IncomeTaxFed/$K123:$O123, 4, TRUE)+VLOOKUP($AC123+$X123,LT_IncomeTaxFed/$K123:$O123,5,TRUE)*($AC123+$X123-VLOOKUP($AC123+$X123,LT_IncomeTaxFed/$K123:$O123,1,TRUE)))+(VLOOKUP($AC123, LT_IncomeTaxFed/$K123:$O123, 4, TRUE)+VLOOKUP($AC123,LT_IncomeTaxFed/$K123:$O123,5,TRUE)*($AC123-VLOOKUP($AC123,LT_IncomeTaxFed/$K123:$O123,1,TRUE)))</f>
        <v>#REF!</v>
      </c>
      <c r="AF123" s="106" t="e">
        <f t="shared" ca="1" si="147"/>
        <v>#REF!</v>
      </c>
      <c r="AG123" s="107" t="e">
        <f t="shared" ca="1" si="148"/>
        <v>#REF!</v>
      </c>
      <c r="AH123" s="91" t="e">
        <f t="array" aca="1" ref="AH123" ca="1">IF(AG123&gt;0,(VLOOKUP(AG123, LT_IncomeTaxFed/$K123:$O123, 2, TRUE)+VLOOKUP(AG123,LT_IncomeTaxFed/$K123:$O123,3,TRUE)*(AG123-VLOOKUP(AG123,LT_IncomeTaxFed/$K123:$O123,1,TRUE)))/AG123,0)</f>
        <v>#REF!</v>
      </c>
      <c r="AI123" s="110" t="e">
        <f t="shared" ca="1" si="149"/>
        <v>#REF!</v>
      </c>
      <c r="AJ123" s="634"/>
      <c r="AK123" s="668"/>
    </row>
    <row r="124" spans="2:37" x14ac:dyDescent="0.25">
      <c r="B124" s="65">
        <f ca="1">B122+1</f>
        <v>2079</v>
      </c>
      <c r="C124" s="76" t="s">
        <v>741</v>
      </c>
      <c r="D124" s="146" t="str">
        <f t="shared" si="128"/>
        <v/>
      </c>
      <c r="E124" s="77">
        <f t="shared" si="126"/>
        <v>0</v>
      </c>
      <c r="F124" s="77" t="b">
        <f t="shared" si="129"/>
        <v>0</v>
      </c>
      <c r="G124" s="77">
        <f t="shared" si="87"/>
        <v>1</v>
      </c>
      <c r="H124" s="76">
        <f t="shared" si="130"/>
        <v>1</v>
      </c>
      <c r="I124" s="4">
        <f t="shared" si="131"/>
        <v>0</v>
      </c>
      <c r="J124" s="77">
        <f t="shared" si="132"/>
        <v>0</v>
      </c>
      <c r="K124" s="204">
        <f t="shared" ca="1" si="157"/>
        <v>0.12265294857612812</v>
      </c>
      <c r="L124" s="93">
        <f t="shared" ca="1" si="157"/>
        <v>0.12265294857612812</v>
      </c>
      <c r="M124" s="93">
        <v>1</v>
      </c>
      <c r="N124" s="93">
        <f t="shared" ca="1" si="31"/>
        <v>0.12265294857612812</v>
      </c>
      <c r="O124" s="100">
        <v>1</v>
      </c>
      <c r="P124" s="70">
        <f t="shared" ca="1" si="133"/>
        <v>0</v>
      </c>
      <c r="Q124" s="70">
        <f t="shared" ca="1" si="134"/>
        <v>0</v>
      </c>
      <c r="R124" s="70" t="e">
        <f t="shared" ca="1" si="135"/>
        <v>#REF!</v>
      </c>
      <c r="S124" s="70">
        <f t="shared" ca="1" si="136"/>
        <v>0</v>
      </c>
      <c r="T124" s="70">
        <f t="shared" ca="1" si="137"/>
        <v>0</v>
      </c>
      <c r="U124" s="70" t="e">
        <f t="shared" ca="1" si="138"/>
        <v>#REF!</v>
      </c>
      <c r="V124" s="70">
        <f t="shared" ca="1" si="139"/>
        <v>0</v>
      </c>
      <c r="W124" s="70">
        <f t="shared" ca="1" si="140"/>
        <v>0</v>
      </c>
      <c r="X124" s="70">
        <f t="shared" ca="1" si="141"/>
        <v>0</v>
      </c>
      <c r="Y124" s="98">
        <f t="shared" ca="1" si="142"/>
        <v>0</v>
      </c>
      <c r="Z124" s="70">
        <f t="shared" ca="1" si="143"/>
        <v>0</v>
      </c>
      <c r="AA124" s="70">
        <f t="shared" ca="1" si="144"/>
        <v>0</v>
      </c>
      <c r="AB124" s="409" t="e">
        <f t="shared" ca="1" si="145"/>
        <v>#REF!</v>
      </c>
      <c r="AC124" s="70" t="e">
        <f t="shared" ca="1" si="146"/>
        <v>#REF!</v>
      </c>
      <c r="AD124" s="70" t="e">
        <f t="array" aca="1" ref="AD124" ca="1">-(VLOOKUP(AC124, LT_IncomeTaxFed/$K124:$O124, 2, TRUE)+VLOOKUP(AC124,LT_IncomeTaxFed/$K124:$O124,3,TRUE)*(AC124-VLOOKUP(AC124,LT_IncomeTaxFed/$K124:$O124,1,TRUE)))</f>
        <v>#REF!</v>
      </c>
      <c r="AE124" s="70" t="e">
        <f t="array" aca="1" ref="AE124" ca="1">-(VLOOKUP($AC124+$X124, LT_IncomeTaxFed/$K124:$O124, 4, TRUE)+VLOOKUP($AC124+$X124,LT_IncomeTaxFed/$K124:$O124,5,TRUE)*($AC124+$X124-VLOOKUP($AC124+$X124,LT_IncomeTaxFed/$K124:$O124,1,TRUE)))+(VLOOKUP($AC124, LT_IncomeTaxFed/$K124:$O124, 4, TRUE)+VLOOKUP($AC124,LT_IncomeTaxFed/$K124:$O124,5,TRUE)*($AC124-VLOOKUP($AC124,LT_IncomeTaxFed/$K124:$O124,1,TRUE)))</f>
        <v>#REF!</v>
      </c>
      <c r="AF124" s="75" t="e">
        <f t="shared" ca="1" si="147"/>
        <v>#REF!</v>
      </c>
      <c r="AG124" s="70" t="e">
        <f t="shared" ca="1" si="148"/>
        <v>#REF!</v>
      </c>
      <c r="AH124" s="67" t="e">
        <f t="array" aca="1" ref="AH124" ca="1">IF(AG124&gt;0,(VLOOKUP(AG124, LT_IncomeTaxFed/$K124:$O124, 2, TRUE)+VLOOKUP(AG124,LT_IncomeTaxFed/$K124:$O124,3,TRUE)*(AG124-VLOOKUP(AG124,LT_IncomeTaxFed/$K124:$O124,1,TRUE)))/AG124,0)</f>
        <v>#REF!</v>
      </c>
      <c r="AI124" s="109" t="e">
        <f t="shared" ca="1" si="149"/>
        <v>#REF!</v>
      </c>
      <c r="AJ124" s="634" t="e">
        <f ca="1">SUMPRODUCT($Z124:$Z125+$AA124:$AA125+$AD124:$AD125+$AE124:$AE125+$AI124:$AI125)</f>
        <v>#REF!</v>
      </c>
      <c r="AK124" s="668" t="e">
        <f t="shared" ref="AK124" ca="1" si="161">IF($U124&gt;0, -AJ124/$U124, 0)</f>
        <v>#REF!</v>
      </c>
    </row>
    <row r="125" spans="2:37" x14ac:dyDescent="0.25">
      <c r="B125" s="86">
        <f t="shared" ca="1" si="111"/>
        <v>2079</v>
      </c>
      <c r="C125" s="80" t="s">
        <v>741</v>
      </c>
      <c r="D125" s="147" t="str">
        <f t="shared" si="128"/>
        <v/>
      </c>
      <c r="E125" s="81">
        <f t="shared" si="126"/>
        <v>0</v>
      </c>
      <c r="F125" s="81" t="b">
        <f t="shared" si="129"/>
        <v>0</v>
      </c>
      <c r="G125" s="81">
        <f t="shared" si="87"/>
        <v>2</v>
      </c>
      <c r="H125" s="82">
        <f t="shared" si="130"/>
        <v>-1</v>
      </c>
      <c r="I125" s="35">
        <f t="shared" si="131"/>
        <v>0</v>
      </c>
      <c r="J125" s="81">
        <f t="shared" si="132"/>
        <v>0</v>
      </c>
      <c r="K125" s="205">
        <f t="shared" ca="1" si="157"/>
        <v>0.12265294857612812</v>
      </c>
      <c r="L125" s="95">
        <f t="shared" ca="1" si="157"/>
        <v>0.12265294857612812</v>
      </c>
      <c r="M125" s="95">
        <v>1</v>
      </c>
      <c r="N125" s="95">
        <f t="shared" ca="1" si="31"/>
        <v>0.12265294857612812</v>
      </c>
      <c r="O125" s="206">
        <v>1</v>
      </c>
      <c r="P125" s="107">
        <f t="shared" ca="1" si="133"/>
        <v>0</v>
      </c>
      <c r="Q125" s="107">
        <f t="shared" ca="1" si="134"/>
        <v>0</v>
      </c>
      <c r="R125" s="107">
        <f t="shared" si="135"/>
        <v>0</v>
      </c>
      <c r="S125" s="107">
        <f t="shared" ca="1" si="136"/>
        <v>0</v>
      </c>
      <c r="T125" s="107">
        <f t="shared" ca="1" si="137"/>
        <v>0</v>
      </c>
      <c r="U125" s="107">
        <f t="shared" ca="1" si="138"/>
        <v>0</v>
      </c>
      <c r="V125" s="107">
        <f t="shared" ca="1" si="139"/>
        <v>0</v>
      </c>
      <c r="W125" s="107">
        <f t="shared" ca="1" si="140"/>
        <v>0</v>
      </c>
      <c r="X125" s="107">
        <f t="shared" ca="1" si="141"/>
        <v>0</v>
      </c>
      <c r="Y125" s="101">
        <f t="shared" ca="1" si="142"/>
        <v>0</v>
      </c>
      <c r="Z125" s="107">
        <f t="shared" ca="1" si="143"/>
        <v>0</v>
      </c>
      <c r="AA125" s="107">
        <f t="shared" ca="1" si="144"/>
        <v>0</v>
      </c>
      <c r="AB125" s="106" t="e">
        <f t="shared" ca="1" si="145"/>
        <v>#REF!</v>
      </c>
      <c r="AC125" s="107" t="e">
        <f t="shared" ca="1" si="146"/>
        <v>#REF!</v>
      </c>
      <c r="AD125" s="107" t="e">
        <f t="array" aca="1" ref="AD125" ca="1">-(VLOOKUP(AC125, LT_IncomeTaxFed/$K125:$O125, 2, TRUE)+VLOOKUP(AC125,LT_IncomeTaxFed/$K125:$O125,3,TRUE)*(AC125-VLOOKUP(AC125,LT_IncomeTaxFed/$K125:$O125,1,TRUE)))</f>
        <v>#REF!</v>
      </c>
      <c r="AE125" s="107" t="e">
        <f t="array" aca="1" ref="AE125" ca="1">-(VLOOKUP($AC125+$X125, LT_IncomeTaxFed/$K125:$O125, 4, TRUE)+VLOOKUP($AC125+$X125,LT_IncomeTaxFed/$K125:$O125,5,TRUE)*($AC125+$X125-VLOOKUP($AC125+$X125,LT_IncomeTaxFed/$K125:$O125,1,TRUE)))+(VLOOKUP($AC125, LT_IncomeTaxFed/$K125:$O125, 4, TRUE)+VLOOKUP($AC125,LT_IncomeTaxFed/$K125:$O125,5,TRUE)*($AC125-VLOOKUP($AC125,LT_IncomeTaxFed/$K125:$O125,1,TRUE)))</f>
        <v>#REF!</v>
      </c>
      <c r="AF125" s="106" t="e">
        <f t="shared" ca="1" si="147"/>
        <v>#REF!</v>
      </c>
      <c r="AG125" s="107" t="e">
        <f t="shared" ca="1" si="148"/>
        <v>#REF!</v>
      </c>
      <c r="AH125" s="91" t="e">
        <f t="array" aca="1" ref="AH125" ca="1">IF(AG125&gt;0,(VLOOKUP(AG125, LT_IncomeTaxFed/$K125:$O125, 2, TRUE)+VLOOKUP(AG125,LT_IncomeTaxFed/$K125:$O125,3,TRUE)*(AG125-VLOOKUP(AG125,LT_IncomeTaxFed/$K125:$O125,1,TRUE)))/AG125,0)</f>
        <v>#REF!</v>
      </c>
      <c r="AI125" s="110" t="e">
        <f t="shared" ca="1" si="149"/>
        <v>#REF!</v>
      </c>
      <c r="AJ125" s="634"/>
      <c r="AK125" s="668"/>
    </row>
    <row r="126" spans="2:37" x14ac:dyDescent="0.25">
      <c r="B126" s="65">
        <f ca="1">B124+1</f>
        <v>2080</v>
      </c>
      <c r="C126" s="76" t="s">
        <v>741</v>
      </c>
      <c r="D126" s="146" t="str">
        <f t="shared" si="128"/>
        <v/>
      </c>
      <c r="E126" s="77">
        <f t="shared" si="126"/>
        <v>0</v>
      </c>
      <c r="F126" s="77" t="b">
        <f t="shared" si="129"/>
        <v>0</v>
      </c>
      <c r="G126" s="77">
        <f t="shared" si="87"/>
        <v>1</v>
      </c>
      <c r="H126" s="76">
        <f t="shared" si="130"/>
        <v>1</v>
      </c>
      <c r="I126" s="4">
        <f t="shared" si="131"/>
        <v>0</v>
      </c>
      <c r="J126" s="77">
        <f t="shared" si="132"/>
        <v>0</v>
      </c>
      <c r="K126" s="204">
        <f t="shared" ca="1" si="157"/>
        <v>0.11821970947096686</v>
      </c>
      <c r="L126" s="93">
        <f t="shared" ca="1" si="157"/>
        <v>0.11821970947096686</v>
      </c>
      <c r="M126" s="93">
        <v>1</v>
      </c>
      <c r="N126" s="93">
        <f t="shared" ca="1" si="31"/>
        <v>0.11821970947096686</v>
      </c>
      <c r="O126" s="100">
        <v>1</v>
      </c>
      <c r="P126" s="70">
        <f t="shared" ca="1" si="133"/>
        <v>0</v>
      </c>
      <c r="Q126" s="70">
        <f t="shared" ca="1" si="134"/>
        <v>0</v>
      </c>
      <c r="R126" s="70" t="e">
        <f t="shared" ca="1" si="135"/>
        <v>#REF!</v>
      </c>
      <c r="S126" s="70">
        <f t="shared" ca="1" si="136"/>
        <v>0</v>
      </c>
      <c r="T126" s="70">
        <f t="shared" ca="1" si="137"/>
        <v>0</v>
      </c>
      <c r="U126" s="70" t="e">
        <f t="shared" ca="1" si="138"/>
        <v>#REF!</v>
      </c>
      <c r="V126" s="70">
        <f t="shared" ca="1" si="139"/>
        <v>0</v>
      </c>
      <c r="W126" s="70">
        <f t="shared" ca="1" si="140"/>
        <v>0</v>
      </c>
      <c r="X126" s="70">
        <f t="shared" ca="1" si="141"/>
        <v>0</v>
      </c>
      <c r="Y126" s="98">
        <f t="shared" ca="1" si="142"/>
        <v>0</v>
      </c>
      <c r="Z126" s="70">
        <f t="shared" ca="1" si="143"/>
        <v>0</v>
      </c>
      <c r="AA126" s="70">
        <f t="shared" ca="1" si="144"/>
        <v>0</v>
      </c>
      <c r="AB126" s="409" t="e">
        <f t="shared" ca="1" si="145"/>
        <v>#REF!</v>
      </c>
      <c r="AC126" s="70" t="e">
        <f t="shared" ca="1" si="146"/>
        <v>#REF!</v>
      </c>
      <c r="AD126" s="70" t="e">
        <f t="array" aca="1" ref="AD126" ca="1">-(VLOOKUP(AC126, LT_IncomeTaxFed/$K126:$O126, 2, TRUE)+VLOOKUP(AC126,LT_IncomeTaxFed/$K126:$O126,3,TRUE)*(AC126-VLOOKUP(AC126,LT_IncomeTaxFed/$K126:$O126,1,TRUE)))</f>
        <v>#REF!</v>
      </c>
      <c r="AE126" s="70" t="e">
        <f t="array" aca="1" ref="AE126" ca="1">-(VLOOKUP($AC126+$X126, LT_IncomeTaxFed/$K126:$O126, 4, TRUE)+VLOOKUP($AC126+$X126,LT_IncomeTaxFed/$K126:$O126,5,TRUE)*($AC126+$X126-VLOOKUP($AC126+$X126,LT_IncomeTaxFed/$K126:$O126,1,TRUE)))+(VLOOKUP($AC126, LT_IncomeTaxFed/$K126:$O126, 4, TRUE)+VLOOKUP($AC126,LT_IncomeTaxFed/$K126:$O126,5,TRUE)*($AC126-VLOOKUP($AC126,LT_IncomeTaxFed/$K126:$O126,1,TRUE)))</f>
        <v>#REF!</v>
      </c>
      <c r="AF126" s="75" t="e">
        <f t="shared" ca="1" si="147"/>
        <v>#REF!</v>
      </c>
      <c r="AG126" s="70" t="e">
        <f t="shared" ca="1" si="148"/>
        <v>#REF!</v>
      </c>
      <c r="AH126" s="67" t="e">
        <f t="array" aca="1" ref="AH126" ca="1">IF(AG126&gt;0,(VLOOKUP(AG126, LT_IncomeTaxFed/$K126:$O126, 2, TRUE)+VLOOKUP(AG126,LT_IncomeTaxFed/$K126:$O126,3,TRUE)*(AG126-VLOOKUP(AG126,LT_IncomeTaxFed/$K126:$O126,1,TRUE)))/AG126,0)</f>
        <v>#REF!</v>
      </c>
      <c r="AI126" s="109" t="e">
        <f t="shared" ca="1" si="149"/>
        <v>#REF!</v>
      </c>
      <c r="AJ126" s="634" t="e">
        <f ca="1">SUMPRODUCT($Z126:$Z127+$AA126:$AA127+$AD126:$AD127+$AE126:$AE127+$AI126:$AI127)</f>
        <v>#REF!</v>
      </c>
      <c r="AK126" s="668" t="e">
        <f t="shared" ref="AK126" ca="1" si="162">IF($U126&gt;0, -AJ126/$U126, 0)</f>
        <v>#REF!</v>
      </c>
    </row>
    <row r="127" spans="2:37" x14ac:dyDescent="0.25">
      <c r="B127" s="86">
        <f t="shared" ca="1" si="111"/>
        <v>2080</v>
      </c>
      <c r="C127" s="80" t="s">
        <v>741</v>
      </c>
      <c r="D127" s="147" t="str">
        <f t="shared" si="128"/>
        <v/>
      </c>
      <c r="E127" s="81">
        <f t="shared" si="126"/>
        <v>0</v>
      </c>
      <c r="F127" s="81" t="b">
        <f t="shared" si="129"/>
        <v>0</v>
      </c>
      <c r="G127" s="81">
        <f t="shared" si="87"/>
        <v>2</v>
      </c>
      <c r="H127" s="82">
        <f t="shared" si="130"/>
        <v>-1</v>
      </c>
      <c r="I127" s="35">
        <f t="shared" si="131"/>
        <v>0</v>
      </c>
      <c r="J127" s="81">
        <f t="shared" si="132"/>
        <v>0</v>
      </c>
      <c r="K127" s="205">
        <f t="shared" ca="1" si="157"/>
        <v>0.11821970947096686</v>
      </c>
      <c r="L127" s="95">
        <f t="shared" ca="1" si="157"/>
        <v>0.11821970947096686</v>
      </c>
      <c r="M127" s="95">
        <v>1</v>
      </c>
      <c r="N127" s="95">
        <f t="shared" ca="1" si="31"/>
        <v>0.11821970947096686</v>
      </c>
      <c r="O127" s="206">
        <v>1</v>
      </c>
      <c r="P127" s="107">
        <f t="shared" ca="1" si="133"/>
        <v>0</v>
      </c>
      <c r="Q127" s="107">
        <f t="shared" ca="1" si="134"/>
        <v>0</v>
      </c>
      <c r="R127" s="107">
        <f t="shared" si="135"/>
        <v>0</v>
      </c>
      <c r="S127" s="107">
        <f t="shared" ca="1" si="136"/>
        <v>0</v>
      </c>
      <c r="T127" s="107">
        <f t="shared" ca="1" si="137"/>
        <v>0</v>
      </c>
      <c r="U127" s="107">
        <f t="shared" ca="1" si="138"/>
        <v>0</v>
      </c>
      <c r="V127" s="107">
        <f t="shared" ca="1" si="139"/>
        <v>0</v>
      </c>
      <c r="W127" s="107">
        <f t="shared" ca="1" si="140"/>
        <v>0</v>
      </c>
      <c r="X127" s="107">
        <f t="shared" ca="1" si="141"/>
        <v>0</v>
      </c>
      <c r="Y127" s="101">
        <f t="shared" ca="1" si="142"/>
        <v>0</v>
      </c>
      <c r="Z127" s="107">
        <f t="shared" ca="1" si="143"/>
        <v>0</v>
      </c>
      <c r="AA127" s="107">
        <f t="shared" ca="1" si="144"/>
        <v>0</v>
      </c>
      <c r="AB127" s="106" t="e">
        <f t="shared" ca="1" si="145"/>
        <v>#REF!</v>
      </c>
      <c r="AC127" s="107" t="e">
        <f t="shared" ca="1" si="146"/>
        <v>#REF!</v>
      </c>
      <c r="AD127" s="107" t="e">
        <f t="array" aca="1" ref="AD127" ca="1">-(VLOOKUP(AC127, LT_IncomeTaxFed/$K127:$O127, 2, TRUE)+VLOOKUP(AC127,LT_IncomeTaxFed/$K127:$O127,3,TRUE)*(AC127-VLOOKUP(AC127,LT_IncomeTaxFed/$K127:$O127,1,TRUE)))</f>
        <v>#REF!</v>
      </c>
      <c r="AE127" s="107" t="e">
        <f t="array" aca="1" ref="AE127" ca="1">-(VLOOKUP($AC127+$X127, LT_IncomeTaxFed/$K127:$O127, 4, TRUE)+VLOOKUP($AC127+$X127,LT_IncomeTaxFed/$K127:$O127,5,TRUE)*($AC127+$X127-VLOOKUP($AC127+$X127,LT_IncomeTaxFed/$K127:$O127,1,TRUE)))+(VLOOKUP($AC127, LT_IncomeTaxFed/$K127:$O127, 4, TRUE)+VLOOKUP($AC127,LT_IncomeTaxFed/$K127:$O127,5,TRUE)*($AC127-VLOOKUP($AC127,LT_IncomeTaxFed/$K127:$O127,1,TRUE)))</f>
        <v>#REF!</v>
      </c>
      <c r="AF127" s="106" t="e">
        <f t="shared" ca="1" si="147"/>
        <v>#REF!</v>
      </c>
      <c r="AG127" s="107" t="e">
        <f t="shared" ca="1" si="148"/>
        <v>#REF!</v>
      </c>
      <c r="AH127" s="91" t="e">
        <f t="array" aca="1" ref="AH127" ca="1">IF(AG127&gt;0,(VLOOKUP(AG127, LT_IncomeTaxFed/$K127:$O127, 2, TRUE)+VLOOKUP(AG127,LT_IncomeTaxFed/$K127:$O127,3,TRUE)*(AG127-VLOOKUP(AG127,LT_IncomeTaxFed/$K127:$O127,1,TRUE)))/AG127,0)</f>
        <v>#REF!</v>
      </c>
      <c r="AI127" s="110" t="e">
        <f t="shared" ca="1" si="149"/>
        <v>#REF!</v>
      </c>
      <c r="AJ127" s="634"/>
      <c r="AK127" s="668"/>
    </row>
    <row r="128" spans="2:37" x14ac:dyDescent="0.25">
      <c r="B128" s="65">
        <f ca="1">B126+1</f>
        <v>2081</v>
      </c>
      <c r="C128" s="76" t="s">
        <v>741</v>
      </c>
      <c r="D128" s="146" t="str">
        <f t="shared" si="128"/>
        <v/>
      </c>
      <c r="E128" s="77">
        <f t="shared" si="126"/>
        <v>0</v>
      </c>
      <c r="F128" s="77" t="b">
        <f t="shared" si="129"/>
        <v>0</v>
      </c>
      <c r="G128" s="77">
        <f t="shared" si="87"/>
        <v>1</v>
      </c>
      <c r="H128" s="76">
        <f t="shared" si="130"/>
        <v>1</v>
      </c>
      <c r="I128" s="4">
        <f t="shared" si="131"/>
        <v>0</v>
      </c>
      <c r="J128" s="77">
        <f t="shared" si="132"/>
        <v>0</v>
      </c>
      <c r="K128" s="204">
        <f t="shared" ca="1" si="157"/>
        <v>0.11394670792382347</v>
      </c>
      <c r="L128" s="93">
        <f t="shared" ca="1" si="157"/>
        <v>0.11394670792382347</v>
      </c>
      <c r="M128" s="93">
        <v>1</v>
      </c>
      <c r="N128" s="93">
        <f t="shared" ca="1" si="31"/>
        <v>0.11394670792382347</v>
      </c>
      <c r="O128" s="100">
        <v>1</v>
      </c>
      <c r="P128" s="70">
        <f t="shared" ca="1" si="133"/>
        <v>0</v>
      </c>
      <c r="Q128" s="70">
        <f t="shared" ca="1" si="134"/>
        <v>0</v>
      </c>
      <c r="R128" s="70" t="e">
        <f t="shared" ca="1" si="135"/>
        <v>#REF!</v>
      </c>
      <c r="S128" s="70">
        <f t="shared" ca="1" si="136"/>
        <v>0</v>
      </c>
      <c r="T128" s="70">
        <f t="shared" ca="1" si="137"/>
        <v>0</v>
      </c>
      <c r="U128" s="70" t="e">
        <f t="shared" ca="1" si="138"/>
        <v>#REF!</v>
      </c>
      <c r="V128" s="70">
        <f t="shared" ca="1" si="139"/>
        <v>0</v>
      </c>
      <c r="W128" s="70">
        <f t="shared" ca="1" si="140"/>
        <v>0</v>
      </c>
      <c r="X128" s="70">
        <f t="shared" ca="1" si="141"/>
        <v>0</v>
      </c>
      <c r="Y128" s="98">
        <f t="shared" ca="1" si="142"/>
        <v>0</v>
      </c>
      <c r="Z128" s="70">
        <f t="shared" ca="1" si="143"/>
        <v>0</v>
      </c>
      <c r="AA128" s="70">
        <f t="shared" ca="1" si="144"/>
        <v>0</v>
      </c>
      <c r="AB128" s="409" t="e">
        <f t="shared" ca="1" si="145"/>
        <v>#REF!</v>
      </c>
      <c r="AC128" s="70" t="e">
        <f t="shared" ca="1" si="146"/>
        <v>#REF!</v>
      </c>
      <c r="AD128" s="70" t="e">
        <f t="array" aca="1" ref="AD128" ca="1">-(VLOOKUP(AC128, LT_IncomeTaxFed/$K128:$O128, 2, TRUE)+VLOOKUP(AC128,LT_IncomeTaxFed/$K128:$O128,3,TRUE)*(AC128-VLOOKUP(AC128,LT_IncomeTaxFed/$K128:$O128,1,TRUE)))</f>
        <v>#REF!</v>
      </c>
      <c r="AE128" s="70" t="e">
        <f t="array" aca="1" ref="AE128" ca="1">-(VLOOKUP($AC128+$X128, LT_IncomeTaxFed/$K128:$O128, 4, TRUE)+VLOOKUP($AC128+$X128,LT_IncomeTaxFed/$K128:$O128,5,TRUE)*($AC128+$X128-VLOOKUP($AC128+$X128,LT_IncomeTaxFed/$K128:$O128,1,TRUE)))+(VLOOKUP($AC128, LT_IncomeTaxFed/$K128:$O128, 4, TRUE)+VLOOKUP($AC128,LT_IncomeTaxFed/$K128:$O128,5,TRUE)*($AC128-VLOOKUP($AC128,LT_IncomeTaxFed/$K128:$O128,1,TRUE)))</f>
        <v>#REF!</v>
      </c>
      <c r="AF128" s="75" t="e">
        <f t="shared" ca="1" si="147"/>
        <v>#REF!</v>
      </c>
      <c r="AG128" s="70" t="e">
        <f t="shared" ca="1" si="148"/>
        <v>#REF!</v>
      </c>
      <c r="AH128" s="67" t="e">
        <f t="array" aca="1" ref="AH128" ca="1">IF(AG128&gt;0,(VLOOKUP(AG128, LT_IncomeTaxFed/$K128:$O128, 2, TRUE)+VLOOKUP(AG128,LT_IncomeTaxFed/$K128:$O128,3,TRUE)*(AG128-VLOOKUP(AG128,LT_IncomeTaxFed/$K128:$O128,1,TRUE)))/AG128,0)</f>
        <v>#REF!</v>
      </c>
      <c r="AI128" s="109" t="e">
        <f t="shared" ca="1" si="149"/>
        <v>#REF!</v>
      </c>
      <c r="AJ128" s="634" t="e">
        <f ca="1">SUMPRODUCT($Z128:$Z129+$AA128:$AA129+$AD128:$AD129+$AE128:$AE129+$AI128:$AI129)</f>
        <v>#REF!</v>
      </c>
      <c r="AK128" s="668" t="e">
        <f t="shared" ref="AK128" ca="1" si="163">IF($U128&gt;0, -AJ128/$U128, 0)</f>
        <v>#REF!</v>
      </c>
    </row>
    <row r="129" spans="2:37" x14ac:dyDescent="0.25">
      <c r="B129" s="86">
        <f t="shared" ca="1" si="111"/>
        <v>2081</v>
      </c>
      <c r="C129" s="80" t="s">
        <v>741</v>
      </c>
      <c r="D129" s="147" t="str">
        <f t="shared" si="128"/>
        <v/>
      </c>
      <c r="E129" s="81">
        <f t="shared" si="126"/>
        <v>0</v>
      </c>
      <c r="F129" s="81" t="b">
        <f t="shared" si="129"/>
        <v>0</v>
      </c>
      <c r="G129" s="81">
        <f t="shared" si="87"/>
        <v>2</v>
      </c>
      <c r="H129" s="82">
        <f t="shared" si="130"/>
        <v>-1</v>
      </c>
      <c r="I129" s="35">
        <f t="shared" si="131"/>
        <v>0</v>
      </c>
      <c r="J129" s="81">
        <f t="shared" si="132"/>
        <v>0</v>
      </c>
      <c r="K129" s="205">
        <f t="shared" ca="1" si="157"/>
        <v>0.11394670792382347</v>
      </c>
      <c r="L129" s="95">
        <f t="shared" ca="1" si="157"/>
        <v>0.11394670792382347</v>
      </c>
      <c r="M129" s="95">
        <v>1</v>
      </c>
      <c r="N129" s="95">
        <f t="shared" ca="1" si="31"/>
        <v>0.11394670792382347</v>
      </c>
      <c r="O129" s="206">
        <v>1</v>
      </c>
      <c r="P129" s="107">
        <f t="shared" ca="1" si="133"/>
        <v>0</v>
      </c>
      <c r="Q129" s="107">
        <f t="shared" ca="1" si="134"/>
        <v>0</v>
      </c>
      <c r="R129" s="107">
        <f t="shared" si="135"/>
        <v>0</v>
      </c>
      <c r="S129" s="107">
        <f t="shared" ca="1" si="136"/>
        <v>0</v>
      </c>
      <c r="T129" s="107">
        <f t="shared" ca="1" si="137"/>
        <v>0</v>
      </c>
      <c r="U129" s="107">
        <f t="shared" ca="1" si="138"/>
        <v>0</v>
      </c>
      <c r="V129" s="107">
        <f t="shared" ca="1" si="139"/>
        <v>0</v>
      </c>
      <c r="W129" s="107">
        <f t="shared" ca="1" si="140"/>
        <v>0</v>
      </c>
      <c r="X129" s="107">
        <f t="shared" ca="1" si="141"/>
        <v>0</v>
      </c>
      <c r="Y129" s="101">
        <f t="shared" ca="1" si="142"/>
        <v>0</v>
      </c>
      <c r="Z129" s="107">
        <f t="shared" ca="1" si="143"/>
        <v>0</v>
      </c>
      <c r="AA129" s="107">
        <f t="shared" ca="1" si="144"/>
        <v>0</v>
      </c>
      <c r="AB129" s="106" t="e">
        <f t="shared" ca="1" si="145"/>
        <v>#REF!</v>
      </c>
      <c r="AC129" s="107" t="e">
        <f t="shared" ca="1" si="146"/>
        <v>#REF!</v>
      </c>
      <c r="AD129" s="107" t="e">
        <f t="array" aca="1" ref="AD129" ca="1">-(VLOOKUP(AC129, LT_IncomeTaxFed/$K129:$O129, 2, TRUE)+VLOOKUP(AC129,LT_IncomeTaxFed/$K129:$O129,3,TRUE)*(AC129-VLOOKUP(AC129,LT_IncomeTaxFed/$K129:$O129,1,TRUE)))</f>
        <v>#REF!</v>
      </c>
      <c r="AE129" s="107" t="e">
        <f t="array" aca="1" ref="AE129" ca="1">-(VLOOKUP($AC129+$X129, LT_IncomeTaxFed/$K129:$O129, 4, TRUE)+VLOOKUP($AC129+$X129,LT_IncomeTaxFed/$K129:$O129,5,TRUE)*($AC129+$X129-VLOOKUP($AC129+$X129,LT_IncomeTaxFed/$K129:$O129,1,TRUE)))+(VLOOKUP($AC129, LT_IncomeTaxFed/$K129:$O129, 4, TRUE)+VLOOKUP($AC129,LT_IncomeTaxFed/$K129:$O129,5,TRUE)*($AC129-VLOOKUP($AC129,LT_IncomeTaxFed/$K129:$O129,1,TRUE)))</f>
        <v>#REF!</v>
      </c>
      <c r="AF129" s="106" t="e">
        <f t="shared" ca="1" si="147"/>
        <v>#REF!</v>
      </c>
      <c r="AG129" s="107" t="e">
        <f t="shared" ca="1" si="148"/>
        <v>#REF!</v>
      </c>
      <c r="AH129" s="91" t="e">
        <f t="array" aca="1" ref="AH129" ca="1">IF(AG129&gt;0,(VLOOKUP(AG129, LT_IncomeTaxFed/$K129:$O129, 2, TRUE)+VLOOKUP(AG129,LT_IncomeTaxFed/$K129:$O129,3,TRUE)*(AG129-VLOOKUP(AG129,LT_IncomeTaxFed/$K129:$O129,1,TRUE)))/AG129,0)</f>
        <v>#REF!</v>
      </c>
      <c r="AI129" s="110" t="e">
        <f t="shared" ca="1" si="149"/>
        <v>#REF!</v>
      </c>
      <c r="AJ129" s="634"/>
      <c r="AK129" s="668"/>
    </row>
    <row r="130" spans="2:37" x14ac:dyDescent="0.25">
      <c r="B130" s="65">
        <f ca="1">B128+1</f>
        <v>2082</v>
      </c>
      <c r="C130" s="76" t="s">
        <v>741</v>
      </c>
      <c r="D130" s="146" t="str">
        <f t="shared" si="128"/>
        <v/>
      </c>
      <c r="E130" s="77">
        <f t="shared" si="126"/>
        <v>0</v>
      </c>
      <c r="F130" s="77" t="b">
        <f t="shared" si="129"/>
        <v>0</v>
      </c>
      <c r="G130" s="77">
        <f t="shared" si="87"/>
        <v>1</v>
      </c>
      <c r="H130" s="76">
        <f t="shared" si="130"/>
        <v>1</v>
      </c>
      <c r="I130" s="4">
        <f t="shared" si="131"/>
        <v>0</v>
      </c>
      <c r="J130" s="77">
        <f t="shared" si="132"/>
        <v>0</v>
      </c>
      <c r="K130" s="204">
        <f t="shared" ca="1" si="157"/>
        <v>0.10982815221573344</v>
      </c>
      <c r="L130" s="93">
        <f t="shared" ca="1" si="157"/>
        <v>0.10982815221573344</v>
      </c>
      <c r="M130" s="93">
        <v>1</v>
      </c>
      <c r="N130" s="93">
        <f t="shared" ca="1" si="31"/>
        <v>0.10982815221573344</v>
      </c>
      <c r="O130" s="100">
        <v>1</v>
      </c>
      <c r="P130" s="70">
        <f t="shared" ca="1" si="133"/>
        <v>0</v>
      </c>
      <c r="Q130" s="70">
        <f t="shared" ca="1" si="134"/>
        <v>0</v>
      </c>
      <c r="R130" s="70" t="e">
        <f t="shared" ca="1" si="135"/>
        <v>#REF!</v>
      </c>
      <c r="S130" s="70">
        <f t="shared" ca="1" si="136"/>
        <v>0</v>
      </c>
      <c r="T130" s="70">
        <f t="shared" ca="1" si="137"/>
        <v>0</v>
      </c>
      <c r="U130" s="70" t="e">
        <f t="shared" ca="1" si="138"/>
        <v>#REF!</v>
      </c>
      <c r="V130" s="70">
        <f t="shared" ca="1" si="139"/>
        <v>0</v>
      </c>
      <c r="W130" s="70">
        <f t="shared" ca="1" si="140"/>
        <v>0</v>
      </c>
      <c r="X130" s="70">
        <f t="shared" ca="1" si="141"/>
        <v>0</v>
      </c>
      <c r="Y130" s="98">
        <f t="shared" ca="1" si="142"/>
        <v>0</v>
      </c>
      <c r="Z130" s="70">
        <f t="shared" ca="1" si="143"/>
        <v>0</v>
      </c>
      <c r="AA130" s="70">
        <f t="shared" ca="1" si="144"/>
        <v>0</v>
      </c>
      <c r="AB130" s="409" t="e">
        <f t="shared" ca="1" si="145"/>
        <v>#REF!</v>
      </c>
      <c r="AC130" s="70" t="e">
        <f t="shared" ca="1" si="146"/>
        <v>#REF!</v>
      </c>
      <c r="AD130" s="70" t="e">
        <f t="array" aca="1" ref="AD130" ca="1">-(VLOOKUP(AC130, LT_IncomeTaxFed/$K130:$O130, 2, TRUE)+VLOOKUP(AC130,LT_IncomeTaxFed/$K130:$O130,3,TRUE)*(AC130-VLOOKUP(AC130,LT_IncomeTaxFed/$K130:$O130,1,TRUE)))</f>
        <v>#REF!</v>
      </c>
      <c r="AE130" s="70" t="e">
        <f t="array" aca="1" ref="AE130" ca="1">-(VLOOKUP($AC130+$X130, LT_IncomeTaxFed/$K130:$O130, 4, TRUE)+VLOOKUP($AC130+$X130,LT_IncomeTaxFed/$K130:$O130,5,TRUE)*($AC130+$X130-VLOOKUP($AC130+$X130,LT_IncomeTaxFed/$K130:$O130,1,TRUE)))+(VLOOKUP($AC130, LT_IncomeTaxFed/$K130:$O130, 4, TRUE)+VLOOKUP($AC130,LT_IncomeTaxFed/$K130:$O130,5,TRUE)*($AC130-VLOOKUP($AC130,LT_IncomeTaxFed/$K130:$O130,1,TRUE)))</f>
        <v>#REF!</v>
      </c>
      <c r="AF130" s="75" t="e">
        <f t="shared" ca="1" si="147"/>
        <v>#REF!</v>
      </c>
      <c r="AG130" s="70" t="e">
        <f t="shared" ca="1" si="148"/>
        <v>#REF!</v>
      </c>
      <c r="AH130" s="67" t="e">
        <f t="array" aca="1" ref="AH130" ca="1">IF(AG130&gt;0,(VLOOKUP(AG130, LT_IncomeTaxFed/$K130:$O130, 2, TRUE)+VLOOKUP(AG130,LT_IncomeTaxFed/$K130:$O130,3,TRUE)*(AG130-VLOOKUP(AG130,LT_IncomeTaxFed/$K130:$O130,1,TRUE)))/AG130,0)</f>
        <v>#REF!</v>
      </c>
      <c r="AI130" s="109" t="e">
        <f t="shared" ca="1" si="149"/>
        <v>#REF!</v>
      </c>
      <c r="AJ130" s="634" t="e">
        <f ca="1">SUMPRODUCT($Z130:$Z131+$AA130:$AA131+$AD130:$AD131+$AE130:$AE131+$AI130:$AI131)</f>
        <v>#REF!</v>
      </c>
      <c r="AK130" s="668" t="e">
        <f t="shared" ref="AK130" ca="1" si="164">IF($U130&gt;0, -AJ130/$U130, 0)</f>
        <v>#REF!</v>
      </c>
    </row>
    <row r="131" spans="2:37" x14ac:dyDescent="0.25">
      <c r="B131" s="86">
        <f t="shared" ca="1" si="111"/>
        <v>2082</v>
      </c>
      <c r="C131" s="80" t="s">
        <v>741</v>
      </c>
      <c r="D131" s="147" t="str">
        <f t="shared" si="128"/>
        <v/>
      </c>
      <c r="E131" s="81">
        <f t="shared" si="126"/>
        <v>0</v>
      </c>
      <c r="F131" s="81" t="b">
        <f t="shared" si="129"/>
        <v>0</v>
      </c>
      <c r="G131" s="81">
        <f t="shared" si="87"/>
        <v>2</v>
      </c>
      <c r="H131" s="82">
        <f t="shared" si="130"/>
        <v>-1</v>
      </c>
      <c r="I131" s="35">
        <f t="shared" si="131"/>
        <v>0</v>
      </c>
      <c r="J131" s="81">
        <f t="shared" si="132"/>
        <v>0</v>
      </c>
      <c r="K131" s="205">
        <f t="shared" ca="1" si="157"/>
        <v>0.10982815221573344</v>
      </c>
      <c r="L131" s="95">
        <f t="shared" ca="1" si="157"/>
        <v>0.10982815221573344</v>
      </c>
      <c r="M131" s="95">
        <v>1</v>
      </c>
      <c r="N131" s="95">
        <f t="shared" ca="1" si="31"/>
        <v>0.10982815221573344</v>
      </c>
      <c r="O131" s="206">
        <v>1</v>
      </c>
      <c r="P131" s="107">
        <f t="shared" ca="1" si="133"/>
        <v>0</v>
      </c>
      <c r="Q131" s="107">
        <f t="shared" ca="1" si="134"/>
        <v>0</v>
      </c>
      <c r="R131" s="107">
        <f t="shared" si="135"/>
        <v>0</v>
      </c>
      <c r="S131" s="107">
        <f t="shared" ca="1" si="136"/>
        <v>0</v>
      </c>
      <c r="T131" s="107">
        <f t="shared" ca="1" si="137"/>
        <v>0</v>
      </c>
      <c r="U131" s="107">
        <f t="shared" ca="1" si="138"/>
        <v>0</v>
      </c>
      <c r="V131" s="107">
        <f t="shared" ca="1" si="139"/>
        <v>0</v>
      </c>
      <c r="W131" s="107">
        <f t="shared" ca="1" si="140"/>
        <v>0</v>
      </c>
      <c r="X131" s="107">
        <f t="shared" ca="1" si="141"/>
        <v>0</v>
      </c>
      <c r="Y131" s="101">
        <f t="shared" ca="1" si="142"/>
        <v>0</v>
      </c>
      <c r="Z131" s="107">
        <f t="shared" ca="1" si="143"/>
        <v>0</v>
      </c>
      <c r="AA131" s="107">
        <f t="shared" ca="1" si="144"/>
        <v>0</v>
      </c>
      <c r="AB131" s="106" t="e">
        <f t="shared" ca="1" si="145"/>
        <v>#REF!</v>
      </c>
      <c r="AC131" s="107" t="e">
        <f t="shared" ca="1" si="146"/>
        <v>#REF!</v>
      </c>
      <c r="AD131" s="107" t="e">
        <f t="array" aca="1" ref="AD131" ca="1">-(VLOOKUP(AC131, LT_IncomeTaxFed/$K131:$O131, 2, TRUE)+VLOOKUP(AC131,LT_IncomeTaxFed/$K131:$O131,3,TRUE)*(AC131-VLOOKUP(AC131,LT_IncomeTaxFed/$K131:$O131,1,TRUE)))</f>
        <v>#REF!</v>
      </c>
      <c r="AE131" s="107" t="e">
        <f t="array" aca="1" ref="AE131" ca="1">-(VLOOKUP($AC131+$X131, LT_IncomeTaxFed/$K131:$O131, 4, TRUE)+VLOOKUP($AC131+$X131,LT_IncomeTaxFed/$K131:$O131,5,TRUE)*($AC131+$X131-VLOOKUP($AC131+$X131,LT_IncomeTaxFed/$K131:$O131,1,TRUE)))+(VLOOKUP($AC131, LT_IncomeTaxFed/$K131:$O131, 4, TRUE)+VLOOKUP($AC131,LT_IncomeTaxFed/$K131:$O131,5,TRUE)*($AC131-VLOOKUP($AC131,LT_IncomeTaxFed/$K131:$O131,1,TRUE)))</f>
        <v>#REF!</v>
      </c>
      <c r="AF131" s="106" t="e">
        <f t="shared" ca="1" si="147"/>
        <v>#REF!</v>
      </c>
      <c r="AG131" s="107" t="e">
        <f t="shared" ca="1" si="148"/>
        <v>#REF!</v>
      </c>
      <c r="AH131" s="91" t="e">
        <f t="array" aca="1" ref="AH131" ca="1">IF(AG131&gt;0,(VLOOKUP(AG131, LT_IncomeTaxFed/$K131:$O131, 2, TRUE)+VLOOKUP(AG131,LT_IncomeTaxFed/$K131:$O131,3,TRUE)*(AG131-VLOOKUP(AG131,LT_IncomeTaxFed/$K131:$O131,1,TRUE)))/AG131,0)</f>
        <v>#REF!</v>
      </c>
      <c r="AI131" s="110" t="e">
        <f t="shared" ca="1" si="149"/>
        <v>#REF!</v>
      </c>
      <c r="AJ131" s="634"/>
      <c r="AK131" s="668"/>
    </row>
    <row r="132" spans="2:37" x14ac:dyDescent="0.25">
      <c r="B132" s="65">
        <f ca="1">B130+1</f>
        <v>2083</v>
      </c>
      <c r="C132" s="76" t="s">
        <v>741</v>
      </c>
      <c r="D132" s="146" t="str">
        <f t="shared" si="128"/>
        <v/>
      </c>
      <c r="E132" s="77">
        <f t="shared" si="126"/>
        <v>0</v>
      </c>
      <c r="F132" s="77" t="b">
        <f t="shared" si="129"/>
        <v>0</v>
      </c>
      <c r="G132" s="77">
        <f t="shared" si="87"/>
        <v>1</v>
      </c>
      <c r="H132" s="76">
        <f t="shared" si="130"/>
        <v>1</v>
      </c>
      <c r="I132" s="4">
        <f t="shared" si="131"/>
        <v>0</v>
      </c>
      <c r="J132" s="77">
        <f t="shared" si="132"/>
        <v>0</v>
      </c>
      <c r="K132" s="204">
        <f t="shared" ca="1" si="157"/>
        <v>0.10585845996697199</v>
      </c>
      <c r="L132" s="93">
        <f t="shared" ca="1" si="157"/>
        <v>0.10585845996697199</v>
      </c>
      <c r="M132" s="93">
        <v>1</v>
      </c>
      <c r="N132" s="93">
        <f t="shared" ca="1" si="31"/>
        <v>0.10585845996697199</v>
      </c>
      <c r="O132" s="100">
        <v>1</v>
      </c>
      <c r="P132" s="70">
        <f t="shared" ca="1" si="133"/>
        <v>0</v>
      </c>
      <c r="Q132" s="70">
        <f t="shared" ca="1" si="134"/>
        <v>0</v>
      </c>
      <c r="R132" s="70" t="e">
        <f t="shared" ca="1" si="135"/>
        <v>#REF!</v>
      </c>
      <c r="S132" s="70">
        <f t="shared" ca="1" si="136"/>
        <v>0</v>
      </c>
      <c r="T132" s="70">
        <f t="shared" ca="1" si="137"/>
        <v>0</v>
      </c>
      <c r="U132" s="70" t="e">
        <f t="shared" ca="1" si="138"/>
        <v>#REF!</v>
      </c>
      <c r="V132" s="70">
        <f t="shared" ca="1" si="139"/>
        <v>0</v>
      </c>
      <c r="W132" s="70">
        <f t="shared" ca="1" si="140"/>
        <v>0</v>
      </c>
      <c r="X132" s="70">
        <f t="shared" ca="1" si="141"/>
        <v>0</v>
      </c>
      <c r="Y132" s="98">
        <f t="shared" ca="1" si="142"/>
        <v>0</v>
      </c>
      <c r="Z132" s="70">
        <f t="shared" ca="1" si="143"/>
        <v>0</v>
      </c>
      <c r="AA132" s="70">
        <f t="shared" ca="1" si="144"/>
        <v>0</v>
      </c>
      <c r="AB132" s="409" t="e">
        <f t="shared" ca="1" si="145"/>
        <v>#REF!</v>
      </c>
      <c r="AC132" s="70" t="e">
        <f t="shared" ca="1" si="146"/>
        <v>#REF!</v>
      </c>
      <c r="AD132" s="70" t="e">
        <f t="array" aca="1" ref="AD132" ca="1">-(VLOOKUP(AC132, LT_IncomeTaxFed/$K132:$O132, 2, TRUE)+VLOOKUP(AC132,LT_IncomeTaxFed/$K132:$O132,3,TRUE)*(AC132-VLOOKUP(AC132,LT_IncomeTaxFed/$K132:$O132,1,TRUE)))</f>
        <v>#REF!</v>
      </c>
      <c r="AE132" s="70" t="e">
        <f t="array" aca="1" ref="AE132" ca="1">-(VLOOKUP($AC132+$X132, LT_IncomeTaxFed/$K132:$O132, 4, TRUE)+VLOOKUP($AC132+$X132,LT_IncomeTaxFed/$K132:$O132,5,TRUE)*($AC132+$X132-VLOOKUP($AC132+$X132,LT_IncomeTaxFed/$K132:$O132,1,TRUE)))+(VLOOKUP($AC132, LT_IncomeTaxFed/$K132:$O132, 4, TRUE)+VLOOKUP($AC132,LT_IncomeTaxFed/$K132:$O132,5,TRUE)*($AC132-VLOOKUP($AC132,LT_IncomeTaxFed/$K132:$O132,1,TRUE)))</f>
        <v>#REF!</v>
      </c>
      <c r="AF132" s="75" t="e">
        <f t="shared" ca="1" si="147"/>
        <v>#REF!</v>
      </c>
      <c r="AG132" s="70" t="e">
        <f t="shared" ca="1" si="148"/>
        <v>#REF!</v>
      </c>
      <c r="AH132" s="67" t="e">
        <f t="array" aca="1" ref="AH132" ca="1">IF(AG132&gt;0,(VLOOKUP(AG132, LT_IncomeTaxFed/$K132:$O132, 2, TRUE)+VLOOKUP(AG132,LT_IncomeTaxFed/$K132:$O132,3,TRUE)*(AG132-VLOOKUP(AG132,LT_IncomeTaxFed/$K132:$O132,1,TRUE)))/AG132,0)</f>
        <v>#REF!</v>
      </c>
      <c r="AI132" s="109" t="e">
        <f t="shared" ca="1" si="149"/>
        <v>#REF!</v>
      </c>
      <c r="AJ132" s="634" t="e">
        <f ca="1">SUMPRODUCT($Z132:$Z133+$AA132:$AA133+$AD132:$AD133+$AE132:$AE133+$AI132:$AI133)</f>
        <v>#REF!</v>
      </c>
      <c r="AK132" s="668" t="e">
        <f t="shared" ref="AK132" ca="1" si="165">IF($U132&gt;0, -AJ132/$U132, 0)</f>
        <v>#REF!</v>
      </c>
    </row>
    <row r="133" spans="2:37" x14ac:dyDescent="0.25">
      <c r="B133" s="86">
        <f t="shared" ca="1" si="111"/>
        <v>2083</v>
      </c>
      <c r="C133" s="80" t="s">
        <v>741</v>
      </c>
      <c r="D133" s="147" t="str">
        <f t="shared" si="128"/>
        <v/>
      </c>
      <c r="E133" s="81">
        <f t="shared" si="126"/>
        <v>0</v>
      </c>
      <c r="F133" s="81" t="b">
        <f t="shared" si="129"/>
        <v>0</v>
      </c>
      <c r="G133" s="81">
        <f t="shared" si="87"/>
        <v>2</v>
      </c>
      <c r="H133" s="82">
        <f t="shared" si="130"/>
        <v>-1</v>
      </c>
      <c r="I133" s="35">
        <f t="shared" si="131"/>
        <v>0</v>
      </c>
      <c r="J133" s="81">
        <f t="shared" si="132"/>
        <v>0</v>
      </c>
      <c r="K133" s="205">
        <f t="shared" ca="1" si="157"/>
        <v>0.10585845996697199</v>
      </c>
      <c r="L133" s="95">
        <f t="shared" ca="1" si="157"/>
        <v>0.10585845996697199</v>
      </c>
      <c r="M133" s="95">
        <v>1</v>
      </c>
      <c r="N133" s="95">
        <f t="shared" ca="1" si="31"/>
        <v>0.10585845996697199</v>
      </c>
      <c r="O133" s="206">
        <v>1</v>
      </c>
      <c r="P133" s="107">
        <f t="shared" ca="1" si="133"/>
        <v>0</v>
      </c>
      <c r="Q133" s="107">
        <f t="shared" ca="1" si="134"/>
        <v>0</v>
      </c>
      <c r="R133" s="107">
        <f t="shared" si="135"/>
        <v>0</v>
      </c>
      <c r="S133" s="107">
        <f t="shared" ca="1" si="136"/>
        <v>0</v>
      </c>
      <c r="T133" s="107">
        <f t="shared" ca="1" si="137"/>
        <v>0</v>
      </c>
      <c r="U133" s="107">
        <f t="shared" ca="1" si="138"/>
        <v>0</v>
      </c>
      <c r="V133" s="107">
        <f t="shared" ca="1" si="139"/>
        <v>0</v>
      </c>
      <c r="W133" s="107">
        <f t="shared" ca="1" si="140"/>
        <v>0</v>
      </c>
      <c r="X133" s="107">
        <f t="shared" ca="1" si="141"/>
        <v>0</v>
      </c>
      <c r="Y133" s="101">
        <f t="shared" ca="1" si="142"/>
        <v>0</v>
      </c>
      <c r="Z133" s="107">
        <f t="shared" ca="1" si="143"/>
        <v>0</v>
      </c>
      <c r="AA133" s="107">
        <f t="shared" ca="1" si="144"/>
        <v>0</v>
      </c>
      <c r="AB133" s="106" t="e">
        <f t="shared" ca="1" si="145"/>
        <v>#REF!</v>
      </c>
      <c r="AC133" s="107" t="e">
        <f t="shared" ca="1" si="146"/>
        <v>#REF!</v>
      </c>
      <c r="AD133" s="107" t="e">
        <f t="array" aca="1" ref="AD133" ca="1">-(VLOOKUP(AC133, LT_IncomeTaxFed/$K133:$O133, 2, TRUE)+VLOOKUP(AC133,LT_IncomeTaxFed/$K133:$O133,3,TRUE)*(AC133-VLOOKUP(AC133,LT_IncomeTaxFed/$K133:$O133,1,TRUE)))</f>
        <v>#REF!</v>
      </c>
      <c r="AE133" s="107" t="e">
        <f t="array" aca="1" ref="AE133" ca="1">-(VLOOKUP($AC133+$X133, LT_IncomeTaxFed/$K133:$O133, 4, TRUE)+VLOOKUP($AC133+$X133,LT_IncomeTaxFed/$K133:$O133,5,TRUE)*($AC133+$X133-VLOOKUP($AC133+$X133,LT_IncomeTaxFed/$K133:$O133,1,TRUE)))+(VLOOKUP($AC133, LT_IncomeTaxFed/$K133:$O133, 4, TRUE)+VLOOKUP($AC133,LT_IncomeTaxFed/$K133:$O133,5,TRUE)*($AC133-VLOOKUP($AC133,LT_IncomeTaxFed/$K133:$O133,1,TRUE)))</f>
        <v>#REF!</v>
      </c>
      <c r="AF133" s="106" t="e">
        <f t="shared" ca="1" si="147"/>
        <v>#REF!</v>
      </c>
      <c r="AG133" s="107" t="e">
        <f t="shared" ca="1" si="148"/>
        <v>#REF!</v>
      </c>
      <c r="AH133" s="91" t="e">
        <f t="array" aca="1" ref="AH133" ca="1">IF(AG133&gt;0,(VLOOKUP(AG133, LT_IncomeTaxFed/$K133:$O133, 2, TRUE)+VLOOKUP(AG133,LT_IncomeTaxFed/$K133:$O133,3,TRUE)*(AG133-VLOOKUP(AG133,LT_IncomeTaxFed/$K133:$O133,1,TRUE)))/AG133,0)</f>
        <v>#REF!</v>
      </c>
      <c r="AI133" s="110" t="e">
        <f t="shared" ca="1" si="149"/>
        <v>#REF!</v>
      </c>
      <c r="AJ133" s="634"/>
      <c r="AK133" s="668"/>
    </row>
    <row r="134" spans="2:37" x14ac:dyDescent="0.25">
      <c r="B134" s="65">
        <f ca="1">B132+1</f>
        <v>2084</v>
      </c>
      <c r="C134" s="76" t="s">
        <v>741</v>
      </c>
      <c r="D134" s="146" t="str">
        <f t="shared" si="128"/>
        <v/>
      </c>
      <c r="E134" s="77">
        <f t="shared" si="126"/>
        <v>0</v>
      </c>
      <c r="F134" s="77" t="b">
        <f t="shared" si="129"/>
        <v>0</v>
      </c>
      <c r="G134" s="77">
        <f t="shared" si="87"/>
        <v>1</v>
      </c>
      <c r="H134" s="76">
        <f t="shared" si="130"/>
        <v>1</v>
      </c>
      <c r="I134" s="4">
        <f t="shared" si="131"/>
        <v>0</v>
      </c>
      <c r="J134" s="77">
        <f t="shared" si="132"/>
        <v>0</v>
      </c>
      <c r="K134" s="204">
        <f t="shared" ca="1" si="157"/>
        <v>0.1020322505705754</v>
      </c>
      <c r="L134" s="93">
        <f t="shared" ca="1" si="157"/>
        <v>0.1020322505705754</v>
      </c>
      <c r="M134" s="93">
        <v>1</v>
      </c>
      <c r="N134" s="93">
        <f t="shared" ca="1" si="31"/>
        <v>0.1020322505705754</v>
      </c>
      <c r="O134" s="100">
        <v>1</v>
      </c>
      <c r="P134" s="70">
        <f t="shared" ca="1" si="133"/>
        <v>0</v>
      </c>
      <c r="Q134" s="70">
        <f t="shared" ca="1" si="134"/>
        <v>0</v>
      </c>
      <c r="R134" s="70" t="e">
        <f t="shared" ca="1" si="135"/>
        <v>#REF!</v>
      </c>
      <c r="S134" s="70">
        <f t="shared" ca="1" si="136"/>
        <v>0</v>
      </c>
      <c r="T134" s="70">
        <f t="shared" ca="1" si="137"/>
        <v>0</v>
      </c>
      <c r="U134" s="70" t="e">
        <f t="shared" ca="1" si="138"/>
        <v>#REF!</v>
      </c>
      <c r="V134" s="70">
        <f t="shared" ca="1" si="139"/>
        <v>0</v>
      </c>
      <c r="W134" s="70">
        <f t="shared" ca="1" si="140"/>
        <v>0</v>
      </c>
      <c r="X134" s="70">
        <f t="shared" ca="1" si="141"/>
        <v>0</v>
      </c>
      <c r="Y134" s="98">
        <f t="shared" ca="1" si="142"/>
        <v>0</v>
      </c>
      <c r="Z134" s="70">
        <f t="shared" ca="1" si="143"/>
        <v>0</v>
      </c>
      <c r="AA134" s="70">
        <f t="shared" ca="1" si="144"/>
        <v>0</v>
      </c>
      <c r="AB134" s="409" t="e">
        <f t="shared" ca="1" si="145"/>
        <v>#REF!</v>
      </c>
      <c r="AC134" s="70" t="e">
        <f t="shared" ca="1" si="146"/>
        <v>#REF!</v>
      </c>
      <c r="AD134" s="70" t="e">
        <f t="array" aca="1" ref="AD134" ca="1">-(VLOOKUP(AC134, LT_IncomeTaxFed/$K134:$O134, 2, TRUE)+VLOOKUP(AC134,LT_IncomeTaxFed/$K134:$O134,3,TRUE)*(AC134-VLOOKUP(AC134,LT_IncomeTaxFed/$K134:$O134,1,TRUE)))</f>
        <v>#REF!</v>
      </c>
      <c r="AE134" s="70" t="e">
        <f t="array" aca="1" ref="AE134" ca="1">-(VLOOKUP($AC134+$X134, LT_IncomeTaxFed/$K134:$O134, 4, TRUE)+VLOOKUP($AC134+$X134,LT_IncomeTaxFed/$K134:$O134,5,TRUE)*($AC134+$X134-VLOOKUP($AC134+$X134,LT_IncomeTaxFed/$K134:$O134,1,TRUE)))+(VLOOKUP($AC134, LT_IncomeTaxFed/$K134:$O134, 4, TRUE)+VLOOKUP($AC134,LT_IncomeTaxFed/$K134:$O134,5,TRUE)*($AC134-VLOOKUP($AC134,LT_IncomeTaxFed/$K134:$O134,1,TRUE)))</f>
        <v>#REF!</v>
      </c>
      <c r="AF134" s="75" t="e">
        <f t="shared" ca="1" si="147"/>
        <v>#REF!</v>
      </c>
      <c r="AG134" s="70" t="e">
        <f t="shared" ca="1" si="148"/>
        <v>#REF!</v>
      </c>
      <c r="AH134" s="67" t="e">
        <f t="array" aca="1" ref="AH134" ca="1">IF(AG134&gt;0,(VLOOKUP(AG134, LT_IncomeTaxFed/$K134:$O134, 2, TRUE)+VLOOKUP(AG134,LT_IncomeTaxFed/$K134:$O134,3,TRUE)*(AG134-VLOOKUP(AG134,LT_IncomeTaxFed/$K134:$O134,1,TRUE)))/AG134,0)</f>
        <v>#REF!</v>
      </c>
      <c r="AI134" s="109" t="e">
        <f t="shared" ca="1" si="149"/>
        <v>#REF!</v>
      </c>
      <c r="AJ134" s="634" t="e">
        <f ca="1">SUMPRODUCT($Z134:$Z135+$AA134:$AA135+$AD134:$AD135+$AE134:$AE135+$AI134:$AI135)</f>
        <v>#REF!</v>
      </c>
      <c r="AK134" s="668" t="e">
        <f t="shared" ref="AK134" ca="1" si="166">IF($U134&gt;0, -AJ134/$U134, 0)</f>
        <v>#REF!</v>
      </c>
    </row>
    <row r="135" spans="2:37" x14ac:dyDescent="0.25">
      <c r="B135" s="86">
        <f t="shared" ca="1" si="111"/>
        <v>2084</v>
      </c>
      <c r="C135" s="80" t="s">
        <v>741</v>
      </c>
      <c r="D135" s="147" t="str">
        <f t="shared" si="128"/>
        <v/>
      </c>
      <c r="E135" s="81">
        <f t="shared" si="126"/>
        <v>0</v>
      </c>
      <c r="F135" s="81" t="b">
        <f t="shared" si="129"/>
        <v>0</v>
      </c>
      <c r="G135" s="81">
        <f t="shared" si="87"/>
        <v>2</v>
      </c>
      <c r="H135" s="82">
        <f t="shared" si="130"/>
        <v>-1</v>
      </c>
      <c r="I135" s="35">
        <f t="shared" si="131"/>
        <v>0</v>
      </c>
      <c r="J135" s="81">
        <f t="shared" si="132"/>
        <v>0</v>
      </c>
      <c r="K135" s="205">
        <f t="shared" ca="1" si="157"/>
        <v>0.1020322505705754</v>
      </c>
      <c r="L135" s="95">
        <f t="shared" ca="1" si="157"/>
        <v>0.1020322505705754</v>
      </c>
      <c r="M135" s="95">
        <v>1</v>
      </c>
      <c r="N135" s="95">
        <f t="shared" ca="1" si="31"/>
        <v>0.1020322505705754</v>
      </c>
      <c r="O135" s="206">
        <v>1</v>
      </c>
      <c r="P135" s="107">
        <f t="shared" ca="1" si="133"/>
        <v>0</v>
      </c>
      <c r="Q135" s="107">
        <f t="shared" ca="1" si="134"/>
        <v>0</v>
      </c>
      <c r="R135" s="107">
        <f t="shared" si="135"/>
        <v>0</v>
      </c>
      <c r="S135" s="107">
        <f t="shared" ca="1" si="136"/>
        <v>0</v>
      </c>
      <c r="T135" s="107">
        <f t="shared" ca="1" si="137"/>
        <v>0</v>
      </c>
      <c r="U135" s="107">
        <f t="shared" ca="1" si="138"/>
        <v>0</v>
      </c>
      <c r="V135" s="107">
        <f t="shared" ca="1" si="139"/>
        <v>0</v>
      </c>
      <c r="W135" s="107">
        <f t="shared" ca="1" si="140"/>
        <v>0</v>
      </c>
      <c r="X135" s="107">
        <f t="shared" ca="1" si="141"/>
        <v>0</v>
      </c>
      <c r="Y135" s="101">
        <f t="shared" ca="1" si="142"/>
        <v>0</v>
      </c>
      <c r="Z135" s="107">
        <f t="shared" ca="1" si="143"/>
        <v>0</v>
      </c>
      <c r="AA135" s="107">
        <f t="shared" ca="1" si="144"/>
        <v>0</v>
      </c>
      <c r="AB135" s="106" t="e">
        <f t="shared" ca="1" si="145"/>
        <v>#REF!</v>
      </c>
      <c r="AC135" s="107" t="e">
        <f t="shared" ca="1" si="146"/>
        <v>#REF!</v>
      </c>
      <c r="AD135" s="107" t="e">
        <f t="array" aca="1" ref="AD135" ca="1">-(VLOOKUP(AC135, LT_IncomeTaxFed/$K135:$O135, 2, TRUE)+VLOOKUP(AC135,LT_IncomeTaxFed/$K135:$O135,3,TRUE)*(AC135-VLOOKUP(AC135,LT_IncomeTaxFed/$K135:$O135,1,TRUE)))</f>
        <v>#REF!</v>
      </c>
      <c r="AE135" s="107" t="e">
        <f t="array" aca="1" ref="AE135" ca="1">-(VLOOKUP($AC135+$X135, LT_IncomeTaxFed/$K135:$O135, 4, TRUE)+VLOOKUP($AC135+$X135,LT_IncomeTaxFed/$K135:$O135,5,TRUE)*($AC135+$X135-VLOOKUP($AC135+$X135,LT_IncomeTaxFed/$K135:$O135,1,TRUE)))+(VLOOKUP($AC135, LT_IncomeTaxFed/$K135:$O135, 4, TRUE)+VLOOKUP($AC135,LT_IncomeTaxFed/$K135:$O135,5,TRUE)*($AC135-VLOOKUP($AC135,LT_IncomeTaxFed/$K135:$O135,1,TRUE)))</f>
        <v>#REF!</v>
      </c>
      <c r="AF135" s="106" t="e">
        <f t="shared" ca="1" si="147"/>
        <v>#REF!</v>
      </c>
      <c r="AG135" s="107" t="e">
        <f t="shared" ca="1" si="148"/>
        <v>#REF!</v>
      </c>
      <c r="AH135" s="91" t="e">
        <f t="array" aca="1" ref="AH135" ca="1">IF(AG135&gt;0,(VLOOKUP(AG135, LT_IncomeTaxFed/$K135:$O135, 2, TRUE)+VLOOKUP(AG135,LT_IncomeTaxFed/$K135:$O135,3,TRUE)*(AG135-VLOOKUP(AG135,LT_IncomeTaxFed/$K135:$O135,1,TRUE)))/AG135,0)</f>
        <v>#REF!</v>
      </c>
      <c r="AI135" s="110" t="e">
        <f t="shared" ca="1" si="149"/>
        <v>#REF!</v>
      </c>
      <c r="AJ135" s="634"/>
      <c r="AK135" s="668"/>
    </row>
    <row r="136" spans="2:37" x14ac:dyDescent="0.25">
      <c r="B136" s="65">
        <f ca="1">B134+1</f>
        <v>2085</v>
      </c>
      <c r="C136" s="76" t="s">
        <v>741</v>
      </c>
      <c r="D136" s="146" t="str">
        <f t="shared" si="128"/>
        <v/>
      </c>
      <c r="E136" s="77">
        <f t="shared" ref="E136:E169" si="167">INDEX(SC_TaxIndex,$G136)</f>
        <v>0</v>
      </c>
      <c r="F136" s="77" t="b">
        <f t="shared" si="129"/>
        <v>0</v>
      </c>
      <c r="G136" s="77">
        <f t="shared" si="87"/>
        <v>1</v>
      </c>
      <c r="H136" s="76">
        <f t="shared" si="130"/>
        <v>1</v>
      </c>
      <c r="I136" s="4">
        <f t="shared" si="131"/>
        <v>0</v>
      </c>
      <c r="J136" s="77">
        <f t="shared" si="132"/>
        <v>0</v>
      </c>
      <c r="K136" s="204">
        <f t="shared" ca="1" si="157"/>
        <v>9.8344337899349779E-2</v>
      </c>
      <c r="L136" s="93">
        <f t="shared" ca="1" si="157"/>
        <v>9.8344337899349779E-2</v>
      </c>
      <c r="M136" s="93">
        <v>1</v>
      </c>
      <c r="N136" s="93">
        <f t="shared" ca="1" si="31"/>
        <v>9.8344337899349779E-2</v>
      </c>
      <c r="O136" s="100">
        <v>1</v>
      </c>
      <c r="P136" s="70">
        <f t="shared" ca="1" si="133"/>
        <v>0</v>
      </c>
      <c r="Q136" s="70">
        <f t="shared" ca="1" si="134"/>
        <v>0</v>
      </c>
      <c r="R136" s="70" t="e">
        <f t="shared" ca="1" si="135"/>
        <v>#REF!</v>
      </c>
      <c r="S136" s="70">
        <f t="shared" ca="1" si="136"/>
        <v>0</v>
      </c>
      <c r="T136" s="70">
        <f t="shared" ca="1" si="137"/>
        <v>0</v>
      </c>
      <c r="U136" s="70" t="e">
        <f t="shared" ca="1" si="138"/>
        <v>#REF!</v>
      </c>
      <c r="V136" s="70">
        <f t="shared" ca="1" si="139"/>
        <v>0</v>
      </c>
      <c r="W136" s="70">
        <f t="shared" ca="1" si="140"/>
        <v>0</v>
      </c>
      <c r="X136" s="70">
        <f t="shared" ca="1" si="141"/>
        <v>0</v>
      </c>
      <c r="Y136" s="98">
        <f t="shared" ca="1" si="142"/>
        <v>0</v>
      </c>
      <c r="Z136" s="70">
        <f t="shared" ca="1" si="143"/>
        <v>0</v>
      </c>
      <c r="AA136" s="70">
        <f t="shared" ca="1" si="144"/>
        <v>0</v>
      </c>
      <c r="AB136" s="409" t="e">
        <f t="shared" ca="1" si="145"/>
        <v>#REF!</v>
      </c>
      <c r="AC136" s="70" t="e">
        <f t="shared" ca="1" si="146"/>
        <v>#REF!</v>
      </c>
      <c r="AD136" s="70" t="e">
        <f t="array" aca="1" ref="AD136" ca="1">-(VLOOKUP(AC136, LT_IncomeTaxFed/$K136:$O136, 2, TRUE)+VLOOKUP(AC136,LT_IncomeTaxFed/$K136:$O136,3,TRUE)*(AC136-VLOOKUP(AC136,LT_IncomeTaxFed/$K136:$O136,1,TRUE)))</f>
        <v>#REF!</v>
      </c>
      <c r="AE136" s="70" t="e">
        <f t="array" aca="1" ref="AE136" ca="1">-(VLOOKUP($AC136+$X136, LT_IncomeTaxFed/$K136:$O136, 4, TRUE)+VLOOKUP($AC136+$X136,LT_IncomeTaxFed/$K136:$O136,5,TRUE)*($AC136+$X136-VLOOKUP($AC136+$X136,LT_IncomeTaxFed/$K136:$O136,1,TRUE)))+(VLOOKUP($AC136, LT_IncomeTaxFed/$K136:$O136, 4, TRUE)+VLOOKUP($AC136,LT_IncomeTaxFed/$K136:$O136,5,TRUE)*($AC136-VLOOKUP($AC136,LT_IncomeTaxFed/$K136:$O136,1,TRUE)))</f>
        <v>#REF!</v>
      </c>
      <c r="AF136" s="75" t="e">
        <f t="shared" ca="1" si="147"/>
        <v>#REF!</v>
      </c>
      <c r="AG136" s="70" t="e">
        <f t="shared" ca="1" si="148"/>
        <v>#REF!</v>
      </c>
      <c r="AH136" s="67" t="e">
        <f t="array" aca="1" ref="AH136" ca="1">IF(AG136&gt;0,(VLOOKUP(AG136, LT_IncomeTaxFed/$K136:$O136, 2, TRUE)+VLOOKUP(AG136,LT_IncomeTaxFed/$K136:$O136,3,TRUE)*(AG136-VLOOKUP(AG136,LT_IncomeTaxFed/$K136:$O136,1,TRUE)))/AG136,0)</f>
        <v>#REF!</v>
      </c>
      <c r="AI136" s="109" t="e">
        <f t="shared" ca="1" si="149"/>
        <v>#REF!</v>
      </c>
      <c r="AJ136" s="634" t="e">
        <f ca="1">SUMPRODUCT($Z136:$Z137+$AA136:$AA137+$AD136:$AD137+$AE136:$AE137+$AI136:$AI137)</f>
        <v>#REF!</v>
      </c>
      <c r="AK136" s="668" t="e">
        <f t="shared" ref="AK136" ca="1" si="168">IF($U136&gt;0, -AJ136/$U136, 0)</f>
        <v>#REF!</v>
      </c>
    </row>
    <row r="137" spans="2:37" x14ac:dyDescent="0.25">
      <c r="B137" s="86">
        <f t="shared" ca="1" si="111"/>
        <v>2085</v>
      </c>
      <c r="C137" s="80" t="s">
        <v>741</v>
      </c>
      <c r="D137" s="147" t="str">
        <f t="shared" si="128"/>
        <v/>
      </c>
      <c r="E137" s="81">
        <f t="shared" si="167"/>
        <v>0</v>
      </c>
      <c r="F137" s="81" t="b">
        <f t="shared" si="129"/>
        <v>0</v>
      </c>
      <c r="G137" s="81">
        <f t="shared" ref="G137:G169" si="169">MOD(ROW(),2)+1</f>
        <v>2</v>
      </c>
      <c r="H137" s="82">
        <f t="shared" si="130"/>
        <v>-1</v>
      </c>
      <c r="I137" s="35">
        <f t="shared" si="131"/>
        <v>0</v>
      </c>
      <c r="J137" s="81">
        <f t="shared" si="132"/>
        <v>0</v>
      </c>
      <c r="K137" s="205">
        <f t="shared" ca="1" si="157"/>
        <v>9.8344337899349779E-2</v>
      </c>
      <c r="L137" s="95">
        <f t="shared" ca="1" si="157"/>
        <v>9.8344337899349779E-2</v>
      </c>
      <c r="M137" s="95">
        <v>1</v>
      </c>
      <c r="N137" s="95">
        <f t="shared" ca="1" si="31"/>
        <v>9.8344337899349779E-2</v>
      </c>
      <c r="O137" s="206">
        <v>1</v>
      </c>
      <c r="P137" s="107">
        <f t="shared" ca="1" si="133"/>
        <v>0</v>
      </c>
      <c r="Q137" s="107">
        <f t="shared" ca="1" si="134"/>
        <v>0</v>
      </c>
      <c r="R137" s="107">
        <f t="shared" si="135"/>
        <v>0</v>
      </c>
      <c r="S137" s="107">
        <f t="shared" ca="1" si="136"/>
        <v>0</v>
      </c>
      <c r="T137" s="107">
        <f t="shared" ca="1" si="137"/>
        <v>0</v>
      </c>
      <c r="U137" s="107">
        <f t="shared" ca="1" si="138"/>
        <v>0</v>
      </c>
      <c r="V137" s="107">
        <f t="shared" ca="1" si="139"/>
        <v>0</v>
      </c>
      <c r="W137" s="107">
        <f t="shared" ca="1" si="140"/>
        <v>0</v>
      </c>
      <c r="X137" s="107">
        <f t="shared" ca="1" si="141"/>
        <v>0</v>
      </c>
      <c r="Y137" s="101">
        <f t="shared" ca="1" si="142"/>
        <v>0</v>
      </c>
      <c r="Z137" s="107">
        <f t="shared" ca="1" si="143"/>
        <v>0</v>
      </c>
      <c r="AA137" s="107">
        <f t="shared" ca="1" si="144"/>
        <v>0</v>
      </c>
      <c r="AB137" s="106" t="e">
        <f t="shared" ca="1" si="145"/>
        <v>#REF!</v>
      </c>
      <c r="AC137" s="107" t="e">
        <f t="shared" ca="1" si="146"/>
        <v>#REF!</v>
      </c>
      <c r="AD137" s="107" t="e">
        <f t="array" aca="1" ref="AD137" ca="1">-(VLOOKUP(AC137, LT_IncomeTaxFed/$K137:$O137, 2, TRUE)+VLOOKUP(AC137,LT_IncomeTaxFed/$K137:$O137,3,TRUE)*(AC137-VLOOKUP(AC137,LT_IncomeTaxFed/$K137:$O137,1,TRUE)))</f>
        <v>#REF!</v>
      </c>
      <c r="AE137" s="107" t="e">
        <f t="array" aca="1" ref="AE137" ca="1">-(VLOOKUP($AC137+$X137, LT_IncomeTaxFed/$K137:$O137, 4, TRUE)+VLOOKUP($AC137+$X137,LT_IncomeTaxFed/$K137:$O137,5,TRUE)*($AC137+$X137-VLOOKUP($AC137+$X137,LT_IncomeTaxFed/$K137:$O137,1,TRUE)))+(VLOOKUP($AC137, LT_IncomeTaxFed/$K137:$O137, 4, TRUE)+VLOOKUP($AC137,LT_IncomeTaxFed/$K137:$O137,5,TRUE)*($AC137-VLOOKUP($AC137,LT_IncomeTaxFed/$K137:$O137,1,TRUE)))</f>
        <v>#REF!</v>
      </c>
      <c r="AF137" s="106" t="e">
        <f t="shared" ca="1" si="147"/>
        <v>#REF!</v>
      </c>
      <c r="AG137" s="107" t="e">
        <f t="shared" ca="1" si="148"/>
        <v>#REF!</v>
      </c>
      <c r="AH137" s="91" t="e">
        <f t="array" aca="1" ref="AH137" ca="1">IF(AG137&gt;0,(VLOOKUP(AG137, LT_IncomeTaxFed/$K137:$O137, 2, TRUE)+VLOOKUP(AG137,LT_IncomeTaxFed/$K137:$O137,3,TRUE)*(AG137-VLOOKUP(AG137,LT_IncomeTaxFed/$K137:$O137,1,TRUE)))/AG137,0)</f>
        <v>#REF!</v>
      </c>
      <c r="AI137" s="110" t="e">
        <f t="shared" ca="1" si="149"/>
        <v>#REF!</v>
      </c>
      <c r="AJ137" s="634"/>
      <c r="AK137" s="668"/>
    </row>
    <row r="138" spans="2:37" x14ac:dyDescent="0.25">
      <c r="B138" s="65">
        <f ca="1">B136+1</f>
        <v>2086</v>
      </c>
      <c r="C138" s="76" t="s">
        <v>741</v>
      </c>
      <c r="D138" s="146" t="str">
        <f t="shared" ref="D138:D169" si="170">INDEX(SP_Initials,G138)</f>
        <v/>
      </c>
      <c r="E138" s="77">
        <f t="shared" si="167"/>
        <v>0</v>
      </c>
      <c r="F138" s="77" t="b">
        <f t="shared" ref="F138:F169" si="171">G138=E138</f>
        <v>0</v>
      </c>
      <c r="G138" s="77">
        <f t="shared" si="169"/>
        <v>1</v>
      </c>
      <c r="H138" s="76">
        <f t="shared" ref="H138:H169" si="172">MOD($G138,2)-($G138-1)</f>
        <v>1</v>
      </c>
      <c r="I138" s="4">
        <f t="shared" ref="I138:I169" si="173">IF(INDEX(SC_ShowRetireatee,$G138),IF($B138&lt;YEAR(INDEX(SP_BirthDate,$G138)),0,$B138-YEAR(INDEX(SP_BirthDate,$G138))),0)</f>
        <v>0</v>
      </c>
      <c r="J138" s="77">
        <f t="shared" ref="J138:J169" si="174">IF(INDEX(SC_ShowRetireatee,$G138),IF($B138&lt;YEAR(INDEX(SP_BirthDate,$G138)),0,IF($B138&gt;(YEAR(INDEX(SP_BirthDate,$G138))+INDEX(SP_LifeExp,$G138)),0,$B138-YEAR(INDEX(SP_BirthDate,$G138)))),0)</f>
        <v>0</v>
      </c>
      <c r="K138" s="204">
        <f t="shared" ca="1" si="157"/>
        <v>9.4789723276481691E-2</v>
      </c>
      <c r="L138" s="93">
        <f t="shared" ca="1" si="157"/>
        <v>9.4789723276481691E-2</v>
      </c>
      <c r="M138" s="93">
        <v>1</v>
      </c>
      <c r="N138" s="93">
        <f t="shared" ca="1" si="31"/>
        <v>9.4789723276481691E-2</v>
      </c>
      <c r="O138" s="100">
        <v>1</v>
      </c>
      <c r="P138" s="70">
        <f t="shared" ref="P138:P169" ca="1" si="175">SUMIF($E$8:$E$9,$G138,OFFSET(SC_EX_IncomeActiveT,EXIDX1-1,0,2,1))+SUMIF($E$8:$E$9,$G138,OFFSET(SC_EX_IncomePassiveT,EXIDX1-1,0,2,1))</f>
        <v>0</v>
      </c>
      <c r="Q138" s="70">
        <f t="shared" ref="Q138:Q169" ca="1" si="176">SUMIF($E$8:$E$9,$G138,OFFSET(SC_ZX_IncomeCapitalT,ZXIDX1-1,0,2,1))</f>
        <v>0</v>
      </c>
      <c r="R138" s="70" t="e">
        <f t="shared" ref="R138:R169" ca="1" si="177">IF($G138=1,INDEX(SC_ZA_IncomeAnnyT,ZAIDX),0)</f>
        <v>#REF!</v>
      </c>
      <c r="S138" s="70">
        <f t="shared" ref="S138:S169" ca="1" si="178">SUMIF($E$8:$E$9,$G138,OFFSET(SC_ZX_SSRIB,ZXIDX1-1,0,2,1))</f>
        <v>0</v>
      </c>
      <c r="T138" s="70">
        <f t="shared" ref="T138:T169" ca="1" si="179">SUMIF($E$8:$E$9,$G138,OFFSET(SC_ZX_IRAContribD,ZXIDX1-1,0,2,1))</f>
        <v>0</v>
      </c>
      <c r="U138" s="70" t="e">
        <f t="shared" ref="U138:U169" ca="1" si="180">MAX(SUM($P138:$T138),0)</f>
        <v>#REF!</v>
      </c>
      <c r="V138" s="70">
        <f t="shared" ref="V138:V169" ca="1" si="181">P138+Q138+$S138/2</f>
        <v>0</v>
      </c>
      <c r="W138" s="70">
        <f t="shared" ref="W138:W169" ca="1" si="182">MIN(VLOOKUP($V138, LT_SSBases, 2, TRUE)+VLOOKUP($V138,LT_SSBases,3,TRUE)*($V138-VLOOKUP($V138,LT_SSBases,1,TRUE)),$S138*0.85)</f>
        <v>0</v>
      </c>
      <c r="X138" s="70">
        <f t="shared" ref="X138:X169" ca="1" si="183">SUMIF($E$8:$E$9,$G138,OFFSET(SC_ZX_LTCapitalGains,ZXIDX1-1,0,2,1))</f>
        <v>0</v>
      </c>
      <c r="Y138" s="98">
        <f t="shared" ref="Y138:Y169" ca="1" si="184">COUNTIF(SC_TaxIndex,$G138)+SUMIF(SC_TaxIndex,$G138,SP_Dependents)</f>
        <v>0</v>
      </c>
      <c r="Z138" s="70">
        <f t="shared" ref="Z138:Z169" ca="1" si="185">-LT_SSRate*SUMIF($E$8:$E$9,$G138,OFFSET(SC_EX_SSWages,EXIDX1-1,0,2,1))-LT_MedicareRate*SUMIF($E$8:$E$9,$G138,OFFSET(SC_EX_MedicareWages,EXIDX1-1,0,2,1))</f>
        <v>0</v>
      </c>
      <c r="AA138" s="70">
        <f t="shared" ref="AA138:AA169" ca="1" si="186">-LT_SSRate*2*SUMIF($E$8:$E$9,$G138,OFFSET(SC_EX_SSWagesSE,EXIDX1-1,0,2,1))-LT_MedicareRate*2*SUMIF($E$8:$E$9,$G138,OFFSET(SC_EX_MedicareWagesSE,EXIDX1-1,0,2,1))</f>
        <v>0</v>
      </c>
      <c r="AB138" s="409" t="e">
        <f t="shared" ref="AB138:AB169" ca="1" si="187">SUMIF($E$8:$E$9,$G138,OFFSET(SC_ExpensesLivingPF,0,1-ROUND(ABS(INDEX(SC_EX_APW,EXIDX)),0),2,1))/INDEX(SC_EA_InflationCPIdx,EAIDX)*12+MIN(SUMIF($E$8:$E$9,$G138,OFFSET(SC_ExpensesLivingD,0,1-ROUND(ABS(INDEX(SC_EX_APW,EXIDX)),0),2,1))/INDEX(SC_EA_InflationCPIdx,EAIDX)*12+SUMIF(SC_TaxIndex,$G138,OFFSET(SC_ZA_ExpensesHomeD, ZAIDX-1, 0))+$AI138,-LT_StandardDeduction/$K138)</f>
        <v>#REF!</v>
      </c>
      <c r="AC138" s="70" t="e">
        <f t="shared" ref="AC138:AC169" ca="1" si="188">MAX($P138+$Q138+$R138+$T138+$W138-$X138-$Y138*LT_PersonalExemptAmt/$K138+$AA138/2+$AB138,0)</f>
        <v>#REF!</v>
      </c>
      <c r="AD138" s="70" t="e">
        <f t="array" aca="1" ref="AD138" ca="1">-(VLOOKUP(AC138, LT_IncomeTaxFed/$K138:$O138, 2, TRUE)+VLOOKUP(AC138,LT_IncomeTaxFed/$K138:$O138,3,TRUE)*(AC138-VLOOKUP(AC138,LT_IncomeTaxFed/$K138:$O138,1,TRUE)))</f>
        <v>#REF!</v>
      </c>
      <c r="AE138" s="70" t="e">
        <f t="array" aca="1" ref="AE138" ca="1">-(VLOOKUP($AC138+$X138, LT_IncomeTaxFed/$K138:$O138, 4, TRUE)+VLOOKUP($AC138+$X138,LT_IncomeTaxFed/$K138:$O138,5,TRUE)*($AC138+$X138-VLOOKUP($AC138+$X138,LT_IncomeTaxFed/$K138:$O138,1,TRUE)))+(VLOOKUP($AC138, LT_IncomeTaxFed/$K138:$O138, 4, TRUE)+VLOOKUP($AC138,LT_IncomeTaxFed/$K138:$O138,5,TRUE)*($AC138-VLOOKUP($AC138,LT_IncomeTaxFed/$K138:$O138,1,TRUE)))</f>
        <v>#REF!</v>
      </c>
      <c r="AF138" s="75" t="e">
        <f t="shared" ref="AF138:AF169" ca="1" si="189">SUMIF($E$8:$E$9,$G138,OFFSET(SC_ExpensesLivingPF,0,1-ROUND(ABS(INDEX(SC_EX_APW,EXIDX)),0),2,1))/INDEX(SC_EA_InflationCPIdx,EAIDX)*12+MIN(SUMIF($E$8:$E$9,$G138,OFFSET(SC_ExpensesLivingD,0,1-ROUND(ABS(INDEX(SC_EX_APW,EXIDX)),0),2,1))/INDEX(SC_EA_InflationCPIdx,EAIDX)*12+SUMIF(SC_TaxIndex,$G138,OFFSET(SC_ZA_ExpensesHomeD, ZAIDX-1, 0)),-LT_StandardDeduction/$K138)</f>
        <v>#REF!</v>
      </c>
      <c r="AG138" s="70" t="e">
        <f t="shared" ref="AG138:AG169" ca="1" si="190">MAX($P138+$Q138+$R138+$T138+IF(VLOOKUP(SP_Taxes, LT_StateTax, 5, FALSE),$W138,0)-$Y138*LT_PersonalExemptAmt/$K138+$AA138/2+$AF138,0)</f>
        <v>#REF!</v>
      </c>
      <c r="AH138" s="67" t="e">
        <f t="array" aca="1" ref="AH138" ca="1">IF(AG138&gt;0,(VLOOKUP(AG138, LT_IncomeTaxFed/$K138:$O138, 2, TRUE)+VLOOKUP(AG138,LT_IncomeTaxFed/$K138:$O138,3,TRUE)*(AG138-VLOOKUP(AG138,LT_IncomeTaxFed/$K138:$O138,1,TRUE)))/AG138,0)</f>
        <v>#REF!</v>
      </c>
      <c r="AI138" s="109" t="e">
        <f t="shared" ref="AI138:AI169" ca="1" si="191">IF(AG138&gt;0,AG138*-(VLOOKUP(SP_Taxes, LT_StateTax, 2, FALSE)*POWER(AH138,2)+VLOOKUP(SP_Taxes, LT_StateTax, 3, FALSE)*AH138+VLOOKUP(SP_Taxes, LT_StateTax, 4, FALSE)),0)</f>
        <v>#REF!</v>
      </c>
      <c r="AJ138" s="634" t="e">
        <f ca="1">SUMPRODUCT($Z138:$Z139+$AA138:$AA139+$AD138:$AD139+$AE138:$AE139+$AI138:$AI139)</f>
        <v>#REF!</v>
      </c>
      <c r="AK138" s="668" t="e">
        <f t="shared" ref="AK138" ca="1" si="192">IF($U138&gt;0, -AJ138/$U138, 0)</f>
        <v>#REF!</v>
      </c>
    </row>
    <row r="139" spans="2:37" x14ac:dyDescent="0.25">
      <c r="B139" s="86">
        <f t="shared" ref="B139:B169" ca="1" si="193">B137+1</f>
        <v>2086</v>
      </c>
      <c r="C139" s="80" t="s">
        <v>741</v>
      </c>
      <c r="D139" s="147" t="str">
        <f t="shared" si="170"/>
        <v/>
      </c>
      <c r="E139" s="81">
        <f t="shared" si="167"/>
        <v>0</v>
      </c>
      <c r="F139" s="81" t="b">
        <f t="shared" si="171"/>
        <v>0</v>
      </c>
      <c r="G139" s="81">
        <f t="shared" si="169"/>
        <v>2</v>
      </c>
      <c r="H139" s="82">
        <f t="shared" si="172"/>
        <v>-1</v>
      </c>
      <c r="I139" s="35">
        <f t="shared" si="173"/>
        <v>0</v>
      </c>
      <c r="J139" s="81">
        <f t="shared" si="174"/>
        <v>0</v>
      </c>
      <c r="K139" s="205">
        <f t="shared" ca="1" si="157"/>
        <v>9.4789723276481691E-2</v>
      </c>
      <c r="L139" s="95">
        <f t="shared" ca="1" si="157"/>
        <v>9.4789723276481691E-2</v>
      </c>
      <c r="M139" s="95">
        <v>1</v>
      </c>
      <c r="N139" s="95">
        <f t="shared" ca="1" si="31"/>
        <v>9.4789723276481691E-2</v>
      </c>
      <c r="O139" s="206">
        <v>1</v>
      </c>
      <c r="P139" s="107">
        <f t="shared" ca="1" si="175"/>
        <v>0</v>
      </c>
      <c r="Q139" s="107">
        <f t="shared" ca="1" si="176"/>
        <v>0</v>
      </c>
      <c r="R139" s="107">
        <f t="shared" si="177"/>
        <v>0</v>
      </c>
      <c r="S139" s="107">
        <f t="shared" ca="1" si="178"/>
        <v>0</v>
      </c>
      <c r="T139" s="107">
        <f t="shared" ca="1" si="179"/>
        <v>0</v>
      </c>
      <c r="U139" s="107">
        <f t="shared" ca="1" si="180"/>
        <v>0</v>
      </c>
      <c r="V139" s="107">
        <f t="shared" ca="1" si="181"/>
        <v>0</v>
      </c>
      <c r="W139" s="107">
        <f t="shared" ca="1" si="182"/>
        <v>0</v>
      </c>
      <c r="X139" s="107">
        <f t="shared" ca="1" si="183"/>
        <v>0</v>
      </c>
      <c r="Y139" s="101">
        <f t="shared" ca="1" si="184"/>
        <v>0</v>
      </c>
      <c r="Z139" s="107">
        <f t="shared" ca="1" si="185"/>
        <v>0</v>
      </c>
      <c r="AA139" s="107">
        <f t="shared" ca="1" si="186"/>
        <v>0</v>
      </c>
      <c r="AB139" s="106" t="e">
        <f t="shared" ca="1" si="187"/>
        <v>#REF!</v>
      </c>
      <c r="AC139" s="107" t="e">
        <f t="shared" ca="1" si="188"/>
        <v>#REF!</v>
      </c>
      <c r="AD139" s="107" t="e">
        <f t="array" aca="1" ref="AD139" ca="1">-(VLOOKUP(AC139, LT_IncomeTaxFed/$K139:$O139, 2, TRUE)+VLOOKUP(AC139,LT_IncomeTaxFed/$K139:$O139,3,TRUE)*(AC139-VLOOKUP(AC139,LT_IncomeTaxFed/$K139:$O139,1,TRUE)))</f>
        <v>#REF!</v>
      </c>
      <c r="AE139" s="107" t="e">
        <f t="array" aca="1" ref="AE139" ca="1">-(VLOOKUP($AC139+$X139, LT_IncomeTaxFed/$K139:$O139, 4, TRUE)+VLOOKUP($AC139+$X139,LT_IncomeTaxFed/$K139:$O139,5,TRUE)*($AC139+$X139-VLOOKUP($AC139+$X139,LT_IncomeTaxFed/$K139:$O139,1,TRUE)))+(VLOOKUP($AC139, LT_IncomeTaxFed/$K139:$O139, 4, TRUE)+VLOOKUP($AC139,LT_IncomeTaxFed/$K139:$O139,5,TRUE)*($AC139-VLOOKUP($AC139,LT_IncomeTaxFed/$K139:$O139,1,TRUE)))</f>
        <v>#REF!</v>
      </c>
      <c r="AF139" s="106" t="e">
        <f t="shared" ca="1" si="189"/>
        <v>#REF!</v>
      </c>
      <c r="AG139" s="107" t="e">
        <f t="shared" ca="1" si="190"/>
        <v>#REF!</v>
      </c>
      <c r="AH139" s="91" t="e">
        <f t="array" aca="1" ref="AH139" ca="1">IF(AG139&gt;0,(VLOOKUP(AG139, LT_IncomeTaxFed/$K139:$O139, 2, TRUE)+VLOOKUP(AG139,LT_IncomeTaxFed/$K139:$O139,3,TRUE)*(AG139-VLOOKUP(AG139,LT_IncomeTaxFed/$K139:$O139,1,TRUE)))/AG139,0)</f>
        <v>#REF!</v>
      </c>
      <c r="AI139" s="110" t="e">
        <f t="shared" ca="1" si="191"/>
        <v>#REF!</v>
      </c>
      <c r="AJ139" s="634"/>
      <c r="AK139" s="668"/>
    </row>
    <row r="140" spans="2:37" x14ac:dyDescent="0.25">
      <c r="B140" s="65">
        <f ca="1">B138+1</f>
        <v>2087</v>
      </c>
      <c r="C140" s="76" t="s">
        <v>741</v>
      </c>
      <c r="D140" s="146" t="str">
        <f t="shared" si="170"/>
        <v/>
      </c>
      <c r="E140" s="77">
        <f t="shared" si="167"/>
        <v>0</v>
      </c>
      <c r="F140" s="77" t="b">
        <f t="shared" si="171"/>
        <v>0</v>
      </c>
      <c r="G140" s="77">
        <f t="shared" si="169"/>
        <v>1</v>
      </c>
      <c r="H140" s="76">
        <f t="shared" si="172"/>
        <v>1</v>
      </c>
      <c r="I140" s="4">
        <f t="shared" si="173"/>
        <v>0</v>
      </c>
      <c r="J140" s="77">
        <f t="shared" si="174"/>
        <v>0</v>
      </c>
      <c r="K140" s="204">
        <f t="shared" ca="1" si="157"/>
        <v>9.1363588700223319E-2</v>
      </c>
      <c r="L140" s="93">
        <f t="shared" ca="1" si="157"/>
        <v>9.1363588700223319E-2</v>
      </c>
      <c r="M140" s="93">
        <v>1</v>
      </c>
      <c r="N140" s="93">
        <f t="shared" ca="1" si="31"/>
        <v>9.1363588700223319E-2</v>
      </c>
      <c r="O140" s="100">
        <v>1</v>
      </c>
      <c r="P140" s="70">
        <f t="shared" ca="1" si="175"/>
        <v>0</v>
      </c>
      <c r="Q140" s="70">
        <f t="shared" ca="1" si="176"/>
        <v>0</v>
      </c>
      <c r="R140" s="70" t="e">
        <f t="shared" ca="1" si="177"/>
        <v>#REF!</v>
      </c>
      <c r="S140" s="70">
        <f t="shared" ca="1" si="178"/>
        <v>0</v>
      </c>
      <c r="T140" s="70">
        <f t="shared" ca="1" si="179"/>
        <v>0</v>
      </c>
      <c r="U140" s="70" t="e">
        <f t="shared" ca="1" si="180"/>
        <v>#REF!</v>
      </c>
      <c r="V140" s="70">
        <f t="shared" ca="1" si="181"/>
        <v>0</v>
      </c>
      <c r="W140" s="70">
        <f t="shared" ca="1" si="182"/>
        <v>0</v>
      </c>
      <c r="X140" s="70">
        <f t="shared" ca="1" si="183"/>
        <v>0</v>
      </c>
      <c r="Y140" s="98">
        <f t="shared" ca="1" si="184"/>
        <v>0</v>
      </c>
      <c r="Z140" s="70">
        <f t="shared" ca="1" si="185"/>
        <v>0</v>
      </c>
      <c r="AA140" s="70">
        <f t="shared" ca="1" si="186"/>
        <v>0</v>
      </c>
      <c r="AB140" s="409" t="e">
        <f t="shared" ca="1" si="187"/>
        <v>#REF!</v>
      </c>
      <c r="AC140" s="70" t="e">
        <f t="shared" ca="1" si="188"/>
        <v>#REF!</v>
      </c>
      <c r="AD140" s="70" t="e">
        <f t="array" aca="1" ref="AD140" ca="1">-(VLOOKUP(AC140, LT_IncomeTaxFed/$K140:$O140, 2, TRUE)+VLOOKUP(AC140,LT_IncomeTaxFed/$K140:$O140,3,TRUE)*(AC140-VLOOKUP(AC140,LT_IncomeTaxFed/$K140:$O140,1,TRUE)))</f>
        <v>#REF!</v>
      </c>
      <c r="AE140" s="70" t="e">
        <f t="array" aca="1" ref="AE140" ca="1">-(VLOOKUP($AC140+$X140, LT_IncomeTaxFed/$K140:$O140, 4, TRUE)+VLOOKUP($AC140+$X140,LT_IncomeTaxFed/$K140:$O140,5,TRUE)*($AC140+$X140-VLOOKUP($AC140+$X140,LT_IncomeTaxFed/$K140:$O140,1,TRUE)))+(VLOOKUP($AC140, LT_IncomeTaxFed/$K140:$O140, 4, TRUE)+VLOOKUP($AC140,LT_IncomeTaxFed/$K140:$O140,5,TRUE)*($AC140-VLOOKUP($AC140,LT_IncomeTaxFed/$K140:$O140,1,TRUE)))</f>
        <v>#REF!</v>
      </c>
      <c r="AF140" s="75" t="e">
        <f t="shared" ca="1" si="189"/>
        <v>#REF!</v>
      </c>
      <c r="AG140" s="70" t="e">
        <f t="shared" ca="1" si="190"/>
        <v>#REF!</v>
      </c>
      <c r="AH140" s="67" t="e">
        <f t="array" aca="1" ref="AH140" ca="1">IF(AG140&gt;0,(VLOOKUP(AG140, LT_IncomeTaxFed/$K140:$O140, 2, TRUE)+VLOOKUP(AG140,LT_IncomeTaxFed/$K140:$O140,3,TRUE)*(AG140-VLOOKUP(AG140,LT_IncomeTaxFed/$K140:$O140,1,TRUE)))/AG140,0)</f>
        <v>#REF!</v>
      </c>
      <c r="AI140" s="109" t="e">
        <f t="shared" ca="1" si="191"/>
        <v>#REF!</v>
      </c>
      <c r="AJ140" s="634" t="e">
        <f ca="1">SUMPRODUCT($Z140:$Z141+$AA140:$AA141+$AD140:$AD141+$AE140:$AE141+$AI140:$AI141)</f>
        <v>#REF!</v>
      </c>
      <c r="AK140" s="668" t="e">
        <f t="shared" ref="AK140" ca="1" si="194">IF($U140&gt;0, -AJ140/$U140, 0)</f>
        <v>#REF!</v>
      </c>
    </row>
    <row r="141" spans="2:37" x14ac:dyDescent="0.25">
      <c r="B141" s="86">
        <f t="shared" ca="1" si="193"/>
        <v>2087</v>
      </c>
      <c r="C141" s="80" t="s">
        <v>741</v>
      </c>
      <c r="D141" s="147" t="str">
        <f t="shared" si="170"/>
        <v/>
      </c>
      <c r="E141" s="81">
        <f t="shared" si="167"/>
        <v>0</v>
      </c>
      <c r="F141" s="81" t="b">
        <f t="shared" si="171"/>
        <v>0</v>
      </c>
      <c r="G141" s="81">
        <f t="shared" si="169"/>
        <v>2</v>
      </c>
      <c r="H141" s="82">
        <f t="shared" si="172"/>
        <v>-1</v>
      </c>
      <c r="I141" s="35">
        <f t="shared" si="173"/>
        <v>0</v>
      </c>
      <c r="J141" s="81">
        <f t="shared" si="174"/>
        <v>0</v>
      </c>
      <c r="K141" s="205">
        <f t="shared" ca="1" si="157"/>
        <v>9.1363588700223319E-2</v>
      </c>
      <c r="L141" s="95">
        <f t="shared" ca="1" si="157"/>
        <v>9.1363588700223319E-2</v>
      </c>
      <c r="M141" s="95">
        <v>1</v>
      </c>
      <c r="N141" s="95">
        <f t="shared" ca="1" si="31"/>
        <v>9.1363588700223319E-2</v>
      </c>
      <c r="O141" s="206">
        <v>1</v>
      </c>
      <c r="P141" s="107">
        <f t="shared" ca="1" si="175"/>
        <v>0</v>
      </c>
      <c r="Q141" s="107">
        <f t="shared" ca="1" si="176"/>
        <v>0</v>
      </c>
      <c r="R141" s="107">
        <f t="shared" si="177"/>
        <v>0</v>
      </c>
      <c r="S141" s="107">
        <f t="shared" ca="1" si="178"/>
        <v>0</v>
      </c>
      <c r="T141" s="107">
        <f t="shared" ca="1" si="179"/>
        <v>0</v>
      </c>
      <c r="U141" s="107">
        <f t="shared" ca="1" si="180"/>
        <v>0</v>
      </c>
      <c r="V141" s="107">
        <f t="shared" ca="1" si="181"/>
        <v>0</v>
      </c>
      <c r="W141" s="107">
        <f t="shared" ca="1" si="182"/>
        <v>0</v>
      </c>
      <c r="X141" s="107">
        <f t="shared" ca="1" si="183"/>
        <v>0</v>
      </c>
      <c r="Y141" s="101">
        <f t="shared" ca="1" si="184"/>
        <v>0</v>
      </c>
      <c r="Z141" s="107">
        <f t="shared" ca="1" si="185"/>
        <v>0</v>
      </c>
      <c r="AA141" s="107">
        <f t="shared" ca="1" si="186"/>
        <v>0</v>
      </c>
      <c r="AB141" s="106" t="e">
        <f t="shared" ca="1" si="187"/>
        <v>#REF!</v>
      </c>
      <c r="AC141" s="107" t="e">
        <f t="shared" ca="1" si="188"/>
        <v>#REF!</v>
      </c>
      <c r="AD141" s="107" t="e">
        <f t="array" aca="1" ref="AD141" ca="1">-(VLOOKUP(AC141, LT_IncomeTaxFed/$K141:$O141, 2, TRUE)+VLOOKUP(AC141,LT_IncomeTaxFed/$K141:$O141,3,TRUE)*(AC141-VLOOKUP(AC141,LT_IncomeTaxFed/$K141:$O141,1,TRUE)))</f>
        <v>#REF!</v>
      </c>
      <c r="AE141" s="107" t="e">
        <f t="array" aca="1" ref="AE141" ca="1">-(VLOOKUP($AC141+$X141, LT_IncomeTaxFed/$K141:$O141, 4, TRUE)+VLOOKUP($AC141+$X141,LT_IncomeTaxFed/$K141:$O141,5,TRUE)*($AC141+$X141-VLOOKUP($AC141+$X141,LT_IncomeTaxFed/$K141:$O141,1,TRUE)))+(VLOOKUP($AC141, LT_IncomeTaxFed/$K141:$O141, 4, TRUE)+VLOOKUP($AC141,LT_IncomeTaxFed/$K141:$O141,5,TRUE)*($AC141-VLOOKUP($AC141,LT_IncomeTaxFed/$K141:$O141,1,TRUE)))</f>
        <v>#REF!</v>
      </c>
      <c r="AF141" s="106" t="e">
        <f t="shared" ca="1" si="189"/>
        <v>#REF!</v>
      </c>
      <c r="AG141" s="107" t="e">
        <f t="shared" ca="1" si="190"/>
        <v>#REF!</v>
      </c>
      <c r="AH141" s="91" t="e">
        <f t="array" aca="1" ref="AH141" ca="1">IF(AG141&gt;0,(VLOOKUP(AG141, LT_IncomeTaxFed/$K141:$O141, 2, TRUE)+VLOOKUP(AG141,LT_IncomeTaxFed/$K141:$O141,3,TRUE)*(AG141-VLOOKUP(AG141,LT_IncomeTaxFed/$K141:$O141,1,TRUE)))/AG141,0)</f>
        <v>#REF!</v>
      </c>
      <c r="AI141" s="110" t="e">
        <f t="shared" ca="1" si="191"/>
        <v>#REF!</v>
      </c>
      <c r="AJ141" s="634"/>
      <c r="AK141" s="668"/>
    </row>
    <row r="142" spans="2:37" x14ac:dyDescent="0.25">
      <c r="B142" s="65">
        <f ca="1">B140+1</f>
        <v>2088</v>
      </c>
      <c r="C142" s="76" t="s">
        <v>741</v>
      </c>
      <c r="D142" s="146" t="str">
        <f t="shared" si="170"/>
        <v/>
      </c>
      <c r="E142" s="77">
        <f t="shared" si="167"/>
        <v>0</v>
      </c>
      <c r="F142" s="77" t="b">
        <f t="shared" si="171"/>
        <v>0</v>
      </c>
      <c r="G142" s="77">
        <f t="shared" si="169"/>
        <v>1</v>
      </c>
      <c r="H142" s="76">
        <f t="shared" si="172"/>
        <v>1</v>
      </c>
      <c r="I142" s="4">
        <f t="shared" si="173"/>
        <v>0</v>
      </c>
      <c r="J142" s="77">
        <f t="shared" si="174"/>
        <v>0</v>
      </c>
      <c r="K142" s="204">
        <f t="shared" ca="1" si="157"/>
        <v>8.8061290313468252E-2</v>
      </c>
      <c r="L142" s="93">
        <f t="shared" ca="1" si="157"/>
        <v>8.8061290313468252E-2</v>
      </c>
      <c r="M142" s="93">
        <v>1</v>
      </c>
      <c r="N142" s="93">
        <f t="shared" ca="1" si="31"/>
        <v>8.8061290313468252E-2</v>
      </c>
      <c r="O142" s="100">
        <v>1</v>
      </c>
      <c r="P142" s="70">
        <f t="shared" ca="1" si="175"/>
        <v>0</v>
      </c>
      <c r="Q142" s="70">
        <f t="shared" ca="1" si="176"/>
        <v>0</v>
      </c>
      <c r="R142" s="70" t="e">
        <f t="shared" ca="1" si="177"/>
        <v>#REF!</v>
      </c>
      <c r="S142" s="70">
        <f t="shared" ca="1" si="178"/>
        <v>0</v>
      </c>
      <c r="T142" s="70">
        <f t="shared" ca="1" si="179"/>
        <v>0</v>
      </c>
      <c r="U142" s="70" t="e">
        <f t="shared" ca="1" si="180"/>
        <v>#REF!</v>
      </c>
      <c r="V142" s="70">
        <f t="shared" ca="1" si="181"/>
        <v>0</v>
      </c>
      <c r="W142" s="70">
        <f t="shared" ca="1" si="182"/>
        <v>0</v>
      </c>
      <c r="X142" s="70">
        <f t="shared" ca="1" si="183"/>
        <v>0</v>
      </c>
      <c r="Y142" s="98">
        <f t="shared" ca="1" si="184"/>
        <v>0</v>
      </c>
      <c r="Z142" s="70">
        <f t="shared" ca="1" si="185"/>
        <v>0</v>
      </c>
      <c r="AA142" s="70">
        <f t="shared" ca="1" si="186"/>
        <v>0</v>
      </c>
      <c r="AB142" s="409" t="e">
        <f t="shared" ca="1" si="187"/>
        <v>#REF!</v>
      </c>
      <c r="AC142" s="70" t="e">
        <f t="shared" ca="1" si="188"/>
        <v>#REF!</v>
      </c>
      <c r="AD142" s="70" t="e">
        <f t="array" aca="1" ref="AD142" ca="1">-(VLOOKUP(AC142, LT_IncomeTaxFed/$K142:$O142, 2, TRUE)+VLOOKUP(AC142,LT_IncomeTaxFed/$K142:$O142,3,TRUE)*(AC142-VLOOKUP(AC142,LT_IncomeTaxFed/$K142:$O142,1,TRUE)))</f>
        <v>#REF!</v>
      </c>
      <c r="AE142" s="70" t="e">
        <f t="array" aca="1" ref="AE142" ca="1">-(VLOOKUP($AC142+$X142, LT_IncomeTaxFed/$K142:$O142, 4, TRUE)+VLOOKUP($AC142+$X142,LT_IncomeTaxFed/$K142:$O142,5,TRUE)*($AC142+$X142-VLOOKUP($AC142+$X142,LT_IncomeTaxFed/$K142:$O142,1,TRUE)))+(VLOOKUP($AC142, LT_IncomeTaxFed/$K142:$O142, 4, TRUE)+VLOOKUP($AC142,LT_IncomeTaxFed/$K142:$O142,5,TRUE)*($AC142-VLOOKUP($AC142,LT_IncomeTaxFed/$K142:$O142,1,TRUE)))</f>
        <v>#REF!</v>
      </c>
      <c r="AF142" s="75" t="e">
        <f t="shared" ca="1" si="189"/>
        <v>#REF!</v>
      </c>
      <c r="AG142" s="70" t="e">
        <f t="shared" ca="1" si="190"/>
        <v>#REF!</v>
      </c>
      <c r="AH142" s="67" t="e">
        <f t="array" aca="1" ref="AH142" ca="1">IF(AG142&gt;0,(VLOOKUP(AG142, LT_IncomeTaxFed/$K142:$O142, 2, TRUE)+VLOOKUP(AG142,LT_IncomeTaxFed/$K142:$O142,3,TRUE)*(AG142-VLOOKUP(AG142,LT_IncomeTaxFed/$K142:$O142,1,TRUE)))/AG142,0)</f>
        <v>#REF!</v>
      </c>
      <c r="AI142" s="109" t="e">
        <f t="shared" ca="1" si="191"/>
        <v>#REF!</v>
      </c>
      <c r="AJ142" s="634" t="e">
        <f ca="1">SUMPRODUCT($Z142:$Z143+$AA142:$AA143+$AD142:$AD143+$AE142:$AE143+$AI142:$AI143)</f>
        <v>#REF!</v>
      </c>
      <c r="AK142" s="668" t="e">
        <f t="shared" ref="AK142" ca="1" si="195">IF($U142&gt;0, -AJ142/$U142, 0)</f>
        <v>#REF!</v>
      </c>
    </row>
    <row r="143" spans="2:37" x14ac:dyDescent="0.25">
      <c r="B143" s="86">
        <f t="shared" ca="1" si="193"/>
        <v>2088</v>
      </c>
      <c r="C143" s="80" t="s">
        <v>741</v>
      </c>
      <c r="D143" s="147" t="str">
        <f t="shared" si="170"/>
        <v/>
      </c>
      <c r="E143" s="81">
        <f t="shared" si="167"/>
        <v>0</v>
      </c>
      <c r="F143" s="81" t="b">
        <f t="shared" si="171"/>
        <v>0</v>
      </c>
      <c r="G143" s="81">
        <f t="shared" si="169"/>
        <v>2</v>
      </c>
      <c r="H143" s="82">
        <f t="shared" si="172"/>
        <v>-1</v>
      </c>
      <c r="I143" s="35">
        <f t="shared" si="173"/>
        <v>0</v>
      </c>
      <c r="J143" s="81">
        <f t="shared" si="174"/>
        <v>0</v>
      </c>
      <c r="K143" s="205">
        <f t="shared" ca="1" si="157"/>
        <v>8.8061290313468252E-2</v>
      </c>
      <c r="L143" s="95">
        <f t="shared" ca="1" si="157"/>
        <v>8.8061290313468252E-2</v>
      </c>
      <c r="M143" s="95">
        <v>1</v>
      </c>
      <c r="N143" s="95">
        <f t="shared" ca="1" si="31"/>
        <v>8.8061290313468252E-2</v>
      </c>
      <c r="O143" s="206">
        <v>1</v>
      </c>
      <c r="P143" s="107">
        <f t="shared" ca="1" si="175"/>
        <v>0</v>
      </c>
      <c r="Q143" s="107">
        <f t="shared" ca="1" si="176"/>
        <v>0</v>
      </c>
      <c r="R143" s="107">
        <f t="shared" si="177"/>
        <v>0</v>
      </c>
      <c r="S143" s="107">
        <f t="shared" ca="1" si="178"/>
        <v>0</v>
      </c>
      <c r="T143" s="107">
        <f t="shared" ca="1" si="179"/>
        <v>0</v>
      </c>
      <c r="U143" s="107">
        <f t="shared" ca="1" si="180"/>
        <v>0</v>
      </c>
      <c r="V143" s="107">
        <f t="shared" ca="1" si="181"/>
        <v>0</v>
      </c>
      <c r="W143" s="107">
        <f t="shared" ca="1" si="182"/>
        <v>0</v>
      </c>
      <c r="X143" s="107">
        <f t="shared" ca="1" si="183"/>
        <v>0</v>
      </c>
      <c r="Y143" s="101">
        <f t="shared" ca="1" si="184"/>
        <v>0</v>
      </c>
      <c r="Z143" s="107">
        <f t="shared" ca="1" si="185"/>
        <v>0</v>
      </c>
      <c r="AA143" s="107">
        <f t="shared" ca="1" si="186"/>
        <v>0</v>
      </c>
      <c r="AB143" s="106" t="e">
        <f t="shared" ca="1" si="187"/>
        <v>#REF!</v>
      </c>
      <c r="AC143" s="107" t="e">
        <f t="shared" ca="1" si="188"/>
        <v>#REF!</v>
      </c>
      <c r="AD143" s="107" t="e">
        <f t="array" aca="1" ref="AD143" ca="1">-(VLOOKUP(AC143, LT_IncomeTaxFed/$K143:$O143, 2, TRUE)+VLOOKUP(AC143,LT_IncomeTaxFed/$K143:$O143,3,TRUE)*(AC143-VLOOKUP(AC143,LT_IncomeTaxFed/$K143:$O143,1,TRUE)))</f>
        <v>#REF!</v>
      </c>
      <c r="AE143" s="107" t="e">
        <f t="array" aca="1" ref="AE143" ca="1">-(VLOOKUP($AC143+$X143, LT_IncomeTaxFed/$K143:$O143, 4, TRUE)+VLOOKUP($AC143+$X143,LT_IncomeTaxFed/$K143:$O143,5,TRUE)*($AC143+$X143-VLOOKUP($AC143+$X143,LT_IncomeTaxFed/$K143:$O143,1,TRUE)))+(VLOOKUP($AC143, LT_IncomeTaxFed/$K143:$O143, 4, TRUE)+VLOOKUP($AC143,LT_IncomeTaxFed/$K143:$O143,5,TRUE)*($AC143-VLOOKUP($AC143,LT_IncomeTaxFed/$K143:$O143,1,TRUE)))</f>
        <v>#REF!</v>
      </c>
      <c r="AF143" s="106" t="e">
        <f t="shared" ca="1" si="189"/>
        <v>#REF!</v>
      </c>
      <c r="AG143" s="107" t="e">
        <f t="shared" ca="1" si="190"/>
        <v>#REF!</v>
      </c>
      <c r="AH143" s="91" t="e">
        <f t="array" aca="1" ref="AH143" ca="1">IF(AG143&gt;0,(VLOOKUP(AG143, LT_IncomeTaxFed/$K143:$O143, 2, TRUE)+VLOOKUP(AG143,LT_IncomeTaxFed/$K143:$O143,3,TRUE)*(AG143-VLOOKUP(AG143,LT_IncomeTaxFed/$K143:$O143,1,TRUE)))/AG143,0)</f>
        <v>#REF!</v>
      </c>
      <c r="AI143" s="110" t="e">
        <f t="shared" ca="1" si="191"/>
        <v>#REF!</v>
      </c>
      <c r="AJ143" s="634"/>
      <c r="AK143" s="668"/>
    </row>
    <row r="144" spans="2:37" x14ac:dyDescent="0.25">
      <c r="B144" s="65">
        <f ca="1">B142+1</f>
        <v>2089</v>
      </c>
      <c r="C144" s="76" t="s">
        <v>741</v>
      </c>
      <c r="D144" s="146" t="str">
        <f t="shared" si="170"/>
        <v/>
      </c>
      <c r="E144" s="77">
        <f t="shared" si="167"/>
        <v>0</v>
      </c>
      <c r="F144" s="77" t="b">
        <f t="shared" si="171"/>
        <v>0</v>
      </c>
      <c r="G144" s="77">
        <f t="shared" si="169"/>
        <v>1</v>
      </c>
      <c r="H144" s="76">
        <f t="shared" si="172"/>
        <v>1</v>
      </c>
      <c r="I144" s="4">
        <f t="shared" si="173"/>
        <v>0</v>
      </c>
      <c r="J144" s="77">
        <f t="shared" si="174"/>
        <v>0</v>
      </c>
      <c r="K144" s="204">
        <f t="shared" ca="1" si="157"/>
        <v>8.4878352109366964E-2</v>
      </c>
      <c r="L144" s="93">
        <f t="shared" ca="1" si="157"/>
        <v>8.4878352109366964E-2</v>
      </c>
      <c r="M144" s="93">
        <v>1</v>
      </c>
      <c r="N144" s="93">
        <f t="shared" ca="1" si="31"/>
        <v>8.4878352109366964E-2</v>
      </c>
      <c r="O144" s="100">
        <v>1</v>
      </c>
      <c r="P144" s="70">
        <f t="shared" ca="1" si="175"/>
        <v>0</v>
      </c>
      <c r="Q144" s="70">
        <f t="shared" ca="1" si="176"/>
        <v>0</v>
      </c>
      <c r="R144" s="70" t="e">
        <f t="shared" ca="1" si="177"/>
        <v>#REF!</v>
      </c>
      <c r="S144" s="70">
        <f t="shared" ca="1" si="178"/>
        <v>0</v>
      </c>
      <c r="T144" s="70">
        <f t="shared" ca="1" si="179"/>
        <v>0</v>
      </c>
      <c r="U144" s="70" t="e">
        <f t="shared" ca="1" si="180"/>
        <v>#REF!</v>
      </c>
      <c r="V144" s="70">
        <f t="shared" ca="1" si="181"/>
        <v>0</v>
      </c>
      <c r="W144" s="70">
        <f t="shared" ca="1" si="182"/>
        <v>0</v>
      </c>
      <c r="X144" s="70">
        <f t="shared" ca="1" si="183"/>
        <v>0</v>
      </c>
      <c r="Y144" s="98">
        <f t="shared" ca="1" si="184"/>
        <v>0</v>
      </c>
      <c r="Z144" s="70">
        <f t="shared" ca="1" si="185"/>
        <v>0</v>
      </c>
      <c r="AA144" s="70">
        <f t="shared" ca="1" si="186"/>
        <v>0</v>
      </c>
      <c r="AB144" s="409" t="e">
        <f t="shared" ca="1" si="187"/>
        <v>#REF!</v>
      </c>
      <c r="AC144" s="70" t="e">
        <f t="shared" ca="1" si="188"/>
        <v>#REF!</v>
      </c>
      <c r="AD144" s="70" t="e">
        <f t="array" aca="1" ref="AD144" ca="1">-(VLOOKUP(AC144, LT_IncomeTaxFed/$K144:$O144, 2, TRUE)+VLOOKUP(AC144,LT_IncomeTaxFed/$K144:$O144,3,TRUE)*(AC144-VLOOKUP(AC144,LT_IncomeTaxFed/$K144:$O144,1,TRUE)))</f>
        <v>#REF!</v>
      </c>
      <c r="AE144" s="70" t="e">
        <f t="array" aca="1" ref="AE144" ca="1">-(VLOOKUP($AC144+$X144, LT_IncomeTaxFed/$K144:$O144, 4, TRUE)+VLOOKUP($AC144+$X144,LT_IncomeTaxFed/$K144:$O144,5,TRUE)*($AC144+$X144-VLOOKUP($AC144+$X144,LT_IncomeTaxFed/$K144:$O144,1,TRUE)))+(VLOOKUP($AC144, LT_IncomeTaxFed/$K144:$O144, 4, TRUE)+VLOOKUP($AC144,LT_IncomeTaxFed/$K144:$O144,5,TRUE)*($AC144-VLOOKUP($AC144,LT_IncomeTaxFed/$K144:$O144,1,TRUE)))</f>
        <v>#REF!</v>
      </c>
      <c r="AF144" s="75" t="e">
        <f t="shared" ca="1" si="189"/>
        <v>#REF!</v>
      </c>
      <c r="AG144" s="70" t="e">
        <f t="shared" ca="1" si="190"/>
        <v>#REF!</v>
      </c>
      <c r="AH144" s="67" t="e">
        <f t="array" aca="1" ref="AH144" ca="1">IF(AG144&gt;0,(VLOOKUP(AG144, LT_IncomeTaxFed/$K144:$O144, 2, TRUE)+VLOOKUP(AG144,LT_IncomeTaxFed/$K144:$O144,3,TRUE)*(AG144-VLOOKUP(AG144,LT_IncomeTaxFed/$K144:$O144,1,TRUE)))/AG144,0)</f>
        <v>#REF!</v>
      </c>
      <c r="AI144" s="109" t="e">
        <f t="shared" ca="1" si="191"/>
        <v>#REF!</v>
      </c>
      <c r="AJ144" s="634" t="e">
        <f ca="1">SUMPRODUCT($Z144:$Z145+$AA144:$AA145+$AD144:$AD145+$AE144:$AE145+$AI144:$AI145)</f>
        <v>#REF!</v>
      </c>
      <c r="AK144" s="668" t="e">
        <f t="shared" ref="AK144" ca="1" si="196">IF($U144&gt;0, -AJ144/$U144, 0)</f>
        <v>#REF!</v>
      </c>
    </row>
    <row r="145" spans="2:37" x14ac:dyDescent="0.25">
      <c r="B145" s="86">
        <f t="shared" ca="1" si="193"/>
        <v>2089</v>
      </c>
      <c r="C145" s="80" t="s">
        <v>741</v>
      </c>
      <c r="D145" s="147" t="str">
        <f t="shared" si="170"/>
        <v/>
      </c>
      <c r="E145" s="81">
        <f t="shared" si="167"/>
        <v>0</v>
      </c>
      <c r="F145" s="81" t="b">
        <f t="shared" si="171"/>
        <v>0</v>
      </c>
      <c r="G145" s="81">
        <f t="shared" si="169"/>
        <v>2</v>
      </c>
      <c r="H145" s="82">
        <f t="shared" si="172"/>
        <v>-1</v>
      </c>
      <c r="I145" s="35">
        <f t="shared" si="173"/>
        <v>0</v>
      </c>
      <c r="J145" s="81">
        <f t="shared" si="174"/>
        <v>0</v>
      </c>
      <c r="K145" s="205">
        <f t="shared" ca="1" si="157"/>
        <v>8.4878352109366964E-2</v>
      </c>
      <c r="L145" s="95">
        <f t="shared" ca="1" si="157"/>
        <v>8.4878352109366964E-2</v>
      </c>
      <c r="M145" s="95">
        <v>1</v>
      </c>
      <c r="N145" s="95">
        <f t="shared" ca="1" si="31"/>
        <v>8.4878352109366964E-2</v>
      </c>
      <c r="O145" s="206">
        <v>1</v>
      </c>
      <c r="P145" s="107">
        <f t="shared" ca="1" si="175"/>
        <v>0</v>
      </c>
      <c r="Q145" s="107">
        <f t="shared" ca="1" si="176"/>
        <v>0</v>
      </c>
      <c r="R145" s="107">
        <f t="shared" si="177"/>
        <v>0</v>
      </c>
      <c r="S145" s="107">
        <f t="shared" ca="1" si="178"/>
        <v>0</v>
      </c>
      <c r="T145" s="107">
        <f t="shared" ca="1" si="179"/>
        <v>0</v>
      </c>
      <c r="U145" s="107">
        <f t="shared" ca="1" si="180"/>
        <v>0</v>
      </c>
      <c r="V145" s="107">
        <f t="shared" ca="1" si="181"/>
        <v>0</v>
      </c>
      <c r="W145" s="107">
        <f t="shared" ca="1" si="182"/>
        <v>0</v>
      </c>
      <c r="X145" s="107">
        <f t="shared" ca="1" si="183"/>
        <v>0</v>
      </c>
      <c r="Y145" s="101">
        <f t="shared" ca="1" si="184"/>
        <v>0</v>
      </c>
      <c r="Z145" s="107">
        <f t="shared" ca="1" si="185"/>
        <v>0</v>
      </c>
      <c r="AA145" s="107">
        <f t="shared" ca="1" si="186"/>
        <v>0</v>
      </c>
      <c r="AB145" s="106" t="e">
        <f t="shared" ca="1" si="187"/>
        <v>#REF!</v>
      </c>
      <c r="AC145" s="107" t="e">
        <f t="shared" ca="1" si="188"/>
        <v>#REF!</v>
      </c>
      <c r="AD145" s="107" t="e">
        <f t="array" aca="1" ref="AD145" ca="1">-(VLOOKUP(AC145, LT_IncomeTaxFed/$K145:$O145, 2, TRUE)+VLOOKUP(AC145,LT_IncomeTaxFed/$K145:$O145,3,TRUE)*(AC145-VLOOKUP(AC145,LT_IncomeTaxFed/$K145:$O145,1,TRUE)))</f>
        <v>#REF!</v>
      </c>
      <c r="AE145" s="107" t="e">
        <f t="array" aca="1" ref="AE145" ca="1">-(VLOOKUP($AC145+$X145, LT_IncomeTaxFed/$K145:$O145, 4, TRUE)+VLOOKUP($AC145+$X145,LT_IncomeTaxFed/$K145:$O145,5,TRUE)*($AC145+$X145-VLOOKUP($AC145+$X145,LT_IncomeTaxFed/$K145:$O145,1,TRUE)))+(VLOOKUP($AC145, LT_IncomeTaxFed/$K145:$O145, 4, TRUE)+VLOOKUP($AC145,LT_IncomeTaxFed/$K145:$O145,5,TRUE)*($AC145-VLOOKUP($AC145,LT_IncomeTaxFed/$K145:$O145,1,TRUE)))</f>
        <v>#REF!</v>
      </c>
      <c r="AF145" s="106" t="e">
        <f t="shared" ca="1" si="189"/>
        <v>#REF!</v>
      </c>
      <c r="AG145" s="107" t="e">
        <f t="shared" ca="1" si="190"/>
        <v>#REF!</v>
      </c>
      <c r="AH145" s="91" t="e">
        <f t="array" aca="1" ref="AH145" ca="1">IF(AG145&gt;0,(VLOOKUP(AG145, LT_IncomeTaxFed/$K145:$O145, 2, TRUE)+VLOOKUP(AG145,LT_IncomeTaxFed/$K145:$O145,3,TRUE)*(AG145-VLOOKUP(AG145,LT_IncomeTaxFed/$K145:$O145,1,TRUE)))/AG145,0)</f>
        <v>#REF!</v>
      </c>
      <c r="AI145" s="110" t="e">
        <f t="shared" ca="1" si="191"/>
        <v>#REF!</v>
      </c>
      <c r="AJ145" s="634"/>
      <c r="AK145" s="668"/>
    </row>
    <row r="146" spans="2:37" x14ac:dyDescent="0.25">
      <c r="B146" s="65">
        <f ca="1">B144+1</f>
        <v>2090</v>
      </c>
      <c r="C146" s="76" t="s">
        <v>741</v>
      </c>
      <c r="D146" s="146" t="str">
        <f t="shared" si="170"/>
        <v/>
      </c>
      <c r="E146" s="77">
        <f t="shared" si="167"/>
        <v>0</v>
      </c>
      <c r="F146" s="77" t="b">
        <f t="shared" si="171"/>
        <v>0</v>
      </c>
      <c r="G146" s="77">
        <f t="shared" si="169"/>
        <v>1</v>
      </c>
      <c r="H146" s="76">
        <f t="shared" si="172"/>
        <v>1</v>
      </c>
      <c r="I146" s="4">
        <f t="shared" si="173"/>
        <v>0</v>
      </c>
      <c r="J146" s="77">
        <f t="shared" si="174"/>
        <v>0</v>
      </c>
      <c r="K146" s="204">
        <f t="shared" ca="1" si="157"/>
        <v>8.1810459864450069E-2</v>
      </c>
      <c r="L146" s="93">
        <f t="shared" ca="1" si="157"/>
        <v>8.1810459864450069E-2</v>
      </c>
      <c r="M146" s="93">
        <v>1</v>
      </c>
      <c r="N146" s="93">
        <f t="shared" ca="1" si="31"/>
        <v>8.1810459864450069E-2</v>
      </c>
      <c r="O146" s="100">
        <v>1</v>
      </c>
      <c r="P146" s="70">
        <f t="shared" ca="1" si="175"/>
        <v>0</v>
      </c>
      <c r="Q146" s="70">
        <f t="shared" ca="1" si="176"/>
        <v>0</v>
      </c>
      <c r="R146" s="70" t="e">
        <f t="shared" ca="1" si="177"/>
        <v>#REF!</v>
      </c>
      <c r="S146" s="70">
        <f t="shared" ca="1" si="178"/>
        <v>0</v>
      </c>
      <c r="T146" s="70">
        <f t="shared" ca="1" si="179"/>
        <v>0</v>
      </c>
      <c r="U146" s="70" t="e">
        <f t="shared" ca="1" si="180"/>
        <v>#REF!</v>
      </c>
      <c r="V146" s="70">
        <f t="shared" ca="1" si="181"/>
        <v>0</v>
      </c>
      <c r="W146" s="70">
        <f t="shared" ca="1" si="182"/>
        <v>0</v>
      </c>
      <c r="X146" s="70">
        <f t="shared" ca="1" si="183"/>
        <v>0</v>
      </c>
      <c r="Y146" s="98">
        <f t="shared" ca="1" si="184"/>
        <v>0</v>
      </c>
      <c r="Z146" s="70">
        <f t="shared" ca="1" si="185"/>
        <v>0</v>
      </c>
      <c r="AA146" s="70">
        <f t="shared" ca="1" si="186"/>
        <v>0</v>
      </c>
      <c r="AB146" s="409" t="e">
        <f t="shared" ca="1" si="187"/>
        <v>#REF!</v>
      </c>
      <c r="AC146" s="70" t="e">
        <f t="shared" ca="1" si="188"/>
        <v>#REF!</v>
      </c>
      <c r="AD146" s="70" t="e">
        <f t="array" aca="1" ref="AD146" ca="1">-(VLOOKUP(AC146, LT_IncomeTaxFed/$K146:$O146, 2, TRUE)+VLOOKUP(AC146,LT_IncomeTaxFed/$K146:$O146,3,TRUE)*(AC146-VLOOKUP(AC146,LT_IncomeTaxFed/$K146:$O146,1,TRUE)))</f>
        <v>#REF!</v>
      </c>
      <c r="AE146" s="70" t="e">
        <f t="array" aca="1" ref="AE146" ca="1">-(VLOOKUP($AC146+$X146, LT_IncomeTaxFed/$K146:$O146, 4, TRUE)+VLOOKUP($AC146+$X146,LT_IncomeTaxFed/$K146:$O146,5,TRUE)*($AC146+$X146-VLOOKUP($AC146+$X146,LT_IncomeTaxFed/$K146:$O146,1,TRUE)))+(VLOOKUP($AC146, LT_IncomeTaxFed/$K146:$O146, 4, TRUE)+VLOOKUP($AC146,LT_IncomeTaxFed/$K146:$O146,5,TRUE)*($AC146-VLOOKUP($AC146,LT_IncomeTaxFed/$K146:$O146,1,TRUE)))</f>
        <v>#REF!</v>
      </c>
      <c r="AF146" s="75" t="e">
        <f t="shared" ca="1" si="189"/>
        <v>#REF!</v>
      </c>
      <c r="AG146" s="70" t="e">
        <f t="shared" ca="1" si="190"/>
        <v>#REF!</v>
      </c>
      <c r="AH146" s="67" t="e">
        <f t="array" aca="1" ref="AH146" ca="1">IF(AG146&gt;0,(VLOOKUP(AG146, LT_IncomeTaxFed/$K146:$O146, 2, TRUE)+VLOOKUP(AG146,LT_IncomeTaxFed/$K146:$O146,3,TRUE)*(AG146-VLOOKUP(AG146,LT_IncomeTaxFed/$K146:$O146,1,TRUE)))/AG146,0)</f>
        <v>#REF!</v>
      </c>
      <c r="AI146" s="109" t="e">
        <f t="shared" ca="1" si="191"/>
        <v>#REF!</v>
      </c>
      <c r="AJ146" s="634" t="e">
        <f ca="1">SUMPRODUCT($Z146:$Z147+$AA146:$AA147+$AD146:$AD147+$AE146:$AE147+$AI146:$AI147)</f>
        <v>#REF!</v>
      </c>
      <c r="AK146" s="668" t="e">
        <f t="shared" ref="AK146" ca="1" si="197">IF($U146&gt;0, -AJ146/$U146, 0)</f>
        <v>#REF!</v>
      </c>
    </row>
    <row r="147" spans="2:37" x14ac:dyDescent="0.25">
      <c r="B147" s="86">
        <f t="shared" ca="1" si="193"/>
        <v>2090</v>
      </c>
      <c r="C147" s="80" t="s">
        <v>741</v>
      </c>
      <c r="D147" s="147" t="str">
        <f t="shared" si="170"/>
        <v/>
      </c>
      <c r="E147" s="81">
        <f t="shared" si="167"/>
        <v>0</v>
      </c>
      <c r="F147" s="81" t="b">
        <f t="shared" si="171"/>
        <v>0</v>
      </c>
      <c r="G147" s="81">
        <f t="shared" si="169"/>
        <v>2</v>
      </c>
      <c r="H147" s="82">
        <f t="shared" si="172"/>
        <v>-1</v>
      </c>
      <c r="I147" s="35">
        <f t="shared" si="173"/>
        <v>0</v>
      </c>
      <c r="J147" s="81">
        <f t="shared" si="174"/>
        <v>0</v>
      </c>
      <c r="K147" s="205">
        <f t="shared" ca="1" si="157"/>
        <v>8.1810459864450069E-2</v>
      </c>
      <c r="L147" s="95">
        <f t="shared" ca="1" si="157"/>
        <v>8.1810459864450069E-2</v>
      </c>
      <c r="M147" s="95">
        <v>1</v>
      </c>
      <c r="N147" s="95">
        <f t="shared" ca="1" si="31"/>
        <v>8.1810459864450069E-2</v>
      </c>
      <c r="O147" s="206">
        <v>1</v>
      </c>
      <c r="P147" s="107">
        <f t="shared" ca="1" si="175"/>
        <v>0</v>
      </c>
      <c r="Q147" s="107">
        <f t="shared" ca="1" si="176"/>
        <v>0</v>
      </c>
      <c r="R147" s="107">
        <f t="shared" si="177"/>
        <v>0</v>
      </c>
      <c r="S147" s="107">
        <f t="shared" ca="1" si="178"/>
        <v>0</v>
      </c>
      <c r="T147" s="107">
        <f t="shared" ca="1" si="179"/>
        <v>0</v>
      </c>
      <c r="U147" s="107">
        <f t="shared" ca="1" si="180"/>
        <v>0</v>
      </c>
      <c r="V147" s="107">
        <f t="shared" ca="1" si="181"/>
        <v>0</v>
      </c>
      <c r="W147" s="107">
        <f t="shared" ca="1" si="182"/>
        <v>0</v>
      </c>
      <c r="X147" s="107">
        <f t="shared" ca="1" si="183"/>
        <v>0</v>
      </c>
      <c r="Y147" s="101">
        <f t="shared" ca="1" si="184"/>
        <v>0</v>
      </c>
      <c r="Z147" s="107">
        <f t="shared" ca="1" si="185"/>
        <v>0</v>
      </c>
      <c r="AA147" s="107">
        <f t="shared" ca="1" si="186"/>
        <v>0</v>
      </c>
      <c r="AB147" s="106" t="e">
        <f t="shared" ca="1" si="187"/>
        <v>#REF!</v>
      </c>
      <c r="AC147" s="107" t="e">
        <f t="shared" ca="1" si="188"/>
        <v>#REF!</v>
      </c>
      <c r="AD147" s="107" t="e">
        <f t="array" aca="1" ref="AD147" ca="1">-(VLOOKUP(AC147, LT_IncomeTaxFed/$K147:$O147, 2, TRUE)+VLOOKUP(AC147,LT_IncomeTaxFed/$K147:$O147,3,TRUE)*(AC147-VLOOKUP(AC147,LT_IncomeTaxFed/$K147:$O147,1,TRUE)))</f>
        <v>#REF!</v>
      </c>
      <c r="AE147" s="107" t="e">
        <f t="array" aca="1" ref="AE147" ca="1">-(VLOOKUP($AC147+$X147, LT_IncomeTaxFed/$K147:$O147, 4, TRUE)+VLOOKUP($AC147+$X147,LT_IncomeTaxFed/$K147:$O147,5,TRUE)*($AC147+$X147-VLOOKUP($AC147+$X147,LT_IncomeTaxFed/$K147:$O147,1,TRUE)))+(VLOOKUP($AC147, LT_IncomeTaxFed/$K147:$O147, 4, TRUE)+VLOOKUP($AC147,LT_IncomeTaxFed/$K147:$O147,5,TRUE)*($AC147-VLOOKUP($AC147,LT_IncomeTaxFed/$K147:$O147,1,TRUE)))</f>
        <v>#REF!</v>
      </c>
      <c r="AF147" s="106" t="e">
        <f t="shared" ca="1" si="189"/>
        <v>#REF!</v>
      </c>
      <c r="AG147" s="107" t="e">
        <f t="shared" ca="1" si="190"/>
        <v>#REF!</v>
      </c>
      <c r="AH147" s="91" t="e">
        <f t="array" aca="1" ref="AH147" ca="1">IF(AG147&gt;0,(VLOOKUP(AG147, LT_IncomeTaxFed/$K147:$O147, 2, TRUE)+VLOOKUP(AG147,LT_IncomeTaxFed/$K147:$O147,3,TRUE)*(AG147-VLOOKUP(AG147,LT_IncomeTaxFed/$K147:$O147,1,TRUE)))/AG147,0)</f>
        <v>#REF!</v>
      </c>
      <c r="AI147" s="110" t="e">
        <f t="shared" ca="1" si="191"/>
        <v>#REF!</v>
      </c>
      <c r="AJ147" s="634"/>
      <c r="AK147" s="668"/>
    </row>
    <row r="148" spans="2:37" x14ac:dyDescent="0.25">
      <c r="B148" s="65">
        <f ca="1">B146+1</f>
        <v>2091</v>
      </c>
      <c r="C148" s="76" t="s">
        <v>741</v>
      </c>
      <c r="D148" s="146" t="str">
        <f t="shared" si="170"/>
        <v/>
      </c>
      <c r="E148" s="77">
        <f t="shared" si="167"/>
        <v>0</v>
      </c>
      <c r="F148" s="77" t="b">
        <f t="shared" si="171"/>
        <v>0</v>
      </c>
      <c r="G148" s="77">
        <f t="shared" si="169"/>
        <v>1</v>
      </c>
      <c r="H148" s="76">
        <f t="shared" si="172"/>
        <v>1</v>
      </c>
      <c r="I148" s="4">
        <f t="shared" si="173"/>
        <v>0</v>
      </c>
      <c r="J148" s="77">
        <f t="shared" si="174"/>
        <v>0</v>
      </c>
      <c r="K148" s="204">
        <f t="shared" ca="1" si="157"/>
        <v>7.8853455291036198E-2</v>
      </c>
      <c r="L148" s="93">
        <f t="shared" ca="1" si="157"/>
        <v>7.8853455291036198E-2</v>
      </c>
      <c r="M148" s="93">
        <v>1</v>
      </c>
      <c r="N148" s="93">
        <f t="shared" ca="1" si="31"/>
        <v>7.8853455291036198E-2</v>
      </c>
      <c r="O148" s="100">
        <v>1</v>
      </c>
      <c r="P148" s="70">
        <f t="shared" ca="1" si="175"/>
        <v>0</v>
      </c>
      <c r="Q148" s="70">
        <f t="shared" ca="1" si="176"/>
        <v>0</v>
      </c>
      <c r="R148" s="70" t="e">
        <f t="shared" ca="1" si="177"/>
        <v>#REF!</v>
      </c>
      <c r="S148" s="70">
        <f t="shared" ca="1" si="178"/>
        <v>0</v>
      </c>
      <c r="T148" s="70">
        <f t="shared" ca="1" si="179"/>
        <v>0</v>
      </c>
      <c r="U148" s="70" t="e">
        <f t="shared" ca="1" si="180"/>
        <v>#REF!</v>
      </c>
      <c r="V148" s="70">
        <f t="shared" ca="1" si="181"/>
        <v>0</v>
      </c>
      <c r="W148" s="70">
        <f t="shared" ca="1" si="182"/>
        <v>0</v>
      </c>
      <c r="X148" s="70">
        <f t="shared" ca="1" si="183"/>
        <v>0</v>
      </c>
      <c r="Y148" s="98">
        <f t="shared" ca="1" si="184"/>
        <v>0</v>
      </c>
      <c r="Z148" s="70">
        <f t="shared" ca="1" si="185"/>
        <v>0</v>
      </c>
      <c r="AA148" s="70">
        <f t="shared" ca="1" si="186"/>
        <v>0</v>
      </c>
      <c r="AB148" s="409" t="e">
        <f t="shared" ca="1" si="187"/>
        <v>#REF!</v>
      </c>
      <c r="AC148" s="70" t="e">
        <f t="shared" ca="1" si="188"/>
        <v>#REF!</v>
      </c>
      <c r="AD148" s="70" t="e">
        <f t="array" aca="1" ref="AD148" ca="1">-(VLOOKUP(AC148, LT_IncomeTaxFed/$K148:$O148, 2, TRUE)+VLOOKUP(AC148,LT_IncomeTaxFed/$K148:$O148,3,TRUE)*(AC148-VLOOKUP(AC148,LT_IncomeTaxFed/$K148:$O148,1,TRUE)))</f>
        <v>#REF!</v>
      </c>
      <c r="AE148" s="70" t="e">
        <f t="array" aca="1" ref="AE148" ca="1">-(VLOOKUP($AC148+$X148, LT_IncomeTaxFed/$K148:$O148, 4, TRUE)+VLOOKUP($AC148+$X148,LT_IncomeTaxFed/$K148:$O148,5,TRUE)*($AC148+$X148-VLOOKUP($AC148+$X148,LT_IncomeTaxFed/$K148:$O148,1,TRUE)))+(VLOOKUP($AC148, LT_IncomeTaxFed/$K148:$O148, 4, TRUE)+VLOOKUP($AC148,LT_IncomeTaxFed/$K148:$O148,5,TRUE)*($AC148-VLOOKUP($AC148,LT_IncomeTaxFed/$K148:$O148,1,TRUE)))</f>
        <v>#REF!</v>
      </c>
      <c r="AF148" s="75" t="e">
        <f t="shared" ca="1" si="189"/>
        <v>#REF!</v>
      </c>
      <c r="AG148" s="70" t="e">
        <f t="shared" ca="1" si="190"/>
        <v>#REF!</v>
      </c>
      <c r="AH148" s="67" t="e">
        <f t="array" aca="1" ref="AH148" ca="1">IF(AG148&gt;0,(VLOOKUP(AG148, LT_IncomeTaxFed/$K148:$O148, 2, TRUE)+VLOOKUP(AG148,LT_IncomeTaxFed/$K148:$O148,3,TRUE)*(AG148-VLOOKUP(AG148,LT_IncomeTaxFed/$K148:$O148,1,TRUE)))/AG148,0)</f>
        <v>#REF!</v>
      </c>
      <c r="AI148" s="109" t="e">
        <f t="shared" ca="1" si="191"/>
        <v>#REF!</v>
      </c>
      <c r="AJ148" s="634" t="e">
        <f ca="1">SUMPRODUCT($Z148:$Z149+$AA148:$AA149+$AD148:$AD149+$AE148:$AE149+$AI148:$AI149)</f>
        <v>#REF!</v>
      </c>
      <c r="AK148" s="668" t="e">
        <f t="shared" ref="AK148" ca="1" si="198">IF($U148&gt;0, -AJ148/$U148, 0)</f>
        <v>#REF!</v>
      </c>
    </row>
    <row r="149" spans="2:37" x14ac:dyDescent="0.25">
      <c r="B149" s="86">
        <f t="shared" ca="1" si="193"/>
        <v>2091</v>
      </c>
      <c r="C149" s="80" t="s">
        <v>741</v>
      </c>
      <c r="D149" s="147" t="str">
        <f t="shared" si="170"/>
        <v/>
      </c>
      <c r="E149" s="81">
        <f t="shared" si="167"/>
        <v>0</v>
      </c>
      <c r="F149" s="81" t="b">
        <f t="shared" si="171"/>
        <v>0</v>
      </c>
      <c r="G149" s="81">
        <f t="shared" si="169"/>
        <v>2</v>
      </c>
      <c r="H149" s="82">
        <f t="shared" si="172"/>
        <v>-1</v>
      </c>
      <c r="I149" s="35">
        <f t="shared" si="173"/>
        <v>0</v>
      </c>
      <c r="J149" s="81">
        <f t="shared" si="174"/>
        <v>0</v>
      </c>
      <c r="K149" s="205">
        <f t="shared" ca="1" si="157"/>
        <v>7.8853455291036198E-2</v>
      </c>
      <c r="L149" s="95">
        <f t="shared" ca="1" si="157"/>
        <v>7.8853455291036198E-2</v>
      </c>
      <c r="M149" s="95">
        <v>1</v>
      </c>
      <c r="N149" s="95">
        <f t="shared" ca="1" si="31"/>
        <v>7.8853455291036198E-2</v>
      </c>
      <c r="O149" s="206">
        <v>1</v>
      </c>
      <c r="P149" s="107">
        <f t="shared" ca="1" si="175"/>
        <v>0</v>
      </c>
      <c r="Q149" s="107">
        <f t="shared" ca="1" si="176"/>
        <v>0</v>
      </c>
      <c r="R149" s="107">
        <f t="shared" si="177"/>
        <v>0</v>
      </c>
      <c r="S149" s="107">
        <f t="shared" ca="1" si="178"/>
        <v>0</v>
      </c>
      <c r="T149" s="107">
        <f t="shared" ca="1" si="179"/>
        <v>0</v>
      </c>
      <c r="U149" s="107">
        <f t="shared" ca="1" si="180"/>
        <v>0</v>
      </c>
      <c r="V149" s="107">
        <f t="shared" ca="1" si="181"/>
        <v>0</v>
      </c>
      <c r="W149" s="107">
        <f t="shared" ca="1" si="182"/>
        <v>0</v>
      </c>
      <c r="X149" s="107">
        <f t="shared" ca="1" si="183"/>
        <v>0</v>
      </c>
      <c r="Y149" s="101">
        <f t="shared" ca="1" si="184"/>
        <v>0</v>
      </c>
      <c r="Z149" s="107">
        <f t="shared" ca="1" si="185"/>
        <v>0</v>
      </c>
      <c r="AA149" s="107">
        <f t="shared" ca="1" si="186"/>
        <v>0</v>
      </c>
      <c r="AB149" s="106" t="e">
        <f t="shared" ca="1" si="187"/>
        <v>#REF!</v>
      </c>
      <c r="AC149" s="107" t="e">
        <f t="shared" ca="1" si="188"/>
        <v>#REF!</v>
      </c>
      <c r="AD149" s="107" t="e">
        <f t="array" aca="1" ref="AD149" ca="1">-(VLOOKUP(AC149, LT_IncomeTaxFed/$K149:$O149, 2, TRUE)+VLOOKUP(AC149,LT_IncomeTaxFed/$K149:$O149,3,TRUE)*(AC149-VLOOKUP(AC149,LT_IncomeTaxFed/$K149:$O149,1,TRUE)))</f>
        <v>#REF!</v>
      </c>
      <c r="AE149" s="107" t="e">
        <f t="array" aca="1" ref="AE149" ca="1">-(VLOOKUP($AC149+$X149, LT_IncomeTaxFed/$K149:$O149, 4, TRUE)+VLOOKUP($AC149+$X149,LT_IncomeTaxFed/$K149:$O149,5,TRUE)*($AC149+$X149-VLOOKUP($AC149+$X149,LT_IncomeTaxFed/$K149:$O149,1,TRUE)))+(VLOOKUP($AC149, LT_IncomeTaxFed/$K149:$O149, 4, TRUE)+VLOOKUP($AC149,LT_IncomeTaxFed/$K149:$O149,5,TRUE)*($AC149-VLOOKUP($AC149,LT_IncomeTaxFed/$K149:$O149,1,TRUE)))</f>
        <v>#REF!</v>
      </c>
      <c r="AF149" s="106" t="e">
        <f t="shared" ca="1" si="189"/>
        <v>#REF!</v>
      </c>
      <c r="AG149" s="107" t="e">
        <f t="shared" ca="1" si="190"/>
        <v>#REF!</v>
      </c>
      <c r="AH149" s="91" t="e">
        <f t="array" aca="1" ref="AH149" ca="1">IF(AG149&gt;0,(VLOOKUP(AG149, LT_IncomeTaxFed/$K149:$O149, 2, TRUE)+VLOOKUP(AG149,LT_IncomeTaxFed/$K149:$O149,3,TRUE)*(AG149-VLOOKUP(AG149,LT_IncomeTaxFed/$K149:$O149,1,TRUE)))/AG149,0)</f>
        <v>#REF!</v>
      </c>
      <c r="AI149" s="110" t="e">
        <f t="shared" ca="1" si="191"/>
        <v>#REF!</v>
      </c>
      <c r="AJ149" s="634"/>
      <c r="AK149" s="668"/>
    </row>
    <row r="150" spans="2:37" x14ac:dyDescent="0.25">
      <c r="B150" s="65">
        <f ca="1">B148+1</f>
        <v>2092</v>
      </c>
      <c r="C150" s="76" t="s">
        <v>741</v>
      </c>
      <c r="D150" s="146" t="str">
        <f t="shared" si="170"/>
        <v/>
      </c>
      <c r="E150" s="77">
        <f t="shared" si="167"/>
        <v>0</v>
      </c>
      <c r="F150" s="77" t="b">
        <f t="shared" si="171"/>
        <v>0</v>
      </c>
      <c r="G150" s="77">
        <f t="shared" si="169"/>
        <v>1</v>
      </c>
      <c r="H150" s="76">
        <f t="shared" si="172"/>
        <v>1</v>
      </c>
      <c r="I150" s="4">
        <f t="shared" si="173"/>
        <v>0</v>
      </c>
      <c r="J150" s="77">
        <f t="shared" si="174"/>
        <v>0</v>
      </c>
      <c r="K150" s="204">
        <f t="shared" ca="1" si="157"/>
        <v>7.6003330400998742E-2</v>
      </c>
      <c r="L150" s="93">
        <f t="shared" ca="1" si="157"/>
        <v>7.6003330400998742E-2</v>
      </c>
      <c r="M150" s="93">
        <v>1</v>
      </c>
      <c r="N150" s="93">
        <f t="shared" ca="1" si="31"/>
        <v>7.6003330400998742E-2</v>
      </c>
      <c r="O150" s="100">
        <v>1</v>
      </c>
      <c r="P150" s="70">
        <f t="shared" ca="1" si="175"/>
        <v>0</v>
      </c>
      <c r="Q150" s="70">
        <f t="shared" ca="1" si="176"/>
        <v>0</v>
      </c>
      <c r="R150" s="70" t="e">
        <f t="shared" ca="1" si="177"/>
        <v>#REF!</v>
      </c>
      <c r="S150" s="70">
        <f t="shared" ca="1" si="178"/>
        <v>0</v>
      </c>
      <c r="T150" s="70">
        <f t="shared" ca="1" si="179"/>
        <v>0</v>
      </c>
      <c r="U150" s="70" t="e">
        <f t="shared" ca="1" si="180"/>
        <v>#REF!</v>
      </c>
      <c r="V150" s="70">
        <f t="shared" ca="1" si="181"/>
        <v>0</v>
      </c>
      <c r="W150" s="70">
        <f t="shared" ca="1" si="182"/>
        <v>0</v>
      </c>
      <c r="X150" s="70">
        <f t="shared" ca="1" si="183"/>
        <v>0</v>
      </c>
      <c r="Y150" s="98">
        <f t="shared" ca="1" si="184"/>
        <v>0</v>
      </c>
      <c r="Z150" s="70">
        <f t="shared" ca="1" si="185"/>
        <v>0</v>
      </c>
      <c r="AA150" s="70">
        <f t="shared" ca="1" si="186"/>
        <v>0</v>
      </c>
      <c r="AB150" s="409" t="e">
        <f t="shared" ca="1" si="187"/>
        <v>#REF!</v>
      </c>
      <c r="AC150" s="70" t="e">
        <f t="shared" ca="1" si="188"/>
        <v>#REF!</v>
      </c>
      <c r="AD150" s="70" t="e">
        <f t="array" aca="1" ref="AD150" ca="1">-(VLOOKUP(AC150, LT_IncomeTaxFed/$K150:$O150, 2, TRUE)+VLOOKUP(AC150,LT_IncomeTaxFed/$K150:$O150,3,TRUE)*(AC150-VLOOKUP(AC150,LT_IncomeTaxFed/$K150:$O150,1,TRUE)))</f>
        <v>#REF!</v>
      </c>
      <c r="AE150" s="70" t="e">
        <f t="array" aca="1" ref="AE150" ca="1">-(VLOOKUP($AC150+$X150, LT_IncomeTaxFed/$K150:$O150, 4, TRUE)+VLOOKUP($AC150+$X150,LT_IncomeTaxFed/$K150:$O150,5,TRUE)*($AC150+$X150-VLOOKUP($AC150+$X150,LT_IncomeTaxFed/$K150:$O150,1,TRUE)))+(VLOOKUP($AC150, LT_IncomeTaxFed/$K150:$O150, 4, TRUE)+VLOOKUP($AC150,LT_IncomeTaxFed/$K150:$O150,5,TRUE)*($AC150-VLOOKUP($AC150,LT_IncomeTaxFed/$K150:$O150,1,TRUE)))</f>
        <v>#REF!</v>
      </c>
      <c r="AF150" s="75" t="e">
        <f t="shared" ca="1" si="189"/>
        <v>#REF!</v>
      </c>
      <c r="AG150" s="70" t="e">
        <f t="shared" ca="1" si="190"/>
        <v>#REF!</v>
      </c>
      <c r="AH150" s="67" t="e">
        <f t="array" aca="1" ref="AH150" ca="1">IF(AG150&gt;0,(VLOOKUP(AG150, LT_IncomeTaxFed/$K150:$O150, 2, TRUE)+VLOOKUP(AG150,LT_IncomeTaxFed/$K150:$O150,3,TRUE)*(AG150-VLOOKUP(AG150,LT_IncomeTaxFed/$K150:$O150,1,TRUE)))/AG150,0)</f>
        <v>#REF!</v>
      </c>
      <c r="AI150" s="109" t="e">
        <f t="shared" ca="1" si="191"/>
        <v>#REF!</v>
      </c>
      <c r="AJ150" s="634" t="e">
        <f ca="1">SUMPRODUCT($Z150:$Z151+$AA150:$AA151+$AD150:$AD151+$AE150:$AE151+$AI150:$AI151)</f>
        <v>#REF!</v>
      </c>
      <c r="AK150" s="668" t="e">
        <f t="shared" ref="AK150" ca="1" si="199">IF($U150&gt;0, -AJ150/$U150, 0)</f>
        <v>#REF!</v>
      </c>
    </row>
    <row r="151" spans="2:37" x14ac:dyDescent="0.25">
      <c r="B151" s="86">
        <f t="shared" ca="1" si="193"/>
        <v>2092</v>
      </c>
      <c r="C151" s="80" t="s">
        <v>741</v>
      </c>
      <c r="D151" s="147" t="str">
        <f t="shared" si="170"/>
        <v/>
      </c>
      <c r="E151" s="81">
        <f t="shared" si="167"/>
        <v>0</v>
      </c>
      <c r="F151" s="81" t="b">
        <f t="shared" si="171"/>
        <v>0</v>
      </c>
      <c r="G151" s="81">
        <f t="shared" si="169"/>
        <v>2</v>
      </c>
      <c r="H151" s="82">
        <f t="shared" si="172"/>
        <v>-1</v>
      </c>
      <c r="I151" s="35">
        <f t="shared" si="173"/>
        <v>0</v>
      </c>
      <c r="J151" s="81">
        <f t="shared" si="174"/>
        <v>0</v>
      </c>
      <c r="K151" s="205">
        <f t="shared" ca="1" si="157"/>
        <v>7.6003330400998742E-2</v>
      </c>
      <c r="L151" s="95">
        <f t="shared" ca="1" si="157"/>
        <v>7.6003330400998742E-2</v>
      </c>
      <c r="M151" s="95">
        <v>1</v>
      </c>
      <c r="N151" s="95">
        <f t="shared" ca="1" si="31"/>
        <v>7.6003330400998742E-2</v>
      </c>
      <c r="O151" s="206">
        <v>1</v>
      </c>
      <c r="P151" s="107">
        <f t="shared" ca="1" si="175"/>
        <v>0</v>
      </c>
      <c r="Q151" s="107">
        <f t="shared" ca="1" si="176"/>
        <v>0</v>
      </c>
      <c r="R151" s="107">
        <f t="shared" si="177"/>
        <v>0</v>
      </c>
      <c r="S151" s="107">
        <f t="shared" ca="1" si="178"/>
        <v>0</v>
      </c>
      <c r="T151" s="107">
        <f t="shared" ca="1" si="179"/>
        <v>0</v>
      </c>
      <c r="U151" s="107">
        <f t="shared" ca="1" si="180"/>
        <v>0</v>
      </c>
      <c r="V151" s="107">
        <f t="shared" ca="1" si="181"/>
        <v>0</v>
      </c>
      <c r="W151" s="107">
        <f t="shared" ca="1" si="182"/>
        <v>0</v>
      </c>
      <c r="X151" s="107">
        <f t="shared" ca="1" si="183"/>
        <v>0</v>
      </c>
      <c r="Y151" s="101">
        <f t="shared" ca="1" si="184"/>
        <v>0</v>
      </c>
      <c r="Z151" s="107">
        <f t="shared" ca="1" si="185"/>
        <v>0</v>
      </c>
      <c r="AA151" s="107">
        <f t="shared" ca="1" si="186"/>
        <v>0</v>
      </c>
      <c r="AB151" s="106" t="e">
        <f t="shared" ca="1" si="187"/>
        <v>#REF!</v>
      </c>
      <c r="AC151" s="107" t="e">
        <f t="shared" ca="1" si="188"/>
        <v>#REF!</v>
      </c>
      <c r="AD151" s="107" t="e">
        <f t="array" aca="1" ref="AD151" ca="1">-(VLOOKUP(AC151, LT_IncomeTaxFed/$K151:$O151, 2, TRUE)+VLOOKUP(AC151,LT_IncomeTaxFed/$K151:$O151,3,TRUE)*(AC151-VLOOKUP(AC151,LT_IncomeTaxFed/$K151:$O151,1,TRUE)))</f>
        <v>#REF!</v>
      </c>
      <c r="AE151" s="107" t="e">
        <f t="array" aca="1" ref="AE151" ca="1">-(VLOOKUP($AC151+$X151, LT_IncomeTaxFed/$K151:$O151, 4, TRUE)+VLOOKUP($AC151+$X151,LT_IncomeTaxFed/$K151:$O151,5,TRUE)*($AC151+$X151-VLOOKUP($AC151+$X151,LT_IncomeTaxFed/$K151:$O151,1,TRUE)))+(VLOOKUP($AC151, LT_IncomeTaxFed/$K151:$O151, 4, TRUE)+VLOOKUP($AC151,LT_IncomeTaxFed/$K151:$O151,5,TRUE)*($AC151-VLOOKUP($AC151,LT_IncomeTaxFed/$K151:$O151,1,TRUE)))</f>
        <v>#REF!</v>
      </c>
      <c r="AF151" s="106" t="e">
        <f t="shared" ca="1" si="189"/>
        <v>#REF!</v>
      </c>
      <c r="AG151" s="107" t="e">
        <f t="shared" ca="1" si="190"/>
        <v>#REF!</v>
      </c>
      <c r="AH151" s="91" t="e">
        <f t="array" aca="1" ref="AH151" ca="1">IF(AG151&gt;0,(VLOOKUP(AG151, LT_IncomeTaxFed/$K151:$O151, 2, TRUE)+VLOOKUP(AG151,LT_IncomeTaxFed/$K151:$O151,3,TRUE)*(AG151-VLOOKUP(AG151,LT_IncomeTaxFed/$K151:$O151,1,TRUE)))/AG151,0)</f>
        <v>#REF!</v>
      </c>
      <c r="AI151" s="110" t="e">
        <f t="shared" ca="1" si="191"/>
        <v>#REF!</v>
      </c>
      <c r="AJ151" s="634"/>
      <c r="AK151" s="668"/>
    </row>
    <row r="152" spans="2:37" x14ac:dyDescent="0.25">
      <c r="B152" s="65">
        <f ca="1">B150+1</f>
        <v>2093</v>
      </c>
      <c r="C152" s="76" t="s">
        <v>741</v>
      </c>
      <c r="D152" s="146" t="str">
        <f t="shared" si="170"/>
        <v/>
      </c>
      <c r="E152" s="77">
        <f t="shared" si="167"/>
        <v>0</v>
      </c>
      <c r="F152" s="77" t="b">
        <f t="shared" si="171"/>
        <v>0</v>
      </c>
      <c r="G152" s="77">
        <f t="shared" si="169"/>
        <v>1</v>
      </c>
      <c r="H152" s="76">
        <f t="shared" si="172"/>
        <v>1</v>
      </c>
      <c r="I152" s="4">
        <f t="shared" si="173"/>
        <v>0</v>
      </c>
      <c r="J152" s="77">
        <f t="shared" si="174"/>
        <v>0</v>
      </c>
      <c r="K152" s="204">
        <f t="shared" ca="1" si="157"/>
        <v>7.3256222073251789E-2</v>
      </c>
      <c r="L152" s="93">
        <f t="shared" ca="1" si="157"/>
        <v>7.3256222073251789E-2</v>
      </c>
      <c r="M152" s="93">
        <v>1</v>
      </c>
      <c r="N152" s="93">
        <f t="shared" ca="1" si="31"/>
        <v>7.3256222073251789E-2</v>
      </c>
      <c r="O152" s="100">
        <v>1</v>
      </c>
      <c r="P152" s="70">
        <f t="shared" ca="1" si="175"/>
        <v>0</v>
      </c>
      <c r="Q152" s="70">
        <f t="shared" ca="1" si="176"/>
        <v>0</v>
      </c>
      <c r="R152" s="70" t="e">
        <f t="shared" ca="1" si="177"/>
        <v>#REF!</v>
      </c>
      <c r="S152" s="70">
        <f t="shared" ca="1" si="178"/>
        <v>0</v>
      </c>
      <c r="T152" s="70">
        <f t="shared" ca="1" si="179"/>
        <v>0</v>
      </c>
      <c r="U152" s="70" t="e">
        <f t="shared" ca="1" si="180"/>
        <v>#REF!</v>
      </c>
      <c r="V152" s="70">
        <f t="shared" ca="1" si="181"/>
        <v>0</v>
      </c>
      <c r="W152" s="70">
        <f t="shared" ca="1" si="182"/>
        <v>0</v>
      </c>
      <c r="X152" s="70">
        <f t="shared" ca="1" si="183"/>
        <v>0</v>
      </c>
      <c r="Y152" s="98">
        <f t="shared" ca="1" si="184"/>
        <v>0</v>
      </c>
      <c r="Z152" s="70">
        <f t="shared" ca="1" si="185"/>
        <v>0</v>
      </c>
      <c r="AA152" s="70">
        <f t="shared" ca="1" si="186"/>
        <v>0</v>
      </c>
      <c r="AB152" s="409" t="e">
        <f t="shared" ca="1" si="187"/>
        <v>#REF!</v>
      </c>
      <c r="AC152" s="70" t="e">
        <f t="shared" ca="1" si="188"/>
        <v>#REF!</v>
      </c>
      <c r="AD152" s="70" t="e">
        <f t="array" aca="1" ref="AD152" ca="1">-(VLOOKUP(AC152, LT_IncomeTaxFed/$K152:$O152, 2, TRUE)+VLOOKUP(AC152,LT_IncomeTaxFed/$K152:$O152,3,TRUE)*(AC152-VLOOKUP(AC152,LT_IncomeTaxFed/$K152:$O152,1,TRUE)))</f>
        <v>#REF!</v>
      </c>
      <c r="AE152" s="70" t="e">
        <f t="array" aca="1" ref="AE152" ca="1">-(VLOOKUP($AC152+$X152, LT_IncomeTaxFed/$K152:$O152, 4, TRUE)+VLOOKUP($AC152+$X152,LT_IncomeTaxFed/$K152:$O152,5,TRUE)*($AC152+$X152-VLOOKUP($AC152+$X152,LT_IncomeTaxFed/$K152:$O152,1,TRUE)))+(VLOOKUP($AC152, LT_IncomeTaxFed/$K152:$O152, 4, TRUE)+VLOOKUP($AC152,LT_IncomeTaxFed/$K152:$O152,5,TRUE)*($AC152-VLOOKUP($AC152,LT_IncomeTaxFed/$K152:$O152,1,TRUE)))</f>
        <v>#REF!</v>
      </c>
      <c r="AF152" s="75" t="e">
        <f t="shared" ca="1" si="189"/>
        <v>#REF!</v>
      </c>
      <c r="AG152" s="70" t="e">
        <f t="shared" ca="1" si="190"/>
        <v>#REF!</v>
      </c>
      <c r="AH152" s="67" t="e">
        <f t="array" aca="1" ref="AH152" ca="1">IF(AG152&gt;0,(VLOOKUP(AG152, LT_IncomeTaxFed/$K152:$O152, 2, TRUE)+VLOOKUP(AG152,LT_IncomeTaxFed/$K152:$O152,3,TRUE)*(AG152-VLOOKUP(AG152,LT_IncomeTaxFed/$K152:$O152,1,TRUE)))/AG152,0)</f>
        <v>#REF!</v>
      </c>
      <c r="AI152" s="109" t="e">
        <f t="shared" ca="1" si="191"/>
        <v>#REF!</v>
      </c>
      <c r="AJ152" s="634" t="e">
        <f ca="1">SUMPRODUCT($Z152:$Z153+$AA152:$AA153+$AD152:$AD153+$AE152:$AE153+$AI152:$AI153)</f>
        <v>#REF!</v>
      </c>
      <c r="AK152" s="668" t="e">
        <f t="shared" ref="AK152" ca="1" si="200">IF($U152&gt;0, -AJ152/$U152, 0)</f>
        <v>#REF!</v>
      </c>
    </row>
    <row r="153" spans="2:37" x14ac:dyDescent="0.25">
      <c r="B153" s="86">
        <f t="shared" ca="1" si="193"/>
        <v>2093</v>
      </c>
      <c r="C153" s="80" t="s">
        <v>741</v>
      </c>
      <c r="D153" s="147" t="str">
        <f t="shared" si="170"/>
        <v/>
      </c>
      <c r="E153" s="81">
        <f t="shared" si="167"/>
        <v>0</v>
      </c>
      <c r="F153" s="81" t="b">
        <f t="shared" si="171"/>
        <v>0</v>
      </c>
      <c r="G153" s="81">
        <f t="shared" si="169"/>
        <v>2</v>
      </c>
      <c r="H153" s="82">
        <f t="shared" si="172"/>
        <v>-1</v>
      </c>
      <c r="I153" s="35">
        <f t="shared" si="173"/>
        <v>0</v>
      </c>
      <c r="J153" s="81">
        <f t="shared" si="174"/>
        <v>0</v>
      </c>
      <c r="K153" s="205">
        <f t="shared" ca="1" si="157"/>
        <v>7.3256222073251789E-2</v>
      </c>
      <c r="L153" s="95">
        <f t="shared" ca="1" si="157"/>
        <v>7.3256222073251789E-2</v>
      </c>
      <c r="M153" s="95">
        <v>1</v>
      </c>
      <c r="N153" s="95">
        <f t="shared" ca="1" si="31"/>
        <v>7.3256222073251789E-2</v>
      </c>
      <c r="O153" s="206">
        <v>1</v>
      </c>
      <c r="P153" s="107">
        <f t="shared" ca="1" si="175"/>
        <v>0</v>
      </c>
      <c r="Q153" s="107">
        <f t="shared" ca="1" si="176"/>
        <v>0</v>
      </c>
      <c r="R153" s="107">
        <f t="shared" si="177"/>
        <v>0</v>
      </c>
      <c r="S153" s="107">
        <f t="shared" ca="1" si="178"/>
        <v>0</v>
      </c>
      <c r="T153" s="107">
        <f t="shared" ca="1" si="179"/>
        <v>0</v>
      </c>
      <c r="U153" s="107">
        <f t="shared" ca="1" si="180"/>
        <v>0</v>
      </c>
      <c r="V153" s="107">
        <f t="shared" ca="1" si="181"/>
        <v>0</v>
      </c>
      <c r="W153" s="107">
        <f t="shared" ca="1" si="182"/>
        <v>0</v>
      </c>
      <c r="X153" s="107">
        <f t="shared" ca="1" si="183"/>
        <v>0</v>
      </c>
      <c r="Y153" s="101">
        <f t="shared" ca="1" si="184"/>
        <v>0</v>
      </c>
      <c r="Z153" s="107">
        <f t="shared" ca="1" si="185"/>
        <v>0</v>
      </c>
      <c r="AA153" s="107">
        <f t="shared" ca="1" si="186"/>
        <v>0</v>
      </c>
      <c r="AB153" s="106" t="e">
        <f t="shared" ca="1" si="187"/>
        <v>#REF!</v>
      </c>
      <c r="AC153" s="107" t="e">
        <f t="shared" ca="1" si="188"/>
        <v>#REF!</v>
      </c>
      <c r="AD153" s="107" t="e">
        <f t="array" aca="1" ref="AD153" ca="1">-(VLOOKUP(AC153, LT_IncomeTaxFed/$K153:$O153, 2, TRUE)+VLOOKUP(AC153,LT_IncomeTaxFed/$K153:$O153,3,TRUE)*(AC153-VLOOKUP(AC153,LT_IncomeTaxFed/$K153:$O153,1,TRUE)))</f>
        <v>#REF!</v>
      </c>
      <c r="AE153" s="107" t="e">
        <f t="array" aca="1" ref="AE153" ca="1">-(VLOOKUP($AC153+$X153, LT_IncomeTaxFed/$K153:$O153, 4, TRUE)+VLOOKUP($AC153+$X153,LT_IncomeTaxFed/$K153:$O153,5,TRUE)*($AC153+$X153-VLOOKUP($AC153+$X153,LT_IncomeTaxFed/$K153:$O153,1,TRUE)))+(VLOOKUP($AC153, LT_IncomeTaxFed/$K153:$O153, 4, TRUE)+VLOOKUP($AC153,LT_IncomeTaxFed/$K153:$O153,5,TRUE)*($AC153-VLOOKUP($AC153,LT_IncomeTaxFed/$K153:$O153,1,TRUE)))</f>
        <v>#REF!</v>
      </c>
      <c r="AF153" s="106" t="e">
        <f t="shared" ca="1" si="189"/>
        <v>#REF!</v>
      </c>
      <c r="AG153" s="107" t="e">
        <f t="shared" ca="1" si="190"/>
        <v>#REF!</v>
      </c>
      <c r="AH153" s="91" t="e">
        <f t="array" aca="1" ref="AH153" ca="1">IF(AG153&gt;0,(VLOOKUP(AG153, LT_IncomeTaxFed/$K153:$O153, 2, TRUE)+VLOOKUP(AG153,LT_IncomeTaxFed/$K153:$O153,3,TRUE)*(AG153-VLOOKUP(AG153,LT_IncomeTaxFed/$K153:$O153,1,TRUE)))/AG153,0)</f>
        <v>#REF!</v>
      </c>
      <c r="AI153" s="110" t="e">
        <f t="shared" ca="1" si="191"/>
        <v>#REF!</v>
      </c>
      <c r="AJ153" s="634"/>
      <c r="AK153" s="668"/>
    </row>
    <row r="154" spans="2:37" x14ac:dyDescent="0.25">
      <c r="B154" s="65">
        <f ca="1">B152+1</f>
        <v>2094</v>
      </c>
      <c r="C154" s="76" t="s">
        <v>741</v>
      </c>
      <c r="D154" s="146" t="str">
        <f t="shared" si="170"/>
        <v/>
      </c>
      <c r="E154" s="77">
        <f t="shared" si="167"/>
        <v>0</v>
      </c>
      <c r="F154" s="77" t="b">
        <f t="shared" si="171"/>
        <v>0</v>
      </c>
      <c r="G154" s="77">
        <f t="shared" si="169"/>
        <v>1</v>
      </c>
      <c r="H154" s="76">
        <f t="shared" si="172"/>
        <v>1</v>
      </c>
      <c r="I154" s="4">
        <f t="shared" si="173"/>
        <v>0</v>
      </c>
      <c r="J154" s="77">
        <f t="shared" si="174"/>
        <v>0</v>
      </c>
      <c r="K154" s="204">
        <f t="shared" ca="1" si="157"/>
        <v>7.0608406817592076E-2</v>
      </c>
      <c r="L154" s="93">
        <f t="shared" ca="1" si="157"/>
        <v>7.0608406817592076E-2</v>
      </c>
      <c r="M154" s="93">
        <v>1</v>
      </c>
      <c r="N154" s="93">
        <f t="shared" ca="1" si="31"/>
        <v>7.0608406817592076E-2</v>
      </c>
      <c r="O154" s="100">
        <v>1</v>
      </c>
      <c r="P154" s="70">
        <f t="shared" ca="1" si="175"/>
        <v>0</v>
      </c>
      <c r="Q154" s="70">
        <f t="shared" ca="1" si="176"/>
        <v>0</v>
      </c>
      <c r="R154" s="70" t="e">
        <f t="shared" ca="1" si="177"/>
        <v>#REF!</v>
      </c>
      <c r="S154" s="70">
        <f t="shared" ca="1" si="178"/>
        <v>0</v>
      </c>
      <c r="T154" s="70">
        <f t="shared" ca="1" si="179"/>
        <v>0</v>
      </c>
      <c r="U154" s="70" t="e">
        <f t="shared" ca="1" si="180"/>
        <v>#REF!</v>
      </c>
      <c r="V154" s="70">
        <f t="shared" ca="1" si="181"/>
        <v>0</v>
      </c>
      <c r="W154" s="70">
        <f t="shared" ca="1" si="182"/>
        <v>0</v>
      </c>
      <c r="X154" s="70">
        <f t="shared" ca="1" si="183"/>
        <v>0</v>
      </c>
      <c r="Y154" s="98">
        <f t="shared" ca="1" si="184"/>
        <v>0</v>
      </c>
      <c r="Z154" s="70">
        <f t="shared" ca="1" si="185"/>
        <v>0</v>
      </c>
      <c r="AA154" s="70">
        <f t="shared" ca="1" si="186"/>
        <v>0</v>
      </c>
      <c r="AB154" s="409" t="e">
        <f t="shared" ca="1" si="187"/>
        <v>#REF!</v>
      </c>
      <c r="AC154" s="70" t="e">
        <f t="shared" ca="1" si="188"/>
        <v>#REF!</v>
      </c>
      <c r="AD154" s="70" t="e">
        <f t="array" aca="1" ref="AD154" ca="1">-(VLOOKUP(AC154, LT_IncomeTaxFed/$K154:$O154, 2, TRUE)+VLOOKUP(AC154,LT_IncomeTaxFed/$K154:$O154,3,TRUE)*(AC154-VLOOKUP(AC154,LT_IncomeTaxFed/$K154:$O154,1,TRUE)))</f>
        <v>#REF!</v>
      </c>
      <c r="AE154" s="70" t="e">
        <f t="array" aca="1" ref="AE154" ca="1">-(VLOOKUP($AC154+$X154, LT_IncomeTaxFed/$K154:$O154, 4, TRUE)+VLOOKUP($AC154+$X154,LT_IncomeTaxFed/$K154:$O154,5,TRUE)*($AC154+$X154-VLOOKUP($AC154+$X154,LT_IncomeTaxFed/$K154:$O154,1,TRUE)))+(VLOOKUP($AC154, LT_IncomeTaxFed/$K154:$O154, 4, TRUE)+VLOOKUP($AC154,LT_IncomeTaxFed/$K154:$O154,5,TRUE)*($AC154-VLOOKUP($AC154,LT_IncomeTaxFed/$K154:$O154,1,TRUE)))</f>
        <v>#REF!</v>
      </c>
      <c r="AF154" s="75" t="e">
        <f t="shared" ca="1" si="189"/>
        <v>#REF!</v>
      </c>
      <c r="AG154" s="70" t="e">
        <f t="shared" ca="1" si="190"/>
        <v>#REF!</v>
      </c>
      <c r="AH154" s="67" t="e">
        <f t="array" aca="1" ref="AH154" ca="1">IF(AG154&gt;0,(VLOOKUP(AG154, LT_IncomeTaxFed/$K154:$O154, 2, TRUE)+VLOOKUP(AG154,LT_IncomeTaxFed/$K154:$O154,3,TRUE)*(AG154-VLOOKUP(AG154,LT_IncomeTaxFed/$K154:$O154,1,TRUE)))/AG154,0)</f>
        <v>#REF!</v>
      </c>
      <c r="AI154" s="109" t="e">
        <f t="shared" ca="1" si="191"/>
        <v>#REF!</v>
      </c>
      <c r="AJ154" s="634" t="e">
        <f ca="1">SUMPRODUCT($Z154:$Z155+$AA154:$AA155+$AD154:$AD155+$AE154:$AE155+$AI154:$AI155)</f>
        <v>#REF!</v>
      </c>
      <c r="AK154" s="668" t="e">
        <f t="shared" ref="AK154" ca="1" si="201">IF($U154&gt;0, -AJ154/$U154, 0)</f>
        <v>#REF!</v>
      </c>
    </row>
    <row r="155" spans="2:37" x14ac:dyDescent="0.25">
      <c r="B155" s="86">
        <f t="shared" ca="1" si="193"/>
        <v>2094</v>
      </c>
      <c r="C155" s="80" t="s">
        <v>741</v>
      </c>
      <c r="D155" s="147" t="str">
        <f t="shared" si="170"/>
        <v/>
      </c>
      <c r="E155" s="81">
        <f t="shared" si="167"/>
        <v>0</v>
      </c>
      <c r="F155" s="81" t="b">
        <f t="shared" si="171"/>
        <v>0</v>
      </c>
      <c r="G155" s="81">
        <f t="shared" si="169"/>
        <v>2</v>
      </c>
      <c r="H155" s="82">
        <f t="shared" si="172"/>
        <v>-1</v>
      </c>
      <c r="I155" s="35">
        <f t="shared" si="173"/>
        <v>0</v>
      </c>
      <c r="J155" s="81">
        <f t="shared" si="174"/>
        <v>0</v>
      </c>
      <c r="K155" s="205">
        <f t="shared" ca="1" si="157"/>
        <v>7.0608406817592076E-2</v>
      </c>
      <c r="L155" s="95">
        <f t="shared" ca="1" si="157"/>
        <v>7.0608406817592076E-2</v>
      </c>
      <c r="M155" s="95">
        <v>1</v>
      </c>
      <c r="N155" s="95">
        <f t="shared" ca="1" si="31"/>
        <v>7.0608406817592076E-2</v>
      </c>
      <c r="O155" s="206">
        <v>1</v>
      </c>
      <c r="P155" s="107">
        <f t="shared" ca="1" si="175"/>
        <v>0</v>
      </c>
      <c r="Q155" s="107">
        <f t="shared" ca="1" si="176"/>
        <v>0</v>
      </c>
      <c r="R155" s="107">
        <f t="shared" si="177"/>
        <v>0</v>
      </c>
      <c r="S155" s="107">
        <f t="shared" ca="1" si="178"/>
        <v>0</v>
      </c>
      <c r="T155" s="107">
        <f t="shared" ca="1" si="179"/>
        <v>0</v>
      </c>
      <c r="U155" s="107">
        <f t="shared" ca="1" si="180"/>
        <v>0</v>
      </c>
      <c r="V155" s="107">
        <f t="shared" ca="1" si="181"/>
        <v>0</v>
      </c>
      <c r="W155" s="107">
        <f t="shared" ca="1" si="182"/>
        <v>0</v>
      </c>
      <c r="X155" s="107">
        <f t="shared" ca="1" si="183"/>
        <v>0</v>
      </c>
      <c r="Y155" s="101">
        <f t="shared" ca="1" si="184"/>
        <v>0</v>
      </c>
      <c r="Z155" s="107">
        <f t="shared" ca="1" si="185"/>
        <v>0</v>
      </c>
      <c r="AA155" s="107">
        <f t="shared" ca="1" si="186"/>
        <v>0</v>
      </c>
      <c r="AB155" s="106" t="e">
        <f t="shared" ca="1" si="187"/>
        <v>#REF!</v>
      </c>
      <c r="AC155" s="107" t="e">
        <f t="shared" ca="1" si="188"/>
        <v>#REF!</v>
      </c>
      <c r="AD155" s="107" t="e">
        <f t="array" aca="1" ref="AD155" ca="1">-(VLOOKUP(AC155, LT_IncomeTaxFed/$K155:$O155, 2, TRUE)+VLOOKUP(AC155,LT_IncomeTaxFed/$K155:$O155,3,TRUE)*(AC155-VLOOKUP(AC155,LT_IncomeTaxFed/$K155:$O155,1,TRUE)))</f>
        <v>#REF!</v>
      </c>
      <c r="AE155" s="107" t="e">
        <f t="array" aca="1" ref="AE155" ca="1">-(VLOOKUP($AC155+$X155, LT_IncomeTaxFed/$K155:$O155, 4, TRUE)+VLOOKUP($AC155+$X155,LT_IncomeTaxFed/$K155:$O155,5,TRUE)*($AC155+$X155-VLOOKUP($AC155+$X155,LT_IncomeTaxFed/$K155:$O155,1,TRUE)))+(VLOOKUP($AC155, LT_IncomeTaxFed/$K155:$O155, 4, TRUE)+VLOOKUP($AC155,LT_IncomeTaxFed/$K155:$O155,5,TRUE)*($AC155-VLOOKUP($AC155,LT_IncomeTaxFed/$K155:$O155,1,TRUE)))</f>
        <v>#REF!</v>
      </c>
      <c r="AF155" s="106" t="e">
        <f t="shared" ca="1" si="189"/>
        <v>#REF!</v>
      </c>
      <c r="AG155" s="107" t="e">
        <f t="shared" ca="1" si="190"/>
        <v>#REF!</v>
      </c>
      <c r="AH155" s="91" t="e">
        <f t="array" aca="1" ref="AH155" ca="1">IF(AG155&gt;0,(VLOOKUP(AG155, LT_IncomeTaxFed/$K155:$O155, 2, TRUE)+VLOOKUP(AG155,LT_IncomeTaxFed/$K155:$O155,3,TRUE)*(AG155-VLOOKUP(AG155,LT_IncomeTaxFed/$K155:$O155,1,TRUE)))/AG155,0)</f>
        <v>#REF!</v>
      </c>
      <c r="AI155" s="110" t="e">
        <f t="shared" ca="1" si="191"/>
        <v>#REF!</v>
      </c>
      <c r="AJ155" s="634"/>
      <c r="AK155" s="668"/>
    </row>
    <row r="156" spans="2:37" x14ac:dyDescent="0.25">
      <c r="B156" s="65">
        <f ca="1">B154+1</f>
        <v>2095</v>
      </c>
      <c r="C156" s="76" t="s">
        <v>741</v>
      </c>
      <c r="D156" s="146" t="str">
        <f t="shared" si="170"/>
        <v/>
      </c>
      <c r="E156" s="77">
        <f t="shared" si="167"/>
        <v>0</v>
      </c>
      <c r="F156" s="77" t="b">
        <f t="shared" si="171"/>
        <v>0</v>
      </c>
      <c r="G156" s="77">
        <f t="shared" si="169"/>
        <v>1</v>
      </c>
      <c r="H156" s="76">
        <f t="shared" si="172"/>
        <v>1</v>
      </c>
      <c r="I156" s="4">
        <f t="shared" si="173"/>
        <v>0</v>
      </c>
      <c r="J156" s="77">
        <f t="shared" si="174"/>
        <v>0</v>
      </c>
      <c r="K156" s="204">
        <f t="shared" ca="1" si="157"/>
        <v>6.8056295727799587E-2</v>
      </c>
      <c r="L156" s="93">
        <f t="shared" ca="1" si="157"/>
        <v>6.8056295727799587E-2</v>
      </c>
      <c r="M156" s="93">
        <v>1</v>
      </c>
      <c r="N156" s="93">
        <f t="shared" ca="1" si="31"/>
        <v>6.8056295727799587E-2</v>
      </c>
      <c r="O156" s="100">
        <v>1</v>
      </c>
      <c r="P156" s="70">
        <f t="shared" ca="1" si="175"/>
        <v>0</v>
      </c>
      <c r="Q156" s="70">
        <f t="shared" ca="1" si="176"/>
        <v>0</v>
      </c>
      <c r="R156" s="70" t="e">
        <f t="shared" ca="1" si="177"/>
        <v>#REF!</v>
      </c>
      <c r="S156" s="70">
        <f t="shared" ca="1" si="178"/>
        <v>0</v>
      </c>
      <c r="T156" s="70">
        <f t="shared" ca="1" si="179"/>
        <v>0</v>
      </c>
      <c r="U156" s="70" t="e">
        <f t="shared" ca="1" si="180"/>
        <v>#REF!</v>
      </c>
      <c r="V156" s="70">
        <f t="shared" ca="1" si="181"/>
        <v>0</v>
      </c>
      <c r="W156" s="70">
        <f t="shared" ca="1" si="182"/>
        <v>0</v>
      </c>
      <c r="X156" s="70">
        <f t="shared" ca="1" si="183"/>
        <v>0</v>
      </c>
      <c r="Y156" s="98">
        <f t="shared" ca="1" si="184"/>
        <v>0</v>
      </c>
      <c r="Z156" s="70">
        <f t="shared" ca="1" si="185"/>
        <v>0</v>
      </c>
      <c r="AA156" s="70">
        <f t="shared" ca="1" si="186"/>
        <v>0</v>
      </c>
      <c r="AB156" s="409" t="e">
        <f t="shared" ca="1" si="187"/>
        <v>#REF!</v>
      </c>
      <c r="AC156" s="70" t="e">
        <f t="shared" ca="1" si="188"/>
        <v>#REF!</v>
      </c>
      <c r="AD156" s="70" t="e">
        <f t="array" aca="1" ref="AD156" ca="1">-(VLOOKUP(AC156, LT_IncomeTaxFed/$K156:$O156, 2, TRUE)+VLOOKUP(AC156,LT_IncomeTaxFed/$K156:$O156,3,TRUE)*(AC156-VLOOKUP(AC156,LT_IncomeTaxFed/$K156:$O156,1,TRUE)))</f>
        <v>#REF!</v>
      </c>
      <c r="AE156" s="70" t="e">
        <f t="array" aca="1" ref="AE156" ca="1">-(VLOOKUP($AC156+$X156, LT_IncomeTaxFed/$K156:$O156, 4, TRUE)+VLOOKUP($AC156+$X156,LT_IncomeTaxFed/$K156:$O156,5,TRUE)*($AC156+$X156-VLOOKUP($AC156+$X156,LT_IncomeTaxFed/$K156:$O156,1,TRUE)))+(VLOOKUP($AC156, LT_IncomeTaxFed/$K156:$O156, 4, TRUE)+VLOOKUP($AC156,LT_IncomeTaxFed/$K156:$O156,5,TRUE)*($AC156-VLOOKUP($AC156,LT_IncomeTaxFed/$K156:$O156,1,TRUE)))</f>
        <v>#REF!</v>
      </c>
      <c r="AF156" s="75" t="e">
        <f t="shared" ca="1" si="189"/>
        <v>#REF!</v>
      </c>
      <c r="AG156" s="70" t="e">
        <f t="shared" ca="1" si="190"/>
        <v>#REF!</v>
      </c>
      <c r="AH156" s="67" t="e">
        <f t="array" aca="1" ref="AH156" ca="1">IF(AG156&gt;0,(VLOOKUP(AG156, LT_IncomeTaxFed/$K156:$O156, 2, TRUE)+VLOOKUP(AG156,LT_IncomeTaxFed/$K156:$O156,3,TRUE)*(AG156-VLOOKUP(AG156,LT_IncomeTaxFed/$K156:$O156,1,TRUE)))/AG156,0)</f>
        <v>#REF!</v>
      </c>
      <c r="AI156" s="109" t="e">
        <f t="shared" ca="1" si="191"/>
        <v>#REF!</v>
      </c>
      <c r="AJ156" s="634" t="e">
        <f ca="1">SUMPRODUCT($Z156:$Z157+$AA156:$AA157+$AD156:$AD157+$AE156:$AE157+$AI156:$AI157)</f>
        <v>#REF!</v>
      </c>
      <c r="AK156" s="668" t="e">
        <f t="shared" ref="AK156" ca="1" si="202">IF($U156&gt;0, -AJ156/$U156, 0)</f>
        <v>#REF!</v>
      </c>
    </row>
    <row r="157" spans="2:37" x14ac:dyDescent="0.25">
      <c r="B157" s="86">
        <f t="shared" ca="1" si="193"/>
        <v>2095</v>
      </c>
      <c r="C157" s="80" t="s">
        <v>741</v>
      </c>
      <c r="D157" s="147" t="str">
        <f t="shared" si="170"/>
        <v/>
      </c>
      <c r="E157" s="81">
        <f t="shared" si="167"/>
        <v>0</v>
      </c>
      <c r="F157" s="81" t="b">
        <f t="shared" si="171"/>
        <v>0</v>
      </c>
      <c r="G157" s="81">
        <f t="shared" si="169"/>
        <v>2</v>
      </c>
      <c r="H157" s="82">
        <f t="shared" si="172"/>
        <v>-1</v>
      </c>
      <c r="I157" s="35">
        <f t="shared" si="173"/>
        <v>0</v>
      </c>
      <c r="J157" s="81">
        <f t="shared" si="174"/>
        <v>0</v>
      </c>
      <c r="K157" s="205">
        <f t="shared" ca="1" si="157"/>
        <v>6.8056295727799587E-2</v>
      </c>
      <c r="L157" s="95">
        <f t="shared" ca="1" si="157"/>
        <v>6.8056295727799587E-2</v>
      </c>
      <c r="M157" s="95">
        <v>1</v>
      </c>
      <c r="N157" s="95">
        <f t="shared" ca="1" si="31"/>
        <v>6.8056295727799587E-2</v>
      </c>
      <c r="O157" s="206">
        <v>1</v>
      </c>
      <c r="P157" s="107">
        <f t="shared" ca="1" si="175"/>
        <v>0</v>
      </c>
      <c r="Q157" s="107">
        <f t="shared" ca="1" si="176"/>
        <v>0</v>
      </c>
      <c r="R157" s="107">
        <f t="shared" si="177"/>
        <v>0</v>
      </c>
      <c r="S157" s="107">
        <f t="shared" ca="1" si="178"/>
        <v>0</v>
      </c>
      <c r="T157" s="107">
        <f t="shared" ca="1" si="179"/>
        <v>0</v>
      </c>
      <c r="U157" s="107">
        <f t="shared" ca="1" si="180"/>
        <v>0</v>
      </c>
      <c r="V157" s="107">
        <f t="shared" ca="1" si="181"/>
        <v>0</v>
      </c>
      <c r="W157" s="107">
        <f t="shared" ca="1" si="182"/>
        <v>0</v>
      </c>
      <c r="X157" s="107">
        <f t="shared" ca="1" si="183"/>
        <v>0</v>
      </c>
      <c r="Y157" s="101">
        <f t="shared" ca="1" si="184"/>
        <v>0</v>
      </c>
      <c r="Z157" s="107">
        <f t="shared" ca="1" si="185"/>
        <v>0</v>
      </c>
      <c r="AA157" s="107">
        <f t="shared" ca="1" si="186"/>
        <v>0</v>
      </c>
      <c r="AB157" s="106" t="e">
        <f t="shared" ca="1" si="187"/>
        <v>#REF!</v>
      </c>
      <c r="AC157" s="107" t="e">
        <f t="shared" ca="1" si="188"/>
        <v>#REF!</v>
      </c>
      <c r="AD157" s="107" t="e">
        <f t="array" aca="1" ref="AD157" ca="1">-(VLOOKUP(AC157, LT_IncomeTaxFed/$K157:$O157, 2, TRUE)+VLOOKUP(AC157,LT_IncomeTaxFed/$K157:$O157,3,TRUE)*(AC157-VLOOKUP(AC157,LT_IncomeTaxFed/$K157:$O157,1,TRUE)))</f>
        <v>#REF!</v>
      </c>
      <c r="AE157" s="107" t="e">
        <f t="array" aca="1" ref="AE157" ca="1">-(VLOOKUP($AC157+$X157, LT_IncomeTaxFed/$K157:$O157, 4, TRUE)+VLOOKUP($AC157+$X157,LT_IncomeTaxFed/$K157:$O157,5,TRUE)*($AC157+$X157-VLOOKUP($AC157+$X157,LT_IncomeTaxFed/$K157:$O157,1,TRUE)))+(VLOOKUP($AC157, LT_IncomeTaxFed/$K157:$O157, 4, TRUE)+VLOOKUP($AC157,LT_IncomeTaxFed/$K157:$O157,5,TRUE)*($AC157-VLOOKUP($AC157,LT_IncomeTaxFed/$K157:$O157,1,TRUE)))</f>
        <v>#REF!</v>
      </c>
      <c r="AF157" s="106" t="e">
        <f t="shared" ca="1" si="189"/>
        <v>#REF!</v>
      </c>
      <c r="AG157" s="107" t="e">
        <f t="shared" ca="1" si="190"/>
        <v>#REF!</v>
      </c>
      <c r="AH157" s="91" t="e">
        <f t="array" aca="1" ref="AH157" ca="1">IF(AG157&gt;0,(VLOOKUP(AG157, LT_IncomeTaxFed/$K157:$O157, 2, TRUE)+VLOOKUP(AG157,LT_IncomeTaxFed/$K157:$O157,3,TRUE)*(AG157-VLOOKUP(AG157,LT_IncomeTaxFed/$K157:$O157,1,TRUE)))/AG157,0)</f>
        <v>#REF!</v>
      </c>
      <c r="AI157" s="110" t="e">
        <f t="shared" ca="1" si="191"/>
        <v>#REF!</v>
      </c>
      <c r="AJ157" s="634"/>
      <c r="AK157" s="668"/>
    </row>
    <row r="158" spans="2:37" x14ac:dyDescent="0.25">
      <c r="B158" s="65">
        <f ca="1">B156+1</f>
        <v>2096</v>
      </c>
      <c r="C158" s="76" t="s">
        <v>741</v>
      </c>
      <c r="D158" s="146" t="str">
        <f t="shared" si="170"/>
        <v/>
      </c>
      <c r="E158" s="77">
        <f t="shared" si="167"/>
        <v>0</v>
      </c>
      <c r="F158" s="77" t="b">
        <f t="shared" si="171"/>
        <v>0</v>
      </c>
      <c r="G158" s="77">
        <f t="shared" si="169"/>
        <v>1</v>
      </c>
      <c r="H158" s="76">
        <f t="shared" si="172"/>
        <v>1</v>
      </c>
      <c r="I158" s="4">
        <f t="shared" si="173"/>
        <v>0</v>
      </c>
      <c r="J158" s="77">
        <f t="shared" si="174"/>
        <v>0</v>
      </c>
      <c r="K158" s="204">
        <f t="shared" ca="1" si="157"/>
        <v>6.5596429617156227E-2</v>
      </c>
      <c r="L158" s="93">
        <f t="shared" ca="1" si="157"/>
        <v>6.5596429617156227E-2</v>
      </c>
      <c r="M158" s="93">
        <v>1</v>
      </c>
      <c r="N158" s="93">
        <f t="shared" ca="1" si="31"/>
        <v>6.5596429617156227E-2</v>
      </c>
      <c r="O158" s="100">
        <v>1</v>
      </c>
      <c r="P158" s="70">
        <f t="shared" ca="1" si="175"/>
        <v>0</v>
      </c>
      <c r="Q158" s="70">
        <f t="shared" ca="1" si="176"/>
        <v>0</v>
      </c>
      <c r="R158" s="70" t="e">
        <f t="shared" ca="1" si="177"/>
        <v>#REF!</v>
      </c>
      <c r="S158" s="70">
        <f t="shared" ca="1" si="178"/>
        <v>0</v>
      </c>
      <c r="T158" s="70">
        <f t="shared" ca="1" si="179"/>
        <v>0</v>
      </c>
      <c r="U158" s="70" t="e">
        <f t="shared" ca="1" si="180"/>
        <v>#REF!</v>
      </c>
      <c r="V158" s="70">
        <f t="shared" ca="1" si="181"/>
        <v>0</v>
      </c>
      <c r="W158" s="70">
        <f t="shared" ca="1" si="182"/>
        <v>0</v>
      </c>
      <c r="X158" s="70">
        <f t="shared" ca="1" si="183"/>
        <v>0</v>
      </c>
      <c r="Y158" s="98">
        <f t="shared" ca="1" si="184"/>
        <v>0</v>
      </c>
      <c r="Z158" s="70">
        <f t="shared" ca="1" si="185"/>
        <v>0</v>
      </c>
      <c r="AA158" s="70">
        <f t="shared" ca="1" si="186"/>
        <v>0</v>
      </c>
      <c r="AB158" s="409" t="e">
        <f t="shared" ca="1" si="187"/>
        <v>#REF!</v>
      </c>
      <c r="AC158" s="70" t="e">
        <f t="shared" ca="1" si="188"/>
        <v>#REF!</v>
      </c>
      <c r="AD158" s="70" t="e">
        <f t="array" aca="1" ref="AD158" ca="1">-(VLOOKUP(AC158, LT_IncomeTaxFed/$K158:$O158, 2, TRUE)+VLOOKUP(AC158,LT_IncomeTaxFed/$K158:$O158,3,TRUE)*(AC158-VLOOKUP(AC158,LT_IncomeTaxFed/$K158:$O158,1,TRUE)))</f>
        <v>#REF!</v>
      </c>
      <c r="AE158" s="70" t="e">
        <f t="array" aca="1" ref="AE158" ca="1">-(VLOOKUP($AC158+$X158, LT_IncomeTaxFed/$K158:$O158, 4, TRUE)+VLOOKUP($AC158+$X158,LT_IncomeTaxFed/$K158:$O158,5,TRUE)*($AC158+$X158-VLOOKUP($AC158+$X158,LT_IncomeTaxFed/$K158:$O158,1,TRUE)))+(VLOOKUP($AC158, LT_IncomeTaxFed/$K158:$O158, 4, TRUE)+VLOOKUP($AC158,LT_IncomeTaxFed/$K158:$O158,5,TRUE)*($AC158-VLOOKUP($AC158,LT_IncomeTaxFed/$K158:$O158,1,TRUE)))</f>
        <v>#REF!</v>
      </c>
      <c r="AF158" s="75" t="e">
        <f t="shared" ca="1" si="189"/>
        <v>#REF!</v>
      </c>
      <c r="AG158" s="70" t="e">
        <f t="shared" ca="1" si="190"/>
        <v>#REF!</v>
      </c>
      <c r="AH158" s="67" t="e">
        <f t="array" aca="1" ref="AH158" ca="1">IF(AG158&gt;0,(VLOOKUP(AG158, LT_IncomeTaxFed/$K158:$O158, 2, TRUE)+VLOOKUP(AG158,LT_IncomeTaxFed/$K158:$O158,3,TRUE)*(AG158-VLOOKUP(AG158,LT_IncomeTaxFed/$K158:$O158,1,TRUE)))/AG158,0)</f>
        <v>#REF!</v>
      </c>
      <c r="AI158" s="109" t="e">
        <f t="shared" ca="1" si="191"/>
        <v>#REF!</v>
      </c>
      <c r="AJ158" s="634" t="e">
        <f ca="1">SUMPRODUCT($Z158:$Z159+$AA158:$AA159+$AD158:$AD159+$AE158:$AE159+$AI158:$AI159)</f>
        <v>#REF!</v>
      </c>
      <c r="AK158" s="668" t="e">
        <f t="shared" ref="AK158" ca="1" si="203">IF($U158&gt;0, -AJ158/$U158, 0)</f>
        <v>#REF!</v>
      </c>
    </row>
    <row r="159" spans="2:37" x14ac:dyDescent="0.25">
      <c r="B159" s="86">
        <f t="shared" ca="1" si="193"/>
        <v>2096</v>
      </c>
      <c r="C159" s="80" t="s">
        <v>741</v>
      </c>
      <c r="D159" s="147" t="str">
        <f t="shared" si="170"/>
        <v/>
      </c>
      <c r="E159" s="81">
        <f t="shared" si="167"/>
        <v>0</v>
      </c>
      <c r="F159" s="81" t="b">
        <f t="shared" si="171"/>
        <v>0</v>
      </c>
      <c r="G159" s="81">
        <f t="shared" si="169"/>
        <v>2</v>
      </c>
      <c r="H159" s="82">
        <f t="shared" si="172"/>
        <v>-1</v>
      </c>
      <c r="I159" s="35">
        <f t="shared" si="173"/>
        <v>0</v>
      </c>
      <c r="J159" s="81">
        <f t="shared" si="174"/>
        <v>0</v>
      </c>
      <c r="K159" s="205">
        <f t="shared" ca="1" si="157"/>
        <v>6.5596429617156227E-2</v>
      </c>
      <c r="L159" s="95">
        <f t="shared" ca="1" si="157"/>
        <v>6.5596429617156227E-2</v>
      </c>
      <c r="M159" s="95">
        <v>1</v>
      </c>
      <c r="N159" s="95">
        <f t="shared" ca="1" si="31"/>
        <v>6.5596429617156227E-2</v>
      </c>
      <c r="O159" s="206">
        <v>1</v>
      </c>
      <c r="P159" s="107">
        <f t="shared" ca="1" si="175"/>
        <v>0</v>
      </c>
      <c r="Q159" s="107">
        <f t="shared" ca="1" si="176"/>
        <v>0</v>
      </c>
      <c r="R159" s="107">
        <f t="shared" si="177"/>
        <v>0</v>
      </c>
      <c r="S159" s="107">
        <f t="shared" ca="1" si="178"/>
        <v>0</v>
      </c>
      <c r="T159" s="107">
        <f t="shared" ca="1" si="179"/>
        <v>0</v>
      </c>
      <c r="U159" s="107">
        <f t="shared" ca="1" si="180"/>
        <v>0</v>
      </c>
      <c r="V159" s="107">
        <f t="shared" ca="1" si="181"/>
        <v>0</v>
      </c>
      <c r="W159" s="107">
        <f t="shared" ca="1" si="182"/>
        <v>0</v>
      </c>
      <c r="X159" s="107">
        <f t="shared" ca="1" si="183"/>
        <v>0</v>
      </c>
      <c r="Y159" s="101">
        <f t="shared" ca="1" si="184"/>
        <v>0</v>
      </c>
      <c r="Z159" s="107">
        <f t="shared" ca="1" si="185"/>
        <v>0</v>
      </c>
      <c r="AA159" s="107">
        <f t="shared" ca="1" si="186"/>
        <v>0</v>
      </c>
      <c r="AB159" s="106" t="e">
        <f t="shared" ca="1" si="187"/>
        <v>#REF!</v>
      </c>
      <c r="AC159" s="107" t="e">
        <f t="shared" ca="1" si="188"/>
        <v>#REF!</v>
      </c>
      <c r="AD159" s="107" t="e">
        <f t="array" aca="1" ref="AD159" ca="1">-(VLOOKUP(AC159, LT_IncomeTaxFed/$K159:$O159, 2, TRUE)+VLOOKUP(AC159,LT_IncomeTaxFed/$K159:$O159,3,TRUE)*(AC159-VLOOKUP(AC159,LT_IncomeTaxFed/$K159:$O159,1,TRUE)))</f>
        <v>#REF!</v>
      </c>
      <c r="AE159" s="107" t="e">
        <f t="array" aca="1" ref="AE159" ca="1">-(VLOOKUP($AC159+$X159, LT_IncomeTaxFed/$K159:$O159, 4, TRUE)+VLOOKUP($AC159+$X159,LT_IncomeTaxFed/$K159:$O159,5,TRUE)*($AC159+$X159-VLOOKUP($AC159+$X159,LT_IncomeTaxFed/$K159:$O159,1,TRUE)))+(VLOOKUP($AC159, LT_IncomeTaxFed/$K159:$O159, 4, TRUE)+VLOOKUP($AC159,LT_IncomeTaxFed/$K159:$O159,5,TRUE)*($AC159-VLOOKUP($AC159,LT_IncomeTaxFed/$K159:$O159,1,TRUE)))</f>
        <v>#REF!</v>
      </c>
      <c r="AF159" s="106" t="e">
        <f t="shared" ca="1" si="189"/>
        <v>#REF!</v>
      </c>
      <c r="AG159" s="107" t="e">
        <f t="shared" ca="1" si="190"/>
        <v>#REF!</v>
      </c>
      <c r="AH159" s="91" t="e">
        <f t="array" aca="1" ref="AH159" ca="1">IF(AG159&gt;0,(VLOOKUP(AG159, LT_IncomeTaxFed/$K159:$O159, 2, TRUE)+VLOOKUP(AG159,LT_IncomeTaxFed/$K159:$O159,3,TRUE)*(AG159-VLOOKUP(AG159,LT_IncomeTaxFed/$K159:$O159,1,TRUE)))/AG159,0)</f>
        <v>#REF!</v>
      </c>
      <c r="AI159" s="110" t="e">
        <f t="shared" ca="1" si="191"/>
        <v>#REF!</v>
      </c>
      <c r="AJ159" s="634"/>
      <c r="AK159" s="668"/>
    </row>
    <row r="160" spans="2:37" x14ac:dyDescent="0.25">
      <c r="B160" s="65">
        <f ca="1">B158+1</f>
        <v>2097</v>
      </c>
      <c r="C160" s="76" t="s">
        <v>741</v>
      </c>
      <c r="D160" s="146" t="str">
        <f t="shared" si="170"/>
        <v/>
      </c>
      <c r="E160" s="77">
        <f t="shared" si="167"/>
        <v>0</v>
      </c>
      <c r="F160" s="77" t="b">
        <f t="shared" si="171"/>
        <v>0</v>
      </c>
      <c r="G160" s="77">
        <f t="shared" si="169"/>
        <v>1</v>
      </c>
      <c r="H160" s="76">
        <f t="shared" si="172"/>
        <v>1</v>
      </c>
      <c r="I160" s="4">
        <f t="shared" si="173"/>
        <v>0</v>
      </c>
      <c r="J160" s="77">
        <f t="shared" si="174"/>
        <v>0</v>
      </c>
      <c r="K160" s="204">
        <f t="shared" ca="1" si="157"/>
        <v>6.322547432978913E-2</v>
      </c>
      <c r="L160" s="93">
        <f t="shared" ca="1" si="157"/>
        <v>6.322547432978913E-2</v>
      </c>
      <c r="M160" s="93">
        <v>1</v>
      </c>
      <c r="N160" s="93">
        <f t="shared" ca="1" si="31"/>
        <v>6.322547432978913E-2</v>
      </c>
      <c r="O160" s="100">
        <v>1</v>
      </c>
      <c r="P160" s="70">
        <f t="shared" ca="1" si="175"/>
        <v>0</v>
      </c>
      <c r="Q160" s="70">
        <f t="shared" ca="1" si="176"/>
        <v>0</v>
      </c>
      <c r="R160" s="70" t="e">
        <f t="shared" ca="1" si="177"/>
        <v>#REF!</v>
      </c>
      <c r="S160" s="70">
        <f t="shared" ca="1" si="178"/>
        <v>0</v>
      </c>
      <c r="T160" s="70">
        <f t="shared" ca="1" si="179"/>
        <v>0</v>
      </c>
      <c r="U160" s="70" t="e">
        <f t="shared" ca="1" si="180"/>
        <v>#REF!</v>
      </c>
      <c r="V160" s="70">
        <f t="shared" ca="1" si="181"/>
        <v>0</v>
      </c>
      <c r="W160" s="70">
        <f t="shared" ca="1" si="182"/>
        <v>0</v>
      </c>
      <c r="X160" s="70">
        <f t="shared" ca="1" si="183"/>
        <v>0</v>
      </c>
      <c r="Y160" s="98">
        <f t="shared" ca="1" si="184"/>
        <v>0</v>
      </c>
      <c r="Z160" s="70">
        <f t="shared" ca="1" si="185"/>
        <v>0</v>
      </c>
      <c r="AA160" s="70">
        <f t="shared" ca="1" si="186"/>
        <v>0</v>
      </c>
      <c r="AB160" s="409" t="e">
        <f t="shared" ca="1" si="187"/>
        <v>#REF!</v>
      </c>
      <c r="AC160" s="70" t="e">
        <f t="shared" ca="1" si="188"/>
        <v>#REF!</v>
      </c>
      <c r="AD160" s="70" t="e">
        <f t="array" aca="1" ref="AD160" ca="1">-(VLOOKUP(AC160, LT_IncomeTaxFed/$K160:$O160, 2, TRUE)+VLOOKUP(AC160,LT_IncomeTaxFed/$K160:$O160,3,TRUE)*(AC160-VLOOKUP(AC160,LT_IncomeTaxFed/$K160:$O160,1,TRUE)))</f>
        <v>#REF!</v>
      </c>
      <c r="AE160" s="70" t="e">
        <f t="array" aca="1" ref="AE160" ca="1">-(VLOOKUP($AC160+$X160, LT_IncomeTaxFed/$K160:$O160, 4, TRUE)+VLOOKUP($AC160+$X160,LT_IncomeTaxFed/$K160:$O160,5,TRUE)*($AC160+$X160-VLOOKUP($AC160+$X160,LT_IncomeTaxFed/$K160:$O160,1,TRUE)))+(VLOOKUP($AC160, LT_IncomeTaxFed/$K160:$O160, 4, TRUE)+VLOOKUP($AC160,LT_IncomeTaxFed/$K160:$O160,5,TRUE)*($AC160-VLOOKUP($AC160,LT_IncomeTaxFed/$K160:$O160,1,TRUE)))</f>
        <v>#REF!</v>
      </c>
      <c r="AF160" s="75" t="e">
        <f t="shared" ca="1" si="189"/>
        <v>#REF!</v>
      </c>
      <c r="AG160" s="70" t="e">
        <f t="shared" ca="1" si="190"/>
        <v>#REF!</v>
      </c>
      <c r="AH160" s="67" t="e">
        <f t="array" aca="1" ref="AH160" ca="1">IF(AG160&gt;0,(VLOOKUP(AG160, LT_IncomeTaxFed/$K160:$O160, 2, TRUE)+VLOOKUP(AG160,LT_IncomeTaxFed/$K160:$O160,3,TRUE)*(AG160-VLOOKUP(AG160,LT_IncomeTaxFed/$K160:$O160,1,TRUE)))/AG160,0)</f>
        <v>#REF!</v>
      </c>
      <c r="AI160" s="109" t="e">
        <f t="shared" ca="1" si="191"/>
        <v>#REF!</v>
      </c>
      <c r="AJ160" s="634" t="e">
        <f ca="1">SUMPRODUCT($Z160:$Z161+$AA160:$AA161+$AD160:$AD161+$AE160:$AE161+$AI160:$AI161)</f>
        <v>#REF!</v>
      </c>
      <c r="AK160" s="668" t="e">
        <f t="shared" ref="AK160" ca="1" si="204">IF($U160&gt;0, -AJ160/$U160, 0)</f>
        <v>#REF!</v>
      </c>
    </row>
    <row r="161" spans="2:37" x14ac:dyDescent="0.25">
      <c r="B161" s="86">
        <f t="shared" ca="1" si="193"/>
        <v>2097</v>
      </c>
      <c r="C161" s="80" t="s">
        <v>741</v>
      </c>
      <c r="D161" s="147" t="str">
        <f t="shared" si="170"/>
        <v/>
      </c>
      <c r="E161" s="81">
        <f t="shared" si="167"/>
        <v>0</v>
      </c>
      <c r="F161" s="81" t="b">
        <f t="shared" si="171"/>
        <v>0</v>
      </c>
      <c r="G161" s="81">
        <f t="shared" si="169"/>
        <v>2</v>
      </c>
      <c r="H161" s="82">
        <f t="shared" si="172"/>
        <v>-1</v>
      </c>
      <c r="I161" s="35">
        <f t="shared" si="173"/>
        <v>0</v>
      </c>
      <c r="J161" s="81">
        <f t="shared" si="174"/>
        <v>0</v>
      </c>
      <c r="K161" s="205">
        <f t="shared" ca="1" si="157"/>
        <v>6.322547432978913E-2</v>
      </c>
      <c r="L161" s="95">
        <f t="shared" ca="1" si="157"/>
        <v>6.322547432978913E-2</v>
      </c>
      <c r="M161" s="95">
        <v>1</v>
      </c>
      <c r="N161" s="95">
        <f t="shared" ca="1" si="31"/>
        <v>6.322547432978913E-2</v>
      </c>
      <c r="O161" s="206">
        <v>1</v>
      </c>
      <c r="P161" s="107">
        <f t="shared" ca="1" si="175"/>
        <v>0</v>
      </c>
      <c r="Q161" s="107">
        <f t="shared" ca="1" si="176"/>
        <v>0</v>
      </c>
      <c r="R161" s="107">
        <f t="shared" si="177"/>
        <v>0</v>
      </c>
      <c r="S161" s="107">
        <f t="shared" ca="1" si="178"/>
        <v>0</v>
      </c>
      <c r="T161" s="107">
        <f t="shared" ca="1" si="179"/>
        <v>0</v>
      </c>
      <c r="U161" s="107">
        <f t="shared" ca="1" si="180"/>
        <v>0</v>
      </c>
      <c r="V161" s="107">
        <f t="shared" ca="1" si="181"/>
        <v>0</v>
      </c>
      <c r="W161" s="107">
        <f t="shared" ca="1" si="182"/>
        <v>0</v>
      </c>
      <c r="X161" s="107">
        <f t="shared" ca="1" si="183"/>
        <v>0</v>
      </c>
      <c r="Y161" s="101">
        <f t="shared" ca="1" si="184"/>
        <v>0</v>
      </c>
      <c r="Z161" s="107">
        <f t="shared" ca="1" si="185"/>
        <v>0</v>
      </c>
      <c r="AA161" s="107">
        <f t="shared" ca="1" si="186"/>
        <v>0</v>
      </c>
      <c r="AB161" s="106" t="e">
        <f t="shared" ca="1" si="187"/>
        <v>#REF!</v>
      </c>
      <c r="AC161" s="107" t="e">
        <f t="shared" ca="1" si="188"/>
        <v>#REF!</v>
      </c>
      <c r="AD161" s="107" t="e">
        <f t="array" aca="1" ref="AD161" ca="1">-(VLOOKUP(AC161, LT_IncomeTaxFed/$K161:$O161, 2, TRUE)+VLOOKUP(AC161,LT_IncomeTaxFed/$K161:$O161,3,TRUE)*(AC161-VLOOKUP(AC161,LT_IncomeTaxFed/$K161:$O161,1,TRUE)))</f>
        <v>#REF!</v>
      </c>
      <c r="AE161" s="107" t="e">
        <f t="array" aca="1" ref="AE161" ca="1">-(VLOOKUP($AC161+$X161, LT_IncomeTaxFed/$K161:$O161, 4, TRUE)+VLOOKUP($AC161+$X161,LT_IncomeTaxFed/$K161:$O161,5,TRUE)*($AC161+$X161-VLOOKUP($AC161+$X161,LT_IncomeTaxFed/$K161:$O161,1,TRUE)))+(VLOOKUP($AC161, LT_IncomeTaxFed/$K161:$O161, 4, TRUE)+VLOOKUP($AC161,LT_IncomeTaxFed/$K161:$O161,5,TRUE)*($AC161-VLOOKUP($AC161,LT_IncomeTaxFed/$K161:$O161,1,TRUE)))</f>
        <v>#REF!</v>
      </c>
      <c r="AF161" s="106" t="e">
        <f t="shared" ca="1" si="189"/>
        <v>#REF!</v>
      </c>
      <c r="AG161" s="107" t="e">
        <f t="shared" ca="1" si="190"/>
        <v>#REF!</v>
      </c>
      <c r="AH161" s="91" t="e">
        <f t="array" aca="1" ref="AH161" ca="1">IF(AG161&gt;0,(VLOOKUP(AG161, LT_IncomeTaxFed/$K161:$O161, 2, TRUE)+VLOOKUP(AG161,LT_IncomeTaxFed/$K161:$O161,3,TRUE)*(AG161-VLOOKUP(AG161,LT_IncomeTaxFed/$K161:$O161,1,TRUE)))/AG161,0)</f>
        <v>#REF!</v>
      </c>
      <c r="AI161" s="110" t="e">
        <f t="shared" ca="1" si="191"/>
        <v>#REF!</v>
      </c>
      <c r="AJ161" s="634"/>
      <c r="AK161" s="668"/>
    </row>
    <row r="162" spans="2:37" x14ac:dyDescent="0.25">
      <c r="B162" s="65">
        <f ca="1">B160+1</f>
        <v>2098</v>
      </c>
      <c r="C162" s="76" t="s">
        <v>741</v>
      </c>
      <c r="D162" s="146" t="str">
        <f t="shared" si="170"/>
        <v/>
      </c>
      <c r="E162" s="77">
        <f t="shared" si="167"/>
        <v>0</v>
      </c>
      <c r="F162" s="77" t="b">
        <f t="shared" si="171"/>
        <v>0</v>
      </c>
      <c r="G162" s="77">
        <f t="shared" si="169"/>
        <v>1</v>
      </c>
      <c r="H162" s="76">
        <f t="shared" si="172"/>
        <v>1</v>
      </c>
      <c r="I162" s="4">
        <f t="shared" si="173"/>
        <v>0</v>
      </c>
      <c r="J162" s="77">
        <f t="shared" si="174"/>
        <v>0</v>
      </c>
      <c r="K162" s="204">
        <f t="shared" ca="1" si="157"/>
        <v>6.0940216221483497E-2</v>
      </c>
      <c r="L162" s="93">
        <f t="shared" ca="1" si="157"/>
        <v>6.0940216221483497E-2</v>
      </c>
      <c r="M162" s="93">
        <v>1</v>
      </c>
      <c r="N162" s="93">
        <f t="shared" ca="1" si="31"/>
        <v>6.0940216221483497E-2</v>
      </c>
      <c r="O162" s="100">
        <v>1</v>
      </c>
      <c r="P162" s="70">
        <f t="shared" ca="1" si="175"/>
        <v>0</v>
      </c>
      <c r="Q162" s="70">
        <f t="shared" ca="1" si="176"/>
        <v>0</v>
      </c>
      <c r="R162" s="70" t="e">
        <f t="shared" ca="1" si="177"/>
        <v>#REF!</v>
      </c>
      <c r="S162" s="70">
        <f t="shared" ca="1" si="178"/>
        <v>0</v>
      </c>
      <c r="T162" s="70">
        <f t="shared" ca="1" si="179"/>
        <v>0</v>
      </c>
      <c r="U162" s="70" t="e">
        <f t="shared" ca="1" si="180"/>
        <v>#REF!</v>
      </c>
      <c r="V162" s="70">
        <f t="shared" ca="1" si="181"/>
        <v>0</v>
      </c>
      <c r="W162" s="70">
        <f t="shared" ca="1" si="182"/>
        <v>0</v>
      </c>
      <c r="X162" s="70">
        <f t="shared" ca="1" si="183"/>
        <v>0</v>
      </c>
      <c r="Y162" s="98">
        <f t="shared" ca="1" si="184"/>
        <v>0</v>
      </c>
      <c r="Z162" s="70">
        <f t="shared" ca="1" si="185"/>
        <v>0</v>
      </c>
      <c r="AA162" s="70">
        <f t="shared" ca="1" si="186"/>
        <v>0</v>
      </c>
      <c r="AB162" s="409" t="e">
        <f t="shared" ca="1" si="187"/>
        <v>#REF!</v>
      </c>
      <c r="AC162" s="70" t="e">
        <f t="shared" ca="1" si="188"/>
        <v>#REF!</v>
      </c>
      <c r="AD162" s="70" t="e">
        <f t="array" aca="1" ref="AD162" ca="1">-(VLOOKUP(AC162, LT_IncomeTaxFed/$K162:$O162, 2, TRUE)+VLOOKUP(AC162,LT_IncomeTaxFed/$K162:$O162,3,TRUE)*(AC162-VLOOKUP(AC162,LT_IncomeTaxFed/$K162:$O162,1,TRUE)))</f>
        <v>#REF!</v>
      </c>
      <c r="AE162" s="70" t="e">
        <f t="array" aca="1" ref="AE162" ca="1">-(VLOOKUP($AC162+$X162, LT_IncomeTaxFed/$K162:$O162, 4, TRUE)+VLOOKUP($AC162+$X162,LT_IncomeTaxFed/$K162:$O162,5,TRUE)*($AC162+$X162-VLOOKUP($AC162+$X162,LT_IncomeTaxFed/$K162:$O162,1,TRUE)))+(VLOOKUP($AC162, LT_IncomeTaxFed/$K162:$O162, 4, TRUE)+VLOOKUP($AC162,LT_IncomeTaxFed/$K162:$O162,5,TRUE)*($AC162-VLOOKUP($AC162,LT_IncomeTaxFed/$K162:$O162,1,TRUE)))</f>
        <v>#REF!</v>
      </c>
      <c r="AF162" s="75" t="e">
        <f t="shared" ca="1" si="189"/>
        <v>#REF!</v>
      </c>
      <c r="AG162" s="70" t="e">
        <f t="shared" ca="1" si="190"/>
        <v>#REF!</v>
      </c>
      <c r="AH162" s="67" t="e">
        <f t="array" aca="1" ref="AH162" ca="1">IF(AG162&gt;0,(VLOOKUP(AG162, LT_IncomeTaxFed/$K162:$O162, 2, TRUE)+VLOOKUP(AG162,LT_IncomeTaxFed/$K162:$O162,3,TRUE)*(AG162-VLOOKUP(AG162,LT_IncomeTaxFed/$K162:$O162,1,TRUE)))/AG162,0)</f>
        <v>#REF!</v>
      </c>
      <c r="AI162" s="109" t="e">
        <f t="shared" ca="1" si="191"/>
        <v>#REF!</v>
      </c>
      <c r="AJ162" s="634" t="e">
        <f ca="1">SUMPRODUCT($Z162:$Z163+$AA162:$AA163+$AD162:$AD163+$AE162:$AE163+$AI162:$AI163)</f>
        <v>#REF!</v>
      </c>
      <c r="AK162" s="668" t="e">
        <f t="shared" ref="AK162" ca="1" si="205">IF($U162&gt;0, -AJ162/$U162, 0)</f>
        <v>#REF!</v>
      </c>
    </row>
    <row r="163" spans="2:37" x14ac:dyDescent="0.25">
      <c r="B163" s="86">
        <f t="shared" ca="1" si="193"/>
        <v>2098</v>
      </c>
      <c r="C163" s="80" t="s">
        <v>741</v>
      </c>
      <c r="D163" s="147" t="str">
        <f t="shared" si="170"/>
        <v/>
      </c>
      <c r="E163" s="81">
        <f t="shared" si="167"/>
        <v>0</v>
      </c>
      <c r="F163" s="81" t="b">
        <f t="shared" si="171"/>
        <v>0</v>
      </c>
      <c r="G163" s="81">
        <f t="shared" si="169"/>
        <v>2</v>
      </c>
      <c r="H163" s="82">
        <f t="shared" si="172"/>
        <v>-1</v>
      </c>
      <c r="I163" s="35">
        <f t="shared" si="173"/>
        <v>0</v>
      </c>
      <c r="J163" s="81">
        <f t="shared" si="174"/>
        <v>0</v>
      </c>
      <c r="K163" s="205">
        <f t="shared" ca="1" si="157"/>
        <v>6.0940216221483497E-2</v>
      </c>
      <c r="L163" s="95">
        <f t="shared" ca="1" si="157"/>
        <v>6.0940216221483497E-2</v>
      </c>
      <c r="M163" s="95">
        <v>1</v>
      </c>
      <c r="N163" s="95">
        <f t="shared" ca="1" si="31"/>
        <v>6.0940216221483497E-2</v>
      </c>
      <c r="O163" s="206">
        <v>1</v>
      </c>
      <c r="P163" s="107">
        <f t="shared" ca="1" si="175"/>
        <v>0</v>
      </c>
      <c r="Q163" s="107">
        <f t="shared" ca="1" si="176"/>
        <v>0</v>
      </c>
      <c r="R163" s="107">
        <f t="shared" si="177"/>
        <v>0</v>
      </c>
      <c r="S163" s="107">
        <f t="shared" ca="1" si="178"/>
        <v>0</v>
      </c>
      <c r="T163" s="107">
        <f t="shared" ca="1" si="179"/>
        <v>0</v>
      </c>
      <c r="U163" s="107">
        <f t="shared" ca="1" si="180"/>
        <v>0</v>
      </c>
      <c r="V163" s="107">
        <f t="shared" ca="1" si="181"/>
        <v>0</v>
      </c>
      <c r="W163" s="107">
        <f t="shared" ca="1" si="182"/>
        <v>0</v>
      </c>
      <c r="X163" s="107">
        <f t="shared" ca="1" si="183"/>
        <v>0</v>
      </c>
      <c r="Y163" s="101">
        <f t="shared" ca="1" si="184"/>
        <v>0</v>
      </c>
      <c r="Z163" s="107">
        <f t="shared" ca="1" si="185"/>
        <v>0</v>
      </c>
      <c r="AA163" s="107">
        <f t="shared" ca="1" si="186"/>
        <v>0</v>
      </c>
      <c r="AB163" s="106" t="e">
        <f t="shared" ca="1" si="187"/>
        <v>#REF!</v>
      </c>
      <c r="AC163" s="107" t="e">
        <f t="shared" ca="1" si="188"/>
        <v>#REF!</v>
      </c>
      <c r="AD163" s="107" t="e">
        <f t="array" aca="1" ref="AD163" ca="1">-(VLOOKUP(AC163, LT_IncomeTaxFed/$K163:$O163, 2, TRUE)+VLOOKUP(AC163,LT_IncomeTaxFed/$K163:$O163,3,TRUE)*(AC163-VLOOKUP(AC163,LT_IncomeTaxFed/$K163:$O163,1,TRUE)))</f>
        <v>#REF!</v>
      </c>
      <c r="AE163" s="107" t="e">
        <f t="array" aca="1" ref="AE163" ca="1">-(VLOOKUP($AC163+$X163, LT_IncomeTaxFed/$K163:$O163, 4, TRUE)+VLOOKUP($AC163+$X163,LT_IncomeTaxFed/$K163:$O163,5,TRUE)*($AC163+$X163-VLOOKUP($AC163+$X163,LT_IncomeTaxFed/$K163:$O163,1,TRUE)))+(VLOOKUP($AC163, LT_IncomeTaxFed/$K163:$O163, 4, TRUE)+VLOOKUP($AC163,LT_IncomeTaxFed/$K163:$O163,5,TRUE)*($AC163-VLOOKUP($AC163,LT_IncomeTaxFed/$K163:$O163,1,TRUE)))</f>
        <v>#REF!</v>
      </c>
      <c r="AF163" s="106" t="e">
        <f t="shared" ca="1" si="189"/>
        <v>#REF!</v>
      </c>
      <c r="AG163" s="107" t="e">
        <f t="shared" ca="1" si="190"/>
        <v>#REF!</v>
      </c>
      <c r="AH163" s="91" t="e">
        <f t="array" aca="1" ref="AH163" ca="1">IF(AG163&gt;0,(VLOOKUP(AG163, LT_IncomeTaxFed/$K163:$O163, 2, TRUE)+VLOOKUP(AG163,LT_IncomeTaxFed/$K163:$O163,3,TRUE)*(AG163-VLOOKUP(AG163,LT_IncomeTaxFed/$K163:$O163,1,TRUE)))/AG163,0)</f>
        <v>#REF!</v>
      </c>
      <c r="AI163" s="110" t="e">
        <f t="shared" ca="1" si="191"/>
        <v>#REF!</v>
      </c>
      <c r="AJ163" s="634"/>
      <c r="AK163" s="668"/>
    </row>
    <row r="164" spans="2:37" x14ac:dyDescent="0.25">
      <c r="B164" s="65">
        <f ca="1">B162+1</f>
        <v>2099</v>
      </c>
      <c r="C164" s="76" t="s">
        <v>741</v>
      </c>
      <c r="D164" s="146" t="str">
        <f t="shared" si="170"/>
        <v/>
      </c>
      <c r="E164" s="77">
        <f t="shared" si="167"/>
        <v>0</v>
      </c>
      <c r="F164" s="77" t="b">
        <f t="shared" si="171"/>
        <v>0</v>
      </c>
      <c r="G164" s="77">
        <f t="shared" si="169"/>
        <v>1</v>
      </c>
      <c r="H164" s="76">
        <f t="shared" si="172"/>
        <v>1</v>
      </c>
      <c r="I164" s="4">
        <f t="shared" si="173"/>
        <v>0</v>
      </c>
      <c r="J164" s="77">
        <f t="shared" si="174"/>
        <v>0</v>
      </c>
      <c r="K164" s="204">
        <f t="shared" ca="1" si="157"/>
        <v>5.8737557803839512E-2</v>
      </c>
      <c r="L164" s="93">
        <f t="shared" ca="1" si="157"/>
        <v>5.8737557803839512E-2</v>
      </c>
      <c r="M164" s="93">
        <v>1</v>
      </c>
      <c r="N164" s="93">
        <f t="shared" ca="1" si="31"/>
        <v>5.8737557803839512E-2</v>
      </c>
      <c r="O164" s="100">
        <v>1</v>
      </c>
      <c r="P164" s="70">
        <f t="shared" ca="1" si="175"/>
        <v>0</v>
      </c>
      <c r="Q164" s="70">
        <f t="shared" ca="1" si="176"/>
        <v>0</v>
      </c>
      <c r="R164" s="70" t="e">
        <f t="shared" ca="1" si="177"/>
        <v>#REF!</v>
      </c>
      <c r="S164" s="70">
        <f t="shared" ca="1" si="178"/>
        <v>0</v>
      </c>
      <c r="T164" s="70">
        <f t="shared" ca="1" si="179"/>
        <v>0</v>
      </c>
      <c r="U164" s="70" t="e">
        <f t="shared" ca="1" si="180"/>
        <v>#REF!</v>
      </c>
      <c r="V164" s="70">
        <f t="shared" ca="1" si="181"/>
        <v>0</v>
      </c>
      <c r="W164" s="70">
        <f t="shared" ca="1" si="182"/>
        <v>0</v>
      </c>
      <c r="X164" s="70">
        <f t="shared" ca="1" si="183"/>
        <v>0</v>
      </c>
      <c r="Y164" s="98">
        <f t="shared" ca="1" si="184"/>
        <v>0</v>
      </c>
      <c r="Z164" s="70">
        <f t="shared" ca="1" si="185"/>
        <v>0</v>
      </c>
      <c r="AA164" s="70">
        <f t="shared" ca="1" si="186"/>
        <v>0</v>
      </c>
      <c r="AB164" s="409" t="e">
        <f t="shared" ca="1" si="187"/>
        <v>#REF!</v>
      </c>
      <c r="AC164" s="70" t="e">
        <f t="shared" ca="1" si="188"/>
        <v>#REF!</v>
      </c>
      <c r="AD164" s="70" t="e">
        <f t="array" aca="1" ref="AD164" ca="1">-(VLOOKUP(AC164, LT_IncomeTaxFed/$K164:$O164, 2, TRUE)+VLOOKUP(AC164,LT_IncomeTaxFed/$K164:$O164,3,TRUE)*(AC164-VLOOKUP(AC164,LT_IncomeTaxFed/$K164:$O164,1,TRUE)))</f>
        <v>#REF!</v>
      </c>
      <c r="AE164" s="70" t="e">
        <f t="array" aca="1" ref="AE164" ca="1">-(VLOOKUP($AC164+$X164, LT_IncomeTaxFed/$K164:$O164, 4, TRUE)+VLOOKUP($AC164+$X164,LT_IncomeTaxFed/$K164:$O164,5,TRUE)*($AC164+$X164-VLOOKUP($AC164+$X164,LT_IncomeTaxFed/$K164:$O164,1,TRUE)))+(VLOOKUP($AC164, LT_IncomeTaxFed/$K164:$O164, 4, TRUE)+VLOOKUP($AC164,LT_IncomeTaxFed/$K164:$O164,5,TRUE)*($AC164-VLOOKUP($AC164,LT_IncomeTaxFed/$K164:$O164,1,TRUE)))</f>
        <v>#REF!</v>
      </c>
      <c r="AF164" s="75" t="e">
        <f t="shared" ca="1" si="189"/>
        <v>#REF!</v>
      </c>
      <c r="AG164" s="70" t="e">
        <f t="shared" ca="1" si="190"/>
        <v>#REF!</v>
      </c>
      <c r="AH164" s="67" t="e">
        <f t="array" aca="1" ref="AH164" ca="1">IF(AG164&gt;0,(VLOOKUP(AG164, LT_IncomeTaxFed/$K164:$O164, 2, TRUE)+VLOOKUP(AG164,LT_IncomeTaxFed/$K164:$O164,3,TRUE)*(AG164-VLOOKUP(AG164,LT_IncomeTaxFed/$K164:$O164,1,TRUE)))/AG164,0)</f>
        <v>#REF!</v>
      </c>
      <c r="AI164" s="109" t="e">
        <f t="shared" ca="1" si="191"/>
        <v>#REF!</v>
      </c>
      <c r="AJ164" s="634" t="e">
        <f ca="1">SUMPRODUCT($Z164:$Z165+$AA164:$AA165+$AD164:$AD165+$AE164:$AE165+$AI164:$AI165)</f>
        <v>#REF!</v>
      </c>
      <c r="AK164" s="668" t="e">
        <f t="shared" ref="AK164" ca="1" si="206">IF($U164&gt;0, -AJ164/$U164, 0)</f>
        <v>#REF!</v>
      </c>
    </row>
    <row r="165" spans="2:37" x14ac:dyDescent="0.25">
      <c r="B165" s="86">
        <f t="shared" ca="1" si="193"/>
        <v>2099</v>
      </c>
      <c r="C165" s="80" t="s">
        <v>741</v>
      </c>
      <c r="D165" s="147" t="str">
        <f t="shared" si="170"/>
        <v/>
      </c>
      <c r="E165" s="81">
        <f t="shared" si="167"/>
        <v>0</v>
      </c>
      <c r="F165" s="81" t="b">
        <f t="shared" si="171"/>
        <v>0</v>
      </c>
      <c r="G165" s="81">
        <f t="shared" si="169"/>
        <v>2</v>
      </c>
      <c r="H165" s="82">
        <f t="shared" si="172"/>
        <v>-1</v>
      </c>
      <c r="I165" s="35">
        <f t="shared" si="173"/>
        <v>0</v>
      </c>
      <c r="J165" s="81">
        <f t="shared" si="174"/>
        <v>0</v>
      </c>
      <c r="K165" s="205">
        <f t="shared" ca="1" si="157"/>
        <v>5.8737557803839512E-2</v>
      </c>
      <c r="L165" s="95">
        <f t="shared" ca="1" si="157"/>
        <v>5.8737557803839512E-2</v>
      </c>
      <c r="M165" s="95">
        <v>1</v>
      </c>
      <c r="N165" s="95">
        <f t="shared" ca="1" si="31"/>
        <v>5.8737557803839512E-2</v>
      </c>
      <c r="O165" s="206">
        <v>1</v>
      </c>
      <c r="P165" s="107">
        <f t="shared" ca="1" si="175"/>
        <v>0</v>
      </c>
      <c r="Q165" s="107">
        <f t="shared" ca="1" si="176"/>
        <v>0</v>
      </c>
      <c r="R165" s="107">
        <f t="shared" si="177"/>
        <v>0</v>
      </c>
      <c r="S165" s="107">
        <f t="shared" ca="1" si="178"/>
        <v>0</v>
      </c>
      <c r="T165" s="107">
        <f t="shared" ca="1" si="179"/>
        <v>0</v>
      </c>
      <c r="U165" s="107">
        <f t="shared" ca="1" si="180"/>
        <v>0</v>
      </c>
      <c r="V165" s="107">
        <f t="shared" ca="1" si="181"/>
        <v>0</v>
      </c>
      <c r="W165" s="107">
        <f t="shared" ca="1" si="182"/>
        <v>0</v>
      </c>
      <c r="X165" s="107">
        <f t="shared" ca="1" si="183"/>
        <v>0</v>
      </c>
      <c r="Y165" s="101">
        <f t="shared" ca="1" si="184"/>
        <v>0</v>
      </c>
      <c r="Z165" s="107">
        <f t="shared" ca="1" si="185"/>
        <v>0</v>
      </c>
      <c r="AA165" s="107">
        <f t="shared" ca="1" si="186"/>
        <v>0</v>
      </c>
      <c r="AB165" s="106" t="e">
        <f t="shared" ca="1" si="187"/>
        <v>#REF!</v>
      </c>
      <c r="AC165" s="107" t="e">
        <f t="shared" ca="1" si="188"/>
        <v>#REF!</v>
      </c>
      <c r="AD165" s="107" t="e">
        <f t="array" aca="1" ref="AD165" ca="1">-(VLOOKUP(AC165, LT_IncomeTaxFed/$K165:$O165, 2, TRUE)+VLOOKUP(AC165,LT_IncomeTaxFed/$K165:$O165,3,TRUE)*(AC165-VLOOKUP(AC165,LT_IncomeTaxFed/$K165:$O165,1,TRUE)))</f>
        <v>#REF!</v>
      </c>
      <c r="AE165" s="107" t="e">
        <f t="array" aca="1" ref="AE165" ca="1">-(VLOOKUP($AC165+$X165, LT_IncomeTaxFed/$K165:$O165, 4, TRUE)+VLOOKUP($AC165+$X165,LT_IncomeTaxFed/$K165:$O165,5,TRUE)*($AC165+$X165-VLOOKUP($AC165+$X165,LT_IncomeTaxFed/$K165:$O165,1,TRUE)))+(VLOOKUP($AC165, LT_IncomeTaxFed/$K165:$O165, 4, TRUE)+VLOOKUP($AC165,LT_IncomeTaxFed/$K165:$O165,5,TRUE)*($AC165-VLOOKUP($AC165,LT_IncomeTaxFed/$K165:$O165,1,TRUE)))</f>
        <v>#REF!</v>
      </c>
      <c r="AF165" s="106" t="e">
        <f t="shared" ca="1" si="189"/>
        <v>#REF!</v>
      </c>
      <c r="AG165" s="107" t="e">
        <f t="shared" ca="1" si="190"/>
        <v>#REF!</v>
      </c>
      <c r="AH165" s="91" t="e">
        <f t="array" aca="1" ref="AH165" ca="1">IF(AG165&gt;0,(VLOOKUP(AG165, LT_IncomeTaxFed/$K165:$O165, 2, TRUE)+VLOOKUP(AG165,LT_IncomeTaxFed/$K165:$O165,3,TRUE)*(AG165-VLOOKUP(AG165,LT_IncomeTaxFed/$K165:$O165,1,TRUE)))/AG165,0)</f>
        <v>#REF!</v>
      </c>
      <c r="AI165" s="110" t="e">
        <f t="shared" ca="1" si="191"/>
        <v>#REF!</v>
      </c>
      <c r="AJ165" s="634"/>
      <c r="AK165" s="668"/>
    </row>
    <row r="166" spans="2:37" x14ac:dyDescent="0.25">
      <c r="B166" s="65">
        <f ca="1">B164+1</f>
        <v>2100</v>
      </c>
      <c r="C166" s="76" t="s">
        <v>741</v>
      </c>
      <c r="D166" s="146" t="str">
        <f t="shared" si="170"/>
        <v/>
      </c>
      <c r="E166" s="77">
        <f t="shared" si="167"/>
        <v>0</v>
      </c>
      <c r="F166" s="77" t="b">
        <f t="shared" si="171"/>
        <v>0</v>
      </c>
      <c r="G166" s="77">
        <f t="shared" si="169"/>
        <v>1</v>
      </c>
      <c r="H166" s="76">
        <f t="shared" si="172"/>
        <v>1</v>
      </c>
      <c r="I166" s="4">
        <f t="shared" si="173"/>
        <v>0</v>
      </c>
      <c r="J166" s="77">
        <f t="shared" si="174"/>
        <v>0</v>
      </c>
      <c r="K166" s="204">
        <f t="shared" ca="1" si="157"/>
        <v>5.6614513545869397E-2</v>
      </c>
      <c r="L166" s="93">
        <f t="shared" ca="1" si="157"/>
        <v>5.6614513545869397E-2</v>
      </c>
      <c r="M166" s="93">
        <v>1</v>
      </c>
      <c r="N166" s="93">
        <f t="shared" ca="1" si="31"/>
        <v>5.6614513545869397E-2</v>
      </c>
      <c r="O166" s="100">
        <v>1</v>
      </c>
      <c r="P166" s="70">
        <f t="shared" ca="1" si="175"/>
        <v>0</v>
      </c>
      <c r="Q166" s="70">
        <f t="shared" ca="1" si="176"/>
        <v>0</v>
      </c>
      <c r="R166" s="70" t="e">
        <f t="shared" ca="1" si="177"/>
        <v>#REF!</v>
      </c>
      <c r="S166" s="70">
        <f t="shared" ca="1" si="178"/>
        <v>0</v>
      </c>
      <c r="T166" s="70">
        <f t="shared" ca="1" si="179"/>
        <v>0</v>
      </c>
      <c r="U166" s="70" t="e">
        <f t="shared" ca="1" si="180"/>
        <v>#REF!</v>
      </c>
      <c r="V166" s="70">
        <f t="shared" ca="1" si="181"/>
        <v>0</v>
      </c>
      <c r="W166" s="70">
        <f t="shared" ca="1" si="182"/>
        <v>0</v>
      </c>
      <c r="X166" s="70">
        <f t="shared" ca="1" si="183"/>
        <v>0</v>
      </c>
      <c r="Y166" s="98">
        <f t="shared" ca="1" si="184"/>
        <v>0</v>
      </c>
      <c r="Z166" s="70">
        <f t="shared" ca="1" si="185"/>
        <v>0</v>
      </c>
      <c r="AA166" s="70">
        <f t="shared" ca="1" si="186"/>
        <v>0</v>
      </c>
      <c r="AB166" s="409" t="e">
        <f t="shared" ca="1" si="187"/>
        <v>#REF!</v>
      </c>
      <c r="AC166" s="70" t="e">
        <f t="shared" ca="1" si="188"/>
        <v>#REF!</v>
      </c>
      <c r="AD166" s="70" t="e">
        <f t="array" aca="1" ref="AD166" ca="1">-(VLOOKUP(AC166, LT_IncomeTaxFed/$K166:$O166, 2, TRUE)+VLOOKUP(AC166,LT_IncomeTaxFed/$K166:$O166,3,TRUE)*(AC166-VLOOKUP(AC166,LT_IncomeTaxFed/$K166:$O166,1,TRUE)))</f>
        <v>#REF!</v>
      </c>
      <c r="AE166" s="70" t="e">
        <f t="array" aca="1" ref="AE166" ca="1">-(VLOOKUP($AC166+$X166, LT_IncomeTaxFed/$K166:$O166, 4, TRUE)+VLOOKUP($AC166+$X166,LT_IncomeTaxFed/$K166:$O166,5,TRUE)*($AC166+$X166-VLOOKUP($AC166+$X166,LT_IncomeTaxFed/$K166:$O166,1,TRUE)))+(VLOOKUP($AC166, LT_IncomeTaxFed/$K166:$O166, 4, TRUE)+VLOOKUP($AC166,LT_IncomeTaxFed/$K166:$O166,5,TRUE)*($AC166-VLOOKUP($AC166,LT_IncomeTaxFed/$K166:$O166,1,TRUE)))</f>
        <v>#REF!</v>
      </c>
      <c r="AF166" s="75" t="e">
        <f t="shared" ca="1" si="189"/>
        <v>#REF!</v>
      </c>
      <c r="AG166" s="70" t="e">
        <f t="shared" ca="1" si="190"/>
        <v>#REF!</v>
      </c>
      <c r="AH166" s="67" t="e">
        <f t="array" aca="1" ref="AH166" ca="1">IF(AG166&gt;0,(VLOOKUP(AG166, LT_IncomeTaxFed/$K166:$O166, 2, TRUE)+VLOOKUP(AG166,LT_IncomeTaxFed/$K166:$O166,3,TRUE)*(AG166-VLOOKUP(AG166,LT_IncomeTaxFed/$K166:$O166,1,TRUE)))/AG166,0)</f>
        <v>#REF!</v>
      </c>
      <c r="AI166" s="109" t="e">
        <f t="shared" ca="1" si="191"/>
        <v>#REF!</v>
      </c>
      <c r="AJ166" s="634" t="e">
        <f ca="1">SUMPRODUCT($Z166:$Z167+$AA166:$AA167+$AD166:$AD167+$AE166:$AE167+$AI166:$AI167)</f>
        <v>#REF!</v>
      </c>
      <c r="AK166" s="668" t="e">
        <f t="shared" ref="AK166" ca="1" si="207">IF($U166&gt;0, -AJ166/$U166, 0)</f>
        <v>#REF!</v>
      </c>
    </row>
    <row r="167" spans="2:37" x14ac:dyDescent="0.25">
      <c r="B167" s="86">
        <f t="shared" ca="1" si="193"/>
        <v>2100</v>
      </c>
      <c r="C167" s="80" t="s">
        <v>741</v>
      </c>
      <c r="D167" s="147" t="str">
        <f t="shared" si="170"/>
        <v/>
      </c>
      <c r="E167" s="81">
        <f t="shared" si="167"/>
        <v>0</v>
      </c>
      <c r="F167" s="81" t="b">
        <f t="shared" si="171"/>
        <v>0</v>
      </c>
      <c r="G167" s="81">
        <f t="shared" si="169"/>
        <v>2</v>
      </c>
      <c r="H167" s="82">
        <f t="shared" si="172"/>
        <v>-1</v>
      </c>
      <c r="I167" s="35">
        <f t="shared" si="173"/>
        <v>0</v>
      </c>
      <c r="J167" s="81">
        <f t="shared" si="174"/>
        <v>0</v>
      </c>
      <c r="K167" s="205">
        <f t="shared" ca="1" si="157"/>
        <v>5.6614513545869397E-2</v>
      </c>
      <c r="L167" s="95">
        <f t="shared" ca="1" si="157"/>
        <v>5.6614513545869397E-2</v>
      </c>
      <c r="M167" s="95">
        <v>1</v>
      </c>
      <c r="N167" s="95">
        <f t="shared" ca="1" si="31"/>
        <v>5.6614513545869397E-2</v>
      </c>
      <c r="O167" s="206">
        <v>1</v>
      </c>
      <c r="P167" s="107">
        <f t="shared" ca="1" si="175"/>
        <v>0</v>
      </c>
      <c r="Q167" s="107">
        <f t="shared" ca="1" si="176"/>
        <v>0</v>
      </c>
      <c r="R167" s="107">
        <f t="shared" si="177"/>
        <v>0</v>
      </c>
      <c r="S167" s="107">
        <f t="shared" ca="1" si="178"/>
        <v>0</v>
      </c>
      <c r="T167" s="107">
        <f t="shared" ca="1" si="179"/>
        <v>0</v>
      </c>
      <c r="U167" s="107">
        <f t="shared" ca="1" si="180"/>
        <v>0</v>
      </c>
      <c r="V167" s="107">
        <f t="shared" ca="1" si="181"/>
        <v>0</v>
      </c>
      <c r="W167" s="107">
        <f t="shared" ca="1" si="182"/>
        <v>0</v>
      </c>
      <c r="X167" s="107">
        <f t="shared" ca="1" si="183"/>
        <v>0</v>
      </c>
      <c r="Y167" s="101">
        <f t="shared" ca="1" si="184"/>
        <v>0</v>
      </c>
      <c r="Z167" s="107">
        <f t="shared" ca="1" si="185"/>
        <v>0</v>
      </c>
      <c r="AA167" s="107">
        <f t="shared" ca="1" si="186"/>
        <v>0</v>
      </c>
      <c r="AB167" s="106" t="e">
        <f t="shared" ca="1" si="187"/>
        <v>#REF!</v>
      </c>
      <c r="AC167" s="107" t="e">
        <f t="shared" ca="1" si="188"/>
        <v>#REF!</v>
      </c>
      <c r="AD167" s="107" t="e">
        <f t="array" aca="1" ref="AD167" ca="1">-(VLOOKUP(AC167, LT_IncomeTaxFed/$K167:$O167, 2, TRUE)+VLOOKUP(AC167,LT_IncomeTaxFed/$K167:$O167,3,TRUE)*(AC167-VLOOKUP(AC167,LT_IncomeTaxFed/$K167:$O167,1,TRUE)))</f>
        <v>#REF!</v>
      </c>
      <c r="AE167" s="107" t="e">
        <f t="array" aca="1" ref="AE167" ca="1">-(VLOOKUP($AC167+$X167, LT_IncomeTaxFed/$K167:$O167, 4, TRUE)+VLOOKUP($AC167+$X167,LT_IncomeTaxFed/$K167:$O167,5,TRUE)*($AC167+$X167-VLOOKUP($AC167+$X167,LT_IncomeTaxFed/$K167:$O167,1,TRUE)))+(VLOOKUP($AC167, LT_IncomeTaxFed/$K167:$O167, 4, TRUE)+VLOOKUP($AC167,LT_IncomeTaxFed/$K167:$O167,5,TRUE)*($AC167-VLOOKUP($AC167,LT_IncomeTaxFed/$K167:$O167,1,TRUE)))</f>
        <v>#REF!</v>
      </c>
      <c r="AF167" s="106" t="e">
        <f t="shared" ca="1" si="189"/>
        <v>#REF!</v>
      </c>
      <c r="AG167" s="107" t="e">
        <f t="shared" ca="1" si="190"/>
        <v>#REF!</v>
      </c>
      <c r="AH167" s="91" t="e">
        <f t="array" aca="1" ref="AH167" ca="1">IF(AG167&gt;0,(VLOOKUP(AG167, LT_IncomeTaxFed/$K167:$O167, 2, TRUE)+VLOOKUP(AG167,LT_IncomeTaxFed/$K167:$O167,3,TRUE)*(AG167-VLOOKUP(AG167,LT_IncomeTaxFed/$K167:$O167,1,TRUE)))/AG167,0)</f>
        <v>#REF!</v>
      </c>
      <c r="AI167" s="110" t="e">
        <f t="shared" ca="1" si="191"/>
        <v>#REF!</v>
      </c>
      <c r="AJ167" s="634"/>
      <c r="AK167" s="668"/>
    </row>
    <row r="168" spans="2:37" x14ac:dyDescent="0.25">
      <c r="B168" s="65">
        <f ca="1">B166+1</f>
        <v>2101</v>
      </c>
      <c r="C168" s="76" t="s">
        <v>741</v>
      </c>
      <c r="D168" s="146" t="str">
        <f t="shared" si="170"/>
        <v/>
      </c>
      <c r="E168" s="77">
        <f t="shared" si="167"/>
        <v>0</v>
      </c>
      <c r="F168" s="77" t="b">
        <f t="shared" si="171"/>
        <v>0</v>
      </c>
      <c r="G168" s="77">
        <f t="shared" si="169"/>
        <v>1</v>
      </c>
      <c r="H168" s="76">
        <f t="shared" si="172"/>
        <v>1</v>
      </c>
      <c r="I168" s="4">
        <f t="shared" si="173"/>
        <v>0</v>
      </c>
      <c r="J168" s="77">
        <f t="shared" si="174"/>
        <v>0</v>
      </c>
      <c r="K168" s="204">
        <f t="shared" ca="1" si="157"/>
        <v>5.4568205827343993E-2</v>
      </c>
      <c r="L168" s="93">
        <f t="shared" ca="1" si="157"/>
        <v>5.4568205827343993E-2</v>
      </c>
      <c r="M168" s="93">
        <v>1</v>
      </c>
      <c r="N168" s="93">
        <f t="shared" ca="1" si="31"/>
        <v>5.4568205827343993E-2</v>
      </c>
      <c r="O168" s="100">
        <v>1</v>
      </c>
      <c r="P168" s="70">
        <f t="shared" ca="1" si="175"/>
        <v>0</v>
      </c>
      <c r="Q168" s="70">
        <f t="shared" ca="1" si="176"/>
        <v>0</v>
      </c>
      <c r="R168" s="70" t="e">
        <f t="shared" ca="1" si="177"/>
        <v>#REF!</v>
      </c>
      <c r="S168" s="70">
        <f t="shared" ca="1" si="178"/>
        <v>0</v>
      </c>
      <c r="T168" s="70">
        <f t="shared" ca="1" si="179"/>
        <v>0</v>
      </c>
      <c r="U168" s="70" t="e">
        <f t="shared" ca="1" si="180"/>
        <v>#REF!</v>
      </c>
      <c r="V168" s="70">
        <f t="shared" ca="1" si="181"/>
        <v>0</v>
      </c>
      <c r="W168" s="70">
        <f t="shared" ca="1" si="182"/>
        <v>0</v>
      </c>
      <c r="X168" s="70">
        <f t="shared" ca="1" si="183"/>
        <v>0</v>
      </c>
      <c r="Y168" s="98">
        <f t="shared" ca="1" si="184"/>
        <v>0</v>
      </c>
      <c r="Z168" s="70">
        <f t="shared" ca="1" si="185"/>
        <v>0</v>
      </c>
      <c r="AA168" s="70">
        <f t="shared" ca="1" si="186"/>
        <v>0</v>
      </c>
      <c r="AB168" s="409" t="e">
        <f t="shared" ca="1" si="187"/>
        <v>#REF!</v>
      </c>
      <c r="AC168" s="70" t="e">
        <f t="shared" ca="1" si="188"/>
        <v>#REF!</v>
      </c>
      <c r="AD168" s="70" t="e">
        <f t="array" aca="1" ref="AD168" ca="1">-(VLOOKUP(AC168, LT_IncomeTaxFed/$K168:$O168, 2, TRUE)+VLOOKUP(AC168,LT_IncomeTaxFed/$K168:$O168,3,TRUE)*(AC168-VLOOKUP(AC168,LT_IncomeTaxFed/$K168:$O168,1,TRUE)))</f>
        <v>#REF!</v>
      </c>
      <c r="AE168" s="70" t="e">
        <f t="array" aca="1" ref="AE168" ca="1">-(VLOOKUP($AC168+$X168, LT_IncomeTaxFed/$K168:$O168, 4, TRUE)+VLOOKUP($AC168+$X168,LT_IncomeTaxFed/$K168:$O168,5,TRUE)*($AC168+$X168-VLOOKUP($AC168+$X168,LT_IncomeTaxFed/$K168:$O168,1,TRUE)))+(VLOOKUP($AC168, LT_IncomeTaxFed/$K168:$O168, 4, TRUE)+VLOOKUP($AC168,LT_IncomeTaxFed/$K168:$O168,5,TRUE)*($AC168-VLOOKUP($AC168,LT_IncomeTaxFed/$K168:$O168,1,TRUE)))</f>
        <v>#REF!</v>
      </c>
      <c r="AF168" s="75" t="e">
        <f t="shared" ca="1" si="189"/>
        <v>#REF!</v>
      </c>
      <c r="AG168" s="70" t="e">
        <f t="shared" ca="1" si="190"/>
        <v>#REF!</v>
      </c>
      <c r="AH168" s="67" t="e">
        <f t="array" aca="1" ref="AH168" ca="1">IF(AG168&gt;0,(VLOOKUP(AG168, LT_IncomeTaxFed/$K168:$O168, 2, TRUE)+VLOOKUP(AG168,LT_IncomeTaxFed/$K168:$O168,3,TRUE)*(AG168-VLOOKUP(AG168,LT_IncomeTaxFed/$K168:$O168,1,TRUE)))/AG168,0)</f>
        <v>#REF!</v>
      </c>
      <c r="AI168" s="109" t="e">
        <f t="shared" ca="1" si="191"/>
        <v>#REF!</v>
      </c>
      <c r="AJ168" s="634" t="e">
        <f ca="1">SUMPRODUCT($Z168:$Z169+$AA168:$AA169+$AD168:$AD169+$AE168:$AE169+$AI168:$AI169)</f>
        <v>#REF!</v>
      </c>
      <c r="AK168" s="668" t="e">
        <f t="shared" ref="AK168" ca="1" si="208">IF($U168&gt;0, -AJ168/$U168, 0)</f>
        <v>#REF!</v>
      </c>
    </row>
    <row r="169" spans="2:37" x14ac:dyDescent="0.25">
      <c r="B169" s="86">
        <f t="shared" ca="1" si="193"/>
        <v>2101</v>
      </c>
      <c r="C169" s="80" t="s">
        <v>741</v>
      </c>
      <c r="D169" s="147" t="str">
        <f t="shared" si="170"/>
        <v/>
      </c>
      <c r="E169" s="81">
        <f t="shared" si="167"/>
        <v>0</v>
      </c>
      <c r="F169" s="81" t="b">
        <f t="shared" si="171"/>
        <v>0</v>
      </c>
      <c r="G169" s="81">
        <f t="shared" si="169"/>
        <v>2</v>
      </c>
      <c r="H169" s="82">
        <f t="shared" si="172"/>
        <v>-1</v>
      </c>
      <c r="I169" s="35">
        <f t="shared" si="173"/>
        <v>0</v>
      </c>
      <c r="J169" s="81">
        <f t="shared" si="174"/>
        <v>0</v>
      </c>
      <c r="K169" s="205">
        <f t="shared" ca="1" si="157"/>
        <v>5.4568205827343993E-2</v>
      </c>
      <c r="L169" s="95">
        <f t="shared" ca="1" si="157"/>
        <v>5.4568205827343993E-2</v>
      </c>
      <c r="M169" s="95">
        <v>1</v>
      </c>
      <c r="N169" s="95">
        <f t="shared" ca="1" si="31"/>
        <v>5.4568205827343993E-2</v>
      </c>
      <c r="O169" s="206">
        <v>1</v>
      </c>
      <c r="P169" s="107">
        <f t="shared" ca="1" si="175"/>
        <v>0</v>
      </c>
      <c r="Q169" s="107">
        <f t="shared" ca="1" si="176"/>
        <v>0</v>
      </c>
      <c r="R169" s="107">
        <f t="shared" si="177"/>
        <v>0</v>
      </c>
      <c r="S169" s="107">
        <f t="shared" ca="1" si="178"/>
        <v>0</v>
      </c>
      <c r="T169" s="107">
        <f t="shared" ca="1" si="179"/>
        <v>0</v>
      </c>
      <c r="U169" s="107">
        <f t="shared" ca="1" si="180"/>
        <v>0</v>
      </c>
      <c r="V169" s="107">
        <f t="shared" ca="1" si="181"/>
        <v>0</v>
      </c>
      <c r="W169" s="107">
        <f t="shared" ca="1" si="182"/>
        <v>0</v>
      </c>
      <c r="X169" s="107">
        <f t="shared" ca="1" si="183"/>
        <v>0</v>
      </c>
      <c r="Y169" s="101">
        <f t="shared" ca="1" si="184"/>
        <v>0</v>
      </c>
      <c r="Z169" s="107">
        <f t="shared" ca="1" si="185"/>
        <v>0</v>
      </c>
      <c r="AA169" s="107">
        <f t="shared" ca="1" si="186"/>
        <v>0</v>
      </c>
      <c r="AB169" s="106" t="e">
        <f t="shared" ca="1" si="187"/>
        <v>#REF!</v>
      </c>
      <c r="AC169" s="107" t="e">
        <f t="shared" ca="1" si="188"/>
        <v>#REF!</v>
      </c>
      <c r="AD169" s="107" t="e">
        <f t="array" aca="1" ref="AD169" ca="1">-(VLOOKUP(AC169, LT_IncomeTaxFed/$K169:$O169, 2, TRUE)+VLOOKUP(AC169,LT_IncomeTaxFed/$K169:$O169,3,TRUE)*(AC169-VLOOKUP(AC169,LT_IncomeTaxFed/$K169:$O169,1,TRUE)))</f>
        <v>#REF!</v>
      </c>
      <c r="AE169" s="107" t="e">
        <f t="array" aca="1" ref="AE169" ca="1">-(VLOOKUP($AC169+$X169, LT_IncomeTaxFed/$K169:$O169, 4, TRUE)+VLOOKUP($AC169+$X169,LT_IncomeTaxFed/$K169:$O169,5,TRUE)*($AC169+$X169-VLOOKUP($AC169+$X169,LT_IncomeTaxFed/$K169:$O169,1,TRUE)))+(VLOOKUP($AC169, LT_IncomeTaxFed/$K169:$O169, 4, TRUE)+VLOOKUP($AC169,LT_IncomeTaxFed/$K169:$O169,5,TRUE)*($AC169-VLOOKUP($AC169,LT_IncomeTaxFed/$K169:$O169,1,TRUE)))</f>
        <v>#REF!</v>
      </c>
      <c r="AF169" s="106" t="e">
        <f t="shared" ca="1" si="189"/>
        <v>#REF!</v>
      </c>
      <c r="AG169" s="107" t="e">
        <f t="shared" ca="1" si="190"/>
        <v>#REF!</v>
      </c>
      <c r="AH169" s="91" t="e">
        <f t="array" aca="1" ref="AH169" ca="1">IF(AG169&gt;0,(VLOOKUP(AG169, LT_IncomeTaxFed/$K169:$O169, 2, TRUE)+VLOOKUP(AG169,LT_IncomeTaxFed/$K169:$O169,3,TRUE)*(AG169-VLOOKUP(AG169,LT_IncomeTaxFed/$K169:$O169,1,TRUE)))/AG169,0)</f>
        <v>#REF!</v>
      </c>
      <c r="AI169" s="110" t="e">
        <f t="shared" ca="1" si="191"/>
        <v>#REF!</v>
      </c>
      <c r="AJ169" s="634"/>
      <c r="AK169" s="668"/>
    </row>
  </sheetData>
  <sheetProtection sheet="1" objects="1" scenarios="1" autoFilter="0"/>
  <mergeCells count="167">
    <mergeCell ref="AK140:AK141"/>
    <mergeCell ref="AK142:AK143"/>
    <mergeCell ref="AK144:AK145"/>
    <mergeCell ref="AK146:AK147"/>
    <mergeCell ref="AK148:AK149"/>
    <mergeCell ref="AK130:AK131"/>
    <mergeCell ref="AK132:AK133"/>
    <mergeCell ref="AK134:AK135"/>
    <mergeCell ref="AK136:AK137"/>
    <mergeCell ref="AK138:AK139"/>
    <mergeCell ref="AK160:AK161"/>
    <mergeCell ref="AK162:AK163"/>
    <mergeCell ref="AK164:AK165"/>
    <mergeCell ref="AK166:AK167"/>
    <mergeCell ref="AK168:AK169"/>
    <mergeCell ref="AK150:AK151"/>
    <mergeCell ref="AK152:AK153"/>
    <mergeCell ref="AK154:AK155"/>
    <mergeCell ref="AK156:AK157"/>
    <mergeCell ref="AK158:AK159"/>
    <mergeCell ref="AK98:AK99"/>
    <mergeCell ref="AK80:AK81"/>
    <mergeCell ref="AK82:AK83"/>
    <mergeCell ref="AK84:AK85"/>
    <mergeCell ref="AK86:AK87"/>
    <mergeCell ref="AK88:AK89"/>
    <mergeCell ref="AK124:AK125"/>
    <mergeCell ref="AK126:AK127"/>
    <mergeCell ref="AK128:AK129"/>
    <mergeCell ref="AK110:AK111"/>
    <mergeCell ref="AK112:AK113"/>
    <mergeCell ref="AK114:AK115"/>
    <mergeCell ref="AK116:AK117"/>
    <mergeCell ref="AK118:AK119"/>
    <mergeCell ref="AK100:AK101"/>
    <mergeCell ref="AK102:AK103"/>
    <mergeCell ref="AK104:AK105"/>
    <mergeCell ref="AK106:AK107"/>
    <mergeCell ref="AK108:AK109"/>
    <mergeCell ref="AK120:AK121"/>
    <mergeCell ref="AK122:AK123"/>
    <mergeCell ref="AK28:AK29"/>
    <mergeCell ref="AK50:AK51"/>
    <mergeCell ref="AK52:AK53"/>
    <mergeCell ref="AK54:AK55"/>
    <mergeCell ref="AK56:AK57"/>
    <mergeCell ref="AK58:AK59"/>
    <mergeCell ref="AK40:AK41"/>
    <mergeCell ref="AK42:AK43"/>
    <mergeCell ref="AK44:AK45"/>
    <mergeCell ref="AK46:AK47"/>
    <mergeCell ref="AK48:AK49"/>
    <mergeCell ref="AJ110:AJ111"/>
    <mergeCell ref="AJ112:AJ113"/>
    <mergeCell ref="AJ114:AJ115"/>
    <mergeCell ref="AJ116:AJ117"/>
    <mergeCell ref="AJ118:AJ119"/>
    <mergeCell ref="AK30:AK31"/>
    <mergeCell ref="AK32:AK33"/>
    <mergeCell ref="AK34:AK35"/>
    <mergeCell ref="AK36:AK37"/>
    <mergeCell ref="AK38:AK39"/>
    <mergeCell ref="AK70:AK71"/>
    <mergeCell ref="AK72:AK73"/>
    <mergeCell ref="AK74:AK75"/>
    <mergeCell ref="AK76:AK77"/>
    <mergeCell ref="AK78:AK79"/>
    <mergeCell ref="AK60:AK61"/>
    <mergeCell ref="AK62:AK63"/>
    <mergeCell ref="AK64:AK65"/>
    <mergeCell ref="AK66:AK67"/>
    <mergeCell ref="AK68:AK69"/>
    <mergeCell ref="AK90:AK91"/>
    <mergeCell ref="AK92:AK93"/>
    <mergeCell ref="AK94:AK95"/>
    <mergeCell ref="AK96:AK97"/>
    <mergeCell ref="AJ130:AJ131"/>
    <mergeCell ref="AJ132:AJ133"/>
    <mergeCell ref="AJ134:AJ135"/>
    <mergeCell ref="AJ136:AJ137"/>
    <mergeCell ref="AJ138:AJ139"/>
    <mergeCell ref="AJ120:AJ121"/>
    <mergeCell ref="AJ122:AJ123"/>
    <mergeCell ref="AJ124:AJ125"/>
    <mergeCell ref="AJ126:AJ127"/>
    <mergeCell ref="AJ128:AJ129"/>
    <mergeCell ref="AJ168:AJ169"/>
    <mergeCell ref="AJ150:AJ151"/>
    <mergeCell ref="AJ152:AJ153"/>
    <mergeCell ref="AJ154:AJ155"/>
    <mergeCell ref="AJ156:AJ157"/>
    <mergeCell ref="AJ158:AJ159"/>
    <mergeCell ref="AJ140:AJ141"/>
    <mergeCell ref="AJ142:AJ143"/>
    <mergeCell ref="AJ144:AJ145"/>
    <mergeCell ref="AJ146:AJ147"/>
    <mergeCell ref="AJ148:AJ149"/>
    <mergeCell ref="AJ160:AJ161"/>
    <mergeCell ref="AJ162:AJ163"/>
    <mergeCell ref="AJ164:AJ165"/>
    <mergeCell ref="AJ166:AJ167"/>
    <mergeCell ref="AJ100:AJ101"/>
    <mergeCell ref="AJ102:AJ103"/>
    <mergeCell ref="AJ104:AJ105"/>
    <mergeCell ref="AJ106:AJ107"/>
    <mergeCell ref="AJ108:AJ109"/>
    <mergeCell ref="AJ90:AJ91"/>
    <mergeCell ref="AJ92:AJ93"/>
    <mergeCell ref="AJ94:AJ95"/>
    <mergeCell ref="AJ96:AJ97"/>
    <mergeCell ref="AJ98:AJ99"/>
    <mergeCell ref="AJ82:AJ83"/>
    <mergeCell ref="AJ84:AJ85"/>
    <mergeCell ref="AJ86:AJ87"/>
    <mergeCell ref="AJ88:AJ89"/>
    <mergeCell ref="AJ70:AJ71"/>
    <mergeCell ref="AJ72:AJ73"/>
    <mergeCell ref="AJ74:AJ75"/>
    <mergeCell ref="AJ76:AJ77"/>
    <mergeCell ref="AJ78:AJ79"/>
    <mergeCell ref="AJ64:AJ65"/>
    <mergeCell ref="AJ66:AJ67"/>
    <mergeCell ref="AJ68:AJ69"/>
    <mergeCell ref="AJ50:AJ51"/>
    <mergeCell ref="AJ52:AJ53"/>
    <mergeCell ref="AJ54:AJ55"/>
    <mergeCell ref="AJ56:AJ57"/>
    <mergeCell ref="AJ58:AJ59"/>
    <mergeCell ref="AJ80:AJ81"/>
    <mergeCell ref="AJ46:AJ47"/>
    <mergeCell ref="AJ48:AJ49"/>
    <mergeCell ref="AJ30:AJ31"/>
    <mergeCell ref="AJ32:AJ33"/>
    <mergeCell ref="AJ34:AJ35"/>
    <mergeCell ref="AJ36:AJ37"/>
    <mergeCell ref="AJ38:AJ39"/>
    <mergeCell ref="AJ60:AJ61"/>
    <mergeCell ref="AJ62:AJ63"/>
    <mergeCell ref="AJ28:AJ29"/>
    <mergeCell ref="AJ10:AJ11"/>
    <mergeCell ref="AJ12:AJ13"/>
    <mergeCell ref="AJ14:AJ15"/>
    <mergeCell ref="AJ16:AJ17"/>
    <mergeCell ref="AJ18:AJ19"/>
    <mergeCell ref="AJ40:AJ41"/>
    <mergeCell ref="AJ42:AJ43"/>
    <mergeCell ref="AJ44:AJ45"/>
    <mergeCell ref="AJ2:AK2"/>
    <mergeCell ref="K3:O3"/>
    <mergeCell ref="Z2:AA2"/>
    <mergeCell ref="AJ20:AJ21"/>
    <mergeCell ref="AJ22:AJ23"/>
    <mergeCell ref="AJ24:AJ25"/>
    <mergeCell ref="AJ26:AJ27"/>
    <mergeCell ref="AK10:AK11"/>
    <mergeCell ref="AK12:AK13"/>
    <mergeCell ref="AK14:AK15"/>
    <mergeCell ref="AK16:AK17"/>
    <mergeCell ref="AK18:AK19"/>
    <mergeCell ref="AK20:AK21"/>
    <mergeCell ref="AK22:AK23"/>
    <mergeCell ref="AK24:AK25"/>
    <mergeCell ref="AK26:AK27"/>
    <mergeCell ref="AB2:AE2"/>
    <mergeCell ref="AF2:AI2"/>
    <mergeCell ref="P2:Y2"/>
    <mergeCell ref="K2:O2"/>
  </mergeCells>
  <conditionalFormatting sqref="B10:B169">
    <cfRule type="expression" dxfId="2" priority="1">
      <formula>($B10=SP_CurrentYear)</formula>
    </cfRule>
  </conditionalFormatting>
  <pageMargins left="0.7" right="0.7" top="0.75" bottom="0.75" header="0.3" footer="0.3"/>
  <pageSetup orientation="portrait" horizontalDpi="4294967293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86CA9F-4458-4CA3-BFC5-7F4E4C188791}">
  <sheetPr codeName="Sheet15"/>
  <dimension ref="A1:R170"/>
  <sheetViews>
    <sheetView zoomScaleNormal="100" workbookViewId="0">
      <pane xSplit="7" ySplit="3" topLeftCell="H4" activePane="bottomRight" state="frozen"/>
      <selection activeCell="N14" sqref="N14"/>
      <selection pane="topRight" activeCell="N14" sqref="N14"/>
      <selection pane="bottomLeft" activeCell="N14" sqref="N14"/>
      <selection pane="bottomRight"/>
    </sheetView>
  </sheetViews>
  <sheetFormatPr defaultRowHeight="15" x14ac:dyDescent="0.25"/>
  <cols>
    <col min="1" max="1" width="9.140625" style="420" hidden="1" customWidth="1"/>
    <col min="2" max="2" width="5" style="420" hidden="1" customWidth="1"/>
    <col min="3" max="3" width="4.28515625" style="420" hidden="1" customWidth="1"/>
    <col min="4" max="7" width="6.5703125" style="420" hidden="1" customWidth="1"/>
    <col min="8" max="8" width="10.28515625" style="420" hidden="1" customWidth="1"/>
    <col min="9" max="10" width="13.140625" style="416" hidden="1" customWidth="1"/>
    <col min="11" max="12" width="13.140625" hidden="1" customWidth="1"/>
    <col min="13" max="16" width="13.140625" style="418" hidden="1" customWidth="1"/>
    <col min="17" max="17" width="13.140625" style="424" hidden="1" customWidth="1"/>
    <col min="18" max="18" width="13.140625" hidden="1" customWidth="1"/>
    <col min="19" max="16384" width="9.140625" style="420"/>
  </cols>
  <sheetData>
    <row r="1" spans="1:18" hidden="1" x14ac:dyDescent="0.25">
      <c r="A1" s="420">
        <f>PMBASIC+PMADVANCED+VMONLINE+VMMACRO</f>
        <v>54</v>
      </c>
      <c r="B1" s="420">
        <f>PMBASIC+PMADVANCED+VMONLINE+VMMACRO</f>
        <v>54</v>
      </c>
      <c r="C1" s="420">
        <f>PMBASIC+PMADVANCED+VMONLINE+VMMACRO</f>
        <v>54</v>
      </c>
      <c r="D1" s="420">
        <f>PMBASIC+PMADVANCED</f>
        <v>48</v>
      </c>
      <c r="E1" s="420">
        <f>PMBASIC+PMADVANCED</f>
        <v>48</v>
      </c>
      <c r="F1" s="420">
        <f>PMBASIC+PMADVANCED+IF(INDEX(SC_ShowRetireatee,1), VMONLINE+VMMACRO,0)</f>
        <v>48</v>
      </c>
      <c r="G1" s="420">
        <f>PMBASIC+PMADVANCED+IF(INDEX(SC_ShowRetireatee,2), VMONLINE+VMMACRO, 0)</f>
        <v>48</v>
      </c>
      <c r="H1" s="420">
        <f>PMBASIC+PMADVANCED</f>
        <v>48</v>
      </c>
      <c r="I1" s="417">
        <f t="shared" ref="I1:R1" si="0">PMBASIC+PMADVANCED+VMONLINE+VMMACRO</f>
        <v>54</v>
      </c>
      <c r="J1" s="417">
        <f t="shared" si="0"/>
        <v>54</v>
      </c>
      <c r="K1">
        <f t="shared" si="0"/>
        <v>54</v>
      </c>
      <c r="L1">
        <f t="shared" si="0"/>
        <v>54</v>
      </c>
      <c r="M1" s="418">
        <f t="shared" si="0"/>
        <v>54</v>
      </c>
      <c r="N1" s="418">
        <f t="shared" si="0"/>
        <v>54</v>
      </c>
      <c r="O1" s="418">
        <f t="shared" si="0"/>
        <v>54</v>
      </c>
      <c r="P1" s="418">
        <f t="shared" si="0"/>
        <v>54</v>
      </c>
      <c r="Q1" s="424">
        <f t="shared" si="0"/>
        <v>54</v>
      </c>
      <c r="R1">
        <f t="shared" si="0"/>
        <v>54</v>
      </c>
    </row>
    <row r="2" spans="1:18" hidden="1" x14ac:dyDescent="0.25">
      <c r="A2" s="420">
        <f>PMBASIC+PMADVANCED+VMONLINE+VMMACRO</f>
        <v>54</v>
      </c>
      <c r="H2" s="423"/>
      <c r="I2" s="582" t="s">
        <v>1023</v>
      </c>
      <c r="J2" s="583"/>
      <c r="K2" s="583"/>
      <c r="L2" s="583"/>
      <c r="M2" s="583"/>
      <c r="N2" s="583"/>
      <c r="O2" s="583"/>
      <c r="P2" s="583"/>
      <c r="Q2" s="583"/>
      <c r="R2" s="584"/>
    </row>
    <row r="3" spans="1:18" ht="45" hidden="1" x14ac:dyDescent="0.25">
      <c r="A3" s="420">
        <f>PMBASIC+PMADVANCED+VMONLINE+VMMACRO</f>
        <v>54</v>
      </c>
      <c r="B3" s="22" t="s">
        <v>0</v>
      </c>
      <c r="C3" s="47" t="s">
        <v>740</v>
      </c>
      <c r="D3" s="22" t="s">
        <v>830</v>
      </c>
      <c r="E3" s="22" t="s">
        <v>831</v>
      </c>
      <c r="F3" s="21" t="str">
        <f>"Age " &amp; INDEX(SP_Initials,1)</f>
        <v xml:space="preserve">Age </v>
      </c>
      <c r="G3" s="21" t="str">
        <f>"Age " &amp; INDEX(SP_Initials,2)</f>
        <v xml:space="preserve">Age </v>
      </c>
      <c r="H3" s="22" t="s">
        <v>840</v>
      </c>
      <c r="I3" s="45" t="s">
        <v>1021</v>
      </c>
      <c r="J3" s="22" t="s">
        <v>1022</v>
      </c>
      <c r="K3" s="22" t="s">
        <v>1026</v>
      </c>
      <c r="L3" s="22" t="s">
        <v>1027</v>
      </c>
      <c r="M3" s="22" t="s">
        <v>1024</v>
      </c>
      <c r="N3" s="22" t="s">
        <v>1025</v>
      </c>
      <c r="O3" s="22" t="s">
        <v>1029</v>
      </c>
      <c r="P3" s="22" t="s">
        <v>1028</v>
      </c>
      <c r="Q3" s="17" t="s">
        <v>3</v>
      </c>
      <c r="R3" s="36" t="s">
        <v>1030</v>
      </c>
    </row>
    <row r="4" spans="1:18" x14ac:dyDescent="0.25">
      <c r="B4" s="90">
        <v>0</v>
      </c>
      <c r="H4" s="422"/>
      <c r="I4" s="425"/>
      <c r="J4" s="428"/>
      <c r="K4" s="428"/>
      <c r="L4" s="428"/>
      <c r="M4" s="428"/>
      <c r="N4" s="428"/>
      <c r="O4" s="428"/>
      <c r="P4" s="428"/>
      <c r="Q4" s="428"/>
      <c r="R4" s="426"/>
    </row>
    <row r="5" spans="1:18" x14ac:dyDescent="0.25">
      <c r="B5" s="90">
        <v>0</v>
      </c>
      <c r="H5" s="422"/>
      <c r="I5" s="425"/>
      <c r="J5" s="428"/>
      <c r="K5" s="428"/>
      <c r="L5" s="428"/>
      <c r="M5" s="428"/>
      <c r="N5" s="428"/>
      <c r="O5" s="428"/>
      <c r="P5" s="428"/>
      <c r="Q5" s="428"/>
      <c r="R5" s="426"/>
    </row>
    <row r="6" spans="1:18" x14ac:dyDescent="0.25">
      <c r="B6" s="90">
        <v>0</v>
      </c>
      <c r="H6" s="422"/>
      <c r="I6" s="427"/>
      <c r="J6" s="284"/>
      <c r="K6" s="284"/>
      <c r="L6" s="284"/>
      <c r="M6" s="428"/>
      <c r="N6" s="428"/>
      <c r="O6" s="428"/>
      <c r="P6" s="428"/>
      <c r="Q6" s="428"/>
      <c r="R6" s="426"/>
    </row>
    <row r="7" spans="1:18" x14ac:dyDescent="0.25">
      <c r="B7" s="90">
        <v>0</v>
      </c>
      <c r="H7" s="422"/>
      <c r="I7" s="427"/>
      <c r="J7" s="284"/>
      <c r="K7" s="284"/>
      <c r="L7" s="284"/>
      <c r="M7" s="428"/>
      <c r="N7" s="428"/>
      <c r="O7" s="428"/>
      <c r="P7" s="428"/>
      <c r="Q7" s="428"/>
      <c r="R7" s="426"/>
    </row>
    <row r="8" spans="1:18" x14ac:dyDescent="0.25">
      <c r="B8" s="90">
        <f t="shared" ref="B8:B9" ca="1" si="1">SP_CurrentYear-1</f>
        <v>2021</v>
      </c>
      <c r="D8" s="196">
        <f ca="1">D10</f>
        <v>1</v>
      </c>
      <c r="E8" s="196">
        <f>E10</f>
        <v>1</v>
      </c>
      <c r="H8" s="422"/>
      <c r="I8" s="427"/>
      <c r="J8" s="284"/>
      <c r="K8" s="284"/>
      <c r="L8" s="284"/>
      <c r="M8" s="428"/>
      <c r="N8" s="428"/>
      <c r="O8" s="428"/>
      <c r="P8" s="428"/>
      <c r="Q8" s="428"/>
      <c r="R8" s="426"/>
    </row>
    <row r="9" spans="1:18" x14ac:dyDescent="0.25">
      <c r="B9" s="90">
        <f t="shared" ca="1" si="1"/>
        <v>2021</v>
      </c>
      <c r="D9" s="196">
        <f>D11</f>
        <v>1</v>
      </c>
      <c r="E9" s="196">
        <f ca="1">E11</f>
        <v>1</v>
      </c>
      <c r="H9" s="422"/>
      <c r="I9" s="427"/>
      <c r="J9" s="284"/>
      <c r="K9" s="284"/>
      <c r="L9" s="284"/>
      <c r="M9" s="428"/>
      <c r="N9" s="428"/>
      <c r="O9" s="428"/>
      <c r="P9" s="428"/>
      <c r="Q9" s="428"/>
      <c r="R9" s="426"/>
    </row>
    <row r="10" spans="1:18" x14ac:dyDescent="0.25">
      <c r="B10" s="185">
        <f ca="1">B8+1</f>
        <v>2022</v>
      </c>
      <c r="C10" s="102" t="str">
        <f t="shared" ref="C10:C73" si="2">CHOOSE(MOD(ROW(),2)+1,"R","N")</f>
        <v>R</v>
      </c>
      <c r="D10" s="104">
        <f t="shared" ref="D10:D73" ca="1" si="3">CHOOSE(MOD(ROW(),2)+1,INDEX(SC_EA_InflationCPIdx,EAIDX),1)</f>
        <v>1</v>
      </c>
      <c r="E10" s="104">
        <f t="shared" ref="E10:E41" si="4">CHOOSE(MOD(ROW(),2)+1,1,INDEX(SC_EA_InflationCPIdx,EAIDX))</f>
        <v>1</v>
      </c>
      <c r="F10" s="103">
        <f t="shared" ref="F10:F73" si="5">IF(INDEX(SC_ShowRetireatee,1),IF($B10&lt;YEAR(INDEX(SP_BirthDate,1)),0,$B10-YEAR(INDEX(SP_BirthDate,1))),0)</f>
        <v>0</v>
      </c>
      <c r="G10" s="103">
        <f t="shared" ref="G10:G73" si="6">IF(INDEX(SC_ShowRetireatee,2),IF($B10&lt;YEAR(INDEX(SP_BirthDate,2)),0,$B10-YEAR(INDEX(SP_BirthDate,2))),0)</f>
        <v>0</v>
      </c>
      <c r="H10" s="395">
        <f t="shared" ref="H10:H41" ca="1" si="7">AVERAGE(OFFSET(SC_ZX_EffectiveTaxRateA,ZXIDX1-1,0,(SC_YearStop-$B10)*2))</f>
        <v>0</v>
      </c>
      <c r="I10" s="393">
        <f t="shared" ref="I10:I41" ca="1" si="8">INDEX(SC_ZX_BalanceBTA,ZXIDX1)*$D10</f>
        <v>0</v>
      </c>
      <c r="J10" s="394">
        <f t="shared" ref="J10:J41" ca="1" si="9">INDEX(SC_ZX_BalanceATA,ZXIDX1)*$D10</f>
        <v>0</v>
      </c>
      <c r="K10" s="394">
        <f t="shared" ref="K10:K41" ca="1" si="10">INDEX(SC_ZA_AnnyBalanceBT,ZAIDX)*$D10</f>
        <v>0</v>
      </c>
      <c r="L10" s="394">
        <f t="shared" ref="L10:L41" ca="1" si="11">INDEX(SC_ZA_AnnyBalanceAT,ZAIDX)*$D10</f>
        <v>0</v>
      </c>
      <c r="M10" s="394">
        <f ca="1">$I10*(1-$H10)+$J10</f>
        <v>0</v>
      </c>
      <c r="N10" s="394">
        <f ca="1">$K10*(1-$H10)+$L10</f>
        <v>0</v>
      </c>
      <c r="O10" s="394">
        <f t="shared" ref="O10:O41" ca="1" si="12">INDEX(SC_ZX_SSPVA,ZXIDX1)*$D10*(1-$H10)</f>
        <v>0</v>
      </c>
      <c r="P10" s="394">
        <f t="shared" ref="P10:P41" ca="1" si="13">((INDEX(SC_ZA_HomeEquity,ZAIDX)*(1-LT_RealtorFees))+SP_OtherAssets/INDEX(SC_EA_InflationCPIdx,EAIDX))*$D10</f>
        <v>0</v>
      </c>
      <c r="Q10" s="394">
        <f t="shared" ref="Q10:Q73" ca="1" si="14">SC_ZX_Debt</f>
        <v>0</v>
      </c>
      <c r="R10" s="396">
        <f ca="1">SUM($M10:$Q10)</f>
        <v>0</v>
      </c>
    </row>
    <row r="11" spans="1:18" x14ac:dyDescent="0.25">
      <c r="B11" s="420">
        <f t="shared" ref="B11:B74" ca="1" si="15">B9+1</f>
        <v>2022</v>
      </c>
      <c r="C11" s="421" t="str">
        <f t="shared" si="2"/>
        <v>N</v>
      </c>
      <c r="D11" s="105">
        <f t="shared" si="3"/>
        <v>1</v>
      </c>
      <c r="E11" s="105">
        <f t="shared" ca="1" si="4"/>
        <v>1</v>
      </c>
      <c r="F11" s="77">
        <f t="shared" si="5"/>
        <v>0</v>
      </c>
      <c r="G11" s="77">
        <f t="shared" si="6"/>
        <v>0</v>
      </c>
      <c r="H11" s="327">
        <f t="shared" ca="1" si="7"/>
        <v>0</v>
      </c>
      <c r="I11" s="427">
        <f t="shared" ca="1" si="8"/>
        <v>0</v>
      </c>
      <c r="J11" s="284">
        <f t="shared" ca="1" si="9"/>
        <v>0</v>
      </c>
      <c r="K11" s="284">
        <f t="shared" ca="1" si="10"/>
        <v>0</v>
      </c>
      <c r="L11" s="284">
        <f t="shared" ca="1" si="11"/>
        <v>0</v>
      </c>
      <c r="M11" s="284">
        <f t="shared" ref="M11:M74" ca="1" si="16">$I11*(1-$H11)+$J11</f>
        <v>0</v>
      </c>
      <c r="N11" s="284">
        <f t="shared" ref="N11:N74" ca="1" si="17">$K11*(1-$H11)+$L11</f>
        <v>0</v>
      </c>
      <c r="O11" s="284">
        <f t="shared" ca="1" si="12"/>
        <v>0</v>
      </c>
      <c r="P11" s="284">
        <f t="shared" ca="1" si="13"/>
        <v>0</v>
      </c>
      <c r="Q11" s="284">
        <f t="shared" ca="1" si="14"/>
        <v>0</v>
      </c>
      <c r="R11" s="426">
        <f t="shared" ref="R11:R74" ca="1" si="18">SUM($M11:$Q11)</f>
        <v>0</v>
      </c>
    </row>
    <row r="12" spans="1:18" x14ac:dyDescent="0.25">
      <c r="B12" s="185">
        <f t="shared" ca="1" si="15"/>
        <v>2023</v>
      </c>
      <c r="C12" s="102" t="str">
        <f t="shared" si="2"/>
        <v>R</v>
      </c>
      <c r="D12" s="104">
        <f t="shared" ca="1" si="3"/>
        <v>0.96852300242130751</v>
      </c>
      <c r="E12" s="104">
        <f t="shared" si="4"/>
        <v>1</v>
      </c>
      <c r="F12" s="103">
        <f t="shared" si="5"/>
        <v>0</v>
      </c>
      <c r="G12" s="103">
        <f t="shared" si="6"/>
        <v>0</v>
      </c>
      <c r="H12" s="397" t="e">
        <f t="shared" ca="1" si="7"/>
        <v>#REF!</v>
      </c>
      <c r="I12" s="393" t="e">
        <f t="shared" ca="1" si="8"/>
        <v>#REF!</v>
      </c>
      <c r="J12" s="394" t="e">
        <f t="shared" ca="1" si="9"/>
        <v>#REF!</v>
      </c>
      <c r="K12" s="394" t="e">
        <f t="shared" ca="1" si="10"/>
        <v>#REF!</v>
      </c>
      <c r="L12" s="394" t="e">
        <f t="shared" ca="1" si="11"/>
        <v>#REF!</v>
      </c>
      <c r="M12" s="394" t="e">
        <f t="shared" ca="1" si="16"/>
        <v>#REF!</v>
      </c>
      <c r="N12" s="394" t="e">
        <f t="shared" ca="1" si="17"/>
        <v>#REF!</v>
      </c>
      <c r="O12" s="394" t="e">
        <f t="shared" ca="1" si="12"/>
        <v>#REF!</v>
      </c>
      <c r="P12" s="394" t="e">
        <f t="shared" ca="1" si="13"/>
        <v>#REF!</v>
      </c>
      <c r="Q12" s="394" t="e">
        <f t="shared" ca="1" si="14"/>
        <v>#VALUE!</v>
      </c>
      <c r="R12" s="396" t="e">
        <f t="shared" ca="1" si="18"/>
        <v>#REF!</v>
      </c>
    </row>
    <row r="13" spans="1:18" x14ac:dyDescent="0.25">
      <c r="B13" s="420">
        <f t="shared" ca="1" si="15"/>
        <v>2023</v>
      </c>
      <c r="C13" s="421" t="str">
        <f t="shared" si="2"/>
        <v>N</v>
      </c>
      <c r="D13" s="105">
        <f t="shared" si="3"/>
        <v>1</v>
      </c>
      <c r="E13" s="105">
        <f t="shared" ca="1" si="4"/>
        <v>0.96852300242130751</v>
      </c>
      <c r="F13" s="77">
        <f t="shared" si="5"/>
        <v>0</v>
      </c>
      <c r="G13" s="77">
        <f t="shared" si="6"/>
        <v>0</v>
      </c>
      <c r="H13" s="327" t="e">
        <f t="shared" ca="1" si="7"/>
        <v>#REF!</v>
      </c>
      <c r="I13" s="427" t="e">
        <f t="shared" ca="1" si="8"/>
        <v>#REF!</v>
      </c>
      <c r="J13" s="284" t="e">
        <f t="shared" ca="1" si="9"/>
        <v>#REF!</v>
      </c>
      <c r="K13" s="284" t="e">
        <f t="shared" ca="1" si="10"/>
        <v>#REF!</v>
      </c>
      <c r="L13" s="284" t="e">
        <f t="shared" ca="1" si="11"/>
        <v>#REF!</v>
      </c>
      <c r="M13" s="284" t="e">
        <f t="shared" ca="1" si="16"/>
        <v>#REF!</v>
      </c>
      <c r="N13" s="284" t="e">
        <f t="shared" ca="1" si="17"/>
        <v>#REF!</v>
      </c>
      <c r="O13" s="284" t="e">
        <f t="shared" ca="1" si="12"/>
        <v>#REF!</v>
      </c>
      <c r="P13" s="284" t="e">
        <f t="shared" ca="1" si="13"/>
        <v>#REF!</v>
      </c>
      <c r="Q13" s="284" t="e">
        <f t="shared" ca="1" si="14"/>
        <v>#VALUE!</v>
      </c>
      <c r="R13" s="426" t="e">
        <f t="shared" ca="1" si="18"/>
        <v>#REF!</v>
      </c>
    </row>
    <row r="14" spans="1:18" x14ac:dyDescent="0.25">
      <c r="B14" s="185">
        <f t="shared" ca="1" si="15"/>
        <v>2024</v>
      </c>
      <c r="C14" s="102" t="str">
        <f t="shared" si="2"/>
        <v>R</v>
      </c>
      <c r="D14" s="104">
        <f t="shared" ca="1" si="3"/>
        <v>0.93803680621918406</v>
      </c>
      <c r="E14" s="104">
        <f t="shared" si="4"/>
        <v>1</v>
      </c>
      <c r="F14" s="103">
        <f t="shared" si="5"/>
        <v>0</v>
      </c>
      <c r="G14" s="103">
        <f t="shared" si="6"/>
        <v>0</v>
      </c>
      <c r="H14" s="397" t="e">
        <f t="shared" ca="1" si="7"/>
        <v>#REF!</v>
      </c>
      <c r="I14" s="393" t="e">
        <f t="shared" ca="1" si="8"/>
        <v>#REF!</v>
      </c>
      <c r="J14" s="394" t="e">
        <f t="shared" ca="1" si="9"/>
        <v>#REF!</v>
      </c>
      <c r="K14" s="394" t="e">
        <f t="shared" ca="1" si="10"/>
        <v>#REF!</v>
      </c>
      <c r="L14" s="394" t="e">
        <f t="shared" ca="1" si="11"/>
        <v>#REF!</v>
      </c>
      <c r="M14" s="394" t="e">
        <f t="shared" ca="1" si="16"/>
        <v>#REF!</v>
      </c>
      <c r="N14" s="394" t="e">
        <f t="shared" ca="1" si="17"/>
        <v>#REF!</v>
      </c>
      <c r="O14" s="394" t="e">
        <f t="shared" ca="1" si="12"/>
        <v>#REF!</v>
      </c>
      <c r="P14" s="394" t="e">
        <f t="shared" ca="1" si="13"/>
        <v>#REF!</v>
      </c>
      <c r="Q14" s="394" t="e">
        <f t="shared" ca="1" si="14"/>
        <v>#VALUE!</v>
      </c>
      <c r="R14" s="396" t="e">
        <f t="shared" ca="1" si="18"/>
        <v>#REF!</v>
      </c>
    </row>
    <row r="15" spans="1:18" x14ac:dyDescent="0.25">
      <c r="B15" s="420">
        <f t="shared" ca="1" si="15"/>
        <v>2024</v>
      </c>
      <c r="C15" s="421" t="str">
        <f t="shared" si="2"/>
        <v>N</v>
      </c>
      <c r="D15" s="105">
        <f t="shared" si="3"/>
        <v>1</v>
      </c>
      <c r="E15" s="105">
        <f t="shared" ca="1" si="4"/>
        <v>0.93803680621918406</v>
      </c>
      <c r="F15" s="77">
        <f t="shared" si="5"/>
        <v>0</v>
      </c>
      <c r="G15" s="77">
        <f t="shared" si="6"/>
        <v>0</v>
      </c>
      <c r="H15" s="327" t="e">
        <f t="shared" ca="1" si="7"/>
        <v>#REF!</v>
      </c>
      <c r="I15" s="427" t="e">
        <f t="shared" ca="1" si="8"/>
        <v>#REF!</v>
      </c>
      <c r="J15" s="284" t="e">
        <f t="shared" ca="1" si="9"/>
        <v>#REF!</v>
      </c>
      <c r="K15" s="284" t="e">
        <f t="shared" ca="1" si="10"/>
        <v>#REF!</v>
      </c>
      <c r="L15" s="284" t="e">
        <f t="shared" ca="1" si="11"/>
        <v>#REF!</v>
      </c>
      <c r="M15" s="284" t="e">
        <f t="shared" ca="1" si="16"/>
        <v>#REF!</v>
      </c>
      <c r="N15" s="284" t="e">
        <f t="shared" ca="1" si="17"/>
        <v>#REF!</v>
      </c>
      <c r="O15" s="284" t="e">
        <f t="shared" ca="1" si="12"/>
        <v>#REF!</v>
      </c>
      <c r="P15" s="284" t="e">
        <f t="shared" ca="1" si="13"/>
        <v>#REF!</v>
      </c>
      <c r="Q15" s="284" t="e">
        <f t="shared" ca="1" si="14"/>
        <v>#VALUE!</v>
      </c>
      <c r="R15" s="426" t="e">
        <f t="shared" ca="1" si="18"/>
        <v>#REF!</v>
      </c>
    </row>
    <row r="16" spans="1:18" x14ac:dyDescent="0.25">
      <c r="B16" s="185">
        <f t="shared" ca="1" si="15"/>
        <v>2025</v>
      </c>
      <c r="C16" s="102" t="str">
        <f t="shared" si="2"/>
        <v>R</v>
      </c>
      <c r="D16" s="104">
        <f t="shared" ca="1" si="3"/>
        <v>0.90851022394109848</v>
      </c>
      <c r="E16" s="104">
        <f t="shared" si="4"/>
        <v>1</v>
      </c>
      <c r="F16" s="103">
        <f t="shared" si="5"/>
        <v>0</v>
      </c>
      <c r="G16" s="103">
        <f t="shared" si="6"/>
        <v>0</v>
      </c>
      <c r="H16" s="397" t="e">
        <f t="shared" ca="1" si="7"/>
        <v>#REF!</v>
      </c>
      <c r="I16" s="393" t="e">
        <f t="shared" ca="1" si="8"/>
        <v>#REF!</v>
      </c>
      <c r="J16" s="394" t="e">
        <f t="shared" ca="1" si="9"/>
        <v>#REF!</v>
      </c>
      <c r="K16" s="394" t="e">
        <f t="shared" ca="1" si="10"/>
        <v>#REF!</v>
      </c>
      <c r="L16" s="394" t="e">
        <f t="shared" ca="1" si="11"/>
        <v>#REF!</v>
      </c>
      <c r="M16" s="394" t="e">
        <f t="shared" ca="1" si="16"/>
        <v>#REF!</v>
      </c>
      <c r="N16" s="394" t="e">
        <f t="shared" ca="1" si="17"/>
        <v>#REF!</v>
      </c>
      <c r="O16" s="394" t="e">
        <f t="shared" ca="1" si="12"/>
        <v>#REF!</v>
      </c>
      <c r="P16" s="394" t="e">
        <f t="shared" ca="1" si="13"/>
        <v>#REF!</v>
      </c>
      <c r="Q16" s="394" t="e">
        <f t="shared" ca="1" si="14"/>
        <v>#VALUE!</v>
      </c>
      <c r="R16" s="396" t="e">
        <f t="shared" ca="1" si="18"/>
        <v>#REF!</v>
      </c>
    </row>
    <row r="17" spans="2:18" x14ac:dyDescent="0.25">
      <c r="B17" s="420">
        <f t="shared" ca="1" si="15"/>
        <v>2025</v>
      </c>
      <c r="C17" s="421" t="str">
        <f t="shared" si="2"/>
        <v>N</v>
      </c>
      <c r="D17" s="105">
        <f t="shared" si="3"/>
        <v>1</v>
      </c>
      <c r="E17" s="105">
        <f t="shared" ca="1" si="4"/>
        <v>0.90851022394109848</v>
      </c>
      <c r="F17" s="77">
        <f t="shared" si="5"/>
        <v>0</v>
      </c>
      <c r="G17" s="77">
        <f t="shared" si="6"/>
        <v>0</v>
      </c>
      <c r="H17" s="327" t="e">
        <f t="shared" ca="1" si="7"/>
        <v>#REF!</v>
      </c>
      <c r="I17" s="427" t="e">
        <f t="shared" ca="1" si="8"/>
        <v>#REF!</v>
      </c>
      <c r="J17" s="284" t="e">
        <f t="shared" ca="1" si="9"/>
        <v>#REF!</v>
      </c>
      <c r="K17" s="284" t="e">
        <f t="shared" ca="1" si="10"/>
        <v>#REF!</v>
      </c>
      <c r="L17" s="284" t="e">
        <f t="shared" ca="1" si="11"/>
        <v>#REF!</v>
      </c>
      <c r="M17" s="284" t="e">
        <f t="shared" ca="1" si="16"/>
        <v>#REF!</v>
      </c>
      <c r="N17" s="284" t="e">
        <f t="shared" ca="1" si="17"/>
        <v>#REF!</v>
      </c>
      <c r="O17" s="284" t="e">
        <f t="shared" ca="1" si="12"/>
        <v>#REF!</v>
      </c>
      <c r="P17" s="284" t="e">
        <f t="shared" ca="1" si="13"/>
        <v>#REF!</v>
      </c>
      <c r="Q17" s="284" t="e">
        <f t="shared" ca="1" si="14"/>
        <v>#VALUE!</v>
      </c>
      <c r="R17" s="426" t="e">
        <f t="shared" ca="1" si="18"/>
        <v>#REF!</v>
      </c>
    </row>
    <row r="18" spans="2:18" x14ac:dyDescent="0.25">
      <c r="B18" s="185">
        <f t="shared" ca="1" si="15"/>
        <v>2026</v>
      </c>
      <c r="C18" s="102" t="str">
        <f t="shared" si="2"/>
        <v>R</v>
      </c>
      <c r="D18" s="104">
        <f t="shared" ca="1" si="3"/>
        <v>0.87991304982188723</v>
      </c>
      <c r="E18" s="104">
        <f t="shared" si="4"/>
        <v>1</v>
      </c>
      <c r="F18" s="103">
        <f t="shared" si="5"/>
        <v>0</v>
      </c>
      <c r="G18" s="103">
        <f t="shared" si="6"/>
        <v>0</v>
      </c>
      <c r="H18" s="397" t="e">
        <f t="shared" ca="1" si="7"/>
        <v>#REF!</v>
      </c>
      <c r="I18" s="393" t="e">
        <f t="shared" ca="1" si="8"/>
        <v>#REF!</v>
      </c>
      <c r="J18" s="394" t="e">
        <f t="shared" ca="1" si="9"/>
        <v>#REF!</v>
      </c>
      <c r="K18" s="394" t="e">
        <f t="shared" ca="1" si="10"/>
        <v>#REF!</v>
      </c>
      <c r="L18" s="394" t="e">
        <f t="shared" ca="1" si="11"/>
        <v>#REF!</v>
      </c>
      <c r="M18" s="394" t="e">
        <f t="shared" ca="1" si="16"/>
        <v>#REF!</v>
      </c>
      <c r="N18" s="394" t="e">
        <f t="shared" ca="1" si="17"/>
        <v>#REF!</v>
      </c>
      <c r="O18" s="394" t="e">
        <f t="shared" ca="1" si="12"/>
        <v>#REF!</v>
      </c>
      <c r="P18" s="394" t="e">
        <f t="shared" ca="1" si="13"/>
        <v>#REF!</v>
      </c>
      <c r="Q18" s="394" t="e">
        <f t="shared" ca="1" si="14"/>
        <v>#VALUE!</v>
      </c>
      <c r="R18" s="396" t="e">
        <f t="shared" ca="1" si="18"/>
        <v>#REF!</v>
      </c>
    </row>
    <row r="19" spans="2:18" x14ac:dyDescent="0.25">
      <c r="B19" s="420">
        <f t="shared" ca="1" si="15"/>
        <v>2026</v>
      </c>
      <c r="C19" s="421" t="str">
        <f t="shared" si="2"/>
        <v>N</v>
      </c>
      <c r="D19" s="105">
        <f t="shared" si="3"/>
        <v>1</v>
      </c>
      <c r="E19" s="105">
        <f t="shared" ca="1" si="4"/>
        <v>0.87991304982188723</v>
      </c>
      <c r="F19" s="77">
        <f t="shared" si="5"/>
        <v>0</v>
      </c>
      <c r="G19" s="77">
        <f t="shared" si="6"/>
        <v>0</v>
      </c>
      <c r="H19" s="327" t="e">
        <f t="shared" ca="1" si="7"/>
        <v>#REF!</v>
      </c>
      <c r="I19" s="427" t="e">
        <f t="shared" ca="1" si="8"/>
        <v>#REF!</v>
      </c>
      <c r="J19" s="284" t="e">
        <f t="shared" ca="1" si="9"/>
        <v>#REF!</v>
      </c>
      <c r="K19" s="284" t="e">
        <f t="shared" ca="1" si="10"/>
        <v>#REF!</v>
      </c>
      <c r="L19" s="284" t="e">
        <f t="shared" ca="1" si="11"/>
        <v>#REF!</v>
      </c>
      <c r="M19" s="284" t="e">
        <f t="shared" ca="1" si="16"/>
        <v>#REF!</v>
      </c>
      <c r="N19" s="284" t="e">
        <f t="shared" ca="1" si="17"/>
        <v>#REF!</v>
      </c>
      <c r="O19" s="284" t="e">
        <f t="shared" ca="1" si="12"/>
        <v>#REF!</v>
      </c>
      <c r="P19" s="284" t="e">
        <f t="shared" ca="1" si="13"/>
        <v>#REF!</v>
      </c>
      <c r="Q19" s="284" t="e">
        <f t="shared" ca="1" si="14"/>
        <v>#VALUE!</v>
      </c>
      <c r="R19" s="426" t="e">
        <f t="shared" ca="1" si="18"/>
        <v>#REF!</v>
      </c>
    </row>
    <row r="20" spans="2:18" x14ac:dyDescent="0.25">
      <c r="B20" s="185">
        <f t="shared" ca="1" si="15"/>
        <v>2027</v>
      </c>
      <c r="C20" s="102" t="str">
        <f t="shared" si="2"/>
        <v>R</v>
      </c>
      <c r="D20" s="104">
        <f t="shared" ca="1" si="3"/>
        <v>0.85221602888318382</v>
      </c>
      <c r="E20" s="104">
        <f t="shared" si="4"/>
        <v>1</v>
      </c>
      <c r="F20" s="103">
        <f t="shared" si="5"/>
        <v>0</v>
      </c>
      <c r="G20" s="103">
        <f t="shared" si="6"/>
        <v>0</v>
      </c>
      <c r="H20" s="397" t="e">
        <f t="shared" ca="1" si="7"/>
        <v>#REF!</v>
      </c>
      <c r="I20" s="393" t="e">
        <f t="shared" ca="1" si="8"/>
        <v>#REF!</v>
      </c>
      <c r="J20" s="394" t="e">
        <f t="shared" ca="1" si="9"/>
        <v>#REF!</v>
      </c>
      <c r="K20" s="394" t="e">
        <f t="shared" ca="1" si="10"/>
        <v>#REF!</v>
      </c>
      <c r="L20" s="394" t="e">
        <f t="shared" ca="1" si="11"/>
        <v>#REF!</v>
      </c>
      <c r="M20" s="394" t="e">
        <f t="shared" ca="1" si="16"/>
        <v>#REF!</v>
      </c>
      <c r="N20" s="394" t="e">
        <f t="shared" ca="1" si="17"/>
        <v>#REF!</v>
      </c>
      <c r="O20" s="394" t="e">
        <f t="shared" ca="1" si="12"/>
        <v>#REF!</v>
      </c>
      <c r="P20" s="394" t="e">
        <f t="shared" ca="1" si="13"/>
        <v>#REF!</v>
      </c>
      <c r="Q20" s="394" t="e">
        <f t="shared" ca="1" si="14"/>
        <v>#VALUE!</v>
      </c>
      <c r="R20" s="396" t="e">
        <f t="shared" ca="1" si="18"/>
        <v>#REF!</v>
      </c>
    </row>
    <row r="21" spans="2:18" x14ac:dyDescent="0.25">
      <c r="B21" s="420">
        <f t="shared" ca="1" si="15"/>
        <v>2027</v>
      </c>
      <c r="C21" s="421" t="str">
        <f t="shared" si="2"/>
        <v>N</v>
      </c>
      <c r="D21" s="105">
        <f t="shared" si="3"/>
        <v>1</v>
      </c>
      <c r="E21" s="105">
        <f t="shared" ca="1" si="4"/>
        <v>0.85221602888318382</v>
      </c>
      <c r="F21" s="77">
        <f t="shared" si="5"/>
        <v>0</v>
      </c>
      <c r="G21" s="77">
        <f t="shared" si="6"/>
        <v>0</v>
      </c>
      <c r="H21" s="327" t="e">
        <f t="shared" ca="1" si="7"/>
        <v>#REF!</v>
      </c>
      <c r="I21" s="427" t="e">
        <f t="shared" ca="1" si="8"/>
        <v>#REF!</v>
      </c>
      <c r="J21" s="284" t="e">
        <f t="shared" ca="1" si="9"/>
        <v>#REF!</v>
      </c>
      <c r="K21" s="284" t="e">
        <f t="shared" ca="1" si="10"/>
        <v>#REF!</v>
      </c>
      <c r="L21" s="284" t="e">
        <f t="shared" ca="1" si="11"/>
        <v>#REF!</v>
      </c>
      <c r="M21" s="284" t="e">
        <f t="shared" ca="1" si="16"/>
        <v>#REF!</v>
      </c>
      <c r="N21" s="284" t="e">
        <f t="shared" ca="1" si="17"/>
        <v>#REF!</v>
      </c>
      <c r="O21" s="284" t="e">
        <f t="shared" ca="1" si="12"/>
        <v>#REF!</v>
      </c>
      <c r="P21" s="284" t="e">
        <f t="shared" ca="1" si="13"/>
        <v>#REF!</v>
      </c>
      <c r="Q21" s="284" t="e">
        <f t="shared" ca="1" si="14"/>
        <v>#VALUE!</v>
      </c>
      <c r="R21" s="426" t="e">
        <f t="shared" ca="1" si="18"/>
        <v>#REF!</v>
      </c>
    </row>
    <row r="22" spans="2:18" x14ac:dyDescent="0.25">
      <c r="B22" s="185">
        <f t="shared" ca="1" si="15"/>
        <v>2028</v>
      </c>
      <c r="C22" s="102" t="str">
        <f t="shared" si="2"/>
        <v>R</v>
      </c>
      <c r="D22" s="104">
        <f t="shared" ca="1" si="3"/>
        <v>0.82539082700550503</v>
      </c>
      <c r="E22" s="104">
        <f t="shared" si="4"/>
        <v>1</v>
      </c>
      <c r="F22" s="103">
        <f t="shared" si="5"/>
        <v>0</v>
      </c>
      <c r="G22" s="103">
        <f t="shared" si="6"/>
        <v>0</v>
      </c>
      <c r="H22" s="397" t="e">
        <f t="shared" ca="1" si="7"/>
        <v>#REF!</v>
      </c>
      <c r="I22" s="393" t="e">
        <f t="shared" ca="1" si="8"/>
        <v>#REF!</v>
      </c>
      <c r="J22" s="394" t="e">
        <f t="shared" ca="1" si="9"/>
        <v>#REF!</v>
      </c>
      <c r="K22" s="394" t="e">
        <f t="shared" ca="1" si="10"/>
        <v>#REF!</v>
      </c>
      <c r="L22" s="394" t="e">
        <f t="shared" ca="1" si="11"/>
        <v>#REF!</v>
      </c>
      <c r="M22" s="394" t="e">
        <f t="shared" ca="1" si="16"/>
        <v>#REF!</v>
      </c>
      <c r="N22" s="394" t="e">
        <f t="shared" ca="1" si="17"/>
        <v>#REF!</v>
      </c>
      <c r="O22" s="394" t="e">
        <f t="shared" ca="1" si="12"/>
        <v>#REF!</v>
      </c>
      <c r="P22" s="394" t="e">
        <f t="shared" ca="1" si="13"/>
        <v>#REF!</v>
      </c>
      <c r="Q22" s="394" t="e">
        <f t="shared" ca="1" si="14"/>
        <v>#VALUE!</v>
      </c>
      <c r="R22" s="396" t="e">
        <f t="shared" ca="1" si="18"/>
        <v>#REF!</v>
      </c>
    </row>
    <row r="23" spans="2:18" x14ac:dyDescent="0.25">
      <c r="B23" s="420">
        <f t="shared" ca="1" si="15"/>
        <v>2028</v>
      </c>
      <c r="C23" s="421" t="str">
        <f t="shared" si="2"/>
        <v>N</v>
      </c>
      <c r="D23" s="105">
        <f t="shared" si="3"/>
        <v>1</v>
      </c>
      <c r="E23" s="105">
        <f t="shared" ca="1" si="4"/>
        <v>0.82539082700550503</v>
      </c>
      <c r="F23" s="77">
        <f t="shared" si="5"/>
        <v>0</v>
      </c>
      <c r="G23" s="77">
        <f t="shared" si="6"/>
        <v>0</v>
      </c>
      <c r="H23" s="327" t="e">
        <f t="shared" ca="1" si="7"/>
        <v>#REF!</v>
      </c>
      <c r="I23" s="427" t="e">
        <f t="shared" ca="1" si="8"/>
        <v>#REF!</v>
      </c>
      <c r="J23" s="284" t="e">
        <f t="shared" ca="1" si="9"/>
        <v>#REF!</v>
      </c>
      <c r="K23" s="284" t="e">
        <f t="shared" ca="1" si="10"/>
        <v>#REF!</v>
      </c>
      <c r="L23" s="284" t="e">
        <f t="shared" ca="1" si="11"/>
        <v>#REF!</v>
      </c>
      <c r="M23" s="284" t="e">
        <f t="shared" ca="1" si="16"/>
        <v>#REF!</v>
      </c>
      <c r="N23" s="284" t="e">
        <f t="shared" ca="1" si="17"/>
        <v>#REF!</v>
      </c>
      <c r="O23" s="284" t="e">
        <f t="shared" ca="1" si="12"/>
        <v>#REF!</v>
      </c>
      <c r="P23" s="284" t="e">
        <f t="shared" ca="1" si="13"/>
        <v>#REF!</v>
      </c>
      <c r="Q23" s="284" t="e">
        <f t="shared" ca="1" si="14"/>
        <v>#VALUE!</v>
      </c>
      <c r="R23" s="426" t="e">
        <f t="shared" ca="1" si="18"/>
        <v>#REF!</v>
      </c>
    </row>
    <row r="24" spans="2:18" x14ac:dyDescent="0.25">
      <c r="B24" s="185">
        <f t="shared" ca="1" si="15"/>
        <v>2029</v>
      </c>
      <c r="C24" s="102" t="str">
        <f t="shared" si="2"/>
        <v>R</v>
      </c>
      <c r="D24" s="104">
        <f t="shared" ca="1" si="3"/>
        <v>0.79941000194237766</v>
      </c>
      <c r="E24" s="104">
        <f t="shared" si="4"/>
        <v>1</v>
      </c>
      <c r="F24" s="103">
        <f t="shared" si="5"/>
        <v>0</v>
      </c>
      <c r="G24" s="103">
        <f t="shared" si="6"/>
        <v>0</v>
      </c>
      <c r="H24" s="397" t="e">
        <f t="shared" ca="1" si="7"/>
        <v>#REF!</v>
      </c>
      <c r="I24" s="393" t="e">
        <f t="shared" ca="1" si="8"/>
        <v>#REF!</v>
      </c>
      <c r="J24" s="394" t="e">
        <f t="shared" ca="1" si="9"/>
        <v>#REF!</v>
      </c>
      <c r="K24" s="394" t="e">
        <f t="shared" ca="1" si="10"/>
        <v>#REF!</v>
      </c>
      <c r="L24" s="394" t="e">
        <f t="shared" ca="1" si="11"/>
        <v>#REF!</v>
      </c>
      <c r="M24" s="394" t="e">
        <f t="shared" ca="1" si="16"/>
        <v>#REF!</v>
      </c>
      <c r="N24" s="394" t="e">
        <f t="shared" ca="1" si="17"/>
        <v>#REF!</v>
      </c>
      <c r="O24" s="394" t="e">
        <f t="shared" ca="1" si="12"/>
        <v>#REF!</v>
      </c>
      <c r="P24" s="394" t="e">
        <f t="shared" ca="1" si="13"/>
        <v>#REF!</v>
      </c>
      <c r="Q24" s="394" t="e">
        <f t="shared" ca="1" si="14"/>
        <v>#VALUE!</v>
      </c>
      <c r="R24" s="396" t="e">
        <f t="shared" ca="1" si="18"/>
        <v>#REF!</v>
      </c>
    </row>
    <row r="25" spans="2:18" x14ac:dyDescent="0.25">
      <c r="B25" s="420">
        <f t="shared" ca="1" si="15"/>
        <v>2029</v>
      </c>
      <c r="C25" s="421" t="str">
        <f t="shared" si="2"/>
        <v>N</v>
      </c>
      <c r="D25" s="105">
        <f t="shared" si="3"/>
        <v>1</v>
      </c>
      <c r="E25" s="105">
        <f t="shared" ca="1" si="4"/>
        <v>0.79941000194237766</v>
      </c>
      <c r="F25" s="77">
        <f t="shared" si="5"/>
        <v>0</v>
      </c>
      <c r="G25" s="77">
        <f t="shared" si="6"/>
        <v>0</v>
      </c>
      <c r="H25" s="327" t="e">
        <f t="shared" ca="1" si="7"/>
        <v>#REF!</v>
      </c>
      <c r="I25" s="427" t="e">
        <f t="shared" ca="1" si="8"/>
        <v>#REF!</v>
      </c>
      <c r="J25" s="284" t="e">
        <f t="shared" ca="1" si="9"/>
        <v>#REF!</v>
      </c>
      <c r="K25" s="284" t="e">
        <f t="shared" ca="1" si="10"/>
        <v>#REF!</v>
      </c>
      <c r="L25" s="284" t="e">
        <f t="shared" ca="1" si="11"/>
        <v>#REF!</v>
      </c>
      <c r="M25" s="284" t="e">
        <f t="shared" ca="1" si="16"/>
        <v>#REF!</v>
      </c>
      <c r="N25" s="284" t="e">
        <f t="shared" ca="1" si="17"/>
        <v>#REF!</v>
      </c>
      <c r="O25" s="284" t="e">
        <f t="shared" ca="1" si="12"/>
        <v>#REF!</v>
      </c>
      <c r="P25" s="284" t="e">
        <f t="shared" ca="1" si="13"/>
        <v>#REF!</v>
      </c>
      <c r="Q25" s="284" t="e">
        <f t="shared" ca="1" si="14"/>
        <v>#VALUE!</v>
      </c>
      <c r="R25" s="426" t="e">
        <f t="shared" ca="1" si="18"/>
        <v>#REF!</v>
      </c>
    </row>
    <row r="26" spans="2:18" x14ac:dyDescent="0.25">
      <c r="B26" s="185">
        <f t="shared" ca="1" si="15"/>
        <v>2030</v>
      </c>
      <c r="C26" s="102" t="str">
        <f t="shared" si="2"/>
        <v>R</v>
      </c>
      <c r="D26" s="104">
        <f t="shared" ca="1" si="3"/>
        <v>0.77424697524685493</v>
      </c>
      <c r="E26" s="104">
        <f t="shared" si="4"/>
        <v>1</v>
      </c>
      <c r="F26" s="103">
        <f t="shared" si="5"/>
        <v>0</v>
      </c>
      <c r="G26" s="103">
        <f t="shared" si="6"/>
        <v>0</v>
      </c>
      <c r="H26" s="397" t="e">
        <f t="shared" ca="1" si="7"/>
        <v>#REF!</v>
      </c>
      <c r="I26" s="393" t="e">
        <f t="shared" ca="1" si="8"/>
        <v>#REF!</v>
      </c>
      <c r="J26" s="394" t="e">
        <f t="shared" ca="1" si="9"/>
        <v>#REF!</v>
      </c>
      <c r="K26" s="394" t="e">
        <f t="shared" ca="1" si="10"/>
        <v>#REF!</v>
      </c>
      <c r="L26" s="394" t="e">
        <f t="shared" ca="1" si="11"/>
        <v>#REF!</v>
      </c>
      <c r="M26" s="394" t="e">
        <f t="shared" ca="1" si="16"/>
        <v>#REF!</v>
      </c>
      <c r="N26" s="394" t="e">
        <f t="shared" ca="1" si="17"/>
        <v>#REF!</v>
      </c>
      <c r="O26" s="394" t="e">
        <f t="shared" ca="1" si="12"/>
        <v>#REF!</v>
      </c>
      <c r="P26" s="394" t="e">
        <f t="shared" ca="1" si="13"/>
        <v>#REF!</v>
      </c>
      <c r="Q26" s="394" t="e">
        <f t="shared" ca="1" si="14"/>
        <v>#VALUE!</v>
      </c>
      <c r="R26" s="396" t="e">
        <f t="shared" ca="1" si="18"/>
        <v>#REF!</v>
      </c>
    </row>
    <row r="27" spans="2:18" x14ac:dyDescent="0.25">
      <c r="B27" s="420">
        <f t="shared" ca="1" si="15"/>
        <v>2030</v>
      </c>
      <c r="C27" s="421" t="str">
        <f t="shared" si="2"/>
        <v>N</v>
      </c>
      <c r="D27" s="105">
        <f t="shared" si="3"/>
        <v>1</v>
      </c>
      <c r="E27" s="105">
        <f t="shared" ca="1" si="4"/>
        <v>0.77424697524685493</v>
      </c>
      <c r="F27" s="77">
        <f t="shared" si="5"/>
        <v>0</v>
      </c>
      <c r="G27" s="77">
        <f t="shared" si="6"/>
        <v>0</v>
      </c>
      <c r="H27" s="327" t="e">
        <f t="shared" ca="1" si="7"/>
        <v>#REF!</v>
      </c>
      <c r="I27" s="427" t="e">
        <f t="shared" ca="1" si="8"/>
        <v>#REF!</v>
      </c>
      <c r="J27" s="284" t="e">
        <f t="shared" ca="1" si="9"/>
        <v>#REF!</v>
      </c>
      <c r="K27" s="284" t="e">
        <f t="shared" ca="1" si="10"/>
        <v>#REF!</v>
      </c>
      <c r="L27" s="284" t="e">
        <f t="shared" ca="1" si="11"/>
        <v>#REF!</v>
      </c>
      <c r="M27" s="284" t="e">
        <f t="shared" ca="1" si="16"/>
        <v>#REF!</v>
      </c>
      <c r="N27" s="284" t="e">
        <f t="shared" ca="1" si="17"/>
        <v>#REF!</v>
      </c>
      <c r="O27" s="284" t="e">
        <f t="shared" ca="1" si="12"/>
        <v>#REF!</v>
      </c>
      <c r="P27" s="284" t="e">
        <f t="shared" ca="1" si="13"/>
        <v>#REF!</v>
      </c>
      <c r="Q27" s="284" t="e">
        <f t="shared" ca="1" si="14"/>
        <v>#VALUE!</v>
      </c>
      <c r="R27" s="426" t="e">
        <f t="shared" ca="1" si="18"/>
        <v>#REF!</v>
      </c>
    </row>
    <row r="28" spans="2:18" x14ac:dyDescent="0.25">
      <c r="B28" s="185">
        <f t="shared" ca="1" si="15"/>
        <v>2031</v>
      </c>
      <c r="C28" s="102" t="str">
        <f t="shared" si="2"/>
        <v>R</v>
      </c>
      <c r="D28" s="104">
        <f t="shared" ca="1" si="3"/>
        <v>0.74987600508169971</v>
      </c>
      <c r="E28" s="104">
        <f t="shared" si="4"/>
        <v>1</v>
      </c>
      <c r="F28" s="103">
        <f t="shared" si="5"/>
        <v>0</v>
      </c>
      <c r="G28" s="103">
        <f t="shared" si="6"/>
        <v>0</v>
      </c>
      <c r="H28" s="397" t="e">
        <f t="shared" ca="1" si="7"/>
        <v>#REF!</v>
      </c>
      <c r="I28" s="393" t="e">
        <f t="shared" ca="1" si="8"/>
        <v>#REF!</v>
      </c>
      <c r="J28" s="394" t="e">
        <f t="shared" ca="1" si="9"/>
        <v>#REF!</v>
      </c>
      <c r="K28" s="394" t="e">
        <f t="shared" ca="1" si="10"/>
        <v>#REF!</v>
      </c>
      <c r="L28" s="394" t="e">
        <f t="shared" ca="1" si="11"/>
        <v>#REF!</v>
      </c>
      <c r="M28" s="394" t="e">
        <f t="shared" ca="1" si="16"/>
        <v>#REF!</v>
      </c>
      <c r="N28" s="394" t="e">
        <f t="shared" ca="1" si="17"/>
        <v>#REF!</v>
      </c>
      <c r="O28" s="394" t="e">
        <f t="shared" ca="1" si="12"/>
        <v>#REF!</v>
      </c>
      <c r="P28" s="394" t="e">
        <f t="shared" ca="1" si="13"/>
        <v>#REF!</v>
      </c>
      <c r="Q28" s="394" t="e">
        <f t="shared" ca="1" si="14"/>
        <v>#VALUE!</v>
      </c>
      <c r="R28" s="396" t="e">
        <f t="shared" ca="1" si="18"/>
        <v>#REF!</v>
      </c>
    </row>
    <row r="29" spans="2:18" x14ac:dyDescent="0.25">
      <c r="B29" s="420">
        <f t="shared" ca="1" si="15"/>
        <v>2031</v>
      </c>
      <c r="C29" s="421" t="str">
        <f t="shared" si="2"/>
        <v>N</v>
      </c>
      <c r="D29" s="105">
        <f t="shared" si="3"/>
        <v>1</v>
      </c>
      <c r="E29" s="105">
        <f t="shared" ca="1" si="4"/>
        <v>0.74987600508169971</v>
      </c>
      <c r="F29" s="77">
        <f t="shared" si="5"/>
        <v>0</v>
      </c>
      <c r="G29" s="77">
        <f t="shared" si="6"/>
        <v>0</v>
      </c>
      <c r="H29" s="327" t="e">
        <f t="shared" ca="1" si="7"/>
        <v>#REF!</v>
      </c>
      <c r="I29" s="427" t="e">
        <f t="shared" ca="1" si="8"/>
        <v>#REF!</v>
      </c>
      <c r="J29" s="284" t="e">
        <f t="shared" ca="1" si="9"/>
        <v>#REF!</v>
      </c>
      <c r="K29" s="284" t="e">
        <f t="shared" ca="1" si="10"/>
        <v>#REF!</v>
      </c>
      <c r="L29" s="284" t="e">
        <f t="shared" ca="1" si="11"/>
        <v>#REF!</v>
      </c>
      <c r="M29" s="284" t="e">
        <f t="shared" ca="1" si="16"/>
        <v>#REF!</v>
      </c>
      <c r="N29" s="284" t="e">
        <f t="shared" ca="1" si="17"/>
        <v>#REF!</v>
      </c>
      <c r="O29" s="284" t="e">
        <f t="shared" ca="1" si="12"/>
        <v>#REF!</v>
      </c>
      <c r="P29" s="284" t="e">
        <f t="shared" ca="1" si="13"/>
        <v>#REF!</v>
      </c>
      <c r="Q29" s="284" t="e">
        <f t="shared" ca="1" si="14"/>
        <v>#VALUE!</v>
      </c>
      <c r="R29" s="426" t="e">
        <f t="shared" ca="1" si="18"/>
        <v>#REF!</v>
      </c>
    </row>
    <row r="30" spans="2:18" x14ac:dyDescent="0.25">
      <c r="B30" s="185">
        <f t="shared" ca="1" si="15"/>
        <v>2032</v>
      </c>
      <c r="C30" s="102" t="str">
        <f t="shared" si="2"/>
        <v>R</v>
      </c>
      <c r="D30" s="104">
        <f t="shared" ca="1" si="3"/>
        <v>0.72627215988542349</v>
      </c>
      <c r="E30" s="104">
        <f t="shared" si="4"/>
        <v>1</v>
      </c>
      <c r="F30" s="103">
        <f t="shared" si="5"/>
        <v>0</v>
      </c>
      <c r="G30" s="103">
        <f t="shared" si="6"/>
        <v>0</v>
      </c>
      <c r="H30" s="397" t="e">
        <f t="shared" ca="1" si="7"/>
        <v>#REF!</v>
      </c>
      <c r="I30" s="393" t="e">
        <f t="shared" ca="1" si="8"/>
        <v>#REF!</v>
      </c>
      <c r="J30" s="394" t="e">
        <f t="shared" ca="1" si="9"/>
        <v>#REF!</v>
      </c>
      <c r="K30" s="394" t="e">
        <f t="shared" ca="1" si="10"/>
        <v>#REF!</v>
      </c>
      <c r="L30" s="394" t="e">
        <f t="shared" ca="1" si="11"/>
        <v>#REF!</v>
      </c>
      <c r="M30" s="394" t="e">
        <f t="shared" ca="1" si="16"/>
        <v>#REF!</v>
      </c>
      <c r="N30" s="394" t="e">
        <f t="shared" ca="1" si="17"/>
        <v>#REF!</v>
      </c>
      <c r="O30" s="394" t="e">
        <f t="shared" ca="1" si="12"/>
        <v>#REF!</v>
      </c>
      <c r="P30" s="394" t="e">
        <f t="shared" ca="1" si="13"/>
        <v>#REF!</v>
      </c>
      <c r="Q30" s="394" t="e">
        <f t="shared" ca="1" si="14"/>
        <v>#VALUE!</v>
      </c>
      <c r="R30" s="396" t="e">
        <f t="shared" ca="1" si="18"/>
        <v>#REF!</v>
      </c>
    </row>
    <row r="31" spans="2:18" x14ac:dyDescent="0.25">
      <c r="B31" s="420">
        <f t="shared" ca="1" si="15"/>
        <v>2032</v>
      </c>
      <c r="C31" s="421" t="str">
        <f t="shared" si="2"/>
        <v>N</v>
      </c>
      <c r="D31" s="105">
        <f t="shared" si="3"/>
        <v>1</v>
      </c>
      <c r="E31" s="105">
        <f t="shared" ca="1" si="4"/>
        <v>0.72627215988542349</v>
      </c>
      <c r="F31" s="77">
        <f t="shared" si="5"/>
        <v>0</v>
      </c>
      <c r="G31" s="77">
        <f t="shared" si="6"/>
        <v>0</v>
      </c>
      <c r="H31" s="327" t="e">
        <f t="shared" ca="1" si="7"/>
        <v>#REF!</v>
      </c>
      <c r="I31" s="427" t="e">
        <f t="shared" ca="1" si="8"/>
        <v>#REF!</v>
      </c>
      <c r="J31" s="284" t="e">
        <f t="shared" ca="1" si="9"/>
        <v>#REF!</v>
      </c>
      <c r="K31" s="284" t="e">
        <f t="shared" ca="1" si="10"/>
        <v>#REF!</v>
      </c>
      <c r="L31" s="284" t="e">
        <f t="shared" ca="1" si="11"/>
        <v>#REF!</v>
      </c>
      <c r="M31" s="284" t="e">
        <f t="shared" ca="1" si="16"/>
        <v>#REF!</v>
      </c>
      <c r="N31" s="284" t="e">
        <f t="shared" ca="1" si="17"/>
        <v>#REF!</v>
      </c>
      <c r="O31" s="284" t="e">
        <f t="shared" ca="1" si="12"/>
        <v>#REF!</v>
      </c>
      <c r="P31" s="284" t="e">
        <f t="shared" ca="1" si="13"/>
        <v>#REF!</v>
      </c>
      <c r="Q31" s="284" t="e">
        <f t="shared" ca="1" si="14"/>
        <v>#VALUE!</v>
      </c>
      <c r="R31" s="426" t="e">
        <f t="shared" ca="1" si="18"/>
        <v>#REF!</v>
      </c>
    </row>
    <row r="32" spans="2:18" x14ac:dyDescent="0.25">
      <c r="B32" s="185">
        <f t="shared" ca="1" si="15"/>
        <v>2033</v>
      </c>
      <c r="C32" s="102" t="str">
        <f t="shared" si="2"/>
        <v>R</v>
      </c>
      <c r="D32" s="104">
        <f t="shared" ca="1" si="3"/>
        <v>0.70341129286723825</v>
      </c>
      <c r="E32" s="104">
        <f t="shared" si="4"/>
        <v>1</v>
      </c>
      <c r="F32" s="103">
        <f t="shared" si="5"/>
        <v>0</v>
      </c>
      <c r="G32" s="103">
        <f t="shared" si="6"/>
        <v>0</v>
      </c>
      <c r="H32" s="397" t="e">
        <f t="shared" ca="1" si="7"/>
        <v>#REF!</v>
      </c>
      <c r="I32" s="393" t="e">
        <f t="shared" ca="1" si="8"/>
        <v>#REF!</v>
      </c>
      <c r="J32" s="394" t="e">
        <f t="shared" ca="1" si="9"/>
        <v>#REF!</v>
      </c>
      <c r="K32" s="394" t="e">
        <f t="shared" ca="1" si="10"/>
        <v>#REF!</v>
      </c>
      <c r="L32" s="394" t="e">
        <f t="shared" ca="1" si="11"/>
        <v>#REF!</v>
      </c>
      <c r="M32" s="394" t="e">
        <f t="shared" ca="1" si="16"/>
        <v>#REF!</v>
      </c>
      <c r="N32" s="394" t="e">
        <f t="shared" ca="1" si="17"/>
        <v>#REF!</v>
      </c>
      <c r="O32" s="394" t="e">
        <f t="shared" ca="1" si="12"/>
        <v>#REF!</v>
      </c>
      <c r="P32" s="394" t="e">
        <f t="shared" ca="1" si="13"/>
        <v>#REF!</v>
      </c>
      <c r="Q32" s="394" t="e">
        <f t="shared" ca="1" si="14"/>
        <v>#VALUE!</v>
      </c>
      <c r="R32" s="396" t="e">
        <f t="shared" ca="1" si="18"/>
        <v>#REF!</v>
      </c>
    </row>
    <row r="33" spans="2:18" x14ac:dyDescent="0.25">
      <c r="B33" s="420">
        <f t="shared" ca="1" si="15"/>
        <v>2033</v>
      </c>
      <c r="C33" s="421" t="str">
        <f t="shared" si="2"/>
        <v>N</v>
      </c>
      <c r="D33" s="105">
        <f t="shared" si="3"/>
        <v>1</v>
      </c>
      <c r="E33" s="105">
        <f t="shared" ca="1" si="4"/>
        <v>0.70341129286723825</v>
      </c>
      <c r="F33" s="77">
        <f t="shared" si="5"/>
        <v>0</v>
      </c>
      <c r="G33" s="77">
        <f t="shared" si="6"/>
        <v>0</v>
      </c>
      <c r="H33" s="327" t="e">
        <f t="shared" ca="1" si="7"/>
        <v>#REF!</v>
      </c>
      <c r="I33" s="427" t="e">
        <f t="shared" ca="1" si="8"/>
        <v>#REF!</v>
      </c>
      <c r="J33" s="284" t="e">
        <f t="shared" ca="1" si="9"/>
        <v>#REF!</v>
      </c>
      <c r="K33" s="284" t="e">
        <f t="shared" ca="1" si="10"/>
        <v>#REF!</v>
      </c>
      <c r="L33" s="284" t="e">
        <f t="shared" ca="1" si="11"/>
        <v>#REF!</v>
      </c>
      <c r="M33" s="284" t="e">
        <f t="shared" ca="1" si="16"/>
        <v>#REF!</v>
      </c>
      <c r="N33" s="284" t="e">
        <f t="shared" ca="1" si="17"/>
        <v>#REF!</v>
      </c>
      <c r="O33" s="284" t="e">
        <f t="shared" ca="1" si="12"/>
        <v>#REF!</v>
      </c>
      <c r="P33" s="284" t="e">
        <f t="shared" ca="1" si="13"/>
        <v>#REF!</v>
      </c>
      <c r="Q33" s="284" t="e">
        <f t="shared" ca="1" si="14"/>
        <v>#VALUE!</v>
      </c>
      <c r="R33" s="426" t="e">
        <f t="shared" ca="1" si="18"/>
        <v>#REF!</v>
      </c>
    </row>
    <row r="34" spans="2:18" x14ac:dyDescent="0.25">
      <c r="B34" s="185">
        <f t="shared" ca="1" si="15"/>
        <v>2034</v>
      </c>
      <c r="C34" s="102" t="str">
        <f t="shared" si="2"/>
        <v>R</v>
      </c>
      <c r="D34" s="104">
        <f t="shared" ca="1" si="3"/>
        <v>0.68127001730483117</v>
      </c>
      <c r="E34" s="104">
        <f t="shared" si="4"/>
        <v>1</v>
      </c>
      <c r="F34" s="103">
        <f t="shared" si="5"/>
        <v>0</v>
      </c>
      <c r="G34" s="103">
        <f t="shared" si="6"/>
        <v>0</v>
      </c>
      <c r="H34" s="397" t="e">
        <f t="shared" ca="1" si="7"/>
        <v>#REF!</v>
      </c>
      <c r="I34" s="393" t="e">
        <f t="shared" ca="1" si="8"/>
        <v>#REF!</v>
      </c>
      <c r="J34" s="394" t="e">
        <f t="shared" ca="1" si="9"/>
        <v>#REF!</v>
      </c>
      <c r="K34" s="394" t="e">
        <f t="shared" ca="1" si="10"/>
        <v>#REF!</v>
      </c>
      <c r="L34" s="394" t="e">
        <f t="shared" ca="1" si="11"/>
        <v>#REF!</v>
      </c>
      <c r="M34" s="394" t="e">
        <f t="shared" ca="1" si="16"/>
        <v>#REF!</v>
      </c>
      <c r="N34" s="394" t="e">
        <f t="shared" ca="1" si="17"/>
        <v>#REF!</v>
      </c>
      <c r="O34" s="394" t="e">
        <f t="shared" ca="1" si="12"/>
        <v>#REF!</v>
      </c>
      <c r="P34" s="394" t="e">
        <f t="shared" ca="1" si="13"/>
        <v>#REF!</v>
      </c>
      <c r="Q34" s="394" t="e">
        <f t="shared" ca="1" si="14"/>
        <v>#VALUE!</v>
      </c>
      <c r="R34" s="396" t="e">
        <f t="shared" ca="1" si="18"/>
        <v>#REF!</v>
      </c>
    </row>
    <row r="35" spans="2:18" x14ac:dyDescent="0.25">
      <c r="B35" s="420">
        <f t="shared" ca="1" si="15"/>
        <v>2034</v>
      </c>
      <c r="C35" s="421" t="str">
        <f t="shared" si="2"/>
        <v>N</v>
      </c>
      <c r="D35" s="105">
        <f t="shared" si="3"/>
        <v>1</v>
      </c>
      <c r="E35" s="105">
        <f t="shared" ca="1" si="4"/>
        <v>0.68127001730483117</v>
      </c>
      <c r="F35" s="77">
        <f t="shared" si="5"/>
        <v>0</v>
      </c>
      <c r="G35" s="77">
        <f t="shared" si="6"/>
        <v>0</v>
      </c>
      <c r="H35" s="327" t="e">
        <f t="shared" ca="1" si="7"/>
        <v>#REF!</v>
      </c>
      <c r="I35" s="427" t="e">
        <f t="shared" ca="1" si="8"/>
        <v>#REF!</v>
      </c>
      <c r="J35" s="284" t="e">
        <f t="shared" ca="1" si="9"/>
        <v>#REF!</v>
      </c>
      <c r="K35" s="284" t="e">
        <f t="shared" ca="1" si="10"/>
        <v>#REF!</v>
      </c>
      <c r="L35" s="284" t="e">
        <f t="shared" ca="1" si="11"/>
        <v>#REF!</v>
      </c>
      <c r="M35" s="284" t="e">
        <f t="shared" ca="1" si="16"/>
        <v>#REF!</v>
      </c>
      <c r="N35" s="284" t="e">
        <f t="shared" ca="1" si="17"/>
        <v>#REF!</v>
      </c>
      <c r="O35" s="284" t="e">
        <f t="shared" ca="1" si="12"/>
        <v>#REF!</v>
      </c>
      <c r="P35" s="284" t="e">
        <f t="shared" ca="1" si="13"/>
        <v>#REF!</v>
      </c>
      <c r="Q35" s="284" t="e">
        <f t="shared" ca="1" si="14"/>
        <v>#VALUE!</v>
      </c>
      <c r="R35" s="426" t="e">
        <f t="shared" ca="1" si="18"/>
        <v>#REF!</v>
      </c>
    </row>
    <row r="36" spans="2:18" x14ac:dyDescent="0.25">
      <c r="B36" s="185">
        <f t="shared" ca="1" si="15"/>
        <v>2035</v>
      </c>
      <c r="C36" s="102" t="str">
        <f t="shared" si="2"/>
        <v>R</v>
      </c>
      <c r="D36" s="104">
        <f t="shared" ca="1" si="3"/>
        <v>0.6598256826196911</v>
      </c>
      <c r="E36" s="104">
        <f t="shared" si="4"/>
        <v>1</v>
      </c>
      <c r="F36" s="103">
        <f t="shared" si="5"/>
        <v>0</v>
      </c>
      <c r="G36" s="103">
        <f t="shared" si="6"/>
        <v>0</v>
      </c>
      <c r="H36" s="397" t="e">
        <f t="shared" ca="1" si="7"/>
        <v>#REF!</v>
      </c>
      <c r="I36" s="393" t="e">
        <f t="shared" ca="1" si="8"/>
        <v>#REF!</v>
      </c>
      <c r="J36" s="394" t="e">
        <f t="shared" ca="1" si="9"/>
        <v>#REF!</v>
      </c>
      <c r="K36" s="394" t="e">
        <f t="shared" ca="1" si="10"/>
        <v>#REF!</v>
      </c>
      <c r="L36" s="394" t="e">
        <f t="shared" ca="1" si="11"/>
        <v>#REF!</v>
      </c>
      <c r="M36" s="394" t="e">
        <f t="shared" ca="1" si="16"/>
        <v>#REF!</v>
      </c>
      <c r="N36" s="394" t="e">
        <f t="shared" ca="1" si="17"/>
        <v>#REF!</v>
      </c>
      <c r="O36" s="394" t="e">
        <f t="shared" ca="1" si="12"/>
        <v>#REF!</v>
      </c>
      <c r="P36" s="394" t="e">
        <f t="shared" ca="1" si="13"/>
        <v>#REF!</v>
      </c>
      <c r="Q36" s="394" t="e">
        <f t="shared" ca="1" si="14"/>
        <v>#VALUE!</v>
      </c>
      <c r="R36" s="396" t="e">
        <f t="shared" ca="1" si="18"/>
        <v>#REF!</v>
      </c>
    </row>
    <row r="37" spans="2:18" x14ac:dyDescent="0.25">
      <c r="B37" s="420">
        <f t="shared" ca="1" si="15"/>
        <v>2035</v>
      </c>
      <c r="C37" s="421" t="str">
        <f t="shared" si="2"/>
        <v>N</v>
      </c>
      <c r="D37" s="105">
        <f t="shared" si="3"/>
        <v>1</v>
      </c>
      <c r="E37" s="105">
        <f t="shared" ca="1" si="4"/>
        <v>0.6598256826196911</v>
      </c>
      <c r="F37" s="77">
        <f t="shared" si="5"/>
        <v>0</v>
      </c>
      <c r="G37" s="77">
        <f t="shared" si="6"/>
        <v>0</v>
      </c>
      <c r="H37" s="327" t="e">
        <f t="shared" ca="1" si="7"/>
        <v>#REF!</v>
      </c>
      <c r="I37" s="427" t="e">
        <f t="shared" ca="1" si="8"/>
        <v>#REF!</v>
      </c>
      <c r="J37" s="284" t="e">
        <f t="shared" ca="1" si="9"/>
        <v>#REF!</v>
      </c>
      <c r="K37" s="284" t="e">
        <f t="shared" ca="1" si="10"/>
        <v>#REF!</v>
      </c>
      <c r="L37" s="284" t="e">
        <f t="shared" ca="1" si="11"/>
        <v>#REF!</v>
      </c>
      <c r="M37" s="284" t="e">
        <f t="shared" ca="1" si="16"/>
        <v>#REF!</v>
      </c>
      <c r="N37" s="284" t="e">
        <f t="shared" ca="1" si="17"/>
        <v>#REF!</v>
      </c>
      <c r="O37" s="284" t="e">
        <f t="shared" ca="1" si="12"/>
        <v>#REF!</v>
      </c>
      <c r="P37" s="284" t="e">
        <f t="shared" ca="1" si="13"/>
        <v>#REF!</v>
      </c>
      <c r="Q37" s="284" t="e">
        <f t="shared" ca="1" si="14"/>
        <v>#VALUE!</v>
      </c>
      <c r="R37" s="426" t="e">
        <f t="shared" ca="1" si="18"/>
        <v>#REF!</v>
      </c>
    </row>
    <row r="38" spans="2:18" x14ac:dyDescent="0.25">
      <c r="B38" s="185">
        <f t="shared" ca="1" si="15"/>
        <v>2036</v>
      </c>
      <c r="C38" s="102" t="str">
        <f t="shared" si="2"/>
        <v>R</v>
      </c>
      <c r="D38" s="104">
        <f t="shared" ca="1" si="3"/>
        <v>0.63905635120551196</v>
      </c>
      <c r="E38" s="104">
        <f t="shared" si="4"/>
        <v>1</v>
      </c>
      <c r="F38" s="103">
        <f t="shared" si="5"/>
        <v>0</v>
      </c>
      <c r="G38" s="103">
        <f t="shared" si="6"/>
        <v>0</v>
      </c>
      <c r="H38" s="397" t="e">
        <f t="shared" ca="1" si="7"/>
        <v>#REF!</v>
      </c>
      <c r="I38" s="393" t="e">
        <f t="shared" ca="1" si="8"/>
        <v>#REF!</v>
      </c>
      <c r="J38" s="394" t="e">
        <f t="shared" ca="1" si="9"/>
        <v>#REF!</v>
      </c>
      <c r="K38" s="394" t="e">
        <f t="shared" ca="1" si="10"/>
        <v>#REF!</v>
      </c>
      <c r="L38" s="394" t="e">
        <f t="shared" ca="1" si="11"/>
        <v>#REF!</v>
      </c>
      <c r="M38" s="394" t="e">
        <f t="shared" ca="1" si="16"/>
        <v>#REF!</v>
      </c>
      <c r="N38" s="394" t="e">
        <f t="shared" ca="1" si="17"/>
        <v>#REF!</v>
      </c>
      <c r="O38" s="394" t="e">
        <f t="shared" ca="1" si="12"/>
        <v>#REF!</v>
      </c>
      <c r="P38" s="394" t="e">
        <f t="shared" ca="1" si="13"/>
        <v>#REF!</v>
      </c>
      <c r="Q38" s="394" t="e">
        <f t="shared" ca="1" si="14"/>
        <v>#VALUE!</v>
      </c>
      <c r="R38" s="396" t="e">
        <f t="shared" ca="1" si="18"/>
        <v>#REF!</v>
      </c>
    </row>
    <row r="39" spans="2:18" x14ac:dyDescent="0.25">
      <c r="B39" s="420">
        <f t="shared" ca="1" si="15"/>
        <v>2036</v>
      </c>
      <c r="C39" s="421" t="str">
        <f t="shared" si="2"/>
        <v>N</v>
      </c>
      <c r="D39" s="105">
        <f t="shared" si="3"/>
        <v>1</v>
      </c>
      <c r="E39" s="105">
        <f t="shared" ca="1" si="4"/>
        <v>0.63905635120551196</v>
      </c>
      <c r="F39" s="77">
        <f t="shared" si="5"/>
        <v>0</v>
      </c>
      <c r="G39" s="77">
        <f t="shared" si="6"/>
        <v>0</v>
      </c>
      <c r="H39" s="327" t="e">
        <f t="shared" ca="1" si="7"/>
        <v>#REF!</v>
      </c>
      <c r="I39" s="427" t="e">
        <f t="shared" ca="1" si="8"/>
        <v>#REF!</v>
      </c>
      <c r="J39" s="284" t="e">
        <f t="shared" ca="1" si="9"/>
        <v>#REF!</v>
      </c>
      <c r="K39" s="284" t="e">
        <f t="shared" ca="1" si="10"/>
        <v>#REF!</v>
      </c>
      <c r="L39" s="284" t="e">
        <f t="shared" ca="1" si="11"/>
        <v>#REF!</v>
      </c>
      <c r="M39" s="284" t="e">
        <f t="shared" ca="1" si="16"/>
        <v>#REF!</v>
      </c>
      <c r="N39" s="284" t="e">
        <f t="shared" ca="1" si="17"/>
        <v>#REF!</v>
      </c>
      <c r="O39" s="284" t="e">
        <f t="shared" ca="1" si="12"/>
        <v>#REF!</v>
      </c>
      <c r="P39" s="284" t="e">
        <f t="shared" ca="1" si="13"/>
        <v>#REF!</v>
      </c>
      <c r="Q39" s="284" t="e">
        <f t="shared" ca="1" si="14"/>
        <v>#VALUE!</v>
      </c>
      <c r="R39" s="426" t="e">
        <f t="shared" ca="1" si="18"/>
        <v>#REF!</v>
      </c>
    </row>
    <row r="40" spans="2:18" x14ac:dyDescent="0.25">
      <c r="B40" s="185">
        <f t="shared" ca="1" si="15"/>
        <v>2037</v>
      </c>
      <c r="C40" s="102" t="str">
        <f t="shared" si="2"/>
        <v>R</v>
      </c>
      <c r="D40" s="104">
        <f t="shared" ca="1" si="3"/>
        <v>0.61894077598596808</v>
      </c>
      <c r="E40" s="104">
        <f t="shared" si="4"/>
        <v>1</v>
      </c>
      <c r="F40" s="103">
        <f t="shared" si="5"/>
        <v>0</v>
      </c>
      <c r="G40" s="103">
        <f t="shared" si="6"/>
        <v>0</v>
      </c>
      <c r="H40" s="397" t="e">
        <f t="shared" ca="1" si="7"/>
        <v>#REF!</v>
      </c>
      <c r="I40" s="393" t="e">
        <f t="shared" ca="1" si="8"/>
        <v>#REF!</v>
      </c>
      <c r="J40" s="394" t="e">
        <f t="shared" ca="1" si="9"/>
        <v>#REF!</v>
      </c>
      <c r="K40" s="394" t="e">
        <f t="shared" ca="1" si="10"/>
        <v>#REF!</v>
      </c>
      <c r="L40" s="394" t="e">
        <f t="shared" ca="1" si="11"/>
        <v>#REF!</v>
      </c>
      <c r="M40" s="394" t="e">
        <f t="shared" ca="1" si="16"/>
        <v>#REF!</v>
      </c>
      <c r="N40" s="394" t="e">
        <f t="shared" ca="1" si="17"/>
        <v>#REF!</v>
      </c>
      <c r="O40" s="394" t="e">
        <f t="shared" ca="1" si="12"/>
        <v>#REF!</v>
      </c>
      <c r="P40" s="394" t="e">
        <f t="shared" ca="1" si="13"/>
        <v>#REF!</v>
      </c>
      <c r="Q40" s="394" t="e">
        <f t="shared" ca="1" si="14"/>
        <v>#VALUE!</v>
      </c>
      <c r="R40" s="396" t="e">
        <f t="shared" ca="1" si="18"/>
        <v>#REF!</v>
      </c>
    </row>
    <row r="41" spans="2:18" x14ac:dyDescent="0.25">
      <c r="B41" s="420">
        <f t="shared" ca="1" si="15"/>
        <v>2037</v>
      </c>
      <c r="C41" s="421" t="str">
        <f t="shared" si="2"/>
        <v>N</v>
      </c>
      <c r="D41" s="105">
        <f t="shared" si="3"/>
        <v>1</v>
      </c>
      <c r="E41" s="105">
        <f t="shared" ca="1" si="4"/>
        <v>0.61894077598596808</v>
      </c>
      <c r="F41" s="77">
        <f t="shared" si="5"/>
        <v>0</v>
      </c>
      <c r="G41" s="77">
        <f t="shared" si="6"/>
        <v>0</v>
      </c>
      <c r="H41" s="327" t="e">
        <f t="shared" ca="1" si="7"/>
        <v>#REF!</v>
      </c>
      <c r="I41" s="427" t="e">
        <f t="shared" ca="1" si="8"/>
        <v>#REF!</v>
      </c>
      <c r="J41" s="284" t="e">
        <f t="shared" ca="1" si="9"/>
        <v>#REF!</v>
      </c>
      <c r="K41" s="284" t="e">
        <f t="shared" ca="1" si="10"/>
        <v>#REF!</v>
      </c>
      <c r="L41" s="284" t="e">
        <f t="shared" ca="1" si="11"/>
        <v>#REF!</v>
      </c>
      <c r="M41" s="284" t="e">
        <f t="shared" ca="1" si="16"/>
        <v>#REF!</v>
      </c>
      <c r="N41" s="284" t="e">
        <f t="shared" ca="1" si="17"/>
        <v>#REF!</v>
      </c>
      <c r="O41" s="284" t="e">
        <f t="shared" ca="1" si="12"/>
        <v>#REF!</v>
      </c>
      <c r="P41" s="284" t="e">
        <f t="shared" ca="1" si="13"/>
        <v>#REF!</v>
      </c>
      <c r="Q41" s="284" t="e">
        <f t="shared" ca="1" si="14"/>
        <v>#VALUE!</v>
      </c>
      <c r="R41" s="426" t="e">
        <f t="shared" ca="1" si="18"/>
        <v>#REF!</v>
      </c>
    </row>
    <row r="42" spans="2:18" x14ac:dyDescent="0.25">
      <c r="B42" s="185">
        <f t="shared" ca="1" si="15"/>
        <v>2038</v>
      </c>
      <c r="C42" s="102" t="str">
        <f t="shared" si="2"/>
        <v>R</v>
      </c>
      <c r="D42" s="104">
        <f t="shared" ca="1" si="3"/>
        <v>0.59945837867890361</v>
      </c>
      <c r="E42" s="104">
        <f t="shared" ref="E42:E73" si="19">CHOOSE(MOD(ROW(),2)+1,1,INDEX(SC_EA_InflationCPIdx,EAIDX))</f>
        <v>1</v>
      </c>
      <c r="F42" s="103">
        <f t="shared" si="5"/>
        <v>0</v>
      </c>
      <c r="G42" s="103">
        <f t="shared" si="6"/>
        <v>0</v>
      </c>
      <c r="H42" s="397" t="e">
        <f t="shared" ref="H42:H73" ca="1" si="20">AVERAGE(OFFSET(SC_ZX_EffectiveTaxRateA,ZXIDX1-1,0,(SC_YearStop-$B42)*2))</f>
        <v>#REF!</v>
      </c>
      <c r="I42" s="393" t="e">
        <f t="shared" ref="I42:I73" ca="1" si="21">INDEX(SC_ZX_BalanceBTA,ZXIDX1)*$D42</f>
        <v>#REF!</v>
      </c>
      <c r="J42" s="394" t="e">
        <f t="shared" ref="J42:J73" ca="1" si="22">INDEX(SC_ZX_BalanceATA,ZXIDX1)*$D42</f>
        <v>#REF!</v>
      </c>
      <c r="K42" s="394" t="e">
        <f t="shared" ref="K42:K73" ca="1" si="23">INDEX(SC_ZA_AnnyBalanceBT,ZAIDX)*$D42</f>
        <v>#REF!</v>
      </c>
      <c r="L42" s="394" t="e">
        <f t="shared" ref="L42:L73" ca="1" si="24">INDEX(SC_ZA_AnnyBalanceAT,ZAIDX)*$D42</f>
        <v>#REF!</v>
      </c>
      <c r="M42" s="394" t="e">
        <f t="shared" ca="1" si="16"/>
        <v>#REF!</v>
      </c>
      <c r="N42" s="394" t="e">
        <f t="shared" ca="1" si="17"/>
        <v>#REF!</v>
      </c>
      <c r="O42" s="394" t="e">
        <f t="shared" ref="O42:O73" ca="1" si="25">INDEX(SC_ZX_SSPVA,ZXIDX1)*$D42*(1-$H42)</f>
        <v>#REF!</v>
      </c>
      <c r="P42" s="394" t="e">
        <f t="shared" ref="P42:P73" ca="1" si="26">((INDEX(SC_ZA_HomeEquity,ZAIDX)*(1-LT_RealtorFees))+SP_OtherAssets/INDEX(SC_EA_InflationCPIdx,EAIDX))*$D42</f>
        <v>#REF!</v>
      </c>
      <c r="Q42" s="394" t="e">
        <f t="shared" ca="1" si="14"/>
        <v>#VALUE!</v>
      </c>
      <c r="R42" s="396" t="e">
        <f t="shared" ca="1" si="18"/>
        <v>#REF!</v>
      </c>
    </row>
    <row r="43" spans="2:18" x14ac:dyDescent="0.25">
      <c r="B43" s="420">
        <f t="shared" ca="1" si="15"/>
        <v>2038</v>
      </c>
      <c r="C43" s="421" t="str">
        <f t="shared" si="2"/>
        <v>N</v>
      </c>
      <c r="D43" s="105">
        <f t="shared" si="3"/>
        <v>1</v>
      </c>
      <c r="E43" s="105">
        <f t="shared" ca="1" si="19"/>
        <v>0.59945837867890361</v>
      </c>
      <c r="F43" s="77">
        <f t="shared" si="5"/>
        <v>0</v>
      </c>
      <c r="G43" s="77">
        <f t="shared" si="6"/>
        <v>0</v>
      </c>
      <c r="H43" s="327" t="e">
        <f t="shared" ca="1" si="20"/>
        <v>#REF!</v>
      </c>
      <c r="I43" s="427" t="e">
        <f t="shared" ca="1" si="21"/>
        <v>#REF!</v>
      </c>
      <c r="J43" s="284" t="e">
        <f t="shared" ca="1" si="22"/>
        <v>#REF!</v>
      </c>
      <c r="K43" s="284" t="e">
        <f t="shared" ca="1" si="23"/>
        <v>#REF!</v>
      </c>
      <c r="L43" s="284" t="e">
        <f t="shared" ca="1" si="24"/>
        <v>#REF!</v>
      </c>
      <c r="M43" s="284" t="e">
        <f t="shared" ca="1" si="16"/>
        <v>#REF!</v>
      </c>
      <c r="N43" s="284" t="e">
        <f t="shared" ca="1" si="17"/>
        <v>#REF!</v>
      </c>
      <c r="O43" s="284" t="e">
        <f t="shared" ca="1" si="25"/>
        <v>#REF!</v>
      </c>
      <c r="P43" s="284" t="e">
        <f t="shared" ca="1" si="26"/>
        <v>#REF!</v>
      </c>
      <c r="Q43" s="284" t="e">
        <f t="shared" ca="1" si="14"/>
        <v>#VALUE!</v>
      </c>
      <c r="R43" s="426" t="e">
        <f t="shared" ca="1" si="18"/>
        <v>#REF!</v>
      </c>
    </row>
    <row r="44" spans="2:18" x14ac:dyDescent="0.25">
      <c r="B44" s="185">
        <f t="shared" ca="1" si="15"/>
        <v>2039</v>
      </c>
      <c r="C44" s="102" t="str">
        <f t="shared" si="2"/>
        <v>R</v>
      </c>
      <c r="D44" s="104">
        <f t="shared" ca="1" si="3"/>
        <v>0.58058922874470087</v>
      </c>
      <c r="E44" s="104">
        <f t="shared" si="19"/>
        <v>1</v>
      </c>
      <c r="F44" s="103">
        <f t="shared" si="5"/>
        <v>0</v>
      </c>
      <c r="G44" s="103">
        <f t="shared" si="6"/>
        <v>0</v>
      </c>
      <c r="H44" s="397" t="e">
        <f t="shared" ca="1" si="20"/>
        <v>#REF!</v>
      </c>
      <c r="I44" s="393" t="e">
        <f t="shared" ca="1" si="21"/>
        <v>#REF!</v>
      </c>
      <c r="J44" s="394" t="e">
        <f t="shared" ca="1" si="22"/>
        <v>#REF!</v>
      </c>
      <c r="K44" s="394" t="e">
        <f t="shared" ca="1" si="23"/>
        <v>#REF!</v>
      </c>
      <c r="L44" s="394" t="e">
        <f t="shared" ca="1" si="24"/>
        <v>#REF!</v>
      </c>
      <c r="M44" s="394" t="e">
        <f t="shared" ca="1" si="16"/>
        <v>#REF!</v>
      </c>
      <c r="N44" s="394" t="e">
        <f t="shared" ca="1" si="17"/>
        <v>#REF!</v>
      </c>
      <c r="O44" s="394" t="e">
        <f t="shared" ca="1" si="25"/>
        <v>#REF!</v>
      </c>
      <c r="P44" s="394" t="e">
        <f t="shared" ca="1" si="26"/>
        <v>#REF!</v>
      </c>
      <c r="Q44" s="394" t="e">
        <f t="shared" ca="1" si="14"/>
        <v>#VALUE!</v>
      </c>
      <c r="R44" s="396" t="e">
        <f t="shared" ca="1" si="18"/>
        <v>#REF!</v>
      </c>
    </row>
    <row r="45" spans="2:18" x14ac:dyDescent="0.25">
      <c r="B45" s="420">
        <f t="shared" ca="1" si="15"/>
        <v>2039</v>
      </c>
      <c r="C45" s="421" t="str">
        <f t="shared" si="2"/>
        <v>N</v>
      </c>
      <c r="D45" s="105">
        <f t="shared" si="3"/>
        <v>1</v>
      </c>
      <c r="E45" s="105">
        <f t="shared" ca="1" si="19"/>
        <v>0.58058922874470087</v>
      </c>
      <c r="F45" s="77">
        <f t="shared" si="5"/>
        <v>0</v>
      </c>
      <c r="G45" s="77">
        <f t="shared" si="6"/>
        <v>0</v>
      </c>
      <c r="H45" s="327" t="e">
        <f t="shared" ca="1" si="20"/>
        <v>#REF!</v>
      </c>
      <c r="I45" s="427" t="e">
        <f t="shared" ca="1" si="21"/>
        <v>#REF!</v>
      </c>
      <c r="J45" s="284" t="e">
        <f t="shared" ca="1" si="22"/>
        <v>#REF!</v>
      </c>
      <c r="K45" s="284" t="e">
        <f t="shared" ca="1" si="23"/>
        <v>#REF!</v>
      </c>
      <c r="L45" s="284" t="e">
        <f t="shared" ca="1" si="24"/>
        <v>#REF!</v>
      </c>
      <c r="M45" s="284" t="e">
        <f t="shared" ca="1" si="16"/>
        <v>#REF!</v>
      </c>
      <c r="N45" s="284" t="e">
        <f t="shared" ca="1" si="17"/>
        <v>#REF!</v>
      </c>
      <c r="O45" s="284" t="e">
        <f t="shared" ca="1" si="25"/>
        <v>#REF!</v>
      </c>
      <c r="P45" s="284" t="e">
        <f t="shared" ca="1" si="26"/>
        <v>#REF!</v>
      </c>
      <c r="Q45" s="284" t="e">
        <f t="shared" ca="1" si="14"/>
        <v>#VALUE!</v>
      </c>
      <c r="R45" s="426" t="e">
        <f t="shared" ca="1" si="18"/>
        <v>#REF!</v>
      </c>
    </row>
    <row r="46" spans="2:18" x14ac:dyDescent="0.25">
      <c r="B46" s="185">
        <f t="shared" ca="1" si="15"/>
        <v>2040</v>
      </c>
      <c r="C46" s="102" t="str">
        <f t="shared" si="2"/>
        <v>R</v>
      </c>
      <c r="D46" s="104">
        <f t="shared" ca="1" si="3"/>
        <v>0.56231402299728894</v>
      </c>
      <c r="E46" s="104">
        <f t="shared" si="19"/>
        <v>1</v>
      </c>
      <c r="F46" s="103">
        <f t="shared" si="5"/>
        <v>0</v>
      </c>
      <c r="G46" s="103">
        <f t="shared" si="6"/>
        <v>0</v>
      </c>
      <c r="H46" s="397" t="e">
        <f t="shared" ca="1" si="20"/>
        <v>#REF!</v>
      </c>
      <c r="I46" s="393" t="e">
        <f t="shared" ca="1" si="21"/>
        <v>#REF!</v>
      </c>
      <c r="J46" s="394" t="e">
        <f t="shared" ca="1" si="22"/>
        <v>#REF!</v>
      </c>
      <c r="K46" s="394" t="e">
        <f t="shared" ca="1" si="23"/>
        <v>#REF!</v>
      </c>
      <c r="L46" s="394" t="e">
        <f t="shared" ca="1" si="24"/>
        <v>#REF!</v>
      </c>
      <c r="M46" s="394" t="e">
        <f t="shared" ca="1" si="16"/>
        <v>#REF!</v>
      </c>
      <c r="N46" s="394" t="e">
        <f t="shared" ca="1" si="17"/>
        <v>#REF!</v>
      </c>
      <c r="O46" s="394" t="e">
        <f t="shared" ca="1" si="25"/>
        <v>#REF!</v>
      </c>
      <c r="P46" s="394" t="e">
        <f t="shared" ca="1" si="26"/>
        <v>#REF!</v>
      </c>
      <c r="Q46" s="394" t="e">
        <f t="shared" ca="1" si="14"/>
        <v>#VALUE!</v>
      </c>
      <c r="R46" s="396" t="e">
        <f t="shared" ca="1" si="18"/>
        <v>#REF!</v>
      </c>
    </row>
    <row r="47" spans="2:18" x14ac:dyDescent="0.25">
      <c r="B47" s="420">
        <f t="shared" ca="1" si="15"/>
        <v>2040</v>
      </c>
      <c r="C47" s="421" t="str">
        <f t="shared" si="2"/>
        <v>N</v>
      </c>
      <c r="D47" s="105">
        <f t="shared" si="3"/>
        <v>1</v>
      </c>
      <c r="E47" s="105">
        <f t="shared" ca="1" si="19"/>
        <v>0.56231402299728894</v>
      </c>
      <c r="F47" s="77">
        <f t="shared" si="5"/>
        <v>0</v>
      </c>
      <c r="G47" s="77">
        <f t="shared" si="6"/>
        <v>0</v>
      </c>
      <c r="H47" s="327" t="e">
        <f t="shared" ca="1" si="20"/>
        <v>#REF!</v>
      </c>
      <c r="I47" s="427" t="e">
        <f t="shared" ca="1" si="21"/>
        <v>#REF!</v>
      </c>
      <c r="J47" s="284" t="e">
        <f t="shared" ca="1" si="22"/>
        <v>#REF!</v>
      </c>
      <c r="K47" s="284" t="e">
        <f t="shared" ca="1" si="23"/>
        <v>#REF!</v>
      </c>
      <c r="L47" s="284" t="e">
        <f t="shared" ca="1" si="24"/>
        <v>#REF!</v>
      </c>
      <c r="M47" s="284" t="e">
        <f t="shared" ca="1" si="16"/>
        <v>#REF!</v>
      </c>
      <c r="N47" s="284" t="e">
        <f t="shared" ca="1" si="17"/>
        <v>#REF!</v>
      </c>
      <c r="O47" s="284" t="e">
        <f t="shared" ca="1" si="25"/>
        <v>#REF!</v>
      </c>
      <c r="P47" s="284" t="e">
        <f t="shared" ca="1" si="26"/>
        <v>#REF!</v>
      </c>
      <c r="Q47" s="284" t="e">
        <f t="shared" ca="1" si="14"/>
        <v>#VALUE!</v>
      </c>
      <c r="R47" s="426" t="e">
        <f t="shared" ca="1" si="18"/>
        <v>#REF!</v>
      </c>
    </row>
    <row r="48" spans="2:18" x14ac:dyDescent="0.25">
      <c r="B48" s="185">
        <f t="shared" ca="1" si="15"/>
        <v>2041</v>
      </c>
      <c r="C48" s="102" t="str">
        <f t="shared" si="2"/>
        <v>R</v>
      </c>
      <c r="D48" s="104">
        <f t="shared" ca="1" si="3"/>
        <v>0.5446140658569385</v>
      </c>
      <c r="E48" s="104">
        <f t="shared" si="19"/>
        <v>1</v>
      </c>
      <c r="F48" s="103">
        <f t="shared" si="5"/>
        <v>0</v>
      </c>
      <c r="G48" s="103">
        <f t="shared" si="6"/>
        <v>0</v>
      </c>
      <c r="H48" s="397" t="e">
        <f t="shared" ca="1" si="20"/>
        <v>#REF!</v>
      </c>
      <c r="I48" s="393" t="e">
        <f t="shared" ca="1" si="21"/>
        <v>#REF!</v>
      </c>
      <c r="J48" s="394" t="e">
        <f t="shared" ca="1" si="22"/>
        <v>#REF!</v>
      </c>
      <c r="K48" s="394" t="e">
        <f t="shared" ca="1" si="23"/>
        <v>#REF!</v>
      </c>
      <c r="L48" s="394" t="e">
        <f t="shared" ca="1" si="24"/>
        <v>#REF!</v>
      </c>
      <c r="M48" s="394" t="e">
        <f t="shared" ca="1" si="16"/>
        <v>#REF!</v>
      </c>
      <c r="N48" s="394" t="e">
        <f t="shared" ca="1" si="17"/>
        <v>#REF!</v>
      </c>
      <c r="O48" s="394" t="e">
        <f t="shared" ca="1" si="25"/>
        <v>#REF!</v>
      </c>
      <c r="P48" s="394" t="e">
        <f t="shared" ca="1" si="26"/>
        <v>#REF!</v>
      </c>
      <c r="Q48" s="394" t="e">
        <f t="shared" ca="1" si="14"/>
        <v>#VALUE!</v>
      </c>
      <c r="R48" s="396" t="e">
        <f t="shared" ca="1" si="18"/>
        <v>#REF!</v>
      </c>
    </row>
    <row r="49" spans="2:18" x14ac:dyDescent="0.25">
      <c r="B49" s="420">
        <f t="shared" ca="1" si="15"/>
        <v>2041</v>
      </c>
      <c r="C49" s="421" t="str">
        <f t="shared" si="2"/>
        <v>N</v>
      </c>
      <c r="D49" s="105">
        <f t="shared" si="3"/>
        <v>1</v>
      </c>
      <c r="E49" s="105">
        <f t="shared" ca="1" si="19"/>
        <v>0.5446140658569385</v>
      </c>
      <c r="F49" s="77">
        <f t="shared" si="5"/>
        <v>0</v>
      </c>
      <c r="G49" s="77">
        <f t="shared" si="6"/>
        <v>0</v>
      </c>
      <c r="H49" s="327" t="e">
        <f t="shared" ca="1" si="20"/>
        <v>#REF!</v>
      </c>
      <c r="I49" s="427" t="e">
        <f t="shared" ca="1" si="21"/>
        <v>#REF!</v>
      </c>
      <c r="J49" s="284" t="e">
        <f t="shared" ca="1" si="22"/>
        <v>#REF!</v>
      </c>
      <c r="K49" s="284" t="e">
        <f t="shared" ca="1" si="23"/>
        <v>#REF!</v>
      </c>
      <c r="L49" s="284" t="e">
        <f t="shared" ca="1" si="24"/>
        <v>#REF!</v>
      </c>
      <c r="M49" s="284" t="e">
        <f t="shared" ca="1" si="16"/>
        <v>#REF!</v>
      </c>
      <c r="N49" s="284" t="e">
        <f t="shared" ca="1" si="17"/>
        <v>#REF!</v>
      </c>
      <c r="O49" s="284" t="e">
        <f t="shared" ca="1" si="25"/>
        <v>#REF!</v>
      </c>
      <c r="P49" s="284" t="e">
        <f t="shared" ca="1" si="26"/>
        <v>#REF!</v>
      </c>
      <c r="Q49" s="284" t="e">
        <f t="shared" ca="1" si="14"/>
        <v>#VALUE!</v>
      </c>
      <c r="R49" s="426" t="e">
        <f t="shared" ca="1" si="18"/>
        <v>#REF!</v>
      </c>
    </row>
    <row r="50" spans="2:18" x14ac:dyDescent="0.25">
      <c r="B50" s="185">
        <f t="shared" ca="1" si="15"/>
        <v>2042</v>
      </c>
      <c r="C50" s="102" t="str">
        <f t="shared" si="2"/>
        <v>R</v>
      </c>
      <c r="D50" s="104">
        <f t="shared" ca="1" si="3"/>
        <v>0.52747125022463781</v>
      </c>
      <c r="E50" s="104">
        <f t="shared" si="19"/>
        <v>1</v>
      </c>
      <c r="F50" s="103">
        <f t="shared" si="5"/>
        <v>0</v>
      </c>
      <c r="G50" s="103">
        <f t="shared" si="6"/>
        <v>0</v>
      </c>
      <c r="H50" s="397" t="e">
        <f t="shared" ca="1" si="20"/>
        <v>#REF!</v>
      </c>
      <c r="I50" s="393" t="e">
        <f t="shared" ca="1" si="21"/>
        <v>#REF!</v>
      </c>
      <c r="J50" s="394" t="e">
        <f t="shared" ca="1" si="22"/>
        <v>#REF!</v>
      </c>
      <c r="K50" s="394" t="e">
        <f t="shared" ca="1" si="23"/>
        <v>#REF!</v>
      </c>
      <c r="L50" s="394" t="e">
        <f t="shared" ca="1" si="24"/>
        <v>#REF!</v>
      </c>
      <c r="M50" s="394" t="e">
        <f t="shared" ca="1" si="16"/>
        <v>#REF!</v>
      </c>
      <c r="N50" s="394" t="e">
        <f t="shared" ca="1" si="17"/>
        <v>#REF!</v>
      </c>
      <c r="O50" s="394" t="e">
        <f t="shared" ca="1" si="25"/>
        <v>#REF!</v>
      </c>
      <c r="P50" s="394" t="e">
        <f t="shared" ca="1" si="26"/>
        <v>#REF!</v>
      </c>
      <c r="Q50" s="394" t="e">
        <f t="shared" ca="1" si="14"/>
        <v>#VALUE!</v>
      </c>
      <c r="R50" s="396" t="e">
        <f t="shared" ca="1" si="18"/>
        <v>#REF!</v>
      </c>
    </row>
    <row r="51" spans="2:18" x14ac:dyDescent="0.25">
      <c r="B51" s="420">
        <f t="shared" ca="1" si="15"/>
        <v>2042</v>
      </c>
      <c r="C51" s="421" t="str">
        <f t="shared" si="2"/>
        <v>N</v>
      </c>
      <c r="D51" s="105">
        <f t="shared" si="3"/>
        <v>1</v>
      </c>
      <c r="E51" s="105">
        <f t="shared" ca="1" si="19"/>
        <v>0.52747125022463781</v>
      </c>
      <c r="F51" s="77">
        <f t="shared" si="5"/>
        <v>0</v>
      </c>
      <c r="G51" s="77">
        <f t="shared" si="6"/>
        <v>0</v>
      </c>
      <c r="H51" s="327" t="e">
        <f t="shared" ca="1" si="20"/>
        <v>#REF!</v>
      </c>
      <c r="I51" s="427" t="e">
        <f t="shared" ca="1" si="21"/>
        <v>#REF!</v>
      </c>
      <c r="J51" s="284" t="e">
        <f t="shared" ca="1" si="22"/>
        <v>#REF!</v>
      </c>
      <c r="K51" s="284" t="e">
        <f t="shared" ca="1" si="23"/>
        <v>#REF!</v>
      </c>
      <c r="L51" s="284" t="e">
        <f t="shared" ca="1" si="24"/>
        <v>#REF!</v>
      </c>
      <c r="M51" s="284" t="e">
        <f t="shared" ca="1" si="16"/>
        <v>#REF!</v>
      </c>
      <c r="N51" s="284" t="e">
        <f t="shared" ca="1" si="17"/>
        <v>#REF!</v>
      </c>
      <c r="O51" s="284" t="e">
        <f t="shared" ca="1" si="25"/>
        <v>#REF!</v>
      </c>
      <c r="P51" s="284" t="e">
        <f t="shared" ca="1" si="26"/>
        <v>#REF!</v>
      </c>
      <c r="Q51" s="284" t="e">
        <f t="shared" ca="1" si="14"/>
        <v>#VALUE!</v>
      </c>
      <c r="R51" s="426" t="e">
        <f t="shared" ca="1" si="18"/>
        <v>#REF!</v>
      </c>
    </row>
    <row r="52" spans="2:18" x14ac:dyDescent="0.25">
      <c r="B52" s="185">
        <f t="shared" ca="1" si="15"/>
        <v>2043</v>
      </c>
      <c r="C52" s="102" t="str">
        <f t="shared" si="2"/>
        <v>R</v>
      </c>
      <c r="D52" s="104">
        <f t="shared" ca="1" si="3"/>
        <v>0.51086803895848698</v>
      </c>
      <c r="E52" s="104">
        <f t="shared" si="19"/>
        <v>1</v>
      </c>
      <c r="F52" s="103">
        <f t="shared" si="5"/>
        <v>0</v>
      </c>
      <c r="G52" s="103">
        <f t="shared" si="6"/>
        <v>0</v>
      </c>
      <c r="H52" s="397" t="e">
        <f t="shared" ca="1" si="20"/>
        <v>#REF!</v>
      </c>
      <c r="I52" s="393" t="e">
        <f t="shared" ca="1" si="21"/>
        <v>#REF!</v>
      </c>
      <c r="J52" s="394" t="e">
        <f t="shared" ca="1" si="22"/>
        <v>#REF!</v>
      </c>
      <c r="K52" s="394" t="e">
        <f t="shared" ca="1" si="23"/>
        <v>#REF!</v>
      </c>
      <c r="L52" s="394" t="e">
        <f t="shared" ca="1" si="24"/>
        <v>#REF!</v>
      </c>
      <c r="M52" s="394" t="e">
        <f t="shared" ca="1" si="16"/>
        <v>#REF!</v>
      </c>
      <c r="N52" s="394" t="e">
        <f t="shared" ca="1" si="17"/>
        <v>#REF!</v>
      </c>
      <c r="O52" s="394" t="e">
        <f t="shared" ca="1" si="25"/>
        <v>#REF!</v>
      </c>
      <c r="P52" s="394" t="e">
        <f t="shared" ca="1" si="26"/>
        <v>#REF!</v>
      </c>
      <c r="Q52" s="394" t="e">
        <f t="shared" ca="1" si="14"/>
        <v>#VALUE!</v>
      </c>
      <c r="R52" s="396" t="e">
        <f t="shared" ca="1" si="18"/>
        <v>#REF!</v>
      </c>
    </row>
    <row r="53" spans="2:18" x14ac:dyDescent="0.25">
      <c r="B53" s="420">
        <f t="shared" ca="1" si="15"/>
        <v>2043</v>
      </c>
      <c r="C53" s="421" t="str">
        <f t="shared" si="2"/>
        <v>N</v>
      </c>
      <c r="D53" s="105">
        <f t="shared" si="3"/>
        <v>1</v>
      </c>
      <c r="E53" s="105">
        <f t="shared" ca="1" si="19"/>
        <v>0.51086803895848698</v>
      </c>
      <c r="F53" s="77">
        <f t="shared" si="5"/>
        <v>0</v>
      </c>
      <c r="G53" s="77">
        <f t="shared" si="6"/>
        <v>0</v>
      </c>
      <c r="H53" s="327" t="e">
        <f t="shared" ca="1" si="20"/>
        <v>#REF!</v>
      </c>
      <c r="I53" s="427" t="e">
        <f t="shared" ca="1" si="21"/>
        <v>#REF!</v>
      </c>
      <c r="J53" s="284" t="e">
        <f t="shared" ca="1" si="22"/>
        <v>#REF!</v>
      </c>
      <c r="K53" s="284" t="e">
        <f t="shared" ca="1" si="23"/>
        <v>#REF!</v>
      </c>
      <c r="L53" s="284" t="e">
        <f t="shared" ca="1" si="24"/>
        <v>#REF!</v>
      </c>
      <c r="M53" s="284" t="e">
        <f t="shared" ca="1" si="16"/>
        <v>#REF!</v>
      </c>
      <c r="N53" s="284" t="e">
        <f t="shared" ca="1" si="17"/>
        <v>#REF!</v>
      </c>
      <c r="O53" s="284" t="e">
        <f t="shared" ca="1" si="25"/>
        <v>#REF!</v>
      </c>
      <c r="P53" s="284" t="e">
        <f t="shared" ca="1" si="26"/>
        <v>#REF!</v>
      </c>
      <c r="Q53" s="284" t="e">
        <f t="shared" ca="1" si="14"/>
        <v>#VALUE!</v>
      </c>
      <c r="R53" s="426" t="e">
        <f t="shared" ca="1" si="18"/>
        <v>#REF!</v>
      </c>
    </row>
    <row r="54" spans="2:18" x14ac:dyDescent="0.25">
      <c r="B54" s="185">
        <f t="shared" ca="1" si="15"/>
        <v>2044</v>
      </c>
      <c r="C54" s="102" t="str">
        <f t="shared" si="2"/>
        <v>R</v>
      </c>
      <c r="D54" s="104">
        <f t="shared" ca="1" si="3"/>
        <v>0.49478744693315935</v>
      </c>
      <c r="E54" s="104">
        <f t="shared" si="19"/>
        <v>1</v>
      </c>
      <c r="F54" s="103">
        <f t="shared" si="5"/>
        <v>0</v>
      </c>
      <c r="G54" s="103">
        <f t="shared" si="6"/>
        <v>0</v>
      </c>
      <c r="H54" s="397" t="e">
        <f t="shared" ca="1" si="20"/>
        <v>#REF!</v>
      </c>
      <c r="I54" s="393" t="e">
        <f t="shared" ca="1" si="21"/>
        <v>#REF!</v>
      </c>
      <c r="J54" s="394" t="e">
        <f t="shared" ca="1" si="22"/>
        <v>#REF!</v>
      </c>
      <c r="K54" s="394" t="e">
        <f t="shared" ca="1" si="23"/>
        <v>#REF!</v>
      </c>
      <c r="L54" s="394" t="e">
        <f t="shared" ca="1" si="24"/>
        <v>#REF!</v>
      </c>
      <c r="M54" s="394" t="e">
        <f t="shared" ca="1" si="16"/>
        <v>#REF!</v>
      </c>
      <c r="N54" s="394" t="e">
        <f t="shared" ca="1" si="17"/>
        <v>#REF!</v>
      </c>
      <c r="O54" s="394" t="e">
        <f t="shared" ca="1" si="25"/>
        <v>#REF!</v>
      </c>
      <c r="P54" s="394" t="e">
        <f t="shared" ca="1" si="26"/>
        <v>#REF!</v>
      </c>
      <c r="Q54" s="394" t="e">
        <f t="shared" ca="1" si="14"/>
        <v>#VALUE!</v>
      </c>
      <c r="R54" s="396" t="e">
        <f t="shared" ca="1" si="18"/>
        <v>#REF!</v>
      </c>
    </row>
    <row r="55" spans="2:18" x14ac:dyDescent="0.25">
      <c r="B55" s="420">
        <f t="shared" ca="1" si="15"/>
        <v>2044</v>
      </c>
      <c r="C55" s="421" t="str">
        <f t="shared" si="2"/>
        <v>N</v>
      </c>
      <c r="D55" s="105">
        <f t="shared" si="3"/>
        <v>1</v>
      </c>
      <c r="E55" s="105">
        <f t="shared" ca="1" si="19"/>
        <v>0.49478744693315935</v>
      </c>
      <c r="F55" s="77">
        <f t="shared" si="5"/>
        <v>0</v>
      </c>
      <c r="G55" s="77">
        <f t="shared" si="6"/>
        <v>0</v>
      </c>
      <c r="H55" s="327" t="e">
        <f t="shared" ca="1" si="20"/>
        <v>#REF!</v>
      </c>
      <c r="I55" s="427" t="e">
        <f t="shared" ca="1" si="21"/>
        <v>#REF!</v>
      </c>
      <c r="J55" s="284" t="e">
        <f t="shared" ca="1" si="22"/>
        <v>#REF!</v>
      </c>
      <c r="K55" s="284" t="e">
        <f t="shared" ca="1" si="23"/>
        <v>#REF!</v>
      </c>
      <c r="L55" s="284" t="e">
        <f t="shared" ca="1" si="24"/>
        <v>#REF!</v>
      </c>
      <c r="M55" s="284" t="e">
        <f t="shared" ca="1" si="16"/>
        <v>#REF!</v>
      </c>
      <c r="N55" s="284" t="e">
        <f t="shared" ca="1" si="17"/>
        <v>#REF!</v>
      </c>
      <c r="O55" s="284" t="e">
        <f t="shared" ca="1" si="25"/>
        <v>#REF!</v>
      </c>
      <c r="P55" s="284" t="e">
        <f t="shared" ca="1" si="26"/>
        <v>#REF!</v>
      </c>
      <c r="Q55" s="284" t="e">
        <f t="shared" ca="1" si="14"/>
        <v>#VALUE!</v>
      </c>
      <c r="R55" s="426" t="e">
        <f t="shared" ca="1" si="18"/>
        <v>#REF!</v>
      </c>
    </row>
    <row r="56" spans="2:18" x14ac:dyDescent="0.25">
      <c r="B56" s="185">
        <f t="shared" ca="1" si="15"/>
        <v>2045</v>
      </c>
      <c r="C56" s="102" t="str">
        <f t="shared" si="2"/>
        <v>R</v>
      </c>
      <c r="D56" s="104">
        <f t="shared" ca="1" si="3"/>
        <v>0.47921302366407681</v>
      </c>
      <c r="E56" s="104">
        <f t="shared" si="19"/>
        <v>1</v>
      </c>
      <c r="F56" s="103">
        <f t="shared" si="5"/>
        <v>0</v>
      </c>
      <c r="G56" s="103">
        <f t="shared" si="6"/>
        <v>0</v>
      </c>
      <c r="H56" s="397" t="e">
        <f t="shared" ca="1" si="20"/>
        <v>#REF!</v>
      </c>
      <c r="I56" s="393" t="e">
        <f t="shared" ca="1" si="21"/>
        <v>#REF!</v>
      </c>
      <c r="J56" s="394" t="e">
        <f t="shared" ca="1" si="22"/>
        <v>#REF!</v>
      </c>
      <c r="K56" s="394" t="e">
        <f t="shared" ca="1" si="23"/>
        <v>#REF!</v>
      </c>
      <c r="L56" s="394" t="e">
        <f t="shared" ca="1" si="24"/>
        <v>#REF!</v>
      </c>
      <c r="M56" s="394" t="e">
        <f t="shared" ca="1" si="16"/>
        <v>#REF!</v>
      </c>
      <c r="N56" s="394" t="e">
        <f t="shared" ca="1" si="17"/>
        <v>#REF!</v>
      </c>
      <c r="O56" s="394" t="e">
        <f t="shared" ca="1" si="25"/>
        <v>#REF!</v>
      </c>
      <c r="P56" s="394" t="e">
        <f t="shared" ca="1" si="26"/>
        <v>#REF!</v>
      </c>
      <c r="Q56" s="394" t="e">
        <f t="shared" ca="1" si="14"/>
        <v>#VALUE!</v>
      </c>
      <c r="R56" s="396" t="e">
        <f t="shared" ca="1" si="18"/>
        <v>#REF!</v>
      </c>
    </row>
    <row r="57" spans="2:18" x14ac:dyDescent="0.25">
      <c r="B57" s="420">
        <f t="shared" ca="1" si="15"/>
        <v>2045</v>
      </c>
      <c r="C57" s="421" t="str">
        <f t="shared" si="2"/>
        <v>N</v>
      </c>
      <c r="D57" s="105">
        <f t="shared" si="3"/>
        <v>1</v>
      </c>
      <c r="E57" s="105">
        <f t="shared" ca="1" si="19"/>
        <v>0.47921302366407681</v>
      </c>
      <c r="F57" s="77">
        <f t="shared" si="5"/>
        <v>0</v>
      </c>
      <c r="G57" s="77">
        <f t="shared" si="6"/>
        <v>0</v>
      </c>
      <c r="H57" s="327" t="e">
        <f t="shared" ca="1" si="20"/>
        <v>#REF!</v>
      </c>
      <c r="I57" s="427" t="e">
        <f t="shared" ca="1" si="21"/>
        <v>#REF!</v>
      </c>
      <c r="J57" s="284" t="e">
        <f t="shared" ca="1" si="22"/>
        <v>#REF!</v>
      </c>
      <c r="K57" s="284" t="e">
        <f t="shared" ca="1" si="23"/>
        <v>#REF!</v>
      </c>
      <c r="L57" s="284" t="e">
        <f t="shared" ca="1" si="24"/>
        <v>#REF!</v>
      </c>
      <c r="M57" s="284" t="e">
        <f t="shared" ca="1" si="16"/>
        <v>#REF!</v>
      </c>
      <c r="N57" s="284" t="e">
        <f t="shared" ca="1" si="17"/>
        <v>#REF!</v>
      </c>
      <c r="O57" s="284" t="e">
        <f t="shared" ca="1" si="25"/>
        <v>#REF!</v>
      </c>
      <c r="P57" s="284" t="e">
        <f t="shared" ca="1" si="26"/>
        <v>#REF!</v>
      </c>
      <c r="Q57" s="284" t="e">
        <f t="shared" ca="1" si="14"/>
        <v>#VALUE!</v>
      </c>
      <c r="R57" s="426" t="e">
        <f t="shared" ca="1" si="18"/>
        <v>#REF!</v>
      </c>
    </row>
    <row r="58" spans="2:18" x14ac:dyDescent="0.25">
      <c r="B58" s="185">
        <f t="shared" ca="1" si="15"/>
        <v>2046</v>
      </c>
      <c r="C58" s="102" t="str">
        <f t="shared" si="2"/>
        <v>R</v>
      </c>
      <c r="D58" s="104">
        <f t="shared" ca="1" si="3"/>
        <v>0.46412883647852476</v>
      </c>
      <c r="E58" s="104">
        <f t="shared" si="19"/>
        <v>1</v>
      </c>
      <c r="F58" s="103">
        <f t="shared" si="5"/>
        <v>0</v>
      </c>
      <c r="G58" s="103">
        <f t="shared" si="6"/>
        <v>0</v>
      </c>
      <c r="H58" s="397" t="e">
        <f t="shared" ca="1" si="20"/>
        <v>#REF!</v>
      </c>
      <c r="I58" s="393" t="e">
        <f t="shared" ca="1" si="21"/>
        <v>#REF!</v>
      </c>
      <c r="J58" s="394" t="e">
        <f t="shared" ca="1" si="22"/>
        <v>#REF!</v>
      </c>
      <c r="K58" s="394" t="e">
        <f t="shared" ca="1" si="23"/>
        <v>#REF!</v>
      </c>
      <c r="L58" s="394" t="e">
        <f t="shared" ca="1" si="24"/>
        <v>#REF!</v>
      </c>
      <c r="M58" s="394" t="e">
        <f t="shared" ca="1" si="16"/>
        <v>#REF!</v>
      </c>
      <c r="N58" s="394" t="e">
        <f t="shared" ca="1" si="17"/>
        <v>#REF!</v>
      </c>
      <c r="O58" s="394" t="e">
        <f t="shared" ca="1" si="25"/>
        <v>#REF!</v>
      </c>
      <c r="P58" s="394" t="e">
        <f t="shared" ca="1" si="26"/>
        <v>#REF!</v>
      </c>
      <c r="Q58" s="394" t="e">
        <f t="shared" ca="1" si="14"/>
        <v>#VALUE!</v>
      </c>
      <c r="R58" s="396" t="e">
        <f t="shared" ca="1" si="18"/>
        <v>#REF!</v>
      </c>
    </row>
    <row r="59" spans="2:18" x14ac:dyDescent="0.25">
      <c r="B59" s="420">
        <f t="shared" ca="1" si="15"/>
        <v>2046</v>
      </c>
      <c r="C59" s="421" t="str">
        <f t="shared" si="2"/>
        <v>N</v>
      </c>
      <c r="D59" s="105">
        <f t="shared" si="3"/>
        <v>1</v>
      </c>
      <c r="E59" s="105">
        <f t="shared" ca="1" si="19"/>
        <v>0.46412883647852476</v>
      </c>
      <c r="F59" s="77">
        <f t="shared" si="5"/>
        <v>0</v>
      </c>
      <c r="G59" s="77">
        <f t="shared" si="6"/>
        <v>0</v>
      </c>
      <c r="H59" s="327" t="e">
        <f t="shared" ca="1" si="20"/>
        <v>#REF!</v>
      </c>
      <c r="I59" s="427" t="e">
        <f t="shared" ca="1" si="21"/>
        <v>#REF!</v>
      </c>
      <c r="J59" s="284" t="e">
        <f t="shared" ca="1" si="22"/>
        <v>#REF!</v>
      </c>
      <c r="K59" s="284" t="e">
        <f t="shared" ca="1" si="23"/>
        <v>#REF!</v>
      </c>
      <c r="L59" s="284" t="e">
        <f t="shared" ca="1" si="24"/>
        <v>#REF!</v>
      </c>
      <c r="M59" s="284" t="e">
        <f t="shared" ca="1" si="16"/>
        <v>#REF!</v>
      </c>
      <c r="N59" s="284" t="e">
        <f t="shared" ca="1" si="17"/>
        <v>#REF!</v>
      </c>
      <c r="O59" s="284" t="e">
        <f t="shared" ca="1" si="25"/>
        <v>#REF!</v>
      </c>
      <c r="P59" s="284" t="e">
        <f t="shared" ca="1" si="26"/>
        <v>#REF!</v>
      </c>
      <c r="Q59" s="284" t="e">
        <f t="shared" ca="1" si="14"/>
        <v>#VALUE!</v>
      </c>
      <c r="R59" s="426" t="e">
        <f t="shared" ca="1" si="18"/>
        <v>#REF!</v>
      </c>
    </row>
    <row r="60" spans="2:18" x14ac:dyDescent="0.25">
      <c r="B60" s="185">
        <f t="shared" ca="1" si="15"/>
        <v>2047</v>
      </c>
      <c r="C60" s="102" t="str">
        <f t="shared" si="2"/>
        <v>R</v>
      </c>
      <c r="D60" s="104">
        <f t="shared" ca="1" si="3"/>
        <v>0.44951945421648892</v>
      </c>
      <c r="E60" s="104">
        <f t="shared" si="19"/>
        <v>1</v>
      </c>
      <c r="F60" s="103">
        <f t="shared" si="5"/>
        <v>0</v>
      </c>
      <c r="G60" s="103">
        <f t="shared" si="6"/>
        <v>0</v>
      </c>
      <c r="H60" s="397" t="e">
        <f t="shared" ca="1" si="20"/>
        <v>#REF!</v>
      </c>
      <c r="I60" s="393" t="e">
        <f t="shared" ca="1" si="21"/>
        <v>#REF!</v>
      </c>
      <c r="J60" s="394" t="e">
        <f t="shared" ca="1" si="22"/>
        <v>#REF!</v>
      </c>
      <c r="K60" s="394" t="e">
        <f t="shared" ca="1" si="23"/>
        <v>#REF!</v>
      </c>
      <c r="L60" s="394" t="e">
        <f t="shared" ca="1" si="24"/>
        <v>#REF!</v>
      </c>
      <c r="M60" s="394" t="e">
        <f t="shared" ca="1" si="16"/>
        <v>#REF!</v>
      </c>
      <c r="N60" s="394" t="e">
        <f t="shared" ca="1" si="17"/>
        <v>#REF!</v>
      </c>
      <c r="O60" s="394" t="e">
        <f t="shared" ca="1" si="25"/>
        <v>#REF!</v>
      </c>
      <c r="P60" s="394" t="e">
        <f t="shared" ca="1" si="26"/>
        <v>#REF!</v>
      </c>
      <c r="Q60" s="394" t="e">
        <f t="shared" ca="1" si="14"/>
        <v>#VALUE!</v>
      </c>
      <c r="R60" s="396" t="e">
        <f t="shared" ca="1" si="18"/>
        <v>#REF!</v>
      </c>
    </row>
    <row r="61" spans="2:18" x14ac:dyDescent="0.25">
      <c r="B61" s="420">
        <f t="shared" ca="1" si="15"/>
        <v>2047</v>
      </c>
      <c r="C61" s="421" t="str">
        <f t="shared" si="2"/>
        <v>N</v>
      </c>
      <c r="D61" s="105">
        <f t="shared" si="3"/>
        <v>1</v>
      </c>
      <c r="E61" s="105">
        <f t="shared" ca="1" si="19"/>
        <v>0.44951945421648892</v>
      </c>
      <c r="F61" s="77">
        <f t="shared" si="5"/>
        <v>0</v>
      </c>
      <c r="G61" s="77">
        <f t="shared" si="6"/>
        <v>0</v>
      </c>
      <c r="H61" s="327" t="e">
        <f t="shared" ca="1" si="20"/>
        <v>#REF!</v>
      </c>
      <c r="I61" s="427" t="e">
        <f t="shared" ca="1" si="21"/>
        <v>#REF!</v>
      </c>
      <c r="J61" s="284" t="e">
        <f t="shared" ca="1" si="22"/>
        <v>#REF!</v>
      </c>
      <c r="K61" s="284" t="e">
        <f t="shared" ca="1" si="23"/>
        <v>#REF!</v>
      </c>
      <c r="L61" s="284" t="e">
        <f t="shared" ca="1" si="24"/>
        <v>#REF!</v>
      </c>
      <c r="M61" s="284" t="e">
        <f t="shared" ca="1" si="16"/>
        <v>#REF!</v>
      </c>
      <c r="N61" s="284" t="e">
        <f t="shared" ca="1" si="17"/>
        <v>#REF!</v>
      </c>
      <c r="O61" s="284" t="e">
        <f t="shared" ca="1" si="25"/>
        <v>#REF!</v>
      </c>
      <c r="P61" s="284" t="e">
        <f t="shared" ca="1" si="26"/>
        <v>#REF!</v>
      </c>
      <c r="Q61" s="284" t="e">
        <f t="shared" ca="1" si="14"/>
        <v>#VALUE!</v>
      </c>
      <c r="R61" s="426" t="e">
        <f t="shared" ca="1" si="18"/>
        <v>#REF!</v>
      </c>
    </row>
    <row r="62" spans="2:18" x14ac:dyDescent="0.25">
      <c r="B62" s="185">
        <f t="shared" ca="1" si="15"/>
        <v>2048</v>
      </c>
      <c r="C62" s="102" t="str">
        <f t="shared" si="2"/>
        <v>R</v>
      </c>
      <c r="D62" s="104">
        <f t="shared" ca="1" si="3"/>
        <v>0.43536993144454134</v>
      </c>
      <c r="E62" s="104">
        <f t="shared" si="19"/>
        <v>1</v>
      </c>
      <c r="F62" s="103">
        <f t="shared" si="5"/>
        <v>0</v>
      </c>
      <c r="G62" s="103">
        <f t="shared" si="6"/>
        <v>0</v>
      </c>
      <c r="H62" s="397" t="e">
        <f t="shared" ca="1" si="20"/>
        <v>#REF!</v>
      </c>
      <c r="I62" s="393" t="e">
        <f t="shared" ca="1" si="21"/>
        <v>#REF!</v>
      </c>
      <c r="J62" s="394" t="e">
        <f t="shared" ca="1" si="22"/>
        <v>#REF!</v>
      </c>
      <c r="K62" s="394" t="e">
        <f t="shared" ca="1" si="23"/>
        <v>#REF!</v>
      </c>
      <c r="L62" s="394" t="e">
        <f t="shared" ca="1" si="24"/>
        <v>#REF!</v>
      </c>
      <c r="M62" s="394" t="e">
        <f t="shared" ca="1" si="16"/>
        <v>#REF!</v>
      </c>
      <c r="N62" s="394" t="e">
        <f t="shared" ca="1" si="17"/>
        <v>#REF!</v>
      </c>
      <c r="O62" s="394" t="e">
        <f t="shared" ca="1" si="25"/>
        <v>#REF!</v>
      </c>
      <c r="P62" s="394" t="e">
        <f t="shared" ca="1" si="26"/>
        <v>#REF!</v>
      </c>
      <c r="Q62" s="394" t="e">
        <f t="shared" ca="1" si="14"/>
        <v>#VALUE!</v>
      </c>
      <c r="R62" s="396" t="e">
        <f t="shared" ca="1" si="18"/>
        <v>#REF!</v>
      </c>
    </row>
    <row r="63" spans="2:18" x14ac:dyDescent="0.25">
      <c r="B63" s="420">
        <f t="shared" ca="1" si="15"/>
        <v>2048</v>
      </c>
      <c r="C63" s="421" t="str">
        <f t="shared" si="2"/>
        <v>N</v>
      </c>
      <c r="D63" s="105">
        <f t="shared" si="3"/>
        <v>1</v>
      </c>
      <c r="E63" s="105">
        <f t="shared" ca="1" si="19"/>
        <v>0.43536993144454134</v>
      </c>
      <c r="F63" s="77">
        <f t="shared" si="5"/>
        <v>0</v>
      </c>
      <c r="G63" s="77">
        <f t="shared" si="6"/>
        <v>0</v>
      </c>
      <c r="H63" s="327" t="e">
        <f t="shared" ca="1" si="20"/>
        <v>#REF!</v>
      </c>
      <c r="I63" s="427" t="e">
        <f t="shared" ca="1" si="21"/>
        <v>#REF!</v>
      </c>
      <c r="J63" s="284" t="e">
        <f t="shared" ca="1" si="22"/>
        <v>#REF!</v>
      </c>
      <c r="K63" s="284" t="e">
        <f t="shared" ca="1" si="23"/>
        <v>#REF!</v>
      </c>
      <c r="L63" s="284" t="e">
        <f t="shared" ca="1" si="24"/>
        <v>#REF!</v>
      </c>
      <c r="M63" s="284" t="e">
        <f t="shared" ca="1" si="16"/>
        <v>#REF!</v>
      </c>
      <c r="N63" s="284" t="e">
        <f t="shared" ca="1" si="17"/>
        <v>#REF!</v>
      </c>
      <c r="O63" s="284" t="e">
        <f t="shared" ca="1" si="25"/>
        <v>#REF!</v>
      </c>
      <c r="P63" s="284" t="e">
        <f t="shared" ca="1" si="26"/>
        <v>#REF!</v>
      </c>
      <c r="Q63" s="284" t="e">
        <f t="shared" ca="1" si="14"/>
        <v>#VALUE!</v>
      </c>
      <c r="R63" s="426" t="e">
        <f t="shared" ca="1" si="18"/>
        <v>#REF!</v>
      </c>
    </row>
    <row r="64" spans="2:18" x14ac:dyDescent="0.25">
      <c r="B64" s="185">
        <f t="shared" ca="1" si="15"/>
        <v>2049</v>
      </c>
      <c r="C64" s="102" t="str">
        <f t="shared" si="2"/>
        <v>R</v>
      </c>
      <c r="D64" s="104">
        <f t="shared" ca="1" si="3"/>
        <v>0.421665793166626</v>
      </c>
      <c r="E64" s="104">
        <f t="shared" si="19"/>
        <v>1</v>
      </c>
      <c r="F64" s="103">
        <f t="shared" si="5"/>
        <v>0</v>
      </c>
      <c r="G64" s="103">
        <f t="shared" si="6"/>
        <v>0</v>
      </c>
      <c r="H64" s="397" t="e">
        <f t="shared" ca="1" si="20"/>
        <v>#REF!</v>
      </c>
      <c r="I64" s="393" t="e">
        <f t="shared" ca="1" si="21"/>
        <v>#REF!</v>
      </c>
      <c r="J64" s="394" t="e">
        <f t="shared" ca="1" si="22"/>
        <v>#REF!</v>
      </c>
      <c r="K64" s="394" t="e">
        <f t="shared" ca="1" si="23"/>
        <v>#REF!</v>
      </c>
      <c r="L64" s="394" t="e">
        <f t="shared" ca="1" si="24"/>
        <v>#REF!</v>
      </c>
      <c r="M64" s="394" t="e">
        <f t="shared" ca="1" si="16"/>
        <v>#REF!</v>
      </c>
      <c r="N64" s="394" t="e">
        <f t="shared" ca="1" si="17"/>
        <v>#REF!</v>
      </c>
      <c r="O64" s="394" t="e">
        <f t="shared" ca="1" si="25"/>
        <v>#REF!</v>
      </c>
      <c r="P64" s="394" t="e">
        <f t="shared" ca="1" si="26"/>
        <v>#REF!</v>
      </c>
      <c r="Q64" s="394" t="e">
        <f t="shared" ca="1" si="14"/>
        <v>#VALUE!</v>
      </c>
      <c r="R64" s="396" t="e">
        <f t="shared" ca="1" si="18"/>
        <v>#REF!</v>
      </c>
    </row>
    <row r="65" spans="2:18" x14ac:dyDescent="0.25">
      <c r="B65" s="420">
        <f t="shared" ca="1" si="15"/>
        <v>2049</v>
      </c>
      <c r="C65" s="421" t="str">
        <f t="shared" si="2"/>
        <v>N</v>
      </c>
      <c r="D65" s="105">
        <f t="shared" si="3"/>
        <v>1</v>
      </c>
      <c r="E65" s="105">
        <f t="shared" ca="1" si="19"/>
        <v>0.421665793166626</v>
      </c>
      <c r="F65" s="77">
        <f t="shared" si="5"/>
        <v>0</v>
      </c>
      <c r="G65" s="77">
        <f t="shared" si="6"/>
        <v>0</v>
      </c>
      <c r="H65" s="327" t="e">
        <f t="shared" ca="1" si="20"/>
        <v>#REF!</v>
      </c>
      <c r="I65" s="427" t="e">
        <f t="shared" ca="1" si="21"/>
        <v>#REF!</v>
      </c>
      <c r="J65" s="284" t="e">
        <f t="shared" ca="1" si="22"/>
        <v>#REF!</v>
      </c>
      <c r="K65" s="284" t="e">
        <f t="shared" ca="1" si="23"/>
        <v>#REF!</v>
      </c>
      <c r="L65" s="284" t="e">
        <f t="shared" ca="1" si="24"/>
        <v>#REF!</v>
      </c>
      <c r="M65" s="284" t="e">
        <f t="shared" ca="1" si="16"/>
        <v>#REF!</v>
      </c>
      <c r="N65" s="284" t="e">
        <f t="shared" ca="1" si="17"/>
        <v>#REF!</v>
      </c>
      <c r="O65" s="284" t="e">
        <f t="shared" ca="1" si="25"/>
        <v>#REF!</v>
      </c>
      <c r="P65" s="284" t="e">
        <f t="shared" ca="1" si="26"/>
        <v>#REF!</v>
      </c>
      <c r="Q65" s="284" t="e">
        <f t="shared" ca="1" si="14"/>
        <v>#VALUE!</v>
      </c>
      <c r="R65" s="426" t="e">
        <f t="shared" ca="1" si="18"/>
        <v>#REF!</v>
      </c>
    </row>
    <row r="66" spans="2:18" x14ac:dyDescent="0.25">
      <c r="B66" s="185">
        <f t="shared" ca="1" si="15"/>
        <v>2050</v>
      </c>
      <c r="C66" s="102" t="str">
        <f t="shared" si="2"/>
        <v>R</v>
      </c>
      <c r="D66" s="104">
        <f t="shared" ca="1" si="3"/>
        <v>0.40839302001610273</v>
      </c>
      <c r="E66" s="104">
        <f t="shared" si="19"/>
        <v>1</v>
      </c>
      <c r="F66" s="103">
        <f t="shared" si="5"/>
        <v>0</v>
      </c>
      <c r="G66" s="103">
        <f t="shared" si="6"/>
        <v>0</v>
      </c>
      <c r="H66" s="397" t="e">
        <f t="shared" ca="1" si="20"/>
        <v>#REF!</v>
      </c>
      <c r="I66" s="393" t="e">
        <f t="shared" ca="1" si="21"/>
        <v>#REF!</v>
      </c>
      <c r="J66" s="394" t="e">
        <f t="shared" ca="1" si="22"/>
        <v>#REF!</v>
      </c>
      <c r="K66" s="394" t="e">
        <f t="shared" ca="1" si="23"/>
        <v>#REF!</v>
      </c>
      <c r="L66" s="394" t="e">
        <f t="shared" ca="1" si="24"/>
        <v>#REF!</v>
      </c>
      <c r="M66" s="394" t="e">
        <f t="shared" ca="1" si="16"/>
        <v>#REF!</v>
      </c>
      <c r="N66" s="394" t="e">
        <f t="shared" ca="1" si="17"/>
        <v>#REF!</v>
      </c>
      <c r="O66" s="394" t="e">
        <f t="shared" ca="1" si="25"/>
        <v>#REF!</v>
      </c>
      <c r="P66" s="394" t="e">
        <f t="shared" ca="1" si="26"/>
        <v>#REF!</v>
      </c>
      <c r="Q66" s="394" t="e">
        <f t="shared" ca="1" si="14"/>
        <v>#VALUE!</v>
      </c>
      <c r="R66" s="396" t="e">
        <f t="shared" ca="1" si="18"/>
        <v>#REF!</v>
      </c>
    </row>
    <row r="67" spans="2:18" x14ac:dyDescent="0.25">
      <c r="B67" s="420">
        <f t="shared" ca="1" si="15"/>
        <v>2050</v>
      </c>
      <c r="C67" s="421" t="str">
        <f t="shared" si="2"/>
        <v>N</v>
      </c>
      <c r="D67" s="105">
        <f t="shared" si="3"/>
        <v>1</v>
      </c>
      <c r="E67" s="105">
        <f t="shared" ca="1" si="19"/>
        <v>0.40839302001610273</v>
      </c>
      <c r="F67" s="77">
        <f t="shared" si="5"/>
        <v>0</v>
      </c>
      <c r="G67" s="77">
        <f t="shared" si="6"/>
        <v>0</v>
      </c>
      <c r="H67" s="327" t="e">
        <f t="shared" ca="1" si="20"/>
        <v>#REF!</v>
      </c>
      <c r="I67" s="427" t="e">
        <f t="shared" ca="1" si="21"/>
        <v>#REF!</v>
      </c>
      <c r="J67" s="284" t="e">
        <f t="shared" ca="1" si="22"/>
        <v>#REF!</v>
      </c>
      <c r="K67" s="284" t="e">
        <f t="shared" ca="1" si="23"/>
        <v>#REF!</v>
      </c>
      <c r="L67" s="284" t="e">
        <f t="shared" ca="1" si="24"/>
        <v>#REF!</v>
      </c>
      <c r="M67" s="284" t="e">
        <f t="shared" ca="1" si="16"/>
        <v>#REF!</v>
      </c>
      <c r="N67" s="284" t="e">
        <f t="shared" ca="1" si="17"/>
        <v>#REF!</v>
      </c>
      <c r="O67" s="284" t="e">
        <f t="shared" ca="1" si="25"/>
        <v>#REF!</v>
      </c>
      <c r="P67" s="284" t="e">
        <f t="shared" ca="1" si="26"/>
        <v>#REF!</v>
      </c>
      <c r="Q67" s="284" t="e">
        <f t="shared" ca="1" si="14"/>
        <v>#VALUE!</v>
      </c>
      <c r="R67" s="426" t="e">
        <f t="shared" ca="1" si="18"/>
        <v>#REF!</v>
      </c>
    </row>
    <row r="68" spans="2:18" x14ac:dyDescent="0.25">
      <c r="B68" s="185">
        <f t="shared" ca="1" si="15"/>
        <v>2051</v>
      </c>
      <c r="C68" s="102" t="str">
        <f t="shared" si="2"/>
        <v>R</v>
      </c>
      <c r="D68" s="104">
        <f t="shared" ca="1" si="3"/>
        <v>0.39553803391390091</v>
      </c>
      <c r="E68" s="104">
        <f t="shared" si="19"/>
        <v>1</v>
      </c>
      <c r="F68" s="103">
        <f t="shared" si="5"/>
        <v>0</v>
      </c>
      <c r="G68" s="103">
        <f t="shared" si="6"/>
        <v>0</v>
      </c>
      <c r="H68" s="397" t="e">
        <f t="shared" ca="1" si="20"/>
        <v>#REF!</v>
      </c>
      <c r="I68" s="393" t="e">
        <f t="shared" ca="1" si="21"/>
        <v>#REF!</v>
      </c>
      <c r="J68" s="394" t="e">
        <f t="shared" ca="1" si="22"/>
        <v>#REF!</v>
      </c>
      <c r="K68" s="394" t="e">
        <f t="shared" ca="1" si="23"/>
        <v>#REF!</v>
      </c>
      <c r="L68" s="394" t="e">
        <f t="shared" ca="1" si="24"/>
        <v>#REF!</v>
      </c>
      <c r="M68" s="394" t="e">
        <f t="shared" ca="1" si="16"/>
        <v>#REF!</v>
      </c>
      <c r="N68" s="394" t="e">
        <f t="shared" ca="1" si="17"/>
        <v>#REF!</v>
      </c>
      <c r="O68" s="394" t="e">
        <f t="shared" ca="1" si="25"/>
        <v>#REF!</v>
      </c>
      <c r="P68" s="394" t="e">
        <f t="shared" ca="1" si="26"/>
        <v>#REF!</v>
      </c>
      <c r="Q68" s="394" t="e">
        <f t="shared" ca="1" si="14"/>
        <v>#VALUE!</v>
      </c>
      <c r="R68" s="396" t="e">
        <f t="shared" ca="1" si="18"/>
        <v>#REF!</v>
      </c>
    </row>
    <row r="69" spans="2:18" x14ac:dyDescent="0.25">
      <c r="B69" s="420">
        <f t="shared" ca="1" si="15"/>
        <v>2051</v>
      </c>
      <c r="C69" s="421" t="str">
        <f t="shared" si="2"/>
        <v>N</v>
      </c>
      <c r="D69" s="105">
        <f t="shared" si="3"/>
        <v>1</v>
      </c>
      <c r="E69" s="105">
        <f t="shared" ca="1" si="19"/>
        <v>0.39553803391390091</v>
      </c>
      <c r="F69" s="77">
        <f t="shared" si="5"/>
        <v>0</v>
      </c>
      <c r="G69" s="77">
        <f t="shared" si="6"/>
        <v>0</v>
      </c>
      <c r="H69" s="327" t="e">
        <f t="shared" ca="1" si="20"/>
        <v>#REF!</v>
      </c>
      <c r="I69" s="427" t="e">
        <f t="shared" ca="1" si="21"/>
        <v>#REF!</v>
      </c>
      <c r="J69" s="284" t="e">
        <f t="shared" ca="1" si="22"/>
        <v>#REF!</v>
      </c>
      <c r="K69" s="284" t="e">
        <f t="shared" ca="1" si="23"/>
        <v>#REF!</v>
      </c>
      <c r="L69" s="284" t="e">
        <f t="shared" ca="1" si="24"/>
        <v>#REF!</v>
      </c>
      <c r="M69" s="284" t="e">
        <f t="shared" ca="1" si="16"/>
        <v>#REF!</v>
      </c>
      <c r="N69" s="284" t="e">
        <f t="shared" ca="1" si="17"/>
        <v>#REF!</v>
      </c>
      <c r="O69" s="284" t="e">
        <f t="shared" ca="1" si="25"/>
        <v>#REF!</v>
      </c>
      <c r="P69" s="284" t="e">
        <f t="shared" ca="1" si="26"/>
        <v>#REF!</v>
      </c>
      <c r="Q69" s="284" t="e">
        <f t="shared" ca="1" si="14"/>
        <v>#VALUE!</v>
      </c>
      <c r="R69" s="426" t="e">
        <f t="shared" ca="1" si="18"/>
        <v>#REF!</v>
      </c>
    </row>
    <row r="70" spans="2:18" x14ac:dyDescent="0.25">
      <c r="B70" s="185">
        <f t="shared" ca="1" si="15"/>
        <v>2052</v>
      </c>
      <c r="C70" s="102" t="str">
        <f t="shared" si="2"/>
        <v>R</v>
      </c>
      <c r="D70" s="104">
        <f t="shared" ca="1" si="3"/>
        <v>0.38308768417811223</v>
      </c>
      <c r="E70" s="104">
        <f t="shared" si="19"/>
        <v>1</v>
      </c>
      <c r="F70" s="103">
        <f t="shared" si="5"/>
        <v>0</v>
      </c>
      <c r="G70" s="103">
        <f t="shared" si="6"/>
        <v>0</v>
      </c>
      <c r="H70" s="397" t="e">
        <f t="shared" ca="1" si="20"/>
        <v>#REF!</v>
      </c>
      <c r="I70" s="393" t="e">
        <f t="shared" ca="1" si="21"/>
        <v>#REF!</v>
      </c>
      <c r="J70" s="394" t="e">
        <f t="shared" ca="1" si="22"/>
        <v>#REF!</v>
      </c>
      <c r="K70" s="394" t="e">
        <f t="shared" ca="1" si="23"/>
        <v>#REF!</v>
      </c>
      <c r="L70" s="394" t="e">
        <f t="shared" ca="1" si="24"/>
        <v>#REF!</v>
      </c>
      <c r="M70" s="394" t="e">
        <f t="shared" ca="1" si="16"/>
        <v>#REF!</v>
      </c>
      <c r="N70" s="394" t="e">
        <f t="shared" ca="1" si="17"/>
        <v>#REF!</v>
      </c>
      <c r="O70" s="394" t="e">
        <f t="shared" ca="1" si="25"/>
        <v>#REF!</v>
      </c>
      <c r="P70" s="394" t="e">
        <f t="shared" ca="1" si="26"/>
        <v>#REF!</v>
      </c>
      <c r="Q70" s="394" t="e">
        <f t="shared" ca="1" si="14"/>
        <v>#VALUE!</v>
      </c>
      <c r="R70" s="396" t="e">
        <f t="shared" ca="1" si="18"/>
        <v>#REF!</v>
      </c>
    </row>
    <row r="71" spans="2:18" x14ac:dyDescent="0.25">
      <c r="B71" s="420">
        <f t="shared" ca="1" si="15"/>
        <v>2052</v>
      </c>
      <c r="C71" s="421" t="str">
        <f t="shared" si="2"/>
        <v>N</v>
      </c>
      <c r="D71" s="105">
        <f t="shared" si="3"/>
        <v>1</v>
      </c>
      <c r="E71" s="105">
        <f t="shared" ca="1" si="19"/>
        <v>0.38308768417811223</v>
      </c>
      <c r="F71" s="77">
        <f t="shared" si="5"/>
        <v>0</v>
      </c>
      <c r="G71" s="77">
        <f t="shared" si="6"/>
        <v>0</v>
      </c>
      <c r="H71" s="327" t="e">
        <f t="shared" ca="1" si="20"/>
        <v>#REF!</v>
      </c>
      <c r="I71" s="427" t="e">
        <f t="shared" ca="1" si="21"/>
        <v>#REF!</v>
      </c>
      <c r="J71" s="284" t="e">
        <f t="shared" ca="1" si="22"/>
        <v>#REF!</v>
      </c>
      <c r="K71" s="284" t="e">
        <f t="shared" ca="1" si="23"/>
        <v>#REF!</v>
      </c>
      <c r="L71" s="284" t="e">
        <f t="shared" ca="1" si="24"/>
        <v>#REF!</v>
      </c>
      <c r="M71" s="284" t="e">
        <f t="shared" ca="1" si="16"/>
        <v>#REF!</v>
      </c>
      <c r="N71" s="284" t="e">
        <f t="shared" ca="1" si="17"/>
        <v>#REF!</v>
      </c>
      <c r="O71" s="284" t="e">
        <f t="shared" ca="1" si="25"/>
        <v>#REF!</v>
      </c>
      <c r="P71" s="284" t="e">
        <f t="shared" ca="1" si="26"/>
        <v>#REF!</v>
      </c>
      <c r="Q71" s="284" t="e">
        <f t="shared" ca="1" si="14"/>
        <v>#VALUE!</v>
      </c>
      <c r="R71" s="426" t="e">
        <f t="shared" ca="1" si="18"/>
        <v>#REF!</v>
      </c>
    </row>
    <row r="72" spans="2:18" x14ac:dyDescent="0.25">
      <c r="B72" s="185">
        <f t="shared" ca="1" si="15"/>
        <v>2053</v>
      </c>
      <c r="C72" s="102" t="str">
        <f t="shared" si="2"/>
        <v>R</v>
      </c>
      <c r="D72" s="104">
        <f t="shared" ca="1" si="3"/>
        <v>0.3710292340708109</v>
      </c>
      <c r="E72" s="104">
        <f t="shared" si="19"/>
        <v>1</v>
      </c>
      <c r="F72" s="103">
        <f t="shared" si="5"/>
        <v>0</v>
      </c>
      <c r="G72" s="103">
        <f t="shared" si="6"/>
        <v>0</v>
      </c>
      <c r="H72" s="397" t="e">
        <f t="shared" ca="1" si="20"/>
        <v>#REF!</v>
      </c>
      <c r="I72" s="393" t="e">
        <f t="shared" ca="1" si="21"/>
        <v>#REF!</v>
      </c>
      <c r="J72" s="394" t="e">
        <f t="shared" ca="1" si="22"/>
        <v>#REF!</v>
      </c>
      <c r="K72" s="394" t="e">
        <f t="shared" ca="1" si="23"/>
        <v>#REF!</v>
      </c>
      <c r="L72" s="394" t="e">
        <f t="shared" ca="1" si="24"/>
        <v>#REF!</v>
      </c>
      <c r="M72" s="394" t="e">
        <f t="shared" ca="1" si="16"/>
        <v>#REF!</v>
      </c>
      <c r="N72" s="394" t="e">
        <f t="shared" ca="1" si="17"/>
        <v>#REF!</v>
      </c>
      <c r="O72" s="394" t="e">
        <f t="shared" ca="1" si="25"/>
        <v>#REF!</v>
      </c>
      <c r="P72" s="394" t="e">
        <f t="shared" ca="1" si="26"/>
        <v>#REF!</v>
      </c>
      <c r="Q72" s="394" t="e">
        <f t="shared" ca="1" si="14"/>
        <v>#VALUE!</v>
      </c>
      <c r="R72" s="396" t="e">
        <f t="shared" ca="1" si="18"/>
        <v>#REF!</v>
      </c>
    </row>
    <row r="73" spans="2:18" x14ac:dyDescent="0.25">
      <c r="B73" s="420">
        <f t="shared" ca="1" si="15"/>
        <v>2053</v>
      </c>
      <c r="C73" s="421" t="str">
        <f t="shared" si="2"/>
        <v>N</v>
      </c>
      <c r="D73" s="105">
        <f t="shared" si="3"/>
        <v>1</v>
      </c>
      <c r="E73" s="105">
        <f t="shared" ca="1" si="19"/>
        <v>0.3710292340708109</v>
      </c>
      <c r="F73" s="77">
        <f t="shared" si="5"/>
        <v>0</v>
      </c>
      <c r="G73" s="77">
        <f t="shared" si="6"/>
        <v>0</v>
      </c>
      <c r="H73" s="327" t="e">
        <f t="shared" ca="1" si="20"/>
        <v>#REF!</v>
      </c>
      <c r="I73" s="427" t="e">
        <f t="shared" ca="1" si="21"/>
        <v>#REF!</v>
      </c>
      <c r="J73" s="284" t="e">
        <f t="shared" ca="1" si="22"/>
        <v>#REF!</v>
      </c>
      <c r="K73" s="284" t="e">
        <f t="shared" ca="1" si="23"/>
        <v>#REF!</v>
      </c>
      <c r="L73" s="284" t="e">
        <f t="shared" ca="1" si="24"/>
        <v>#REF!</v>
      </c>
      <c r="M73" s="284" t="e">
        <f t="shared" ca="1" si="16"/>
        <v>#REF!</v>
      </c>
      <c r="N73" s="284" t="e">
        <f t="shared" ca="1" si="17"/>
        <v>#REF!</v>
      </c>
      <c r="O73" s="284" t="e">
        <f t="shared" ca="1" si="25"/>
        <v>#REF!</v>
      </c>
      <c r="P73" s="284" t="e">
        <f t="shared" ca="1" si="26"/>
        <v>#REF!</v>
      </c>
      <c r="Q73" s="284" t="e">
        <f t="shared" ca="1" si="14"/>
        <v>#VALUE!</v>
      </c>
      <c r="R73" s="426" t="e">
        <f t="shared" ca="1" si="18"/>
        <v>#REF!</v>
      </c>
    </row>
    <row r="74" spans="2:18" x14ac:dyDescent="0.25">
      <c r="B74" s="185">
        <f t="shared" ca="1" si="15"/>
        <v>2054</v>
      </c>
      <c r="C74" s="102" t="str">
        <f t="shared" ref="C74:C137" si="27">CHOOSE(MOD(ROW(),2)+1,"R","N")</f>
        <v>R</v>
      </c>
      <c r="D74" s="104">
        <f t="shared" ref="D74:D137" ca="1" si="28">CHOOSE(MOD(ROW(),2)+1,INDEX(SC_EA_InflationCPIdx,EAIDX),1)</f>
        <v>0.35935034776833985</v>
      </c>
      <c r="E74" s="104">
        <f t="shared" ref="E74:E105" si="29">CHOOSE(MOD(ROW(),2)+1,1,INDEX(SC_EA_InflationCPIdx,EAIDX))</f>
        <v>1</v>
      </c>
      <c r="F74" s="103">
        <f t="shared" ref="F74:F137" si="30">IF(INDEX(SC_ShowRetireatee,1),IF($B74&lt;YEAR(INDEX(SP_BirthDate,1)),0,$B74-YEAR(INDEX(SP_BirthDate,1))),0)</f>
        <v>0</v>
      </c>
      <c r="G74" s="103">
        <f t="shared" ref="G74:G137" si="31">IF(INDEX(SC_ShowRetireatee,2),IF($B74&lt;YEAR(INDEX(SP_BirthDate,2)),0,$B74-YEAR(INDEX(SP_BirthDate,2))),0)</f>
        <v>0</v>
      </c>
      <c r="H74" s="397" t="e">
        <f t="shared" ref="H74:H105" ca="1" si="32">AVERAGE(OFFSET(SC_ZX_EffectiveTaxRateA,ZXIDX1-1,0,(SC_YearStop-$B74)*2))</f>
        <v>#REF!</v>
      </c>
      <c r="I74" s="393" t="e">
        <f t="shared" ref="I74:I105" ca="1" si="33">INDEX(SC_ZX_BalanceBTA,ZXIDX1)*$D74</f>
        <v>#REF!</v>
      </c>
      <c r="J74" s="394" t="e">
        <f t="shared" ref="J74:J105" ca="1" si="34">INDEX(SC_ZX_BalanceATA,ZXIDX1)*$D74</f>
        <v>#REF!</v>
      </c>
      <c r="K74" s="394" t="e">
        <f t="shared" ref="K74:K105" ca="1" si="35">INDEX(SC_ZA_AnnyBalanceBT,ZAIDX)*$D74</f>
        <v>#REF!</v>
      </c>
      <c r="L74" s="394" t="e">
        <f t="shared" ref="L74:L105" ca="1" si="36">INDEX(SC_ZA_AnnyBalanceAT,ZAIDX)*$D74</f>
        <v>#REF!</v>
      </c>
      <c r="M74" s="394" t="e">
        <f t="shared" ca="1" si="16"/>
        <v>#REF!</v>
      </c>
      <c r="N74" s="394" t="e">
        <f t="shared" ca="1" si="17"/>
        <v>#REF!</v>
      </c>
      <c r="O74" s="394" t="e">
        <f t="shared" ref="O74:O105" ca="1" si="37">INDEX(SC_ZX_SSPVA,ZXIDX1)*$D74*(1-$H74)</f>
        <v>#REF!</v>
      </c>
      <c r="P74" s="394" t="e">
        <f t="shared" ref="P74:P105" ca="1" si="38">((INDEX(SC_ZA_HomeEquity,ZAIDX)*(1-LT_RealtorFees))+SP_OtherAssets/INDEX(SC_EA_InflationCPIdx,EAIDX))*$D74</f>
        <v>#REF!</v>
      </c>
      <c r="Q74" s="394" t="e">
        <f t="shared" ref="Q74:Q137" ca="1" si="39">SC_ZX_Debt</f>
        <v>#VALUE!</v>
      </c>
      <c r="R74" s="396" t="e">
        <f t="shared" ca="1" si="18"/>
        <v>#REF!</v>
      </c>
    </row>
    <row r="75" spans="2:18" x14ac:dyDescent="0.25">
      <c r="B75" s="420">
        <f t="shared" ref="B75:B138" ca="1" si="40">B73+1</f>
        <v>2054</v>
      </c>
      <c r="C75" s="421" t="str">
        <f t="shared" si="27"/>
        <v>N</v>
      </c>
      <c r="D75" s="105">
        <f t="shared" si="28"/>
        <v>1</v>
      </c>
      <c r="E75" s="105">
        <f t="shared" ca="1" si="29"/>
        <v>0.35935034776833985</v>
      </c>
      <c r="F75" s="77">
        <f t="shared" si="30"/>
        <v>0</v>
      </c>
      <c r="G75" s="77">
        <f t="shared" si="31"/>
        <v>0</v>
      </c>
      <c r="H75" s="327" t="e">
        <f t="shared" ca="1" si="32"/>
        <v>#REF!</v>
      </c>
      <c r="I75" s="427" t="e">
        <f t="shared" ca="1" si="33"/>
        <v>#REF!</v>
      </c>
      <c r="J75" s="284" t="e">
        <f t="shared" ca="1" si="34"/>
        <v>#REF!</v>
      </c>
      <c r="K75" s="284" t="e">
        <f t="shared" ca="1" si="35"/>
        <v>#REF!</v>
      </c>
      <c r="L75" s="284" t="e">
        <f t="shared" ca="1" si="36"/>
        <v>#REF!</v>
      </c>
      <c r="M75" s="284" t="e">
        <f t="shared" ref="M75:M138" ca="1" si="41">$I75*(1-$H75)+$J75</f>
        <v>#REF!</v>
      </c>
      <c r="N75" s="284" t="e">
        <f t="shared" ref="N75:N138" ca="1" si="42">$K75*(1-$H75)+$L75</f>
        <v>#REF!</v>
      </c>
      <c r="O75" s="284" t="e">
        <f t="shared" ca="1" si="37"/>
        <v>#REF!</v>
      </c>
      <c r="P75" s="284" t="e">
        <f t="shared" ca="1" si="38"/>
        <v>#REF!</v>
      </c>
      <c r="Q75" s="284" t="e">
        <f t="shared" ca="1" si="39"/>
        <v>#VALUE!</v>
      </c>
      <c r="R75" s="426" t="e">
        <f t="shared" ref="R75:R138" ca="1" si="43">SUM($M75:$Q75)</f>
        <v>#REF!</v>
      </c>
    </row>
    <row r="76" spans="2:18" x14ac:dyDescent="0.25">
      <c r="B76" s="185">
        <f t="shared" ca="1" si="40"/>
        <v>2055</v>
      </c>
      <c r="C76" s="102" t="str">
        <f t="shared" si="27"/>
        <v>R</v>
      </c>
      <c r="D76" s="104">
        <f t="shared" ca="1" si="28"/>
        <v>0.34803907774173354</v>
      </c>
      <c r="E76" s="104">
        <f t="shared" si="29"/>
        <v>1</v>
      </c>
      <c r="F76" s="103">
        <f t="shared" si="30"/>
        <v>0</v>
      </c>
      <c r="G76" s="103">
        <f t="shared" si="31"/>
        <v>0</v>
      </c>
      <c r="H76" s="397" t="e">
        <f t="shared" ca="1" si="32"/>
        <v>#REF!</v>
      </c>
      <c r="I76" s="393" t="e">
        <f t="shared" ca="1" si="33"/>
        <v>#REF!</v>
      </c>
      <c r="J76" s="394" t="e">
        <f t="shared" ca="1" si="34"/>
        <v>#REF!</v>
      </c>
      <c r="K76" s="394" t="e">
        <f t="shared" ca="1" si="35"/>
        <v>#REF!</v>
      </c>
      <c r="L76" s="394" t="e">
        <f t="shared" ca="1" si="36"/>
        <v>#REF!</v>
      </c>
      <c r="M76" s="394" t="e">
        <f t="shared" ca="1" si="41"/>
        <v>#REF!</v>
      </c>
      <c r="N76" s="394" t="e">
        <f t="shared" ca="1" si="42"/>
        <v>#REF!</v>
      </c>
      <c r="O76" s="394" t="e">
        <f t="shared" ca="1" si="37"/>
        <v>#REF!</v>
      </c>
      <c r="P76" s="394" t="e">
        <f t="shared" ca="1" si="38"/>
        <v>#REF!</v>
      </c>
      <c r="Q76" s="394" t="e">
        <f t="shared" ca="1" si="39"/>
        <v>#VALUE!</v>
      </c>
      <c r="R76" s="396" t="e">
        <f t="shared" ca="1" si="43"/>
        <v>#REF!</v>
      </c>
    </row>
    <row r="77" spans="2:18" x14ac:dyDescent="0.25">
      <c r="B77" s="420">
        <f t="shared" ca="1" si="40"/>
        <v>2055</v>
      </c>
      <c r="C77" s="421" t="str">
        <f t="shared" si="27"/>
        <v>N</v>
      </c>
      <c r="D77" s="105">
        <f t="shared" si="28"/>
        <v>1</v>
      </c>
      <c r="E77" s="105">
        <f t="shared" ca="1" si="29"/>
        <v>0.34803907774173354</v>
      </c>
      <c r="F77" s="77">
        <f t="shared" si="30"/>
        <v>0</v>
      </c>
      <c r="G77" s="77">
        <f t="shared" si="31"/>
        <v>0</v>
      </c>
      <c r="H77" s="327" t="e">
        <f t="shared" ca="1" si="32"/>
        <v>#REF!</v>
      </c>
      <c r="I77" s="427" t="e">
        <f t="shared" ca="1" si="33"/>
        <v>#REF!</v>
      </c>
      <c r="J77" s="284" t="e">
        <f t="shared" ca="1" si="34"/>
        <v>#REF!</v>
      </c>
      <c r="K77" s="284" t="e">
        <f t="shared" ca="1" si="35"/>
        <v>#REF!</v>
      </c>
      <c r="L77" s="284" t="e">
        <f t="shared" ca="1" si="36"/>
        <v>#REF!</v>
      </c>
      <c r="M77" s="284" t="e">
        <f t="shared" ca="1" si="41"/>
        <v>#REF!</v>
      </c>
      <c r="N77" s="284" t="e">
        <f t="shared" ca="1" si="42"/>
        <v>#REF!</v>
      </c>
      <c r="O77" s="284" t="e">
        <f t="shared" ca="1" si="37"/>
        <v>#REF!</v>
      </c>
      <c r="P77" s="284" t="e">
        <f t="shared" ca="1" si="38"/>
        <v>#REF!</v>
      </c>
      <c r="Q77" s="284" t="e">
        <f t="shared" ca="1" si="39"/>
        <v>#VALUE!</v>
      </c>
      <c r="R77" s="426" t="e">
        <f t="shared" ca="1" si="43"/>
        <v>#REF!</v>
      </c>
    </row>
    <row r="78" spans="2:18" x14ac:dyDescent="0.25">
      <c r="B78" s="185">
        <f t="shared" ca="1" si="40"/>
        <v>2056</v>
      </c>
      <c r="C78" s="102" t="str">
        <f t="shared" si="27"/>
        <v>R</v>
      </c>
      <c r="D78" s="104">
        <f t="shared" ca="1" si="28"/>
        <v>0.33708385253436662</v>
      </c>
      <c r="E78" s="104">
        <f t="shared" si="29"/>
        <v>1</v>
      </c>
      <c r="F78" s="103">
        <f t="shared" si="30"/>
        <v>0</v>
      </c>
      <c r="G78" s="103">
        <f t="shared" si="31"/>
        <v>0</v>
      </c>
      <c r="H78" s="397" t="e">
        <f t="shared" ca="1" si="32"/>
        <v>#REF!</v>
      </c>
      <c r="I78" s="393" t="e">
        <f t="shared" ca="1" si="33"/>
        <v>#REF!</v>
      </c>
      <c r="J78" s="394" t="e">
        <f t="shared" ca="1" si="34"/>
        <v>#REF!</v>
      </c>
      <c r="K78" s="394" t="e">
        <f t="shared" ca="1" si="35"/>
        <v>#REF!</v>
      </c>
      <c r="L78" s="394" t="e">
        <f t="shared" ca="1" si="36"/>
        <v>#REF!</v>
      </c>
      <c r="M78" s="394" t="e">
        <f t="shared" ca="1" si="41"/>
        <v>#REF!</v>
      </c>
      <c r="N78" s="394" t="e">
        <f t="shared" ca="1" si="42"/>
        <v>#REF!</v>
      </c>
      <c r="O78" s="394" t="e">
        <f t="shared" ca="1" si="37"/>
        <v>#REF!</v>
      </c>
      <c r="P78" s="394" t="e">
        <f t="shared" ca="1" si="38"/>
        <v>#REF!</v>
      </c>
      <c r="Q78" s="394" t="e">
        <f t="shared" ca="1" si="39"/>
        <v>#VALUE!</v>
      </c>
      <c r="R78" s="396" t="e">
        <f t="shared" ca="1" si="43"/>
        <v>#REF!</v>
      </c>
    </row>
    <row r="79" spans="2:18" x14ac:dyDescent="0.25">
      <c r="B79" s="420">
        <f t="shared" ca="1" si="40"/>
        <v>2056</v>
      </c>
      <c r="C79" s="421" t="str">
        <f t="shared" si="27"/>
        <v>N</v>
      </c>
      <c r="D79" s="105">
        <f t="shared" si="28"/>
        <v>1</v>
      </c>
      <c r="E79" s="105">
        <f t="shared" ca="1" si="29"/>
        <v>0.33708385253436662</v>
      </c>
      <c r="F79" s="77">
        <f t="shared" si="30"/>
        <v>0</v>
      </c>
      <c r="G79" s="77">
        <f t="shared" si="31"/>
        <v>0</v>
      </c>
      <c r="H79" s="327" t="e">
        <f t="shared" ca="1" si="32"/>
        <v>#REF!</v>
      </c>
      <c r="I79" s="427" t="e">
        <f t="shared" ca="1" si="33"/>
        <v>#REF!</v>
      </c>
      <c r="J79" s="284" t="e">
        <f t="shared" ca="1" si="34"/>
        <v>#REF!</v>
      </c>
      <c r="K79" s="284" t="e">
        <f t="shared" ca="1" si="35"/>
        <v>#REF!</v>
      </c>
      <c r="L79" s="284" t="e">
        <f t="shared" ca="1" si="36"/>
        <v>#REF!</v>
      </c>
      <c r="M79" s="284" t="e">
        <f t="shared" ca="1" si="41"/>
        <v>#REF!</v>
      </c>
      <c r="N79" s="284" t="e">
        <f t="shared" ca="1" si="42"/>
        <v>#REF!</v>
      </c>
      <c r="O79" s="284" t="e">
        <f t="shared" ca="1" si="37"/>
        <v>#REF!</v>
      </c>
      <c r="P79" s="284" t="e">
        <f t="shared" ca="1" si="38"/>
        <v>#REF!</v>
      </c>
      <c r="Q79" s="284" t="e">
        <f t="shared" ca="1" si="39"/>
        <v>#VALUE!</v>
      </c>
      <c r="R79" s="426" t="e">
        <f t="shared" ca="1" si="43"/>
        <v>#REF!</v>
      </c>
    </row>
    <row r="80" spans="2:18" x14ac:dyDescent="0.25">
      <c r="B80" s="185">
        <f t="shared" ca="1" si="40"/>
        <v>2057</v>
      </c>
      <c r="C80" s="102" t="str">
        <f t="shared" si="27"/>
        <v>R</v>
      </c>
      <c r="D80" s="104">
        <f t="shared" ca="1" si="28"/>
        <v>0.32647346492432605</v>
      </c>
      <c r="E80" s="104">
        <f t="shared" si="29"/>
        <v>1</v>
      </c>
      <c r="F80" s="103">
        <f t="shared" si="30"/>
        <v>0</v>
      </c>
      <c r="G80" s="103">
        <f t="shared" si="31"/>
        <v>0</v>
      </c>
      <c r="H80" s="397" t="e">
        <f t="shared" ca="1" si="32"/>
        <v>#REF!</v>
      </c>
      <c r="I80" s="393" t="e">
        <f t="shared" ca="1" si="33"/>
        <v>#REF!</v>
      </c>
      <c r="J80" s="394" t="e">
        <f t="shared" ca="1" si="34"/>
        <v>#REF!</v>
      </c>
      <c r="K80" s="394" t="e">
        <f t="shared" ca="1" si="35"/>
        <v>#REF!</v>
      </c>
      <c r="L80" s="394" t="e">
        <f t="shared" ca="1" si="36"/>
        <v>#REF!</v>
      </c>
      <c r="M80" s="394" t="e">
        <f t="shared" ca="1" si="41"/>
        <v>#REF!</v>
      </c>
      <c r="N80" s="394" t="e">
        <f t="shared" ca="1" si="42"/>
        <v>#REF!</v>
      </c>
      <c r="O80" s="394" t="e">
        <f t="shared" ca="1" si="37"/>
        <v>#REF!</v>
      </c>
      <c r="P80" s="394" t="e">
        <f t="shared" ca="1" si="38"/>
        <v>#REF!</v>
      </c>
      <c r="Q80" s="394" t="e">
        <f t="shared" ca="1" si="39"/>
        <v>#VALUE!</v>
      </c>
      <c r="R80" s="396" t="e">
        <f t="shared" ca="1" si="43"/>
        <v>#REF!</v>
      </c>
    </row>
    <row r="81" spans="2:18" x14ac:dyDescent="0.25">
      <c r="B81" s="420">
        <f t="shared" ca="1" si="40"/>
        <v>2057</v>
      </c>
      <c r="C81" s="421" t="str">
        <f t="shared" si="27"/>
        <v>N</v>
      </c>
      <c r="D81" s="105">
        <f t="shared" si="28"/>
        <v>1</v>
      </c>
      <c r="E81" s="105">
        <f t="shared" ca="1" si="29"/>
        <v>0.32647346492432605</v>
      </c>
      <c r="F81" s="77">
        <f t="shared" si="30"/>
        <v>0</v>
      </c>
      <c r="G81" s="77">
        <f t="shared" si="31"/>
        <v>0</v>
      </c>
      <c r="H81" s="327" t="e">
        <f t="shared" ca="1" si="32"/>
        <v>#REF!</v>
      </c>
      <c r="I81" s="427" t="e">
        <f t="shared" ca="1" si="33"/>
        <v>#REF!</v>
      </c>
      <c r="J81" s="284" t="e">
        <f t="shared" ca="1" si="34"/>
        <v>#REF!</v>
      </c>
      <c r="K81" s="284" t="e">
        <f t="shared" ca="1" si="35"/>
        <v>#REF!</v>
      </c>
      <c r="L81" s="284" t="e">
        <f t="shared" ca="1" si="36"/>
        <v>#REF!</v>
      </c>
      <c r="M81" s="284" t="e">
        <f t="shared" ca="1" si="41"/>
        <v>#REF!</v>
      </c>
      <c r="N81" s="284" t="e">
        <f t="shared" ca="1" si="42"/>
        <v>#REF!</v>
      </c>
      <c r="O81" s="284" t="e">
        <f t="shared" ca="1" si="37"/>
        <v>#REF!</v>
      </c>
      <c r="P81" s="284" t="e">
        <f t="shared" ca="1" si="38"/>
        <v>#REF!</v>
      </c>
      <c r="Q81" s="284" t="e">
        <f t="shared" ca="1" si="39"/>
        <v>#VALUE!</v>
      </c>
      <c r="R81" s="426" t="e">
        <f t="shared" ca="1" si="43"/>
        <v>#REF!</v>
      </c>
    </row>
    <row r="82" spans="2:18" x14ac:dyDescent="0.25">
      <c r="B82" s="185">
        <f t="shared" ca="1" si="40"/>
        <v>2058</v>
      </c>
      <c r="C82" s="102" t="str">
        <f t="shared" si="27"/>
        <v>R</v>
      </c>
      <c r="D82" s="104">
        <f t="shared" ca="1" si="28"/>
        <v>0.31619706045939572</v>
      </c>
      <c r="E82" s="104">
        <f t="shared" si="29"/>
        <v>1</v>
      </c>
      <c r="F82" s="103">
        <f t="shared" si="30"/>
        <v>0</v>
      </c>
      <c r="G82" s="103">
        <f t="shared" si="31"/>
        <v>0</v>
      </c>
      <c r="H82" s="397" t="e">
        <f t="shared" ca="1" si="32"/>
        <v>#REF!</v>
      </c>
      <c r="I82" s="393" t="e">
        <f t="shared" ca="1" si="33"/>
        <v>#REF!</v>
      </c>
      <c r="J82" s="394" t="e">
        <f t="shared" ca="1" si="34"/>
        <v>#REF!</v>
      </c>
      <c r="K82" s="394" t="e">
        <f t="shared" ca="1" si="35"/>
        <v>#REF!</v>
      </c>
      <c r="L82" s="394" t="e">
        <f t="shared" ca="1" si="36"/>
        <v>#REF!</v>
      </c>
      <c r="M82" s="394" t="e">
        <f t="shared" ca="1" si="41"/>
        <v>#REF!</v>
      </c>
      <c r="N82" s="394" t="e">
        <f t="shared" ca="1" si="42"/>
        <v>#REF!</v>
      </c>
      <c r="O82" s="394" t="e">
        <f t="shared" ca="1" si="37"/>
        <v>#REF!</v>
      </c>
      <c r="P82" s="394" t="e">
        <f t="shared" ca="1" si="38"/>
        <v>#REF!</v>
      </c>
      <c r="Q82" s="394" t="e">
        <f t="shared" ca="1" si="39"/>
        <v>#VALUE!</v>
      </c>
      <c r="R82" s="396" t="e">
        <f t="shared" ca="1" si="43"/>
        <v>#REF!</v>
      </c>
    </row>
    <row r="83" spans="2:18" x14ac:dyDescent="0.25">
      <c r="B83" s="420">
        <f t="shared" ca="1" si="40"/>
        <v>2058</v>
      </c>
      <c r="C83" s="421" t="str">
        <f t="shared" si="27"/>
        <v>N</v>
      </c>
      <c r="D83" s="105">
        <f t="shared" si="28"/>
        <v>1</v>
      </c>
      <c r="E83" s="105">
        <f t="shared" ca="1" si="29"/>
        <v>0.31619706045939572</v>
      </c>
      <c r="F83" s="77">
        <f t="shared" si="30"/>
        <v>0</v>
      </c>
      <c r="G83" s="77">
        <f t="shared" si="31"/>
        <v>0</v>
      </c>
      <c r="H83" s="327" t="e">
        <f t="shared" ca="1" si="32"/>
        <v>#REF!</v>
      </c>
      <c r="I83" s="427" t="e">
        <f t="shared" ca="1" si="33"/>
        <v>#REF!</v>
      </c>
      <c r="J83" s="284" t="e">
        <f t="shared" ca="1" si="34"/>
        <v>#REF!</v>
      </c>
      <c r="K83" s="284" t="e">
        <f t="shared" ca="1" si="35"/>
        <v>#REF!</v>
      </c>
      <c r="L83" s="284" t="e">
        <f t="shared" ca="1" si="36"/>
        <v>#REF!</v>
      </c>
      <c r="M83" s="284" t="e">
        <f t="shared" ca="1" si="41"/>
        <v>#REF!</v>
      </c>
      <c r="N83" s="284" t="e">
        <f t="shared" ca="1" si="42"/>
        <v>#REF!</v>
      </c>
      <c r="O83" s="284" t="e">
        <f t="shared" ca="1" si="37"/>
        <v>#REF!</v>
      </c>
      <c r="P83" s="284" t="e">
        <f t="shared" ca="1" si="38"/>
        <v>#REF!</v>
      </c>
      <c r="Q83" s="284" t="e">
        <f t="shared" ca="1" si="39"/>
        <v>#VALUE!</v>
      </c>
      <c r="R83" s="426" t="e">
        <f t="shared" ca="1" si="43"/>
        <v>#REF!</v>
      </c>
    </row>
    <row r="84" spans="2:18" x14ac:dyDescent="0.25">
      <c r="B84" s="185">
        <f t="shared" ca="1" si="40"/>
        <v>2059</v>
      </c>
      <c r="C84" s="102" t="str">
        <f t="shared" si="27"/>
        <v>R</v>
      </c>
      <c r="D84" s="104">
        <f t="shared" ca="1" si="28"/>
        <v>0.30624412635292564</v>
      </c>
      <c r="E84" s="104">
        <f t="shared" si="29"/>
        <v>1</v>
      </c>
      <c r="F84" s="103">
        <f t="shared" si="30"/>
        <v>0</v>
      </c>
      <c r="G84" s="103">
        <f t="shared" si="31"/>
        <v>0</v>
      </c>
      <c r="H84" s="397" t="e">
        <f t="shared" ca="1" si="32"/>
        <v>#REF!</v>
      </c>
      <c r="I84" s="393" t="e">
        <f t="shared" ca="1" si="33"/>
        <v>#REF!</v>
      </c>
      <c r="J84" s="394" t="e">
        <f t="shared" ca="1" si="34"/>
        <v>#REF!</v>
      </c>
      <c r="K84" s="394" t="e">
        <f t="shared" ca="1" si="35"/>
        <v>#REF!</v>
      </c>
      <c r="L84" s="394" t="e">
        <f t="shared" ca="1" si="36"/>
        <v>#REF!</v>
      </c>
      <c r="M84" s="394" t="e">
        <f t="shared" ca="1" si="41"/>
        <v>#REF!</v>
      </c>
      <c r="N84" s="394" t="e">
        <f t="shared" ca="1" si="42"/>
        <v>#REF!</v>
      </c>
      <c r="O84" s="394" t="e">
        <f t="shared" ca="1" si="37"/>
        <v>#REF!</v>
      </c>
      <c r="P84" s="394" t="e">
        <f t="shared" ca="1" si="38"/>
        <v>#REF!</v>
      </c>
      <c r="Q84" s="394" t="e">
        <f t="shared" ca="1" si="39"/>
        <v>#VALUE!</v>
      </c>
      <c r="R84" s="396" t="e">
        <f t="shared" ca="1" si="43"/>
        <v>#REF!</v>
      </c>
    </row>
    <row r="85" spans="2:18" x14ac:dyDescent="0.25">
      <c r="B85" s="420">
        <f t="shared" ca="1" si="40"/>
        <v>2059</v>
      </c>
      <c r="C85" s="421" t="str">
        <f t="shared" si="27"/>
        <v>N</v>
      </c>
      <c r="D85" s="105">
        <f t="shared" si="28"/>
        <v>1</v>
      </c>
      <c r="E85" s="105">
        <f t="shared" ca="1" si="29"/>
        <v>0.30624412635292564</v>
      </c>
      <c r="F85" s="77">
        <f t="shared" si="30"/>
        <v>0</v>
      </c>
      <c r="G85" s="77">
        <f t="shared" si="31"/>
        <v>0</v>
      </c>
      <c r="H85" s="327" t="e">
        <f t="shared" ca="1" si="32"/>
        <v>#REF!</v>
      </c>
      <c r="I85" s="427" t="e">
        <f t="shared" ca="1" si="33"/>
        <v>#REF!</v>
      </c>
      <c r="J85" s="284" t="e">
        <f t="shared" ca="1" si="34"/>
        <v>#REF!</v>
      </c>
      <c r="K85" s="284" t="e">
        <f t="shared" ca="1" si="35"/>
        <v>#REF!</v>
      </c>
      <c r="L85" s="284" t="e">
        <f t="shared" ca="1" si="36"/>
        <v>#REF!</v>
      </c>
      <c r="M85" s="284" t="e">
        <f t="shared" ca="1" si="41"/>
        <v>#REF!</v>
      </c>
      <c r="N85" s="284" t="e">
        <f t="shared" ca="1" si="42"/>
        <v>#REF!</v>
      </c>
      <c r="O85" s="284" t="e">
        <f t="shared" ca="1" si="37"/>
        <v>#REF!</v>
      </c>
      <c r="P85" s="284" t="e">
        <f t="shared" ca="1" si="38"/>
        <v>#REF!</v>
      </c>
      <c r="Q85" s="284" t="e">
        <f t="shared" ca="1" si="39"/>
        <v>#VALUE!</v>
      </c>
      <c r="R85" s="426" t="e">
        <f t="shared" ca="1" si="43"/>
        <v>#REF!</v>
      </c>
    </row>
    <row r="86" spans="2:18" x14ac:dyDescent="0.25">
      <c r="B86" s="185">
        <f t="shared" ca="1" si="40"/>
        <v>2060</v>
      </c>
      <c r="C86" s="102" t="str">
        <f t="shared" si="27"/>
        <v>R</v>
      </c>
      <c r="D86" s="104">
        <f t="shared" ca="1" si="28"/>
        <v>0.29660448072922579</v>
      </c>
      <c r="E86" s="104">
        <f t="shared" si="29"/>
        <v>1</v>
      </c>
      <c r="F86" s="103">
        <f t="shared" si="30"/>
        <v>0</v>
      </c>
      <c r="G86" s="103">
        <f t="shared" si="31"/>
        <v>0</v>
      </c>
      <c r="H86" s="397" t="e">
        <f t="shared" ca="1" si="32"/>
        <v>#REF!</v>
      </c>
      <c r="I86" s="393" t="e">
        <f t="shared" ca="1" si="33"/>
        <v>#REF!</v>
      </c>
      <c r="J86" s="394" t="e">
        <f t="shared" ca="1" si="34"/>
        <v>#REF!</v>
      </c>
      <c r="K86" s="394" t="e">
        <f t="shared" ca="1" si="35"/>
        <v>#REF!</v>
      </c>
      <c r="L86" s="394" t="e">
        <f t="shared" ca="1" si="36"/>
        <v>#REF!</v>
      </c>
      <c r="M86" s="394" t="e">
        <f t="shared" ca="1" si="41"/>
        <v>#REF!</v>
      </c>
      <c r="N86" s="394" t="e">
        <f t="shared" ca="1" si="42"/>
        <v>#REF!</v>
      </c>
      <c r="O86" s="394" t="e">
        <f t="shared" ca="1" si="37"/>
        <v>#REF!</v>
      </c>
      <c r="P86" s="394" t="e">
        <f t="shared" ca="1" si="38"/>
        <v>#REF!</v>
      </c>
      <c r="Q86" s="394" t="e">
        <f t="shared" ca="1" si="39"/>
        <v>#VALUE!</v>
      </c>
      <c r="R86" s="396" t="e">
        <f t="shared" ca="1" si="43"/>
        <v>#REF!</v>
      </c>
    </row>
    <row r="87" spans="2:18" x14ac:dyDescent="0.25">
      <c r="B87" s="420">
        <f t="shared" ca="1" si="40"/>
        <v>2060</v>
      </c>
      <c r="C87" s="421" t="str">
        <f t="shared" si="27"/>
        <v>N</v>
      </c>
      <c r="D87" s="105">
        <f t="shared" si="28"/>
        <v>1</v>
      </c>
      <c r="E87" s="105">
        <f t="shared" ca="1" si="29"/>
        <v>0.29660448072922579</v>
      </c>
      <c r="F87" s="77">
        <f t="shared" si="30"/>
        <v>0</v>
      </c>
      <c r="G87" s="77">
        <f t="shared" si="31"/>
        <v>0</v>
      </c>
      <c r="H87" s="327" t="e">
        <f t="shared" ca="1" si="32"/>
        <v>#REF!</v>
      </c>
      <c r="I87" s="427" t="e">
        <f t="shared" ca="1" si="33"/>
        <v>#REF!</v>
      </c>
      <c r="J87" s="284" t="e">
        <f t="shared" ca="1" si="34"/>
        <v>#REF!</v>
      </c>
      <c r="K87" s="284" t="e">
        <f t="shared" ca="1" si="35"/>
        <v>#REF!</v>
      </c>
      <c r="L87" s="284" t="e">
        <f t="shared" ca="1" si="36"/>
        <v>#REF!</v>
      </c>
      <c r="M87" s="284" t="e">
        <f t="shared" ca="1" si="41"/>
        <v>#REF!</v>
      </c>
      <c r="N87" s="284" t="e">
        <f t="shared" ca="1" si="42"/>
        <v>#REF!</v>
      </c>
      <c r="O87" s="284" t="e">
        <f t="shared" ca="1" si="37"/>
        <v>#REF!</v>
      </c>
      <c r="P87" s="284" t="e">
        <f t="shared" ca="1" si="38"/>
        <v>#REF!</v>
      </c>
      <c r="Q87" s="284" t="e">
        <f t="shared" ca="1" si="39"/>
        <v>#VALUE!</v>
      </c>
      <c r="R87" s="426" t="e">
        <f t="shared" ca="1" si="43"/>
        <v>#REF!</v>
      </c>
    </row>
    <row r="88" spans="2:18" x14ac:dyDescent="0.25">
      <c r="B88" s="185">
        <f t="shared" ca="1" si="40"/>
        <v>2061</v>
      </c>
      <c r="C88" s="102" t="str">
        <f t="shared" si="27"/>
        <v>R</v>
      </c>
      <c r="D88" s="104">
        <f t="shared" ca="1" si="28"/>
        <v>0.28726826220748264</v>
      </c>
      <c r="E88" s="104">
        <f t="shared" si="29"/>
        <v>1</v>
      </c>
      <c r="F88" s="103">
        <f t="shared" si="30"/>
        <v>0</v>
      </c>
      <c r="G88" s="103">
        <f t="shared" si="31"/>
        <v>0</v>
      </c>
      <c r="H88" s="397" t="e">
        <f t="shared" ca="1" si="32"/>
        <v>#REF!</v>
      </c>
      <c r="I88" s="393" t="e">
        <f t="shared" ca="1" si="33"/>
        <v>#REF!</v>
      </c>
      <c r="J88" s="394" t="e">
        <f t="shared" ca="1" si="34"/>
        <v>#REF!</v>
      </c>
      <c r="K88" s="394" t="e">
        <f t="shared" ca="1" si="35"/>
        <v>#REF!</v>
      </c>
      <c r="L88" s="394" t="e">
        <f t="shared" ca="1" si="36"/>
        <v>#REF!</v>
      </c>
      <c r="M88" s="394" t="e">
        <f t="shared" ca="1" si="41"/>
        <v>#REF!</v>
      </c>
      <c r="N88" s="394" t="e">
        <f t="shared" ca="1" si="42"/>
        <v>#REF!</v>
      </c>
      <c r="O88" s="394" t="e">
        <f t="shared" ca="1" si="37"/>
        <v>#REF!</v>
      </c>
      <c r="P88" s="394" t="e">
        <f t="shared" ca="1" si="38"/>
        <v>#REF!</v>
      </c>
      <c r="Q88" s="394" t="e">
        <f t="shared" ca="1" si="39"/>
        <v>#VALUE!</v>
      </c>
      <c r="R88" s="396" t="e">
        <f t="shared" ca="1" si="43"/>
        <v>#REF!</v>
      </c>
    </row>
    <row r="89" spans="2:18" x14ac:dyDescent="0.25">
      <c r="B89" s="420">
        <f t="shared" ca="1" si="40"/>
        <v>2061</v>
      </c>
      <c r="C89" s="421" t="str">
        <f t="shared" si="27"/>
        <v>N</v>
      </c>
      <c r="D89" s="105">
        <f t="shared" si="28"/>
        <v>1</v>
      </c>
      <c r="E89" s="105">
        <f t="shared" ca="1" si="29"/>
        <v>0.28726826220748264</v>
      </c>
      <c r="F89" s="77">
        <f t="shared" si="30"/>
        <v>0</v>
      </c>
      <c r="G89" s="77">
        <f t="shared" si="31"/>
        <v>0</v>
      </c>
      <c r="H89" s="327" t="e">
        <f t="shared" ca="1" si="32"/>
        <v>#REF!</v>
      </c>
      <c r="I89" s="427" t="e">
        <f t="shared" ca="1" si="33"/>
        <v>#REF!</v>
      </c>
      <c r="J89" s="284" t="e">
        <f t="shared" ca="1" si="34"/>
        <v>#REF!</v>
      </c>
      <c r="K89" s="284" t="e">
        <f t="shared" ca="1" si="35"/>
        <v>#REF!</v>
      </c>
      <c r="L89" s="284" t="e">
        <f t="shared" ca="1" si="36"/>
        <v>#REF!</v>
      </c>
      <c r="M89" s="284" t="e">
        <f t="shared" ca="1" si="41"/>
        <v>#REF!</v>
      </c>
      <c r="N89" s="284" t="e">
        <f t="shared" ca="1" si="42"/>
        <v>#REF!</v>
      </c>
      <c r="O89" s="284" t="e">
        <f t="shared" ca="1" si="37"/>
        <v>#REF!</v>
      </c>
      <c r="P89" s="284" t="e">
        <f t="shared" ca="1" si="38"/>
        <v>#REF!</v>
      </c>
      <c r="Q89" s="284" t="e">
        <f t="shared" ca="1" si="39"/>
        <v>#VALUE!</v>
      </c>
      <c r="R89" s="426" t="e">
        <f t="shared" ca="1" si="43"/>
        <v>#REF!</v>
      </c>
    </row>
    <row r="90" spans="2:18" x14ac:dyDescent="0.25">
      <c r="B90" s="185">
        <f t="shared" ca="1" si="40"/>
        <v>2062</v>
      </c>
      <c r="C90" s="102" t="str">
        <f t="shared" si="27"/>
        <v>R</v>
      </c>
      <c r="D90" s="104">
        <f t="shared" ca="1" si="28"/>
        <v>0.2782259198135425</v>
      </c>
      <c r="E90" s="104">
        <f t="shared" si="29"/>
        <v>1</v>
      </c>
      <c r="F90" s="103">
        <f t="shared" si="30"/>
        <v>0</v>
      </c>
      <c r="G90" s="103">
        <f t="shared" si="31"/>
        <v>0</v>
      </c>
      <c r="H90" s="397" t="e">
        <f t="shared" ca="1" si="32"/>
        <v>#REF!</v>
      </c>
      <c r="I90" s="393" t="e">
        <f t="shared" ca="1" si="33"/>
        <v>#REF!</v>
      </c>
      <c r="J90" s="394" t="e">
        <f t="shared" ca="1" si="34"/>
        <v>#REF!</v>
      </c>
      <c r="K90" s="394" t="e">
        <f t="shared" ca="1" si="35"/>
        <v>#REF!</v>
      </c>
      <c r="L90" s="394" t="e">
        <f t="shared" ca="1" si="36"/>
        <v>#REF!</v>
      </c>
      <c r="M90" s="394" t="e">
        <f t="shared" ca="1" si="41"/>
        <v>#REF!</v>
      </c>
      <c r="N90" s="394" t="e">
        <f t="shared" ca="1" si="42"/>
        <v>#REF!</v>
      </c>
      <c r="O90" s="394" t="e">
        <f t="shared" ca="1" si="37"/>
        <v>#REF!</v>
      </c>
      <c r="P90" s="394" t="e">
        <f t="shared" ca="1" si="38"/>
        <v>#REF!</v>
      </c>
      <c r="Q90" s="394" t="e">
        <f t="shared" ca="1" si="39"/>
        <v>#VALUE!</v>
      </c>
      <c r="R90" s="396" t="e">
        <f t="shared" ca="1" si="43"/>
        <v>#REF!</v>
      </c>
    </row>
    <row r="91" spans="2:18" x14ac:dyDescent="0.25">
      <c r="B91" s="420">
        <f t="shared" ca="1" si="40"/>
        <v>2062</v>
      </c>
      <c r="C91" s="421" t="str">
        <f t="shared" si="27"/>
        <v>N</v>
      </c>
      <c r="D91" s="105">
        <f t="shared" si="28"/>
        <v>1</v>
      </c>
      <c r="E91" s="105">
        <f t="shared" ca="1" si="29"/>
        <v>0.2782259198135425</v>
      </c>
      <c r="F91" s="77">
        <f t="shared" si="30"/>
        <v>0</v>
      </c>
      <c r="G91" s="77">
        <f t="shared" si="31"/>
        <v>0</v>
      </c>
      <c r="H91" s="327" t="e">
        <f t="shared" ca="1" si="32"/>
        <v>#REF!</v>
      </c>
      <c r="I91" s="427" t="e">
        <f t="shared" ca="1" si="33"/>
        <v>#REF!</v>
      </c>
      <c r="J91" s="284" t="e">
        <f t="shared" ca="1" si="34"/>
        <v>#REF!</v>
      </c>
      <c r="K91" s="284" t="e">
        <f t="shared" ca="1" si="35"/>
        <v>#REF!</v>
      </c>
      <c r="L91" s="284" t="e">
        <f t="shared" ca="1" si="36"/>
        <v>#REF!</v>
      </c>
      <c r="M91" s="284" t="e">
        <f t="shared" ca="1" si="41"/>
        <v>#REF!</v>
      </c>
      <c r="N91" s="284" t="e">
        <f t="shared" ca="1" si="42"/>
        <v>#REF!</v>
      </c>
      <c r="O91" s="284" t="e">
        <f t="shared" ca="1" si="37"/>
        <v>#REF!</v>
      </c>
      <c r="P91" s="284" t="e">
        <f t="shared" ca="1" si="38"/>
        <v>#REF!</v>
      </c>
      <c r="Q91" s="284" t="e">
        <f t="shared" ca="1" si="39"/>
        <v>#VALUE!</v>
      </c>
      <c r="R91" s="426" t="e">
        <f t="shared" ca="1" si="43"/>
        <v>#REF!</v>
      </c>
    </row>
    <row r="92" spans="2:18" x14ac:dyDescent="0.25">
      <c r="B92" s="185">
        <f t="shared" ca="1" si="40"/>
        <v>2063</v>
      </c>
      <c r="C92" s="102" t="str">
        <f t="shared" si="27"/>
        <v>R</v>
      </c>
      <c r="D92" s="104">
        <f t="shared" ca="1" si="28"/>
        <v>0.26946820320924214</v>
      </c>
      <c r="E92" s="104">
        <f t="shared" si="29"/>
        <v>1</v>
      </c>
      <c r="F92" s="103">
        <f t="shared" si="30"/>
        <v>0</v>
      </c>
      <c r="G92" s="103">
        <f t="shared" si="31"/>
        <v>0</v>
      </c>
      <c r="H92" s="397" t="e">
        <f t="shared" ca="1" si="32"/>
        <v>#REF!</v>
      </c>
      <c r="I92" s="393" t="e">
        <f t="shared" ca="1" si="33"/>
        <v>#REF!</v>
      </c>
      <c r="J92" s="394" t="e">
        <f t="shared" ca="1" si="34"/>
        <v>#REF!</v>
      </c>
      <c r="K92" s="394" t="e">
        <f t="shared" ca="1" si="35"/>
        <v>#REF!</v>
      </c>
      <c r="L92" s="394" t="e">
        <f t="shared" ca="1" si="36"/>
        <v>#REF!</v>
      </c>
      <c r="M92" s="394" t="e">
        <f t="shared" ca="1" si="41"/>
        <v>#REF!</v>
      </c>
      <c r="N92" s="394" t="e">
        <f t="shared" ca="1" si="42"/>
        <v>#REF!</v>
      </c>
      <c r="O92" s="394" t="e">
        <f t="shared" ca="1" si="37"/>
        <v>#REF!</v>
      </c>
      <c r="P92" s="394" t="e">
        <f t="shared" ca="1" si="38"/>
        <v>#REF!</v>
      </c>
      <c r="Q92" s="394" t="e">
        <f t="shared" ca="1" si="39"/>
        <v>#VALUE!</v>
      </c>
      <c r="R92" s="396" t="e">
        <f t="shared" ca="1" si="43"/>
        <v>#REF!</v>
      </c>
    </row>
    <row r="93" spans="2:18" x14ac:dyDescent="0.25">
      <c r="B93" s="420">
        <f t="shared" ca="1" si="40"/>
        <v>2063</v>
      </c>
      <c r="C93" s="421" t="str">
        <f t="shared" si="27"/>
        <v>N</v>
      </c>
      <c r="D93" s="105">
        <f t="shared" si="28"/>
        <v>1</v>
      </c>
      <c r="E93" s="105">
        <f t="shared" ca="1" si="29"/>
        <v>0.26946820320924214</v>
      </c>
      <c r="F93" s="77">
        <f t="shared" si="30"/>
        <v>0</v>
      </c>
      <c r="G93" s="77">
        <f t="shared" si="31"/>
        <v>0</v>
      </c>
      <c r="H93" s="327" t="e">
        <f t="shared" ca="1" si="32"/>
        <v>#REF!</v>
      </c>
      <c r="I93" s="427" t="e">
        <f t="shared" ca="1" si="33"/>
        <v>#REF!</v>
      </c>
      <c r="J93" s="284" t="e">
        <f t="shared" ca="1" si="34"/>
        <v>#REF!</v>
      </c>
      <c r="K93" s="284" t="e">
        <f t="shared" ca="1" si="35"/>
        <v>#REF!</v>
      </c>
      <c r="L93" s="284" t="e">
        <f t="shared" ca="1" si="36"/>
        <v>#REF!</v>
      </c>
      <c r="M93" s="284" t="e">
        <f t="shared" ca="1" si="41"/>
        <v>#REF!</v>
      </c>
      <c r="N93" s="284" t="e">
        <f t="shared" ca="1" si="42"/>
        <v>#REF!</v>
      </c>
      <c r="O93" s="284" t="e">
        <f t="shared" ca="1" si="37"/>
        <v>#REF!</v>
      </c>
      <c r="P93" s="284" t="e">
        <f t="shared" ca="1" si="38"/>
        <v>#REF!</v>
      </c>
      <c r="Q93" s="284" t="e">
        <f t="shared" ca="1" si="39"/>
        <v>#VALUE!</v>
      </c>
      <c r="R93" s="426" t="e">
        <f t="shared" ca="1" si="43"/>
        <v>#REF!</v>
      </c>
    </row>
    <row r="94" spans="2:18" x14ac:dyDescent="0.25">
      <c r="B94" s="185">
        <f t="shared" ca="1" si="40"/>
        <v>2064</v>
      </c>
      <c r="C94" s="102" t="str">
        <f t="shared" si="27"/>
        <v>R</v>
      </c>
      <c r="D94" s="104">
        <f t="shared" ca="1" si="28"/>
        <v>0.2609861532292902</v>
      </c>
      <c r="E94" s="104">
        <f t="shared" si="29"/>
        <v>1</v>
      </c>
      <c r="F94" s="103">
        <f t="shared" si="30"/>
        <v>0</v>
      </c>
      <c r="G94" s="103">
        <f t="shared" si="31"/>
        <v>0</v>
      </c>
      <c r="H94" s="397" t="e">
        <f t="shared" ca="1" si="32"/>
        <v>#REF!</v>
      </c>
      <c r="I94" s="393" t="e">
        <f t="shared" ca="1" si="33"/>
        <v>#REF!</v>
      </c>
      <c r="J94" s="394" t="e">
        <f t="shared" ca="1" si="34"/>
        <v>#REF!</v>
      </c>
      <c r="K94" s="394" t="e">
        <f t="shared" ca="1" si="35"/>
        <v>#REF!</v>
      </c>
      <c r="L94" s="394" t="e">
        <f t="shared" ca="1" si="36"/>
        <v>#REF!</v>
      </c>
      <c r="M94" s="394" t="e">
        <f t="shared" ca="1" si="41"/>
        <v>#REF!</v>
      </c>
      <c r="N94" s="394" t="e">
        <f t="shared" ca="1" si="42"/>
        <v>#REF!</v>
      </c>
      <c r="O94" s="394" t="e">
        <f t="shared" ca="1" si="37"/>
        <v>#REF!</v>
      </c>
      <c r="P94" s="394" t="e">
        <f t="shared" ca="1" si="38"/>
        <v>#REF!</v>
      </c>
      <c r="Q94" s="394" t="e">
        <f t="shared" ca="1" si="39"/>
        <v>#VALUE!</v>
      </c>
      <c r="R94" s="396" t="e">
        <f t="shared" ca="1" si="43"/>
        <v>#REF!</v>
      </c>
    </row>
    <row r="95" spans="2:18" x14ac:dyDescent="0.25">
      <c r="B95" s="420">
        <f t="shared" ca="1" si="40"/>
        <v>2064</v>
      </c>
      <c r="C95" s="421" t="str">
        <f t="shared" si="27"/>
        <v>N</v>
      </c>
      <c r="D95" s="105">
        <f t="shared" si="28"/>
        <v>1</v>
      </c>
      <c r="E95" s="105">
        <f t="shared" ca="1" si="29"/>
        <v>0.2609861532292902</v>
      </c>
      <c r="F95" s="77">
        <f t="shared" si="30"/>
        <v>0</v>
      </c>
      <c r="G95" s="77">
        <f t="shared" si="31"/>
        <v>0</v>
      </c>
      <c r="H95" s="327" t="e">
        <f t="shared" ca="1" si="32"/>
        <v>#REF!</v>
      </c>
      <c r="I95" s="427" t="e">
        <f t="shared" ca="1" si="33"/>
        <v>#REF!</v>
      </c>
      <c r="J95" s="284" t="e">
        <f t="shared" ca="1" si="34"/>
        <v>#REF!</v>
      </c>
      <c r="K95" s="284" t="e">
        <f t="shared" ca="1" si="35"/>
        <v>#REF!</v>
      </c>
      <c r="L95" s="284" t="e">
        <f t="shared" ca="1" si="36"/>
        <v>#REF!</v>
      </c>
      <c r="M95" s="284" t="e">
        <f t="shared" ca="1" si="41"/>
        <v>#REF!</v>
      </c>
      <c r="N95" s="284" t="e">
        <f t="shared" ca="1" si="42"/>
        <v>#REF!</v>
      </c>
      <c r="O95" s="284" t="e">
        <f t="shared" ca="1" si="37"/>
        <v>#REF!</v>
      </c>
      <c r="P95" s="284" t="e">
        <f t="shared" ca="1" si="38"/>
        <v>#REF!</v>
      </c>
      <c r="Q95" s="284" t="e">
        <f t="shared" ca="1" si="39"/>
        <v>#VALUE!</v>
      </c>
      <c r="R95" s="426" t="e">
        <f t="shared" ca="1" si="43"/>
        <v>#REF!</v>
      </c>
    </row>
    <row r="96" spans="2:18" x14ac:dyDescent="0.25">
      <c r="B96" s="185">
        <f t="shared" ca="1" si="40"/>
        <v>2065</v>
      </c>
      <c r="C96" s="102" t="str">
        <f t="shared" si="27"/>
        <v>R</v>
      </c>
      <c r="D96" s="104">
        <f t="shared" ca="1" si="28"/>
        <v>0.25277109271601955</v>
      </c>
      <c r="E96" s="104">
        <f t="shared" si="29"/>
        <v>1</v>
      </c>
      <c r="F96" s="103">
        <f t="shared" si="30"/>
        <v>0</v>
      </c>
      <c r="G96" s="103">
        <f t="shared" si="31"/>
        <v>0</v>
      </c>
      <c r="H96" s="397" t="e">
        <f t="shared" ca="1" si="32"/>
        <v>#REF!</v>
      </c>
      <c r="I96" s="393" t="e">
        <f t="shared" ca="1" si="33"/>
        <v>#REF!</v>
      </c>
      <c r="J96" s="394" t="e">
        <f t="shared" ca="1" si="34"/>
        <v>#REF!</v>
      </c>
      <c r="K96" s="394" t="e">
        <f t="shared" ca="1" si="35"/>
        <v>#REF!</v>
      </c>
      <c r="L96" s="394" t="e">
        <f t="shared" ca="1" si="36"/>
        <v>#REF!</v>
      </c>
      <c r="M96" s="394" t="e">
        <f t="shared" ca="1" si="41"/>
        <v>#REF!</v>
      </c>
      <c r="N96" s="394" t="e">
        <f t="shared" ca="1" si="42"/>
        <v>#REF!</v>
      </c>
      <c r="O96" s="394" t="e">
        <f t="shared" ca="1" si="37"/>
        <v>#REF!</v>
      </c>
      <c r="P96" s="394" t="e">
        <f t="shared" ca="1" si="38"/>
        <v>#REF!</v>
      </c>
      <c r="Q96" s="394" t="e">
        <f t="shared" ca="1" si="39"/>
        <v>#VALUE!</v>
      </c>
      <c r="R96" s="396" t="e">
        <f t="shared" ca="1" si="43"/>
        <v>#REF!</v>
      </c>
    </row>
    <row r="97" spans="2:18" x14ac:dyDescent="0.25">
      <c r="B97" s="420">
        <f t="shared" ca="1" si="40"/>
        <v>2065</v>
      </c>
      <c r="C97" s="421" t="str">
        <f t="shared" si="27"/>
        <v>N</v>
      </c>
      <c r="D97" s="105">
        <f t="shared" si="28"/>
        <v>1</v>
      </c>
      <c r="E97" s="105">
        <f t="shared" ca="1" si="29"/>
        <v>0.25277109271601955</v>
      </c>
      <c r="F97" s="77">
        <f t="shared" si="30"/>
        <v>0</v>
      </c>
      <c r="G97" s="77">
        <f t="shared" si="31"/>
        <v>0</v>
      </c>
      <c r="H97" s="327" t="e">
        <f t="shared" ca="1" si="32"/>
        <v>#REF!</v>
      </c>
      <c r="I97" s="427" t="e">
        <f t="shared" ca="1" si="33"/>
        <v>#REF!</v>
      </c>
      <c r="J97" s="284" t="e">
        <f t="shared" ca="1" si="34"/>
        <v>#REF!</v>
      </c>
      <c r="K97" s="284" t="e">
        <f t="shared" ca="1" si="35"/>
        <v>#REF!</v>
      </c>
      <c r="L97" s="284" t="e">
        <f t="shared" ca="1" si="36"/>
        <v>#REF!</v>
      </c>
      <c r="M97" s="284" t="e">
        <f t="shared" ca="1" si="41"/>
        <v>#REF!</v>
      </c>
      <c r="N97" s="284" t="e">
        <f t="shared" ca="1" si="42"/>
        <v>#REF!</v>
      </c>
      <c r="O97" s="284" t="e">
        <f t="shared" ca="1" si="37"/>
        <v>#REF!</v>
      </c>
      <c r="P97" s="284" t="e">
        <f t="shared" ca="1" si="38"/>
        <v>#REF!</v>
      </c>
      <c r="Q97" s="284" t="e">
        <f t="shared" ca="1" si="39"/>
        <v>#VALUE!</v>
      </c>
      <c r="R97" s="426" t="e">
        <f t="shared" ca="1" si="43"/>
        <v>#REF!</v>
      </c>
    </row>
    <row r="98" spans="2:18" x14ac:dyDescent="0.25">
      <c r="B98" s="185">
        <f t="shared" ca="1" si="40"/>
        <v>2066</v>
      </c>
      <c r="C98" s="102" t="str">
        <f t="shared" si="27"/>
        <v>R</v>
      </c>
      <c r="D98" s="104">
        <f t="shared" ca="1" si="28"/>
        <v>0.24481461764263396</v>
      </c>
      <c r="E98" s="104">
        <f t="shared" si="29"/>
        <v>1</v>
      </c>
      <c r="F98" s="103">
        <f t="shared" si="30"/>
        <v>0</v>
      </c>
      <c r="G98" s="103">
        <f t="shared" si="31"/>
        <v>0</v>
      </c>
      <c r="H98" s="397" t="e">
        <f t="shared" ca="1" si="32"/>
        <v>#REF!</v>
      </c>
      <c r="I98" s="393" t="e">
        <f t="shared" ca="1" si="33"/>
        <v>#REF!</v>
      </c>
      <c r="J98" s="394" t="e">
        <f t="shared" ca="1" si="34"/>
        <v>#REF!</v>
      </c>
      <c r="K98" s="394" t="e">
        <f t="shared" ca="1" si="35"/>
        <v>#REF!</v>
      </c>
      <c r="L98" s="394" t="e">
        <f t="shared" ca="1" si="36"/>
        <v>#REF!</v>
      </c>
      <c r="M98" s="394" t="e">
        <f t="shared" ca="1" si="41"/>
        <v>#REF!</v>
      </c>
      <c r="N98" s="394" t="e">
        <f t="shared" ca="1" si="42"/>
        <v>#REF!</v>
      </c>
      <c r="O98" s="394" t="e">
        <f t="shared" ca="1" si="37"/>
        <v>#REF!</v>
      </c>
      <c r="P98" s="394" t="e">
        <f t="shared" ca="1" si="38"/>
        <v>#REF!</v>
      </c>
      <c r="Q98" s="394" t="e">
        <f t="shared" ca="1" si="39"/>
        <v>#VALUE!</v>
      </c>
      <c r="R98" s="396" t="e">
        <f t="shared" ca="1" si="43"/>
        <v>#REF!</v>
      </c>
    </row>
    <row r="99" spans="2:18" x14ac:dyDescent="0.25">
      <c r="B99" s="420">
        <f t="shared" ca="1" si="40"/>
        <v>2066</v>
      </c>
      <c r="C99" s="421" t="str">
        <f t="shared" si="27"/>
        <v>N</v>
      </c>
      <c r="D99" s="105">
        <f t="shared" si="28"/>
        <v>1</v>
      </c>
      <c r="E99" s="105">
        <f t="shared" ca="1" si="29"/>
        <v>0.24481461764263396</v>
      </c>
      <c r="F99" s="77">
        <f t="shared" si="30"/>
        <v>0</v>
      </c>
      <c r="G99" s="77">
        <f t="shared" si="31"/>
        <v>0</v>
      </c>
      <c r="H99" s="327" t="e">
        <f t="shared" ca="1" si="32"/>
        <v>#REF!</v>
      </c>
      <c r="I99" s="427" t="e">
        <f t="shared" ca="1" si="33"/>
        <v>#REF!</v>
      </c>
      <c r="J99" s="284" t="e">
        <f t="shared" ca="1" si="34"/>
        <v>#REF!</v>
      </c>
      <c r="K99" s="284" t="e">
        <f t="shared" ca="1" si="35"/>
        <v>#REF!</v>
      </c>
      <c r="L99" s="284" t="e">
        <f t="shared" ca="1" si="36"/>
        <v>#REF!</v>
      </c>
      <c r="M99" s="284" t="e">
        <f t="shared" ca="1" si="41"/>
        <v>#REF!</v>
      </c>
      <c r="N99" s="284" t="e">
        <f t="shared" ca="1" si="42"/>
        <v>#REF!</v>
      </c>
      <c r="O99" s="284" t="e">
        <f t="shared" ca="1" si="37"/>
        <v>#REF!</v>
      </c>
      <c r="P99" s="284" t="e">
        <f t="shared" ca="1" si="38"/>
        <v>#REF!</v>
      </c>
      <c r="Q99" s="284" t="e">
        <f t="shared" ca="1" si="39"/>
        <v>#VALUE!</v>
      </c>
      <c r="R99" s="426" t="e">
        <f t="shared" ca="1" si="43"/>
        <v>#REF!</v>
      </c>
    </row>
    <row r="100" spans="2:18" x14ac:dyDescent="0.25">
      <c r="B100" s="185">
        <f t="shared" ca="1" si="40"/>
        <v>2067</v>
      </c>
      <c r="C100" s="102" t="str">
        <f t="shared" si="27"/>
        <v>R</v>
      </c>
      <c r="D100" s="104">
        <f t="shared" ca="1" si="28"/>
        <v>0.23710858851586822</v>
      </c>
      <c r="E100" s="104">
        <f t="shared" si="29"/>
        <v>1</v>
      </c>
      <c r="F100" s="103">
        <f t="shared" si="30"/>
        <v>0</v>
      </c>
      <c r="G100" s="103">
        <f t="shared" si="31"/>
        <v>0</v>
      </c>
      <c r="H100" s="397" t="e">
        <f t="shared" ca="1" si="32"/>
        <v>#REF!</v>
      </c>
      <c r="I100" s="393" t="e">
        <f t="shared" ca="1" si="33"/>
        <v>#REF!</v>
      </c>
      <c r="J100" s="394" t="e">
        <f t="shared" ca="1" si="34"/>
        <v>#REF!</v>
      </c>
      <c r="K100" s="394" t="e">
        <f t="shared" ca="1" si="35"/>
        <v>#REF!</v>
      </c>
      <c r="L100" s="394" t="e">
        <f t="shared" ca="1" si="36"/>
        <v>#REF!</v>
      </c>
      <c r="M100" s="394" t="e">
        <f t="shared" ca="1" si="41"/>
        <v>#REF!</v>
      </c>
      <c r="N100" s="394" t="e">
        <f t="shared" ca="1" si="42"/>
        <v>#REF!</v>
      </c>
      <c r="O100" s="394" t="e">
        <f t="shared" ca="1" si="37"/>
        <v>#REF!</v>
      </c>
      <c r="P100" s="394" t="e">
        <f t="shared" ca="1" si="38"/>
        <v>#REF!</v>
      </c>
      <c r="Q100" s="394" t="e">
        <f t="shared" ca="1" si="39"/>
        <v>#VALUE!</v>
      </c>
      <c r="R100" s="396" t="e">
        <f t="shared" ca="1" si="43"/>
        <v>#REF!</v>
      </c>
    </row>
    <row r="101" spans="2:18" x14ac:dyDescent="0.25">
      <c r="B101" s="420">
        <f t="shared" ca="1" si="40"/>
        <v>2067</v>
      </c>
      <c r="C101" s="421" t="str">
        <f t="shared" si="27"/>
        <v>N</v>
      </c>
      <c r="D101" s="105">
        <f t="shared" si="28"/>
        <v>1</v>
      </c>
      <c r="E101" s="105">
        <f t="shared" ca="1" si="29"/>
        <v>0.23710858851586822</v>
      </c>
      <c r="F101" s="77">
        <f t="shared" si="30"/>
        <v>0</v>
      </c>
      <c r="G101" s="77">
        <f t="shared" si="31"/>
        <v>0</v>
      </c>
      <c r="H101" s="327" t="e">
        <f t="shared" ca="1" si="32"/>
        <v>#REF!</v>
      </c>
      <c r="I101" s="427" t="e">
        <f t="shared" ca="1" si="33"/>
        <v>#REF!</v>
      </c>
      <c r="J101" s="284" t="e">
        <f t="shared" ca="1" si="34"/>
        <v>#REF!</v>
      </c>
      <c r="K101" s="284" t="e">
        <f t="shared" ca="1" si="35"/>
        <v>#REF!</v>
      </c>
      <c r="L101" s="284" t="e">
        <f t="shared" ca="1" si="36"/>
        <v>#REF!</v>
      </c>
      <c r="M101" s="284" t="e">
        <f t="shared" ca="1" si="41"/>
        <v>#REF!</v>
      </c>
      <c r="N101" s="284" t="e">
        <f t="shared" ca="1" si="42"/>
        <v>#REF!</v>
      </c>
      <c r="O101" s="284" t="e">
        <f t="shared" ca="1" si="37"/>
        <v>#REF!</v>
      </c>
      <c r="P101" s="284" t="e">
        <f t="shared" ca="1" si="38"/>
        <v>#REF!</v>
      </c>
      <c r="Q101" s="284" t="e">
        <f t="shared" ca="1" si="39"/>
        <v>#VALUE!</v>
      </c>
      <c r="R101" s="426" t="e">
        <f t="shared" ca="1" si="43"/>
        <v>#REF!</v>
      </c>
    </row>
    <row r="102" spans="2:18" x14ac:dyDescent="0.25">
      <c r="B102" s="185">
        <f t="shared" ca="1" si="40"/>
        <v>2068</v>
      </c>
      <c r="C102" s="102" t="str">
        <f t="shared" si="27"/>
        <v>R</v>
      </c>
      <c r="D102" s="104">
        <f t="shared" ca="1" si="28"/>
        <v>0.22964512204926707</v>
      </c>
      <c r="E102" s="104">
        <f t="shared" si="29"/>
        <v>1</v>
      </c>
      <c r="F102" s="103">
        <f t="shared" si="30"/>
        <v>0</v>
      </c>
      <c r="G102" s="103">
        <f t="shared" si="31"/>
        <v>0</v>
      </c>
      <c r="H102" s="397" t="e">
        <f t="shared" ca="1" si="32"/>
        <v>#REF!</v>
      </c>
      <c r="I102" s="393" t="e">
        <f t="shared" ca="1" si="33"/>
        <v>#REF!</v>
      </c>
      <c r="J102" s="394" t="e">
        <f t="shared" ca="1" si="34"/>
        <v>#REF!</v>
      </c>
      <c r="K102" s="394" t="e">
        <f t="shared" ca="1" si="35"/>
        <v>#REF!</v>
      </c>
      <c r="L102" s="394" t="e">
        <f t="shared" ca="1" si="36"/>
        <v>#REF!</v>
      </c>
      <c r="M102" s="394" t="e">
        <f t="shared" ca="1" si="41"/>
        <v>#REF!</v>
      </c>
      <c r="N102" s="394" t="e">
        <f t="shared" ca="1" si="42"/>
        <v>#REF!</v>
      </c>
      <c r="O102" s="394" t="e">
        <f t="shared" ca="1" si="37"/>
        <v>#REF!</v>
      </c>
      <c r="P102" s="394" t="e">
        <f t="shared" ca="1" si="38"/>
        <v>#REF!</v>
      </c>
      <c r="Q102" s="394" t="e">
        <f t="shared" ca="1" si="39"/>
        <v>#VALUE!</v>
      </c>
      <c r="R102" s="396" t="e">
        <f t="shared" ca="1" si="43"/>
        <v>#REF!</v>
      </c>
    </row>
    <row r="103" spans="2:18" x14ac:dyDescent="0.25">
      <c r="B103" s="420">
        <f t="shared" ca="1" si="40"/>
        <v>2068</v>
      </c>
      <c r="C103" s="421" t="str">
        <f t="shared" si="27"/>
        <v>N</v>
      </c>
      <c r="D103" s="105">
        <f t="shared" si="28"/>
        <v>1</v>
      </c>
      <c r="E103" s="105">
        <f t="shared" ca="1" si="29"/>
        <v>0.22964512204926707</v>
      </c>
      <c r="F103" s="77">
        <f t="shared" si="30"/>
        <v>0</v>
      </c>
      <c r="G103" s="77">
        <f t="shared" si="31"/>
        <v>0</v>
      </c>
      <c r="H103" s="327" t="e">
        <f t="shared" ca="1" si="32"/>
        <v>#REF!</v>
      </c>
      <c r="I103" s="427" t="e">
        <f t="shared" ca="1" si="33"/>
        <v>#REF!</v>
      </c>
      <c r="J103" s="284" t="e">
        <f t="shared" ca="1" si="34"/>
        <v>#REF!</v>
      </c>
      <c r="K103" s="284" t="e">
        <f t="shared" ca="1" si="35"/>
        <v>#REF!</v>
      </c>
      <c r="L103" s="284" t="e">
        <f t="shared" ca="1" si="36"/>
        <v>#REF!</v>
      </c>
      <c r="M103" s="284" t="e">
        <f t="shared" ca="1" si="41"/>
        <v>#REF!</v>
      </c>
      <c r="N103" s="284" t="e">
        <f t="shared" ca="1" si="42"/>
        <v>#REF!</v>
      </c>
      <c r="O103" s="284" t="e">
        <f t="shared" ca="1" si="37"/>
        <v>#REF!</v>
      </c>
      <c r="P103" s="284" t="e">
        <f t="shared" ca="1" si="38"/>
        <v>#REF!</v>
      </c>
      <c r="Q103" s="284" t="e">
        <f t="shared" ca="1" si="39"/>
        <v>#VALUE!</v>
      </c>
      <c r="R103" s="426" t="e">
        <f t="shared" ca="1" si="43"/>
        <v>#REF!</v>
      </c>
    </row>
    <row r="104" spans="2:18" x14ac:dyDescent="0.25">
      <c r="B104" s="185">
        <f t="shared" ca="1" si="40"/>
        <v>2069</v>
      </c>
      <c r="C104" s="102" t="str">
        <f t="shared" si="27"/>
        <v>R</v>
      </c>
      <c r="D104" s="104">
        <f t="shared" ca="1" si="28"/>
        <v>0.22241658309856374</v>
      </c>
      <c r="E104" s="104">
        <f t="shared" si="29"/>
        <v>1</v>
      </c>
      <c r="F104" s="103">
        <f t="shared" si="30"/>
        <v>0</v>
      </c>
      <c r="G104" s="103">
        <f t="shared" si="31"/>
        <v>0</v>
      </c>
      <c r="H104" s="397" t="e">
        <f t="shared" ca="1" si="32"/>
        <v>#REF!</v>
      </c>
      <c r="I104" s="393" t="e">
        <f t="shared" ca="1" si="33"/>
        <v>#REF!</v>
      </c>
      <c r="J104" s="394" t="e">
        <f t="shared" ca="1" si="34"/>
        <v>#REF!</v>
      </c>
      <c r="K104" s="394" t="e">
        <f t="shared" ca="1" si="35"/>
        <v>#REF!</v>
      </c>
      <c r="L104" s="394" t="e">
        <f t="shared" ca="1" si="36"/>
        <v>#REF!</v>
      </c>
      <c r="M104" s="394" t="e">
        <f t="shared" ca="1" si="41"/>
        <v>#REF!</v>
      </c>
      <c r="N104" s="394" t="e">
        <f t="shared" ca="1" si="42"/>
        <v>#REF!</v>
      </c>
      <c r="O104" s="394" t="e">
        <f t="shared" ca="1" si="37"/>
        <v>#REF!</v>
      </c>
      <c r="P104" s="394" t="e">
        <f t="shared" ca="1" si="38"/>
        <v>#REF!</v>
      </c>
      <c r="Q104" s="394" t="e">
        <f t="shared" ca="1" si="39"/>
        <v>#VALUE!</v>
      </c>
      <c r="R104" s="396" t="e">
        <f t="shared" ca="1" si="43"/>
        <v>#REF!</v>
      </c>
    </row>
    <row r="105" spans="2:18" x14ac:dyDescent="0.25">
      <c r="B105" s="420">
        <f t="shared" ca="1" si="40"/>
        <v>2069</v>
      </c>
      <c r="C105" s="421" t="str">
        <f t="shared" si="27"/>
        <v>N</v>
      </c>
      <c r="D105" s="105">
        <f t="shared" si="28"/>
        <v>1</v>
      </c>
      <c r="E105" s="105">
        <f t="shared" ca="1" si="29"/>
        <v>0.22241658309856374</v>
      </c>
      <c r="F105" s="77">
        <f t="shared" si="30"/>
        <v>0</v>
      </c>
      <c r="G105" s="77">
        <f t="shared" si="31"/>
        <v>0</v>
      </c>
      <c r="H105" s="327" t="e">
        <f t="shared" ca="1" si="32"/>
        <v>#REF!</v>
      </c>
      <c r="I105" s="427" t="e">
        <f t="shared" ca="1" si="33"/>
        <v>#REF!</v>
      </c>
      <c r="J105" s="284" t="e">
        <f t="shared" ca="1" si="34"/>
        <v>#REF!</v>
      </c>
      <c r="K105" s="284" t="e">
        <f t="shared" ca="1" si="35"/>
        <v>#REF!</v>
      </c>
      <c r="L105" s="284" t="e">
        <f t="shared" ca="1" si="36"/>
        <v>#REF!</v>
      </c>
      <c r="M105" s="284" t="e">
        <f t="shared" ca="1" si="41"/>
        <v>#REF!</v>
      </c>
      <c r="N105" s="284" t="e">
        <f t="shared" ca="1" si="42"/>
        <v>#REF!</v>
      </c>
      <c r="O105" s="284" t="e">
        <f t="shared" ca="1" si="37"/>
        <v>#REF!</v>
      </c>
      <c r="P105" s="284" t="e">
        <f t="shared" ca="1" si="38"/>
        <v>#REF!</v>
      </c>
      <c r="Q105" s="284" t="e">
        <f t="shared" ca="1" si="39"/>
        <v>#VALUE!</v>
      </c>
      <c r="R105" s="426" t="e">
        <f t="shared" ca="1" si="43"/>
        <v>#REF!</v>
      </c>
    </row>
    <row r="106" spans="2:18" x14ac:dyDescent="0.25">
      <c r="B106" s="185">
        <f t="shared" ca="1" si="40"/>
        <v>2070</v>
      </c>
      <c r="C106" s="102" t="str">
        <f t="shared" si="27"/>
        <v>R</v>
      </c>
      <c r="D106" s="104">
        <f t="shared" ca="1" si="28"/>
        <v>0.21541557685090923</v>
      </c>
      <c r="E106" s="104">
        <f t="shared" ref="E106:E137" si="44">CHOOSE(MOD(ROW(),2)+1,1,INDEX(SC_EA_InflationCPIdx,EAIDX))</f>
        <v>1</v>
      </c>
      <c r="F106" s="103">
        <f t="shared" si="30"/>
        <v>0</v>
      </c>
      <c r="G106" s="103">
        <f t="shared" si="31"/>
        <v>0</v>
      </c>
      <c r="H106" s="397" t="e">
        <f t="shared" ref="H106:H137" ca="1" si="45">AVERAGE(OFFSET(SC_ZX_EffectiveTaxRateA,ZXIDX1-1,0,(SC_YearStop-$B106)*2))</f>
        <v>#REF!</v>
      </c>
      <c r="I106" s="393" t="e">
        <f t="shared" ref="I106:I137" ca="1" si="46">INDEX(SC_ZX_BalanceBTA,ZXIDX1)*$D106</f>
        <v>#REF!</v>
      </c>
      <c r="J106" s="394" t="e">
        <f t="shared" ref="J106:J137" ca="1" si="47">INDEX(SC_ZX_BalanceATA,ZXIDX1)*$D106</f>
        <v>#REF!</v>
      </c>
      <c r="K106" s="394" t="e">
        <f t="shared" ref="K106:K137" ca="1" si="48">INDEX(SC_ZA_AnnyBalanceBT,ZAIDX)*$D106</f>
        <v>#REF!</v>
      </c>
      <c r="L106" s="394" t="e">
        <f t="shared" ref="L106:L137" ca="1" si="49">INDEX(SC_ZA_AnnyBalanceAT,ZAIDX)*$D106</f>
        <v>#REF!</v>
      </c>
      <c r="M106" s="394" t="e">
        <f t="shared" ca="1" si="41"/>
        <v>#REF!</v>
      </c>
      <c r="N106" s="394" t="e">
        <f t="shared" ca="1" si="42"/>
        <v>#REF!</v>
      </c>
      <c r="O106" s="394" t="e">
        <f t="shared" ref="O106:O137" ca="1" si="50">INDEX(SC_ZX_SSPVA,ZXIDX1)*$D106*(1-$H106)</f>
        <v>#REF!</v>
      </c>
      <c r="P106" s="394" t="e">
        <f t="shared" ref="P106:P137" ca="1" si="51">((INDEX(SC_ZA_HomeEquity,ZAIDX)*(1-LT_RealtorFees))+SP_OtherAssets/INDEX(SC_EA_InflationCPIdx,EAIDX))*$D106</f>
        <v>#REF!</v>
      </c>
      <c r="Q106" s="394" t="e">
        <f t="shared" ca="1" si="39"/>
        <v>#VALUE!</v>
      </c>
      <c r="R106" s="396" t="e">
        <f t="shared" ca="1" si="43"/>
        <v>#REF!</v>
      </c>
    </row>
    <row r="107" spans="2:18" x14ac:dyDescent="0.25">
      <c r="B107" s="420">
        <f t="shared" ca="1" si="40"/>
        <v>2070</v>
      </c>
      <c r="C107" s="421" t="str">
        <f t="shared" si="27"/>
        <v>N</v>
      </c>
      <c r="D107" s="105">
        <f t="shared" si="28"/>
        <v>1</v>
      </c>
      <c r="E107" s="105">
        <f t="shared" ca="1" si="44"/>
        <v>0.21541557685090923</v>
      </c>
      <c r="F107" s="77">
        <f t="shared" si="30"/>
        <v>0</v>
      </c>
      <c r="G107" s="77">
        <f t="shared" si="31"/>
        <v>0</v>
      </c>
      <c r="H107" s="327" t="e">
        <f t="shared" ca="1" si="45"/>
        <v>#REF!</v>
      </c>
      <c r="I107" s="427" t="e">
        <f t="shared" ca="1" si="46"/>
        <v>#REF!</v>
      </c>
      <c r="J107" s="284" t="e">
        <f t="shared" ca="1" si="47"/>
        <v>#REF!</v>
      </c>
      <c r="K107" s="284" t="e">
        <f t="shared" ca="1" si="48"/>
        <v>#REF!</v>
      </c>
      <c r="L107" s="284" t="e">
        <f t="shared" ca="1" si="49"/>
        <v>#REF!</v>
      </c>
      <c r="M107" s="284" t="e">
        <f t="shared" ca="1" si="41"/>
        <v>#REF!</v>
      </c>
      <c r="N107" s="284" t="e">
        <f t="shared" ca="1" si="42"/>
        <v>#REF!</v>
      </c>
      <c r="O107" s="284" t="e">
        <f t="shared" ca="1" si="50"/>
        <v>#REF!</v>
      </c>
      <c r="P107" s="284" t="e">
        <f t="shared" ca="1" si="51"/>
        <v>#REF!</v>
      </c>
      <c r="Q107" s="284" t="e">
        <f t="shared" ca="1" si="39"/>
        <v>#VALUE!</v>
      </c>
      <c r="R107" s="426" t="e">
        <f t="shared" ca="1" si="43"/>
        <v>#REF!</v>
      </c>
    </row>
    <row r="108" spans="2:18" x14ac:dyDescent="0.25">
      <c r="B108" s="185">
        <f t="shared" ca="1" si="40"/>
        <v>2071</v>
      </c>
      <c r="C108" s="102" t="str">
        <f t="shared" si="27"/>
        <v>R</v>
      </c>
      <c r="D108" s="104">
        <f t="shared" ca="1" si="28"/>
        <v>0.20863494125996052</v>
      </c>
      <c r="E108" s="104">
        <f t="shared" si="44"/>
        <v>1</v>
      </c>
      <c r="F108" s="103">
        <f t="shared" si="30"/>
        <v>0</v>
      </c>
      <c r="G108" s="103">
        <f t="shared" si="31"/>
        <v>0</v>
      </c>
      <c r="H108" s="397" t="e">
        <f t="shared" ca="1" si="45"/>
        <v>#REF!</v>
      </c>
      <c r="I108" s="393" t="e">
        <f t="shared" ca="1" si="46"/>
        <v>#REF!</v>
      </c>
      <c r="J108" s="394" t="e">
        <f t="shared" ca="1" si="47"/>
        <v>#REF!</v>
      </c>
      <c r="K108" s="394" t="e">
        <f t="shared" ca="1" si="48"/>
        <v>#REF!</v>
      </c>
      <c r="L108" s="394" t="e">
        <f t="shared" ca="1" si="49"/>
        <v>#REF!</v>
      </c>
      <c r="M108" s="394" t="e">
        <f t="shared" ca="1" si="41"/>
        <v>#REF!</v>
      </c>
      <c r="N108" s="394" t="e">
        <f t="shared" ca="1" si="42"/>
        <v>#REF!</v>
      </c>
      <c r="O108" s="394" t="e">
        <f t="shared" ca="1" si="50"/>
        <v>#REF!</v>
      </c>
      <c r="P108" s="394" t="e">
        <f t="shared" ca="1" si="51"/>
        <v>#REF!</v>
      </c>
      <c r="Q108" s="394" t="e">
        <f t="shared" ca="1" si="39"/>
        <v>#VALUE!</v>
      </c>
      <c r="R108" s="396" t="e">
        <f t="shared" ca="1" si="43"/>
        <v>#REF!</v>
      </c>
    </row>
    <row r="109" spans="2:18" x14ac:dyDescent="0.25">
      <c r="B109" s="420">
        <f t="shared" ca="1" si="40"/>
        <v>2071</v>
      </c>
      <c r="C109" s="421" t="str">
        <f t="shared" si="27"/>
        <v>N</v>
      </c>
      <c r="D109" s="105">
        <f t="shared" si="28"/>
        <v>1</v>
      </c>
      <c r="E109" s="105">
        <f t="shared" ca="1" si="44"/>
        <v>0.20863494125996052</v>
      </c>
      <c r="F109" s="77">
        <f t="shared" si="30"/>
        <v>0</v>
      </c>
      <c r="G109" s="77">
        <f t="shared" si="31"/>
        <v>0</v>
      </c>
      <c r="H109" s="327" t="e">
        <f t="shared" ca="1" si="45"/>
        <v>#REF!</v>
      </c>
      <c r="I109" s="427" t="e">
        <f t="shared" ca="1" si="46"/>
        <v>#REF!</v>
      </c>
      <c r="J109" s="284" t="e">
        <f t="shared" ca="1" si="47"/>
        <v>#REF!</v>
      </c>
      <c r="K109" s="284" t="e">
        <f t="shared" ca="1" si="48"/>
        <v>#REF!</v>
      </c>
      <c r="L109" s="284" t="e">
        <f t="shared" ca="1" si="49"/>
        <v>#REF!</v>
      </c>
      <c r="M109" s="284" t="e">
        <f t="shared" ca="1" si="41"/>
        <v>#REF!</v>
      </c>
      <c r="N109" s="284" t="e">
        <f t="shared" ca="1" si="42"/>
        <v>#REF!</v>
      </c>
      <c r="O109" s="284" t="e">
        <f t="shared" ca="1" si="50"/>
        <v>#REF!</v>
      </c>
      <c r="P109" s="284" t="e">
        <f t="shared" ca="1" si="51"/>
        <v>#REF!</v>
      </c>
      <c r="Q109" s="284" t="e">
        <f t="shared" ca="1" si="39"/>
        <v>#VALUE!</v>
      </c>
      <c r="R109" s="426" t="e">
        <f t="shared" ca="1" si="43"/>
        <v>#REF!</v>
      </c>
    </row>
    <row r="110" spans="2:18" x14ac:dyDescent="0.25">
      <c r="B110" s="185">
        <f t="shared" ca="1" si="40"/>
        <v>2072</v>
      </c>
      <c r="C110" s="102" t="str">
        <f t="shared" si="27"/>
        <v>R</v>
      </c>
      <c r="D110" s="104">
        <f t="shared" ca="1" si="28"/>
        <v>0.20206773971909009</v>
      </c>
      <c r="E110" s="104">
        <f t="shared" si="44"/>
        <v>1</v>
      </c>
      <c r="F110" s="103">
        <f t="shared" si="30"/>
        <v>0</v>
      </c>
      <c r="G110" s="103">
        <f t="shared" si="31"/>
        <v>0</v>
      </c>
      <c r="H110" s="397" t="e">
        <f t="shared" ca="1" si="45"/>
        <v>#REF!</v>
      </c>
      <c r="I110" s="393" t="e">
        <f t="shared" ca="1" si="46"/>
        <v>#REF!</v>
      </c>
      <c r="J110" s="394" t="e">
        <f t="shared" ca="1" si="47"/>
        <v>#REF!</v>
      </c>
      <c r="K110" s="394" t="e">
        <f t="shared" ca="1" si="48"/>
        <v>#REF!</v>
      </c>
      <c r="L110" s="394" t="e">
        <f t="shared" ca="1" si="49"/>
        <v>#REF!</v>
      </c>
      <c r="M110" s="394" t="e">
        <f t="shared" ca="1" si="41"/>
        <v>#REF!</v>
      </c>
      <c r="N110" s="394" t="e">
        <f t="shared" ca="1" si="42"/>
        <v>#REF!</v>
      </c>
      <c r="O110" s="394" t="e">
        <f t="shared" ca="1" si="50"/>
        <v>#REF!</v>
      </c>
      <c r="P110" s="394" t="e">
        <f t="shared" ca="1" si="51"/>
        <v>#REF!</v>
      </c>
      <c r="Q110" s="394" t="e">
        <f t="shared" ca="1" si="39"/>
        <v>#VALUE!</v>
      </c>
      <c r="R110" s="396" t="e">
        <f t="shared" ca="1" si="43"/>
        <v>#REF!</v>
      </c>
    </row>
    <row r="111" spans="2:18" x14ac:dyDescent="0.25">
      <c r="B111" s="420">
        <f t="shared" ca="1" si="40"/>
        <v>2072</v>
      </c>
      <c r="C111" s="421" t="str">
        <f t="shared" si="27"/>
        <v>N</v>
      </c>
      <c r="D111" s="105">
        <f t="shared" si="28"/>
        <v>1</v>
      </c>
      <c r="E111" s="105">
        <f t="shared" ca="1" si="44"/>
        <v>0.20206773971909009</v>
      </c>
      <c r="F111" s="77">
        <f t="shared" si="30"/>
        <v>0</v>
      </c>
      <c r="G111" s="77">
        <f t="shared" si="31"/>
        <v>0</v>
      </c>
      <c r="H111" s="327" t="e">
        <f t="shared" ca="1" si="45"/>
        <v>#REF!</v>
      </c>
      <c r="I111" s="427" t="e">
        <f t="shared" ca="1" si="46"/>
        <v>#REF!</v>
      </c>
      <c r="J111" s="284" t="e">
        <f t="shared" ca="1" si="47"/>
        <v>#REF!</v>
      </c>
      <c r="K111" s="284" t="e">
        <f t="shared" ca="1" si="48"/>
        <v>#REF!</v>
      </c>
      <c r="L111" s="284" t="e">
        <f t="shared" ca="1" si="49"/>
        <v>#REF!</v>
      </c>
      <c r="M111" s="284" t="e">
        <f t="shared" ca="1" si="41"/>
        <v>#REF!</v>
      </c>
      <c r="N111" s="284" t="e">
        <f t="shared" ca="1" si="42"/>
        <v>#REF!</v>
      </c>
      <c r="O111" s="284" t="e">
        <f t="shared" ca="1" si="50"/>
        <v>#REF!</v>
      </c>
      <c r="P111" s="284" t="e">
        <f t="shared" ca="1" si="51"/>
        <v>#REF!</v>
      </c>
      <c r="Q111" s="284" t="e">
        <f t="shared" ca="1" si="39"/>
        <v>#VALUE!</v>
      </c>
      <c r="R111" s="426" t="e">
        <f t="shared" ca="1" si="43"/>
        <v>#REF!</v>
      </c>
    </row>
    <row r="112" spans="2:18" x14ac:dyDescent="0.25">
      <c r="B112" s="185">
        <f t="shared" ca="1" si="40"/>
        <v>2073</v>
      </c>
      <c r="C112" s="102" t="str">
        <f t="shared" si="27"/>
        <v>R</v>
      </c>
      <c r="D112" s="104">
        <f t="shared" ca="1" si="28"/>
        <v>0.19570725396522043</v>
      </c>
      <c r="E112" s="104">
        <f t="shared" si="44"/>
        <v>1</v>
      </c>
      <c r="F112" s="103">
        <f t="shared" si="30"/>
        <v>0</v>
      </c>
      <c r="G112" s="103">
        <f t="shared" si="31"/>
        <v>0</v>
      </c>
      <c r="H112" s="397" t="e">
        <f t="shared" ca="1" si="45"/>
        <v>#REF!</v>
      </c>
      <c r="I112" s="393" t="e">
        <f t="shared" ca="1" si="46"/>
        <v>#REF!</v>
      </c>
      <c r="J112" s="394" t="e">
        <f t="shared" ca="1" si="47"/>
        <v>#REF!</v>
      </c>
      <c r="K112" s="394" t="e">
        <f t="shared" ca="1" si="48"/>
        <v>#REF!</v>
      </c>
      <c r="L112" s="394" t="e">
        <f t="shared" ca="1" si="49"/>
        <v>#REF!</v>
      </c>
      <c r="M112" s="394" t="e">
        <f t="shared" ca="1" si="41"/>
        <v>#REF!</v>
      </c>
      <c r="N112" s="394" t="e">
        <f t="shared" ca="1" si="42"/>
        <v>#REF!</v>
      </c>
      <c r="O112" s="394" t="e">
        <f t="shared" ca="1" si="50"/>
        <v>#REF!</v>
      </c>
      <c r="P112" s="394" t="e">
        <f t="shared" ca="1" si="51"/>
        <v>#REF!</v>
      </c>
      <c r="Q112" s="394" t="e">
        <f t="shared" ca="1" si="39"/>
        <v>#VALUE!</v>
      </c>
      <c r="R112" s="396" t="e">
        <f t="shared" ca="1" si="43"/>
        <v>#REF!</v>
      </c>
    </row>
    <row r="113" spans="2:18" x14ac:dyDescent="0.25">
      <c r="B113" s="420">
        <f t="shared" ca="1" si="40"/>
        <v>2073</v>
      </c>
      <c r="C113" s="421" t="str">
        <f t="shared" si="27"/>
        <v>N</v>
      </c>
      <c r="D113" s="105">
        <f t="shared" si="28"/>
        <v>1</v>
      </c>
      <c r="E113" s="105">
        <f t="shared" ca="1" si="44"/>
        <v>0.19570725396522043</v>
      </c>
      <c r="F113" s="77">
        <f t="shared" si="30"/>
        <v>0</v>
      </c>
      <c r="G113" s="77">
        <f t="shared" si="31"/>
        <v>0</v>
      </c>
      <c r="H113" s="327" t="e">
        <f t="shared" ca="1" si="45"/>
        <v>#REF!</v>
      </c>
      <c r="I113" s="427" t="e">
        <f t="shared" ca="1" si="46"/>
        <v>#REF!</v>
      </c>
      <c r="J113" s="284" t="e">
        <f t="shared" ca="1" si="47"/>
        <v>#REF!</v>
      </c>
      <c r="K113" s="284" t="e">
        <f t="shared" ca="1" si="48"/>
        <v>#REF!</v>
      </c>
      <c r="L113" s="284" t="e">
        <f t="shared" ca="1" si="49"/>
        <v>#REF!</v>
      </c>
      <c r="M113" s="284" t="e">
        <f t="shared" ca="1" si="41"/>
        <v>#REF!</v>
      </c>
      <c r="N113" s="284" t="e">
        <f t="shared" ca="1" si="42"/>
        <v>#REF!</v>
      </c>
      <c r="O113" s="284" t="e">
        <f t="shared" ca="1" si="50"/>
        <v>#REF!</v>
      </c>
      <c r="P113" s="284" t="e">
        <f t="shared" ca="1" si="51"/>
        <v>#REF!</v>
      </c>
      <c r="Q113" s="284" t="e">
        <f t="shared" ca="1" si="39"/>
        <v>#VALUE!</v>
      </c>
      <c r="R113" s="426" t="e">
        <f t="shared" ca="1" si="43"/>
        <v>#REF!</v>
      </c>
    </row>
    <row r="114" spans="2:18" x14ac:dyDescent="0.25">
      <c r="B114" s="185">
        <f t="shared" ca="1" si="40"/>
        <v>2074</v>
      </c>
      <c r="C114" s="102" t="str">
        <f t="shared" si="27"/>
        <v>R</v>
      </c>
      <c r="D114" s="104">
        <f t="shared" ca="1" si="28"/>
        <v>0.18954697720602465</v>
      </c>
      <c r="E114" s="104">
        <f t="shared" si="44"/>
        <v>1</v>
      </c>
      <c r="F114" s="103">
        <f t="shared" si="30"/>
        <v>0</v>
      </c>
      <c r="G114" s="103">
        <f t="shared" si="31"/>
        <v>0</v>
      </c>
      <c r="H114" s="397" t="e">
        <f t="shared" ca="1" si="45"/>
        <v>#REF!</v>
      </c>
      <c r="I114" s="393" t="e">
        <f t="shared" ca="1" si="46"/>
        <v>#REF!</v>
      </c>
      <c r="J114" s="394" t="e">
        <f t="shared" ca="1" si="47"/>
        <v>#REF!</v>
      </c>
      <c r="K114" s="394" t="e">
        <f t="shared" ca="1" si="48"/>
        <v>#REF!</v>
      </c>
      <c r="L114" s="394" t="e">
        <f t="shared" ca="1" si="49"/>
        <v>#REF!</v>
      </c>
      <c r="M114" s="394" t="e">
        <f t="shared" ca="1" si="41"/>
        <v>#REF!</v>
      </c>
      <c r="N114" s="394" t="e">
        <f t="shared" ca="1" si="42"/>
        <v>#REF!</v>
      </c>
      <c r="O114" s="394" t="e">
        <f t="shared" ca="1" si="50"/>
        <v>#REF!</v>
      </c>
      <c r="P114" s="394" t="e">
        <f t="shared" ca="1" si="51"/>
        <v>#REF!</v>
      </c>
      <c r="Q114" s="394" t="e">
        <f t="shared" ca="1" si="39"/>
        <v>#VALUE!</v>
      </c>
      <c r="R114" s="396" t="e">
        <f t="shared" ca="1" si="43"/>
        <v>#REF!</v>
      </c>
    </row>
    <row r="115" spans="2:18" x14ac:dyDescent="0.25">
      <c r="B115" s="420">
        <f t="shared" ca="1" si="40"/>
        <v>2074</v>
      </c>
      <c r="C115" s="421" t="str">
        <f t="shared" si="27"/>
        <v>N</v>
      </c>
      <c r="D115" s="105">
        <f t="shared" si="28"/>
        <v>1</v>
      </c>
      <c r="E115" s="105">
        <f t="shared" ca="1" si="44"/>
        <v>0.18954697720602465</v>
      </c>
      <c r="F115" s="77">
        <f t="shared" si="30"/>
        <v>0</v>
      </c>
      <c r="G115" s="77">
        <f t="shared" si="31"/>
        <v>0</v>
      </c>
      <c r="H115" s="327" t="e">
        <f t="shared" ca="1" si="45"/>
        <v>#REF!</v>
      </c>
      <c r="I115" s="427" t="e">
        <f t="shared" ca="1" si="46"/>
        <v>#REF!</v>
      </c>
      <c r="J115" s="284" t="e">
        <f t="shared" ca="1" si="47"/>
        <v>#REF!</v>
      </c>
      <c r="K115" s="284" t="e">
        <f t="shared" ca="1" si="48"/>
        <v>#REF!</v>
      </c>
      <c r="L115" s="284" t="e">
        <f t="shared" ca="1" si="49"/>
        <v>#REF!</v>
      </c>
      <c r="M115" s="284" t="e">
        <f t="shared" ca="1" si="41"/>
        <v>#REF!</v>
      </c>
      <c r="N115" s="284" t="e">
        <f t="shared" ca="1" si="42"/>
        <v>#REF!</v>
      </c>
      <c r="O115" s="284" t="e">
        <f t="shared" ca="1" si="50"/>
        <v>#REF!</v>
      </c>
      <c r="P115" s="284" t="e">
        <f t="shared" ca="1" si="51"/>
        <v>#REF!</v>
      </c>
      <c r="Q115" s="284" t="e">
        <f t="shared" ca="1" si="39"/>
        <v>#VALUE!</v>
      </c>
      <c r="R115" s="426" t="e">
        <f t="shared" ca="1" si="43"/>
        <v>#REF!</v>
      </c>
    </row>
    <row r="116" spans="2:18" x14ac:dyDescent="0.25">
      <c r="B116" s="185">
        <f t="shared" ca="1" si="40"/>
        <v>2075</v>
      </c>
      <c r="C116" s="102" t="str">
        <f t="shared" si="27"/>
        <v>R</v>
      </c>
      <c r="D116" s="104">
        <f t="shared" ca="1" si="28"/>
        <v>0.18358060746346214</v>
      </c>
      <c r="E116" s="104">
        <f t="shared" si="44"/>
        <v>1</v>
      </c>
      <c r="F116" s="103">
        <f t="shared" si="30"/>
        <v>0</v>
      </c>
      <c r="G116" s="103">
        <f t="shared" si="31"/>
        <v>0</v>
      </c>
      <c r="H116" s="397" t="e">
        <f t="shared" ca="1" si="45"/>
        <v>#REF!</v>
      </c>
      <c r="I116" s="393" t="e">
        <f t="shared" ca="1" si="46"/>
        <v>#REF!</v>
      </c>
      <c r="J116" s="394" t="e">
        <f t="shared" ca="1" si="47"/>
        <v>#REF!</v>
      </c>
      <c r="K116" s="394" t="e">
        <f t="shared" ca="1" si="48"/>
        <v>#REF!</v>
      </c>
      <c r="L116" s="394" t="e">
        <f t="shared" ca="1" si="49"/>
        <v>#REF!</v>
      </c>
      <c r="M116" s="394" t="e">
        <f t="shared" ca="1" si="41"/>
        <v>#REF!</v>
      </c>
      <c r="N116" s="394" t="e">
        <f t="shared" ca="1" si="42"/>
        <v>#REF!</v>
      </c>
      <c r="O116" s="394" t="e">
        <f t="shared" ca="1" si="50"/>
        <v>#REF!</v>
      </c>
      <c r="P116" s="394" t="e">
        <f t="shared" ca="1" si="51"/>
        <v>#REF!</v>
      </c>
      <c r="Q116" s="394" t="e">
        <f t="shared" ca="1" si="39"/>
        <v>#VALUE!</v>
      </c>
      <c r="R116" s="396" t="e">
        <f t="shared" ca="1" si="43"/>
        <v>#REF!</v>
      </c>
    </row>
    <row r="117" spans="2:18" x14ac:dyDescent="0.25">
      <c r="B117" s="420">
        <f t="shared" ca="1" si="40"/>
        <v>2075</v>
      </c>
      <c r="C117" s="421" t="str">
        <f t="shared" si="27"/>
        <v>N</v>
      </c>
      <c r="D117" s="105">
        <f t="shared" si="28"/>
        <v>1</v>
      </c>
      <c r="E117" s="105">
        <f t="shared" ca="1" si="44"/>
        <v>0.18358060746346214</v>
      </c>
      <c r="F117" s="77">
        <f t="shared" si="30"/>
        <v>0</v>
      </c>
      <c r="G117" s="77">
        <f t="shared" si="31"/>
        <v>0</v>
      </c>
      <c r="H117" s="327" t="e">
        <f t="shared" ca="1" si="45"/>
        <v>#REF!</v>
      </c>
      <c r="I117" s="427" t="e">
        <f t="shared" ca="1" si="46"/>
        <v>#REF!</v>
      </c>
      <c r="J117" s="284" t="e">
        <f t="shared" ca="1" si="47"/>
        <v>#REF!</v>
      </c>
      <c r="K117" s="284" t="e">
        <f t="shared" ca="1" si="48"/>
        <v>#REF!</v>
      </c>
      <c r="L117" s="284" t="e">
        <f t="shared" ca="1" si="49"/>
        <v>#REF!</v>
      </c>
      <c r="M117" s="284" t="e">
        <f t="shared" ca="1" si="41"/>
        <v>#REF!</v>
      </c>
      <c r="N117" s="284" t="e">
        <f t="shared" ca="1" si="42"/>
        <v>#REF!</v>
      </c>
      <c r="O117" s="284" t="e">
        <f t="shared" ca="1" si="50"/>
        <v>#REF!</v>
      </c>
      <c r="P117" s="284" t="e">
        <f t="shared" ca="1" si="51"/>
        <v>#REF!</v>
      </c>
      <c r="Q117" s="284" t="e">
        <f t="shared" ca="1" si="39"/>
        <v>#VALUE!</v>
      </c>
      <c r="R117" s="426" t="e">
        <f t="shared" ca="1" si="43"/>
        <v>#REF!</v>
      </c>
    </row>
    <row r="118" spans="2:18" x14ac:dyDescent="0.25">
      <c r="B118" s="185">
        <f t="shared" ca="1" si="40"/>
        <v>2076</v>
      </c>
      <c r="C118" s="102" t="str">
        <f t="shared" si="27"/>
        <v>R</v>
      </c>
      <c r="D118" s="104">
        <f t="shared" ca="1" si="28"/>
        <v>0.17780204112683984</v>
      </c>
      <c r="E118" s="104">
        <f t="shared" si="44"/>
        <v>1</v>
      </c>
      <c r="F118" s="103">
        <f t="shared" si="30"/>
        <v>0</v>
      </c>
      <c r="G118" s="103">
        <f t="shared" si="31"/>
        <v>0</v>
      </c>
      <c r="H118" s="397" t="e">
        <f t="shared" ca="1" si="45"/>
        <v>#REF!</v>
      </c>
      <c r="I118" s="393" t="e">
        <f t="shared" ca="1" si="46"/>
        <v>#REF!</v>
      </c>
      <c r="J118" s="394" t="e">
        <f t="shared" ca="1" si="47"/>
        <v>#REF!</v>
      </c>
      <c r="K118" s="394" t="e">
        <f t="shared" ca="1" si="48"/>
        <v>#REF!</v>
      </c>
      <c r="L118" s="394" t="e">
        <f t="shared" ca="1" si="49"/>
        <v>#REF!</v>
      </c>
      <c r="M118" s="394" t="e">
        <f t="shared" ca="1" si="41"/>
        <v>#REF!</v>
      </c>
      <c r="N118" s="394" t="e">
        <f t="shared" ca="1" si="42"/>
        <v>#REF!</v>
      </c>
      <c r="O118" s="394" t="e">
        <f t="shared" ca="1" si="50"/>
        <v>#REF!</v>
      </c>
      <c r="P118" s="394" t="e">
        <f t="shared" ca="1" si="51"/>
        <v>#REF!</v>
      </c>
      <c r="Q118" s="394" t="e">
        <f t="shared" ca="1" si="39"/>
        <v>#VALUE!</v>
      </c>
      <c r="R118" s="396" t="e">
        <f t="shared" ca="1" si="43"/>
        <v>#REF!</v>
      </c>
    </row>
    <row r="119" spans="2:18" x14ac:dyDescent="0.25">
      <c r="B119" s="420">
        <f t="shared" ca="1" si="40"/>
        <v>2076</v>
      </c>
      <c r="C119" s="421" t="str">
        <f t="shared" si="27"/>
        <v>N</v>
      </c>
      <c r="D119" s="105">
        <f t="shared" si="28"/>
        <v>1</v>
      </c>
      <c r="E119" s="105">
        <f t="shared" ca="1" si="44"/>
        <v>0.17780204112683984</v>
      </c>
      <c r="F119" s="77">
        <f t="shared" si="30"/>
        <v>0</v>
      </c>
      <c r="G119" s="77">
        <f t="shared" si="31"/>
        <v>0</v>
      </c>
      <c r="H119" s="327" t="e">
        <f t="shared" ca="1" si="45"/>
        <v>#REF!</v>
      </c>
      <c r="I119" s="427" t="e">
        <f t="shared" ca="1" si="46"/>
        <v>#REF!</v>
      </c>
      <c r="J119" s="284" t="e">
        <f t="shared" ca="1" si="47"/>
        <v>#REF!</v>
      </c>
      <c r="K119" s="284" t="e">
        <f t="shared" ca="1" si="48"/>
        <v>#REF!</v>
      </c>
      <c r="L119" s="284" t="e">
        <f t="shared" ca="1" si="49"/>
        <v>#REF!</v>
      </c>
      <c r="M119" s="284" t="e">
        <f t="shared" ca="1" si="41"/>
        <v>#REF!</v>
      </c>
      <c r="N119" s="284" t="e">
        <f t="shared" ca="1" si="42"/>
        <v>#REF!</v>
      </c>
      <c r="O119" s="284" t="e">
        <f t="shared" ca="1" si="50"/>
        <v>#REF!</v>
      </c>
      <c r="P119" s="284" t="e">
        <f t="shared" ca="1" si="51"/>
        <v>#REF!</v>
      </c>
      <c r="Q119" s="284" t="e">
        <f t="shared" ca="1" si="39"/>
        <v>#VALUE!</v>
      </c>
      <c r="R119" s="426" t="e">
        <f t="shared" ca="1" si="43"/>
        <v>#REF!</v>
      </c>
    </row>
    <row r="120" spans="2:18" x14ac:dyDescent="0.25">
      <c r="B120" s="185">
        <f t="shared" ca="1" si="40"/>
        <v>2077</v>
      </c>
      <c r="C120" s="102" t="str">
        <f t="shared" si="27"/>
        <v>R</v>
      </c>
      <c r="D120" s="104">
        <f t="shared" ca="1" si="28"/>
        <v>0.17220536670880371</v>
      </c>
      <c r="E120" s="104">
        <f t="shared" si="44"/>
        <v>1</v>
      </c>
      <c r="F120" s="103">
        <f t="shared" si="30"/>
        <v>0</v>
      </c>
      <c r="G120" s="103">
        <f t="shared" si="31"/>
        <v>0</v>
      </c>
      <c r="H120" s="397" t="e">
        <f t="shared" ca="1" si="45"/>
        <v>#REF!</v>
      </c>
      <c r="I120" s="393" t="e">
        <f t="shared" ca="1" si="46"/>
        <v>#REF!</v>
      </c>
      <c r="J120" s="394" t="e">
        <f t="shared" ca="1" si="47"/>
        <v>#REF!</v>
      </c>
      <c r="K120" s="394" t="e">
        <f t="shared" ca="1" si="48"/>
        <v>#REF!</v>
      </c>
      <c r="L120" s="394" t="e">
        <f t="shared" ca="1" si="49"/>
        <v>#REF!</v>
      </c>
      <c r="M120" s="394" t="e">
        <f t="shared" ca="1" si="41"/>
        <v>#REF!</v>
      </c>
      <c r="N120" s="394" t="e">
        <f t="shared" ca="1" si="42"/>
        <v>#REF!</v>
      </c>
      <c r="O120" s="394" t="e">
        <f t="shared" ca="1" si="50"/>
        <v>#REF!</v>
      </c>
      <c r="P120" s="394" t="e">
        <f t="shared" ca="1" si="51"/>
        <v>#REF!</v>
      </c>
      <c r="Q120" s="394" t="e">
        <f t="shared" ca="1" si="39"/>
        <v>#VALUE!</v>
      </c>
      <c r="R120" s="396" t="e">
        <f t="shared" ca="1" si="43"/>
        <v>#REF!</v>
      </c>
    </row>
    <row r="121" spans="2:18" x14ac:dyDescent="0.25">
      <c r="B121" s="420">
        <f t="shared" ca="1" si="40"/>
        <v>2077</v>
      </c>
      <c r="C121" s="421" t="str">
        <f t="shared" si="27"/>
        <v>N</v>
      </c>
      <c r="D121" s="105">
        <f t="shared" si="28"/>
        <v>1</v>
      </c>
      <c r="E121" s="105">
        <f t="shared" ca="1" si="44"/>
        <v>0.17220536670880371</v>
      </c>
      <c r="F121" s="77">
        <f t="shared" si="30"/>
        <v>0</v>
      </c>
      <c r="G121" s="77">
        <f t="shared" si="31"/>
        <v>0</v>
      </c>
      <c r="H121" s="327" t="e">
        <f t="shared" ca="1" si="45"/>
        <v>#REF!</v>
      </c>
      <c r="I121" s="427" t="e">
        <f t="shared" ca="1" si="46"/>
        <v>#REF!</v>
      </c>
      <c r="J121" s="284" t="e">
        <f t="shared" ca="1" si="47"/>
        <v>#REF!</v>
      </c>
      <c r="K121" s="284" t="e">
        <f t="shared" ca="1" si="48"/>
        <v>#REF!</v>
      </c>
      <c r="L121" s="284" t="e">
        <f t="shared" ca="1" si="49"/>
        <v>#REF!</v>
      </c>
      <c r="M121" s="284" t="e">
        <f t="shared" ca="1" si="41"/>
        <v>#REF!</v>
      </c>
      <c r="N121" s="284" t="e">
        <f t="shared" ca="1" si="42"/>
        <v>#REF!</v>
      </c>
      <c r="O121" s="284" t="e">
        <f t="shared" ca="1" si="50"/>
        <v>#REF!</v>
      </c>
      <c r="P121" s="284" t="e">
        <f t="shared" ca="1" si="51"/>
        <v>#REF!</v>
      </c>
      <c r="Q121" s="284" t="e">
        <f t="shared" ca="1" si="39"/>
        <v>#VALUE!</v>
      </c>
      <c r="R121" s="426" t="e">
        <f t="shared" ca="1" si="43"/>
        <v>#REF!</v>
      </c>
    </row>
    <row r="122" spans="2:18" x14ac:dyDescent="0.25">
      <c r="B122" s="185">
        <f t="shared" ca="1" si="40"/>
        <v>2078</v>
      </c>
      <c r="C122" s="102" t="str">
        <f t="shared" si="27"/>
        <v>R</v>
      </c>
      <c r="D122" s="104">
        <f t="shared" ca="1" si="28"/>
        <v>0.16678485879787283</v>
      </c>
      <c r="E122" s="104">
        <f t="shared" si="44"/>
        <v>1</v>
      </c>
      <c r="F122" s="103">
        <f t="shared" si="30"/>
        <v>0</v>
      </c>
      <c r="G122" s="103">
        <f t="shared" si="31"/>
        <v>0</v>
      </c>
      <c r="H122" s="397" t="e">
        <f t="shared" ca="1" si="45"/>
        <v>#REF!</v>
      </c>
      <c r="I122" s="393" t="e">
        <f t="shared" ca="1" si="46"/>
        <v>#REF!</v>
      </c>
      <c r="J122" s="394" t="e">
        <f t="shared" ca="1" si="47"/>
        <v>#REF!</v>
      </c>
      <c r="K122" s="394" t="e">
        <f t="shared" ca="1" si="48"/>
        <v>#REF!</v>
      </c>
      <c r="L122" s="394" t="e">
        <f t="shared" ca="1" si="49"/>
        <v>#REF!</v>
      </c>
      <c r="M122" s="394" t="e">
        <f t="shared" ca="1" si="41"/>
        <v>#REF!</v>
      </c>
      <c r="N122" s="394" t="e">
        <f t="shared" ca="1" si="42"/>
        <v>#REF!</v>
      </c>
      <c r="O122" s="394" t="e">
        <f t="shared" ca="1" si="50"/>
        <v>#REF!</v>
      </c>
      <c r="P122" s="394" t="e">
        <f t="shared" ca="1" si="51"/>
        <v>#REF!</v>
      </c>
      <c r="Q122" s="394" t="e">
        <f t="shared" ca="1" si="39"/>
        <v>#VALUE!</v>
      </c>
      <c r="R122" s="396" t="e">
        <f t="shared" ca="1" si="43"/>
        <v>#REF!</v>
      </c>
    </row>
    <row r="123" spans="2:18" x14ac:dyDescent="0.25">
      <c r="B123" s="420">
        <f t="shared" ca="1" si="40"/>
        <v>2078</v>
      </c>
      <c r="C123" s="421" t="str">
        <f t="shared" si="27"/>
        <v>N</v>
      </c>
      <c r="D123" s="105">
        <f t="shared" si="28"/>
        <v>1</v>
      </c>
      <c r="E123" s="105">
        <f t="shared" ca="1" si="44"/>
        <v>0.16678485879787283</v>
      </c>
      <c r="F123" s="77">
        <f t="shared" si="30"/>
        <v>0</v>
      </c>
      <c r="G123" s="77">
        <f t="shared" si="31"/>
        <v>0</v>
      </c>
      <c r="H123" s="327" t="e">
        <f t="shared" ca="1" si="45"/>
        <v>#REF!</v>
      </c>
      <c r="I123" s="427" t="e">
        <f t="shared" ca="1" si="46"/>
        <v>#REF!</v>
      </c>
      <c r="J123" s="284" t="e">
        <f t="shared" ca="1" si="47"/>
        <v>#REF!</v>
      </c>
      <c r="K123" s="284" t="e">
        <f t="shared" ca="1" si="48"/>
        <v>#REF!</v>
      </c>
      <c r="L123" s="284" t="e">
        <f t="shared" ca="1" si="49"/>
        <v>#REF!</v>
      </c>
      <c r="M123" s="284" t="e">
        <f t="shared" ca="1" si="41"/>
        <v>#REF!</v>
      </c>
      <c r="N123" s="284" t="e">
        <f t="shared" ca="1" si="42"/>
        <v>#REF!</v>
      </c>
      <c r="O123" s="284" t="e">
        <f t="shared" ca="1" si="50"/>
        <v>#REF!</v>
      </c>
      <c r="P123" s="284" t="e">
        <f t="shared" ca="1" si="51"/>
        <v>#REF!</v>
      </c>
      <c r="Q123" s="284" t="e">
        <f t="shared" ca="1" si="39"/>
        <v>#VALUE!</v>
      </c>
      <c r="R123" s="426" t="e">
        <f t="shared" ca="1" si="43"/>
        <v>#REF!</v>
      </c>
    </row>
    <row r="124" spans="2:18" x14ac:dyDescent="0.25">
      <c r="B124" s="185">
        <f t="shared" ca="1" si="40"/>
        <v>2079</v>
      </c>
      <c r="C124" s="102" t="str">
        <f t="shared" si="27"/>
        <v>R</v>
      </c>
      <c r="D124" s="104">
        <f t="shared" ca="1" si="28"/>
        <v>0.16153497220132962</v>
      </c>
      <c r="E124" s="104">
        <f t="shared" si="44"/>
        <v>1</v>
      </c>
      <c r="F124" s="103">
        <f t="shared" si="30"/>
        <v>0</v>
      </c>
      <c r="G124" s="103">
        <f t="shared" si="31"/>
        <v>0</v>
      </c>
      <c r="H124" s="397" t="e">
        <f t="shared" ca="1" si="45"/>
        <v>#REF!</v>
      </c>
      <c r="I124" s="393" t="e">
        <f t="shared" ca="1" si="46"/>
        <v>#REF!</v>
      </c>
      <c r="J124" s="394" t="e">
        <f t="shared" ca="1" si="47"/>
        <v>#REF!</v>
      </c>
      <c r="K124" s="394" t="e">
        <f t="shared" ca="1" si="48"/>
        <v>#REF!</v>
      </c>
      <c r="L124" s="394" t="e">
        <f t="shared" ca="1" si="49"/>
        <v>#REF!</v>
      </c>
      <c r="M124" s="394" t="e">
        <f t="shared" ca="1" si="41"/>
        <v>#REF!</v>
      </c>
      <c r="N124" s="394" t="e">
        <f t="shared" ca="1" si="42"/>
        <v>#REF!</v>
      </c>
      <c r="O124" s="394" t="e">
        <f t="shared" ca="1" si="50"/>
        <v>#REF!</v>
      </c>
      <c r="P124" s="394" t="e">
        <f t="shared" ca="1" si="51"/>
        <v>#REF!</v>
      </c>
      <c r="Q124" s="394" t="e">
        <f t="shared" ca="1" si="39"/>
        <v>#VALUE!</v>
      </c>
      <c r="R124" s="396" t="e">
        <f t="shared" ca="1" si="43"/>
        <v>#REF!</v>
      </c>
    </row>
    <row r="125" spans="2:18" x14ac:dyDescent="0.25">
      <c r="B125" s="420">
        <f t="shared" ca="1" si="40"/>
        <v>2079</v>
      </c>
      <c r="C125" s="421" t="str">
        <f t="shared" si="27"/>
        <v>N</v>
      </c>
      <c r="D125" s="105">
        <f t="shared" si="28"/>
        <v>1</v>
      </c>
      <c r="E125" s="105">
        <f t="shared" ca="1" si="44"/>
        <v>0.16153497220132962</v>
      </c>
      <c r="F125" s="77">
        <f t="shared" si="30"/>
        <v>0</v>
      </c>
      <c r="G125" s="77">
        <f t="shared" si="31"/>
        <v>0</v>
      </c>
      <c r="H125" s="327" t="e">
        <f t="shared" ca="1" si="45"/>
        <v>#REF!</v>
      </c>
      <c r="I125" s="427" t="e">
        <f t="shared" ca="1" si="46"/>
        <v>#REF!</v>
      </c>
      <c r="J125" s="284" t="e">
        <f t="shared" ca="1" si="47"/>
        <v>#REF!</v>
      </c>
      <c r="K125" s="284" t="e">
        <f t="shared" ca="1" si="48"/>
        <v>#REF!</v>
      </c>
      <c r="L125" s="284" t="e">
        <f t="shared" ca="1" si="49"/>
        <v>#REF!</v>
      </c>
      <c r="M125" s="284" t="e">
        <f t="shared" ca="1" si="41"/>
        <v>#REF!</v>
      </c>
      <c r="N125" s="284" t="e">
        <f t="shared" ca="1" si="42"/>
        <v>#REF!</v>
      </c>
      <c r="O125" s="284" t="e">
        <f t="shared" ca="1" si="50"/>
        <v>#REF!</v>
      </c>
      <c r="P125" s="284" t="e">
        <f t="shared" ca="1" si="51"/>
        <v>#REF!</v>
      </c>
      <c r="Q125" s="284" t="e">
        <f t="shared" ca="1" si="39"/>
        <v>#VALUE!</v>
      </c>
      <c r="R125" s="426" t="e">
        <f t="shared" ca="1" si="43"/>
        <v>#REF!</v>
      </c>
    </row>
    <row r="126" spans="2:18" x14ac:dyDescent="0.25">
      <c r="B126" s="185">
        <f t="shared" ca="1" si="40"/>
        <v>2080</v>
      </c>
      <c r="C126" s="102" t="str">
        <f t="shared" si="27"/>
        <v>R</v>
      </c>
      <c r="D126" s="104">
        <f t="shared" ca="1" si="28"/>
        <v>0.15645033627247421</v>
      </c>
      <c r="E126" s="104">
        <f t="shared" si="44"/>
        <v>1</v>
      </c>
      <c r="F126" s="103">
        <f t="shared" si="30"/>
        <v>0</v>
      </c>
      <c r="G126" s="103">
        <f t="shared" si="31"/>
        <v>0</v>
      </c>
      <c r="H126" s="397" t="e">
        <f t="shared" ca="1" si="45"/>
        <v>#REF!</v>
      </c>
      <c r="I126" s="393" t="e">
        <f t="shared" ca="1" si="46"/>
        <v>#REF!</v>
      </c>
      <c r="J126" s="394" t="e">
        <f t="shared" ca="1" si="47"/>
        <v>#REF!</v>
      </c>
      <c r="K126" s="394" t="e">
        <f t="shared" ca="1" si="48"/>
        <v>#REF!</v>
      </c>
      <c r="L126" s="394" t="e">
        <f t="shared" ca="1" si="49"/>
        <v>#REF!</v>
      </c>
      <c r="M126" s="394" t="e">
        <f t="shared" ca="1" si="41"/>
        <v>#REF!</v>
      </c>
      <c r="N126" s="394" t="e">
        <f t="shared" ca="1" si="42"/>
        <v>#REF!</v>
      </c>
      <c r="O126" s="394" t="e">
        <f t="shared" ca="1" si="50"/>
        <v>#REF!</v>
      </c>
      <c r="P126" s="394" t="e">
        <f t="shared" ca="1" si="51"/>
        <v>#REF!</v>
      </c>
      <c r="Q126" s="394" t="e">
        <f t="shared" ca="1" si="39"/>
        <v>#VALUE!</v>
      </c>
      <c r="R126" s="396" t="e">
        <f t="shared" ca="1" si="43"/>
        <v>#REF!</v>
      </c>
    </row>
    <row r="127" spans="2:18" x14ac:dyDescent="0.25">
      <c r="B127" s="420">
        <f t="shared" ca="1" si="40"/>
        <v>2080</v>
      </c>
      <c r="C127" s="421" t="str">
        <f t="shared" si="27"/>
        <v>N</v>
      </c>
      <c r="D127" s="105">
        <f t="shared" si="28"/>
        <v>1</v>
      </c>
      <c r="E127" s="105">
        <f t="shared" ca="1" si="44"/>
        <v>0.15645033627247421</v>
      </c>
      <c r="F127" s="77">
        <f t="shared" si="30"/>
        <v>0</v>
      </c>
      <c r="G127" s="77">
        <f t="shared" si="31"/>
        <v>0</v>
      </c>
      <c r="H127" s="327" t="e">
        <f t="shared" ca="1" si="45"/>
        <v>#REF!</v>
      </c>
      <c r="I127" s="427" t="e">
        <f t="shared" ca="1" si="46"/>
        <v>#REF!</v>
      </c>
      <c r="J127" s="284" t="e">
        <f t="shared" ca="1" si="47"/>
        <v>#REF!</v>
      </c>
      <c r="K127" s="284" t="e">
        <f t="shared" ca="1" si="48"/>
        <v>#REF!</v>
      </c>
      <c r="L127" s="284" t="e">
        <f t="shared" ca="1" si="49"/>
        <v>#REF!</v>
      </c>
      <c r="M127" s="284" t="e">
        <f t="shared" ca="1" si="41"/>
        <v>#REF!</v>
      </c>
      <c r="N127" s="284" t="e">
        <f t="shared" ca="1" si="42"/>
        <v>#REF!</v>
      </c>
      <c r="O127" s="284" t="e">
        <f t="shared" ca="1" si="50"/>
        <v>#REF!</v>
      </c>
      <c r="P127" s="284" t="e">
        <f t="shared" ca="1" si="51"/>
        <v>#REF!</v>
      </c>
      <c r="Q127" s="284" t="e">
        <f t="shared" ca="1" si="39"/>
        <v>#VALUE!</v>
      </c>
      <c r="R127" s="426" t="e">
        <f t="shared" ca="1" si="43"/>
        <v>#REF!</v>
      </c>
    </row>
    <row r="128" spans="2:18" x14ac:dyDescent="0.25">
      <c r="B128" s="185">
        <f t="shared" ca="1" si="40"/>
        <v>2081</v>
      </c>
      <c r="C128" s="102" t="str">
        <f t="shared" si="27"/>
        <v>R</v>
      </c>
      <c r="D128" s="104">
        <f t="shared" ca="1" si="28"/>
        <v>0.15152574941643993</v>
      </c>
      <c r="E128" s="104">
        <f t="shared" si="44"/>
        <v>1</v>
      </c>
      <c r="F128" s="103">
        <f t="shared" si="30"/>
        <v>0</v>
      </c>
      <c r="G128" s="103">
        <f t="shared" si="31"/>
        <v>0</v>
      </c>
      <c r="H128" s="397" t="e">
        <f t="shared" ca="1" si="45"/>
        <v>#REF!</v>
      </c>
      <c r="I128" s="393" t="e">
        <f t="shared" ca="1" si="46"/>
        <v>#REF!</v>
      </c>
      <c r="J128" s="394" t="e">
        <f t="shared" ca="1" si="47"/>
        <v>#REF!</v>
      </c>
      <c r="K128" s="394" t="e">
        <f t="shared" ca="1" si="48"/>
        <v>#REF!</v>
      </c>
      <c r="L128" s="394" t="e">
        <f t="shared" ca="1" si="49"/>
        <v>#REF!</v>
      </c>
      <c r="M128" s="394" t="e">
        <f t="shared" ca="1" si="41"/>
        <v>#REF!</v>
      </c>
      <c r="N128" s="394" t="e">
        <f t="shared" ca="1" si="42"/>
        <v>#REF!</v>
      </c>
      <c r="O128" s="394" t="e">
        <f t="shared" ca="1" si="50"/>
        <v>#REF!</v>
      </c>
      <c r="P128" s="394" t="e">
        <f t="shared" ca="1" si="51"/>
        <v>#REF!</v>
      </c>
      <c r="Q128" s="394" t="e">
        <f t="shared" ca="1" si="39"/>
        <v>#VALUE!</v>
      </c>
      <c r="R128" s="396" t="e">
        <f t="shared" ca="1" si="43"/>
        <v>#REF!</v>
      </c>
    </row>
    <row r="129" spans="2:18" x14ac:dyDescent="0.25">
      <c r="B129" s="420">
        <f t="shared" ca="1" si="40"/>
        <v>2081</v>
      </c>
      <c r="C129" s="421" t="str">
        <f t="shared" si="27"/>
        <v>N</v>
      </c>
      <c r="D129" s="105">
        <f t="shared" si="28"/>
        <v>1</v>
      </c>
      <c r="E129" s="105">
        <f t="shared" ca="1" si="44"/>
        <v>0.15152574941643993</v>
      </c>
      <c r="F129" s="77">
        <f t="shared" si="30"/>
        <v>0</v>
      </c>
      <c r="G129" s="77">
        <f t="shared" si="31"/>
        <v>0</v>
      </c>
      <c r="H129" s="327" t="e">
        <f t="shared" ca="1" si="45"/>
        <v>#REF!</v>
      </c>
      <c r="I129" s="427" t="e">
        <f t="shared" ca="1" si="46"/>
        <v>#REF!</v>
      </c>
      <c r="J129" s="284" t="e">
        <f t="shared" ca="1" si="47"/>
        <v>#REF!</v>
      </c>
      <c r="K129" s="284" t="e">
        <f t="shared" ca="1" si="48"/>
        <v>#REF!</v>
      </c>
      <c r="L129" s="284" t="e">
        <f t="shared" ca="1" si="49"/>
        <v>#REF!</v>
      </c>
      <c r="M129" s="284" t="e">
        <f t="shared" ca="1" si="41"/>
        <v>#REF!</v>
      </c>
      <c r="N129" s="284" t="e">
        <f t="shared" ca="1" si="42"/>
        <v>#REF!</v>
      </c>
      <c r="O129" s="284" t="e">
        <f t="shared" ca="1" si="50"/>
        <v>#REF!</v>
      </c>
      <c r="P129" s="284" t="e">
        <f t="shared" ca="1" si="51"/>
        <v>#REF!</v>
      </c>
      <c r="Q129" s="284" t="e">
        <f t="shared" ca="1" si="39"/>
        <v>#VALUE!</v>
      </c>
      <c r="R129" s="426" t="e">
        <f t="shared" ca="1" si="43"/>
        <v>#REF!</v>
      </c>
    </row>
    <row r="130" spans="2:18" x14ac:dyDescent="0.25">
      <c r="B130" s="185">
        <f t="shared" ca="1" si="40"/>
        <v>2082</v>
      </c>
      <c r="C130" s="102" t="str">
        <f t="shared" si="27"/>
        <v>R</v>
      </c>
      <c r="D130" s="104">
        <f t="shared" ca="1" si="28"/>
        <v>0.14675617376894909</v>
      </c>
      <c r="E130" s="104">
        <f t="shared" si="44"/>
        <v>1</v>
      </c>
      <c r="F130" s="103">
        <f t="shared" si="30"/>
        <v>0</v>
      </c>
      <c r="G130" s="103">
        <f t="shared" si="31"/>
        <v>0</v>
      </c>
      <c r="H130" s="397" t="e">
        <f t="shared" ca="1" si="45"/>
        <v>#REF!</v>
      </c>
      <c r="I130" s="393" t="e">
        <f t="shared" ca="1" si="46"/>
        <v>#REF!</v>
      </c>
      <c r="J130" s="394" t="e">
        <f t="shared" ca="1" si="47"/>
        <v>#REF!</v>
      </c>
      <c r="K130" s="394" t="e">
        <f t="shared" ca="1" si="48"/>
        <v>#REF!</v>
      </c>
      <c r="L130" s="394" t="e">
        <f t="shared" ca="1" si="49"/>
        <v>#REF!</v>
      </c>
      <c r="M130" s="394" t="e">
        <f t="shared" ca="1" si="41"/>
        <v>#REF!</v>
      </c>
      <c r="N130" s="394" t="e">
        <f t="shared" ca="1" si="42"/>
        <v>#REF!</v>
      </c>
      <c r="O130" s="394" t="e">
        <f t="shared" ca="1" si="50"/>
        <v>#REF!</v>
      </c>
      <c r="P130" s="394" t="e">
        <f t="shared" ca="1" si="51"/>
        <v>#REF!</v>
      </c>
      <c r="Q130" s="394" t="e">
        <f t="shared" ca="1" si="39"/>
        <v>#VALUE!</v>
      </c>
      <c r="R130" s="396" t="e">
        <f t="shared" ca="1" si="43"/>
        <v>#REF!</v>
      </c>
    </row>
    <row r="131" spans="2:18" x14ac:dyDescent="0.25">
      <c r="B131" s="420">
        <f t="shared" ca="1" si="40"/>
        <v>2082</v>
      </c>
      <c r="C131" s="421" t="str">
        <f t="shared" si="27"/>
        <v>N</v>
      </c>
      <c r="D131" s="105">
        <f t="shared" si="28"/>
        <v>1</v>
      </c>
      <c r="E131" s="105">
        <f t="shared" ca="1" si="44"/>
        <v>0.14675617376894909</v>
      </c>
      <c r="F131" s="77">
        <f t="shared" si="30"/>
        <v>0</v>
      </c>
      <c r="G131" s="77">
        <f t="shared" si="31"/>
        <v>0</v>
      </c>
      <c r="H131" s="327" t="e">
        <f t="shared" ca="1" si="45"/>
        <v>#REF!</v>
      </c>
      <c r="I131" s="427" t="e">
        <f t="shared" ca="1" si="46"/>
        <v>#REF!</v>
      </c>
      <c r="J131" s="284" t="e">
        <f t="shared" ca="1" si="47"/>
        <v>#REF!</v>
      </c>
      <c r="K131" s="284" t="e">
        <f t="shared" ca="1" si="48"/>
        <v>#REF!</v>
      </c>
      <c r="L131" s="284" t="e">
        <f t="shared" ca="1" si="49"/>
        <v>#REF!</v>
      </c>
      <c r="M131" s="284" t="e">
        <f t="shared" ca="1" si="41"/>
        <v>#REF!</v>
      </c>
      <c r="N131" s="284" t="e">
        <f t="shared" ca="1" si="42"/>
        <v>#REF!</v>
      </c>
      <c r="O131" s="284" t="e">
        <f t="shared" ca="1" si="50"/>
        <v>#REF!</v>
      </c>
      <c r="P131" s="284" t="e">
        <f t="shared" ca="1" si="51"/>
        <v>#REF!</v>
      </c>
      <c r="Q131" s="284" t="e">
        <f t="shared" ca="1" si="39"/>
        <v>#VALUE!</v>
      </c>
      <c r="R131" s="426" t="e">
        <f t="shared" ca="1" si="43"/>
        <v>#REF!</v>
      </c>
    </row>
    <row r="132" spans="2:18" x14ac:dyDescent="0.25">
      <c r="B132" s="185">
        <f t="shared" ca="1" si="40"/>
        <v>2083</v>
      </c>
      <c r="C132" s="102" t="str">
        <f t="shared" si="27"/>
        <v>R</v>
      </c>
      <c r="D132" s="104">
        <f t="shared" ca="1" si="28"/>
        <v>0.14213673004256572</v>
      </c>
      <c r="E132" s="104">
        <f t="shared" si="44"/>
        <v>1</v>
      </c>
      <c r="F132" s="103">
        <f t="shared" si="30"/>
        <v>0</v>
      </c>
      <c r="G132" s="103">
        <f t="shared" si="31"/>
        <v>0</v>
      </c>
      <c r="H132" s="397" t="e">
        <f t="shared" ca="1" si="45"/>
        <v>#REF!</v>
      </c>
      <c r="I132" s="393" t="e">
        <f t="shared" ca="1" si="46"/>
        <v>#REF!</v>
      </c>
      <c r="J132" s="394" t="e">
        <f t="shared" ca="1" si="47"/>
        <v>#REF!</v>
      </c>
      <c r="K132" s="394" t="e">
        <f t="shared" ca="1" si="48"/>
        <v>#REF!</v>
      </c>
      <c r="L132" s="394" t="e">
        <f t="shared" ca="1" si="49"/>
        <v>#REF!</v>
      </c>
      <c r="M132" s="394" t="e">
        <f t="shared" ca="1" si="41"/>
        <v>#REF!</v>
      </c>
      <c r="N132" s="394" t="e">
        <f t="shared" ca="1" si="42"/>
        <v>#REF!</v>
      </c>
      <c r="O132" s="394" t="e">
        <f t="shared" ca="1" si="50"/>
        <v>#REF!</v>
      </c>
      <c r="P132" s="394" t="e">
        <f t="shared" ca="1" si="51"/>
        <v>#REF!</v>
      </c>
      <c r="Q132" s="394" t="e">
        <f t="shared" ca="1" si="39"/>
        <v>#VALUE!</v>
      </c>
      <c r="R132" s="396" t="e">
        <f t="shared" ca="1" si="43"/>
        <v>#REF!</v>
      </c>
    </row>
    <row r="133" spans="2:18" x14ac:dyDescent="0.25">
      <c r="B133" s="420">
        <f t="shared" ca="1" si="40"/>
        <v>2083</v>
      </c>
      <c r="C133" s="421" t="str">
        <f t="shared" si="27"/>
        <v>N</v>
      </c>
      <c r="D133" s="105">
        <f t="shared" si="28"/>
        <v>1</v>
      </c>
      <c r="E133" s="105">
        <f t="shared" ca="1" si="44"/>
        <v>0.14213673004256572</v>
      </c>
      <c r="F133" s="77">
        <f t="shared" si="30"/>
        <v>0</v>
      </c>
      <c r="G133" s="77">
        <f t="shared" si="31"/>
        <v>0</v>
      </c>
      <c r="H133" s="327" t="e">
        <f t="shared" ca="1" si="45"/>
        <v>#REF!</v>
      </c>
      <c r="I133" s="427" t="e">
        <f t="shared" ca="1" si="46"/>
        <v>#REF!</v>
      </c>
      <c r="J133" s="284" t="e">
        <f t="shared" ca="1" si="47"/>
        <v>#REF!</v>
      </c>
      <c r="K133" s="284" t="e">
        <f t="shared" ca="1" si="48"/>
        <v>#REF!</v>
      </c>
      <c r="L133" s="284" t="e">
        <f t="shared" ca="1" si="49"/>
        <v>#REF!</v>
      </c>
      <c r="M133" s="284" t="e">
        <f t="shared" ca="1" si="41"/>
        <v>#REF!</v>
      </c>
      <c r="N133" s="284" t="e">
        <f t="shared" ca="1" si="42"/>
        <v>#REF!</v>
      </c>
      <c r="O133" s="284" t="e">
        <f t="shared" ca="1" si="50"/>
        <v>#REF!</v>
      </c>
      <c r="P133" s="284" t="e">
        <f t="shared" ca="1" si="51"/>
        <v>#REF!</v>
      </c>
      <c r="Q133" s="284" t="e">
        <f t="shared" ca="1" si="39"/>
        <v>#VALUE!</v>
      </c>
      <c r="R133" s="426" t="e">
        <f t="shared" ca="1" si="43"/>
        <v>#REF!</v>
      </c>
    </row>
    <row r="134" spans="2:18" x14ac:dyDescent="0.25">
      <c r="B134" s="185">
        <f t="shared" ca="1" si="40"/>
        <v>2084</v>
      </c>
      <c r="C134" s="102" t="str">
        <f t="shared" si="27"/>
        <v>R</v>
      </c>
      <c r="D134" s="104">
        <f t="shared" ca="1" si="28"/>
        <v>0.1376626925351726</v>
      </c>
      <c r="E134" s="104">
        <f t="shared" si="44"/>
        <v>1</v>
      </c>
      <c r="F134" s="103">
        <f t="shared" si="30"/>
        <v>0</v>
      </c>
      <c r="G134" s="103">
        <f t="shared" si="31"/>
        <v>0</v>
      </c>
      <c r="H134" s="397" t="e">
        <f t="shared" ca="1" si="45"/>
        <v>#REF!</v>
      </c>
      <c r="I134" s="393" t="e">
        <f t="shared" ca="1" si="46"/>
        <v>#REF!</v>
      </c>
      <c r="J134" s="394" t="e">
        <f t="shared" ca="1" si="47"/>
        <v>#REF!</v>
      </c>
      <c r="K134" s="394" t="e">
        <f t="shared" ca="1" si="48"/>
        <v>#REF!</v>
      </c>
      <c r="L134" s="394" t="e">
        <f t="shared" ca="1" si="49"/>
        <v>#REF!</v>
      </c>
      <c r="M134" s="394" t="e">
        <f t="shared" ca="1" si="41"/>
        <v>#REF!</v>
      </c>
      <c r="N134" s="394" t="e">
        <f t="shared" ca="1" si="42"/>
        <v>#REF!</v>
      </c>
      <c r="O134" s="394" t="e">
        <f t="shared" ca="1" si="50"/>
        <v>#REF!</v>
      </c>
      <c r="P134" s="394" t="e">
        <f t="shared" ca="1" si="51"/>
        <v>#REF!</v>
      </c>
      <c r="Q134" s="394" t="e">
        <f t="shared" ca="1" si="39"/>
        <v>#VALUE!</v>
      </c>
      <c r="R134" s="396" t="e">
        <f t="shared" ca="1" si="43"/>
        <v>#REF!</v>
      </c>
    </row>
    <row r="135" spans="2:18" x14ac:dyDescent="0.25">
      <c r="B135" s="420">
        <f t="shared" ca="1" si="40"/>
        <v>2084</v>
      </c>
      <c r="C135" s="421" t="str">
        <f t="shared" si="27"/>
        <v>N</v>
      </c>
      <c r="D135" s="105">
        <f t="shared" si="28"/>
        <v>1</v>
      </c>
      <c r="E135" s="105">
        <f t="shared" ca="1" si="44"/>
        <v>0.1376626925351726</v>
      </c>
      <c r="F135" s="77">
        <f t="shared" si="30"/>
        <v>0</v>
      </c>
      <c r="G135" s="77">
        <f t="shared" si="31"/>
        <v>0</v>
      </c>
      <c r="H135" s="327" t="e">
        <f t="shared" ca="1" si="45"/>
        <v>#REF!</v>
      </c>
      <c r="I135" s="427" t="e">
        <f t="shared" ca="1" si="46"/>
        <v>#REF!</v>
      </c>
      <c r="J135" s="284" t="e">
        <f t="shared" ca="1" si="47"/>
        <v>#REF!</v>
      </c>
      <c r="K135" s="284" t="e">
        <f t="shared" ca="1" si="48"/>
        <v>#REF!</v>
      </c>
      <c r="L135" s="284" t="e">
        <f t="shared" ca="1" si="49"/>
        <v>#REF!</v>
      </c>
      <c r="M135" s="284" t="e">
        <f t="shared" ca="1" si="41"/>
        <v>#REF!</v>
      </c>
      <c r="N135" s="284" t="e">
        <f t="shared" ca="1" si="42"/>
        <v>#REF!</v>
      </c>
      <c r="O135" s="284" t="e">
        <f t="shared" ca="1" si="50"/>
        <v>#REF!</v>
      </c>
      <c r="P135" s="284" t="e">
        <f t="shared" ca="1" si="51"/>
        <v>#REF!</v>
      </c>
      <c r="Q135" s="284" t="e">
        <f t="shared" ca="1" si="39"/>
        <v>#VALUE!</v>
      </c>
      <c r="R135" s="426" t="e">
        <f t="shared" ca="1" si="43"/>
        <v>#REF!</v>
      </c>
    </row>
    <row r="136" spans="2:18" x14ac:dyDescent="0.25">
      <c r="B136" s="185">
        <f t="shared" ca="1" si="40"/>
        <v>2085</v>
      </c>
      <c r="C136" s="102" t="str">
        <f t="shared" si="27"/>
        <v>R</v>
      </c>
      <c r="D136" s="104">
        <f t="shared" ca="1" si="28"/>
        <v>0.13332948429556668</v>
      </c>
      <c r="E136" s="104">
        <f t="shared" si="44"/>
        <v>1</v>
      </c>
      <c r="F136" s="103">
        <f t="shared" si="30"/>
        <v>0</v>
      </c>
      <c r="G136" s="103">
        <f t="shared" si="31"/>
        <v>0</v>
      </c>
      <c r="H136" s="397" t="e">
        <f t="shared" ca="1" si="45"/>
        <v>#REF!</v>
      </c>
      <c r="I136" s="393" t="e">
        <f t="shared" ca="1" si="46"/>
        <v>#REF!</v>
      </c>
      <c r="J136" s="394" t="e">
        <f t="shared" ca="1" si="47"/>
        <v>#REF!</v>
      </c>
      <c r="K136" s="394" t="e">
        <f t="shared" ca="1" si="48"/>
        <v>#REF!</v>
      </c>
      <c r="L136" s="394" t="e">
        <f t="shared" ca="1" si="49"/>
        <v>#REF!</v>
      </c>
      <c r="M136" s="394" t="e">
        <f t="shared" ca="1" si="41"/>
        <v>#REF!</v>
      </c>
      <c r="N136" s="394" t="e">
        <f t="shared" ca="1" si="42"/>
        <v>#REF!</v>
      </c>
      <c r="O136" s="394" t="e">
        <f t="shared" ca="1" si="50"/>
        <v>#REF!</v>
      </c>
      <c r="P136" s="394" t="e">
        <f t="shared" ca="1" si="51"/>
        <v>#REF!</v>
      </c>
      <c r="Q136" s="394" t="e">
        <f t="shared" ca="1" si="39"/>
        <v>#VALUE!</v>
      </c>
      <c r="R136" s="396" t="e">
        <f t="shared" ca="1" si="43"/>
        <v>#REF!</v>
      </c>
    </row>
    <row r="137" spans="2:18" x14ac:dyDescent="0.25">
      <c r="B137" s="420">
        <f t="shared" ca="1" si="40"/>
        <v>2085</v>
      </c>
      <c r="C137" s="421" t="str">
        <f t="shared" si="27"/>
        <v>N</v>
      </c>
      <c r="D137" s="105">
        <f t="shared" si="28"/>
        <v>1</v>
      </c>
      <c r="E137" s="105">
        <f t="shared" ca="1" si="44"/>
        <v>0.13332948429556668</v>
      </c>
      <c r="F137" s="77">
        <f t="shared" si="30"/>
        <v>0</v>
      </c>
      <c r="G137" s="77">
        <f t="shared" si="31"/>
        <v>0</v>
      </c>
      <c r="H137" s="327" t="e">
        <f t="shared" ca="1" si="45"/>
        <v>#REF!</v>
      </c>
      <c r="I137" s="427" t="e">
        <f t="shared" ca="1" si="46"/>
        <v>#REF!</v>
      </c>
      <c r="J137" s="284" t="e">
        <f t="shared" ca="1" si="47"/>
        <v>#REF!</v>
      </c>
      <c r="K137" s="284" t="e">
        <f t="shared" ca="1" si="48"/>
        <v>#REF!</v>
      </c>
      <c r="L137" s="284" t="e">
        <f t="shared" ca="1" si="49"/>
        <v>#REF!</v>
      </c>
      <c r="M137" s="284" t="e">
        <f t="shared" ca="1" si="41"/>
        <v>#REF!</v>
      </c>
      <c r="N137" s="284" t="e">
        <f t="shared" ca="1" si="42"/>
        <v>#REF!</v>
      </c>
      <c r="O137" s="284" t="e">
        <f t="shared" ca="1" si="50"/>
        <v>#REF!</v>
      </c>
      <c r="P137" s="284" t="e">
        <f t="shared" ca="1" si="51"/>
        <v>#REF!</v>
      </c>
      <c r="Q137" s="284" t="e">
        <f t="shared" ca="1" si="39"/>
        <v>#VALUE!</v>
      </c>
      <c r="R137" s="426" t="e">
        <f t="shared" ca="1" si="43"/>
        <v>#REF!</v>
      </c>
    </row>
    <row r="138" spans="2:18" x14ac:dyDescent="0.25">
      <c r="B138" s="185">
        <f t="shared" ca="1" si="40"/>
        <v>2086</v>
      </c>
      <c r="C138" s="102" t="str">
        <f t="shared" ref="C138:C169" si="52">CHOOSE(MOD(ROW(),2)+1,"R","N")</f>
        <v>R</v>
      </c>
      <c r="D138" s="104">
        <f t="shared" ref="D138:D169" ca="1" si="53">CHOOSE(MOD(ROW(),2)+1,INDEX(SC_EA_InflationCPIdx,EAIDX),1)</f>
        <v>0.12913267244122681</v>
      </c>
      <c r="E138" s="104">
        <f t="shared" ref="E138:E169" si="54">CHOOSE(MOD(ROW(),2)+1,1,INDEX(SC_EA_InflationCPIdx,EAIDX))</f>
        <v>1</v>
      </c>
      <c r="F138" s="103">
        <f t="shared" ref="F138:F169" si="55">IF(INDEX(SC_ShowRetireatee,1),IF($B138&lt;YEAR(INDEX(SP_BirthDate,1)),0,$B138-YEAR(INDEX(SP_BirthDate,1))),0)</f>
        <v>0</v>
      </c>
      <c r="G138" s="103">
        <f t="shared" ref="G138:G169" si="56">IF(INDEX(SC_ShowRetireatee,2),IF($B138&lt;YEAR(INDEX(SP_BirthDate,2)),0,$B138-YEAR(INDEX(SP_BirthDate,2))),0)</f>
        <v>0</v>
      </c>
      <c r="H138" s="397" t="e">
        <f t="shared" ref="H138:H169" ca="1" si="57">AVERAGE(OFFSET(SC_ZX_EffectiveTaxRateA,ZXIDX1-1,0,(SC_YearStop-$B138)*2))</f>
        <v>#REF!</v>
      </c>
      <c r="I138" s="393" t="e">
        <f t="shared" ref="I138:I169" ca="1" si="58">INDEX(SC_ZX_BalanceBTA,ZXIDX1)*$D138</f>
        <v>#REF!</v>
      </c>
      <c r="J138" s="394" t="e">
        <f t="shared" ref="J138:J169" ca="1" si="59">INDEX(SC_ZX_BalanceATA,ZXIDX1)*$D138</f>
        <v>#REF!</v>
      </c>
      <c r="K138" s="394" t="e">
        <f t="shared" ref="K138:K169" ca="1" si="60">INDEX(SC_ZA_AnnyBalanceBT,ZAIDX)*$D138</f>
        <v>#REF!</v>
      </c>
      <c r="L138" s="394" t="e">
        <f t="shared" ref="L138:L169" ca="1" si="61">INDEX(SC_ZA_AnnyBalanceAT,ZAIDX)*$D138</f>
        <v>#REF!</v>
      </c>
      <c r="M138" s="394" t="e">
        <f t="shared" ca="1" si="41"/>
        <v>#REF!</v>
      </c>
      <c r="N138" s="394" t="e">
        <f t="shared" ca="1" si="42"/>
        <v>#REF!</v>
      </c>
      <c r="O138" s="394" t="e">
        <f t="shared" ref="O138:O169" ca="1" si="62">INDEX(SC_ZX_SSPVA,ZXIDX1)*$D138*(1-$H138)</f>
        <v>#REF!</v>
      </c>
      <c r="P138" s="394" t="e">
        <f t="shared" ref="P138:P169" ca="1" si="63">((INDEX(SC_ZA_HomeEquity,ZAIDX)*(1-LT_RealtorFees))+SP_OtherAssets/INDEX(SC_EA_InflationCPIdx,EAIDX))*$D138</f>
        <v>#REF!</v>
      </c>
      <c r="Q138" s="394" t="e">
        <f t="shared" ref="Q138:Q169" ca="1" si="64">SC_ZX_Debt</f>
        <v>#VALUE!</v>
      </c>
      <c r="R138" s="396" t="e">
        <f t="shared" ca="1" si="43"/>
        <v>#REF!</v>
      </c>
    </row>
    <row r="139" spans="2:18" x14ac:dyDescent="0.25">
      <c r="B139" s="420">
        <f t="shared" ref="B139:B169" ca="1" si="65">B137+1</f>
        <v>2086</v>
      </c>
      <c r="C139" s="421" t="str">
        <f t="shared" si="52"/>
        <v>N</v>
      </c>
      <c r="D139" s="105">
        <f t="shared" si="53"/>
        <v>1</v>
      </c>
      <c r="E139" s="105">
        <f t="shared" ca="1" si="54"/>
        <v>0.12913267244122681</v>
      </c>
      <c r="F139" s="77">
        <f t="shared" si="55"/>
        <v>0</v>
      </c>
      <c r="G139" s="77">
        <f t="shared" si="56"/>
        <v>0</v>
      </c>
      <c r="H139" s="327" t="e">
        <f t="shared" ca="1" si="57"/>
        <v>#REF!</v>
      </c>
      <c r="I139" s="427" t="e">
        <f t="shared" ca="1" si="58"/>
        <v>#REF!</v>
      </c>
      <c r="J139" s="284" t="e">
        <f t="shared" ca="1" si="59"/>
        <v>#REF!</v>
      </c>
      <c r="K139" s="284" t="e">
        <f t="shared" ca="1" si="60"/>
        <v>#REF!</v>
      </c>
      <c r="L139" s="284" t="e">
        <f t="shared" ca="1" si="61"/>
        <v>#REF!</v>
      </c>
      <c r="M139" s="284" t="e">
        <f t="shared" ref="M139:M169" ca="1" si="66">$I139*(1-$H139)+$J139</f>
        <v>#REF!</v>
      </c>
      <c r="N139" s="284" t="e">
        <f t="shared" ref="N139:N169" ca="1" si="67">$K139*(1-$H139)+$L139</f>
        <v>#REF!</v>
      </c>
      <c r="O139" s="284" t="e">
        <f t="shared" ca="1" si="62"/>
        <v>#REF!</v>
      </c>
      <c r="P139" s="284" t="e">
        <f t="shared" ca="1" si="63"/>
        <v>#REF!</v>
      </c>
      <c r="Q139" s="284" t="e">
        <f t="shared" ca="1" si="64"/>
        <v>#VALUE!</v>
      </c>
      <c r="R139" s="426" t="e">
        <f t="shared" ref="R139:R169" ca="1" si="68">SUM($M139:$Q139)</f>
        <v>#REF!</v>
      </c>
    </row>
    <row r="140" spans="2:18" x14ac:dyDescent="0.25">
      <c r="B140" s="185">
        <f t="shared" ca="1" si="65"/>
        <v>2087</v>
      </c>
      <c r="C140" s="102" t="str">
        <f t="shared" si="52"/>
        <v>R</v>
      </c>
      <c r="D140" s="104">
        <f t="shared" ca="1" si="53"/>
        <v>0.12506796362346423</v>
      </c>
      <c r="E140" s="104">
        <f t="shared" si="54"/>
        <v>1</v>
      </c>
      <c r="F140" s="103">
        <f t="shared" si="55"/>
        <v>0</v>
      </c>
      <c r="G140" s="103">
        <f t="shared" si="56"/>
        <v>0</v>
      </c>
      <c r="H140" s="397" t="e">
        <f t="shared" ca="1" si="57"/>
        <v>#REF!</v>
      </c>
      <c r="I140" s="393" t="e">
        <f t="shared" ca="1" si="58"/>
        <v>#REF!</v>
      </c>
      <c r="J140" s="394" t="e">
        <f t="shared" ca="1" si="59"/>
        <v>#REF!</v>
      </c>
      <c r="K140" s="394" t="e">
        <f t="shared" ca="1" si="60"/>
        <v>#REF!</v>
      </c>
      <c r="L140" s="394" t="e">
        <f t="shared" ca="1" si="61"/>
        <v>#REF!</v>
      </c>
      <c r="M140" s="394" t="e">
        <f t="shared" ca="1" si="66"/>
        <v>#REF!</v>
      </c>
      <c r="N140" s="394" t="e">
        <f t="shared" ca="1" si="67"/>
        <v>#REF!</v>
      </c>
      <c r="O140" s="394" t="e">
        <f t="shared" ca="1" si="62"/>
        <v>#REF!</v>
      </c>
      <c r="P140" s="394" t="e">
        <f t="shared" ca="1" si="63"/>
        <v>#REF!</v>
      </c>
      <c r="Q140" s="394" t="e">
        <f t="shared" ca="1" si="64"/>
        <v>#VALUE!</v>
      </c>
      <c r="R140" s="396" t="e">
        <f t="shared" ca="1" si="68"/>
        <v>#REF!</v>
      </c>
    </row>
    <row r="141" spans="2:18" x14ac:dyDescent="0.25">
      <c r="B141" s="420">
        <f t="shared" ca="1" si="65"/>
        <v>2087</v>
      </c>
      <c r="C141" s="421" t="str">
        <f t="shared" si="52"/>
        <v>N</v>
      </c>
      <c r="D141" s="105">
        <f t="shared" si="53"/>
        <v>1</v>
      </c>
      <c r="E141" s="105">
        <f t="shared" ca="1" si="54"/>
        <v>0.12506796362346423</v>
      </c>
      <c r="F141" s="77">
        <f t="shared" si="55"/>
        <v>0</v>
      </c>
      <c r="G141" s="77">
        <f t="shared" si="56"/>
        <v>0</v>
      </c>
      <c r="H141" s="327" t="e">
        <f t="shared" ca="1" si="57"/>
        <v>#REF!</v>
      </c>
      <c r="I141" s="427" t="e">
        <f t="shared" ca="1" si="58"/>
        <v>#REF!</v>
      </c>
      <c r="J141" s="284" t="e">
        <f t="shared" ca="1" si="59"/>
        <v>#REF!</v>
      </c>
      <c r="K141" s="284" t="e">
        <f t="shared" ca="1" si="60"/>
        <v>#REF!</v>
      </c>
      <c r="L141" s="284" t="e">
        <f t="shared" ca="1" si="61"/>
        <v>#REF!</v>
      </c>
      <c r="M141" s="284" t="e">
        <f t="shared" ca="1" si="66"/>
        <v>#REF!</v>
      </c>
      <c r="N141" s="284" t="e">
        <f t="shared" ca="1" si="67"/>
        <v>#REF!</v>
      </c>
      <c r="O141" s="284" t="e">
        <f t="shared" ca="1" si="62"/>
        <v>#REF!</v>
      </c>
      <c r="P141" s="284" t="e">
        <f t="shared" ca="1" si="63"/>
        <v>#REF!</v>
      </c>
      <c r="Q141" s="284" t="e">
        <f t="shared" ca="1" si="64"/>
        <v>#VALUE!</v>
      </c>
      <c r="R141" s="426" t="e">
        <f t="shared" ca="1" si="68"/>
        <v>#REF!</v>
      </c>
    </row>
    <row r="142" spans="2:18" x14ac:dyDescent="0.25">
      <c r="B142" s="185">
        <f t="shared" ca="1" si="65"/>
        <v>2088</v>
      </c>
      <c r="C142" s="102" t="str">
        <f t="shared" si="52"/>
        <v>R</v>
      </c>
      <c r="D142" s="104">
        <f t="shared" ca="1" si="53"/>
        <v>0.12113119963531643</v>
      </c>
      <c r="E142" s="104">
        <f t="shared" si="54"/>
        <v>1</v>
      </c>
      <c r="F142" s="103">
        <f t="shared" si="55"/>
        <v>0</v>
      </c>
      <c r="G142" s="103">
        <f t="shared" si="56"/>
        <v>0</v>
      </c>
      <c r="H142" s="397" t="e">
        <f t="shared" ca="1" si="57"/>
        <v>#REF!</v>
      </c>
      <c r="I142" s="393" t="e">
        <f t="shared" ca="1" si="58"/>
        <v>#REF!</v>
      </c>
      <c r="J142" s="394" t="e">
        <f t="shared" ca="1" si="59"/>
        <v>#REF!</v>
      </c>
      <c r="K142" s="394" t="e">
        <f t="shared" ca="1" si="60"/>
        <v>#REF!</v>
      </c>
      <c r="L142" s="394" t="e">
        <f t="shared" ca="1" si="61"/>
        <v>#REF!</v>
      </c>
      <c r="M142" s="394" t="e">
        <f t="shared" ca="1" si="66"/>
        <v>#REF!</v>
      </c>
      <c r="N142" s="394" t="e">
        <f t="shared" ca="1" si="67"/>
        <v>#REF!</v>
      </c>
      <c r="O142" s="394" t="e">
        <f t="shared" ca="1" si="62"/>
        <v>#REF!</v>
      </c>
      <c r="P142" s="394" t="e">
        <f t="shared" ca="1" si="63"/>
        <v>#REF!</v>
      </c>
      <c r="Q142" s="394" t="e">
        <f t="shared" ca="1" si="64"/>
        <v>#VALUE!</v>
      </c>
      <c r="R142" s="396" t="e">
        <f t="shared" ca="1" si="68"/>
        <v>#REF!</v>
      </c>
    </row>
    <row r="143" spans="2:18" x14ac:dyDescent="0.25">
      <c r="B143" s="420">
        <f t="shared" ca="1" si="65"/>
        <v>2088</v>
      </c>
      <c r="C143" s="421" t="str">
        <f t="shared" si="52"/>
        <v>N</v>
      </c>
      <c r="D143" s="105">
        <f t="shared" si="53"/>
        <v>1</v>
      </c>
      <c r="E143" s="105">
        <f t="shared" ca="1" si="54"/>
        <v>0.12113119963531643</v>
      </c>
      <c r="F143" s="77">
        <f t="shared" si="55"/>
        <v>0</v>
      </c>
      <c r="G143" s="77">
        <f t="shared" si="56"/>
        <v>0</v>
      </c>
      <c r="H143" s="327" t="e">
        <f t="shared" ca="1" si="57"/>
        <v>#REF!</v>
      </c>
      <c r="I143" s="427" t="e">
        <f t="shared" ca="1" si="58"/>
        <v>#REF!</v>
      </c>
      <c r="J143" s="284" t="e">
        <f t="shared" ca="1" si="59"/>
        <v>#REF!</v>
      </c>
      <c r="K143" s="284" t="e">
        <f t="shared" ca="1" si="60"/>
        <v>#REF!</v>
      </c>
      <c r="L143" s="284" t="e">
        <f t="shared" ca="1" si="61"/>
        <v>#REF!</v>
      </c>
      <c r="M143" s="284" t="e">
        <f t="shared" ca="1" si="66"/>
        <v>#REF!</v>
      </c>
      <c r="N143" s="284" t="e">
        <f t="shared" ca="1" si="67"/>
        <v>#REF!</v>
      </c>
      <c r="O143" s="284" t="e">
        <f t="shared" ca="1" si="62"/>
        <v>#REF!</v>
      </c>
      <c r="P143" s="284" t="e">
        <f t="shared" ca="1" si="63"/>
        <v>#REF!</v>
      </c>
      <c r="Q143" s="284" t="e">
        <f t="shared" ca="1" si="64"/>
        <v>#VALUE!</v>
      </c>
      <c r="R143" s="426" t="e">
        <f t="shared" ca="1" si="68"/>
        <v>#REF!</v>
      </c>
    </row>
    <row r="144" spans="2:18" x14ac:dyDescent="0.25">
      <c r="B144" s="185">
        <f t="shared" ca="1" si="65"/>
        <v>2089</v>
      </c>
      <c r="C144" s="102" t="str">
        <f t="shared" si="52"/>
        <v>R</v>
      </c>
      <c r="D144" s="104">
        <f t="shared" ca="1" si="53"/>
        <v>0.11731835315769147</v>
      </c>
      <c r="E144" s="104">
        <f t="shared" si="54"/>
        <v>1</v>
      </c>
      <c r="F144" s="103">
        <f t="shared" si="55"/>
        <v>0</v>
      </c>
      <c r="G144" s="103">
        <f t="shared" si="56"/>
        <v>0</v>
      </c>
      <c r="H144" s="397" t="e">
        <f t="shared" ca="1" si="57"/>
        <v>#REF!</v>
      </c>
      <c r="I144" s="393" t="e">
        <f t="shared" ca="1" si="58"/>
        <v>#REF!</v>
      </c>
      <c r="J144" s="394" t="e">
        <f t="shared" ca="1" si="59"/>
        <v>#REF!</v>
      </c>
      <c r="K144" s="394" t="e">
        <f t="shared" ca="1" si="60"/>
        <v>#REF!</v>
      </c>
      <c r="L144" s="394" t="e">
        <f t="shared" ca="1" si="61"/>
        <v>#REF!</v>
      </c>
      <c r="M144" s="394" t="e">
        <f t="shared" ca="1" si="66"/>
        <v>#REF!</v>
      </c>
      <c r="N144" s="394" t="e">
        <f t="shared" ca="1" si="67"/>
        <v>#REF!</v>
      </c>
      <c r="O144" s="394" t="e">
        <f t="shared" ca="1" si="62"/>
        <v>#REF!</v>
      </c>
      <c r="P144" s="394" t="e">
        <f t="shared" ca="1" si="63"/>
        <v>#REF!</v>
      </c>
      <c r="Q144" s="394" t="e">
        <f t="shared" ca="1" si="64"/>
        <v>#VALUE!</v>
      </c>
      <c r="R144" s="396" t="e">
        <f t="shared" ca="1" si="68"/>
        <v>#REF!</v>
      </c>
    </row>
    <row r="145" spans="2:18" x14ac:dyDescent="0.25">
      <c r="B145" s="420">
        <f t="shared" ca="1" si="65"/>
        <v>2089</v>
      </c>
      <c r="C145" s="421" t="str">
        <f t="shared" si="52"/>
        <v>N</v>
      </c>
      <c r="D145" s="105">
        <f t="shared" si="53"/>
        <v>1</v>
      </c>
      <c r="E145" s="105">
        <f t="shared" ca="1" si="54"/>
        <v>0.11731835315769147</v>
      </c>
      <c r="F145" s="77">
        <f t="shared" si="55"/>
        <v>0</v>
      </c>
      <c r="G145" s="77">
        <f t="shared" si="56"/>
        <v>0</v>
      </c>
      <c r="H145" s="327" t="e">
        <f t="shared" ca="1" si="57"/>
        <v>#REF!</v>
      </c>
      <c r="I145" s="427" t="e">
        <f t="shared" ca="1" si="58"/>
        <v>#REF!</v>
      </c>
      <c r="J145" s="284" t="e">
        <f t="shared" ca="1" si="59"/>
        <v>#REF!</v>
      </c>
      <c r="K145" s="284" t="e">
        <f t="shared" ca="1" si="60"/>
        <v>#REF!</v>
      </c>
      <c r="L145" s="284" t="e">
        <f t="shared" ca="1" si="61"/>
        <v>#REF!</v>
      </c>
      <c r="M145" s="284" t="e">
        <f t="shared" ca="1" si="66"/>
        <v>#REF!</v>
      </c>
      <c r="N145" s="284" t="e">
        <f t="shared" ca="1" si="67"/>
        <v>#REF!</v>
      </c>
      <c r="O145" s="284" t="e">
        <f t="shared" ca="1" si="62"/>
        <v>#REF!</v>
      </c>
      <c r="P145" s="284" t="e">
        <f t="shared" ca="1" si="63"/>
        <v>#REF!</v>
      </c>
      <c r="Q145" s="284" t="e">
        <f t="shared" ca="1" si="64"/>
        <v>#VALUE!</v>
      </c>
      <c r="R145" s="426" t="e">
        <f t="shared" ca="1" si="68"/>
        <v>#REF!</v>
      </c>
    </row>
    <row r="146" spans="2:18" x14ac:dyDescent="0.25">
      <c r="B146" s="185">
        <f t="shared" ca="1" si="65"/>
        <v>2090</v>
      </c>
      <c r="C146" s="102" t="str">
        <f t="shared" si="52"/>
        <v>R</v>
      </c>
      <c r="D146" s="104">
        <f t="shared" ca="1" si="53"/>
        <v>0.11362552363941063</v>
      </c>
      <c r="E146" s="104">
        <f t="shared" si="54"/>
        <v>1</v>
      </c>
      <c r="F146" s="103">
        <f t="shared" si="55"/>
        <v>0</v>
      </c>
      <c r="G146" s="103">
        <f t="shared" si="56"/>
        <v>0</v>
      </c>
      <c r="H146" s="397" t="e">
        <f t="shared" ca="1" si="57"/>
        <v>#REF!</v>
      </c>
      <c r="I146" s="393" t="e">
        <f t="shared" ca="1" si="58"/>
        <v>#REF!</v>
      </c>
      <c r="J146" s="394" t="e">
        <f t="shared" ca="1" si="59"/>
        <v>#REF!</v>
      </c>
      <c r="K146" s="394" t="e">
        <f t="shared" ca="1" si="60"/>
        <v>#REF!</v>
      </c>
      <c r="L146" s="394" t="e">
        <f t="shared" ca="1" si="61"/>
        <v>#REF!</v>
      </c>
      <c r="M146" s="394" t="e">
        <f t="shared" ca="1" si="66"/>
        <v>#REF!</v>
      </c>
      <c r="N146" s="394" t="e">
        <f t="shared" ca="1" si="67"/>
        <v>#REF!</v>
      </c>
      <c r="O146" s="394" t="e">
        <f t="shared" ca="1" si="62"/>
        <v>#REF!</v>
      </c>
      <c r="P146" s="394" t="e">
        <f t="shared" ca="1" si="63"/>
        <v>#REF!</v>
      </c>
      <c r="Q146" s="394" t="e">
        <f t="shared" ca="1" si="64"/>
        <v>#VALUE!</v>
      </c>
      <c r="R146" s="396" t="e">
        <f t="shared" ca="1" si="68"/>
        <v>#REF!</v>
      </c>
    </row>
    <row r="147" spans="2:18" x14ac:dyDescent="0.25">
      <c r="B147" s="420">
        <f t="shared" ca="1" si="65"/>
        <v>2090</v>
      </c>
      <c r="C147" s="421" t="str">
        <f t="shared" si="52"/>
        <v>N</v>
      </c>
      <c r="D147" s="105">
        <f t="shared" si="53"/>
        <v>1</v>
      </c>
      <c r="E147" s="105">
        <f t="shared" ca="1" si="54"/>
        <v>0.11362552363941063</v>
      </c>
      <c r="F147" s="77">
        <f t="shared" si="55"/>
        <v>0</v>
      </c>
      <c r="G147" s="77">
        <f t="shared" si="56"/>
        <v>0</v>
      </c>
      <c r="H147" s="327" t="e">
        <f t="shared" ca="1" si="57"/>
        <v>#REF!</v>
      </c>
      <c r="I147" s="427" t="e">
        <f t="shared" ca="1" si="58"/>
        <v>#REF!</v>
      </c>
      <c r="J147" s="284" t="e">
        <f t="shared" ca="1" si="59"/>
        <v>#REF!</v>
      </c>
      <c r="K147" s="284" t="e">
        <f t="shared" ca="1" si="60"/>
        <v>#REF!</v>
      </c>
      <c r="L147" s="284" t="e">
        <f t="shared" ca="1" si="61"/>
        <v>#REF!</v>
      </c>
      <c r="M147" s="284" t="e">
        <f t="shared" ca="1" si="66"/>
        <v>#REF!</v>
      </c>
      <c r="N147" s="284" t="e">
        <f t="shared" ca="1" si="67"/>
        <v>#REF!</v>
      </c>
      <c r="O147" s="284" t="e">
        <f t="shared" ca="1" si="62"/>
        <v>#REF!</v>
      </c>
      <c r="P147" s="284" t="e">
        <f t="shared" ca="1" si="63"/>
        <v>#REF!</v>
      </c>
      <c r="Q147" s="284" t="e">
        <f t="shared" ca="1" si="64"/>
        <v>#VALUE!</v>
      </c>
      <c r="R147" s="426" t="e">
        <f t="shared" ca="1" si="68"/>
        <v>#REF!</v>
      </c>
    </row>
    <row r="148" spans="2:18" x14ac:dyDescent="0.25">
      <c r="B148" s="185">
        <f t="shared" ca="1" si="65"/>
        <v>2091</v>
      </c>
      <c r="C148" s="102" t="str">
        <f t="shared" si="52"/>
        <v>R</v>
      </c>
      <c r="D148" s="104">
        <f t="shared" ca="1" si="53"/>
        <v>0.11004893330693523</v>
      </c>
      <c r="E148" s="104">
        <f t="shared" si="54"/>
        <v>1</v>
      </c>
      <c r="F148" s="103">
        <f t="shared" si="55"/>
        <v>0</v>
      </c>
      <c r="G148" s="103">
        <f t="shared" si="56"/>
        <v>0</v>
      </c>
      <c r="H148" s="397" t="e">
        <f t="shared" ca="1" si="57"/>
        <v>#REF!</v>
      </c>
      <c r="I148" s="393" t="e">
        <f t="shared" ca="1" si="58"/>
        <v>#REF!</v>
      </c>
      <c r="J148" s="394" t="e">
        <f t="shared" ca="1" si="59"/>
        <v>#REF!</v>
      </c>
      <c r="K148" s="394" t="e">
        <f t="shared" ca="1" si="60"/>
        <v>#REF!</v>
      </c>
      <c r="L148" s="394" t="e">
        <f t="shared" ca="1" si="61"/>
        <v>#REF!</v>
      </c>
      <c r="M148" s="394" t="e">
        <f t="shared" ca="1" si="66"/>
        <v>#REF!</v>
      </c>
      <c r="N148" s="394" t="e">
        <f t="shared" ca="1" si="67"/>
        <v>#REF!</v>
      </c>
      <c r="O148" s="394" t="e">
        <f t="shared" ca="1" si="62"/>
        <v>#REF!</v>
      </c>
      <c r="P148" s="394" t="e">
        <f t="shared" ca="1" si="63"/>
        <v>#REF!</v>
      </c>
      <c r="Q148" s="394" t="e">
        <f t="shared" ca="1" si="64"/>
        <v>#VALUE!</v>
      </c>
      <c r="R148" s="396" t="e">
        <f t="shared" ca="1" si="68"/>
        <v>#REF!</v>
      </c>
    </row>
    <row r="149" spans="2:18" x14ac:dyDescent="0.25">
      <c r="B149" s="420">
        <f t="shared" ca="1" si="65"/>
        <v>2091</v>
      </c>
      <c r="C149" s="421" t="str">
        <f t="shared" si="52"/>
        <v>N</v>
      </c>
      <c r="D149" s="105">
        <f t="shared" si="53"/>
        <v>1</v>
      </c>
      <c r="E149" s="105">
        <f t="shared" ca="1" si="54"/>
        <v>0.11004893330693523</v>
      </c>
      <c r="F149" s="77">
        <f t="shared" si="55"/>
        <v>0</v>
      </c>
      <c r="G149" s="77">
        <f t="shared" si="56"/>
        <v>0</v>
      </c>
      <c r="H149" s="327" t="e">
        <f t="shared" ca="1" si="57"/>
        <v>#REF!</v>
      </c>
      <c r="I149" s="427" t="e">
        <f t="shared" ca="1" si="58"/>
        <v>#REF!</v>
      </c>
      <c r="J149" s="284" t="e">
        <f t="shared" ca="1" si="59"/>
        <v>#REF!</v>
      </c>
      <c r="K149" s="284" t="e">
        <f t="shared" ca="1" si="60"/>
        <v>#REF!</v>
      </c>
      <c r="L149" s="284" t="e">
        <f t="shared" ca="1" si="61"/>
        <v>#REF!</v>
      </c>
      <c r="M149" s="284" t="e">
        <f t="shared" ca="1" si="66"/>
        <v>#REF!</v>
      </c>
      <c r="N149" s="284" t="e">
        <f t="shared" ca="1" si="67"/>
        <v>#REF!</v>
      </c>
      <c r="O149" s="284" t="e">
        <f t="shared" ca="1" si="62"/>
        <v>#REF!</v>
      </c>
      <c r="P149" s="284" t="e">
        <f t="shared" ca="1" si="63"/>
        <v>#REF!</v>
      </c>
      <c r="Q149" s="284" t="e">
        <f t="shared" ca="1" si="64"/>
        <v>#VALUE!</v>
      </c>
      <c r="R149" s="426" t="e">
        <f t="shared" ca="1" si="68"/>
        <v>#REF!</v>
      </c>
    </row>
    <row r="150" spans="2:18" x14ac:dyDescent="0.25">
      <c r="B150" s="185">
        <f t="shared" ca="1" si="65"/>
        <v>2092</v>
      </c>
      <c r="C150" s="102" t="str">
        <f t="shared" si="52"/>
        <v>R</v>
      </c>
      <c r="D150" s="104">
        <f t="shared" ca="1" si="53"/>
        <v>0.10658492329969514</v>
      </c>
      <c r="E150" s="104">
        <f t="shared" si="54"/>
        <v>1</v>
      </c>
      <c r="F150" s="103">
        <f t="shared" si="55"/>
        <v>0</v>
      </c>
      <c r="G150" s="103">
        <f t="shared" si="56"/>
        <v>0</v>
      </c>
      <c r="H150" s="397" t="e">
        <f t="shared" ca="1" si="57"/>
        <v>#REF!</v>
      </c>
      <c r="I150" s="393" t="e">
        <f t="shared" ca="1" si="58"/>
        <v>#REF!</v>
      </c>
      <c r="J150" s="394" t="e">
        <f t="shared" ca="1" si="59"/>
        <v>#REF!</v>
      </c>
      <c r="K150" s="394" t="e">
        <f t="shared" ca="1" si="60"/>
        <v>#REF!</v>
      </c>
      <c r="L150" s="394" t="e">
        <f t="shared" ca="1" si="61"/>
        <v>#REF!</v>
      </c>
      <c r="M150" s="394" t="e">
        <f t="shared" ca="1" si="66"/>
        <v>#REF!</v>
      </c>
      <c r="N150" s="394" t="e">
        <f t="shared" ca="1" si="67"/>
        <v>#REF!</v>
      </c>
      <c r="O150" s="394" t="e">
        <f t="shared" ca="1" si="62"/>
        <v>#REF!</v>
      </c>
      <c r="P150" s="394" t="e">
        <f t="shared" ca="1" si="63"/>
        <v>#REF!</v>
      </c>
      <c r="Q150" s="394" t="e">
        <f t="shared" ca="1" si="64"/>
        <v>#VALUE!</v>
      </c>
      <c r="R150" s="396" t="e">
        <f t="shared" ca="1" si="68"/>
        <v>#REF!</v>
      </c>
    </row>
    <row r="151" spans="2:18" x14ac:dyDescent="0.25">
      <c r="B151" s="420">
        <f t="shared" ca="1" si="65"/>
        <v>2092</v>
      </c>
      <c r="C151" s="421" t="str">
        <f t="shared" si="52"/>
        <v>N</v>
      </c>
      <c r="D151" s="105">
        <f t="shared" si="53"/>
        <v>1</v>
      </c>
      <c r="E151" s="105">
        <f t="shared" ca="1" si="54"/>
        <v>0.10658492329969514</v>
      </c>
      <c r="F151" s="77">
        <f t="shared" si="55"/>
        <v>0</v>
      </c>
      <c r="G151" s="77">
        <f t="shared" si="56"/>
        <v>0</v>
      </c>
      <c r="H151" s="327" t="e">
        <f t="shared" ca="1" si="57"/>
        <v>#REF!</v>
      </c>
      <c r="I151" s="427" t="e">
        <f t="shared" ca="1" si="58"/>
        <v>#REF!</v>
      </c>
      <c r="J151" s="284" t="e">
        <f t="shared" ca="1" si="59"/>
        <v>#REF!</v>
      </c>
      <c r="K151" s="284" t="e">
        <f t="shared" ca="1" si="60"/>
        <v>#REF!</v>
      </c>
      <c r="L151" s="284" t="e">
        <f t="shared" ca="1" si="61"/>
        <v>#REF!</v>
      </c>
      <c r="M151" s="284" t="e">
        <f t="shared" ca="1" si="66"/>
        <v>#REF!</v>
      </c>
      <c r="N151" s="284" t="e">
        <f t="shared" ca="1" si="67"/>
        <v>#REF!</v>
      </c>
      <c r="O151" s="284" t="e">
        <f t="shared" ca="1" si="62"/>
        <v>#REF!</v>
      </c>
      <c r="P151" s="284" t="e">
        <f t="shared" ca="1" si="63"/>
        <v>#REF!</v>
      </c>
      <c r="Q151" s="284" t="e">
        <f t="shared" ca="1" si="64"/>
        <v>#VALUE!</v>
      </c>
      <c r="R151" s="426" t="e">
        <f t="shared" ca="1" si="68"/>
        <v>#REF!</v>
      </c>
    </row>
    <row r="152" spans="2:18" x14ac:dyDescent="0.25">
      <c r="B152" s="185">
        <f t="shared" ca="1" si="65"/>
        <v>2093</v>
      </c>
      <c r="C152" s="102" t="str">
        <f t="shared" si="52"/>
        <v>R</v>
      </c>
      <c r="D152" s="104">
        <f t="shared" ca="1" si="53"/>
        <v>0.10322994992706552</v>
      </c>
      <c r="E152" s="104">
        <f t="shared" si="54"/>
        <v>1</v>
      </c>
      <c r="F152" s="103">
        <f t="shared" si="55"/>
        <v>0</v>
      </c>
      <c r="G152" s="103">
        <f t="shared" si="56"/>
        <v>0</v>
      </c>
      <c r="H152" s="397" t="e">
        <f t="shared" ca="1" si="57"/>
        <v>#REF!</v>
      </c>
      <c r="I152" s="393" t="e">
        <f t="shared" ca="1" si="58"/>
        <v>#REF!</v>
      </c>
      <c r="J152" s="394" t="e">
        <f t="shared" ca="1" si="59"/>
        <v>#REF!</v>
      </c>
      <c r="K152" s="394" t="e">
        <f t="shared" ca="1" si="60"/>
        <v>#REF!</v>
      </c>
      <c r="L152" s="394" t="e">
        <f t="shared" ca="1" si="61"/>
        <v>#REF!</v>
      </c>
      <c r="M152" s="394" t="e">
        <f t="shared" ca="1" si="66"/>
        <v>#REF!</v>
      </c>
      <c r="N152" s="394" t="e">
        <f t="shared" ca="1" si="67"/>
        <v>#REF!</v>
      </c>
      <c r="O152" s="394" t="e">
        <f t="shared" ca="1" si="62"/>
        <v>#REF!</v>
      </c>
      <c r="P152" s="394" t="e">
        <f t="shared" ca="1" si="63"/>
        <v>#REF!</v>
      </c>
      <c r="Q152" s="394" t="e">
        <f t="shared" ca="1" si="64"/>
        <v>#VALUE!</v>
      </c>
      <c r="R152" s="396" t="e">
        <f t="shared" ca="1" si="68"/>
        <v>#REF!</v>
      </c>
    </row>
    <row r="153" spans="2:18" x14ac:dyDescent="0.25">
      <c r="B153" s="420">
        <f t="shared" ca="1" si="65"/>
        <v>2093</v>
      </c>
      <c r="C153" s="421" t="str">
        <f t="shared" si="52"/>
        <v>N</v>
      </c>
      <c r="D153" s="105">
        <f t="shared" si="53"/>
        <v>1</v>
      </c>
      <c r="E153" s="105">
        <f t="shared" ca="1" si="54"/>
        <v>0.10322994992706552</v>
      </c>
      <c r="F153" s="77">
        <f t="shared" si="55"/>
        <v>0</v>
      </c>
      <c r="G153" s="77">
        <f t="shared" si="56"/>
        <v>0</v>
      </c>
      <c r="H153" s="327" t="e">
        <f t="shared" ca="1" si="57"/>
        <v>#REF!</v>
      </c>
      <c r="I153" s="427" t="e">
        <f t="shared" ca="1" si="58"/>
        <v>#REF!</v>
      </c>
      <c r="J153" s="284" t="e">
        <f t="shared" ca="1" si="59"/>
        <v>#REF!</v>
      </c>
      <c r="K153" s="284" t="e">
        <f t="shared" ca="1" si="60"/>
        <v>#REF!</v>
      </c>
      <c r="L153" s="284" t="e">
        <f t="shared" ca="1" si="61"/>
        <v>#REF!</v>
      </c>
      <c r="M153" s="284" t="e">
        <f t="shared" ca="1" si="66"/>
        <v>#REF!</v>
      </c>
      <c r="N153" s="284" t="e">
        <f t="shared" ca="1" si="67"/>
        <v>#REF!</v>
      </c>
      <c r="O153" s="284" t="e">
        <f t="shared" ca="1" si="62"/>
        <v>#REF!</v>
      </c>
      <c r="P153" s="284" t="e">
        <f t="shared" ca="1" si="63"/>
        <v>#REF!</v>
      </c>
      <c r="Q153" s="284" t="e">
        <f t="shared" ca="1" si="64"/>
        <v>#VALUE!</v>
      </c>
      <c r="R153" s="426" t="e">
        <f t="shared" ca="1" si="68"/>
        <v>#REF!</v>
      </c>
    </row>
    <row r="154" spans="2:18" x14ac:dyDescent="0.25">
      <c r="B154" s="185">
        <f t="shared" ca="1" si="65"/>
        <v>2094</v>
      </c>
      <c r="C154" s="102" t="str">
        <f t="shared" si="52"/>
        <v>R</v>
      </c>
      <c r="D154" s="104">
        <f t="shared" ca="1" si="53"/>
        <v>9.9980581043162736E-2</v>
      </c>
      <c r="E154" s="104">
        <f t="shared" si="54"/>
        <v>1</v>
      </c>
      <c r="F154" s="103">
        <f t="shared" si="55"/>
        <v>0</v>
      </c>
      <c r="G154" s="103">
        <f t="shared" si="56"/>
        <v>0</v>
      </c>
      <c r="H154" s="397" t="e">
        <f t="shared" ca="1" si="57"/>
        <v>#REF!</v>
      </c>
      <c r="I154" s="393" t="e">
        <f t="shared" ca="1" si="58"/>
        <v>#REF!</v>
      </c>
      <c r="J154" s="394" t="e">
        <f t="shared" ca="1" si="59"/>
        <v>#REF!</v>
      </c>
      <c r="K154" s="394" t="e">
        <f t="shared" ca="1" si="60"/>
        <v>#REF!</v>
      </c>
      <c r="L154" s="394" t="e">
        <f t="shared" ca="1" si="61"/>
        <v>#REF!</v>
      </c>
      <c r="M154" s="394" t="e">
        <f t="shared" ca="1" si="66"/>
        <v>#REF!</v>
      </c>
      <c r="N154" s="394" t="e">
        <f t="shared" ca="1" si="67"/>
        <v>#REF!</v>
      </c>
      <c r="O154" s="394" t="e">
        <f t="shared" ca="1" si="62"/>
        <v>#REF!</v>
      </c>
      <c r="P154" s="394" t="e">
        <f t="shared" ca="1" si="63"/>
        <v>#REF!</v>
      </c>
      <c r="Q154" s="394" t="e">
        <f t="shared" ca="1" si="64"/>
        <v>#VALUE!</v>
      </c>
      <c r="R154" s="396" t="e">
        <f t="shared" ca="1" si="68"/>
        <v>#REF!</v>
      </c>
    </row>
    <row r="155" spans="2:18" x14ac:dyDescent="0.25">
      <c r="B155" s="420">
        <f t="shared" ca="1" si="65"/>
        <v>2094</v>
      </c>
      <c r="C155" s="421" t="str">
        <f t="shared" si="52"/>
        <v>N</v>
      </c>
      <c r="D155" s="105">
        <f t="shared" si="53"/>
        <v>1</v>
      </c>
      <c r="E155" s="105">
        <f t="shared" ca="1" si="54"/>
        <v>9.9980581043162736E-2</v>
      </c>
      <c r="F155" s="77">
        <f t="shared" si="55"/>
        <v>0</v>
      </c>
      <c r="G155" s="77">
        <f t="shared" si="56"/>
        <v>0</v>
      </c>
      <c r="H155" s="327" t="e">
        <f t="shared" ca="1" si="57"/>
        <v>#REF!</v>
      </c>
      <c r="I155" s="427" t="e">
        <f t="shared" ca="1" si="58"/>
        <v>#REF!</v>
      </c>
      <c r="J155" s="284" t="e">
        <f t="shared" ca="1" si="59"/>
        <v>#REF!</v>
      </c>
      <c r="K155" s="284" t="e">
        <f t="shared" ca="1" si="60"/>
        <v>#REF!</v>
      </c>
      <c r="L155" s="284" t="e">
        <f t="shared" ca="1" si="61"/>
        <v>#REF!</v>
      </c>
      <c r="M155" s="284" t="e">
        <f t="shared" ca="1" si="66"/>
        <v>#REF!</v>
      </c>
      <c r="N155" s="284" t="e">
        <f t="shared" ca="1" si="67"/>
        <v>#REF!</v>
      </c>
      <c r="O155" s="284" t="e">
        <f t="shared" ca="1" si="62"/>
        <v>#REF!</v>
      </c>
      <c r="P155" s="284" t="e">
        <f t="shared" ca="1" si="63"/>
        <v>#REF!</v>
      </c>
      <c r="Q155" s="284" t="e">
        <f t="shared" ca="1" si="64"/>
        <v>#VALUE!</v>
      </c>
      <c r="R155" s="426" t="e">
        <f t="shared" ca="1" si="68"/>
        <v>#REF!</v>
      </c>
    </row>
    <row r="156" spans="2:18" x14ac:dyDescent="0.25">
      <c r="B156" s="185">
        <f t="shared" ca="1" si="65"/>
        <v>2095</v>
      </c>
      <c r="C156" s="102" t="str">
        <f t="shared" si="52"/>
        <v>R</v>
      </c>
      <c r="D156" s="104">
        <f t="shared" ca="1" si="53"/>
        <v>9.683349253575084E-2</v>
      </c>
      <c r="E156" s="104">
        <f t="shared" si="54"/>
        <v>1</v>
      </c>
      <c r="F156" s="103">
        <f t="shared" si="55"/>
        <v>0</v>
      </c>
      <c r="G156" s="103">
        <f t="shared" si="56"/>
        <v>0</v>
      </c>
      <c r="H156" s="397" t="e">
        <f t="shared" ca="1" si="57"/>
        <v>#REF!</v>
      </c>
      <c r="I156" s="393" t="e">
        <f t="shared" ca="1" si="58"/>
        <v>#REF!</v>
      </c>
      <c r="J156" s="394" t="e">
        <f t="shared" ca="1" si="59"/>
        <v>#REF!</v>
      </c>
      <c r="K156" s="394" t="e">
        <f t="shared" ca="1" si="60"/>
        <v>#REF!</v>
      </c>
      <c r="L156" s="394" t="e">
        <f t="shared" ca="1" si="61"/>
        <v>#REF!</v>
      </c>
      <c r="M156" s="394" t="e">
        <f t="shared" ca="1" si="66"/>
        <v>#REF!</v>
      </c>
      <c r="N156" s="394" t="e">
        <f t="shared" ca="1" si="67"/>
        <v>#REF!</v>
      </c>
      <c r="O156" s="394" t="e">
        <f t="shared" ca="1" si="62"/>
        <v>#REF!</v>
      </c>
      <c r="P156" s="394" t="e">
        <f t="shared" ca="1" si="63"/>
        <v>#REF!</v>
      </c>
      <c r="Q156" s="394" t="e">
        <f t="shared" ca="1" si="64"/>
        <v>#VALUE!</v>
      </c>
      <c r="R156" s="396" t="e">
        <f t="shared" ca="1" si="68"/>
        <v>#REF!</v>
      </c>
    </row>
    <row r="157" spans="2:18" x14ac:dyDescent="0.25">
      <c r="B157" s="420">
        <f t="shared" ca="1" si="65"/>
        <v>2095</v>
      </c>
      <c r="C157" s="421" t="str">
        <f t="shared" si="52"/>
        <v>N</v>
      </c>
      <c r="D157" s="105">
        <f t="shared" si="53"/>
        <v>1</v>
      </c>
      <c r="E157" s="105">
        <f t="shared" ca="1" si="54"/>
        <v>9.683349253575084E-2</v>
      </c>
      <c r="F157" s="77">
        <f t="shared" si="55"/>
        <v>0</v>
      </c>
      <c r="G157" s="77">
        <f t="shared" si="56"/>
        <v>0</v>
      </c>
      <c r="H157" s="327" t="e">
        <f t="shared" ca="1" si="57"/>
        <v>#REF!</v>
      </c>
      <c r="I157" s="427" t="e">
        <f t="shared" ca="1" si="58"/>
        <v>#REF!</v>
      </c>
      <c r="J157" s="284" t="e">
        <f t="shared" ca="1" si="59"/>
        <v>#REF!</v>
      </c>
      <c r="K157" s="284" t="e">
        <f t="shared" ca="1" si="60"/>
        <v>#REF!</v>
      </c>
      <c r="L157" s="284" t="e">
        <f t="shared" ca="1" si="61"/>
        <v>#REF!</v>
      </c>
      <c r="M157" s="284" t="e">
        <f t="shared" ca="1" si="66"/>
        <v>#REF!</v>
      </c>
      <c r="N157" s="284" t="e">
        <f t="shared" ca="1" si="67"/>
        <v>#REF!</v>
      </c>
      <c r="O157" s="284" t="e">
        <f t="shared" ca="1" si="62"/>
        <v>#REF!</v>
      </c>
      <c r="P157" s="284" t="e">
        <f t="shared" ca="1" si="63"/>
        <v>#REF!</v>
      </c>
      <c r="Q157" s="284" t="e">
        <f t="shared" ca="1" si="64"/>
        <v>#VALUE!</v>
      </c>
      <c r="R157" s="426" t="e">
        <f t="shared" ca="1" si="68"/>
        <v>#REF!</v>
      </c>
    </row>
    <row r="158" spans="2:18" x14ac:dyDescent="0.25">
      <c r="B158" s="185">
        <f t="shared" ca="1" si="65"/>
        <v>2096</v>
      </c>
      <c r="C158" s="102" t="str">
        <f t="shared" si="52"/>
        <v>R</v>
      </c>
      <c r="D158" s="104">
        <f t="shared" ca="1" si="53"/>
        <v>9.3785464925666667E-2</v>
      </c>
      <c r="E158" s="104">
        <f t="shared" si="54"/>
        <v>1</v>
      </c>
      <c r="F158" s="103">
        <f t="shared" si="55"/>
        <v>0</v>
      </c>
      <c r="G158" s="103">
        <f t="shared" si="56"/>
        <v>0</v>
      </c>
      <c r="H158" s="397" t="e">
        <f t="shared" ca="1" si="57"/>
        <v>#REF!</v>
      </c>
      <c r="I158" s="393" t="e">
        <f t="shared" ca="1" si="58"/>
        <v>#REF!</v>
      </c>
      <c r="J158" s="394" t="e">
        <f t="shared" ca="1" si="59"/>
        <v>#REF!</v>
      </c>
      <c r="K158" s="394" t="e">
        <f t="shared" ca="1" si="60"/>
        <v>#REF!</v>
      </c>
      <c r="L158" s="394" t="e">
        <f t="shared" ca="1" si="61"/>
        <v>#REF!</v>
      </c>
      <c r="M158" s="394" t="e">
        <f t="shared" ca="1" si="66"/>
        <v>#REF!</v>
      </c>
      <c r="N158" s="394" t="e">
        <f t="shared" ca="1" si="67"/>
        <v>#REF!</v>
      </c>
      <c r="O158" s="394" t="e">
        <f t="shared" ca="1" si="62"/>
        <v>#REF!</v>
      </c>
      <c r="P158" s="394" t="e">
        <f t="shared" ca="1" si="63"/>
        <v>#REF!</v>
      </c>
      <c r="Q158" s="394" t="e">
        <f t="shared" ca="1" si="64"/>
        <v>#VALUE!</v>
      </c>
      <c r="R158" s="396" t="e">
        <f t="shared" ca="1" si="68"/>
        <v>#REF!</v>
      </c>
    </row>
    <row r="159" spans="2:18" x14ac:dyDescent="0.25">
      <c r="B159" s="420">
        <f t="shared" ca="1" si="65"/>
        <v>2096</v>
      </c>
      <c r="C159" s="421" t="str">
        <f t="shared" si="52"/>
        <v>N</v>
      </c>
      <c r="D159" s="105">
        <f t="shared" si="53"/>
        <v>1</v>
      </c>
      <c r="E159" s="105">
        <f t="shared" ca="1" si="54"/>
        <v>9.3785464925666667E-2</v>
      </c>
      <c r="F159" s="77">
        <f t="shared" si="55"/>
        <v>0</v>
      </c>
      <c r="G159" s="77">
        <f t="shared" si="56"/>
        <v>0</v>
      </c>
      <c r="H159" s="327" t="e">
        <f t="shared" ca="1" si="57"/>
        <v>#REF!</v>
      </c>
      <c r="I159" s="427" t="e">
        <f t="shared" ca="1" si="58"/>
        <v>#REF!</v>
      </c>
      <c r="J159" s="284" t="e">
        <f t="shared" ca="1" si="59"/>
        <v>#REF!</v>
      </c>
      <c r="K159" s="284" t="e">
        <f t="shared" ca="1" si="60"/>
        <v>#REF!</v>
      </c>
      <c r="L159" s="284" t="e">
        <f t="shared" ca="1" si="61"/>
        <v>#REF!</v>
      </c>
      <c r="M159" s="284" t="e">
        <f t="shared" ca="1" si="66"/>
        <v>#REF!</v>
      </c>
      <c r="N159" s="284" t="e">
        <f t="shared" ca="1" si="67"/>
        <v>#REF!</v>
      </c>
      <c r="O159" s="284" t="e">
        <f t="shared" ca="1" si="62"/>
        <v>#REF!</v>
      </c>
      <c r="P159" s="284" t="e">
        <f t="shared" ca="1" si="63"/>
        <v>#REF!</v>
      </c>
      <c r="Q159" s="284" t="e">
        <f t="shared" ca="1" si="64"/>
        <v>#VALUE!</v>
      </c>
      <c r="R159" s="426" t="e">
        <f t="shared" ca="1" si="68"/>
        <v>#REF!</v>
      </c>
    </row>
    <row r="160" spans="2:18" x14ac:dyDescent="0.25">
      <c r="B160" s="185">
        <f t="shared" ca="1" si="65"/>
        <v>2097</v>
      </c>
      <c r="C160" s="102" t="str">
        <f t="shared" si="52"/>
        <v>R</v>
      </c>
      <c r="D160" s="104">
        <f t="shared" ca="1" si="53"/>
        <v>9.0833380073284911E-2</v>
      </c>
      <c r="E160" s="104">
        <f t="shared" si="54"/>
        <v>1</v>
      </c>
      <c r="F160" s="103">
        <f t="shared" si="55"/>
        <v>0</v>
      </c>
      <c r="G160" s="103">
        <f t="shared" si="56"/>
        <v>0</v>
      </c>
      <c r="H160" s="397" t="e">
        <f t="shared" ca="1" si="57"/>
        <v>#REF!</v>
      </c>
      <c r="I160" s="393" t="e">
        <f t="shared" ca="1" si="58"/>
        <v>#REF!</v>
      </c>
      <c r="J160" s="394" t="e">
        <f t="shared" ca="1" si="59"/>
        <v>#REF!</v>
      </c>
      <c r="K160" s="394" t="e">
        <f t="shared" ca="1" si="60"/>
        <v>#REF!</v>
      </c>
      <c r="L160" s="394" t="e">
        <f t="shared" ca="1" si="61"/>
        <v>#REF!</v>
      </c>
      <c r="M160" s="394" t="e">
        <f t="shared" ca="1" si="66"/>
        <v>#REF!</v>
      </c>
      <c r="N160" s="394" t="e">
        <f t="shared" ca="1" si="67"/>
        <v>#REF!</v>
      </c>
      <c r="O160" s="394" t="e">
        <f t="shared" ca="1" si="62"/>
        <v>#REF!</v>
      </c>
      <c r="P160" s="394" t="e">
        <f t="shared" ca="1" si="63"/>
        <v>#REF!</v>
      </c>
      <c r="Q160" s="394" t="e">
        <f t="shared" ca="1" si="64"/>
        <v>#VALUE!</v>
      </c>
      <c r="R160" s="396" t="e">
        <f t="shared" ca="1" si="68"/>
        <v>#REF!</v>
      </c>
    </row>
    <row r="161" spans="2:18" x14ac:dyDescent="0.25">
      <c r="B161" s="420">
        <f t="shared" ca="1" si="65"/>
        <v>2097</v>
      </c>
      <c r="C161" s="421" t="str">
        <f t="shared" si="52"/>
        <v>N</v>
      </c>
      <c r="D161" s="105">
        <f t="shared" si="53"/>
        <v>1</v>
      </c>
      <c r="E161" s="105">
        <f t="shared" ca="1" si="54"/>
        <v>9.0833380073284911E-2</v>
      </c>
      <c r="F161" s="77">
        <f t="shared" si="55"/>
        <v>0</v>
      </c>
      <c r="G161" s="77">
        <f t="shared" si="56"/>
        <v>0</v>
      </c>
      <c r="H161" s="327" t="e">
        <f t="shared" ca="1" si="57"/>
        <v>#REF!</v>
      </c>
      <c r="I161" s="427" t="e">
        <f t="shared" ca="1" si="58"/>
        <v>#REF!</v>
      </c>
      <c r="J161" s="284" t="e">
        <f t="shared" ca="1" si="59"/>
        <v>#REF!</v>
      </c>
      <c r="K161" s="284" t="e">
        <f t="shared" ca="1" si="60"/>
        <v>#REF!</v>
      </c>
      <c r="L161" s="284" t="e">
        <f t="shared" ca="1" si="61"/>
        <v>#REF!</v>
      </c>
      <c r="M161" s="284" t="e">
        <f t="shared" ca="1" si="66"/>
        <v>#REF!</v>
      </c>
      <c r="N161" s="284" t="e">
        <f t="shared" ca="1" si="67"/>
        <v>#REF!</v>
      </c>
      <c r="O161" s="284" t="e">
        <f t="shared" ca="1" si="62"/>
        <v>#REF!</v>
      </c>
      <c r="P161" s="284" t="e">
        <f t="shared" ca="1" si="63"/>
        <v>#REF!</v>
      </c>
      <c r="Q161" s="284" t="e">
        <f t="shared" ca="1" si="64"/>
        <v>#VALUE!</v>
      </c>
      <c r="R161" s="426" t="e">
        <f t="shared" ca="1" si="68"/>
        <v>#REF!</v>
      </c>
    </row>
    <row r="162" spans="2:18" x14ac:dyDescent="0.25">
      <c r="B162" s="185">
        <f t="shared" ca="1" si="65"/>
        <v>2098</v>
      </c>
      <c r="C162" s="102" t="str">
        <f t="shared" si="52"/>
        <v>R</v>
      </c>
      <c r="D162" s="104">
        <f t="shared" ca="1" si="53"/>
        <v>8.797421798865368E-2</v>
      </c>
      <c r="E162" s="104">
        <f t="shared" si="54"/>
        <v>1</v>
      </c>
      <c r="F162" s="103">
        <f t="shared" si="55"/>
        <v>0</v>
      </c>
      <c r="G162" s="103">
        <f t="shared" si="56"/>
        <v>0</v>
      </c>
      <c r="H162" s="397" t="e">
        <f t="shared" ca="1" si="57"/>
        <v>#REF!</v>
      </c>
      <c r="I162" s="393" t="e">
        <f t="shared" ca="1" si="58"/>
        <v>#REF!</v>
      </c>
      <c r="J162" s="394" t="e">
        <f t="shared" ca="1" si="59"/>
        <v>#REF!</v>
      </c>
      <c r="K162" s="394" t="e">
        <f t="shared" ca="1" si="60"/>
        <v>#REF!</v>
      </c>
      <c r="L162" s="394" t="e">
        <f t="shared" ca="1" si="61"/>
        <v>#REF!</v>
      </c>
      <c r="M162" s="394" t="e">
        <f t="shared" ca="1" si="66"/>
        <v>#REF!</v>
      </c>
      <c r="N162" s="394" t="e">
        <f t="shared" ca="1" si="67"/>
        <v>#REF!</v>
      </c>
      <c r="O162" s="394" t="e">
        <f t="shared" ca="1" si="62"/>
        <v>#REF!</v>
      </c>
      <c r="P162" s="394" t="e">
        <f t="shared" ca="1" si="63"/>
        <v>#REF!</v>
      </c>
      <c r="Q162" s="394" t="e">
        <f t="shared" ca="1" si="64"/>
        <v>#VALUE!</v>
      </c>
      <c r="R162" s="396" t="e">
        <f t="shared" ca="1" si="68"/>
        <v>#REF!</v>
      </c>
    </row>
    <row r="163" spans="2:18" x14ac:dyDescent="0.25">
      <c r="B163" s="420">
        <f t="shared" ca="1" si="65"/>
        <v>2098</v>
      </c>
      <c r="C163" s="421" t="str">
        <f t="shared" si="52"/>
        <v>N</v>
      </c>
      <c r="D163" s="105">
        <f t="shared" si="53"/>
        <v>1</v>
      </c>
      <c r="E163" s="105">
        <f t="shared" ca="1" si="54"/>
        <v>8.797421798865368E-2</v>
      </c>
      <c r="F163" s="77">
        <f t="shared" si="55"/>
        <v>0</v>
      </c>
      <c r="G163" s="77">
        <f t="shared" si="56"/>
        <v>0</v>
      </c>
      <c r="H163" s="327" t="e">
        <f t="shared" ca="1" si="57"/>
        <v>#REF!</v>
      </c>
      <c r="I163" s="427" t="e">
        <f t="shared" ca="1" si="58"/>
        <v>#REF!</v>
      </c>
      <c r="J163" s="284" t="e">
        <f t="shared" ca="1" si="59"/>
        <v>#REF!</v>
      </c>
      <c r="K163" s="284" t="e">
        <f t="shared" ca="1" si="60"/>
        <v>#REF!</v>
      </c>
      <c r="L163" s="284" t="e">
        <f t="shared" ca="1" si="61"/>
        <v>#REF!</v>
      </c>
      <c r="M163" s="284" t="e">
        <f t="shared" ca="1" si="66"/>
        <v>#REF!</v>
      </c>
      <c r="N163" s="284" t="e">
        <f t="shared" ca="1" si="67"/>
        <v>#REF!</v>
      </c>
      <c r="O163" s="284" t="e">
        <f t="shared" ca="1" si="62"/>
        <v>#REF!</v>
      </c>
      <c r="P163" s="284" t="e">
        <f t="shared" ca="1" si="63"/>
        <v>#REF!</v>
      </c>
      <c r="Q163" s="284" t="e">
        <f t="shared" ca="1" si="64"/>
        <v>#VALUE!</v>
      </c>
      <c r="R163" s="426" t="e">
        <f t="shared" ca="1" si="68"/>
        <v>#REF!</v>
      </c>
    </row>
    <row r="164" spans="2:18" x14ac:dyDescent="0.25">
      <c r="B164" s="185">
        <f t="shared" ca="1" si="65"/>
        <v>2099</v>
      </c>
      <c r="C164" s="102" t="str">
        <f t="shared" si="52"/>
        <v>R</v>
      </c>
      <c r="D164" s="104">
        <f t="shared" ca="1" si="53"/>
        <v>8.5205053742037462E-2</v>
      </c>
      <c r="E164" s="104">
        <f t="shared" si="54"/>
        <v>1</v>
      </c>
      <c r="F164" s="103">
        <f t="shared" si="55"/>
        <v>0</v>
      </c>
      <c r="G164" s="103">
        <f t="shared" si="56"/>
        <v>0</v>
      </c>
      <c r="H164" s="397" t="e">
        <f t="shared" ca="1" si="57"/>
        <v>#REF!</v>
      </c>
      <c r="I164" s="393" t="e">
        <f t="shared" ca="1" si="58"/>
        <v>#REF!</v>
      </c>
      <c r="J164" s="394" t="e">
        <f t="shared" ca="1" si="59"/>
        <v>#REF!</v>
      </c>
      <c r="K164" s="394" t="e">
        <f t="shared" ca="1" si="60"/>
        <v>#REF!</v>
      </c>
      <c r="L164" s="394" t="e">
        <f t="shared" ca="1" si="61"/>
        <v>#REF!</v>
      </c>
      <c r="M164" s="394" t="e">
        <f t="shared" ca="1" si="66"/>
        <v>#REF!</v>
      </c>
      <c r="N164" s="394" t="e">
        <f t="shared" ca="1" si="67"/>
        <v>#REF!</v>
      </c>
      <c r="O164" s="394" t="e">
        <f t="shared" ca="1" si="62"/>
        <v>#REF!</v>
      </c>
      <c r="P164" s="394" t="e">
        <f t="shared" ca="1" si="63"/>
        <v>#REF!</v>
      </c>
      <c r="Q164" s="394" t="e">
        <f t="shared" ca="1" si="64"/>
        <v>#VALUE!</v>
      </c>
      <c r="R164" s="396" t="e">
        <f t="shared" ca="1" si="68"/>
        <v>#REF!</v>
      </c>
    </row>
    <row r="165" spans="2:18" x14ac:dyDescent="0.25">
      <c r="B165" s="420">
        <f t="shared" ca="1" si="65"/>
        <v>2099</v>
      </c>
      <c r="C165" s="421" t="str">
        <f t="shared" si="52"/>
        <v>N</v>
      </c>
      <c r="D165" s="105">
        <f t="shared" si="53"/>
        <v>1</v>
      </c>
      <c r="E165" s="105">
        <f t="shared" ca="1" si="54"/>
        <v>8.5205053742037462E-2</v>
      </c>
      <c r="F165" s="77">
        <f t="shared" si="55"/>
        <v>0</v>
      </c>
      <c r="G165" s="77">
        <f t="shared" si="56"/>
        <v>0</v>
      </c>
      <c r="H165" s="327" t="e">
        <f t="shared" ca="1" si="57"/>
        <v>#REF!</v>
      </c>
      <c r="I165" s="427" t="e">
        <f t="shared" ca="1" si="58"/>
        <v>#REF!</v>
      </c>
      <c r="J165" s="284" t="e">
        <f t="shared" ca="1" si="59"/>
        <v>#REF!</v>
      </c>
      <c r="K165" s="284" t="e">
        <f t="shared" ca="1" si="60"/>
        <v>#REF!</v>
      </c>
      <c r="L165" s="284" t="e">
        <f t="shared" ca="1" si="61"/>
        <v>#REF!</v>
      </c>
      <c r="M165" s="284" t="e">
        <f t="shared" ca="1" si="66"/>
        <v>#REF!</v>
      </c>
      <c r="N165" s="284" t="e">
        <f t="shared" ca="1" si="67"/>
        <v>#REF!</v>
      </c>
      <c r="O165" s="284" t="e">
        <f t="shared" ca="1" si="62"/>
        <v>#REF!</v>
      </c>
      <c r="P165" s="284" t="e">
        <f t="shared" ca="1" si="63"/>
        <v>#REF!</v>
      </c>
      <c r="Q165" s="284" t="e">
        <f t="shared" ca="1" si="64"/>
        <v>#VALUE!</v>
      </c>
      <c r="R165" s="426" t="e">
        <f t="shared" ca="1" si="68"/>
        <v>#REF!</v>
      </c>
    </row>
    <row r="166" spans="2:18" x14ac:dyDescent="0.25">
      <c r="B166" s="185">
        <f t="shared" ca="1" si="65"/>
        <v>2100</v>
      </c>
      <c r="C166" s="102" t="str">
        <f t="shared" si="52"/>
        <v>R</v>
      </c>
      <c r="D166" s="104">
        <f t="shared" ca="1" si="53"/>
        <v>8.2523054471706977E-2</v>
      </c>
      <c r="E166" s="104">
        <f t="shared" si="54"/>
        <v>1</v>
      </c>
      <c r="F166" s="103">
        <f t="shared" si="55"/>
        <v>0</v>
      </c>
      <c r="G166" s="103">
        <f t="shared" si="56"/>
        <v>0</v>
      </c>
      <c r="H166" s="397" t="e">
        <f t="shared" ca="1" si="57"/>
        <v>#REF!</v>
      </c>
      <c r="I166" s="393" t="e">
        <f t="shared" ca="1" si="58"/>
        <v>#REF!</v>
      </c>
      <c r="J166" s="394" t="e">
        <f t="shared" ca="1" si="59"/>
        <v>#REF!</v>
      </c>
      <c r="K166" s="394" t="e">
        <f t="shared" ca="1" si="60"/>
        <v>#REF!</v>
      </c>
      <c r="L166" s="394" t="e">
        <f t="shared" ca="1" si="61"/>
        <v>#REF!</v>
      </c>
      <c r="M166" s="394" t="e">
        <f t="shared" ca="1" si="66"/>
        <v>#REF!</v>
      </c>
      <c r="N166" s="394" t="e">
        <f t="shared" ca="1" si="67"/>
        <v>#REF!</v>
      </c>
      <c r="O166" s="394" t="e">
        <f t="shared" ca="1" si="62"/>
        <v>#REF!</v>
      </c>
      <c r="P166" s="394" t="e">
        <f t="shared" ca="1" si="63"/>
        <v>#REF!</v>
      </c>
      <c r="Q166" s="394" t="e">
        <f t="shared" ca="1" si="64"/>
        <v>#VALUE!</v>
      </c>
      <c r="R166" s="396" t="e">
        <f t="shared" ca="1" si="68"/>
        <v>#REF!</v>
      </c>
    </row>
    <row r="167" spans="2:18" x14ac:dyDescent="0.25">
      <c r="B167" s="420">
        <f t="shared" ca="1" si="65"/>
        <v>2100</v>
      </c>
      <c r="C167" s="421" t="str">
        <f t="shared" si="52"/>
        <v>N</v>
      </c>
      <c r="D167" s="105">
        <f t="shared" si="53"/>
        <v>1</v>
      </c>
      <c r="E167" s="105">
        <f t="shared" ca="1" si="54"/>
        <v>8.2523054471706977E-2</v>
      </c>
      <c r="F167" s="77">
        <f t="shared" si="55"/>
        <v>0</v>
      </c>
      <c r="G167" s="77">
        <f t="shared" si="56"/>
        <v>0</v>
      </c>
      <c r="H167" s="327" t="e">
        <f t="shared" ca="1" si="57"/>
        <v>#REF!</v>
      </c>
      <c r="I167" s="427" t="e">
        <f t="shared" ca="1" si="58"/>
        <v>#REF!</v>
      </c>
      <c r="J167" s="284" t="e">
        <f t="shared" ca="1" si="59"/>
        <v>#REF!</v>
      </c>
      <c r="K167" s="284" t="e">
        <f t="shared" ca="1" si="60"/>
        <v>#REF!</v>
      </c>
      <c r="L167" s="284" t="e">
        <f t="shared" ca="1" si="61"/>
        <v>#REF!</v>
      </c>
      <c r="M167" s="284" t="e">
        <f t="shared" ca="1" si="66"/>
        <v>#REF!</v>
      </c>
      <c r="N167" s="284" t="e">
        <f t="shared" ca="1" si="67"/>
        <v>#REF!</v>
      </c>
      <c r="O167" s="284" t="e">
        <f t="shared" ca="1" si="62"/>
        <v>#REF!</v>
      </c>
      <c r="P167" s="284" t="e">
        <f t="shared" ca="1" si="63"/>
        <v>#REF!</v>
      </c>
      <c r="Q167" s="284" t="e">
        <f t="shared" ca="1" si="64"/>
        <v>#VALUE!</v>
      </c>
      <c r="R167" s="426" t="e">
        <f t="shared" ca="1" si="68"/>
        <v>#REF!</v>
      </c>
    </row>
    <row r="168" spans="2:18" x14ac:dyDescent="0.25">
      <c r="B168" s="185">
        <f t="shared" ca="1" si="65"/>
        <v>2101</v>
      </c>
      <c r="C168" s="102" t="str">
        <f t="shared" si="52"/>
        <v>R</v>
      </c>
      <c r="D168" s="104">
        <f t="shared" ca="1" si="53"/>
        <v>7.9925476485914748E-2</v>
      </c>
      <c r="E168" s="104">
        <f t="shared" si="54"/>
        <v>1</v>
      </c>
      <c r="F168" s="103">
        <f t="shared" si="55"/>
        <v>0</v>
      </c>
      <c r="G168" s="103">
        <f t="shared" si="56"/>
        <v>0</v>
      </c>
      <c r="H168" s="397" t="e">
        <f t="shared" ca="1" si="57"/>
        <v>#REF!</v>
      </c>
      <c r="I168" s="393" t="e">
        <f t="shared" ca="1" si="58"/>
        <v>#REF!</v>
      </c>
      <c r="J168" s="394" t="e">
        <f t="shared" ca="1" si="59"/>
        <v>#REF!</v>
      </c>
      <c r="K168" s="394" t="e">
        <f t="shared" ca="1" si="60"/>
        <v>#REF!</v>
      </c>
      <c r="L168" s="394" t="e">
        <f t="shared" ca="1" si="61"/>
        <v>#REF!</v>
      </c>
      <c r="M168" s="394" t="e">
        <f t="shared" ca="1" si="66"/>
        <v>#REF!</v>
      </c>
      <c r="N168" s="394" t="e">
        <f t="shared" ca="1" si="67"/>
        <v>#REF!</v>
      </c>
      <c r="O168" s="394" t="e">
        <f t="shared" ca="1" si="62"/>
        <v>#REF!</v>
      </c>
      <c r="P168" s="394" t="e">
        <f t="shared" ca="1" si="63"/>
        <v>#REF!</v>
      </c>
      <c r="Q168" s="394" t="e">
        <f t="shared" ca="1" si="64"/>
        <v>#VALUE!</v>
      </c>
      <c r="R168" s="396" t="e">
        <f t="shared" ca="1" si="68"/>
        <v>#REF!</v>
      </c>
    </row>
    <row r="169" spans="2:18" x14ac:dyDescent="0.25">
      <c r="B169" s="420">
        <f t="shared" ca="1" si="65"/>
        <v>2101</v>
      </c>
      <c r="C169" s="421" t="str">
        <f t="shared" si="52"/>
        <v>N</v>
      </c>
      <c r="D169" s="105">
        <f t="shared" si="53"/>
        <v>1</v>
      </c>
      <c r="E169" s="105">
        <f t="shared" ca="1" si="54"/>
        <v>7.9925476485914748E-2</v>
      </c>
      <c r="F169" s="77">
        <f t="shared" si="55"/>
        <v>0</v>
      </c>
      <c r="G169" s="77">
        <f t="shared" si="56"/>
        <v>0</v>
      </c>
      <c r="H169" s="327" t="e">
        <f t="shared" ca="1" si="57"/>
        <v>#REF!</v>
      </c>
      <c r="I169" s="427" t="e">
        <f t="shared" ca="1" si="58"/>
        <v>#REF!</v>
      </c>
      <c r="J169" s="284" t="e">
        <f t="shared" ca="1" si="59"/>
        <v>#REF!</v>
      </c>
      <c r="K169" s="284" t="e">
        <f t="shared" ca="1" si="60"/>
        <v>#REF!</v>
      </c>
      <c r="L169" s="284" t="e">
        <f t="shared" ca="1" si="61"/>
        <v>#REF!</v>
      </c>
      <c r="M169" s="284" t="e">
        <f t="shared" ca="1" si="66"/>
        <v>#REF!</v>
      </c>
      <c r="N169" s="284" t="e">
        <f t="shared" ca="1" si="67"/>
        <v>#REF!</v>
      </c>
      <c r="O169" s="284" t="e">
        <f t="shared" ca="1" si="62"/>
        <v>#REF!</v>
      </c>
      <c r="P169" s="284" t="e">
        <f t="shared" ca="1" si="63"/>
        <v>#REF!</v>
      </c>
      <c r="Q169" s="284" t="e">
        <f t="shared" ca="1" si="64"/>
        <v>#VALUE!</v>
      </c>
      <c r="R169" s="426" t="e">
        <f t="shared" ca="1" si="68"/>
        <v>#REF!</v>
      </c>
    </row>
    <row r="170" spans="2:18" x14ac:dyDescent="0.25">
      <c r="R170" s="2"/>
    </row>
  </sheetData>
  <sheetProtection sheet="1" objects="1" scenarios="1" autoFilter="0"/>
  <mergeCells count="1">
    <mergeCell ref="I2:R2"/>
  </mergeCells>
  <conditionalFormatting sqref="B10:B169">
    <cfRule type="expression" dxfId="1" priority="1">
      <formula>($B10=SP_CurrentYear)</formula>
    </cfRule>
  </conditionalFormatting>
  <pageMargins left="0.7" right="0.7" top="0.75" bottom="0.75" header="0.3" footer="0.3"/>
  <pageSetup orientation="portrait" horizontalDpi="4294967293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6"/>
  <dimension ref="A1:Z250"/>
  <sheetViews>
    <sheetView zoomScaleNormal="100" workbookViewId="0">
      <pane xSplit="7" ySplit="3" topLeftCell="H4" activePane="bottomRight" state="frozen"/>
      <selection activeCell="N14" sqref="N14"/>
      <selection pane="topRight" activeCell="N14" sqref="N14"/>
      <selection pane="bottomLeft" activeCell="N14" sqref="N14"/>
      <selection pane="bottomRight"/>
    </sheetView>
  </sheetViews>
  <sheetFormatPr defaultRowHeight="15" x14ac:dyDescent="0.25"/>
  <cols>
    <col min="1" max="1" width="9.140625" hidden="1" customWidth="1"/>
    <col min="2" max="2" width="5" hidden="1" customWidth="1"/>
    <col min="3" max="3" width="4.28515625" hidden="1" customWidth="1"/>
    <col min="4" max="5" width="6.5703125" hidden="1" customWidth="1"/>
    <col min="6" max="7" width="6.5703125" style="334" hidden="1" customWidth="1"/>
    <col min="8" max="8" width="4.5703125" hidden="1" customWidth="1"/>
    <col min="9" max="17" width="13.140625" hidden="1" customWidth="1"/>
    <col min="18" max="18" width="13.140625" style="448" hidden="1" customWidth="1"/>
    <col min="19" max="20" width="13.140625" hidden="1" customWidth="1"/>
    <col min="21" max="21" width="6.42578125" hidden="1" customWidth="1"/>
    <col min="22" max="25" width="13.140625" hidden="1" customWidth="1"/>
    <col min="26" max="26" width="5.5703125" hidden="1" customWidth="1"/>
  </cols>
  <sheetData>
    <row r="1" spans="1:26" hidden="1" x14ac:dyDescent="0.25">
      <c r="A1">
        <f>PMBASIC+PMADVANCED+VMONLINE+VMMACRO</f>
        <v>54</v>
      </c>
      <c r="B1">
        <f>PMBASIC+PMADVANCED+VMONLINE+VMMACRO</f>
        <v>54</v>
      </c>
      <c r="C1">
        <f>PMBASIC+PMADVANCED+VMONLINE+VMMACRO</f>
        <v>54</v>
      </c>
      <c r="D1">
        <f>PMBASIC+PMADVANCED</f>
        <v>48</v>
      </c>
      <c r="E1">
        <f>PMBASIC+PMADVANCED</f>
        <v>48</v>
      </c>
      <c r="F1" s="334">
        <f>PMBASIC+PMADVANCED+IF(INDEX(SC_ShowRetireatee,1), VMONLINE+VMMACRO,0)</f>
        <v>48</v>
      </c>
      <c r="G1" s="334">
        <f>PMBASIC+PMADVANCED+IF(INDEX(SC_ShowRetireatee,2), VMONLINE+VMMACRO, 0)</f>
        <v>48</v>
      </c>
      <c r="H1">
        <f>PMBASIC+PMADVANCED</f>
        <v>48</v>
      </c>
      <c r="I1">
        <f t="shared" ref="I1:T1" si="0">PMBASIC+PMADVANCED+VMONLINE+VMMACRO</f>
        <v>54</v>
      </c>
      <c r="J1">
        <f t="shared" si="0"/>
        <v>54</v>
      </c>
      <c r="K1">
        <f t="shared" si="0"/>
        <v>54</v>
      </c>
      <c r="L1">
        <f t="shared" si="0"/>
        <v>54</v>
      </c>
      <c r="M1">
        <f t="shared" si="0"/>
        <v>54</v>
      </c>
      <c r="N1">
        <f t="shared" si="0"/>
        <v>54</v>
      </c>
      <c r="O1">
        <f t="shared" si="0"/>
        <v>54</v>
      </c>
      <c r="P1">
        <f t="shared" si="0"/>
        <v>54</v>
      </c>
      <c r="Q1">
        <f t="shared" si="0"/>
        <v>54</v>
      </c>
      <c r="R1" s="448">
        <f t="shared" si="0"/>
        <v>54</v>
      </c>
      <c r="S1">
        <f t="shared" si="0"/>
        <v>54</v>
      </c>
      <c r="T1">
        <f t="shared" si="0"/>
        <v>54</v>
      </c>
      <c r="U1">
        <f>PMBASIC+PMADVANCED</f>
        <v>48</v>
      </c>
      <c r="V1">
        <f>PMBASIC+PMADVANCED+VMONLINE+VMMACRO</f>
        <v>54</v>
      </c>
      <c r="W1">
        <f>PMBASIC+PMADVANCED+VMONLINE+VMMACRO</f>
        <v>54</v>
      </c>
      <c r="X1">
        <f>PMBASIC+PMADVANCED+VMONLINE+VMMACRO</f>
        <v>54</v>
      </c>
      <c r="Y1">
        <f>PMBASIC+PMADVANCED</f>
        <v>48</v>
      </c>
      <c r="Z1">
        <f>PMBASIC+PMADVANCED+VMONLINE+VMMACRO</f>
        <v>54</v>
      </c>
    </row>
    <row r="2" spans="1:26" hidden="1" x14ac:dyDescent="0.25">
      <c r="A2">
        <f>PMBASIC+PMADVANCED+VMONLINE+VMMACRO</f>
        <v>54</v>
      </c>
      <c r="I2" s="582" t="s">
        <v>704</v>
      </c>
      <c r="J2" s="583"/>
      <c r="K2" s="583"/>
      <c r="L2" s="583"/>
      <c r="M2" s="583"/>
      <c r="N2" s="583"/>
      <c r="O2" s="583"/>
      <c r="P2" s="583"/>
      <c r="Q2" s="583"/>
      <c r="R2" s="583"/>
      <c r="S2" s="583"/>
      <c r="T2" s="583"/>
      <c r="U2" s="583"/>
      <c r="V2" s="583"/>
      <c r="W2" s="583"/>
      <c r="X2" s="583"/>
      <c r="Y2" s="583"/>
      <c r="Z2" s="584"/>
    </row>
    <row r="3" spans="1:26" ht="45" hidden="1" x14ac:dyDescent="0.25">
      <c r="A3">
        <f>PMBASIC+PMADVANCED+VMONLINE+VMMACRO</f>
        <v>54</v>
      </c>
      <c r="B3" s="22" t="s">
        <v>0</v>
      </c>
      <c r="C3" s="47" t="s">
        <v>740</v>
      </c>
      <c r="D3" s="22" t="s">
        <v>830</v>
      </c>
      <c r="E3" s="22" t="s">
        <v>831</v>
      </c>
      <c r="F3" s="21" t="str">
        <f>"Age " &amp; INDEX(SP_Initials,1)</f>
        <v xml:space="preserve">Age </v>
      </c>
      <c r="G3" s="21" t="str">
        <f>"Age " &amp; INDEX(SP_Initials,2)</f>
        <v xml:space="preserve">Age </v>
      </c>
      <c r="H3" s="22" t="s">
        <v>827</v>
      </c>
      <c r="I3" s="45" t="s">
        <v>3</v>
      </c>
      <c r="J3" s="17" t="s">
        <v>728</v>
      </c>
      <c r="K3" s="17" t="s">
        <v>671</v>
      </c>
      <c r="L3" s="17" t="s">
        <v>892</v>
      </c>
      <c r="M3" s="17" t="s">
        <v>701</v>
      </c>
      <c r="N3" s="17" t="s">
        <v>711</v>
      </c>
      <c r="O3" s="17" t="s">
        <v>14</v>
      </c>
      <c r="P3" s="22" t="s">
        <v>893</v>
      </c>
      <c r="Q3" s="22" t="s">
        <v>645</v>
      </c>
      <c r="R3" s="22" t="s">
        <v>1043</v>
      </c>
      <c r="S3" s="22" t="s">
        <v>771</v>
      </c>
      <c r="T3" s="17" t="s">
        <v>1046</v>
      </c>
      <c r="U3" s="22" t="s">
        <v>779</v>
      </c>
      <c r="V3" s="22" t="s">
        <v>782</v>
      </c>
      <c r="W3" s="22" t="s">
        <v>783</v>
      </c>
      <c r="X3" s="22" t="s">
        <v>646</v>
      </c>
      <c r="Y3" s="22" t="s">
        <v>780</v>
      </c>
      <c r="Z3" s="31" t="s">
        <v>27</v>
      </c>
    </row>
    <row r="4" spans="1:26" x14ac:dyDescent="0.25">
      <c r="B4" s="90">
        <v>0</v>
      </c>
      <c r="I4" s="429"/>
      <c r="J4" s="284"/>
      <c r="K4" s="284"/>
      <c r="L4" s="284"/>
      <c r="M4" s="284"/>
      <c r="N4" s="284"/>
      <c r="O4" s="284"/>
      <c r="P4" s="284"/>
      <c r="Q4" s="284"/>
      <c r="R4" s="284"/>
      <c r="S4" s="284"/>
      <c r="T4" s="284"/>
      <c r="U4" s="431"/>
      <c r="V4" s="284"/>
      <c r="W4" s="284"/>
      <c r="X4" s="284"/>
      <c r="Y4" s="284"/>
      <c r="Z4" s="651"/>
    </row>
    <row r="5" spans="1:26" x14ac:dyDescent="0.25">
      <c r="B5" s="90">
        <v>0</v>
      </c>
      <c r="I5" s="429"/>
      <c r="J5" s="284"/>
      <c r="K5" s="284"/>
      <c r="L5" s="284"/>
      <c r="M5" s="284"/>
      <c r="N5" s="284"/>
      <c r="O5" s="284"/>
      <c r="P5" s="284"/>
      <c r="Q5" s="284"/>
      <c r="R5" s="284"/>
      <c r="S5" s="284"/>
      <c r="T5" s="284"/>
      <c r="U5" s="431"/>
      <c r="V5" s="284"/>
      <c r="W5" s="284"/>
      <c r="X5" s="284"/>
      <c r="Y5" s="284"/>
      <c r="Z5" s="651"/>
    </row>
    <row r="6" spans="1:26" x14ac:dyDescent="0.25">
      <c r="B6" s="90">
        <v>0</v>
      </c>
      <c r="H6" s="194">
        <f ca="1">(YEAR(SP_AdjustedDate)-SP_CurrentYear)*2</f>
        <v>0</v>
      </c>
      <c r="I6" s="72">
        <f ca="1">IF(INDEX(SC_ZX_CodeA,1)="X",0,-OFFSET(I$10,$H6,0))</f>
        <v>0</v>
      </c>
      <c r="J6" s="284"/>
      <c r="K6" s="284"/>
      <c r="L6" s="284"/>
      <c r="M6" s="284"/>
      <c r="N6" s="284"/>
      <c r="O6" s="284"/>
      <c r="P6" s="284"/>
      <c r="Q6" s="284"/>
      <c r="R6" s="284"/>
      <c r="S6" s="284"/>
      <c r="T6" s="284"/>
      <c r="U6" s="431"/>
      <c r="V6" s="284"/>
      <c r="W6" s="284"/>
      <c r="X6" s="284"/>
      <c r="Y6" s="284"/>
      <c r="Z6" s="651"/>
    </row>
    <row r="7" spans="1:26" x14ac:dyDescent="0.25">
      <c r="B7" s="90">
        <v>0</v>
      </c>
      <c r="H7" s="428"/>
      <c r="I7" s="429"/>
      <c r="J7" s="284"/>
      <c r="K7" s="284"/>
      <c r="L7" s="284"/>
      <c r="M7" s="284"/>
      <c r="N7" s="284"/>
      <c r="O7" s="284"/>
      <c r="P7" s="284"/>
      <c r="Q7" s="284"/>
      <c r="R7" s="284"/>
      <c r="S7" s="284"/>
      <c r="T7" s="284"/>
      <c r="U7" s="431"/>
      <c r="V7" s="284"/>
      <c r="W7" s="284"/>
      <c r="X7" s="284"/>
      <c r="Y7" s="284"/>
      <c r="Z7" s="651"/>
    </row>
    <row r="8" spans="1:26" x14ac:dyDescent="0.25">
      <c r="B8" s="90">
        <f t="shared" ref="B8:B9" ca="1" si="1">SP_CurrentYear-1</f>
        <v>2021</v>
      </c>
      <c r="D8" s="196">
        <f ca="1">D10</f>
        <v>1</v>
      </c>
      <c r="E8" s="196">
        <f>E10</f>
        <v>1</v>
      </c>
      <c r="H8" s="194">
        <v>0</v>
      </c>
      <c r="I8" s="72">
        <f>-SP_DebtBalance/E8</f>
        <v>0</v>
      </c>
      <c r="J8" s="284"/>
      <c r="K8" s="284"/>
      <c r="L8" s="284"/>
      <c r="M8" s="284"/>
      <c r="N8" s="284"/>
      <c r="O8" s="284"/>
      <c r="P8" s="284"/>
      <c r="Q8" s="284"/>
      <c r="R8" s="284"/>
      <c r="S8" s="284"/>
      <c r="T8" s="284"/>
      <c r="U8" s="431"/>
      <c r="V8" s="284"/>
      <c r="W8" s="284"/>
      <c r="X8" s="324">
        <v>0</v>
      </c>
      <c r="Y8" s="284"/>
      <c r="Z8" s="651"/>
    </row>
    <row r="9" spans="1:26" x14ac:dyDescent="0.25">
      <c r="B9" s="90">
        <f t="shared" ca="1" si="1"/>
        <v>2021</v>
      </c>
      <c r="D9" s="196">
        <f>D11</f>
        <v>1</v>
      </c>
      <c r="E9" s="196">
        <f ca="1">E11</f>
        <v>1</v>
      </c>
      <c r="H9" s="194">
        <v>1</v>
      </c>
      <c r="I9" s="72">
        <f ca="1">-SP_DebtBalance/E9</f>
        <v>0</v>
      </c>
      <c r="J9" s="284"/>
      <c r="K9" s="284"/>
      <c r="L9" s="284"/>
      <c r="M9" s="284"/>
      <c r="N9" s="284"/>
      <c r="O9" s="284"/>
      <c r="P9" s="284"/>
      <c r="Q9" s="284"/>
      <c r="R9" s="284"/>
      <c r="S9" s="284"/>
      <c r="T9" s="284"/>
      <c r="U9" s="431"/>
      <c r="V9" s="284"/>
      <c r="W9" s="284"/>
      <c r="X9" s="324">
        <v>0</v>
      </c>
      <c r="Y9" s="284"/>
      <c r="Z9" s="651"/>
    </row>
    <row r="10" spans="1:26" x14ac:dyDescent="0.25">
      <c r="B10" s="185">
        <f t="shared" ref="B10:B41" ca="1" si="2">B8+1</f>
        <v>2022</v>
      </c>
      <c r="C10" s="102" t="str">
        <f t="shared" ref="C10:C71" si="3">CHOOSE(MOD(ROW(),2)+1,"R","N")</f>
        <v>R</v>
      </c>
      <c r="D10" s="104">
        <f t="shared" ref="D10:D73" ca="1" si="4">CHOOSE(MOD(ROW(),2)+1,INDEX(SC_EA_InflationCPIdx,EAIDX),1)</f>
        <v>1</v>
      </c>
      <c r="E10" s="104">
        <f t="shared" ref="E10:E41" si="5">CHOOSE(MOD(ROW(),2)+1,1,INDEX(SC_EA_InflationCPIdx,EAIDX))</f>
        <v>1</v>
      </c>
      <c r="F10" s="103">
        <f t="shared" ref="F10:F41" si="6">IF(INDEX(SC_ShowRetireatee,1),IF($B10&lt;YEAR(INDEX(SP_BirthDate,1)),0,$B10-YEAR(INDEX(SP_BirthDate,1))),0)</f>
        <v>0</v>
      </c>
      <c r="G10" s="103">
        <f t="shared" ref="G10:G41" si="7">IF(INDEX(SC_ShowRetireatee,2),IF($B10&lt;YEAR(INDEX(SP_BirthDate,2)),0,$B10-YEAR(INDEX(SP_BirthDate,2))),0)</f>
        <v>0</v>
      </c>
      <c r="I10" s="393">
        <f t="shared" ref="I10:I41" ca="1" si="8">MIN(($I8+$X8)/$D8*$D10,0)</f>
        <v>0</v>
      </c>
      <c r="J10" s="394">
        <f t="shared" ref="J10:J41" ca="1" si="9">INDEX(SC_EX_IncomeActiveA,EXIDX1)*$D10</f>
        <v>0</v>
      </c>
      <c r="K10" s="394">
        <f t="shared" ref="K10:K41" ca="1" si="10">INDEX(SC_EX_IncomePassiveA,EXIDX1)*$D10</f>
        <v>0</v>
      </c>
      <c r="L10" s="394">
        <f t="shared" ref="L10:L41" ca="1" si="11">INDEX(SC_ZA_IncomeAnny,ZAIDX)*$D10</f>
        <v>0</v>
      </c>
      <c r="M10" s="394">
        <f t="shared" ref="M10:M41" ca="1" si="12">INDEX(SC_ZX_SSRIBA,ZXIDX1)*$D10</f>
        <v>0</v>
      </c>
      <c r="N10" s="394">
        <f t="shared" ref="N10:N41" ca="1" si="13">INDEX(SC_ZX_IncomeCapitalA,ZXIDX1)*$D10</f>
        <v>0</v>
      </c>
      <c r="O10" s="394">
        <f ca="1">SUM(J10:N10)</f>
        <v>0</v>
      </c>
      <c r="P10" s="432">
        <f t="shared" ref="P10:P41" ca="1" si="14">(INDEX(SC_ZX_IRAContribA,ZXIDX1)+INDEX(SC_ZA_AnnyContrib,ZAIDX))*$D10</f>
        <v>0</v>
      </c>
      <c r="Q10" s="394">
        <f t="shared" ref="Q10:Q41" ca="1" si="15">((ABS(INDEX(SC_EX_APW,EXIDX1))*INDEX(SC_ExpensesLiving,1)+(1-ABS(INDEX(SC_EX_APW,EXIDX1)))*INDEX(SC_ExpensesLiving,2))*12/INDEX(SC_EA_InflationCPIdx,EAIDX)+INDEX(SC_ZA_ExpensesHome,ZAIDX))*$D10</f>
        <v>0</v>
      </c>
      <c r="R10" s="432">
        <f t="shared" ref="R10:R41" ca="1" si="16">(SUMIF(SP_LumpSumYears,$B10,SP_LumpSumAmounts)/INDEX(SC_EA_InflationCPIdx,EAIDX))*$D10</f>
        <v>0</v>
      </c>
      <c r="S10" s="394">
        <f t="shared" ref="S10:S41" ca="1" si="17">$I10*SP_DebtRate</f>
        <v>0</v>
      </c>
      <c r="T10" s="432">
        <f t="shared" ref="T10:T41" ca="1" si="18">INDEX(SC_ZX_TotalTaxesA,ZXIDX1)*$D10</f>
        <v>0</v>
      </c>
      <c r="U10" s="433">
        <f t="shared" ref="U10:U41" ca="1" si="19">(1-IF($O10&gt;0,-$T10/$O10,0))</f>
        <v>1</v>
      </c>
      <c r="V10" s="394">
        <f ca="1">MAX(-($I10+$P10+$Q10+$R10+$S10)/$U10,0)</f>
        <v>0</v>
      </c>
      <c r="W10" s="394">
        <f ca="1">MAX($V10-(SUM($J10:$M10)),0)</f>
        <v>0</v>
      </c>
      <c r="X10" s="394">
        <f t="shared" ref="X10:X41" ca="1" si="20">SUM(O10:T10)</f>
        <v>0</v>
      </c>
      <c r="Y10" s="394">
        <f t="shared" ref="Y10:Y41" si="21">IF(SC_DataMode=FALSE, 0, IF($B10=SC_YearStop-1,0,($Y12/$D12*$D10)/(1+(INDEX(SC_ZX_ARPortfolio, ZXIDX1)*(1-ABS(INDEX(SC_EX_APW,EXIDX1))))))+$N10)</f>
        <v>0</v>
      </c>
      <c r="Z10" s="671" t="str">
        <f ca="1">IF(ISERROR($X10),"X",IF(-$I10&gt;(SP_DebtLimit/$E10),"I",IF(INDEX(SC_EX_APW,EXIDX1)&lt;1,"D","A")))</f>
        <v>A</v>
      </c>
    </row>
    <row r="11" spans="1:26" x14ac:dyDescent="0.25">
      <c r="B11">
        <f t="shared" ca="1" si="2"/>
        <v>2022</v>
      </c>
      <c r="C11" s="65" t="str">
        <f t="shared" si="3"/>
        <v>N</v>
      </c>
      <c r="D11" s="105">
        <f t="shared" si="4"/>
        <v>1</v>
      </c>
      <c r="E11" s="105">
        <f t="shared" ca="1" si="5"/>
        <v>1</v>
      </c>
      <c r="F11" s="77">
        <f t="shared" si="6"/>
        <v>0</v>
      </c>
      <c r="G11" s="77">
        <f t="shared" si="7"/>
        <v>0</v>
      </c>
      <c r="I11" s="430">
        <f t="shared" ca="1" si="8"/>
        <v>0</v>
      </c>
      <c r="J11" s="284">
        <f t="shared" ca="1" si="9"/>
        <v>0</v>
      </c>
      <c r="K11" s="284">
        <f t="shared" ca="1" si="10"/>
        <v>0</v>
      </c>
      <c r="L11" s="284">
        <f t="shared" ca="1" si="11"/>
        <v>0</v>
      </c>
      <c r="M11" s="284">
        <f t="shared" ca="1" si="12"/>
        <v>0</v>
      </c>
      <c r="N11" s="284">
        <f t="shared" ca="1" si="13"/>
        <v>0</v>
      </c>
      <c r="O11" s="284">
        <f t="shared" ref="O11:O12" ca="1" si="22">SUM(J11:N11)</f>
        <v>0</v>
      </c>
      <c r="P11" s="307">
        <f t="shared" ca="1" si="14"/>
        <v>0</v>
      </c>
      <c r="Q11" s="284">
        <f t="shared" ca="1" si="15"/>
        <v>0</v>
      </c>
      <c r="R11" s="307">
        <f t="shared" ca="1" si="16"/>
        <v>0</v>
      </c>
      <c r="S11" s="284">
        <f t="shared" ca="1" si="17"/>
        <v>0</v>
      </c>
      <c r="T11" s="307">
        <f t="shared" ca="1" si="18"/>
        <v>0</v>
      </c>
      <c r="U11" s="434">
        <f t="shared" ca="1" si="19"/>
        <v>1</v>
      </c>
      <c r="V11" s="284">
        <f t="shared" ref="V11:V74" ca="1" si="23">MAX(-($I11+$P11+$Q11+$R11+$S11)/$U11,0)</f>
        <v>0</v>
      </c>
      <c r="W11" s="284">
        <f t="shared" ref="W11:W74" ca="1" si="24">MAX($V11-(SUM($J11:$M11)),0)</f>
        <v>0</v>
      </c>
      <c r="X11" s="284">
        <f t="shared" ca="1" si="20"/>
        <v>0</v>
      </c>
      <c r="Y11" s="284">
        <f t="shared" si="21"/>
        <v>0</v>
      </c>
      <c r="Z11" s="671"/>
    </row>
    <row r="12" spans="1:26" x14ac:dyDescent="0.25">
      <c r="B12" s="185">
        <f t="shared" ca="1" si="2"/>
        <v>2023</v>
      </c>
      <c r="C12" s="102" t="str">
        <f t="shared" si="3"/>
        <v>R</v>
      </c>
      <c r="D12" s="104">
        <f t="shared" ca="1" si="4"/>
        <v>0.96852300242130751</v>
      </c>
      <c r="E12" s="104">
        <f t="shared" si="5"/>
        <v>1</v>
      </c>
      <c r="F12" s="103">
        <f t="shared" si="6"/>
        <v>0</v>
      </c>
      <c r="G12" s="103">
        <f t="shared" si="7"/>
        <v>0</v>
      </c>
      <c r="I12" s="393">
        <f t="shared" ca="1" si="8"/>
        <v>0</v>
      </c>
      <c r="J12" s="394" t="e">
        <f t="shared" ca="1" si="9"/>
        <v>#REF!</v>
      </c>
      <c r="K12" s="394" t="e">
        <f t="shared" ca="1" si="10"/>
        <v>#REF!</v>
      </c>
      <c r="L12" s="394" t="e">
        <f t="shared" ca="1" si="11"/>
        <v>#REF!</v>
      </c>
      <c r="M12" s="394" t="e">
        <f t="shared" ca="1" si="12"/>
        <v>#REF!</v>
      </c>
      <c r="N12" s="394" t="e">
        <f t="shared" ca="1" si="13"/>
        <v>#REF!</v>
      </c>
      <c r="O12" s="394" t="e">
        <f t="shared" ca="1" si="22"/>
        <v>#REF!</v>
      </c>
      <c r="P12" s="432" t="e">
        <f t="shared" ca="1" si="14"/>
        <v>#REF!</v>
      </c>
      <c r="Q12" s="394" t="e">
        <f t="shared" ca="1" si="15"/>
        <v>#REF!</v>
      </c>
      <c r="R12" s="432">
        <f t="shared" ca="1" si="16"/>
        <v>0</v>
      </c>
      <c r="S12" s="394">
        <f t="shared" ca="1" si="17"/>
        <v>0</v>
      </c>
      <c r="T12" s="432" t="e">
        <f t="shared" ca="1" si="18"/>
        <v>#REF!</v>
      </c>
      <c r="U12" s="433" t="e">
        <f t="shared" ca="1" si="19"/>
        <v>#REF!</v>
      </c>
      <c r="V12" s="394" t="e">
        <f t="shared" ca="1" si="23"/>
        <v>#REF!</v>
      </c>
      <c r="W12" s="394" t="e">
        <f t="shared" ca="1" si="24"/>
        <v>#REF!</v>
      </c>
      <c r="X12" s="394" t="e">
        <f t="shared" ca="1" si="20"/>
        <v>#REF!</v>
      </c>
      <c r="Y12" s="394">
        <f t="shared" si="21"/>
        <v>0</v>
      </c>
      <c r="Z12" s="671" t="str">
        <f ca="1">IF(ISERROR($X12),"X",IF(-$I12&gt;(SP_DebtLimit/$E12),"I",IF(INDEX(SC_EX_APW,EXIDX1)&lt;1,"D","A")))</f>
        <v>X</v>
      </c>
    </row>
    <row r="13" spans="1:26" x14ac:dyDescent="0.25">
      <c r="B13">
        <f t="shared" ca="1" si="2"/>
        <v>2023</v>
      </c>
      <c r="C13" s="65" t="str">
        <f t="shared" si="3"/>
        <v>N</v>
      </c>
      <c r="D13" s="105">
        <f t="shared" si="4"/>
        <v>1</v>
      </c>
      <c r="E13" s="105">
        <f t="shared" ca="1" si="5"/>
        <v>0.96852300242130751</v>
      </c>
      <c r="F13" s="77">
        <f t="shared" si="6"/>
        <v>0</v>
      </c>
      <c r="G13" s="77">
        <f t="shared" si="7"/>
        <v>0</v>
      </c>
      <c r="I13" s="430">
        <f t="shared" ca="1" si="8"/>
        <v>0</v>
      </c>
      <c r="J13" s="284" t="e">
        <f t="shared" ca="1" si="9"/>
        <v>#REF!</v>
      </c>
      <c r="K13" s="284" t="e">
        <f t="shared" ca="1" si="10"/>
        <v>#REF!</v>
      </c>
      <c r="L13" s="284" t="e">
        <f t="shared" ca="1" si="11"/>
        <v>#REF!</v>
      </c>
      <c r="M13" s="284" t="e">
        <f t="shared" ca="1" si="12"/>
        <v>#REF!</v>
      </c>
      <c r="N13" s="284" t="e">
        <f t="shared" ca="1" si="13"/>
        <v>#REF!</v>
      </c>
      <c r="O13" s="284" t="e">
        <f t="shared" ref="O13:O76" ca="1" si="25">SUM(J13:N13)</f>
        <v>#REF!</v>
      </c>
      <c r="P13" s="307" t="e">
        <f t="shared" ca="1" si="14"/>
        <v>#REF!</v>
      </c>
      <c r="Q13" s="284" t="e">
        <f t="shared" ca="1" si="15"/>
        <v>#REF!</v>
      </c>
      <c r="R13" s="307">
        <f t="shared" ca="1" si="16"/>
        <v>0</v>
      </c>
      <c r="S13" s="284">
        <f t="shared" ca="1" si="17"/>
        <v>0</v>
      </c>
      <c r="T13" s="307" t="e">
        <f t="shared" ca="1" si="18"/>
        <v>#REF!</v>
      </c>
      <c r="U13" s="434" t="e">
        <f t="shared" ca="1" si="19"/>
        <v>#REF!</v>
      </c>
      <c r="V13" s="284" t="e">
        <f t="shared" ca="1" si="23"/>
        <v>#REF!</v>
      </c>
      <c r="W13" s="284" t="e">
        <f t="shared" ca="1" si="24"/>
        <v>#REF!</v>
      </c>
      <c r="X13" s="284" t="e">
        <f t="shared" ca="1" si="20"/>
        <v>#REF!</v>
      </c>
      <c r="Y13" s="284">
        <f t="shared" si="21"/>
        <v>0</v>
      </c>
      <c r="Z13" s="671"/>
    </row>
    <row r="14" spans="1:26" x14ac:dyDescent="0.25">
      <c r="B14" s="185">
        <f t="shared" ca="1" si="2"/>
        <v>2024</v>
      </c>
      <c r="C14" s="102" t="str">
        <f t="shared" si="3"/>
        <v>R</v>
      </c>
      <c r="D14" s="104">
        <f t="shared" ca="1" si="4"/>
        <v>0.93803680621918406</v>
      </c>
      <c r="E14" s="104">
        <f t="shared" si="5"/>
        <v>1</v>
      </c>
      <c r="F14" s="103">
        <f t="shared" si="6"/>
        <v>0</v>
      </c>
      <c r="G14" s="103">
        <f t="shared" si="7"/>
        <v>0</v>
      </c>
      <c r="I14" s="393" t="e">
        <f t="shared" ca="1" si="8"/>
        <v>#REF!</v>
      </c>
      <c r="J14" s="394" t="e">
        <f t="shared" ca="1" si="9"/>
        <v>#REF!</v>
      </c>
      <c r="K14" s="394" t="e">
        <f t="shared" ca="1" si="10"/>
        <v>#REF!</v>
      </c>
      <c r="L14" s="394" t="e">
        <f t="shared" ca="1" si="11"/>
        <v>#REF!</v>
      </c>
      <c r="M14" s="394" t="e">
        <f t="shared" ca="1" si="12"/>
        <v>#REF!</v>
      </c>
      <c r="N14" s="394" t="e">
        <f t="shared" ca="1" si="13"/>
        <v>#REF!</v>
      </c>
      <c r="O14" s="394" t="e">
        <f t="shared" ca="1" si="25"/>
        <v>#REF!</v>
      </c>
      <c r="P14" s="432" t="e">
        <f t="shared" ca="1" si="14"/>
        <v>#REF!</v>
      </c>
      <c r="Q14" s="394" t="e">
        <f t="shared" ca="1" si="15"/>
        <v>#REF!</v>
      </c>
      <c r="R14" s="432">
        <f t="shared" ca="1" si="16"/>
        <v>0</v>
      </c>
      <c r="S14" s="394" t="e">
        <f t="shared" ca="1" si="17"/>
        <v>#REF!</v>
      </c>
      <c r="T14" s="432" t="e">
        <f t="shared" ca="1" si="18"/>
        <v>#REF!</v>
      </c>
      <c r="U14" s="433" t="e">
        <f t="shared" ca="1" si="19"/>
        <v>#REF!</v>
      </c>
      <c r="V14" s="394" t="e">
        <f t="shared" ca="1" si="23"/>
        <v>#REF!</v>
      </c>
      <c r="W14" s="394" t="e">
        <f t="shared" ca="1" si="24"/>
        <v>#REF!</v>
      </c>
      <c r="X14" s="394" t="e">
        <f t="shared" ca="1" si="20"/>
        <v>#REF!</v>
      </c>
      <c r="Y14" s="394">
        <f t="shared" si="21"/>
        <v>0</v>
      </c>
      <c r="Z14" s="671" t="str">
        <f ca="1">IF(ISERROR($X14),"X",IF(-$I14&gt;(SP_DebtLimit/$E14),"I",IF(INDEX(SC_EX_APW,EXIDX1)&lt;1,"D","A")))</f>
        <v>X</v>
      </c>
    </row>
    <row r="15" spans="1:26" x14ac:dyDescent="0.25">
      <c r="B15">
        <f t="shared" ca="1" si="2"/>
        <v>2024</v>
      </c>
      <c r="C15" s="65" t="str">
        <f t="shared" si="3"/>
        <v>N</v>
      </c>
      <c r="D15" s="105">
        <f t="shared" si="4"/>
        <v>1</v>
      </c>
      <c r="E15" s="105">
        <f t="shared" ca="1" si="5"/>
        <v>0.93803680621918406</v>
      </c>
      <c r="F15" s="77">
        <f t="shared" si="6"/>
        <v>0</v>
      </c>
      <c r="G15" s="77">
        <f t="shared" si="7"/>
        <v>0</v>
      </c>
      <c r="I15" s="430" t="e">
        <f t="shared" ca="1" si="8"/>
        <v>#REF!</v>
      </c>
      <c r="J15" s="284" t="e">
        <f t="shared" ca="1" si="9"/>
        <v>#REF!</v>
      </c>
      <c r="K15" s="284" t="e">
        <f t="shared" ca="1" si="10"/>
        <v>#REF!</v>
      </c>
      <c r="L15" s="284" t="e">
        <f t="shared" ca="1" si="11"/>
        <v>#REF!</v>
      </c>
      <c r="M15" s="284" t="e">
        <f t="shared" ca="1" si="12"/>
        <v>#REF!</v>
      </c>
      <c r="N15" s="284" t="e">
        <f t="shared" ca="1" si="13"/>
        <v>#REF!</v>
      </c>
      <c r="O15" s="284" t="e">
        <f t="shared" ca="1" si="25"/>
        <v>#REF!</v>
      </c>
      <c r="P15" s="307" t="e">
        <f t="shared" ca="1" si="14"/>
        <v>#REF!</v>
      </c>
      <c r="Q15" s="284" t="e">
        <f t="shared" ca="1" si="15"/>
        <v>#REF!</v>
      </c>
      <c r="R15" s="307">
        <f t="shared" ca="1" si="16"/>
        <v>0</v>
      </c>
      <c r="S15" s="284" t="e">
        <f t="shared" ca="1" si="17"/>
        <v>#REF!</v>
      </c>
      <c r="T15" s="307" t="e">
        <f t="shared" ca="1" si="18"/>
        <v>#REF!</v>
      </c>
      <c r="U15" s="434" t="e">
        <f t="shared" ca="1" si="19"/>
        <v>#REF!</v>
      </c>
      <c r="V15" s="284" t="e">
        <f t="shared" ca="1" si="23"/>
        <v>#REF!</v>
      </c>
      <c r="W15" s="284" t="e">
        <f t="shared" ca="1" si="24"/>
        <v>#REF!</v>
      </c>
      <c r="X15" s="284" t="e">
        <f t="shared" ca="1" si="20"/>
        <v>#REF!</v>
      </c>
      <c r="Y15" s="284">
        <f t="shared" si="21"/>
        <v>0</v>
      </c>
      <c r="Z15" s="671"/>
    </row>
    <row r="16" spans="1:26" x14ac:dyDescent="0.25">
      <c r="B16" s="185">
        <f t="shared" ca="1" si="2"/>
        <v>2025</v>
      </c>
      <c r="C16" s="102" t="str">
        <f t="shared" si="3"/>
        <v>R</v>
      </c>
      <c r="D16" s="104">
        <f t="shared" ca="1" si="4"/>
        <v>0.90851022394109848</v>
      </c>
      <c r="E16" s="104">
        <f t="shared" si="5"/>
        <v>1</v>
      </c>
      <c r="F16" s="103">
        <f t="shared" si="6"/>
        <v>0</v>
      </c>
      <c r="G16" s="103">
        <f t="shared" si="7"/>
        <v>0</v>
      </c>
      <c r="I16" s="393" t="e">
        <f t="shared" ca="1" si="8"/>
        <v>#REF!</v>
      </c>
      <c r="J16" s="394" t="e">
        <f t="shared" ca="1" si="9"/>
        <v>#REF!</v>
      </c>
      <c r="K16" s="394" t="e">
        <f t="shared" ca="1" si="10"/>
        <v>#REF!</v>
      </c>
      <c r="L16" s="394" t="e">
        <f t="shared" ca="1" si="11"/>
        <v>#REF!</v>
      </c>
      <c r="M16" s="394" t="e">
        <f t="shared" ca="1" si="12"/>
        <v>#REF!</v>
      </c>
      <c r="N16" s="394" t="e">
        <f t="shared" ca="1" si="13"/>
        <v>#REF!</v>
      </c>
      <c r="O16" s="394" t="e">
        <f t="shared" ca="1" si="25"/>
        <v>#REF!</v>
      </c>
      <c r="P16" s="432" t="e">
        <f t="shared" ca="1" si="14"/>
        <v>#REF!</v>
      </c>
      <c r="Q16" s="394" t="e">
        <f t="shared" ca="1" si="15"/>
        <v>#REF!</v>
      </c>
      <c r="R16" s="432">
        <f t="shared" ca="1" si="16"/>
        <v>0</v>
      </c>
      <c r="S16" s="394" t="e">
        <f t="shared" ca="1" si="17"/>
        <v>#REF!</v>
      </c>
      <c r="T16" s="432" t="e">
        <f t="shared" ca="1" si="18"/>
        <v>#REF!</v>
      </c>
      <c r="U16" s="433" t="e">
        <f t="shared" ca="1" si="19"/>
        <v>#REF!</v>
      </c>
      <c r="V16" s="394" t="e">
        <f t="shared" ca="1" si="23"/>
        <v>#REF!</v>
      </c>
      <c r="W16" s="394" t="e">
        <f t="shared" ca="1" si="24"/>
        <v>#REF!</v>
      </c>
      <c r="X16" s="394" t="e">
        <f t="shared" ca="1" si="20"/>
        <v>#REF!</v>
      </c>
      <c r="Y16" s="394">
        <f t="shared" si="21"/>
        <v>0</v>
      </c>
      <c r="Z16" s="671" t="str">
        <f ca="1">IF(ISERROR($X16),"X",IF(-$I16&gt;(SP_DebtLimit/$E16),"I",IF(INDEX(SC_EX_APW,EXIDX1)&lt;1,"D","A")))</f>
        <v>X</v>
      </c>
    </row>
    <row r="17" spans="2:26" x14ac:dyDescent="0.25">
      <c r="B17">
        <f t="shared" ca="1" si="2"/>
        <v>2025</v>
      </c>
      <c r="C17" s="65" t="str">
        <f t="shared" si="3"/>
        <v>N</v>
      </c>
      <c r="D17" s="105">
        <f t="shared" si="4"/>
        <v>1</v>
      </c>
      <c r="E17" s="105">
        <f t="shared" ca="1" si="5"/>
        <v>0.90851022394109848</v>
      </c>
      <c r="F17" s="77">
        <f t="shared" si="6"/>
        <v>0</v>
      </c>
      <c r="G17" s="77">
        <f t="shared" si="7"/>
        <v>0</v>
      </c>
      <c r="I17" s="430" t="e">
        <f t="shared" ca="1" si="8"/>
        <v>#REF!</v>
      </c>
      <c r="J17" s="284" t="e">
        <f t="shared" ca="1" si="9"/>
        <v>#REF!</v>
      </c>
      <c r="K17" s="284" t="e">
        <f t="shared" ca="1" si="10"/>
        <v>#REF!</v>
      </c>
      <c r="L17" s="284" t="e">
        <f t="shared" ca="1" si="11"/>
        <v>#REF!</v>
      </c>
      <c r="M17" s="284" t="e">
        <f t="shared" ca="1" si="12"/>
        <v>#REF!</v>
      </c>
      <c r="N17" s="284" t="e">
        <f t="shared" ca="1" si="13"/>
        <v>#REF!</v>
      </c>
      <c r="O17" s="284" t="e">
        <f t="shared" ca="1" si="25"/>
        <v>#REF!</v>
      </c>
      <c r="P17" s="307" t="e">
        <f t="shared" ca="1" si="14"/>
        <v>#REF!</v>
      </c>
      <c r="Q17" s="284" t="e">
        <f t="shared" ca="1" si="15"/>
        <v>#REF!</v>
      </c>
      <c r="R17" s="307">
        <f t="shared" ca="1" si="16"/>
        <v>0</v>
      </c>
      <c r="S17" s="284" t="e">
        <f t="shared" ca="1" si="17"/>
        <v>#REF!</v>
      </c>
      <c r="T17" s="307" t="e">
        <f t="shared" ca="1" si="18"/>
        <v>#REF!</v>
      </c>
      <c r="U17" s="434" t="e">
        <f t="shared" ca="1" si="19"/>
        <v>#REF!</v>
      </c>
      <c r="V17" s="284" t="e">
        <f t="shared" ca="1" si="23"/>
        <v>#REF!</v>
      </c>
      <c r="W17" s="284" t="e">
        <f t="shared" ca="1" si="24"/>
        <v>#REF!</v>
      </c>
      <c r="X17" s="284" t="e">
        <f t="shared" ca="1" si="20"/>
        <v>#REF!</v>
      </c>
      <c r="Y17" s="284">
        <f t="shared" si="21"/>
        <v>0</v>
      </c>
      <c r="Z17" s="671"/>
    </row>
    <row r="18" spans="2:26" x14ac:dyDescent="0.25">
      <c r="B18" s="185">
        <f t="shared" ca="1" si="2"/>
        <v>2026</v>
      </c>
      <c r="C18" s="102" t="str">
        <f t="shared" si="3"/>
        <v>R</v>
      </c>
      <c r="D18" s="104">
        <f t="shared" ca="1" si="4"/>
        <v>0.87991304982188723</v>
      </c>
      <c r="E18" s="104">
        <f t="shared" si="5"/>
        <v>1</v>
      </c>
      <c r="F18" s="103">
        <f t="shared" si="6"/>
        <v>0</v>
      </c>
      <c r="G18" s="103">
        <f t="shared" si="7"/>
        <v>0</v>
      </c>
      <c r="I18" s="393" t="e">
        <f t="shared" ca="1" si="8"/>
        <v>#REF!</v>
      </c>
      <c r="J18" s="394" t="e">
        <f t="shared" ca="1" si="9"/>
        <v>#REF!</v>
      </c>
      <c r="K18" s="394" t="e">
        <f t="shared" ca="1" si="10"/>
        <v>#REF!</v>
      </c>
      <c r="L18" s="394" t="e">
        <f t="shared" ca="1" si="11"/>
        <v>#REF!</v>
      </c>
      <c r="M18" s="394" t="e">
        <f t="shared" ca="1" si="12"/>
        <v>#REF!</v>
      </c>
      <c r="N18" s="394" t="e">
        <f t="shared" ca="1" si="13"/>
        <v>#REF!</v>
      </c>
      <c r="O18" s="394" t="e">
        <f t="shared" ca="1" si="25"/>
        <v>#REF!</v>
      </c>
      <c r="P18" s="432" t="e">
        <f t="shared" ca="1" si="14"/>
        <v>#REF!</v>
      </c>
      <c r="Q18" s="394" t="e">
        <f t="shared" ca="1" si="15"/>
        <v>#REF!</v>
      </c>
      <c r="R18" s="432">
        <f t="shared" ca="1" si="16"/>
        <v>0</v>
      </c>
      <c r="S18" s="394" t="e">
        <f t="shared" ca="1" si="17"/>
        <v>#REF!</v>
      </c>
      <c r="T18" s="432" t="e">
        <f t="shared" ca="1" si="18"/>
        <v>#REF!</v>
      </c>
      <c r="U18" s="433" t="e">
        <f t="shared" ca="1" si="19"/>
        <v>#REF!</v>
      </c>
      <c r="V18" s="394" t="e">
        <f t="shared" ca="1" si="23"/>
        <v>#REF!</v>
      </c>
      <c r="W18" s="394" t="e">
        <f t="shared" ca="1" si="24"/>
        <v>#REF!</v>
      </c>
      <c r="X18" s="394" t="e">
        <f t="shared" ca="1" si="20"/>
        <v>#REF!</v>
      </c>
      <c r="Y18" s="394">
        <f t="shared" si="21"/>
        <v>0</v>
      </c>
      <c r="Z18" s="671" t="str">
        <f ca="1">IF(ISERROR($X18),"X",IF(-$I18&gt;(SP_DebtLimit/$E18),"I",IF(INDEX(SC_EX_APW,EXIDX1)&lt;1,"D","A")))</f>
        <v>X</v>
      </c>
    </row>
    <row r="19" spans="2:26" x14ac:dyDescent="0.25">
      <c r="B19">
        <f t="shared" ca="1" si="2"/>
        <v>2026</v>
      </c>
      <c r="C19" s="65" t="str">
        <f t="shared" si="3"/>
        <v>N</v>
      </c>
      <c r="D19" s="105">
        <f t="shared" si="4"/>
        <v>1</v>
      </c>
      <c r="E19" s="105">
        <f t="shared" ca="1" si="5"/>
        <v>0.87991304982188723</v>
      </c>
      <c r="F19" s="77">
        <f t="shared" si="6"/>
        <v>0</v>
      </c>
      <c r="G19" s="77">
        <f t="shared" si="7"/>
        <v>0</v>
      </c>
      <c r="I19" s="430" t="e">
        <f t="shared" ca="1" si="8"/>
        <v>#REF!</v>
      </c>
      <c r="J19" s="284" t="e">
        <f t="shared" ca="1" si="9"/>
        <v>#REF!</v>
      </c>
      <c r="K19" s="284" t="e">
        <f t="shared" ca="1" si="10"/>
        <v>#REF!</v>
      </c>
      <c r="L19" s="284" t="e">
        <f t="shared" ca="1" si="11"/>
        <v>#REF!</v>
      </c>
      <c r="M19" s="284" t="e">
        <f t="shared" ca="1" si="12"/>
        <v>#REF!</v>
      </c>
      <c r="N19" s="284" t="e">
        <f t="shared" ca="1" si="13"/>
        <v>#REF!</v>
      </c>
      <c r="O19" s="284" t="e">
        <f t="shared" ca="1" si="25"/>
        <v>#REF!</v>
      </c>
      <c r="P19" s="307" t="e">
        <f t="shared" ca="1" si="14"/>
        <v>#REF!</v>
      </c>
      <c r="Q19" s="284" t="e">
        <f t="shared" ca="1" si="15"/>
        <v>#REF!</v>
      </c>
      <c r="R19" s="307">
        <f t="shared" ca="1" si="16"/>
        <v>0</v>
      </c>
      <c r="S19" s="284" t="e">
        <f t="shared" ca="1" si="17"/>
        <v>#REF!</v>
      </c>
      <c r="T19" s="307" t="e">
        <f t="shared" ca="1" si="18"/>
        <v>#REF!</v>
      </c>
      <c r="U19" s="434" t="e">
        <f t="shared" ca="1" si="19"/>
        <v>#REF!</v>
      </c>
      <c r="V19" s="284" t="e">
        <f t="shared" ca="1" si="23"/>
        <v>#REF!</v>
      </c>
      <c r="W19" s="284" t="e">
        <f t="shared" ca="1" si="24"/>
        <v>#REF!</v>
      </c>
      <c r="X19" s="284" t="e">
        <f t="shared" ca="1" si="20"/>
        <v>#REF!</v>
      </c>
      <c r="Y19" s="284">
        <f t="shared" si="21"/>
        <v>0</v>
      </c>
      <c r="Z19" s="671"/>
    </row>
    <row r="20" spans="2:26" x14ac:dyDescent="0.25">
      <c r="B20" s="185">
        <f t="shared" ca="1" si="2"/>
        <v>2027</v>
      </c>
      <c r="C20" s="102" t="str">
        <f t="shared" si="3"/>
        <v>R</v>
      </c>
      <c r="D20" s="104">
        <f t="shared" ca="1" si="4"/>
        <v>0.85221602888318382</v>
      </c>
      <c r="E20" s="104">
        <f t="shared" si="5"/>
        <v>1</v>
      </c>
      <c r="F20" s="103">
        <f t="shared" si="6"/>
        <v>0</v>
      </c>
      <c r="G20" s="103">
        <f t="shared" si="7"/>
        <v>0</v>
      </c>
      <c r="I20" s="393" t="e">
        <f t="shared" ca="1" si="8"/>
        <v>#REF!</v>
      </c>
      <c r="J20" s="394" t="e">
        <f t="shared" ca="1" si="9"/>
        <v>#REF!</v>
      </c>
      <c r="K20" s="394" t="e">
        <f t="shared" ca="1" si="10"/>
        <v>#REF!</v>
      </c>
      <c r="L20" s="394" t="e">
        <f t="shared" ca="1" si="11"/>
        <v>#REF!</v>
      </c>
      <c r="M20" s="394" t="e">
        <f t="shared" ca="1" si="12"/>
        <v>#REF!</v>
      </c>
      <c r="N20" s="394" t="e">
        <f t="shared" ca="1" si="13"/>
        <v>#REF!</v>
      </c>
      <c r="O20" s="394" t="e">
        <f t="shared" ca="1" si="25"/>
        <v>#REF!</v>
      </c>
      <c r="P20" s="432" t="e">
        <f t="shared" ca="1" si="14"/>
        <v>#REF!</v>
      </c>
      <c r="Q20" s="394" t="e">
        <f t="shared" ca="1" si="15"/>
        <v>#REF!</v>
      </c>
      <c r="R20" s="432">
        <f t="shared" ca="1" si="16"/>
        <v>0</v>
      </c>
      <c r="S20" s="394" t="e">
        <f t="shared" ca="1" si="17"/>
        <v>#REF!</v>
      </c>
      <c r="T20" s="432" t="e">
        <f t="shared" ca="1" si="18"/>
        <v>#REF!</v>
      </c>
      <c r="U20" s="433" t="e">
        <f t="shared" ca="1" si="19"/>
        <v>#REF!</v>
      </c>
      <c r="V20" s="394" t="e">
        <f t="shared" ca="1" si="23"/>
        <v>#REF!</v>
      </c>
      <c r="W20" s="394" t="e">
        <f t="shared" ca="1" si="24"/>
        <v>#REF!</v>
      </c>
      <c r="X20" s="394" t="e">
        <f t="shared" ca="1" si="20"/>
        <v>#REF!</v>
      </c>
      <c r="Y20" s="394">
        <f t="shared" si="21"/>
        <v>0</v>
      </c>
      <c r="Z20" s="671" t="str">
        <f ca="1">IF(ISERROR($X20),"X",IF(-$I20&gt;(SP_DebtLimit/$E20),"I",IF(INDEX(SC_EX_APW,EXIDX1)&lt;1,"D","A")))</f>
        <v>X</v>
      </c>
    </row>
    <row r="21" spans="2:26" x14ac:dyDescent="0.25">
      <c r="B21">
        <f t="shared" ca="1" si="2"/>
        <v>2027</v>
      </c>
      <c r="C21" s="65" t="str">
        <f t="shared" si="3"/>
        <v>N</v>
      </c>
      <c r="D21" s="105">
        <f t="shared" si="4"/>
        <v>1</v>
      </c>
      <c r="E21" s="105">
        <f t="shared" ca="1" si="5"/>
        <v>0.85221602888318382</v>
      </c>
      <c r="F21" s="77">
        <f t="shared" si="6"/>
        <v>0</v>
      </c>
      <c r="G21" s="77">
        <f t="shared" si="7"/>
        <v>0</v>
      </c>
      <c r="I21" s="430" t="e">
        <f t="shared" ca="1" si="8"/>
        <v>#REF!</v>
      </c>
      <c r="J21" s="284" t="e">
        <f t="shared" ca="1" si="9"/>
        <v>#REF!</v>
      </c>
      <c r="K21" s="284" t="e">
        <f t="shared" ca="1" si="10"/>
        <v>#REF!</v>
      </c>
      <c r="L21" s="284" t="e">
        <f t="shared" ca="1" si="11"/>
        <v>#REF!</v>
      </c>
      <c r="M21" s="284" t="e">
        <f t="shared" ca="1" si="12"/>
        <v>#REF!</v>
      </c>
      <c r="N21" s="284" t="e">
        <f t="shared" ca="1" si="13"/>
        <v>#REF!</v>
      </c>
      <c r="O21" s="284" t="e">
        <f t="shared" ca="1" si="25"/>
        <v>#REF!</v>
      </c>
      <c r="P21" s="307" t="e">
        <f t="shared" ca="1" si="14"/>
        <v>#REF!</v>
      </c>
      <c r="Q21" s="284" t="e">
        <f t="shared" ca="1" si="15"/>
        <v>#REF!</v>
      </c>
      <c r="R21" s="307">
        <f t="shared" ca="1" si="16"/>
        <v>0</v>
      </c>
      <c r="S21" s="284" t="e">
        <f t="shared" ca="1" si="17"/>
        <v>#REF!</v>
      </c>
      <c r="T21" s="307" t="e">
        <f t="shared" ca="1" si="18"/>
        <v>#REF!</v>
      </c>
      <c r="U21" s="434" t="e">
        <f t="shared" ca="1" si="19"/>
        <v>#REF!</v>
      </c>
      <c r="V21" s="284" t="e">
        <f t="shared" ca="1" si="23"/>
        <v>#REF!</v>
      </c>
      <c r="W21" s="284" t="e">
        <f t="shared" ca="1" si="24"/>
        <v>#REF!</v>
      </c>
      <c r="X21" s="284" t="e">
        <f t="shared" ca="1" si="20"/>
        <v>#REF!</v>
      </c>
      <c r="Y21" s="284">
        <f t="shared" si="21"/>
        <v>0</v>
      </c>
      <c r="Z21" s="671"/>
    </row>
    <row r="22" spans="2:26" x14ac:dyDescent="0.25">
      <c r="B22" s="185">
        <f t="shared" ca="1" si="2"/>
        <v>2028</v>
      </c>
      <c r="C22" s="102" t="str">
        <f t="shared" si="3"/>
        <v>R</v>
      </c>
      <c r="D22" s="104">
        <f t="shared" ca="1" si="4"/>
        <v>0.82539082700550503</v>
      </c>
      <c r="E22" s="104">
        <f t="shared" si="5"/>
        <v>1</v>
      </c>
      <c r="F22" s="103">
        <f t="shared" si="6"/>
        <v>0</v>
      </c>
      <c r="G22" s="103">
        <f t="shared" si="7"/>
        <v>0</v>
      </c>
      <c r="I22" s="393" t="e">
        <f t="shared" ca="1" si="8"/>
        <v>#REF!</v>
      </c>
      <c r="J22" s="394" t="e">
        <f t="shared" ca="1" si="9"/>
        <v>#REF!</v>
      </c>
      <c r="K22" s="394" t="e">
        <f t="shared" ca="1" si="10"/>
        <v>#REF!</v>
      </c>
      <c r="L22" s="394" t="e">
        <f t="shared" ca="1" si="11"/>
        <v>#REF!</v>
      </c>
      <c r="M22" s="394" t="e">
        <f t="shared" ca="1" si="12"/>
        <v>#REF!</v>
      </c>
      <c r="N22" s="394" t="e">
        <f t="shared" ca="1" si="13"/>
        <v>#REF!</v>
      </c>
      <c r="O22" s="394" t="e">
        <f t="shared" ca="1" si="25"/>
        <v>#REF!</v>
      </c>
      <c r="P22" s="432" t="e">
        <f t="shared" ca="1" si="14"/>
        <v>#REF!</v>
      </c>
      <c r="Q22" s="394" t="e">
        <f t="shared" ca="1" si="15"/>
        <v>#REF!</v>
      </c>
      <c r="R22" s="432">
        <f t="shared" ca="1" si="16"/>
        <v>0</v>
      </c>
      <c r="S22" s="394" t="e">
        <f t="shared" ca="1" si="17"/>
        <v>#REF!</v>
      </c>
      <c r="T22" s="432" t="e">
        <f t="shared" ca="1" si="18"/>
        <v>#REF!</v>
      </c>
      <c r="U22" s="433" t="e">
        <f t="shared" ca="1" si="19"/>
        <v>#REF!</v>
      </c>
      <c r="V22" s="394" t="e">
        <f t="shared" ca="1" si="23"/>
        <v>#REF!</v>
      </c>
      <c r="W22" s="394" t="e">
        <f t="shared" ca="1" si="24"/>
        <v>#REF!</v>
      </c>
      <c r="X22" s="394" t="e">
        <f t="shared" ca="1" si="20"/>
        <v>#REF!</v>
      </c>
      <c r="Y22" s="394">
        <f t="shared" si="21"/>
        <v>0</v>
      </c>
      <c r="Z22" s="671" t="str">
        <f ca="1">IF(ISERROR($X22),"X",IF(-$I22&gt;(SP_DebtLimit/$E22),"I",IF(INDEX(SC_EX_APW,EXIDX1)&lt;1,"D","A")))</f>
        <v>X</v>
      </c>
    </row>
    <row r="23" spans="2:26" x14ac:dyDescent="0.25">
      <c r="B23">
        <f t="shared" ca="1" si="2"/>
        <v>2028</v>
      </c>
      <c r="C23" s="65" t="str">
        <f t="shared" si="3"/>
        <v>N</v>
      </c>
      <c r="D23" s="105">
        <f t="shared" si="4"/>
        <v>1</v>
      </c>
      <c r="E23" s="105">
        <f t="shared" ca="1" si="5"/>
        <v>0.82539082700550503</v>
      </c>
      <c r="F23" s="77">
        <f t="shared" si="6"/>
        <v>0</v>
      </c>
      <c r="G23" s="77">
        <f t="shared" si="7"/>
        <v>0</v>
      </c>
      <c r="I23" s="430" t="e">
        <f t="shared" ca="1" si="8"/>
        <v>#REF!</v>
      </c>
      <c r="J23" s="284" t="e">
        <f t="shared" ca="1" si="9"/>
        <v>#REF!</v>
      </c>
      <c r="K23" s="284" t="e">
        <f t="shared" ca="1" si="10"/>
        <v>#REF!</v>
      </c>
      <c r="L23" s="284" t="e">
        <f t="shared" ca="1" si="11"/>
        <v>#REF!</v>
      </c>
      <c r="M23" s="284" t="e">
        <f t="shared" ca="1" si="12"/>
        <v>#REF!</v>
      </c>
      <c r="N23" s="284" t="e">
        <f t="shared" ca="1" si="13"/>
        <v>#REF!</v>
      </c>
      <c r="O23" s="284" t="e">
        <f t="shared" ca="1" si="25"/>
        <v>#REF!</v>
      </c>
      <c r="P23" s="307" t="e">
        <f t="shared" ca="1" si="14"/>
        <v>#REF!</v>
      </c>
      <c r="Q23" s="284" t="e">
        <f t="shared" ca="1" si="15"/>
        <v>#REF!</v>
      </c>
      <c r="R23" s="307">
        <f t="shared" ca="1" si="16"/>
        <v>0</v>
      </c>
      <c r="S23" s="284" t="e">
        <f t="shared" ca="1" si="17"/>
        <v>#REF!</v>
      </c>
      <c r="T23" s="307" t="e">
        <f t="shared" ca="1" si="18"/>
        <v>#REF!</v>
      </c>
      <c r="U23" s="434" t="e">
        <f t="shared" ca="1" si="19"/>
        <v>#REF!</v>
      </c>
      <c r="V23" s="284" t="e">
        <f t="shared" ca="1" si="23"/>
        <v>#REF!</v>
      </c>
      <c r="W23" s="284" t="e">
        <f t="shared" ca="1" si="24"/>
        <v>#REF!</v>
      </c>
      <c r="X23" s="284" t="e">
        <f t="shared" ca="1" si="20"/>
        <v>#REF!</v>
      </c>
      <c r="Y23" s="284">
        <f t="shared" si="21"/>
        <v>0</v>
      </c>
      <c r="Z23" s="671"/>
    </row>
    <row r="24" spans="2:26" x14ac:dyDescent="0.25">
      <c r="B24" s="185">
        <f t="shared" ca="1" si="2"/>
        <v>2029</v>
      </c>
      <c r="C24" s="102" t="str">
        <f t="shared" si="3"/>
        <v>R</v>
      </c>
      <c r="D24" s="104">
        <f t="shared" ca="1" si="4"/>
        <v>0.79941000194237766</v>
      </c>
      <c r="E24" s="104">
        <f t="shared" si="5"/>
        <v>1</v>
      </c>
      <c r="F24" s="103">
        <f t="shared" si="6"/>
        <v>0</v>
      </c>
      <c r="G24" s="103">
        <f t="shared" si="7"/>
        <v>0</v>
      </c>
      <c r="I24" s="393" t="e">
        <f t="shared" ca="1" si="8"/>
        <v>#REF!</v>
      </c>
      <c r="J24" s="394" t="e">
        <f t="shared" ca="1" si="9"/>
        <v>#REF!</v>
      </c>
      <c r="K24" s="394" t="e">
        <f t="shared" ca="1" si="10"/>
        <v>#REF!</v>
      </c>
      <c r="L24" s="394" t="e">
        <f t="shared" ca="1" si="11"/>
        <v>#REF!</v>
      </c>
      <c r="M24" s="394" t="e">
        <f t="shared" ca="1" si="12"/>
        <v>#REF!</v>
      </c>
      <c r="N24" s="394" t="e">
        <f t="shared" ca="1" si="13"/>
        <v>#REF!</v>
      </c>
      <c r="O24" s="394" t="e">
        <f t="shared" ca="1" si="25"/>
        <v>#REF!</v>
      </c>
      <c r="P24" s="432" t="e">
        <f t="shared" ca="1" si="14"/>
        <v>#REF!</v>
      </c>
      <c r="Q24" s="394" t="e">
        <f t="shared" ca="1" si="15"/>
        <v>#REF!</v>
      </c>
      <c r="R24" s="432">
        <f t="shared" ca="1" si="16"/>
        <v>0</v>
      </c>
      <c r="S24" s="394" t="e">
        <f t="shared" ca="1" si="17"/>
        <v>#REF!</v>
      </c>
      <c r="T24" s="432" t="e">
        <f t="shared" ca="1" si="18"/>
        <v>#REF!</v>
      </c>
      <c r="U24" s="433" t="e">
        <f t="shared" ca="1" si="19"/>
        <v>#REF!</v>
      </c>
      <c r="V24" s="394" t="e">
        <f t="shared" ca="1" si="23"/>
        <v>#REF!</v>
      </c>
      <c r="W24" s="394" t="e">
        <f t="shared" ca="1" si="24"/>
        <v>#REF!</v>
      </c>
      <c r="X24" s="394" t="e">
        <f t="shared" ca="1" si="20"/>
        <v>#REF!</v>
      </c>
      <c r="Y24" s="394">
        <f t="shared" si="21"/>
        <v>0</v>
      </c>
      <c r="Z24" s="671" t="str">
        <f ca="1">IF(ISERROR($X24),"X",IF(-$I24&gt;(SP_DebtLimit/$E24),"I",IF(INDEX(SC_EX_APW,EXIDX1)&lt;1,"D","A")))</f>
        <v>X</v>
      </c>
    </row>
    <row r="25" spans="2:26" x14ac:dyDescent="0.25">
      <c r="B25">
        <f t="shared" ca="1" si="2"/>
        <v>2029</v>
      </c>
      <c r="C25" s="65" t="str">
        <f t="shared" si="3"/>
        <v>N</v>
      </c>
      <c r="D25" s="105">
        <f t="shared" si="4"/>
        <v>1</v>
      </c>
      <c r="E25" s="105">
        <f t="shared" ca="1" si="5"/>
        <v>0.79941000194237766</v>
      </c>
      <c r="F25" s="77">
        <f t="shared" si="6"/>
        <v>0</v>
      </c>
      <c r="G25" s="77">
        <f t="shared" si="7"/>
        <v>0</v>
      </c>
      <c r="I25" s="430" t="e">
        <f t="shared" ca="1" si="8"/>
        <v>#REF!</v>
      </c>
      <c r="J25" s="284" t="e">
        <f t="shared" ca="1" si="9"/>
        <v>#REF!</v>
      </c>
      <c r="K25" s="284" t="e">
        <f t="shared" ca="1" si="10"/>
        <v>#REF!</v>
      </c>
      <c r="L25" s="284" t="e">
        <f t="shared" ca="1" si="11"/>
        <v>#REF!</v>
      </c>
      <c r="M25" s="284" t="e">
        <f t="shared" ca="1" si="12"/>
        <v>#REF!</v>
      </c>
      <c r="N25" s="284" t="e">
        <f t="shared" ca="1" si="13"/>
        <v>#REF!</v>
      </c>
      <c r="O25" s="284" t="e">
        <f t="shared" ca="1" si="25"/>
        <v>#REF!</v>
      </c>
      <c r="P25" s="307" t="e">
        <f t="shared" ca="1" si="14"/>
        <v>#REF!</v>
      </c>
      <c r="Q25" s="284" t="e">
        <f t="shared" ca="1" si="15"/>
        <v>#REF!</v>
      </c>
      <c r="R25" s="307">
        <f t="shared" ca="1" si="16"/>
        <v>0</v>
      </c>
      <c r="S25" s="284" t="e">
        <f t="shared" ca="1" si="17"/>
        <v>#REF!</v>
      </c>
      <c r="T25" s="307" t="e">
        <f t="shared" ca="1" si="18"/>
        <v>#REF!</v>
      </c>
      <c r="U25" s="434" t="e">
        <f t="shared" ca="1" si="19"/>
        <v>#REF!</v>
      </c>
      <c r="V25" s="284" t="e">
        <f t="shared" ca="1" si="23"/>
        <v>#REF!</v>
      </c>
      <c r="W25" s="284" t="e">
        <f t="shared" ca="1" si="24"/>
        <v>#REF!</v>
      </c>
      <c r="X25" s="284" t="e">
        <f t="shared" ca="1" si="20"/>
        <v>#REF!</v>
      </c>
      <c r="Y25" s="284">
        <f t="shared" si="21"/>
        <v>0</v>
      </c>
      <c r="Z25" s="671"/>
    </row>
    <row r="26" spans="2:26" x14ac:dyDescent="0.25">
      <c r="B26" s="185">
        <f t="shared" ca="1" si="2"/>
        <v>2030</v>
      </c>
      <c r="C26" s="102" t="str">
        <f t="shared" si="3"/>
        <v>R</v>
      </c>
      <c r="D26" s="104">
        <f t="shared" ca="1" si="4"/>
        <v>0.77424697524685493</v>
      </c>
      <c r="E26" s="104">
        <f t="shared" si="5"/>
        <v>1</v>
      </c>
      <c r="F26" s="103">
        <f t="shared" si="6"/>
        <v>0</v>
      </c>
      <c r="G26" s="103">
        <f t="shared" si="7"/>
        <v>0</v>
      </c>
      <c r="I26" s="393" t="e">
        <f t="shared" ca="1" si="8"/>
        <v>#REF!</v>
      </c>
      <c r="J26" s="394" t="e">
        <f t="shared" ca="1" si="9"/>
        <v>#REF!</v>
      </c>
      <c r="K26" s="394" t="e">
        <f t="shared" ca="1" si="10"/>
        <v>#REF!</v>
      </c>
      <c r="L26" s="394" t="e">
        <f t="shared" ca="1" si="11"/>
        <v>#REF!</v>
      </c>
      <c r="M26" s="394" t="e">
        <f t="shared" ca="1" si="12"/>
        <v>#REF!</v>
      </c>
      <c r="N26" s="394" t="e">
        <f t="shared" ca="1" si="13"/>
        <v>#REF!</v>
      </c>
      <c r="O26" s="394" t="e">
        <f t="shared" ca="1" si="25"/>
        <v>#REF!</v>
      </c>
      <c r="P26" s="432" t="e">
        <f t="shared" ca="1" si="14"/>
        <v>#REF!</v>
      </c>
      <c r="Q26" s="394" t="e">
        <f t="shared" ca="1" si="15"/>
        <v>#REF!</v>
      </c>
      <c r="R26" s="432">
        <f t="shared" ca="1" si="16"/>
        <v>0</v>
      </c>
      <c r="S26" s="394" t="e">
        <f t="shared" ca="1" si="17"/>
        <v>#REF!</v>
      </c>
      <c r="T26" s="432" t="e">
        <f t="shared" ca="1" si="18"/>
        <v>#REF!</v>
      </c>
      <c r="U26" s="433" t="e">
        <f t="shared" ca="1" si="19"/>
        <v>#REF!</v>
      </c>
      <c r="V26" s="394" t="e">
        <f t="shared" ca="1" si="23"/>
        <v>#REF!</v>
      </c>
      <c r="W26" s="394" t="e">
        <f t="shared" ca="1" si="24"/>
        <v>#REF!</v>
      </c>
      <c r="X26" s="394" t="e">
        <f t="shared" ca="1" si="20"/>
        <v>#REF!</v>
      </c>
      <c r="Y26" s="394">
        <f t="shared" si="21"/>
        <v>0</v>
      </c>
      <c r="Z26" s="671" t="str">
        <f ca="1">IF(ISERROR($X26),"X",IF(-$I26&gt;(SP_DebtLimit/$E26),"I",IF(INDEX(SC_EX_APW,EXIDX1)&lt;1,"D","A")))</f>
        <v>X</v>
      </c>
    </row>
    <row r="27" spans="2:26" x14ac:dyDescent="0.25">
      <c r="B27">
        <f t="shared" ca="1" si="2"/>
        <v>2030</v>
      </c>
      <c r="C27" s="65" t="str">
        <f t="shared" si="3"/>
        <v>N</v>
      </c>
      <c r="D27" s="105">
        <f t="shared" si="4"/>
        <v>1</v>
      </c>
      <c r="E27" s="105">
        <f t="shared" ca="1" si="5"/>
        <v>0.77424697524685493</v>
      </c>
      <c r="F27" s="77">
        <f t="shared" si="6"/>
        <v>0</v>
      </c>
      <c r="G27" s="77">
        <f t="shared" si="7"/>
        <v>0</v>
      </c>
      <c r="I27" s="430" t="e">
        <f t="shared" ca="1" si="8"/>
        <v>#REF!</v>
      </c>
      <c r="J27" s="284" t="e">
        <f t="shared" ca="1" si="9"/>
        <v>#REF!</v>
      </c>
      <c r="K27" s="284" t="e">
        <f t="shared" ca="1" si="10"/>
        <v>#REF!</v>
      </c>
      <c r="L27" s="284" t="e">
        <f t="shared" ca="1" si="11"/>
        <v>#REF!</v>
      </c>
      <c r="M27" s="284" t="e">
        <f t="shared" ca="1" si="12"/>
        <v>#REF!</v>
      </c>
      <c r="N27" s="284" t="e">
        <f t="shared" ca="1" si="13"/>
        <v>#REF!</v>
      </c>
      <c r="O27" s="284" t="e">
        <f t="shared" ca="1" si="25"/>
        <v>#REF!</v>
      </c>
      <c r="P27" s="307" t="e">
        <f t="shared" ca="1" si="14"/>
        <v>#REF!</v>
      </c>
      <c r="Q27" s="284" t="e">
        <f t="shared" ca="1" si="15"/>
        <v>#REF!</v>
      </c>
      <c r="R27" s="307">
        <f t="shared" ca="1" si="16"/>
        <v>0</v>
      </c>
      <c r="S27" s="284" t="e">
        <f t="shared" ca="1" si="17"/>
        <v>#REF!</v>
      </c>
      <c r="T27" s="307" t="e">
        <f t="shared" ca="1" si="18"/>
        <v>#REF!</v>
      </c>
      <c r="U27" s="434" t="e">
        <f t="shared" ca="1" si="19"/>
        <v>#REF!</v>
      </c>
      <c r="V27" s="284" t="e">
        <f t="shared" ca="1" si="23"/>
        <v>#REF!</v>
      </c>
      <c r="W27" s="284" t="e">
        <f t="shared" ca="1" si="24"/>
        <v>#REF!</v>
      </c>
      <c r="X27" s="284" t="e">
        <f t="shared" ca="1" si="20"/>
        <v>#REF!</v>
      </c>
      <c r="Y27" s="284">
        <f t="shared" si="21"/>
        <v>0</v>
      </c>
      <c r="Z27" s="671"/>
    </row>
    <row r="28" spans="2:26" x14ac:dyDescent="0.25">
      <c r="B28" s="185">
        <f t="shared" ca="1" si="2"/>
        <v>2031</v>
      </c>
      <c r="C28" s="102" t="str">
        <f t="shared" si="3"/>
        <v>R</v>
      </c>
      <c r="D28" s="104">
        <f t="shared" ca="1" si="4"/>
        <v>0.74987600508169971</v>
      </c>
      <c r="E28" s="104">
        <f t="shared" si="5"/>
        <v>1</v>
      </c>
      <c r="F28" s="103">
        <f t="shared" si="6"/>
        <v>0</v>
      </c>
      <c r="G28" s="103">
        <f t="shared" si="7"/>
        <v>0</v>
      </c>
      <c r="I28" s="393" t="e">
        <f t="shared" ca="1" si="8"/>
        <v>#REF!</v>
      </c>
      <c r="J28" s="394" t="e">
        <f t="shared" ca="1" si="9"/>
        <v>#REF!</v>
      </c>
      <c r="K28" s="394" t="e">
        <f t="shared" ca="1" si="10"/>
        <v>#REF!</v>
      </c>
      <c r="L28" s="394" t="e">
        <f t="shared" ca="1" si="11"/>
        <v>#REF!</v>
      </c>
      <c r="M28" s="394" t="e">
        <f t="shared" ca="1" si="12"/>
        <v>#REF!</v>
      </c>
      <c r="N28" s="394" t="e">
        <f t="shared" ca="1" si="13"/>
        <v>#REF!</v>
      </c>
      <c r="O28" s="394" t="e">
        <f t="shared" ca="1" si="25"/>
        <v>#REF!</v>
      </c>
      <c r="P28" s="432" t="e">
        <f t="shared" ca="1" si="14"/>
        <v>#REF!</v>
      </c>
      <c r="Q28" s="394" t="e">
        <f t="shared" ca="1" si="15"/>
        <v>#REF!</v>
      </c>
      <c r="R28" s="432">
        <f t="shared" ca="1" si="16"/>
        <v>0</v>
      </c>
      <c r="S28" s="394" t="e">
        <f t="shared" ca="1" si="17"/>
        <v>#REF!</v>
      </c>
      <c r="T28" s="432" t="e">
        <f t="shared" ca="1" si="18"/>
        <v>#REF!</v>
      </c>
      <c r="U28" s="433" t="e">
        <f t="shared" ca="1" si="19"/>
        <v>#REF!</v>
      </c>
      <c r="V28" s="394" t="e">
        <f t="shared" ca="1" si="23"/>
        <v>#REF!</v>
      </c>
      <c r="W28" s="394" t="e">
        <f t="shared" ca="1" si="24"/>
        <v>#REF!</v>
      </c>
      <c r="X28" s="394" t="e">
        <f t="shared" ca="1" si="20"/>
        <v>#REF!</v>
      </c>
      <c r="Y28" s="394">
        <f t="shared" si="21"/>
        <v>0</v>
      </c>
      <c r="Z28" s="671" t="str">
        <f ca="1">IF(ISERROR($X28),"X",IF(-$I28&gt;(SP_DebtLimit/$E28),"I",IF(INDEX(SC_EX_APW,EXIDX1)&lt;1,"D","A")))</f>
        <v>X</v>
      </c>
    </row>
    <row r="29" spans="2:26" x14ac:dyDescent="0.25">
      <c r="B29">
        <f t="shared" ca="1" si="2"/>
        <v>2031</v>
      </c>
      <c r="C29" s="65" t="str">
        <f t="shared" si="3"/>
        <v>N</v>
      </c>
      <c r="D29" s="105">
        <f t="shared" si="4"/>
        <v>1</v>
      </c>
      <c r="E29" s="105">
        <f t="shared" ca="1" si="5"/>
        <v>0.74987600508169971</v>
      </c>
      <c r="F29" s="77">
        <f t="shared" si="6"/>
        <v>0</v>
      </c>
      <c r="G29" s="77">
        <f t="shared" si="7"/>
        <v>0</v>
      </c>
      <c r="I29" s="430" t="e">
        <f t="shared" ca="1" si="8"/>
        <v>#REF!</v>
      </c>
      <c r="J29" s="284" t="e">
        <f t="shared" ca="1" si="9"/>
        <v>#REF!</v>
      </c>
      <c r="K29" s="284" t="e">
        <f t="shared" ca="1" si="10"/>
        <v>#REF!</v>
      </c>
      <c r="L29" s="284" t="e">
        <f t="shared" ca="1" si="11"/>
        <v>#REF!</v>
      </c>
      <c r="M29" s="284" t="e">
        <f t="shared" ca="1" si="12"/>
        <v>#REF!</v>
      </c>
      <c r="N29" s="284" t="e">
        <f t="shared" ca="1" si="13"/>
        <v>#REF!</v>
      </c>
      <c r="O29" s="284" t="e">
        <f t="shared" ca="1" si="25"/>
        <v>#REF!</v>
      </c>
      <c r="P29" s="307" t="e">
        <f t="shared" ca="1" si="14"/>
        <v>#REF!</v>
      </c>
      <c r="Q29" s="284" t="e">
        <f t="shared" ca="1" si="15"/>
        <v>#REF!</v>
      </c>
      <c r="R29" s="307">
        <f t="shared" ca="1" si="16"/>
        <v>0</v>
      </c>
      <c r="S29" s="284" t="e">
        <f t="shared" ca="1" si="17"/>
        <v>#REF!</v>
      </c>
      <c r="T29" s="307" t="e">
        <f t="shared" ca="1" si="18"/>
        <v>#REF!</v>
      </c>
      <c r="U29" s="434" t="e">
        <f t="shared" ca="1" si="19"/>
        <v>#REF!</v>
      </c>
      <c r="V29" s="284" t="e">
        <f t="shared" ca="1" si="23"/>
        <v>#REF!</v>
      </c>
      <c r="W29" s="284" t="e">
        <f t="shared" ca="1" si="24"/>
        <v>#REF!</v>
      </c>
      <c r="X29" s="284" t="e">
        <f t="shared" ca="1" si="20"/>
        <v>#REF!</v>
      </c>
      <c r="Y29" s="284">
        <f t="shared" si="21"/>
        <v>0</v>
      </c>
      <c r="Z29" s="671"/>
    </row>
    <row r="30" spans="2:26" x14ac:dyDescent="0.25">
      <c r="B30" s="185">
        <f t="shared" ca="1" si="2"/>
        <v>2032</v>
      </c>
      <c r="C30" s="102" t="str">
        <f t="shared" si="3"/>
        <v>R</v>
      </c>
      <c r="D30" s="104">
        <f t="shared" ca="1" si="4"/>
        <v>0.72627215988542349</v>
      </c>
      <c r="E30" s="104">
        <f t="shared" si="5"/>
        <v>1</v>
      </c>
      <c r="F30" s="103">
        <f t="shared" si="6"/>
        <v>0</v>
      </c>
      <c r="G30" s="103">
        <f t="shared" si="7"/>
        <v>0</v>
      </c>
      <c r="I30" s="393" t="e">
        <f t="shared" ca="1" si="8"/>
        <v>#REF!</v>
      </c>
      <c r="J30" s="394" t="e">
        <f t="shared" ca="1" si="9"/>
        <v>#REF!</v>
      </c>
      <c r="K30" s="394" t="e">
        <f t="shared" ca="1" si="10"/>
        <v>#REF!</v>
      </c>
      <c r="L30" s="394" t="e">
        <f t="shared" ca="1" si="11"/>
        <v>#REF!</v>
      </c>
      <c r="M30" s="394" t="e">
        <f t="shared" ca="1" si="12"/>
        <v>#REF!</v>
      </c>
      <c r="N30" s="394" t="e">
        <f t="shared" ca="1" si="13"/>
        <v>#REF!</v>
      </c>
      <c r="O30" s="394" t="e">
        <f t="shared" ca="1" si="25"/>
        <v>#REF!</v>
      </c>
      <c r="P30" s="432" t="e">
        <f t="shared" ca="1" si="14"/>
        <v>#REF!</v>
      </c>
      <c r="Q30" s="394" t="e">
        <f t="shared" ca="1" si="15"/>
        <v>#REF!</v>
      </c>
      <c r="R30" s="432">
        <f t="shared" ca="1" si="16"/>
        <v>0</v>
      </c>
      <c r="S30" s="394" t="e">
        <f t="shared" ca="1" si="17"/>
        <v>#REF!</v>
      </c>
      <c r="T30" s="432" t="e">
        <f t="shared" ca="1" si="18"/>
        <v>#REF!</v>
      </c>
      <c r="U30" s="433" t="e">
        <f t="shared" ca="1" si="19"/>
        <v>#REF!</v>
      </c>
      <c r="V30" s="394" t="e">
        <f t="shared" ca="1" si="23"/>
        <v>#REF!</v>
      </c>
      <c r="W30" s="394" t="e">
        <f t="shared" ca="1" si="24"/>
        <v>#REF!</v>
      </c>
      <c r="X30" s="394" t="e">
        <f t="shared" ca="1" si="20"/>
        <v>#REF!</v>
      </c>
      <c r="Y30" s="394">
        <f t="shared" si="21"/>
        <v>0</v>
      </c>
      <c r="Z30" s="671" t="str">
        <f ca="1">IF(ISERROR($X30),"X",IF(-$I30&gt;(SP_DebtLimit/$E30),"I",IF(INDEX(SC_EX_APW,EXIDX1)&lt;1,"D","A")))</f>
        <v>X</v>
      </c>
    </row>
    <row r="31" spans="2:26" x14ac:dyDescent="0.25">
      <c r="B31">
        <f t="shared" ca="1" si="2"/>
        <v>2032</v>
      </c>
      <c r="C31" s="65" t="str">
        <f t="shared" si="3"/>
        <v>N</v>
      </c>
      <c r="D31" s="105">
        <f t="shared" si="4"/>
        <v>1</v>
      </c>
      <c r="E31" s="105">
        <f t="shared" ca="1" si="5"/>
        <v>0.72627215988542349</v>
      </c>
      <c r="F31" s="77">
        <f t="shared" si="6"/>
        <v>0</v>
      </c>
      <c r="G31" s="77">
        <f t="shared" si="7"/>
        <v>0</v>
      </c>
      <c r="I31" s="430" t="e">
        <f t="shared" ca="1" si="8"/>
        <v>#REF!</v>
      </c>
      <c r="J31" s="284" t="e">
        <f t="shared" ca="1" si="9"/>
        <v>#REF!</v>
      </c>
      <c r="K31" s="284" t="e">
        <f t="shared" ca="1" si="10"/>
        <v>#REF!</v>
      </c>
      <c r="L31" s="284" t="e">
        <f t="shared" ca="1" si="11"/>
        <v>#REF!</v>
      </c>
      <c r="M31" s="284" t="e">
        <f t="shared" ca="1" si="12"/>
        <v>#REF!</v>
      </c>
      <c r="N31" s="284" t="e">
        <f t="shared" ca="1" si="13"/>
        <v>#REF!</v>
      </c>
      <c r="O31" s="284" t="e">
        <f t="shared" ca="1" si="25"/>
        <v>#REF!</v>
      </c>
      <c r="P31" s="307" t="e">
        <f t="shared" ca="1" si="14"/>
        <v>#REF!</v>
      </c>
      <c r="Q31" s="284" t="e">
        <f t="shared" ca="1" si="15"/>
        <v>#REF!</v>
      </c>
      <c r="R31" s="307">
        <f t="shared" ca="1" si="16"/>
        <v>0</v>
      </c>
      <c r="S31" s="284" t="e">
        <f t="shared" ca="1" si="17"/>
        <v>#REF!</v>
      </c>
      <c r="T31" s="307" t="e">
        <f t="shared" ca="1" si="18"/>
        <v>#REF!</v>
      </c>
      <c r="U31" s="434" t="e">
        <f t="shared" ca="1" si="19"/>
        <v>#REF!</v>
      </c>
      <c r="V31" s="284" t="e">
        <f t="shared" ca="1" si="23"/>
        <v>#REF!</v>
      </c>
      <c r="W31" s="284" t="e">
        <f t="shared" ca="1" si="24"/>
        <v>#REF!</v>
      </c>
      <c r="X31" s="284" t="e">
        <f t="shared" ca="1" si="20"/>
        <v>#REF!</v>
      </c>
      <c r="Y31" s="284">
        <f t="shared" si="21"/>
        <v>0</v>
      </c>
      <c r="Z31" s="671"/>
    </row>
    <row r="32" spans="2:26" x14ac:dyDescent="0.25">
      <c r="B32" s="185">
        <f t="shared" ca="1" si="2"/>
        <v>2033</v>
      </c>
      <c r="C32" s="102" t="str">
        <f t="shared" si="3"/>
        <v>R</v>
      </c>
      <c r="D32" s="104">
        <f t="shared" ca="1" si="4"/>
        <v>0.70341129286723825</v>
      </c>
      <c r="E32" s="104">
        <f t="shared" si="5"/>
        <v>1</v>
      </c>
      <c r="F32" s="103">
        <f t="shared" si="6"/>
        <v>0</v>
      </c>
      <c r="G32" s="103">
        <f t="shared" si="7"/>
        <v>0</v>
      </c>
      <c r="I32" s="393" t="e">
        <f t="shared" ca="1" si="8"/>
        <v>#REF!</v>
      </c>
      <c r="J32" s="394" t="e">
        <f t="shared" ca="1" si="9"/>
        <v>#REF!</v>
      </c>
      <c r="K32" s="394" t="e">
        <f t="shared" ca="1" si="10"/>
        <v>#REF!</v>
      </c>
      <c r="L32" s="394" t="e">
        <f t="shared" ca="1" si="11"/>
        <v>#REF!</v>
      </c>
      <c r="M32" s="394" t="e">
        <f t="shared" ca="1" si="12"/>
        <v>#REF!</v>
      </c>
      <c r="N32" s="394" t="e">
        <f t="shared" ca="1" si="13"/>
        <v>#REF!</v>
      </c>
      <c r="O32" s="394" t="e">
        <f t="shared" ca="1" si="25"/>
        <v>#REF!</v>
      </c>
      <c r="P32" s="432" t="e">
        <f t="shared" ca="1" si="14"/>
        <v>#REF!</v>
      </c>
      <c r="Q32" s="394" t="e">
        <f t="shared" ca="1" si="15"/>
        <v>#REF!</v>
      </c>
      <c r="R32" s="432">
        <f t="shared" ca="1" si="16"/>
        <v>0</v>
      </c>
      <c r="S32" s="394" t="e">
        <f t="shared" ca="1" si="17"/>
        <v>#REF!</v>
      </c>
      <c r="T32" s="432" t="e">
        <f t="shared" ca="1" si="18"/>
        <v>#REF!</v>
      </c>
      <c r="U32" s="433" t="e">
        <f t="shared" ca="1" si="19"/>
        <v>#REF!</v>
      </c>
      <c r="V32" s="394" t="e">
        <f t="shared" ca="1" si="23"/>
        <v>#REF!</v>
      </c>
      <c r="W32" s="394" t="e">
        <f t="shared" ca="1" si="24"/>
        <v>#REF!</v>
      </c>
      <c r="X32" s="394" t="e">
        <f t="shared" ca="1" si="20"/>
        <v>#REF!</v>
      </c>
      <c r="Y32" s="394">
        <f t="shared" si="21"/>
        <v>0</v>
      </c>
      <c r="Z32" s="671" t="str">
        <f ca="1">IF(ISERROR($X32),"X",IF(-$I32&gt;(SP_DebtLimit/$E32),"I",IF(INDEX(SC_EX_APW,EXIDX1)&lt;1,"D","A")))</f>
        <v>X</v>
      </c>
    </row>
    <row r="33" spans="2:26" x14ac:dyDescent="0.25">
      <c r="B33">
        <f t="shared" ca="1" si="2"/>
        <v>2033</v>
      </c>
      <c r="C33" s="65" t="str">
        <f t="shared" si="3"/>
        <v>N</v>
      </c>
      <c r="D33" s="105">
        <f t="shared" si="4"/>
        <v>1</v>
      </c>
      <c r="E33" s="105">
        <f t="shared" ca="1" si="5"/>
        <v>0.70341129286723825</v>
      </c>
      <c r="F33" s="77">
        <f t="shared" si="6"/>
        <v>0</v>
      </c>
      <c r="G33" s="77">
        <f t="shared" si="7"/>
        <v>0</v>
      </c>
      <c r="I33" s="430" t="e">
        <f t="shared" ca="1" si="8"/>
        <v>#REF!</v>
      </c>
      <c r="J33" s="284" t="e">
        <f t="shared" ca="1" si="9"/>
        <v>#REF!</v>
      </c>
      <c r="K33" s="284" t="e">
        <f t="shared" ca="1" si="10"/>
        <v>#REF!</v>
      </c>
      <c r="L33" s="284" t="e">
        <f t="shared" ca="1" si="11"/>
        <v>#REF!</v>
      </c>
      <c r="M33" s="284" t="e">
        <f t="shared" ca="1" si="12"/>
        <v>#REF!</v>
      </c>
      <c r="N33" s="284" t="e">
        <f t="shared" ca="1" si="13"/>
        <v>#REF!</v>
      </c>
      <c r="O33" s="284" t="e">
        <f t="shared" ca="1" si="25"/>
        <v>#REF!</v>
      </c>
      <c r="P33" s="307" t="e">
        <f t="shared" ca="1" si="14"/>
        <v>#REF!</v>
      </c>
      <c r="Q33" s="284" t="e">
        <f t="shared" ca="1" si="15"/>
        <v>#REF!</v>
      </c>
      <c r="R33" s="307">
        <f t="shared" ca="1" si="16"/>
        <v>0</v>
      </c>
      <c r="S33" s="284" t="e">
        <f t="shared" ca="1" si="17"/>
        <v>#REF!</v>
      </c>
      <c r="T33" s="307" t="e">
        <f t="shared" ca="1" si="18"/>
        <v>#REF!</v>
      </c>
      <c r="U33" s="434" t="e">
        <f t="shared" ca="1" si="19"/>
        <v>#REF!</v>
      </c>
      <c r="V33" s="284" t="e">
        <f t="shared" ca="1" si="23"/>
        <v>#REF!</v>
      </c>
      <c r="W33" s="284" t="e">
        <f t="shared" ca="1" si="24"/>
        <v>#REF!</v>
      </c>
      <c r="X33" s="284" t="e">
        <f t="shared" ca="1" si="20"/>
        <v>#REF!</v>
      </c>
      <c r="Y33" s="284">
        <f t="shared" si="21"/>
        <v>0</v>
      </c>
      <c r="Z33" s="671"/>
    </row>
    <row r="34" spans="2:26" x14ac:dyDescent="0.25">
      <c r="B34" s="185">
        <f t="shared" ca="1" si="2"/>
        <v>2034</v>
      </c>
      <c r="C34" s="102" t="str">
        <f t="shared" si="3"/>
        <v>R</v>
      </c>
      <c r="D34" s="104">
        <f t="shared" ca="1" si="4"/>
        <v>0.68127001730483117</v>
      </c>
      <c r="E34" s="104">
        <f t="shared" si="5"/>
        <v>1</v>
      </c>
      <c r="F34" s="103">
        <f t="shared" si="6"/>
        <v>0</v>
      </c>
      <c r="G34" s="103">
        <f t="shared" si="7"/>
        <v>0</v>
      </c>
      <c r="I34" s="393" t="e">
        <f t="shared" ca="1" si="8"/>
        <v>#REF!</v>
      </c>
      <c r="J34" s="394" t="e">
        <f t="shared" ca="1" si="9"/>
        <v>#REF!</v>
      </c>
      <c r="K34" s="394" t="e">
        <f t="shared" ca="1" si="10"/>
        <v>#REF!</v>
      </c>
      <c r="L34" s="394" t="e">
        <f t="shared" ca="1" si="11"/>
        <v>#REF!</v>
      </c>
      <c r="M34" s="394" t="e">
        <f t="shared" ca="1" si="12"/>
        <v>#REF!</v>
      </c>
      <c r="N34" s="394" t="e">
        <f t="shared" ca="1" si="13"/>
        <v>#REF!</v>
      </c>
      <c r="O34" s="394" t="e">
        <f t="shared" ca="1" si="25"/>
        <v>#REF!</v>
      </c>
      <c r="P34" s="432" t="e">
        <f t="shared" ca="1" si="14"/>
        <v>#REF!</v>
      </c>
      <c r="Q34" s="394" t="e">
        <f t="shared" ca="1" si="15"/>
        <v>#REF!</v>
      </c>
      <c r="R34" s="432">
        <f t="shared" ca="1" si="16"/>
        <v>0</v>
      </c>
      <c r="S34" s="394" t="e">
        <f t="shared" ca="1" si="17"/>
        <v>#REF!</v>
      </c>
      <c r="T34" s="432" t="e">
        <f t="shared" ca="1" si="18"/>
        <v>#REF!</v>
      </c>
      <c r="U34" s="433" t="e">
        <f t="shared" ca="1" si="19"/>
        <v>#REF!</v>
      </c>
      <c r="V34" s="394" t="e">
        <f t="shared" ca="1" si="23"/>
        <v>#REF!</v>
      </c>
      <c r="W34" s="394" t="e">
        <f t="shared" ca="1" si="24"/>
        <v>#REF!</v>
      </c>
      <c r="X34" s="394" t="e">
        <f t="shared" ca="1" si="20"/>
        <v>#REF!</v>
      </c>
      <c r="Y34" s="394">
        <f t="shared" si="21"/>
        <v>0</v>
      </c>
      <c r="Z34" s="671" t="str">
        <f ca="1">IF(ISERROR($X34),"X",IF(-$I34&gt;(SP_DebtLimit/$E34),"I",IF(INDEX(SC_EX_APW,EXIDX1)&lt;1,"D","A")))</f>
        <v>X</v>
      </c>
    </row>
    <row r="35" spans="2:26" x14ac:dyDescent="0.25">
      <c r="B35">
        <f t="shared" ca="1" si="2"/>
        <v>2034</v>
      </c>
      <c r="C35" s="65" t="str">
        <f t="shared" si="3"/>
        <v>N</v>
      </c>
      <c r="D35" s="105">
        <f t="shared" si="4"/>
        <v>1</v>
      </c>
      <c r="E35" s="105">
        <f t="shared" ca="1" si="5"/>
        <v>0.68127001730483117</v>
      </c>
      <c r="F35" s="77">
        <f t="shared" si="6"/>
        <v>0</v>
      </c>
      <c r="G35" s="77">
        <f t="shared" si="7"/>
        <v>0</v>
      </c>
      <c r="I35" s="430" t="e">
        <f t="shared" ca="1" si="8"/>
        <v>#REF!</v>
      </c>
      <c r="J35" s="284" t="e">
        <f t="shared" ca="1" si="9"/>
        <v>#REF!</v>
      </c>
      <c r="K35" s="284" t="e">
        <f t="shared" ca="1" si="10"/>
        <v>#REF!</v>
      </c>
      <c r="L35" s="284" t="e">
        <f t="shared" ca="1" si="11"/>
        <v>#REF!</v>
      </c>
      <c r="M35" s="284" t="e">
        <f t="shared" ca="1" si="12"/>
        <v>#REF!</v>
      </c>
      <c r="N35" s="284" t="e">
        <f t="shared" ca="1" si="13"/>
        <v>#REF!</v>
      </c>
      <c r="O35" s="284" t="e">
        <f t="shared" ca="1" si="25"/>
        <v>#REF!</v>
      </c>
      <c r="P35" s="307" t="e">
        <f t="shared" ca="1" si="14"/>
        <v>#REF!</v>
      </c>
      <c r="Q35" s="284" t="e">
        <f t="shared" ca="1" si="15"/>
        <v>#REF!</v>
      </c>
      <c r="R35" s="307">
        <f t="shared" ca="1" si="16"/>
        <v>0</v>
      </c>
      <c r="S35" s="284" t="e">
        <f t="shared" ca="1" si="17"/>
        <v>#REF!</v>
      </c>
      <c r="T35" s="307" t="e">
        <f t="shared" ca="1" si="18"/>
        <v>#REF!</v>
      </c>
      <c r="U35" s="434" t="e">
        <f t="shared" ca="1" si="19"/>
        <v>#REF!</v>
      </c>
      <c r="V35" s="284" t="e">
        <f t="shared" ca="1" si="23"/>
        <v>#REF!</v>
      </c>
      <c r="W35" s="284" t="e">
        <f t="shared" ca="1" si="24"/>
        <v>#REF!</v>
      </c>
      <c r="X35" s="284" t="e">
        <f t="shared" ca="1" si="20"/>
        <v>#REF!</v>
      </c>
      <c r="Y35" s="284">
        <f t="shared" si="21"/>
        <v>0</v>
      </c>
      <c r="Z35" s="671"/>
    </row>
    <row r="36" spans="2:26" x14ac:dyDescent="0.25">
      <c r="B36" s="185">
        <f t="shared" ca="1" si="2"/>
        <v>2035</v>
      </c>
      <c r="C36" s="102" t="str">
        <f t="shared" si="3"/>
        <v>R</v>
      </c>
      <c r="D36" s="104">
        <f t="shared" ca="1" si="4"/>
        <v>0.6598256826196911</v>
      </c>
      <c r="E36" s="104">
        <f t="shared" si="5"/>
        <v>1</v>
      </c>
      <c r="F36" s="103">
        <f t="shared" si="6"/>
        <v>0</v>
      </c>
      <c r="G36" s="103">
        <f t="shared" si="7"/>
        <v>0</v>
      </c>
      <c r="I36" s="393" t="e">
        <f t="shared" ca="1" si="8"/>
        <v>#REF!</v>
      </c>
      <c r="J36" s="394" t="e">
        <f t="shared" ca="1" si="9"/>
        <v>#REF!</v>
      </c>
      <c r="K36" s="394" t="e">
        <f t="shared" ca="1" si="10"/>
        <v>#REF!</v>
      </c>
      <c r="L36" s="394" t="e">
        <f t="shared" ca="1" si="11"/>
        <v>#REF!</v>
      </c>
      <c r="M36" s="394" t="e">
        <f t="shared" ca="1" si="12"/>
        <v>#REF!</v>
      </c>
      <c r="N36" s="394" t="e">
        <f t="shared" ca="1" si="13"/>
        <v>#REF!</v>
      </c>
      <c r="O36" s="394" t="e">
        <f t="shared" ca="1" si="25"/>
        <v>#REF!</v>
      </c>
      <c r="P36" s="432" t="e">
        <f t="shared" ca="1" si="14"/>
        <v>#REF!</v>
      </c>
      <c r="Q36" s="394" t="e">
        <f t="shared" ca="1" si="15"/>
        <v>#REF!</v>
      </c>
      <c r="R36" s="432">
        <f t="shared" ca="1" si="16"/>
        <v>0</v>
      </c>
      <c r="S36" s="394" t="e">
        <f t="shared" ca="1" si="17"/>
        <v>#REF!</v>
      </c>
      <c r="T36" s="432" t="e">
        <f t="shared" ca="1" si="18"/>
        <v>#REF!</v>
      </c>
      <c r="U36" s="433" t="e">
        <f t="shared" ca="1" si="19"/>
        <v>#REF!</v>
      </c>
      <c r="V36" s="394" t="e">
        <f t="shared" ca="1" si="23"/>
        <v>#REF!</v>
      </c>
      <c r="W36" s="394" t="e">
        <f t="shared" ca="1" si="24"/>
        <v>#REF!</v>
      </c>
      <c r="X36" s="394" t="e">
        <f t="shared" ca="1" si="20"/>
        <v>#REF!</v>
      </c>
      <c r="Y36" s="394">
        <f t="shared" si="21"/>
        <v>0</v>
      </c>
      <c r="Z36" s="671" t="str">
        <f ca="1">IF(ISERROR($X36),"X",IF(-$I36&gt;(SP_DebtLimit/$E36),"I",IF(INDEX(SC_EX_APW,EXIDX1)&lt;1,"D","A")))</f>
        <v>X</v>
      </c>
    </row>
    <row r="37" spans="2:26" x14ac:dyDescent="0.25">
      <c r="B37">
        <f t="shared" ca="1" si="2"/>
        <v>2035</v>
      </c>
      <c r="C37" s="65" t="str">
        <f t="shared" si="3"/>
        <v>N</v>
      </c>
      <c r="D37" s="105">
        <f t="shared" si="4"/>
        <v>1</v>
      </c>
      <c r="E37" s="105">
        <f t="shared" ca="1" si="5"/>
        <v>0.6598256826196911</v>
      </c>
      <c r="F37" s="77">
        <f t="shared" si="6"/>
        <v>0</v>
      </c>
      <c r="G37" s="77">
        <f t="shared" si="7"/>
        <v>0</v>
      </c>
      <c r="I37" s="430" t="e">
        <f t="shared" ca="1" si="8"/>
        <v>#REF!</v>
      </c>
      <c r="J37" s="284" t="e">
        <f t="shared" ca="1" si="9"/>
        <v>#REF!</v>
      </c>
      <c r="K37" s="284" t="e">
        <f t="shared" ca="1" si="10"/>
        <v>#REF!</v>
      </c>
      <c r="L37" s="284" t="e">
        <f t="shared" ca="1" si="11"/>
        <v>#REF!</v>
      </c>
      <c r="M37" s="284" t="e">
        <f t="shared" ca="1" si="12"/>
        <v>#REF!</v>
      </c>
      <c r="N37" s="284" t="e">
        <f t="shared" ca="1" si="13"/>
        <v>#REF!</v>
      </c>
      <c r="O37" s="284" t="e">
        <f t="shared" ca="1" si="25"/>
        <v>#REF!</v>
      </c>
      <c r="P37" s="307" t="e">
        <f t="shared" ca="1" si="14"/>
        <v>#REF!</v>
      </c>
      <c r="Q37" s="284" t="e">
        <f t="shared" ca="1" si="15"/>
        <v>#REF!</v>
      </c>
      <c r="R37" s="307">
        <f t="shared" ca="1" si="16"/>
        <v>0</v>
      </c>
      <c r="S37" s="284" t="e">
        <f t="shared" ca="1" si="17"/>
        <v>#REF!</v>
      </c>
      <c r="T37" s="307" t="e">
        <f t="shared" ca="1" si="18"/>
        <v>#REF!</v>
      </c>
      <c r="U37" s="434" t="e">
        <f t="shared" ca="1" si="19"/>
        <v>#REF!</v>
      </c>
      <c r="V37" s="284" t="e">
        <f t="shared" ca="1" si="23"/>
        <v>#REF!</v>
      </c>
      <c r="W37" s="284" t="e">
        <f t="shared" ca="1" si="24"/>
        <v>#REF!</v>
      </c>
      <c r="X37" s="284" t="e">
        <f t="shared" ca="1" si="20"/>
        <v>#REF!</v>
      </c>
      <c r="Y37" s="284">
        <f t="shared" si="21"/>
        <v>0</v>
      </c>
      <c r="Z37" s="671"/>
    </row>
    <row r="38" spans="2:26" x14ac:dyDescent="0.25">
      <c r="B38" s="185">
        <f t="shared" ca="1" si="2"/>
        <v>2036</v>
      </c>
      <c r="C38" s="102" t="str">
        <f t="shared" si="3"/>
        <v>R</v>
      </c>
      <c r="D38" s="104">
        <f t="shared" ca="1" si="4"/>
        <v>0.63905635120551196</v>
      </c>
      <c r="E38" s="104">
        <f t="shared" si="5"/>
        <v>1</v>
      </c>
      <c r="F38" s="103">
        <f t="shared" si="6"/>
        <v>0</v>
      </c>
      <c r="G38" s="103">
        <f t="shared" si="7"/>
        <v>0</v>
      </c>
      <c r="I38" s="393" t="e">
        <f t="shared" ca="1" si="8"/>
        <v>#REF!</v>
      </c>
      <c r="J38" s="394" t="e">
        <f t="shared" ca="1" si="9"/>
        <v>#REF!</v>
      </c>
      <c r="K38" s="394" t="e">
        <f t="shared" ca="1" si="10"/>
        <v>#REF!</v>
      </c>
      <c r="L38" s="394" t="e">
        <f t="shared" ca="1" si="11"/>
        <v>#REF!</v>
      </c>
      <c r="M38" s="394" t="e">
        <f t="shared" ca="1" si="12"/>
        <v>#REF!</v>
      </c>
      <c r="N38" s="394" t="e">
        <f t="shared" ca="1" si="13"/>
        <v>#REF!</v>
      </c>
      <c r="O38" s="394" t="e">
        <f t="shared" ca="1" si="25"/>
        <v>#REF!</v>
      </c>
      <c r="P38" s="432" t="e">
        <f t="shared" ca="1" si="14"/>
        <v>#REF!</v>
      </c>
      <c r="Q38" s="394" t="e">
        <f t="shared" ca="1" si="15"/>
        <v>#REF!</v>
      </c>
      <c r="R38" s="432">
        <f t="shared" ca="1" si="16"/>
        <v>0</v>
      </c>
      <c r="S38" s="394" t="e">
        <f t="shared" ca="1" si="17"/>
        <v>#REF!</v>
      </c>
      <c r="T38" s="432" t="e">
        <f t="shared" ca="1" si="18"/>
        <v>#REF!</v>
      </c>
      <c r="U38" s="433" t="e">
        <f t="shared" ca="1" si="19"/>
        <v>#REF!</v>
      </c>
      <c r="V38" s="394" t="e">
        <f t="shared" ca="1" si="23"/>
        <v>#REF!</v>
      </c>
      <c r="W38" s="394" t="e">
        <f t="shared" ca="1" si="24"/>
        <v>#REF!</v>
      </c>
      <c r="X38" s="394" t="e">
        <f t="shared" ca="1" si="20"/>
        <v>#REF!</v>
      </c>
      <c r="Y38" s="394">
        <f t="shared" si="21"/>
        <v>0</v>
      </c>
      <c r="Z38" s="671" t="str">
        <f ca="1">IF(ISERROR($X38),"X",IF(-$I38&gt;(SP_DebtLimit/$E38),"I",IF(INDEX(SC_EX_APW,EXIDX1)&lt;1,"D","A")))</f>
        <v>X</v>
      </c>
    </row>
    <row r="39" spans="2:26" x14ac:dyDescent="0.25">
      <c r="B39">
        <f t="shared" ca="1" si="2"/>
        <v>2036</v>
      </c>
      <c r="C39" s="65" t="str">
        <f t="shared" si="3"/>
        <v>N</v>
      </c>
      <c r="D39" s="105">
        <f t="shared" si="4"/>
        <v>1</v>
      </c>
      <c r="E39" s="105">
        <f t="shared" ca="1" si="5"/>
        <v>0.63905635120551196</v>
      </c>
      <c r="F39" s="77">
        <f t="shared" si="6"/>
        <v>0</v>
      </c>
      <c r="G39" s="77">
        <f t="shared" si="7"/>
        <v>0</v>
      </c>
      <c r="I39" s="430" t="e">
        <f t="shared" ca="1" si="8"/>
        <v>#REF!</v>
      </c>
      <c r="J39" s="284" t="e">
        <f t="shared" ca="1" si="9"/>
        <v>#REF!</v>
      </c>
      <c r="K39" s="284" t="e">
        <f t="shared" ca="1" si="10"/>
        <v>#REF!</v>
      </c>
      <c r="L39" s="284" t="e">
        <f t="shared" ca="1" si="11"/>
        <v>#REF!</v>
      </c>
      <c r="M39" s="284" t="e">
        <f t="shared" ca="1" si="12"/>
        <v>#REF!</v>
      </c>
      <c r="N39" s="284" t="e">
        <f t="shared" ca="1" si="13"/>
        <v>#REF!</v>
      </c>
      <c r="O39" s="284" t="e">
        <f t="shared" ca="1" si="25"/>
        <v>#REF!</v>
      </c>
      <c r="P39" s="307" t="e">
        <f t="shared" ca="1" si="14"/>
        <v>#REF!</v>
      </c>
      <c r="Q39" s="284" t="e">
        <f t="shared" ca="1" si="15"/>
        <v>#REF!</v>
      </c>
      <c r="R39" s="307">
        <f t="shared" ca="1" si="16"/>
        <v>0</v>
      </c>
      <c r="S39" s="284" t="e">
        <f t="shared" ca="1" si="17"/>
        <v>#REF!</v>
      </c>
      <c r="T39" s="307" t="e">
        <f t="shared" ca="1" si="18"/>
        <v>#REF!</v>
      </c>
      <c r="U39" s="434" t="e">
        <f t="shared" ca="1" si="19"/>
        <v>#REF!</v>
      </c>
      <c r="V39" s="284" t="e">
        <f t="shared" ca="1" si="23"/>
        <v>#REF!</v>
      </c>
      <c r="W39" s="284" t="e">
        <f t="shared" ca="1" si="24"/>
        <v>#REF!</v>
      </c>
      <c r="X39" s="284" t="e">
        <f t="shared" ca="1" si="20"/>
        <v>#REF!</v>
      </c>
      <c r="Y39" s="284">
        <f t="shared" si="21"/>
        <v>0</v>
      </c>
      <c r="Z39" s="671"/>
    </row>
    <row r="40" spans="2:26" x14ac:dyDescent="0.25">
      <c r="B40" s="185">
        <f t="shared" ca="1" si="2"/>
        <v>2037</v>
      </c>
      <c r="C40" s="102" t="str">
        <f t="shared" si="3"/>
        <v>R</v>
      </c>
      <c r="D40" s="104">
        <f t="shared" ca="1" si="4"/>
        <v>0.61894077598596808</v>
      </c>
      <c r="E40" s="104">
        <f t="shared" si="5"/>
        <v>1</v>
      </c>
      <c r="F40" s="103">
        <f t="shared" si="6"/>
        <v>0</v>
      </c>
      <c r="G40" s="103">
        <f t="shared" si="7"/>
        <v>0</v>
      </c>
      <c r="I40" s="393" t="e">
        <f t="shared" ca="1" si="8"/>
        <v>#REF!</v>
      </c>
      <c r="J40" s="394" t="e">
        <f t="shared" ca="1" si="9"/>
        <v>#REF!</v>
      </c>
      <c r="K40" s="394" t="e">
        <f t="shared" ca="1" si="10"/>
        <v>#REF!</v>
      </c>
      <c r="L40" s="394" t="e">
        <f t="shared" ca="1" si="11"/>
        <v>#REF!</v>
      </c>
      <c r="M40" s="394" t="e">
        <f t="shared" ca="1" si="12"/>
        <v>#REF!</v>
      </c>
      <c r="N40" s="394" t="e">
        <f t="shared" ca="1" si="13"/>
        <v>#REF!</v>
      </c>
      <c r="O40" s="394" t="e">
        <f t="shared" ca="1" si="25"/>
        <v>#REF!</v>
      </c>
      <c r="P40" s="432" t="e">
        <f t="shared" ca="1" si="14"/>
        <v>#REF!</v>
      </c>
      <c r="Q40" s="394" t="e">
        <f t="shared" ca="1" si="15"/>
        <v>#REF!</v>
      </c>
      <c r="R40" s="432">
        <f t="shared" ca="1" si="16"/>
        <v>0</v>
      </c>
      <c r="S40" s="394" t="e">
        <f t="shared" ca="1" si="17"/>
        <v>#REF!</v>
      </c>
      <c r="T40" s="432" t="e">
        <f t="shared" ca="1" si="18"/>
        <v>#REF!</v>
      </c>
      <c r="U40" s="433" t="e">
        <f t="shared" ca="1" si="19"/>
        <v>#REF!</v>
      </c>
      <c r="V40" s="394" t="e">
        <f t="shared" ca="1" si="23"/>
        <v>#REF!</v>
      </c>
      <c r="W40" s="394" t="e">
        <f t="shared" ca="1" si="24"/>
        <v>#REF!</v>
      </c>
      <c r="X40" s="394" t="e">
        <f t="shared" ca="1" si="20"/>
        <v>#REF!</v>
      </c>
      <c r="Y40" s="394">
        <f t="shared" si="21"/>
        <v>0</v>
      </c>
      <c r="Z40" s="671" t="str">
        <f ca="1">IF(ISERROR($X40),"X",IF(-$I40&gt;(SP_DebtLimit/$E40),"I",IF(INDEX(SC_EX_APW,EXIDX1)&lt;1,"D","A")))</f>
        <v>X</v>
      </c>
    </row>
    <row r="41" spans="2:26" x14ac:dyDescent="0.25">
      <c r="B41">
        <f t="shared" ca="1" si="2"/>
        <v>2037</v>
      </c>
      <c r="C41" s="65" t="str">
        <f t="shared" si="3"/>
        <v>N</v>
      </c>
      <c r="D41" s="105">
        <f t="shared" si="4"/>
        <v>1</v>
      </c>
      <c r="E41" s="105">
        <f t="shared" ca="1" si="5"/>
        <v>0.61894077598596808</v>
      </c>
      <c r="F41" s="77">
        <f t="shared" si="6"/>
        <v>0</v>
      </c>
      <c r="G41" s="77">
        <f t="shared" si="7"/>
        <v>0</v>
      </c>
      <c r="I41" s="430" t="e">
        <f t="shared" ca="1" si="8"/>
        <v>#REF!</v>
      </c>
      <c r="J41" s="284" t="e">
        <f t="shared" ca="1" si="9"/>
        <v>#REF!</v>
      </c>
      <c r="K41" s="284" t="e">
        <f t="shared" ca="1" si="10"/>
        <v>#REF!</v>
      </c>
      <c r="L41" s="284" t="e">
        <f t="shared" ca="1" si="11"/>
        <v>#REF!</v>
      </c>
      <c r="M41" s="284" t="e">
        <f t="shared" ca="1" si="12"/>
        <v>#REF!</v>
      </c>
      <c r="N41" s="284" t="e">
        <f t="shared" ca="1" si="13"/>
        <v>#REF!</v>
      </c>
      <c r="O41" s="284" t="e">
        <f t="shared" ca="1" si="25"/>
        <v>#REF!</v>
      </c>
      <c r="P41" s="307" t="e">
        <f t="shared" ca="1" si="14"/>
        <v>#REF!</v>
      </c>
      <c r="Q41" s="284" t="e">
        <f t="shared" ca="1" si="15"/>
        <v>#REF!</v>
      </c>
      <c r="R41" s="307">
        <f t="shared" ca="1" si="16"/>
        <v>0</v>
      </c>
      <c r="S41" s="284" t="e">
        <f t="shared" ca="1" si="17"/>
        <v>#REF!</v>
      </c>
      <c r="T41" s="307" t="e">
        <f t="shared" ca="1" si="18"/>
        <v>#REF!</v>
      </c>
      <c r="U41" s="434" t="e">
        <f t="shared" ca="1" si="19"/>
        <v>#REF!</v>
      </c>
      <c r="V41" s="284" t="e">
        <f t="shared" ca="1" si="23"/>
        <v>#REF!</v>
      </c>
      <c r="W41" s="284" t="e">
        <f t="shared" ca="1" si="24"/>
        <v>#REF!</v>
      </c>
      <c r="X41" s="284" t="e">
        <f t="shared" ca="1" si="20"/>
        <v>#REF!</v>
      </c>
      <c r="Y41" s="284">
        <f t="shared" si="21"/>
        <v>0</v>
      </c>
      <c r="Z41" s="671"/>
    </row>
    <row r="42" spans="2:26" x14ac:dyDescent="0.25">
      <c r="B42" s="185">
        <f t="shared" ref="B42:B73" ca="1" si="26">B40+1</f>
        <v>2038</v>
      </c>
      <c r="C42" s="102" t="str">
        <f t="shared" si="3"/>
        <v>R</v>
      </c>
      <c r="D42" s="104">
        <f t="shared" ca="1" si="4"/>
        <v>0.59945837867890361</v>
      </c>
      <c r="E42" s="104">
        <f t="shared" ref="E42:E73" si="27">CHOOSE(MOD(ROW(),2)+1,1,INDEX(SC_EA_InflationCPIdx,EAIDX))</f>
        <v>1</v>
      </c>
      <c r="F42" s="103">
        <f t="shared" ref="F42:F73" si="28">IF(INDEX(SC_ShowRetireatee,1),IF($B42&lt;YEAR(INDEX(SP_BirthDate,1)),0,$B42-YEAR(INDEX(SP_BirthDate,1))),0)</f>
        <v>0</v>
      </c>
      <c r="G42" s="103">
        <f t="shared" ref="G42:G73" si="29">IF(INDEX(SC_ShowRetireatee,2),IF($B42&lt;YEAR(INDEX(SP_BirthDate,2)),0,$B42-YEAR(INDEX(SP_BirthDate,2))),0)</f>
        <v>0</v>
      </c>
      <c r="I42" s="393" t="e">
        <f t="shared" ref="I42:I73" ca="1" si="30">MIN(($I40+$X40)/$D40*$D42,0)</f>
        <v>#REF!</v>
      </c>
      <c r="J42" s="394" t="e">
        <f t="shared" ref="J42:J73" ca="1" si="31">INDEX(SC_EX_IncomeActiveA,EXIDX1)*$D42</f>
        <v>#REF!</v>
      </c>
      <c r="K42" s="394" t="e">
        <f t="shared" ref="K42:K73" ca="1" si="32">INDEX(SC_EX_IncomePassiveA,EXIDX1)*$D42</f>
        <v>#REF!</v>
      </c>
      <c r="L42" s="394" t="e">
        <f t="shared" ref="L42:L73" ca="1" si="33">INDEX(SC_ZA_IncomeAnny,ZAIDX)*$D42</f>
        <v>#REF!</v>
      </c>
      <c r="M42" s="394" t="e">
        <f t="shared" ref="M42:M73" ca="1" si="34">INDEX(SC_ZX_SSRIBA,ZXIDX1)*$D42</f>
        <v>#REF!</v>
      </c>
      <c r="N42" s="394" t="e">
        <f t="shared" ref="N42:N73" ca="1" si="35">INDEX(SC_ZX_IncomeCapitalA,ZXIDX1)*$D42</f>
        <v>#REF!</v>
      </c>
      <c r="O42" s="394" t="e">
        <f t="shared" ca="1" si="25"/>
        <v>#REF!</v>
      </c>
      <c r="P42" s="432" t="e">
        <f t="shared" ref="P42:P73" ca="1" si="36">(INDEX(SC_ZX_IRAContribA,ZXIDX1)+INDEX(SC_ZA_AnnyContrib,ZAIDX))*$D42</f>
        <v>#REF!</v>
      </c>
      <c r="Q42" s="394" t="e">
        <f t="shared" ref="Q42:Q73" ca="1" si="37">((ABS(INDEX(SC_EX_APW,EXIDX1))*INDEX(SC_ExpensesLiving,1)+(1-ABS(INDEX(SC_EX_APW,EXIDX1)))*INDEX(SC_ExpensesLiving,2))*12/INDEX(SC_EA_InflationCPIdx,EAIDX)+INDEX(SC_ZA_ExpensesHome,ZAIDX))*$D42</f>
        <v>#REF!</v>
      </c>
      <c r="R42" s="432">
        <f t="shared" ref="R42:R73" ca="1" si="38">(SUMIF(SP_LumpSumYears,$B42,SP_LumpSumAmounts)/INDEX(SC_EA_InflationCPIdx,EAIDX))*$D42</f>
        <v>0</v>
      </c>
      <c r="S42" s="394" t="e">
        <f t="shared" ref="S42:S73" ca="1" si="39">$I42*SP_DebtRate</f>
        <v>#REF!</v>
      </c>
      <c r="T42" s="432" t="e">
        <f t="shared" ref="T42:T73" ca="1" si="40">INDEX(SC_ZX_TotalTaxesA,ZXIDX1)*$D42</f>
        <v>#REF!</v>
      </c>
      <c r="U42" s="433" t="e">
        <f t="shared" ref="U42:U73" ca="1" si="41">(1-IF($O42&gt;0,-$T42/$O42,0))</f>
        <v>#REF!</v>
      </c>
      <c r="V42" s="394" t="e">
        <f t="shared" ca="1" si="23"/>
        <v>#REF!</v>
      </c>
      <c r="W42" s="394" t="e">
        <f t="shared" ca="1" si="24"/>
        <v>#REF!</v>
      </c>
      <c r="X42" s="394" t="e">
        <f t="shared" ref="X42:X73" ca="1" si="42">SUM(O42:T42)</f>
        <v>#REF!</v>
      </c>
      <c r="Y42" s="394">
        <f t="shared" ref="Y42:Y73" si="43">IF(SC_DataMode=FALSE, 0, IF($B42=SC_YearStop-1,0,($Y44/$D44*$D42)/(1+(INDEX(SC_ZX_ARPortfolio, ZXIDX1)*(1-ABS(INDEX(SC_EX_APW,EXIDX1))))))+$N42)</f>
        <v>0</v>
      </c>
      <c r="Z42" s="671" t="str">
        <f ca="1">IF(ISERROR($X42),"X",IF(-$I42&gt;(SP_DebtLimit/$E42),"I",IF(INDEX(SC_EX_APW,EXIDX1)&lt;1,"D","A")))</f>
        <v>X</v>
      </c>
    </row>
    <row r="43" spans="2:26" x14ac:dyDescent="0.25">
      <c r="B43">
        <f t="shared" ca="1" si="26"/>
        <v>2038</v>
      </c>
      <c r="C43" s="65" t="str">
        <f t="shared" si="3"/>
        <v>N</v>
      </c>
      <c r="D43" s="105">
        <f t="shared" si="4"/>
        <v>1</v>
      </c>
      <c r="E43" s="105">
        <f t="shared" ca="1" si="27"/>
        <v>0.59945837867890361</v>
      </c>
      <c r="F43" s="77">
        <f t="shared" si="28"/>
        <v>0</v>
      </c>
      <c r="G43" s="77">
        <f t="shared" si="29"/>
        <v>0</v>
      </c>
      <c r="I43" s="430" t="e">
        <f t="shared" ca="1" si="30"/>
        <v>#REF!</v>
      </c>
      <c r="J43" s="284" t="e">
        <f t="shared" ca="1" si="31"/>
        <v>#REF!</v>
      </c>
      <c r="K43" s="284" t="e">
        <f t="shared" ca="1" si="32"/>
        <v>#REF!</v>
      </c>
      <c r="L43" s="284" t="e">
        <f t="shared" ca="1" si="33"/>
        <v>#REF!</v>
      </c>
      <c r="M43" s="284" t="e">
        <f t="shared" ca="1" si="34"/>
        <v>#REF!</v>
      </c>
      <c r="N43" s="284" t="e">
        <f t="shared" ca="1" si="35"/>
        <v>#REF!</v>
      </c>
      <c r="O43" s="284" t="e">
        <f t="shared" ca="1" si="25"/>
        <v>#REF!</v>
      </c>
      <c r="P43" s="307" t="e">
        <f t="shared" ca="1" si="36"/>
        <v>#REF!</v>
      </c>
      <c r="Q43" s="284" t="e">
        <f t="shared" ca="1" si="37"/>
        <v>#REF!</v>
      </c>
      <c r="R43" s="307">
        <f t="shared" ca="1" si="38"/>
        <v>0</v>
      </c>
      <c r="S43" s="284" t="e">
        <f t="shared" ca="1" si="39"/>
        <v>#REF!</v>
      </c>
      <c r="T43" s="307" t="e">
        <f t="shared" ca="1" si="40"/>
        <v>#REF!</v>
      </c>
      <c r="U43" s="434" t="e">
        <f t="shared" ca="1" si="41"/>
        <v>#REF!</v>
      </c>
      <c r="V43" s="284" t="e">
        <f t="shared" ca="1" si="23"/>
        <v>#REF!</v>
      </c>
      <c r="W43" s="284" t="e">
        <f t="shared" ca="1" si="24"/>
        <v>#REF!</v>
      </c>
      <c r="X43" s="284" t="e">
        <f t="shared" ca="1" si="42"/>
        <v>#REF!</v>
      </c>
      <c r="Y43" s="284">
        <f t="shared" si="43"/>
        <v>0</v>
      </c>
      <c r="Z43" s="671"/>
    </row>
    <row r="44" spans="2:26" x14ac:dyDescent="0.25">
      <c r="B44" s="185">
        <f t="shared" ca="1" si="26"/>
        <v>2039</v>
      </c>
      <c r="C44" s="102" t="str">
        <f t="shared" si="3"/>
        <v>R</v>
      </c>
      <c r="D44" s="104">
        <f t="shared" ca="1" si="4"/>
        <v>0.58058922874470087</v>
      </c>
      <c r="E44" s="104">
        <f t="shared" si="27"/>
        <v>1</v>
      </c>
      <c r="F44" s="103">
        <f t="shared" si="28"/>
        <v>0</v>
      </c>
      <c r="G44" s="103">
        <f t="shared" si="29"/>
        <v>0</v>
      </c>
      <c r="I44" s="393" t="e">
        <f t="shared" ca="1" si="30"/>
        <v>#REF!</v>
      </c>
      <c r="J44" s="394" t="e">
        <f t="shared" ca="1" si="31"/>
        <v>#REF!</v>
      </c>
      <c r="K44" s="394" t="e">
        <f t="shared" ca="1" si="32"/>
        <v>#REF!</v>
      </c>
      <c r="L44" s="394" t="e">
        <f t="shared" ca="1" si="33"/>
        <v>#REF!</v>
      </c>
      <c r="M44" s="394" t="e">
        <f t="shared" ca="1" si="34"/>
        <v>#REF!</v>
      </c>
      <c r="N44" s="394" t="e">
        <f t="shared" ca="1" si="35"/>
        <v>#REF!</v>
      </c>
      <c r="O44" s="394" t="e">
        <f t="shared" ca="1" si="25"/>
        <v>#REF!</v>
      </c>
      <c r="P44" s="432" t="e">
        <f t="shared" ca="1" si="36"/>
        <v>#REF!</v>
      </c>
      <c r="Q44" s="394" t="e">
        <f t="shared" ca="1" si="37"/>
        <v>#REF!</v>
      </c>
      <c r="R44" s="432">
        <f t="shared" ca="1" si="38"/>
        <v>0</v>
      </c>
      <c r="S44" s="394" t="e">
        <f t="shared" ca="1" si="39"/>
        <v>#REF!</v>
      </c>
      <c r="T44" s="432" t="e">
        <f t="shared" ca="1" si="40"/>
        <v>#REF!</v>
      </c>
      <c r="U44" s="433" t="e">
        <f t="shared" ca="1" si="41"/>
        <v>#REF!</v>
      </c>
      <c r="V44" s="394" t="e">
        <f t="shared" ca="1" si="23"/>
        <v>#REF!</v>
      </c>
      <c r="W44" s="394" t="e">
        <f t="shared" ca="1" si="24"/>
        <v>#REF!</v>
      </c>
      <c r="X44" s="394" t="e">
        <f t="shared" ca="1" si="42"/>
        <v>#REF!</v>
      </c>
      <c r="Y44" s="394">
        <f t="shared" si="43"/>
        <v>0</v>
      </c>
      <c r="Z44" s="671" t="str">
        <f ca="1">IF(ISERROR($X44),"X",IF(-$I44&gt;(SP_DebtLimit/$E44),"I",IF(INDEX(SC_EX_APW,EXIDX1)&lt;1,"D","A")))</f>
        <v>X</v>
      </c>
    </row>
    <row r="45" spans="2:26" x14ac:dyDescent="0.25">
      <c r="B45">
        <f t="shared" ca="1" si="26"/>
        <v>2039</v>
      </c>
      <c r="C45" s="65" t="str">
        <f t="shared" si="3"/>
        <v>N</v>
      </c>
      <c r="D45" s="105">
        <f t="shared" si="4"/>
        <v>1</v>
      </c>
      <c r="E45" s="105">
        <f t="shared" ca="1" si="27"/>
        <v>0.58058922874470087</v>
      </c>
      <c r="F45" s="77">
        <f t="shared" si="28"/>
        <v>0</v>
      </c>
      <c r="G45" s="77">
        <f t="shared" si="29"/>
        <v>0</v>
      </c>
      <c r="I45" s="430" t="e">
        <f t="shared" ca="1" si="30"/>
        <v>#REF!</v>
      </c>
      <c r="J45" s="284" t="e">
        <f t="shared" ca="1" si="31"/>
        <v>#REF!</v>
      </c>
      <c r="K45" s="284" t="e">
        <f t="shared" ca="1" si="32"/>
        <v>#REF!</v>
      </c>
      <c r="L45" s="284" t="e">
        <f t="shared" ca="1" si="33"/>
        <v>#REF!</v>
      </c>
      <c r="M45" s="284" t="e">
        <f t="shared" ca="1" si="34"/>
        <v>#REF!</v>
      </c>
      <c r="N45" s="284" t="e">
        <f t="shared" ca="1" si="35"/>
        <v>#REF!</v>
      </c>
      <c r="O45" s="284" t="e">
        <f t="shared" ca="1" si="25"/>
        <v>#REF!</v>
      </c>
      <c r="P45" s="307" t="e">
        <f t="shared" ca="1" si="36"/>
        <v>#REF!</v>
      </c>
      <c r="Q45" s="284" t="e">
        <f t="shared" ca="1" si="37"/>
        <v>#REF!</v>
      </c>
      <c r="R45" s="307">
        <f t="shared" ca="1" si="38"/>
        <v>0</v>
      </c>
      <c r="S45" s="284" t="e">
        <f t="shared" ca="1" si="39"/>
        <v>#REF!</v>
      </c>
      <c r="T45" s="307" t="e">
        <f t="shared" ca="1" si="40"/>
        <v>#REF!</v>
      </c>
      <c r="U45" s="434" t="e">
        <f t="shared" ca="1" si="41"/>
        <v>#REF!</v>
      </c>
      <c r="V45" s="284" t="e">
        <f t="shared" ca="1" si="23"/>
        <v>#REF!</v>
      </c>
      <c r="W45" s="284" t="e">
        <f t="shared" ca="1" si="24"/>
        <v>#REF!</v>
      </c>
      <c r="X45" s="284" t="e">
        <f t="shared" ca="1" si="42"/>
        <v>#REF!</v>
      </c>
      <c r="Y45" s="284">
        <f t="shared" si="43"/>
        <v>0</v>
      </c>
      <c r="Z45" s="671"/>
    </row>
    <row r="46" spans="2:26" x14ac:dyDescent="0.25">
      <c r="B46" s="185">
        <f t="shared" ca="1" si="26"/>
        <v>2040</v>
      </c>
      <c r="C46" s="102" t="str">
        <f t="shared" si="3"/>
        <v>R</v>
      </c>
      <c r="D46" s="104">
        <f t="shared" ca="1" si="4"/>
        <v>0.56231402299728894</v>
      </c>
      <c r="E46" s="104">
        <f t="shared" si="27"/>
        <v>1</v>
      </c>
      <c r="F46" s="103">
        <f t="shared" si="28"/>
        <v>0</v>
      </c>
      <c r="G46" s="103">
        <f t="shared" si="29"/>
        <v>0</v>
      </c>
      <c r="I46" s="393" t="e">
        <f t="shared" ca="1" si="30"/>
        <v>#REF!</v>
      </c>
      <c r="J46" s="394" t="e">
        <f t="shared" ca="1" si="31"/>
        <v>#REF!</v>
      </c>
      <c r="K46" s="394" t="e">
        <f t="shared" ca="1" si="32"/>
        <v>#REF!</v>
      </c>
      <c r="L46" s="394" t="e">
        <f t="shared" ca="1" si="33"/>
        <v>#REF!</v>
      </c>
      <c r="M46" s="394" t="e">
        <f t="shared" ca="1" si="34"/>
        <v>#REF!</v>
      </c>
      <c r="N46" s="394" t="e">
        <f t="shared" ca="1" si="35"/>
        <v>#REF!</v>
      </c>
      <c r="O46" s="394" t="e">
        <f t="shared" ca="1" si="25"/>
        <v>#REF!</v>
      </c>
      <c r="P46" s="432" t="e">
        <f t="shared" ca="1" si="36"/>
        <v>#REF!</v>
      </c>
      <c r="Q46" s="394" t="e">
        <f t="shared" ca="1" si="37"/>
        <v>#REF!</v>
      </c>
      <c r="R46" s="432">
        <f t="shared" ca="1" si="38"/>
        <v>0</v>
      </c>
      <c r="S46" s="394" t="e">
        <f t="shared" ca="1" si="39"/>
        <v>#REF!</v>
      </c>
      <c r="T46" s="432" t="e">
        <f t="shared" ca="1" si="40"/>
        <v>#REF!</v>
      </c>
      <c r="U46" s="433" t="e">
        <f t="shared" ca="1" si="41"/>
        <v>#REF!</v>
      </c>
      <c r="V46" s="394" t="e">
        <f t="shared" ca="1" si="23"/>
        <v>#REF!</v>
      </c>
      <c r="W46" s="394" t="e">
        <f t="shared" ca="1" si="24"/>
        <v>#REF!</v>
      </c>
      <c r="X46" s="394" t="e">
        <f t="shared" ca="1" si="42"/>
        <v>#REF!</v>
      </c>
      <c r="Y46" s="394">
        <f t="shared" si="43"/>
        <v>0</v>
      </c>
      <c r="Z46" s="671" t="str">
        <f ca="1">IF(ISERROR($X46),"X",IF(-$I46&gt;(SP_DebtLimit/$E46),"I",IF(INDEX(SC_EX_APW,EXIDX1)&lt;1,"D","A")))</f>
        <v>X</v>
      </c>
    </row>
    <row r="47" spans="2:26" x14ac:dyDescent="0.25">
      <c r="B47">
        <f t="shared" ca="1" si="26"/>
        <v>2040</v>
      </c>
      <c r="C47" s="65" t="str">
        <f t="shared" si="3"/>
        <v>N</v>
      </c>
      <c r="D47" s="105">
        <f t="shared" si="4"/>
        <v>1</v>
      </c>
      <c r="E47" s="105">
        <f t="shared" ca="1" si="27"/>
        <v>0.56231402299728894</v>
      </c>
      <c r="F47" s="77">
        <f t="shared" si="28"/>
        <v>0</v>
      </c>
      <c r="G47" s="77">
        <f t="shared" si="29"/>
        <v>0</v>
      </c>
      <c r="I47" s="430" t="e">
        <f t="shared" ca="1" si="30"/>
        <v>#REF!</v>
      </c>
      <c r="J47" s="284" t="e">
        <f t="shared" ca="1" si="31"/>
        <v>#REF!</v>
      </c>
      <c r="K47" s="284" t="e">
        <f t="shared" ca="1" si="32"/>
        <v>#REF!</v>
      </c>
      <c r="L47" s="284" t="e">
        <f t="shared" ca="1" si="33"/>
        <v>#REF!</v>
      </c>
      <c r="M47" s="284" t="e">
        <f t="shared" ca="1" si="34"/>
        <v>#REF!</v>
      </c>
      <c r="N47" s="284" t="e">
        <f t="shared" ca="1" si="35"/>
        <v>#REF!</v>
      </c>
      <c r="O47" s="284" t="e">
        <f t="shared" ca="1" si="25"/>
        <v>#REF!</v>
      </c>
      <c r="P47" s="307" t="e">
        <f t="shared" ca="1" si="36"/>
        <v>#REF!</v>
      </c>
      <c r="Q47" s="284" t="e">
        <f t="shared" ca="1" si="37"/>
        <v>#REF!</v>
      </c>
      <c r="R47" s="307">
        <f t="shared" ca="1" si="38"/>
        <v>0</v>
      </c>
      <c r="S47" s="284" t="e">
        <f t="shared" ca="1" si="39"/>
        <v>#REF!</v>
      </c>
      <c r="T47" s="307" t="e">
        <f t="shared" ca="1" si="40"/>
        <v>#REF!</v>
      </c>
      <c r="U47" s="434" t="e">
        <f t="shared" ca="1" si="41"/>
        <v>#REF!</v>
      </c>
      <c r="V47" s="284" t="e">
        <f t="shared" ca="1" si="23"/>
        <v>#REF!</v>
      </c>
      <c r="W47" s="284" t="e">
        <f t="shared" ca="1" si="24"/>
        <v>#REF!</v>
      </c>
      <c r="X47" s="284" t="e">
        <f t="shared" ca="1" si="42"/>
        <v>#REF!</v>
      </c>
      <c r="Y47" s="284">
        <f t="shared" si="43"/>
        <v>0</v>
      </c>
      <c r="Z47" s="671"/>
    </row>
    <row r="48" spans="2:26" x14ac:dyDescent="0.25">
      <c r="B48" s="185">
        <f t="shared" ca="1" si="26"/>
        <v>2041</v>
      </c>
      <c r="C48" s="102" t="str">
        <f t="shared" si="3"/>
        <v>R</v>
      </c>
      <c r="D48" s="104">
        <f t="shared" ca="1" si="4"/>
        <v>0.5446140658569385</v>
      </c>
      <c r="E48" s="104">
        <f t="shared" si="27"/>
        <v>1</v>
      </c>
      <c r="F48" s="103">
        <f t="shared" si="28"/>
        <v>0</v>
      </c>
      <c r="G48" s="103">
        <f t="shared" si="29"/>
        <v>0</v>
      </c>
      <c r="I48" s="393" t="e">
        <f t="shared" ca="1" si="30"/>
        <v>#REF!</v>
      </c>
      <c r="J48" s="394" t="e">
        <f t="shared" ca="1" si="31"/>
        <v>#REF!</v>
      </c>
      <c r="K48" s="394" t="e">
        <f t="shared" ca="1" si="32"/>
        <v>#REF!</v>
      </c>
      <c r="L48" s="394" t="e">
        <f t="shared" ca="1" si="33"/>
        <v>#REF!</v>
      </c>
      <c r="M48" s="394" t="e">
        <f t="shared" ca="1" si="34"/>
        <v>#REF!</v>
      </c>
      <c r="N48" s="394" t="e">
        <f t="shared" ca="1" si="35"/>
        <v>#REF!</v>
      </c>
      <c r="O48" s="394" t="e">
        <f t="shared" ca="1" si="25"/>
        <v>#REF!</v>
      </c>
      <c r="P48" s="432" t="e">
        <f t="shared" ca="1" si="36"/>
        <v>#REF!</v>
      </c>
      <c r="Q48" s="394" t="e">
        <f t="shared" ca="1" si="37"/>
        <v>#REF!</v>
      </c>
      <c r="R48" s="432">
        <f t="shared" ca="1" si="38"/>
        <v>0</v>
      </c>
      <c r="S48" s="394" t="e">
        <f t="shared" ca="1" si="39"/>
        <v>#REF!</v>
      </c>
      <c r="T48" s="432" t="e">
        <f t="shared" ca="1" si="40"/>
        <v>#REF!</v>
      </c>
      <c r="U48" s="433" t="e">
        <f t="shared" ca="1" si="41"/>
        <v>#REF!</v>
      </c>
      <c r="V48" s="394" t="e">
        <f t="shared" ca="1" si="23"/>
        <v>#REF!</v>
      </c>
      <c r="W48" s="394" t="e">
        <f t="shared" ca="1" si="24"/>
        <v>#REF!</v>
      </c>
      <c r="X48" s="394" t="e">
        <f t="shared" ca="1" si="42"/>
        <v>#REF!</v>
      </c>
      <c r="Y48" s="394">
        <f t="shared" si="43"/>
        <v>0</v>
      </c>
      <c r="Z48" s="671" t="str">
        <f ca="1">IF(ISERROR($X48),"X",IF(-$I48&gt;(SP_DebtLimit/$E48),"I",IF(INDEX(SC_EX_APW,EXIDX1)&lt;1,"D","A")))</f>
        <v>X</v>
      </c>
    </row>
    <row r="49" spans="2:26" x14ac:dyDescent="0.25">
      <c r="B49">
        <f t="shared" ca="1" si="26"/>
        <v>2041</v>
      </c>
      <c r="C49" s="65" t="str">
        <f t="shared" si="3"/>
        <v>N</v>
      </c>
      <c r="D49" s="105">
        <f t="shared" si="4"/>
        <v>1</v>
      </c>
      <c r="E49" s="105">
        <f t="shared" ca="1" si="27"/>
        <v>0.5446140658569385</v>
      </c>
      <c r="F49" s="77">
        <f t="shared" si="28"/>
        <v>0</v>
      </c>
      <c r="G49" s="77">
        <f t="shared" si="29"/>
        <v>0</v>
      </c>
      <c r="I49" s="430" t="e">
        <f t="shared" ca="1" si="30"/>
        <v>#REF!</v>
      </c>
      <c r="J49" s="284" t="e">
        <f t="shared" ca="1" si="31"/>
        <v>#REF!</v>
      </c>
      <c r="K49" s="284" t="e">
        <f t="shared" ca="1" si="32"/>
        <v>#REF!</v>
      </c>
      <c r="L49" s="284" t="e">
        <f t="shared" ca="1" si="33"/>
        <v>#REF!</v>
      </c>
      <c r="M49" s="284" t="e">
        <f t="shared" ca="1" si="34"/>
        <v>#REF!</v>
      </c>
      <c r="N49" s="284" t="e">
        <f t="shared" ca="1" si="35"/>
        <v>#REF!</v>
      </c>
      <c r="O49" s="284" t="e">
        <f t="shared" ca="1" si="25"/>
        <v>#REF!</v>
      </c>
      <c r="P49" s="307" t="e">
        <f t="shared" ca="1" si="36"/>
        <v>#REF!</v>
      </c>
      <c r="Q49" s="284" t="e">
        <f t="shared" ca="1" si="37"/>
        <v>#REF!</v>
      </c>
      <c r="R49" s="307">
        <f t="shared" ca="1" si="38"/>
        <v>0</v>
      </c>
      <c r="S49" s="284" t="e">
        <f t="shared" ca="1" si="39"/>
        <v>#REF!</v>
      </c>
      <c r="T49" s="307" t="e">
        <f t="shared" ca="1" si="40"/>
        <v>#REF!</v>
      </c>
      <c r="U49" s="434" t="e">
        <f t="shared" ca="1" si="41"/>
        <v>#REF!</v>
      </c>
      <c r="V49" s="284" t="e">
        <f t="shared" ca="1" si="23"/>
        <v>#REF!</v>
      </c>
      <c r="W49" s="284" t="e">
        <f t="shared" ca="1" si="24"/>
        <v>#REF!</v>
      </c>
      <c r="X49" s="284" t="e">
        <f t="shared" ca="1" si="42"/>
        <v>#REF!</v>
      </c>
      <c r="Y49" s="284">
        <f t="shared" si="43"/>
        <v>0</v>
      </c>
      <c r="Z49" s="671"/>
    </row>
    <row r="50" spans="2:26" x14ac:dyDescent="0.25">
      <c r="B50" s="185">
        <f t="shared" ca="1" si="26"/>
        <v>2042</v>
      </c>
      <c r="C50" s="102" t="str">
        <f t="shared" si="3"/>
        <v>R</v>
      </c>
      <c r="D50" s="104">
        <f t="shared" ca="1" si="4"/>
        <v>0.52747125022463781</v>
      </c>
      <c r="E50" s="104">
        <f t="shared" si="27"/>
        <v>1</v>
      </c>
      <c r="F50" s="103">
        <f t="shared" si="28"/>
        <v>0</v>
      </c>
      <c r="G50" s="103">
        <f t="shared" si="29"/>
        <v>0</v>
      </c>
      <c r="I50" s="393" t="e">
        <f t="shared" ca="1" si="30"/>
        <v>#REF!</v>
      </c>
      <c r="J50" s="394" t="e">
        <f t="shared" ca="1" si="31"/>
        <v>#REF!</v>
      </c>
      <c r="K50" s="394" t="e">
        <f t="shared" ca="1" si="32"/>
        <v>#REF!</v>
      </c>
      <c r="L50" s="394" t="e">
        <f t="shared" ca="1" si="33"/>
        <v>#REF!</v>
      </c>
      <c r="M50" s="394" t="e">
        <f t="shared" ca="1" si="34"/>
        <v>#REF!</v>
      </c>
      <c r="N50" s="394" t="e">
        <f t="shared" ca="1" si="35"/>
        <v>#REF!</v>
      </c>
      <c r="O50" s="394" t="e">
        <f t="shared" ca="1" si="25"/>
        <v>#REF!</v>
      </c>
      <c r="P50" s="432" t="e">
        <f t="shared" ca="1" si="36"/>
        <v>#REF!</v>
      </c>
      <c r="Q50" s="394" t="e">
        <f t="shared" ca="1" si="37"/>
        <v>#REF!</v>
      </c>
      <c r="R50" s="432">
        <f t="shared" ca="1" si="38"/>
        <v>0</v>
      </c>
      <c r="S50" s="394" t="e">
        <f t="shared" ca="1" si="39"/>
        <v>#REF!</v>
      </c>
      <c r="T50" s="432" t="e">
        <f t="shared" ca="1" si="40"/>
        <v>#REF!</v>
      </c>
      <c r="U50" s="433" t="e">
        <f t="shared" ca="1" si="41"/>
        <v>#REF!</v>
      </c>
      <c r="V50" s="394" t="e">
        <f t="shared" ca="1" si="23"/>
        <v>#REF!</v>
      </c>
      <c r="W50" s="394" t="e">
        <f t="shared" ca="1" si="24"/>
        <v>#REF!</v>
      </c>
      <c r="X50" s="394" t="e">
        <f t="shared" ca="1" si="42"/>
        <v>#REF!</v>
      </c>
      <c r="Y50" s="394">
        <f t="shared" si="43"/>
        <v>0</v>
      </c>
      <c r="Z50" s="671" t="str">
        <f ca="1">IF(ISERROR($X50),"X",IF(-$I50&gt;(SP_DebtLimit/$E50),"I",IF(INDEX(SC_EX_APW,EXIDX1)&lt;1,"D","A")))</f>
        <v>X</v>
      </c>
    </row>
    <row r="51" spans="2:26" x14ac:dyDescent="0.25">
      <c r="B51">
        <f t="shared" ca="1" si="26"/>
        <v>2042</v>
      </c>
      <c r="C51" s="65" t="str">
        <f t="shared" si="3"/>
        <v>N</v>
      </c>
      <c r="D51" s="105">
        <f t="shared" si="4"/>
        <v>1</v>
      </c>
      <c r="E51" s="105">
        <f t="shared" ca="1" si="27"/>
        <v>0.52747125022463781</v>
      </c>
      <c r="F51" s="77">
        <f t="shared" si="28"/>
        <v>0</v>
      </c>
      <c r="G51" s="77">
        <f t="shared" si="29"/>
        <v>0</v>
      </c>
      <c r="I51" s="430" t="e">
        <f t="shared" ca="1" si="30"/>
        <v>#REF!</v>
      </c>
      <c r="J51" s="284" t="e">
        <f t="shared" ca="1" si="31"/>
        <v>#REF!</v>
      </c>
      <c r="K51" s="284" t="e">
        <f t="shared" ca="1" si="32"/>
        <v>#REF!</v>
      </c>
      <c r="L51" s="284" t="e">
        <f t="shared" ca="1" si="33"/>
        <v>#REF!</v>
      </c>
      <c r="M51" s="284" t="e">
        <f t="shared" ca="1" si="34"/>
        <v>#REF!</v>
      </c>
      <c r="N51" s="284" t="e">
        <f t="shared" ca="1" si="35"/>
        <v>#REF!</v>
      </c>
      <c r="O51" s="284" t="e">
        <f t="shared" ca="1" si="25"/>
        <v>#REF!</v>
      </c>
      <c r="P51" s="307" t="e">
        <f t="shared" ca="1" si="36"/>
        <v>#REF!</v>
      </c>
      <c r="Q51" s="284" t="e">
        <f t="shared" ca="1" si="37"/>
        <v>#REF!</v>
      </c>
      <c r="R51" s="307">
        <f t="shared" ca="1" si="38"/>
        <v>0</v>
      </c>
      <c r="S51" s="284" t="e">
        <f t="shared" ca="1" si="39"/>
        <v>#REF!</v>
      </c>
      <c r="T51" s="307" t="e">
        <f t="shared" ca="1" si="40"/>
        <v>#REF!</v>
      </c>
      <c r="U51" s="434" t="e">
        <f t="shared" ca="1" si="41"/>
        <v>#REF!</v>
      </c>
      <c r="V51" s="284" t="e">
        <f t="shared" ca="1" si="23"/>
        <v>#REF!</v>
      </c>
      <c r="W51" s="284" t="e">
        <f t="shared" ca="1" si="24"/>
        <v>#REF!</v>
      </c>
      <c r="X51" s="284" t="e">
        <f t="shared" ca="1" si="42"/>
        <v>#REF!</v>
      </c>
      <c r="Y51" s="284">
        <f t="shared" si="43"/>
        <v>0</v>
      </c>
      <c r="Z51" s="671"/>
    </row>
    <row r="52" spans="2:26" x14ac:dyDescent="0.25">
      <c r="B52" s="185">
        <f t="shared" ca="1" si="26"/>
        <v>2043</v>
      </c>
      <c r="C52" s="102" t="str">
        <f t="shared" si="3"/>
        <v>R</v>
      </c>
      <c r="D52" s="104">
        <f t="shared" ca="1" si="4"/>
        <v>0.51086803895848698</v>
      </c>
      <c r="E52" s="104">
        <f t="shared" si="27"/>
        <v>1</v>
      </c>
      <c r="F52" s="103">
        <f t="shared" si="28"/>
        <v>0</v>
      </c>
      <c r="G52" s="103">
        <f t="shared" si="29"/>
        <v>0</v>
      </c>
      <c r="I52" s="393" t="e">
        <f t="shared" ca="1" si="30"/>
        <v>#REF!</v>
      </c>
      <c r="J52" s="394" t="e">
        <f t="shared" ca="1" si="31"/>
        <v>#REF!</v>
      </c>
      <c r="K52" s="394" t="e">
        <f t="shared" ca="1" si="32"/>
        <v>#REF!</v>
      </c>
      <c r="L52" s="394" t="e">
        <f t="shared" ca="1" si="33"/>
        <v>#REF!</v>
      </c>
      <c r="M52" s="394" t="e">
        <f t="shared" ca="1" si="34"/>
        <v>#REF!</v>
      </c>
      <c r="N52" s="394" t="e">
        <f t="shared" ca="1" si="35"/>
        <v>#REF!</v>
      </c>
      <c r="O52" s="394" t="e">
        <f t="shared" ca="1" si="25"/>
        <v>#REF!</v>
      </c>
      <c r="P52" s="432" t="e">
        <f t="shared" ca="1" si="36"/>
        <v>#REF!</v>
      </c>
      <c r="Q52" s="394" t="e">
        <f t="shared" ca="1" si="37"/>
        <v>#REF!</v>
      </c>
      <c r="R52" s="432">
        <f t="shared" ca="1" si="38"/>
        <v>0</v>
      </c>
      <c r="S52" s="394" t="e">
        <f t="shared" ca="1" si="39"/>
        <v>#REF!</v>
      </c>
      <c r="T52" s="432" t="e">
        <f t="shared" ca="1" si="40"/>
        <v>#REF!</v>
      </c>
      <c r="U52" s="433" t="e">
        <f t="shared" ca="1" si="41"/>
        <v>#REF!</v>
      </c>
      <c r="V52" s="394" t="e">
        <f t="shared" ca="1" si="23"/>
        <v>#REF!</v>
      </c>
      <c r="W52" s="394" t="e">
        <f t="shared" ca="1" si="24"/>
        <v>#REF!</v>
      </c>
      <c r="X52" s="394" t="e">
        <f t="shared" ca="1" si="42"/>
        <v>#REF!</v>
      </c>
      <c r="Y52" s="394">
        <f t="shared" si="43"/>
        <v>0</v>
      </c>
      <c r="Z52" s="671" t="str">
        <f ca="1">IF(ISERROR($X52),"X",IF(-$I52&gt;(SP_DebtLimit/$E52),"I",IF(INDEX(SC_EX_APW,EXIDX1)&lt;1,"D","A")))</f>
        <v>X</v>
      </c>
    </row>
    <row r="53" spans="2:26" x14ac:dyDescent="0.25">
      <c r="B53">
        <f t="shared" ca="1" si="26"/>
        <v>2043</v>
      </c>
      <c r="C53" s="65" t="str">
        <f t="shared" si="3"/>
        <v>N</v>
      </c>
      <c r="D53" s="105">
        <f t="shared" si="4"/>
        <v>1</v>
      </c>
      <c r="E53" s="105">
        <f t="shared" ca="1" si="27"/>
        <v>0.51086803895848698</v>
      </c>
      <c r="F53" s="77">
        <f t="shared" si="28"/>
        <v>0</v>
      </c>
      <c r="G53" s="77">
        <f t="shared" si="29"/>
        <v>0</v>
      </c>
      <c r="I53" s="430" t="e">
        <f t="shared" ca="1" si="30"/>
        <v>#REF!</v>
      </c>
      <c r="J53" s="284" t="e">
        <f t="shared" ca="1" si="31"/>
        <v>#REF!</v>
      </c>
      <c r="K53" s="284" t="e">
        <f t="shared" ca="1" si="32"/>
        <v>#REF!</v>
      </c>
      <c r="L53" s="284" t="e">
        <f t="shared" ca="1" si="33"/>
        <v>#REF!</v>
      </c>
      <c r="M53" s="284" t="e">
        <f t="shared" ca="1" si="34"/>
        <v>#REF!</v>
      </c>
      <c r="N53" s="284" t="e">
        <f t="shared" ca="1" si="35"/>
        <v>#REF!</v>
      </c>
      <c r="O53" s="284" t="e">
        <f t="shared" ca="1" si="25"/>
        <v>#REF!</v>
      </c>
      <c r="P53" s="307" t="e">
        <f t="shared" ca="1" si="36"/>
        <v>#REF!</v>
      </c>
      <c r="Q53" s="284" t="e">
        <f t="shared" ca="1" si="37"/>
        <v>#REF!</v>
      </c>
      <c r="R53" s="307">
        <f t="shared" ca="1" si="38"/>
        <v>0</v>
      </c>
      <c r="S53" s="284" t="e">
        <f t="shared" ca="1" si="39"/>
        <v>#REF!</v>
      </c>
      <c r="T53" s="307" t="e">
        <f t="shared" ca="1" si="40"/>
        <v>#REF!</v>
      </c>
      <c r="U53" s="434" t="e">
        <f t="shared" ca="1" si="41"/>
        <v>#REF!</v>
      </c>
      <c r="V53" s="284" t="e">
        <f t="shared" ca="1" si="23"/>
        <v>#REF!</v>
      </c>
      <c r="W53" s="284" t="e">
        <f t="shared" ca="1" si="24"/>
        <v>#REF!</v>
      </c>
      <c r="X53" s="284" t="e">
        <f t="shared" ca="1" si="42"/>
        <v>#REF!</v>
      </c>
      <c r="Y53" s="284">
        <f t="shared" si="43"/>
        <v>0</v>
      </c>
      <c r="Z53" s="671"/>
    </row>
    <row r="54" spans="2:26" x14ac:dyDescent="0.25">
      <c r="B54" s="185">
        <f t="shared" ca="1" si="26"/>
        <v>2044</v>
      </c>
      <c r="C54" s="102" t="str">
        <f t="shared" si="3"/>
        <v>R</v>
      </c>
      <c r="D54" s="104">
        <f t="shared" ca="1" si="4"/>
        <v>0.49478744693315935</v>
      </c>
      <c r="E54" s="104">
        <f t="shared" si="27"/>
        <v>1</v>
      </c>
      <c r="F54" s="103">
        <f t="shared" si="28"/>
        <v>0</v>
      </c>
      <c r="G54" s="103">
        <f t="shared" si="29"/>
        <v>0</v>
      </c>
      <c r="I54" s="393" t="e">
        <f t="shared" ca="1" si="30"/>
        <v>#REF!</v>
      </c>
      <c r="J54" s="394" t="e">
        <f t="shared" ca="1" si="31"/>
        <v>#REF!</v>
      </c>
      <c r="K54" s="394" t="e">
        <f t="shared" ca="1" si="32"/>
        <v>#REF!</v>
      </c>
      <c r="L54" s="394" t="e">
        <f t="shared" ca="1" si="33"/>
        <v>#REF!</v>
      </c>
      <c r="M54" s="394" t="e">
        <f t="shared" ca="1" si="34"/>
        <v>#REF!</v>
      </c>
      <c r="N54" s="394" t="e">
        <f t="shared" ca="1" si="35"/>
        <v>#REF!</v>
      </c>
      <c r="O54" s="394" t="e">
        <f t="shared" ca="1" si="25"/>
        <v>#REF!</v>
      </c>
      <c r="P54" s="432" t="e">
        <f t="shared" ca="1" si="36"/>
        <v>#REF!</v>
      </c>
      <c r="Q54" s="394" t="e">
        <f t="shared" ca="1" si="37"/>
        <v>#REF!</v>
      </c>
      <c r="R54" s="432">
        <f t="shared" ca="1" si="38"/>
        <v>0</v>
      </c>
      <c r="S54" s="394" t="e">
        <f t="shared" ca="1" si="39"/>
        <v>#REF!</v>
      </c>
      <c r="T54" s="432" t="e">
        <f t="shared" ca="1" si="40"/>
        <v>#REF!</v>
      </c>
      <c r="U54" s="433" t="e">
        <f t="shared" ca="1" si="41"/>
        <v>#REF!</v>
      </c>
      <c r="V54" s="394" t="e">
        <f t="shared" ca="1" si="23"/>
        <v>#REF!</v>
      </c>
      <c r="W54" s="394" t="e">
        <f t="shared" ca="1" si="24"/>
        <v>#REF!</v>
      </c>
      <c r="X54" s="394" t="e">
        <f t="shared" ca="1" si="42"/>
        <v>#REF!</v>
      </c>
      <c r="Y54" s="394">
        <f t="shared" si="43"/>
        <v>0</v>
      </c>
      <c r="Z54" s="671" t="str">
        <f ca="1">IF(ISERROR($X54),"X",IF(-$I54&gt;(SP_DebtLimit/$E54),"I",IF(INDEX(SC_EX_APW,EXIDX1)&lt;1,"D","A")))</f>
        <v>X</v>
      </c>
    </row>
    <row r="55" spans="2:26" x14ac:dyDescent="0.25">
      <c r="B55">
        <f t="shared" ca="1" si="26"/>
        <v>2044</v>
      </c>
      <c r="C55" s="65" t="str">
        <f t="shared" si="3"/>
        <v>N</v>
      </c>
      <c r="D55" s="105">
        <f t="shared" si="4"/>
        <v>1</v>
      </c>
      <c r="E55" s="105">
        <f t="shared" ca="1" si="27"/>
        <v>0.49478744693315935</v>
      </c>
      <c r="F55" s="77">
        <f t="shared" si="28"/>
        <v>0</v>
      </c>
      <c r="G55" s="77">
        <f t="shared" si="29"/>
        <v>0</v>
      </c>
      <c r="I55" s="430" t="e">
        <f t="shared" ca="1" si="30"/>
        <v>#REF!</v>
      </c>
      <c r="J55" s="284" t="e">
        <f t="shared" ca="1" si="31"/>
        <v>#REF!</v>
      </c>
      <c r="K55" s="284" t="e">
        <f t="shared" ca="1" si="32"/>
        <v>#REF!</v>
      </c>
      <c r="L55" s="284" t="e">
        <f t="shared" ca="1" si="33"/>
        <v>#REF!</v>
      </c>
      <c r="M55" s="284" t="e">
        <f t="shared" ca="1" si="34"/>
        <v>#REF!</v>
      </c>
      <c r="N55" s="284" t="e">
        <f t="shared" ca="1" si="35"/>
        <v>#REF!</v>
      </c>
      <c r="O55" s="284" t="e">
        <f t="shared" ca="1" si="25"/>
        <v>#REF!</v>
      </c>
      <c r="P55" s="307" t="e">
        <f t="shared" ca="1" si="36"/>
        <v>#REF!</v>
      </c>
      <c r="Q55" s="284" t="e">
        <f t="shared" ca="1" si="37"/>
        <v>#REF!</v>
      </c>
      <c r="R55" s="307">
        <f t="shared" ca="1" si="38"/>
        <v>0</v>
      </c>
      <c r="S55" s="284" t="e">
        <f t="shared" ca="1" si="39"/>
        <v>#REF!</v>
      </c>
      <c r="T55" s="307" t="e">
        <f t="shared" ca="1" si="40"/>
        <v>#REF!</v>
      </c>
      <c r="U55" s="434" t="e">
        <f t="shared" ca="1" si="41"/>
        <v>#REF!</v>
      </c>
      <c r="V55" s="284" t="e">
        <f t="shared" ca="1" si="23"/>
        <v>#REF!</v>
      </c>
      <c r="W55" s="284" t="e">
        <f t="shared" ca="1" si="24"/>
        <v>#REF!</v>
      </c>
      <c r="X55" s="284" t="e">
        <f t="shared" ca="1" si="42"/>
        <v>#REF!</v>
      </c>
      <c r="Y55" s="284">
        <f t="shared" si="43"/>
        <v>0</v>
      </c>
      <c r="Z55" s="671"/>
    </row>
    <row r="56" spans="2:26" x14ac:dyDescent="0.25">
      <c r="B56" s="185">
        <f t="shared" ca="1" si="26"/>
        <v>2045</v>
      </c>
      <c r="C56" s="102" t="str">
        <f t="shared" si="3"/>
        <v>R</v>
      </c>
      <c r="D56" s="104">
        <f t="shared" ca="1" si="4"/>
        <v>0.47921302366407681</v>
      </c>
      <c r="E56" s="104">
        <f t="shared" si="27"/>
        <v>1</v>
      </c>
      <c r="F56" s="103">
        <f t="shared" si="28"/>
        <v>0</v>
      </c>
      <c r="G56" s="103">
        <f t="shared" si="29"/>
        <v>0</v>
      </c>
      <c r="I56" s="393" t="e">
        <f t="shared" ca="1" si="30"/>
        <v>#REF!</v>
      </c>
      <c r="J56" s="394" t="e">
        <f t="shared" ca="1" si="31"/>
        <v>#REF!</v>
      </c>
      <c r="K56" s="394" t="e">
        <f t="shared" ca="1" si="32"/>
        <v>#REF!</v>
      </c>
      <c r="L56" s="394" t="e">
        <f t="shared" ca="1" si="33"/>
        <v>#REF!</v>
      </c>
      <c r="M56" s="394" t="e">
        <f t="shared" ca="1" si="34"/>
        <v>#REF!</v>
      </c>
      <c r="N56" s="394" t="e">
        <f t="shared" ca="1" si="35"/>
        <v>#REF!</v>
      </c>
      <c r="O56" s="394" t="e">
        <f t="shared" ca="1" si="25"/>
        <v>#REF!</v>
      </c>
      <c r="P56" s="432" t="e">
        <f t="shared" ca="1" si="36"/>
        <v>#REF!</v>
      </c>
      <c r="Q56" s="394" t="e">
        <f t="shared" ca="1" si="37"/>
        <v>#REF!</v>
      </c>
      <c r="R56" s="432">
        <f t="shared" ca="1" si="38"/>
        <v>0</v>
      </c>
      <c r="S56" s="394" t="e">
        <f t="shared" ca="1" si="39"/>
        <v>#REF!</v>
      </c>
      <c r="T56" s="432" t="e">
        <f t="shared" ca="1" si="40"/>
        <v>#REF!</v>
      </c>
      <c r="U56" s="433" t="e">
        <f t="shared" ca="1" si="41"/>
        <v>#REF!</v>
      </c>
      <c r="V56" s="394" t="e">
        <f t="shared" ca="1" si="23"/>
        <v>#REF!</v>
      </c>
      <c r="W56" s="394" t="e">
        <f t="shared" ca="1" si="24"/>
        <v>#REF!</v>
      </c>
      <c r="X56" s="394" t="e">
        <f t="shared" ca="1" si="42"/>
        <v>#REF!</v>
      </c>
      <c r="Y56" s="394">
        <f t="shared" si="43"/>
        <v>0</v>
      </c>
      <c r="Z56" s="671" t="str">
        <f ca="1">IF(ISERROR($X56),"X",IF(-$I56&gt;(SP_DebtLimit/$E56),"I",IF(INDEX(SC_EX_APW,EXIDX1)&lt;1,"D","A")))</f>
        <v>X</v>
      </c>
    </row>
    <row r="57" spans="2:26" x14ac:dyDescent="0.25">
      <c r="B57">
        <f t="shared" ca="1" si="26"/>
        <v>2045</v>
      </c>
      <c r="C57" s="65" t="str">
        <f t="shared" si="3"/>
        <v>N</v>
      </c>
      <c r="D57" s="105">
        <f t="shared" si="4"/>
        <v>1</v>
      </c>
      <c r="E57" s="105">
        <f t="shared" ca="1" si="27"/>
        <v>0.47921302366407681</v>
      </c>
      <c r="F57" s="77">
        <f t="shared" si="28"/>
        <v>0</v>
      </c>
      <c r="G57" s="77">
        <f t="shared" si="29"/>
        <v>0</v>
      </c>
      <c r="I57" s="430" t="e">
        <f t="shared" ca="1" si="30"/>
        <v>#REF!</v>
      </c>
      <c r="J57" s="284" t="e">
        <f t="shared" ca="1" si="31"/>
        <v>#REF!</v>
      </c>
      <c r="K57" s="284" t="e">
        <f t="shared" ca="1" si="32"/>
        <v>#REF!</v>
      </c>
      <c r="L57" s="284" t="e">
        <f t="shared" ca="1" si="33"/>
        <v>#REF!</v>
      </c>
      <c r="M57" s="284" t="e">
        <f t="shared" ca="1" si="34"/>
        <v>#REF!</v>
      </c>
      <c r="N57" s="284" t="e">
        <f t="shared" ca="1" si="35"/>
        <v>#REF!</v>
      </c>
      <c r="O57" s="284" t="e">
        <f t="shared" ca="1" si="25"/>
        <v>#REF!</v>
      </c>
      <c r="P57" s="307" t="e">
        <f t="shared" ca="1" si="36"/>
        <v>#REF!</v>
      </c>
      <c r="Q57" s="284" t="e">
        <f t="shared" ca="1" si="37"/>
        <v>#REF!</v>
      </c>
      <c r="R57" s="307">
        <f t="shared" ca="1" si="38"/>
        <v>0</v>
      </c>
      <c r="S57" s="284" t="e">
        <f t="shared" ca="1" si="39"/>
        <v>#REF!</v>
      </c>
      <c r="T57" s="307" t="e">
        <f t="shared" ca="1" si="40"/>
        <v>#REF!</v>
      </c>
      <c r="U57" s="434" t="e">
        <f t="shared" ca="1" si="41"/>
        <v>#REF!</v>
      </c>
      <c r="V57" s="284" t="e">
        <f t="shared" ca="1" si="23"/>
        <v>#REF!</v>
      </c>
      <c r="W57" s="284" t="e">
        <f t="shared" ca="1" si="24"/>
        <v>#REF!</v>
      </c>
      <c r="X57" s="284" t="e">
        <f t="shared" ca="1" si="42"/>
        <v>#REF!</v>
      </c>
      <c r="Y57" s="284">
        <f t="shared" si="43"/>
        <v>0</v>
      </c>
      <c r="Z57" s="671"/>
    </row>
    <row r="58" spans="2:26" x14ac:dyDescent="0.25">
      <c r="B58" s="185">
        <f t="shared" ca="1" si="26"/>
        <v>2046</v>
      </c>
      <c r="C58" s="102" t="str">
        <f t="shared" si="3"/>
        <v>R</v>
      </c>
      <c r="D58" s="104">
        <f t="shared" ca="1" si="4"/>
        <v>0.46412883647852476</v>
      </c>
      <c r="E58" s="104">
        <f t="shared" si="27"/>
        <v>1</v>
      </c>
      <c r="F58" s="103">
        <f t="shared" si="28"/>
        <v>0</v>
      </c>
      <c r="G58" s="103">
        <f t="shared" si="29"/>
        <v>0</v>
      </c>
      <c r="I58" s="393" t="e">
        <f t="shared" ca="1" si="30"/>
        <v>#REF!</v>
      </c>
      <c r="J58" s="394" t="e">
        <f t="shared" ca="1" si="31"/>
        <v>#REF!</v>
      </c>
      <c r="K58" s="394" t="e">
        <f t="shared" ca="1" si="32"/>
        <v>#REF!</v>
      </c>
      <c r="L58" s="394" t="e">
        <f t="shared" ca="1" si="33"/>
        <v>#REF!</v>
      </c>
      <c r="M58" s="394" t="e">
        <f t="shared" ca="1" si="34"/>
        <v>#REF!</v>
      </c>
      <c r="N58" s="394" t="e">
        <f t="shared" ca="1" si="35"/>
        <v>#REF!</v>
      </c>
      <c r="O58" s="394" t="e">
        <f t="shared" ca="1" si="25"/>
        <v>#REF!</v>
      </c>
      <c r="P58" s="432" t="e">
        <f t="shared" ca="1" si="36"/>
        <v>#REF!</v>
      </c>
      <c r="Q58" s="394" t="e">
        <f t="shared" ca="1" si="37"/>
        <v>#REF!</v>
      </c>
      <c r="R58" s="432">
        <f t="shared" ca="1" si="38"/>
        <v>0</v>
      </c>
      <c r="S58" s="394" t="e">
        <f t="shared" ca="1" si="39"/>
        <v>#REF!</v>
      </c>
      <c r="T58" s="432" t="e">
        <f t="shared" ca="1" si="40"/>
        <v>#REF!</v>
      </c>
      <c r="U58" s="433" t="e">
        <f t="shared" ca="1" si="41"/>
        <v>#REF!</v>
      </c>
      <c r="V58" s="394" t="e">
        <f t="shared" ca="1" si="23"/>
        <v>#REF!</v>
      </c>
      <c r="W58" s="394" t="e">
        <f t="shared" ca="1" si="24"/>
        <v>#REF!</v>
      </c>
      <c r="X58" s="394" t="e">
        <f t="shared" ca="1" si="42"/>
        <v>#REF!</v>
      </c>
      <c r="Y58" s="394">
        <f t="shared" si="43"/>
        <v>0</v>
      </c>
      <c r="Z58" s="671" t="str">
        <f ca="1">IF(ISERROR($X58),"X",IF(-$I58&gt;(SP_DebtLimit/$E58),"I",IF(INDEX(SC_EX_APW,EXIDX1)&lt;1,"D","A")))</f>
        <v>X</v>
      </c>
    </row>
    <row r="59" spans="2:26" x14ac:dyDescent="0.25">
      <c r="B59">
        <f t="shared" ca="1" si="26"/>
        <v>2046</v>
      </c>
      <c r="C59" s="65" t="str">
        <f t="shared" si="3"/>
        <v>N</v>
      </c>
      <c r="D59" s="105">
        <f t="shared" si="4"/>
        <v>1</v>
      </c>
      <c r="E59" s="105">
        <f t="shared" ca="1" si="27"/>
        <v>0.46412883647852476</v>
      </c>
      <c r="F59" s="77">
        <f t="shared" si="28"/>
        <v>0</v>
      </c>
      <c r="G59" s="77">
        <f t="shared" si="29"/>
        <v>0</v>
      </c>
      <c r="I59" s="430" t="e">
        <f t="shared" ca="1" si="30"/>
        <v>#REF!</v>
      </c>
      <c r="J59" s="284" t="e">
        <f t="shared" ca="1" si="31"/>
        <v>#REF!</v>
      </c>
      <c r="K59" s="284" t="e">
        <f t="shared" ca="1" si="32"/>
        <v>#REF!</v>
      </c>
      <c r="L59" s="284" t="e">
        <f t="shared" ca="1" si="33"/>
        <v>#REF!</v>
      </c>
      <c r="M59" s="284" t="e">
        <f t="shared" ca="1" si="34"/>
        <v>#REF!</v>
      </c>
      <c r="N59" s="284" t="e">
        <f t="shared" ca="1" si="35"/>
        <v>#REF!</v>
      </c>
      <c r="O59" s="284" t="e">
        <f t="shared" ca="1" si="25"/>
        <v>#REF!</v>
      </c>
      <c r="P59" s="307" t="e">
        <f t="shared" ca="1" si="36"/>
        <v>#REF!</v>
      </c>
      <c r="Q59" s="284" t="e">
        <f t="shared" ca="1" si="37"/>
        <v>#REF!</v>
      </c>
      <c r="R59" s="307">
        <f t="shared" ca="1" si="38"/>
        <v>0</v>
      </c>
      <c r="S59" s="284" t="e">
        <f t="shared" ca="1" si="39"/>
        <v>#REF!</v>
      </c>
      <c r="T59" s="307" t="e">
        <f t="shared" ca="1" si="40"/>
        <v>#REF!</v>
      </c>
      <c r="U59" s="434" t="e">
        <f t="shared" ca="1" si="41"/>
        <v>#REF!</v>
      </c>
      <c r="V59" s="284" t="e">
        <f t="shared" ca="1" si="23"/>
        <v>#REF!</v>
      </c>
      <c r="W59" s="284" t="e">
        <f t="shared" ca="1" si="24"/>
        <v>#REF!</v>
      </c>
      <c r="X59" s="284" t="e">
        <f t="shared" ca="1" si="42"/>
        <v>#REF!</v>
      </c>
      <c r="Y59" s="284">
        <f t="shared" si="43"/>
        <v>0</v>
      </c>
      <c r="Z59" s="671"/>
    </row>
    <row r="60" spans="2:26" x14ac:dyDescent="0.25">
      <c r="B60" s="185">
        <f t="shared" ca="1" si="26"/>
        <v>2047</v>
      </c>
      <c r="C60" s="102" t="str">
        <f t="shared" si="3"/>
        <v>R</v>
      </c>
      <c r="D60" s="104">
        <f t="shared" ca="1" si="4"/>
        <v>0.44951945421648892</v>
      </c>
      <c r="E60" s="104">
        <f t="shared" si="27"/>
        <v>1</v>
      </c>
      <c r="F60" s="103">
        <f t="shared" si="28"/>
        <v>0</v>
      </c>
      <c r="G60" s="103">
        <f t="shared" si="29"/>
        <v>0</v>
      </c>
      <c r="I60" s="393" t="e">
        <f t="shared" ca="1" si="30"/>
        <v>#REF!</v>
      </c>
      <c r="J60" s="394" t="e">
        <f t="shared" ca="1" si="31"/>
        <v>#REF!</v>
      </c>
      <c r="K60" s="394" t="e">
        <f t="shared" ca="1" si="32"/>
        <v>#REF!</v>
      </c>
      <c r="L60" s="394" t="e">
        <f t="shared" ca="1" si="33"/>
        <v>#REF!</v>
      </c>
      <c r="M60" s="394" t="e">
        <f t="shared" ca="1" si="34"/>
        <v>#REF!</v>
      </c>
      <c r="N60" s="394" t="e">
        <f t="shared" ca="1" si="35"/>
        <v>#REF!</v>
      </c>
      <c r="O60" s="394" t="e">
        <f t="shared" ca="1" si="25"/>
        <v>#REF!</v>
      </c>
      <c r="P60" s="432" t="e">
        <f t="shared" ca="1" si="36"/>
        <v>#REF!</v>
      </c>
      <c r="Q60" s="394" t="e">
        <f t="shared" ca="1" si="37"/>
        <v>#REF!</v>
      </c>
      <c r="R60" s="432">
        <f t="shared" ca="1" si="38"/>
        <v>0</v>
      </c>
      <c r="S60" s="394" t="e">
        <f t="shared" ca="1" si="39"/>
        <v>#REF!</v>
      </c>
      <c r="T60" s="432" t="e">
        <f t="shared" ca="1" si="40"/>
        <v>#REF!</v>
      </c>
      <c r="U60" s="433" t="e">
        <f t="shared" ca="1" si="41"/>
        <v>#REF!</v>
      </c>
      <c r="V60" s="394" t="e">
        <f t="shared" ca="1" si="23"/>
        <v>#REF!</v>
      </c>
      <c r="W60" s="394" t="e">
        <f t="shared" ca="1" si="24"/>
        <v>#REF!</v>
      </c>
      <c r="X60" s="394" t="e">
        <f t="shared" ca="1" si="42"/>
        <v>#REF!</v>
      </c>
      <c r="Y60" s="394">
        <f t="shared" si="43"/>
        <v>0</v>
      </c>
      <c r="Z60" s="671" t="str">
        <f ca="1">IF(ISERROR($X60),"X",IF(-$I60&gt;(SP_DebtLimit/$E60),"I",IF(INDEX(SC_EX_APW,EXIDX1)&lt;1,"D","A")))</f>
        <v>X</v>
      </c>
    </row>
    <row r="61" spans="2:26" x14ac:dyDescent="0.25">
      <c r="B61">
        <f t="shared" ca="1" si="26"/>
        <v>2047</v>
      </c>
      <c r="C61" s="65" t="str">
        <f t="shared" si="3"/>
        <v>N</v>
      </c>
      <c r="D61" s="105">
        <f t="shared" si="4"/>
        <v>1</v>
      </c>
      <c r="E61" s="105">
        <f t="shared" ca="1" si="27"/>
        <v>0.44951945421648892</v>
      </c>
      <c r="F61" s="77">
        <f t="shared" si="28"/>
        <v>0</v>
      </c>
      <c r="G61" s="77">
        <f t="shared" si="29"/>
        <v>0</v>
      </c>
      <c r="I61" s="430" t="e">
        <f t="shared" ca="1" si="30"/>
        <v>#REF!</v>
      </c>
      <c r="J61" s="284" t="e">
        <f t="shared" ca="1" si="31"/>
        <v>#REF!</v>
      </c>
      <c r="K61" s="284" t="e">
        <f t="shared" ca="1" si="32"/>
        <v>#REF!</v>
      </c>
      <c r="L61" s="284" t="e">
        <f t="shared" ca="1" si="33"/>
        <v>#REF!</v>
      </c>
      <c r="M61" s="284" t="e">
        <f t="shared" ca="1" si="34"/>
        <v>#REF!</v>
      </c>
      <c r="N61" s="284" t="e">
        <f t="shared" ca="1" si="35"/>
        <v>#REF!</v>
      </c>
      <c r="O61" s="284" t="e">
        <f t="shared" ca="1" si="25"/>
        <v>#REF!</v>
      </c>
      <c r="P61" s="307" t="e">
        <f t="shared" ca="1" si="36"/>
        <v>#REF!</v>
      </c>
      <c r="Q61" s="284" t="e">
        <f t="shared" ca="1" si="37"/>
        <v>#REF!</v>
      </c>
      <c r="R61" s="307">
        <f t="shared" ca="1" si="38"/>
        <v>0</v>
      </c>
      <c r="S61" s="284" t="e">
        <f t="shared" ca="1" si="39"/>
        <v>#REF!</v>
      </c>
      <c r="T61" s="307" t="e">
        <f t="shared" ca="1" si="40"/>
        <v>#REF!</v>
      </c>
      <c r="U61" s="434" t="e">
        <f t="shared" ca="1" si="41"/>
        <v>#REF!</v>
      </c>
      <c r="V61" s="284" t="e">
        <f t="shared" ca="1" si="23"/>
        <v>#REF!</v>
      </c>
      <c r="W61" s="284" t="e">
        <f t="shared" ca="1" si="24"/>
        <v>#REF!</v>
      </c>
      <c r="X61" s="284" t="e">
        <f t="shared" ca="1" si="42"/>
        <v>#REF!</v>
      </c>
      <c r="Y61" s="284">
        <f t="shared" si="43"/>
        <v>0</v>
      </c>
      <c r="Z61" s="671"/>
    </row>
    <row r="62" spans="2:26" x14ac:dyDescent="0.25">
      <c r="B62" s="185">
        <f t="shared" ca="1" si="26"/>
        <v>2048</v>
      </c>
      <c r="C62" s="102" t="str">
        <f t="shared" si="3"/>
        <v>R</v>
      </c>
      <c r="D62" s="104">
        <f t="shared" ca="1" si="4"/>
        <v>0.43536993144454134</v>
      </c>
      <c r="E62" s="104">
        <f t="shared" si="27"/>
        <v>1</v>
      </c>
      <c r="F62" s="103">
        <f t="shared" si="28"/>
        <v>0</v>
      </c>
      <c r="G62" s="103">
        <f t="shared" si="29"/>
        <v>0</v>
      </c>
      <c r="I62" s="393" t="e">
        <f t="shared" ca="1" si="30"/>
        <v>#REF!</v>
      </c>
      <c r="J62" s="394" t="e">
        <f t="shared" ca="1" si="31"/>
        <v>#REF!</v>
      </c>
      <c r="K62" s="394" t="e">
        <f t="shared" ca="1" si="32"/>
        <v>#REF!</v>
      </c>
      <c r="L62" s="394" t="e">
        <f t="shared" ca="1" si="33"/>
        <v>#REF!</v>
      </c>
      <c r="M62" s="394" t="e">
        <f t="shared" ca="1" si="34"/>
        <v>#REF!</v>
      </c>
      <c r="N62" s="394" t="e">
        <f t="shared" ca="1" si="35"/>
        <v>#REF!</v>
      </c>
      <c r="O62" s="394" t="e">
        <f t="shared" ca="1" si="25"/>
        <v>#REF!</v>
      </c>
      <c r="P62" s="432" t="e">
        <f t="shared" ca="1" si="36"/>
        <v>#REF!</v>
      </c>
      <c r="Q62" s="394" t="e">
        <f t="shared" ca="1" si="37"/>
        <v>#REF!</v>
      </c>
      <c r="R62" s="432">
        <f t="shared" ca="1" si="38"/>
        <v>0</v>
      </c>
      <c r="S62" s="394" t="e">
        <f t="shared" ca="1" si="39"/>
        <v>#REF!</v>
      </c>
      <c r="T62" s="432" t="e">
        <f t="shared" ca="1" si="40"/>
        <v>#REF!</v>
      </c>
      <c r="U62" s="433" t="e">
        <f t="shared" ca="1" si="41"/>
        <v>#REF!</v>
      </c>
      <c r="V62" s="394" t="e">
        <f t="shared" ca="1" si="23"/>
        <v>#REF!</v>
      </c>
      <c r="W62" s="394" t="e">
        <f t="shared" ca="1" si="24"/>
        <v>#REF!</v>
      </c>
      <c r="X62" s="394" t="e">
        <f t="shared" ca="1" si="42"/>
        <v>#REF!</v>
      </c>
      <c r="Y62" s="394">
        <f t="shared" si="43"/>
        <v>0</v>
      </c>
      <c r="Z62" s="671" t="str">
        <f ca="1">IF(ISERROR($X62),"X",IF(-$I62&gt;(SP_DebtLimit/$E62),"I",IF(INDEX(SC_EX_APW,EXIDX1)&lt;1,"D","A")))</f>
        <v>X</v>
      </c>
    </row>
    <row r="63" spans="2:26" x14ac:dyDescent="0.25">
      <c r="B63">
        <f t="shared" ca="1" si="26"/>
        <v>2048</v>
      </c>
      <c r="C63" s="65" t="str">
        <f t="shared" si="3"/>
        <v>N</v>
      </c>
      <c r="D63" s="105">
        <f t="shared" si="4"/>
        <v>1</v>
      </c>
      <c r="E63" s="105">
        <f t="shared" ca="1" si="27"/>
        <v>0.43536993144454134</v>
      </c>
      <c r="F63" s="77">
        <f t="shared" si="28"/>
        <v>0</v>
      </c>
      <c r="G63" s="77">
        <f t="shared" si="29"/>
        <v>0</v>
      </c>
      <c r="I63" s="430" t="e">
        <f t="shared" ca="1" si="30"/>
        <v>#REF!</v>
      </c>
      <c r="J63" s="284" t="e">
        <f t="shared" ca="1" si="31"/>
        <v>#REF!</v>
      </c>
      <c r="K63" s="284" t="e">
        <f t="shared" ca="1" si="32"/>
        <v>#REF!</v>
      </c>
      <c r="L63" s="284" t="e">
        <f t="shared" ca="1" si="33"/>
        <v>#REF!</v>
      </c>
      <c r="M63" s="284" t="e">
        <f t="shared" ca="1" si="34"/>
        <v>#REF!</v>
      </c>
      <c r="N63" s="284" t="e">
        <f t="shared" ca="1" si="35"/>
        <v>#REF!</v>
      </c>
      <c r="O63" s="284" t="e">
        <f t="shared" ca="1" si="25"/>
        <v>#REF!</v>
      </c>
      <c r="P63" s="307" t="e">
        <f t="shared" ca="1" si="36"/>
        <v>#REF!</v>
      </c>
      <c r="Q63" s="284" t="e">
        <f t="shared" ca="1" si="37"/>
        <v>#REF!</v>
      </c>
      <c r="R63" s="307">
        <f t="shared" ca="1" si="38"/>
        <v>0</v>
      </c>
      <c r="S63" s="284" t="e">
        <f t="shared" ca="1" si="39"/>
        <v>#REF!</v>
      </c>
      <c r="T63" s="307" t="e">
        <f t="shared" ca="1" si="40"/>
        <v>#REF!</v>
      </c>
      <c r="U63" s="434" t="e">
        <f t="shared" ca="1" si="41"/>
        <v>#REF!</v>
      </c>
      <c r="V63" s="284" t="e">
        <f t="shared" ca="1" si="23"/>
        <v>#REF!</v>
      </c>
      <c r="W63" s="284" t="e">
        <f t="shared" ca="1" si="24"/>
        <v>#REF!</v>
      </c>
      <c r="X63" s="284" t="e">
        <f t="shared" ca="1" si="42"/>
        <v>#REF!</v>
      </c>
      <c r="Y63" s="284">
        <f t="shared" si="43"/>
        <v>0</v>
      </c>
      <c r="Z63" s="671"/>
    </row>
    <row r="64" spans="2:26" x14ac:dyDescent="0.25">
      <c r="B64" s="185">
        <f t="shared" ca="1" si="26"/>
        <v>2049</v>
      </c>
      <c r="C64" s="102" t="str">
        <f t="shared" si="3"/>
        <v>R</v>
      </c>
      <c r="D64" s="104">
        <f t="shared" ca="1" si="4"/>
        <v>0.421665793166626</v>
      </c>
      <c r="E64" s="104">
        <f t="shared" si="27"/>
        <v>1</v>
      </c>
      <c r="F64" s="103">
        <f t="shared" si="28"/>
        <v>0</v>
      </c>
      <c r="G64" s="103">
        <f t="shared" si="29"/>
        <v>0</v>
      </c>
      <c r="I64" s="393" t="e">
        <f t="shared" ca="1" si="30"/>
        <v>#REF!</v>
      </c>
      <c r="J64" s="394" t="e">
        <f t="shared" ca="1" si="31"/>
        <v>#REF!</v>
      </c>
      <c r="K64" s="394" t="e">
        <f t="shared" ca="1" si="32"/>
        <v>#REF!</v>
      </c>
      <c r="L64" s="394" t="e">
        <f t="shared" ca="1" si="33"/>
        <v>#REF!</v>
      </c>
      <c r="M64" s="394" t="e">
        <f t="shared" ca="1" si="34"/>
        <v>#REF!</v>
      </c>
      <c r="N64" s="394" t="e">
        <f t="shared" ca="1" si="35"/>
        <v>#REF!</v>
      </c>
      <c r="O64" s="394" t="e">
        <f t="shared" ca="1" si="25"/>
        <v>#REF!</v>
      </c>
      <c r="P64" s="432" t="e">
        <f t="shared" ca="1" si="36"/>
        <v>#REF!</v>
      </c>
      <c r="Q64" s="394" t="e">
        <f t="shared" ca="1" si="37"/>
        <v>#REF!</v>
      </c>
      <c r="R64" s="432">
        <f t="shared" ca="1" si="38"/>
        <v>0</v>
      </c>
      <c r="S64" s="394" t="e">
        <f t="shared" ca="1" si="39"/>
        <v>#REF!</v>
      </c>
      <c r="T64" s="432" t="e">
        <f t="shared" ca="1" si="40"/>
        <v>#REF!</v>
      </c>
      <c r="U64" s="433" t="e">
        <f t="shared" ca="1" si="41"/>
        <v>#REF!</v>
      </c>
      <c r="V64" s="394" t="e">
        <f t="shared" ca="1" si="23"/>
        <v>#REF!</v>
      </c>
      <c r="W64" s="394" t="e">
        <f t="shared" ca="1" si="24"/>
        <v>#REF!</v>
      </c>
      <c r="X64" s="394" t="e">
        <f t="shared" ca="1" si="42"/>
        <v>#REF!</v>
      </c>
      <c r="Y64" s="394">
        <f t="shared" si="43"/>
        <v>0</v>
      </c>
      <c r="Z64" s="671" t="str">
        <f ca="1">IF(ISERROR($X64),"X",IF(-$I64&gt;(SP_DebtLimit/$E64),"I",IF(INDEX(SC_EX_APW,EXIDX1)&lt;1,"D","A")))</f>
        <v>X</v>
      </c>
    </row>
    <row r="65" spans="2:26" x14ac:dyDescent="0.25">
      <c r="B65">
        <f t="shared" ca="1" si="26"/>
        <v>2049</v>
      </c>
      <c r="C65" s="65" t="str">
        <f t="shared" si="3"/>
        <v>N</v>
      </c>
      <c r="D65" s="105">
        <f t="shared" si="4"/>
        <v>1</v>
      </c>
      <c r="E65" s="105">
        <f t="shared" ca="1" si="27"/>
        <v>0.421665793166626</v>
      </c>
      <c r="F65" s="77">
        <f t="shared" si="28"/>
        <v>0</v>
      </c>
      <c r="G65" s="77">
        <f t="shared" si="29"/>
        <v>0</v>
      </c>
      <c r="I65" s="430" t="e">
        <f t="shared" ca="1" si="30"/>
        <v>#REF!</v>
      </c>
      <c r="J65" s="284" t="e">
        <f t="shared" ca="1" si="31"/>
        <v>#REF!</v>
      </c>
      <c r="K65" s="284" t="e">
        <f t="shared" ca="1" si="32"/>
        <v>#REF!</v>
      </c>
      <c r="L65" s="284" t="e">
        <f t="shared" ca="1" si="33"/>
        <v>#REF!</v>
      </c>
      <c r="M65" s="284" t="e">
        <f t="shared" ca="1" si="34"/>
        <v>#REF!</v>
      </c>
      <c r="N65" s="284" t="e">
        <f t="shared" ca="1" si="35"/>
        <v>#REF!</v>
      </c>
      <c r="O65" s="284" t="e">
        <f t="shared" ca="1" si="25"/>
        <v>#REF!</v>
      </c>
      <c r="P65" s="307" t="e">
        <f t="shared" ca="1" si="36"/>
        <v>#REF!</v>
      </c>
      <c r="Q65" s="284" t="e">
        <f t="shared" ca="1" si="37"/>
        <v>#REF!</v>
      </c>
      <c r="R65" s="307">
        <f t="shared" ca="1" si="38"/>
        <v>0</v>
      </c>
      <c r="S65" s="284" t="e">
        <f t="shared" ca="1" si="39"/>
        <v>#REF!</v>
      </c>
      <c r="T65" s="307" t="e">
        <f t="shared" ca="1" si="40"/>
        <v>#REF!</v>
      </c>
      <c r="U65" s="434" t="e">
        <f t="shared" ca="1" si="41"/>
        <v>#REF!</v>
      </c>
      <c r="V65" s="284" t="e">
        <f t="shared" ca="1" si="23"/>
        <v>#REF!</v>
      </c>
      <c r="W65" s="284" t="e">
        <f t="shared" ca="1" si="24"/>
        <v>#REF!</v>
      </c>
      <c r="X65" s="284" t="e">
        <f t="shared" ca="1" si="42"/>
        <v>#REF!</v>
      </c>
      <c r="Y65" s="284">
        <f t="shared" si="43"/>
        <v>0</v>
      </c>
      <c r="Z65" s="671"/>
    </row>
    <row r="66" spans="2:26" x14ac:dyDescent="0.25">
      <c r="B66" s="185">
        <f t="shared" ca="1" si="26"/>
        <v>2050</v>
      </c>
      <c r="C66" s="102" t="str">
        <f t="shared" si="3"/>
        <v>R</v>
      </c>
      <c r="D66" s="104">
        <f t="shared" ca="1" si="4"/>
        <v>0.40839302001610273</v>
      </c>
      <c r="E66" s="104">
        <f t="shared" si="27"/>
        <v>1</v>
      </c>
      <c r="F66" s="103">
        <f t="shared" si="28"/>
        <v>0</v>
      </c>
      <c r="G66" s="103">
        <f t="shared" si="29"/>
        <v>0</v>
      </c>
      <c r="I66" s="393" t="e">
        <f t="shared" ca="1" si="30"/>
        <v>#REF!</v>
      </c>
      <c r="J66" s="394" t="e">
        <f t="shared" ca="1" si="31"/>
        <v>#REF!</v>
      </c>
      <c r="K66" s="394" t="e">
        <f t="shared" ca="1" si="32"/>
        <v>#REF!</v>
      </c>
      <c r="L66" s="394" t="e">
        <f t="shared" ca="1" si="33"/>
        <v>#REF!</v>
      </c>
      <c r="M66" s="394" t="e">
        <f t="shared" ca="1" si="34"/>
        <v>#REF!</v>
      </c>
      <c r="N66" s="394" t="e">
        <f t="shared" ca="1" si="35"/>
        <v>#REF!</v>
      </c>
      <c r="O66" s="394" t="e">
        <f t="shared" ca="1" si="25"/>
        <v>#REF!</v>
      </c>
      <c r="P66" s="432" t="e">
        <f t="shared" ca="1" si="36"/>
        <v>#REF!</v>
      </c>
      <c r="Q66" s="394" t="e">
        <f t="shared" ca="1" si="37"/>
        <v>#REF!</v>
      </c>
      <c r="R66" s="432">
        <f t="shared" ca="1" si="38"/>
        <v>0</v>
      </c>
      <c r="S66" s="394" t="e">
        <f t="shared" ca="1" si="39"/>
        <v>#REF!</v>
      </c>
      <c r="T66" s="432" t="e">
        <f t="shared" ca="1" si="40"/>
        <v>#REF!</v>
      </c>
      <c r="U66" s="433" t="e">
        <f t="shared" ca="1" si="41"/>
        <v>#REF!</v>
      </c>
      <c r="V66" s="394" t="e">
        <f t="shared" ca="1" si="23"/>
        <v>#REF!</v>
      </c>
      <c r="W66" s="394" t="e">
        <f t="shared" ca="1" si="24"/>
        <v>#REF!</v>
      </c>
      <c r="X66" s="394" t="e">
        <f t="shared" ca="1" si="42"/>
        <v>#REF!</v>
      </c>
      <c r="Y66" s="394">
        <f t="shared" si="43"/>
        <v>0</v>
      </c>
      <c r="Z66" s="671" t="str">
        <f ca="1">IF(ISERROR($X66),"X",IF(-$I66&gt;(SP_DebtLimit/$E66),"I",IF(INDEX(SC_EX_APW,EXIDX1)&lt;1,"D","A")))</f>
        <v>X</v>
      </c>
    </row>
    <row r="67" spans="2:26" x14ac:dyDescent="0.25">
      <c r="B67">
        <f t="shared" ca="1" si="26"/>
        <v>2050</v>
      </c>
      <c r="C67" s="65" t="str">
        <f t="shared" si="3"/>
        <v>N</v>
      </c>
      <c r="D67" s="105">
        <f t="shared" si="4"/>
        <v>1</v>
      </c>
      <c r="E67" s="105">
        <f t="shared" ca="1" si="27"/>
        <v>0.40839302001610273</v>
      </c>
      <c r="F67" s="77">
        <f t="shared" si="28"/>
        <v>0</v>
      </c>
      <c r="G67" s="77">
        <f t="shared" si="29"/>
        <v>0</v>
      </c>
      <c r="I67" s="430" t="e">
        <f t="shared" ca="1" si="30"/>
        <v>#REF!</v>
      </c>
      <c r="J67" s="284" t="e">
        <f t="shared" ca="1" si="31"/>
        <v>#REF!</v>
      </c>
      <c r="K67" s="284" t="e">
        <f t="shared" ca="1" si="32"/>
        <v>#REF!</v>
      </c>
      <c r="L67" s="284" t="e">
        <f t="shared" ca="1" si="33"/>
        <v>#REF!</v>
      </c>
      <c r="M67" s="284" t="e">
        <f t="shared" ca="1" si="34"/>
        <v>#REF!</v>
      </c>
      <c r="N67" s="284" t="e">
        <f t="shared" ca="1" si="35"/>
        <v>#REF!</v>
      </c>
      <c r="O67" s="284" t="e">
        <f t="shared" ca="1" si="25"/>
        <v>#REF!</v>
      </c>
      <c r="P67" s="307" t="e">
        <f t="shared" ca="1" si="36"/>
        <v>#REF!</v>
      </c>
      <c r="Q67" s="284" t="e">
        <f t="shared" ca="1" si="37"/>
        <v>#REF!</v>
      </c>
      <c r="R67" s="307">
        <f t="shared" ca="1" si="38"/>
        <v>0</v>
      </c>
      <c r="S67" s="284" t="e">
        <f t="shared" ca="1" si="39"/>
        <v>#REF!</v>
      </c>
      <c r="T67" s="307" t="e">
        <f t="shared" ca="1" si="40"/>
        <v>#REF!</v>
      </c>
      <c r="U67" s="434" t="e">
        <f t="shared" ca="1" si="41"/>
        <v>#REF!</v>
      </c>
      <c r="V67" s="284" t="e">
        <f t="shared" ca="1" si="23"/>
        <v>#REF!</v>
      </c>
      <c r="W67" s="284" t="e">
        <f t="shared" ca="1" si="24"/>
        <v>#REF!</v>
      </c>
      <c r="X67" s="284" t="e">
        <f t="shared" ca="1" si="42"/>
        <v>#REF!</v>
      </c>
      <c r="Y67" s="284">
        <f t="shared" si="43"/>
        <v>0</v>
      </c>
      <c r="Z67" s="671"/>
    </row>
    <row r="68" spans="2:26" x14ac:dyDescent="0.25">
      <c r="B68" s="185">
        <f t="shared" ca="1" si="26"/>
        <v>2051</v>
      </c>
      <c r="C68" s="102" t="str">
        <f t="shared" si="3"/>
        <v>R</v>
      </c>
      <c r="D68" s="104">
        <f t="shared" ca="1" si="4"/>
        <v>0.39553803391390091</v>
      </c>
      <c r="E68" s="104">
        <f t="shared" si="27"/>
        <v>1</v>
      </c>
      <c r="F68" s="103">
        <f t="shared" si="28"/>
        <v>0</v>
      </c>
      <c r="G68" s="103">
        <f t="shared" si="29"/>
        <v>0</v>
      </c>
      <c r="I68" s="393" t="e">
        <f t="shared" ca="1" si="30"/>
        <v>#REF!</v>
      </c>
      <c r="J68" s="394" t="e">
        <f t="shared" ca="1" si="31"/>
        <v>#REF!</v>
      </c>
      <c r="K68" s="394" t="e">
        <f t="shared" ca="1" si="32"/>
        <v>#REF!</v>
      </c>
      <c r="L68" s="394" t="e">
        <f t="shared" ca="1" si="33"/>
        <v>#REF!</v>
      </c>
      <c r="M68" s="394" t="e">
        <f t="shared" ca="1" si="34"/>
        <v>#REF!</v>
      </c>
      <c r="N68" s="394" t="e">
        <f t="shared" ca="1" si="35"/>
        <v>#REF!</v>
      </c>
      <c r="O68" s="394" t="e">
        <f t="shared" ca="1" si="25"/>
        <v>#REF!</v>
      </c>
      <c r="P68" s="432" t="e">
        <f t="shared" ca="1" si="36"/>
        <v>#REF!</v>
      </c>
      <c r="Q68" s="394" t="e">
        <f t="shared" ca="1" si="37"/>
        <v>#REF!</v>
      </c>
      <c r="R68" s="432">
        <f t="shared" ca="1" si="38"/>
        <v>0</v>
      </c>
      <c r="S68" s="394" t="e">
        <f t="shared" ca="1" si="39"/>
        <v>#REF!</v>
      </c>
      <c r="T68" s="432" t="e">
        <f t="shared" ca="1" si="40"/>
        <v>#REF!</v>
      </c>
      <c r="U68" s="433" t="e">
        <f t="shared" ca="1" si="41"/>
        <v>#REF!</v>
      </c>
      <c r="V68" s="394" t="e">
        <f t="shared" ca="1" si="23"/>
        <v>#REF!</v>
      </c>
      <c r="W68" s="394" t="e">
        <f t="shared" ca="1" si="24"/>
        <v>#REF!</v>
      </c>
      <c r="X68" s="394" t="e">
        <f t="shared" ca="1" si="42"/>
        <v>#REF!</v>
      </c>
      <c r="Y68" s="394">
        <f t="shared" si="43"/>
        <v>0</v>
      </c>
      <c r="Z68" s="671" t="str">
        <f ca="1">IF(ISERROR($X68),"X",IF(-$I68&gt;(SP_DebtLimit/$E68),"I",IF(INDEX(SC_EX_APW,EXIDX1)&lt;1,"D","A")))</f>
        <v>X</v>
      </c>
    </row>
    <row r="69" spans="2:26" x14ac:dyDescent="0.25">
      <c r="B69">
        <f t="shared" ca="1" si="26"/>
        <v>2051</v>
      </c>
      <c r="C69" s="65" t="str">
        <f t="shared" si="3"/>
        <v>N</v>
      </c>
      <c r="D69" s="105">
        <f t="shared" si="4"/>
        <v>1</v>
      </c>
      <c r="E69" s="105">
        <f t="shared" ca="1" si="27"/>
        <v>0.39553803391390091</v>
      </c>
      <c r="F69" s="77">
        <f t="shared" si="28"/>
        <v>0</v>
      </c>
      <c r="G69" s="77">
        <f t="shared" si="29"/>
        <v>0</v>
      </c>
      <c r="I69" s="430" t="e">
        <f t="shared" ca="1" si="30"/>
        <v>#REF!</v>
      </c>
      <c r="J69" s="284" t="e">
        <f t="shared" ca="1" si="31"/>
        <v>#REF!</v>
      </c>
      <c r="K69" s="284" t="e">
        <f t="shared" ca="1" si="32"/>
        <v>#REF!</v>
      </c>
      <c r="L69" s="284" t="e">
        <f t="shared" ca="1" si="33"/>
        <v>#REF!</v>
      </c>
      <c r="M69" s="284" t="e">
        <f t="shared" ca="1" si="34"/>
        <v>#REF!</v>
      </c>
      <c r="N69" s="284" t="e">
        <f t="shared" ca="1" si="35"/>
        <v>#REF!</v>
      </c>
      <c r="O69" s="284" t="e">
        <f t="shared" ca="1" si="25"/>
        <v>#REF!</v>
      </c>
      <c r="P69" s="307" t="e">
        <f t="shared" ca="1" si="36"/>
        <v>#REF!</v>
      </c>
      <c r="Q69" s="284" t="e">
        <f t="shared" ca="1" si="37"/>
        <v>#REF!</v>
      </c>
      <c r="R69" s="307">
        <f t="shared" ca="1" si="38"/>
        <v>0</v>
      </c>
      <c r="S69" s="284" t="e">
        <f t="shared" ca="1" si="39"/>
        <v>#REF!</v>
      </c>
      <c r="T69" s="307" t="e">
        <f t="shared" ca="1" si="40"/>
        <v>#REF!</v>
      </c>
      <c r="U69" s="434" t="e">
        <f t="shared" ca="1" si="41"/>
        <v>#REF!</v>
      </c>
      <c r="V69" s="284" t="e">
        <f t="shared" ca="1" si="23"/>
        <v>#REF!</v>
      </c>
      <c r="W69" s="284" t="e">
        <f t="shared" ca="1" si="24"/>
        <v>#REF!</v>
      </c>
      <c r="X69" s="284" t="e">
        <f t="shared" ca="1" si="42"/>
        <v>#REF!</v>
      </c>
      <c r="Y69" s="284">
        <f t="shared" si="43"/>
        <v>0</v>
      </c>
      <c r="Z69" s="671"/>
    </row>
    <row r="70" spans="2:26" x14ac:dyDescent="0.25">
      <c r="B70" s="185">
        <f t="shared" ca="1" si="26"/>
        <v>2052</v>
      </c>
      <c r="C70" s="102" t="str">
        <f t="shared" si="3"/>
        <v>R</v>
      </c>
      <c r="D70" s="104">
        <f t="shared" ca="1" si="4"/>
        <v>0.38308768417811223</v>
      </c>
      <c r="E70" s="104">
        <f t="shared" si="27"/>
        <v>1</v>
      </c>
      <c r="F70" s="103">
        <f t="shared" si="28"/>
        <v>0</v>
      </c>
      <c r="G70" s="103">
        <f t="shared" si="29"/>
        <v>0</v>
      </c>
      <c r="I70" s="393" t="e">
        <f t="shared" ca="1" si="30"/>
        <v>#REF!</v>
      </c>
      <c r="J70" s="394" t="e">
        <f t="shared" ca="1" si="31"/>
        <v>#REF!</v>
      </c>
      <c r="K70" s="394" t="e">
        <f t="shared" ca="1" si="32"/>
        <v>#REF!</v>
      </c>
      <c r="L70" s="394" t="e">
        <f t="shared" ca="1" si="33"/>
        <v>#REF!</v>
      </c>
      <c r="M70" s="394" t="e">
        <f t="shared" ca="1" si="34"/>
        <v>#REF!</v>
      </c>
      <c r="N70" s="394" t="e">
        <f t="shared" ca="1" si="35"/>
        <v>#REF!</v>
      </c>
      <c r="O70" s="394" t="e">
        <f t="shared" ca="1" si="25"/>
        <v>#REF!</v>
      </c>
      <c r="P70" s="432" t="e">
        <f t="shared" ca="1" si="36"/>
        <v>#REF!</v>
      </c>
      <c r="Q70" s="394" t="e">
        <f t="shared" ca="1" si="37"/>
        <v>#REF!</v>
      </c>
      <c r="R70" s="432">
        <f t="shared" ca="1" si="38"/>
        <v>0</v>
      </c>
      <c r="S70" s="394" t="e">
        <f t="shared" ca="1" si="39"/>
        <v>#REF!</v>
      </c>
      <c r="T70" s="432" t="e">
        <f t="shared" ca="1" si="40"/>
        <v>#REF!</v>
      </c>
      <c r="U70" s="433" t="e">
        <f t="shared" ca="1" si="41"/>
        <v>#REF!</v>
      </c>
      <c r="V70" s="394" t="e">
        <f t="shared" ca="1" si="23"/>
        <v>#REF!</v>
      </c>
      <c r="W70" s="394" t="e">
        <f t="shared" ca="1" si="24"/>
        <v>#REF!</v>
      </c>
      <c r="X70" s="394" t="e">
        <f t="shared" ca="1" si="42"/>
        <v>#REF!</v>
      </c>
      <c r="Y70" s="394">
        <f t="shared" si="43"/>
        <v>0</v>
      </c>
      <c r="Z70" s="671" t="str">
        <f ca="1">IF(ISERROR($X70),"X",IF(-$I70&gt;(SP_DebtLimit/$E70),"I",IF(INDEX(SC_EX_APW,EXIDX1)&lt;1,"D","A")))</f>
        <v>X</v>
      </c>
    </row>
    <row r="71" spans="2:26" x14ac:dyDescent="0.25">
      <c r="B71">
        <f t="shared" ca="1" si="26"/>
        <v>2052</v>
      </c>
      <c r="C71" s="65" t="str">
        <f t="shared" si="3"/>
        <v>N</v>
      </c>
      <c r="D71" s="105">
        <f t="shared" si="4"/>
        <v>1</v>
      </c>
      <c r="E71" s="105">
        <f t="shared" ca="1" si="27"/>
        <v>0.38308768417811223</v>
      </c>
      <c r="F71" s="77">
        <f t="shared" si="28"/>
        <v>0</v>
      </c>
      <c r="G71" s="77">
        <f t="shared" si="29"/>
        <v>0</v>
      </c>
      <c r="I71" s="430" t="e">
        <f t="shared" ca="1" si="30"/>
        <v>#REF!</v>
      </c>
      <c r="J71" s="284" t="e">
        <f t="shared" ca="1" si="31"/>
        <v>#REF!</v>
      </c>
      <c r="K71" s="284" t="e">
        <f t="shared" ca="1" si="32"/>
        <v>#REF!</v>
      </c>
      <c r="L71" s="284" t="e">
        <f t="shared" ca="1" si="33"/>
        <v>#REF!</v>
      </c>
      <c r="M71" s="284" t="e">
        <f t="shared" ca="1" si="34"/>
        <v>#REF!</v>
      </c>
      <c r="N71" s="284" t="e">
        <f t="shared" ca="1" si="35"/>
        <v>#REF!</v>
      </c>
      <c r="O71" s="284" t="e">
        <f t="shared" ca="1" si="25"/>
        <v>#REF!</v>
      </c>
      <c r="P71" s="307" t="e">
        <f t="shared" ca="1" si="36"/>
        <v>#REF!</v>
      </c>
      <c r="Q71" s="284" t="e">
        <f t="shared" ca="1" si="37"/>
        <v>#REF!</v>
      </c>
      <c r="R71" s="307">
        <f t="shared" ca="1" si="38"/>
        <v>0</v>
      </c>
      <c r="S71" s="284" t="e">
        <f t="shared" ca="1" si="39"/>
        <v>#REF!</v>
      </c>
      <c r="T71" s="307" t="e">
        <f t="shared" ca="1" si="40"/>
        <v>#REF!</v>
      </c>
      <c r="U71" s="434" t="e">
        <f t="shared" ca="1" si="41"/>
        <v>#REF!</v>
      </c>
      <c r="V71" s="284" t="e">
        <f t="shared" ca="1" si="23"/>
        <v>#REF!</v>
      </c>
      <c r="W71" s="284" t="e">
        <f t="shared" ca="1" si="24"/>
        <v>#REF!</v>
      </c>
      <c r="X71" s="284" t="e">
        <f t="shared" ca="1" si="42"/>
        <v>#REF!</v>
      </c>
      <c r="Y71" s="284">
        <f t="shared" si="43"/>
        <v>0</v>
      </c>
      <c r="Z71" s="671"/>
    </row>
    <row r="72" spans="2:26" x14ac:dyDescent="0.25">
      <c r="B72" s="185">
        <f t="shared" ca="1" si="26"/>
        <v>2053</v>
      </c>
      <c r="C72" s="102" t="str">
        <f t="shared" ref="C72:C135" si="44">CHOOSE(MOD(ROW(),2)+1,"R","N")</f>
        <v>R</v>
      </c>
      <c r="D72" s="104">
        <f t="shared" ca="1" si="4"/>
        <v>0.3710292340708109</v>
      </c>
      <c r="E72" s="104">
        <f t="shared" si="27"/>
        <v>1</v>
      </c>
      <c r="F72" s="103">
        <f t="shared" si="28"/>
        <v>0</v>
      </c>
      <c r="G72" s="103">
        <f t="shared" si="29"/>
        <v>0</v>
      </c>
      <c r="I72" s="393" t="e">
        <f t="shared" ca="1" si="30"/>
        <v>#REF!</v>
      </c>
      <c r="J72" s="394" t="e">
        <f t="shared" ca="1" si="31"/>
        <v>#REF!</v>
      </c>
      <c r="K72" s="394" t="e">
        <f t="shared" ca="1" si="32"/>
        <v>#REF!</v>
      </c>
      <c r="L72" s="394" t="e">
        <f t="shared" ca="1" si="33"/>
        <v>#REF!</v>
      </c>
      <c r="M72" s="394" t="e">
        <f t="shared" ca="1" si="34"/>
        <v>#REF!</v>
      </c>
      <c r="N72" s="394" t="e">
        <f t="shared" ca="1" si="35"/>
        <v>#REF!</v>
      </c>
      <c r="O72" s="394" t="e">
        <f t="shared" ca="1" si="25"/>
        <v>#REF!</v>
      </c>
      <c r="P72" s="432" t="e">
        <f t="shared" ca="1" si="36"/>
        <v>#REF!</v>
      </c>
      <c r="Q72" s="394" t="e">
        <f t="shared" ca="1" si="37"/>
        <v>#REF!</v>
      </c>
      <c r="R72" s="432">
        <f t="shared" ca="1" si="38"/>
        <v>0</v>
      </c>
      <c r="S72" s="394" t="e">
        <f t="shared" ca="1" si="39"/>
        <v>#REF!</v>
      </c>
      <c r="T72" s="432" t="e">
        <f t="shared" ca="1" si="40"/>
        <v>#REF!</v>
      </c>
      <c r="U72" s="433" t="e">
        <f t="shared" ca="1" si="41"/>
        <v>#REF!</v>
      </c>
      <c r="V72" s="394" t="e">
        <f t="shared" ca="1" si="23"/>
        <v>#REF!</v>
      </c>
      <c r="W72" s="394" t="e">
        <f t="shared" ca="1" si="24"/>
        <v>#REF!</v>
      </c>
      <c r="X72" s="394" t="e">
        <f t="shared" ca="1" si="42"/>
        <v>#REF!</v>
      </c>
      <c r="Y72" s="394">
        <f t="shared" si="43"/>
        <v>0</v>
      </c>
      <c r="Z72" s="671" t="str">
        <f ca="1">IF(ISERROR($X72),"X",IF(-$I72&gt;(SP_DebtLimit/$E72),"I",IF(INDEX(SC_EX_APW,EXIDX1)&lt;1,"D","A")))</f>
        <v>X</v>
      </c>
    </row>
    <row r="73" spans="2:26" x14ac:dyDescent="0.25">
      <c r="B73">
        <f t="shared" ca="1" si="26"/>
        <v>2053</v>
      </c>
      <c r="C73" s="65" t="str">
        <f t="shared" si="44"/>
        <v>N</v>
      </c>
      <c r="D73" s="105">
        <f t="shared" si="4"/>
        <v>1</v>
      </c>
      <c r="E73" s="105">
        <f t="shared" ca="1" si="27"/>
        <v>0.3710292340708109</v>
      </c>
      <c r="F73" s="77">
        <f t="shared" si="28"/>
        <v>0</v>
      </c>
      <c r="G73" s="77">
        <f t="shared" si="29"/>
        <v>0</v>
      </c>
      <c r="I73" s="430" t="e">
        <f t="shared" ca="1" si="30"/>
        <v>#REF!</v>
      </c>
      <c r="J73" s="284" t="e">
        <f t="shared" ca="1" si="31"/>
        <v>#REF!</v>
      </c>
      <c r="K73" s="284" t="e">
        <f t="shared" ca="1" si="32"/>
        <v>#REF!</v>
      </c>
      <c r="L73" s="284" t="e">
        <f t="shared" ca="1" si="33"/>
        <v>#REF!</v>
      </c>
      <c r="M73" s="284" t="e">
        <f t="shared" ca="1" si="34"/>
        <v>#REF!</v>
      </c>
      <c r="N73" s="284" t="e">
        <f t="shared" ca="1" si="35"/>
        <v>#REF!</v>
      </c>
      <c r="O73" s="284" t="e">
        <f t="shared" ca="1" si="25"/>
        <v>#REF!</v>
      </c>
      <c r="P73" s="307" t="e">
        <f t="shared" ca="1" si="36"/>
        <v>#REF!</v>
      </c>
      <c r="Q73" s="284" t="e">
        <f t="shared" ca="1" si="37"/>
        <v>#REF!</v>
      </c>
      <c r="R73" s="307">
        <f t="shared" ca="1" si="38"/>
        <v>0</v>
      </c>
      <c r="S73" s="284" t="e">
        <f t="shared" ca="1" si="39"/>
        <v>#REF!</v>
      </c>
      <c r="T73" s="307" t="e">
        <f t="shared" ca="1" si="40"/>
        <v>#REF!</v>
      </c>
      <c r="U73" s="434" t="e">
        <f t="shared" ca="1" si="41"/>
        <v>#REF!</v>
      </c>
      <c r="V73" s="284" t="e">
        <f t="shared" ca="1" si="23"/>
        <v>#REF!</v>
      </c>
      <c r="W73" s="284" t="e">
        <f t="shared" ca="1" si="24"/>
        <v>#REF!</v>
      </c>
      <c r="X73" s="284" t="e">
        <f t="shared" ca="1" si="42"/>
        <v>#REF!</v>
      </c>
      <c r="Y73" s="284">
        <f t="shared" si="43"/>
        <v>0</v>
      </c>
      <c r="Z73" s="671"/>
    </row>
    <row r="74" spans="2:26" x14ac:dyDescent="0.25">
      <c r="B74" s="185">
        <f t="shared" ref="B74:B105" ca="1" si="45">B72+1</f>
        <v>2054</v>
      </c>
      <c r="C74" s="102" t="str">
        <f t="shared" si="44"/>
        <v>R</v>
      </c>
      <c r="D74" s="104">
        <f t="shared" ref="D74:D137" ca="1" si="46">CHOOSE(MOD(ROW(),2)+1,INDEX(SC_EA_InflationCPIdx,EAIDX),1)</f>
        <v>0.35935034776833985</v>
      </c>
      <c r="E74" s="104">
        <f t="shared" ref="E74:E105" si="47">CHOOSE(MOD(ROW(),2)+1,1,INDEX(SC_EA_InflationCPIdx,EAIDX))</f>
        <v>1</v>
      </c>
      <c r="F74" s="103">
        <f t="shared" ref="F74:F105" si="48">IF(INDEX(SC_ShowRetireatee,1),IF($B74&lt;YEAR(INDEX(SP_BirthDate,1)),0,$B74-YEAR(INDEX(SP_BirthDate,1))),0)</f>
        <v>0</v>
      </c>
      <c r="G74" s="103">
        <f t="shared" ref="G74:G105" si="49">IF(INDEX(SC_ShowRetireatee,2),IF($B74&lt;YEAR(INDEX(SP_BirthDate,2)),0,$B74-YEAR(INDEX(SP_BirthDate,2))),0)</f>
        <v>0</v>
      </c>
      <c r="I74" s="393" t="e">
        <f t="shared" ref="I74:I105" ca="1" si="50">MIN(($I72+$X72)/$D72*$D74,0)</f>
        <v>#REF!</v>
      </c>
      <c r="J74" s="394" t="e">
        <f t="shared" ref="J74:J105" ca="1" si="51">INDEX(SC_EX_IncomeActiveA,EXIDX1)*$D74</f>
        <v>#REF!</v>
      </c>
      <c r="K74" s="394" t="e">
        <f t="shared" ref="K74:K105" ca="1" si="52">INDEX(SC_EX_IncomePassiveA,EXIDX1)*$D74</f>
        <v>#REF!</v>
      </c>
      <c r="L74" s="394" t="e">
        <f t="shared" ref="L74:L105" ca="1" si="53">INDEX(SC_ZA_IncomeAnny,ZAIDX)*$D74</f>
        <v>#REF!</v>
      </c>
      <c r="M74" s="394" t="e">
        <f t="shared" ref="M74:M105" ca="1" si="54">INDEX(SC_ZX_SSRIBA,ZXIDX1)*$D74</f>
        <v>#REF!</v>
      </c>
      <c r="N74" s="394" t="e">
        <f t="shared" ref="N74:N105" ca="1" si="55">INDEX(SC_ZX_IncomeCapitalA,ZXIDX1)*$D74</f>
        <v>#REF!</v>
      </c>
      <c r="O74" s="394" t="e">
        <f t="shared" ca="1" si="25"/>
        <v>#REF!</v>
      </c>
      <c r="P74" s="432" t="e">
        <f t="shared" ref="P74:P105" ca="1" si="56">(INDEX(SC_ZX_IRAContribA,ZXIDX1)+INDEX(SC_ZA_AnnyContrib,ZAIDX))*$D74</f>
        <v>#REF!</v>
      </c>
      <c r="Q74" s="394" t="e">
        <f t="shared" ref="Q74:Q105" ca="1" si="57">((ABS(INDEX(SC_EX_APW,EXIDX1))*INDEX(SC_ExpensesLiving,1)+(1-ABS(INDEX(SC_EX_APW,EXIDX1)))*INDEX(SC_ExpensesLiving,2))*12/INDEX(SC_EA_InflationCPIdx,EAIDX)+INDEX(SC_ZA_ExpensesHome,ZAIDX))*$D74</f>
        <v>#REF!</v>
      </c>
      <c r="R74" s="432">
        <f t="shared" ref="R74:R105" ca="1" si="58">(SUMIF(SP_LumpSumYears,$B74,SP_LumpSumAmounts)/INDEX(SC_EA_InflationCPIdx,EAIDX))*$D74</f>
        <v>0</v>
      </c>
      <c r="S74" s="394" t="e">
        <f t="shared" ref="S74:S105" ca="1" si="59">$I74*SP_DebtRate</f>
        <v>#REF!</v>
      </c>
      <c r="T74" s="432" t="e">
        <f t="shared" ref="T74:T105" ca="1" si="60">INDEX(SC_ZX_TotalTaxesA,ZXIDX1)*$D74</f>
        <v>#REF!</v>
      </c>
      <c r="U74" s="433" t="e">
        <f t="shared" ref="U74:U105" ca="1" si="61">(1-IF($O74&gt;0,-$T74/$O74,0))</f>
        <v>#REF!</v>
      </c>
      <c r="V74" s="394" t="e">
        <f t="shared" ca="1" si="23"/>
        <v>#REF!</v>
      </c>
      <c r="W74" s="394" t="e">
        <f t="shared" ca="1" si="24"/>
        <v>#REF!</v>
      </c>
      <c r="X74" s="394" t="e">
        <f t="shared" ref="X74:X105" ca="1" si="62">SUM(O74:T74)</f>
        <v>#REF!</v>
      </c>
      <c r="Y74" s="394">
        <f t="shared" ref="Y74:Y105" si="63">IF(SC_DataMode=FALSE, 0, IF($B74=SC_YearStop-1,0,($Y76/$D76*$D74)/(1+(INDEX(SC_ZX_ARPortfolio, ZXIDX1)*(1-ABS(INDEX(SC_EX_APW,EXIDX1))))))+$N74)</f>
        <v>0</v>
      </c>
      <c r="Z74" s="671" t="str">
        <f ca="1">IF(ISERROR($X74),"X",IF(-$I74&gt;(SP_DebtLimit/$E74),"I",IF(INDEX(SC_EX_APW,EXIDX1)&lt;1,"D","A")))</f>
        <v>X</v>
      </c>
    </row>
    <row r="75" spans="2:26" x14ac:dyDescent="0.25">
      <c r="B75">
        <f t="shared" ca="1" si="45"/>
        <v>2054</v>
      </c>
      <c r="C75" s="65" t="str">
        <f t="shared" si="44"/>
        <v>N</v>
      </c>
      <c r="D75" s="105">
        <f t="shared" si="46"/>
        <v>1</v>
      </c>
      <c r="E75" s="105">
        <f t="shared" ca="1" si="47"/>
        <v>0.35935034776833985</v>
      </c>
      <c r="F75" s="77">
        <f t="shared" si="48"/>
        <v>0</v>
      </c>
      <c r="G75" s="77">
        <f t="shared" si="49"/>
        <v>0</v>
      </c>
      <c r="I75" s="430" t="e">
        <f t="shared" ca="1" si="50"/>
        <v>#REF!</v>
      </c>
      <c r="J75" s="284" t="e">
        <f t="shared" ca="1" si="51"/>
        <v>#REF!</v>
      </c>
      <c r="K75" s="284" t="e">
        <f t="shared" ca="1" si="52"/>
        <v>#REF!</v>
      </c>
      <c r="L75" s="284" t="e">
        <f t="shared" ca="1" si="53"/>
        <v>#REF!</v>
      </c>
      <c r="M75" s="284" t="e">
        <f t="shared" ca="1" si="54"/>
        <v>#REF!</v>
      </c>
      <c r="N75" s="284" t="e">
        <f t="shared" ca="1" si="55"/>
        <v>#REF!</v>
      </c>
      <c r="O75" s="284" t="e">
        <f t="shared" ca="1" si="25"/>
        <v>#REF!</v>
      </c>
      <c r="P75" s="307" t="e">
        <f t="shared" ca="1" si="56"/>
        <v>#REF!</v>
      </c>
      <c r="Q75" s="284" t="e">
        <f t="shared" ca="1" si="57"/>
        <v>#REF!</v>
      </c>
      <c r="R75" s="307">
        <f t="shared" ca="1" si="58"/>
        <v>0</v>
      </c>
      <c r="S75" s="284" t="e">
        <f t="shared" ca="1" si="59"/>
        <v>#REF!</v>
      </c>
      <c r="T75" s="307" t="e">
        <f t="shared" ca="1" si="60"/>
        <v>#REF!</v>
      </c>
      <c r="U75" s="434" t="e">
        <f t="shared" ca="1" si="61"/>
        <v>#REF!</v>
      </c>
      <c r="V75" s="284" t="e">
        <f t="shared" ref="V75:V138" ca="1" si="64">MAX(-($I75+$P75+$Q75+$R75+$S75)/$U75,0)</f>
        <v>#REF!</v>
      </c>
      <c r="W75" s="284" t="e">
        <f t="shared" ref="W75:W138" ca="1" si="65">MAX($V75-(SUM($J75:$M75)),0)</f>
        <v>#REF!</v>
      </c>
      <c r="X75" s="284" t="e">
        <f t="shared" ca="1" si="62"/>
        <v>#REF!</v>
      </c>
      <c r="Y75" s="284">
        <f t="shared" si="63"/>
        <v>0</v>
      </c>
      <c r="Z75" s="671"/>
    </row>
    <row r="76" spans="2:26" x14ac:dyDescent="0.25">
      <c r="B76" s="185">
        <f t="shared" ca="1" si="45"/>
        <v>2055</v>
      </c>
      <c r="C76" s="102" t="str">
        <f t="shared" si="44"/>
        <v>R</v>
      </c>
      <c r="D76" s="104">
        <f t="shared" ca="1" si="46"/>
        <v>0.34803907774173354</v>
      </c>
      <c r="E76" s="104">
        <f t="shared" si="47"/>
        <v>1</v>
      </c>
      <c r="F76" s="103">
        <f t="shared" si="48"/>
        <v>0</v>
      </c>
      <c r="G76" s="103">
        <f t="shared" si="49"/>
        <v>0</v>
      </c>
      <c r="I76" s="393" t="e">
        <f t="shared" ca="1" si="50"/>
        <v>#REF!</v>
      </c>
      <c r="J76" s="394" t="e">
        <f t="shared" ca="1" si="51"/>
        <v>#REF!</v>
      </c>
      <c r="K76" s="394" t="e">
        <f t="shared" ca="1" si="52"/>
        <v>#REF!</v>
      </c>
      <c r="L76" s="394" t="e">
        <f t="shared" ca="1" si="53"/>
        <v>#REF!</v>
      </c>
      <c r="M76" s="394" t="e">
        <f t="shared" ca="1" si="54"/>
        <v>#REF!</v>
      </c>
      <c r="N76" s="394" t="e">
        <f t="shared" ca="1" si="55"/>
        <v>#REF!</v>
      </c>
      <c r="O76" s="394" t="e">
        <f t="shared" ca="1" si="25"/>
        <v>#REF!</v>
      </c>
      <c r="P76" s="432" t="e">
        <f t="shared" ca="1" si="56"/>
        <v>#REF!</v>
      </c>
      <c r="Q76" s="394" t="e">
        <f t="shared" ca="1" si="57"/>
        <v>#REF!</v>
      </c>
      <c r="R76" s="432">
        <f t="shared" ca="1" si="58"/>
        <v>0</v>
      </c>
      <c r="S76" s="394" t="e">
        <f t="shared" ca="1" si="59"/>
        <v>#REF!</v>
      </c>
      <c r="T76" s="432" t="e">
        <f t="shared" ca="1" si="60"/>
        <v>#REF!</v>
      </c>
      <c r="U76" s="433" t="e">
        <f t="shared" ca="1" si="61"/>
        <v>#REF!</v>
      </c>
      <c r="V76" s="394" t="e">
        <f t="shared" ca="1" si="64"/>
        <v>#REF!</v>
      </c>
      <c r="W76" s="394" t="e">
        <f t="shared" ca="1" si="65"/>
        <v>#REF!</v>
      </c>
      <c r="X76" s="394" t="e">
        <f t="shared" ca="1" si="62"/>
        <v>#REF!</v>
      </c>
      <c r="Y76" s="394">
        <f t="shared" si="63"/>
        <v>0</v>
      </c>
      <c r="Z76" s="671" t="str">
        <f ca="1">IF(ISERROR($X76),"X",IF(-$I76&gt;(SP_DebtLimit/$E76),"I",IF(INDEX(SC_EX_APW,EXIDX1)&lt;1,"D","A")))</f>
        <v>X</v>
      </c>
    </row>
    <row r="77" spans="2:26" x14ac:dyDescent="0.25">
      <c r="B77">
        <f t="shared" ca="1" si="45"/>
        <v>2055</v>
      </c>
      <c r="C77" s="65" t="str">
        <f t="shared" si="44"/>
        <v>N</v>
      </c>
      <c r="D77" s="105">
        <f t="shared" si="46"/>
        <v>1</v>
      </c>
      <c r="E77" s="105">
        <f t="shared" ca="1" si="47"/>
        <v>0.34803907774173354</v>
      </c>
      <c r="F77" s="77">
        <f t="shared" si="48"/>
        <v>0</v>
      </c>
      <c r="G77" s="77">
        <f t="shared" si="49"/>
        <v>0</v>
      </c>
      <c r="I77" s="430" t="e">
        <f t="shared" ca="1" si="50"/>
        <v>#REF!</v>
      </c>
      <c r="J77" s="284" t="e">
        <f t="shared" ca="1" si="51"/>
        <v>#REF!</v>
      </c>
      <c r="K77" s="284" t="e">
        <f t="shared" ca="1" si="52"/>
        <v>#REF!</v>
      </c>
      <c r="L77" s="284" t="e">
        <f t="shared" ca="1" si="53"/>
        <v>#REF!</v>
      </c>
      <c r="M77" s="284" t="e">
        <f t="shared" ca="1" si="54"/>
        <v>#REF!</v>
      </c>
      <c r="N77" s="284" t="e">
        <f t="shared" ca="1" si="55"/>
        <v>#REF!</v>
      </c>
      <c r="O77" s="284" t="e">
        <f t="shared" ref="O77:O140" ca="1" si="66">SUM(J77:N77)</f>
        <v>#REF!</v>
      </c>
      <c r="P77" s="307" t="e">
        <f t="shared" ca="1" si="56"/>
        <v>#REF!</v>
      </c>
      <c r="Q77" s="284" t="e">
        <f t="shared" ca="1" si="57"/>
        <v>#REF!</v>
      </c>
      <c r="R77" s="307">
        <f t="shared" ca="1" si="58"/>
        <v>0</v>
      </c>
      <c r="S77" s="284" t="e">
        <f t="shared" ca="1" si="59"/>
        <v>#REF!</v>
      </c>
      <c r="T77" s="307" t="e">
        <f t="shared" ca="1" si="60"/>
        <v>#REF!</v>
      </c>
      <c r="U77" s="434" t="e">
        <f t="shared" ca="1" si="61"/>
        <v>#REF!</v>
      </c>
      <c r="V77" s="284" t="e">
        <f t="shared" ca="1" si="64"/>
        <v>#REF!</v>
      </c>
      <c r="W77" s="284" t="e">
        <f t="shared" ca="1" si="65"/>
        <v>#REF!</v>
      </c>
      <c r="X77" s="284" t="e">
        <f t="shared" ca="1" si="62"/>
        <v>#REF!</v>
      </c>
      <c r="Y77" s="284">
        <f t="shared" si="63"/>
        <v>0</v>
      </c>
      <c r="Z77" s="671"/>
    </row>
    <row r="78" spans="2:26" x14ac:dyDescent="0.25">
      <c r="B78" s="185">
        <f t="shared" ca="1" si="45"/>
        <v>2056</v>
      </c>
      <c r="C78" s="102" t="str">
        <f t="shared" si="44"/>
        <v>R</v>
      </c>
      <c r="D78" s="104">
        <f t="shared" ca="1" si="46"/>
        <v>0.33708385253436662</v>
      </c>
      <c r="E78" s="104">
        <f t="shared" si="47"/>
        <v>1</v>
      </c>
      <c r="F78" s="103">
        <f t="shared" si="48"/>
        <v>0</v>
      </c>
      <c r="G78" s="103">
        <f t="shared" si="49"/>
        <v>0</v>
      </c>
      <c r="I78" s="393" t="e">
        <f t="shared" ca="1" si="50"/>
        <v>#REF!</v>
      </c>
      <c r="J78" s="394" t="e">
        <f t="shared" ca="1" si="51"/>
        <v>#REF!</v>
      </c>
      <c r="K78" s="394" t="e">
        <f t="shared" ca="1" si="52"/>
        <v>#REF!</v>
      </c>
      <c r="L78" s="394" t="e">
        <f t="shared" ca="1" si="53"/>
        <v>#REF!</v>
      </c>
      <c r="M78" s="394" t="e">
        <f t="shared" ca="1" si="54"/>
        <v>#REF!</v>
      </c>
      <c r="N78" s="394" t="e">
        <f t="shared" ca="1" si="55"/>
        <v>#REF!</v>
      </c>
      <c r="O78" s="394" t="e">
        <f t="shared" ca="1" si="66"/>
        <v>#REF!</v>
      </c>
      <c r="P78" s="432" t="e">
        <f t="shared" ca="1" si="56"/>
        <v>#REF!</v>
      </c>
      <c r="Q78" s="394" t="e">
        <f t="shared" ca="1" si="57"/>
        <v>#REF!</v>
      </c>
      <c r="R78" s="432">
        <f t="shared" ca="1" si="58"/>
        <v>0</v>
      </c>
      <c r="S78" s="394" t="e">
        <f t="shared" ca="1" si="59"/>
        <v>#REF!</v>
      </c>
      <c r="T78" s="432" t="e">
        <f t="shared" ca="1" si="60"/>
        <v>#REF!</v>
      </c>
      <c r="U78" s="433" t="e">
        <f t="shared" ca="1" si="61"/>
        <v>#REF!</v>
      </c>
      <c r="V78" s="394" t="e">
        <f t="shared" ca="1" si="64"/>
        <v>#REF!</v>
      </c>
      <c r="W78" s="394" t="e">
        <f t="shared" ca="1" si="65"/>
        <v>#REF!</v>
      </c>
      <c r="X78" s="394" t="e">
        <f t="shared" ca="1" si="62"/>
        <v>#REF!</v>
      </c>
      <c r="Y78" s="394">
        <f t="shared" si="63"/>
        <v>0</v>
      </c>
      <c r="Z78" s="671" t="str">
        <f ca="1">IF(ISERROR($X78),"X",IF(-$I78&gt;(SP_DebtLimit/$E78),"I",IF(INDEX(SC_EX_APW,EXIDX1)&lt;1,"D","A")))</f>
        <v>X</v>
      </c>
    </row>
    <row r="79" spans="2:26" x14ac:dyDescent="0.25">
      <c r="B79">
        <f t="shared" ca="1" si="45"/>
        <v>2056</v>
      </c>
      <c r="C79" s="65" t="str">
        <f t="shared" si="44"/>
        <v>N</v>
      </c>
      <c r="D79" s="105">
        <f t="shared" si="46"/>
        <v>1</v>
      </c>
      <c r="E79" s="105">
        <f t="shared" ca="1" si="47"/>
        <v>0.33708385253436662</v>
      </c>
      <c r="F79" s="77">
        <f t="shared" si="48"/>
        <v>0</v>
      </c>
      <c r="G79" s="77">
        <f t="shared" si="49"/>
        <v>0</v>
      </c>
      <c r="I79" s="430" t="e">
        <f t="shared" ca="1" si="50"/>
        <v>#REF!</v>
      </c>
      <c r="J79" s="284" t="e">
        <f t="shared" ca="1" si="51"/>
        <v>#REF!</v>
      </c>
      <c r="K79" s="284" t="e">
        <f t="shared" ca="1" si="52"/>
        <v>#REF!</v>
      </c>
      <c r="L79" s="284" t="e">
        <f t="shared" ca="1" si="53"/>
        <v>#REF!</v>
      </c>
      <c r="M79" s="284" t="e">
        <f t="shared" ca="1" si="54"/>
        <v>#REF!</v>
      </c>
      <c r="N79" s="284" t="e">
        <f t="shared" ca="1" si="55"/>
        <v>#REF!</v>
      </c>
      <c r="O79" s="284" t="e">
        <f t="shared" ca="1" si="66"/>
        <v>#REF!</v>
      </c>
      <c r="P79" s="307" t="e">
        <f t="shared" ca="1" si="56"/>
        <v>#REF!</v>
      </c>
      <c r="Q79" s="284" t="e">
        <f t="shared" ca="1" si="57"/>
        <v>#REF!</v>
      </c>
      <c r="R79" s="307">
        <f t="shared" ca="1" si="58"/>
        <v>0</v>
      </c>
      <c r="S79" s="284" t="e">
        <f t="shared" ca="1" si="59"/>
        <v>#REF!</v>
      </c>
      <c r="T79" s="307" t="e">
        <f t="shared" ca="1" si="60"/>
        <v>#REF!</v>
      </c>
      <c r="U79" s="434" t="e">
        <f t="shared" ca="1" si="61"/>
        <v>#REF!</v>
      </c>
      <c r="V79" s="284" t="e">
        <f t="shared" ca="1" si="64"/>
        <v>#REF!</v>
      </c>
      <c r="W79" s="284" t="e">
        <f t="shared" ca="1" si="65"/>
        <v>#REF!</v>
      </c>
      <c r="X79" s="284" t="e">
        <f t="shared" ca="1" si="62"/>
        <v>#REF!</v>
      </c>
      <c r="Y79" s="284">
        <f t="shared" si="63"/>
        <v>0</v>
      </c>
      <c r="Z79" s="671"/>
    </row>
    <row r="80" spans="2:26" x14ac:dyDescent="0.25">
      <c r="B80" s="185">
        <f t="shared" ca="1" si="45"/>
        <v>2057</v>
      </c>
      <c r="C80" s="102" t="str">
        <f t="shared" si="44"/>
        <v>R</v>
      </c>
      <c r="D80" s="104">
        <f t="shared" ca="1" si="46"/>
        <v>0.32647346492432605</v>
      </c>
      <c r="E80" s="104">
        <f t="shared" si="47"/>
        <v>1</v>
      </c>
      <c r="F80" s="103">
        <f t="shared" si="48"/>
        <v>0</v>
      </c>
      <c r="G80" s="103">
        <f t="shared" si="49"/>
        <v>0</v>
      </c>
      <c r="I80" s="393" t="e">
        <f t="shared" ca="1" si="50"/>
        <v>#REF!</v>
      </c>
      <c r="J80" s="394" t="e">
        <f t="shared" ca="1" si="51"/>
        <v>#REF!</v>
      </c>
      <c r="K80" s="394" t="e">
        <f t="shared" ca="1" si="52"/>
        <v>#REF!</v>
      </c>
      <c r="L80" s="394" t="e">
        <f t="shared" ca="1" si="53"/>
        <v>#REF!</v>
      </c>
      <c r="M80" s="394" t="e">
        <f t="shared" ca="1" si="54"/>
        <v>#REF!</v>
      </c>
      <c r="N80" s="394" t="e">
        <f t="shared" ca="1" si="55"/>
        <v>#REF!</v>
      </c>
      <c r="O80" s="394" t="e">
        <f t="shared" ca="1" si="66"/>
        <v>#REF!</v>
      </c>
      <c r="P80" s="432" t="e">
        <f t="shared" ca="1" si="56"/>
        <v>#REF!</v>
      </c>
      <c r="Q80" s="394" t="e">
        <f t="shared" ca="1" si="57"/>
        <v>#REF!</v>
      </c>
      <c r="R80" s="432">
        <f t="shared" ca="1" si="58"/>
        <v>0</v>
      </c>
      <c r="S80" s="394" t="e">
        <f t="shared" ca="1" si="59"/>
        <v>#REF!</v>
      </c>
      <c r="T80" s="432" t="e">
        <f t="shared" ca="1" si="60"/>
        <v>#REF!</v>
      </c>
      <c r="U80" s="433" t="e">
        <f t="shared" ca="1" si="61"/>
        <v>#REF!</v>
      </c>
      <c r="V80" s="394" t="e">
        <f t="shared" ca="1" si="64"/>
        <v>#REF!</v>
      </c>
      <c r="W80" s="394" t="e">
        <f t="shared" ca="1" si="65"/>
        <v>#REF!</v>
      </c>
      <c r="X80" s="394" t="e">
        <f t="shared" ca="1" si="62"/>
        <v>#REF!</v>
      </c>
      <c r="Y80" s="394">
        <f t="shared" si="63"/>
        <v>0</v>
      </c>
      <c r="Z80" s="671" t="str">
        <f ca="1">IF(ISERROR($X80),"X",IF(-$I80&gt;(SP_DebtLimit/$E80),"I",IF(INDEX(SC_EX_APW,EXIDX1)&lt;1,"D","A")))</f>
        <v>X</v>
      </c>
    </row>
    <row r="81" spans="2:26" x14ac:dyDescent="0.25">
      <c r="B81">
        <f t="shared" ca="1" si="45"/>
        <v>2057</v>
      </c>
      <c r="C81" s="65" t="str">
        <f t="shared" si="44"/>
        <v>N</v>
      </c>
      <c r="D81" s="105">
        <f t="shared" si="46"/>
        <v>1</v>
      </c>
      <c r="E81" s="105">
        <f t="shared" ca="1" si="47"/>
        <v>0.32647346492432605</v>
      </c>
      <c r="F81" s="77">
        <f t="shared" si="48"/>
        <v>0</v>
      </c>
      <c r="G81" s="77">
        <f t="shared" si="49"/>
        <v>0</v>
      </c>
      <c r="I81" s="430" t="e">
        <f t="shared" ca="1" si="50"/>
        <v>#REF!</v>
      </c>
      <c r="J81" s="284" t="e">
        <f t="shared" ca="1" si="51"/>
        <v>#REF!</v>
      </c>
      <c r="K81" s="284" t="e">
        <f t="shared" ca="1" si="52"/>
        <v>#REF!</v>
      </c>
      <c r="L81" s="284" t="e">
        <f t="shared" ca="1" si="53"/>
        <v>#REF!</v>
      </c>
      <c r="M81" s="284" t="e">
        <f t="shared" ca="1" si="54"/>
        <v>#REF!</v>
      </c>
      <c r="N81" s="284" t="e">
        <f t="shared" ca="1" si="55"/>
        <v>#REF!</v>
      </c>
      <c r="O81" s="284" t="e">
        <f t="shared" ca="1" si="66"/>
        <v>#REF!</v>
      </c>
      <c r="P81" s="307" t="e">
        <f t="shared" ca="1" si="56"/>
        <v>#REF!</v>
      </c>
      <c r="Q81" s="284" t="e">
        <f t="shared" ca="1" si="57"/>
        <v>#REF!</v>
      </c>
      <c r="R81" s="307">
        <f t="shared" ca="1" si="58"/>
        <v>0</v>
      </c>
      <c r="S81" s="284" t="e">
        <f t="shared" ca="1" si="59"/>
        <v>#REF!</v>
      </c>
      <c r="T81" s="307" t="e">
        <f t="shared" ca="1" si="60"/>
        <v>#REF!</v>
      </c>
      <c r="U81" s="434" t="e">
        <f t="shared" ca="1" si="61"/>
        <v>#REF!</v>
      </c>
      <c r="V81" s="284" t="e">
        <f t="shared" ca="1" si="64"/>
        <v>#REF!</v>
      </c>
      <c r="W81" s="284" t="e">
        <f t="shared" ca="1" si="65"/>
        <v>#REF!</v>
      </c>
      <c r="X81" s="284" t="e">
        <f t="shared" ca="1" si="62"/>
        <v>#REF!</v>
      </c>
      <c r="Y81" s="284">
        <f t="shared" si="63"/>
        <v>0</v>
      </c>
      <c r="Z81" s="671"/>
    </row>
    <row r="82" spans="2:26" x14ac:dyDescent="0.25">
      <c r="B82" s="185">
        <f t="shared" ca="1" si="45"/>
        <v>2058</v>
      </c>
      <c r="C82" s="102" t="str">
        <f t="shared" si="44"/>
        <v>R</v>
      </c>
      <c r="D82" s="104">
        <f t="shared" ca="1" si="46"/>
        <v>0.31619706045939572</v>
      </c>
      <c r="E82" s="104">
        <f t="shared" si="47"/>
        <v>1</v>
      </c>
      <c r="F82" s="103">
        <f t="shared" si="48"/>
        <v>0</v>
      </c>
      <c r="G82" s="103">
        <f t="shared" si="49"/>
        <v>0</v>
      </c>
      <c r="I82" s="393" t="e">
        <f t="shared" ca="1" si="50"/>
        <v>#REF!</v>
      </c>
      <c r="J82" s="394" t="e">
        <f t="shared" ca="1" si="51"/>
        <v>#REF!</v>
      </c>
      <c r="K82" s="394" t="e">
        <f t="shared" ca="1" si="52"/>
        <v>#REF!</v>
      </c>
      <c r="L82" s="394" t="e">
        <f t="shared" ca="1" si="53"/>
        <v>#REF!</v>
      </c>
      <c r="M82" s="394" t="e">
        <f t="shared" ca="1" si="54"/>
        <v>#REF!</v>
      </c>
      <c r="N82" s="394" t="e">
        <f t="shared" ca="1" si="55"/>
        <v>#REF!</v>
      </c>
      <c r="O82" s="394" t="e">
        <f t="shared" ca="1" si="66"/>
        <v>#REF!</v>
      </c>
      <c r="P82" s="432" t="e">
        <f t="shared" ca="1" si="56"/>
        <v>#REF!</v>
      </c>
      <c r="Q82" s="394" t="e">
        <f t="shared" ca="1" si="57"/>
        <v>#REF!</v>
      </c>
      <c r="R82" s="432">
        <f t="shared" ca="1" si="58"/>
        <v>0</v>
      </c>
      <c r="S82" s="394" t="e">
        <f t="shared" ca="1" si="59"/>
        <v>#REF!</v>
      </c>
      <c r="T82" s="432" t="e">
        <f t="shared" ca="1" si="60"/>
        <v>#REF!</v>
      </c>
      <c r="U82" s="433" t="e">
        <f t="shared" ca="1" si="61"/>
        <v>#REF!</v>
      </c>
      <c r="V82" s="394" t="e">
        <f t="shared" ca="1" si="64"/>
        <v>#REF!</v>
      </c>
      <c r="W82" s="394" t="e">
        <f t="shared" ca="1" si="65"/>
        <v>#REF!</v>
      </c>
      <c r="X82" s="394" t="e">
        <f t="shared" ca="1" si="62"/>
        <v>#REF!</v>
      </c>
      <c r="Y82" s="394">
        <f t="shared" si="63"/>
        <v>0</v>
      </c>
      <c r="Z82" s="671" t="str">
        <f ca="1">IF(ISERROR($X82),"X",IF(-$I82&gt;(SP_DebtLimit/$E82),"I",IF(INDEX(SC_EX_APW,EXIDX1)&lt;1,"D","A")))</f>
        <v>X</v>
      </c>
    </row>
    <row r="83" spans="2:26" x14ac:dyDescent="0.25">
      <c r="B83">
        <f t="shared" ca="1" si="45"/>
        <v>2058</v>
      </c>
      <c r="C83" s="65" t="str">
        <f t="shared" si="44"/>
        <v>N</v>
      </c>
      <c r="D83" s="105">
        <f t="shared" si="46"/>
        <v>1</v>
      </c>
      <c r="E83" s="105">
        <f t="shared" ca="1" si="47"/>
        <v>0.31619706045939572</v>
      </c>
      <c r="F83" s="77">
        <f t="shared" si="48"/>
        <v>0</v>
      </c>
      <c r="G83" s="77">
        <f t="shared" si="49"/>
        <v>0</v>
      </c>
      <c r="I83" s="430" t="e">
        <f t="shared" ca="1" si="50"/>
        <v>#REF!</v>
      </c>
      <c r="J83" s="284" t="e">
        <f t="shared" ca="1" si="51"/>
        <v>#REF!</v>
      </c>
      <c r="K83" s="284" t="e">
        <f t="shared" ca="1" si="52"/>
        <v>#REF!</v>
      </c>
      <c r="L83" s="284" t="e">
        <f t="shared" ca="1" si="53"/>
        <v>#REF!</v>
      </c>
      <c r="M83" s="284" t="e">
        <f t="shared" ca="1" si="54"/>
        <v>#REF!</v>
      </c>
      <c r="N83" s="284" t="e">
        <f t="shared" ca="1" si="55"/>
        <v>#REF!</v>
      </c>
      <c r="O83" s="284" t="e">
        <f t="shared" ca="1" si="66"/>
        <v>#REF!</v>
      </c>
      <c r="P83" s="307" t="e">
        <f t="shared" ca="1" si="56"/>
        <v>#REF!</v>
      </c>
      <c r="Q83" s="284" t="e">
        <f t="shared" ca="1" si="57"/>
        <v>#REF!</v>
      </c>
      <c r="R83" s="307">
        <f t="shared" ca="1" si="58"/>
        <v>0</v>
      </c>
      <c r="S83" s="284" t="e">
        <f t="shared" ca="1" si="59"/>
        <v>#REF!</v>
      </c>
      <c r="T83" s="307" t="e">
        <f t="shared" ca="1" si="60"/>
        <v>#REF!</v>
      </c>
      <c r="U83" s="434" t="e">
        <f t="shared" ca="1" si="61"/>
        <v>#REF!</v>
      </c>
      <c r="V83" s="284" t="e">
        <f t="shared" ca="1" si="64"/>
        <v>#REF!</v>
      </c>
      <c r="W83" s="284" t="e">
        <f t="shared" ca="1" si="65"/>
        <v>#REF!</v>
      </c>
      <c r="X83" s="284" t="e">
        <f t="shared" ca="1" si="62"/>
        <v>#REF!</v>
      </c>
      <c r="Y83" s="284">
        <f t="shared" si="63"/>
        <v>0</v>
      </c>
      <c r="Z83" s="671"/>
    </row>
    <row r="84" spans="2:26" x14ac:dyDescent="0.25">
      <c r="B84" s="185">
        <f t="shared" ca="1" si="45"/>
        <v>2059</v>
      </c>
      <c r="C84" s="102" t="str">
        <f t="shared" si="44"/>
        <v>R</v>
      </c>
      <c r="D84" s="104">
        <f t="shared" ca="1" si="46"/>
        <v>0.30624412635292564</v>
      </c>
      <c r="E84" s="104">
        <f t="shared" si="47"/>
        <v>1</v>
      </c>
      <c r="F84" s="103">
        <f t="shared" si="48"/>
        <v>0</v>
      </c>
      <c r="G84" s="103">
        <f t="shared" si="49"/>
        <v>0</v>
      </c>
      <c r="I84" s="393" t="e">
        <f t="shared" ca="1" si="50"/>
        <v>#REF!</v>
      </c>
      <c r="J84" s="394" t="e">
        <f t="shared" ca="1" si="51"/>
        <v>#REF!</v>
      </c>
      <c r="K84" s="394" t="e">
        <f t="shared" ca="1" si="52"/>
        <v>#REF!</v>
      </c>
      <c r="L84" s="394" t="e">
        <f t="shared" ca="1" si="53"/>
        <v>#REF!</v>
      </c>
      <c r="M84" s="394" t="e">
        <f t="shared" ca="1" si="54"/>
        <v>#REF!</v>
      </c>
      <c r="N84" s="394" t="e">
        <f t="shared" ca="1" si="55"/>
        <v>#REF!</v>
      </c>
      <c r="O84" s="394" t="e">
        <f t="shared" ca="1" si="66"/>
        <v>#REF!</v>
      </c>
      <c r="P84" s="432" t="e">
        <f t="shared" ca="1" si="56"/>
        <v>#REF!</v>
      </c>
      <c r="Q84" s="394" t="e">
        <f t="shared" ca="1" si="57"/>
        <v>#REF!</v>
      </c>
      <c r="R84" s="432">
        <f t="shared" ca="1" si="58"/>
        <v>0</v>
      </c>
      <c r="S84" s="394" t="e">
        <f t="shared" ca="1" si="59"/>
        <v>#REF!</v>
      </c>
      <c r="T84" s="432" t="e">
        <f t="shared" ca="1" si="60"/>
        <v>#REF!</v>
      </c>
      <c r="U84" s="433" t="e">
        <f t="shared" ca="1" si="61"/>
        <v>#REF!</v>
      </c>
      <c r="V84" s="394" t="e">
        <f t="shared" ca="1" si="64"/>
        <v>#REF!</v>
      </c>
      <c r="W84" s="394" t="e">
        <f t="shared" ca="1" si="65"/>
        <v>#REF!</v>
      </c>
      <c r="X84" s="394" t="e">
        <f t="shared" ca="1" si="62"/>
        <v>#REF!</v>
      </c>
      <c r="Y84" s="394">
        <f t="shared" si="63"/>
        <v>0</v>
      </c>
      <c r="Z84" s="671" t="str">
        <f ca="1">IF(ISERROR($X84),"X",IF(-$I84&gt;(SP_DebtLimit/$E84),"I",IF(INDEX(SC_EX_APW,EXIDX1)&lt;1,"D","A")))</f>
        <v>X</v>
      </c>
    </row>
    <row r="85" spans="2:26" x14ac:dyDescent="0.25">
      <c r="B85">
        <f t="shared" ca="1" si="45"/>
        <v>2059</v>
      </c>
      <c r="C85" s="65" t="str">
        <f t="shared" si="44"/>
        <v>N</v>
      </c>
      <c r="D85" s="105">
        <f t="shared" si="46"/>
        <v>1</v>
      </c>
      <c r="E85" s="105">
        <f t="shared" ca="1" si="47"/>
        <v>0.30624412635292564</v>
      </c>
      <c r="F85" s="77">
        <f t="shared" si="48"/>
        <v>0</v>
      </c>
      <c r="G85" s="77">
        <f t="shared" si="49"/>
        <v>0</v>
      </c>
      <c r="I85" s="430" t="e">
        <f t="shared" ca="1" si="50"/>
        <v>#REF!</v>
      </c>
      <c r="J85" s="284" t="e">
        <f t="shared" ca="1" si="51"/>
        <v>#REF!</v>
      </c>
      <c r="K85" s="284" t="e">
        <f t="shared" ca="1" si="52"/>
        <v>#REF!</v>
      </c>
      <c r="L85" s="284" t="e">
        <f t="shared" ca="1" si="53"/>
        <v>#REF!</v>
      </c>
      <c r="M85" s="284" t="e">
        <f t="shared" ca="1" si="54"/>
        <v>#REF!</v>
      </c>
      <c r="N85" s="284" t="e">
        <f t="shared" ca="1" si="55"/>
        <v>#REF!</v>
      </c>
      <c r="O85" s="284" t="e">
        <f t="shared" ca="1" si="66"/>
        <v>#REF!</v>
      </c>
      <c r="P85" s="307" t="e">
        <f t="shared" ca="1" si="56"/>
        <v>#REF!</v>
      </c>
      <c r="Q85" s="284" t="e">
        <f t="shared" ca="1" si="57"/>
        <v>#REF!</v>
      </c>
      <c r="R85" s="307">
        <f t="shared" ca="1" si="58"/>
        <v>0</v>
      </c>
      <c r="S85" s="284" t="e">
        <f t="shared" ca="1" si="59"/>
        <v>#REF!</v>
      </c>
      <c r="T85" s="307" t="e">
        <f t="shared" ca="1" si="60"/>
        <v>#REF!</v>
      </c>
      <c r="U85" s="434" t="e">
        <f t="shared" ca="1" si="61"/>
        <v>#REF!</v>
      </c>
      <c r="V85" s="284" t="e">
        <f t="shared" ca="1" si="64"/>
        <v>#REF!</v>
      </c>
      <c r="W85" s="284" t="e">
        <f t="shared" ca="1" si="65"/>
        <v>#REF!</v>
      </c>
      <c r="X85" s="284" t="e">
        <f t="shared" ca="1" si="62"/>
        <v>#REF!</v>
      </c>
      <c r="Y85" s="284">
        <f t="shared" si="63"/>
        <v>0</v>
      </c>
      <c r="Z85" s="671"/>
    </row>
    <row r="86" spans="2:26" x14ac:dyDescent="0.25">
      <c r="B86" s="185">
        <f t="shared" ca="1" si="45"/>
        <v>2060</v>
      </c>
      <c r="C86" s="102" t="str">
        <f t="shared" si="44"/>
        <v>R</v>
      </c>
      <c r="D86" s="104">
        <f t="shared" ca="1" si="46"/>
        <v>0.29660448072922579</v>
      </c>
      <c r="E86" s="104">
        <f t="shared" si="47"/>
        <v>1</v>
      </c>
      <c r="F86" s="103">
        <f t="shared" si="48"/>
        <v>0</v>
      </c>
      <c r="G86" s="103">
        <f t="shared" si="49"/>
        <v>0</v>
      </c>
      <c r="I86" s="393" t="e">
        <f t="shared" ca="1" si="50"/>
        <v>#REF!</v>
      </c>
      <c r="J86" s="394" t="e">
        <f t="shared" ca="1" si="51"/>
        <v>#REF!</v>
      </c>
      <c r="K86" s="394" t="e">
        <f t="shared" ca="1" si="52"/>
        <v>#REF!</v>
      </c>
      <c r="L86" s="394" t="e">
        <f t="shared" ca="1" si="53"/>
        <v>#REF!</v>
      </c>
      <c r="M86" s="394" t="e">
        <f t="shared" ca="1" si="54"/>
        <v>#REF!</v>
      </c>
      <c r="N86" s="394" t="e">
        <f t="shared" ca="1" si="55"/>
        <v>#REF!</v>
      </c>
      <c r="O86" s="394" t="e">
        <f t="shared" ca="1" si="66"/>
        <v>#REF!</v>
      </c>
      <c r="P86" s="432" t="e">
        <f t="shared" ca="1" si="56"/>
        <v>#REF!</v>
      </c>
      <c r="Q86" s="394" t="e">
        <f t="shared" ca="1" si="57"/>
        <v>#REF!</v>
      </c>
      <c r="R86" s="432">
        <f t="shared" ca="1" si="58"/>
        <v>0</v>
      </c>
      <c r="S86" s="394" t="e">
        <f t="shared" ca="1" si="59"/>
        <v>#REF!</v>
      </c>
      <c r="T86" s="432" t="e">
        <f t="shared" ca="1" si="60"/>
        <v>#REF!</v>
      </c>
      <c r="U86" s="433" t="e">
        <f t="shared" ca="1" si="61"/>
        <v>#REF!</v>
      </c>
      <c r="V86" s="394" t="e">
        <f t="shared" ca="1" si="64"/>
        <v>#REF!</v>
      </c>
      <c r="W86" s="394" t="e">
        <f t="shared" ca="1" si="65"/>
        <v>#REF!</v>
      </c>
      <c r="X86" s="394" t="e">
        <f t="shared" ca="1" si="62"/>
        <v>#REF!</v>
      </c>
      <c r="Y86" s="394">
        <f t="shared" si="63"/>
        <v>0</v>
      </c>
      <c r="Z86" s="671" t="str">
        <f ca="1">IF(ISERROR($X86),"X",IF(-$I86&gt;(SP_DebtLimit/$E86),"I",IF(INDEX(SC_EX_APW,EXIDX1)&lt;1,"D","A")))</f>
        <v>X</v>
      </c>
    </row>
    <row r="87" spans="2:26" x14ac:dyDescent="0.25">
      <c r="B87">
        <f t="shared" ca="1" si="45"/>
        <v>2060</v>
      </c>
      <c r="C87" s="65" t="str">
        <f t="shared" si="44"/>
        <v>N</v>
      </c>
      <c r="D87" s="105">
        <f t="shared" si="46"/>
        <v>1</v>
      </c>
      <c r="E87" s="105">
        <f t="shared" ca="1" si="47"/>
        <v>0.29660448072922579</v>
      </c>
      <c r="F87" s="77">
        <f t="shared" si="48"/>
        <v>0</v>
      </c>
      <c r="G87" s="77">
        <f t="shared" si="49"/>
        <v>0</v>
      </c>
      <c r="I87" s="430" t="e">
        <f t="shared" ca="1" si="50"/>
        <v>#REF!</v>
      </c>
      <c r="J87" s="284" t="e">
        <f t="shared" ca="1" si="51"/>
        <v>#REF!</v>
      </c>
      <c r="K87" s="284" t="e">
        <f t="shared" ca="1" si="52"/>
        <v>#REF!</v>
      </c>
      <c r="L87" s="284" t="e">
        <f t="shared" ca="1" si="53"/>
        <v>#REF!</v>
      </c>
      <c r="M87" s="284" t="e">
        <f t="shared" ca="1" si="54"/>
        <v>#REF!</v>
      </c>
      <c r="N87" s="284" t="e">
        <f t="shared" ca="1" si="55"/>
        <v>#REF!</v>
      </c>
      <c r="O87" s="284" t="e">
        <f t="shared" ca="1" si="66"/>
        <v>#REF!</v>
      </c>
      <c r="P87" s="307" t="e">
        <f t="shared" ca="1" si="56"/>
        <v>#REF!</v>
      </c>
      <c r="Q87" s="284" t="e">
        <f t="shared" ca="1" si="57"/>
        <v>#REF!</v>
      </c>
      <c r="R87" s="307">
        <f t="shared" ca="1" si="58"/>
        <v>0</v>
      </c>
      <c r="S87" s="284" t="e">
        <f t="shared" ca="1" si="59"/>
        <v>#REF!</v>
      </c>
      <c r="T87" s="307" t="e">
        <f t="shared" ca="1" si="60"/>
        <v>#REF!</v>
      </c>
      <c r="U87" s="434" t="e">
        <f t="shared" ca="1" si="61"/>
        <v>#REF!</v>
      </c>
      <c r="V87" s="284" t="e">
        <f t="shared" ca="1" si="64"/>
        <v>#REF!</v>
      </c>
      <c r="W87" s="284" t="e">
        <f t="shared" ca="1" si="65"/>
        <v>#REF!</v>
      </c>
      <c r="X87" s="284" t="e">
        <f t="shared" ca="1" si="62"/>
        <v>#REF!</v>
      </c>
      <c r="Y87" s="284">
        <f t="shared" si="63"/>
        <v>0</v>
      </c>
      <c r="Z87" s="671"/>
    </row>
    <row r="88" spans="2:26" x14ac:dyDescent="0.25">
      <c r="B88" s="185">
        <f t="shared" ca="1" si="45"/>
        <v>2061</v>
      </c>
      <c r="C88" s="102" t="str">
        <f t="shared" si="44"/>
        <v>R</v>
      </c>
      <c r="D88" s="104">
        <f t="shared" ca="1" si="46"/>
        <v>0.28726826220748264</v>
      </c>
      <c r="E88" s="104">
        <f t="shared" si="47"/>
        <v>1</v>
      </c>
      <c r="F88" s="103">
        <f t="shared" si="48"/>
        <v>0</v>
      </c>
      <c r="G88" s="103">
        <f t="shared" si="49"/>
        <v>0</v>
      </c>
      <c r="I88" s="393" t="e">
        <f t="shared" ca="1" si="50"/>
        <v>#REF!</v>
      </c>
      <c r="J88" s="394" t="e">
        <f t="shared" ca="1" si="51"/>
        <v>#REF!</v>
      </c>
      <c r="K88" s="394" t="e">
        <f t="shared" ca="1" si="52"/>
        <v>#REF!</v>
      </c>
      <c r="L88" s="394" t="e">
        <f t="shared" ca="1" si="53"/>
        <v>#REF!</v>
      </c>
      <c r="M88" s="394" t="e">
        <f t="shared" ca="1" si="54"/>
        <v>#REF!</v>
      </c>
      <c r="N88" s="394" t="e">
        <f t="shared" ca="1" si="55"/>
        <v>#REF!</v>
      </c>
      <c r="O88" s="394" t="e">
        <f t="shared" ca="1" si="66"/>
        <v>#REF!</v>
      </c>
      <c r="P88" s="432" t="e">
        <f t="shared" ca="1" si="56"/>
        <v>#REF!</v>
      </c>
      <c r="Q88" s="394" t="e">
        <f t="shared" ca="1" si="57"/>
        <v>#REF!</v>
      </c>
      <c r="R88" s="432">
        <f t="shared" ca="1" si="58"/>
        <v>0</v>
      </c>
      <c r="S88" s="394" t="e">
        <f t="shared" ca="1" si="59"/>
        <v>#REF!</v>
      </c>
      <c r="T88" s="432" t="e">
        <f t="shared" ca="1" si="60"/>
        <v>#REF!</v>
      </c>
      <c r="U88" s="433" t="e">
        <f t="shared" ca="1" si="61"/>
        <v>#REF!</v>
      </c>
      <c r="V88" s="394" t="e">
        <f t="shared" ca="1" si="64"/>
        <v>#REF!</v>
      </c>
      <c r="W88" s="394" t="e">
        <f t="shared" ca="1" si="65"/>
        <v>#REF!</v>
      </c>
      <c r="X88" s="394" t="e">
        <f t="shared" ca="1" si="62"/>
        <v>#REF!</v>
      </c>
      <c r="Y88" s="394">
        <f t="shared" si="63"/>
        <v>0</v>
      </c>
      <c r="Z88" s="671" t="str">
        <f ca="1">IF(ISERROR($X88),"X",IF(-$I88&gt;(SP_DebtLimit/$E88),"I",IF(INDEX(SC_EX_APW,EXIDX1)&lt;1,"D","A")))</f>
        <v>X</v>
      </c>
    </row>
    <row r="89" spans="2:26" x14ac:dyDescent="0.25">
      <c r="B89">
        <f t="shared" ca="1" si="45"/>
        <v>2061</v>
      </c>
      <c r="C89" s="65" t="str">
        <f t="shared" si="44"/>
        <v>N</v>
      </c>
      <c r="D89" s="105">
        <f t="shared" si="46"/>
        <v>1</v>
      </c>
      <c r="E89" s="105">
        <f t="shared" ca="1" si="47"/>
        <v>0.28726826220748264</v>
      </c>
      <c r="F89" s="77">
        <f t="shared" si="48"/>
        <v>0</v>
      </c>
      <c r="G89" s="77">
        <f t="shared" si="49"/>
        <v>0</v>
      </c>
      <c r="I89" s="430" t="e">
        <f t="shared" ca="1" si="50"/>
        <v>#REF!</v>
      </c>
      <c r="J89" s="284" t="e">
        <f t="shared" ca="1" si="51"/>
        <v>#REF!</v>
      </c>
      <c r="K89" s="284" t="e">
        <f t="shared" ca="1" si="52"/>
        <v>#REF!</v>
      </c>
      <c r="L89" s="284" t="e">
        <f t="shared" ca="1" si="53"/>
        <v>#REF!</v>
      </c>
      <c r="M89" s="284" t="e">
        <f t="shared" ca="1" si="54"/>
        <v>#REF!</v>
      </c>
      <c r="N89" s="284" t="e">
        <f t="shared" ca="1" si="55"/>
        <v>#REF!</v>
      </c>
      <c r="O89" s="284" t="e">
        <f t="shared" ca="1" si="66"/>
        <v>#REF!</v>
      </c>
      <c r="P89" s="307" t="e">
        <f t="shared" ca="1" si="56"/>
        <v>#REF!</v>
      </c>
      <c r="Q89" s="284" t="e">
        <f t="shared" ca="1" si="57"/>
        <v>#REF!</v>
      </c>
      <c r="R89" s="307">
        <f t="shared" ca="1" si="58"/>
        <v>0</v>
      </c>
      <c r="S89" s="284" t="e">
        <f t="shared" ca="1" si="59"/>
        <v>#REF!</v>
      </c>
      <c r="T89" s="307" t="e">
        <f t="shared" ca="1" si="60"/>
        <v>#REF!</v>
      </c>
      <c r="U89" s="434" t="e">
        <f t="shared" ca="1" si="61"/>
        <v>#REF!</v>
      </c>
      <c r="V89" s="284" t="e">
        <f t="shared" ca="1" si="64"/>
        <v>#REF!</v>
      </c>
      <c r="W89" s="284" t="e">
        <f t="shared" ca="1" si="65"/>
        <v>#REF!</v>
      </c>
      <c r="X89" s="284" t="e">
        <f t="shared" ca="1" si="62"/>
        <v>#REF!</v>
      </c>
      <c r="Y89" s="284">
        <f t="shared" si="63"/>
        <v>0</v>
      </c>
      <c r="Z89" s="671"/>
    </row>
    <row r="90" spans="2:26" x14ac:dyDescent="0.25">
      <c r="B90" s="185">
        <f t="shared" ca="1" si="45"/>
        <v>2062</v>
      </c>
      <c r="C90" s="102" t="str">
        <f t="shared" si="44"/>
        <v>R</v>
      </c>
      <c r="D90" s="104">
        <f t="shared" ca="1" si="46"/>
        <v>0.2782259198135425</v>
      </c>
      <c r="E90" s="104">
        <f t="shared" si="47"/>
        <v>1</v>
      </c>
      <c r="F90" s="103">
        <f t="shared" si="48"/>
        <v>0</v>
      </c>
      <c r="G90" s="103">
        <f t="shared" si="49"/>
        <v>0</v>
      </c>
      <c r="I90" s="393" t="e">
        <f t="shared" ca="1" si="50"/>
        <v>#REF!</v>
      </c>
      <c r="J90" s="394" t="e">
        <f t="shared" ca="1" si="51"/>
        <v>#REF!</v>
      </c>
      <c r="K90" s="394" t="e">
        <f t="shared" ca="1" si="52"/>
        <v>#REF!</v>
      </c>
      <c r="L90" s="394" t="e">
        <f t="shared" ca="1" si="53"/>
        <v>#REF!</v>
      </c>
      <c r="M90" s="394" t="e">
        <f t="shared" ca="1" si="54"/>
        <v>#REF!</v>
      </c>
      <c r="N90" s="394" t="e">
        <f t="shared" ca="1" si="55"/>
        <v>#REF!</v>
      </c>
      <c r="O90" s="394" t="e">
        <f t="shared" ca="1" si="66"/>
        <v>#REF!</v>
      </c>
      <c r="P90" s="432" t="e">
        <f t="shared" ca="1" si="56"/>
        <v>#REF!</v>
      </c>
      <c r="Q90" s="394" t="e">
        <f t="shared" ca="1" si="57"/>
        <v>#REF!</v>
      </c>
      <c r="R90" s="432">
        <f t="shared" ca="1" si="58"/>
        <v>0</v>
      </c>
      <c r="S90" s="394" t="e">
        <f t="shared" ca="1" si="59"/>
        <v>#REF!</v>
      </c>
      <c r="T90" s="432" t="e">
        <f t="shared" ca="1" si="60"/>
        <v>#REF!</v>
      </c>
      <c r="U90" s="433" t="e">
        <f t="shared" ca="1" si="61"/>
        <v>#REF!</v>
      </c>
      <c r="V90" s="394" t="e">
        <f t="shared" ca="1" si="64"/>
        <v>#REF!</v>
      </c>
      <c r="W90" s="394" t="e">
        <f t="shared" ca="1" si="65"/>
        <v>#REF!</v>
      </c>
      <c r="X90" s="394" t="e">
        <f t="shared" ca="1" si="62"/>
        <v>#REF!</v>
      </c>
      <c r="Y90" s="394">
        <f t="shared" si="63"/>
        <v>0</v>
      </c>
      <c r="Z90" s="671" t="str">
        <f ca="1">IF(ISERROR($X90),"X",IF(-$I90&gt;(SP_DebtLimit/$E90),"I",IF(INDEX(SC_EX_APW,EXIDX1)&lt;1,"D","A")))</f>
        <v>X</v>
      </c>
    </row>
    <row r="91" spans="2:26" x14ac:dyDescent="0.25">
      <c r="B91">
        <f t="shared" ca="1" si="45"/>
        <v>2062</v>
      </c>
      <c r="C91" s="65" t="str">
        <f t="shared" si="44"/>
        <v>N</v>
      </c>
      <c r="D91" s="105">
        <f t="shared" si="46"/>
        <v>1</v>
      </c>
      <c r="E91" s="105">
        <f t="shared" ca="1" si="47"/>
        <v>0.2782259198135425</v>
      </c>
      <c r="F91" s="77">
        <f t="shared" si="48"/>
        <v>0</v>
      </c>
      <c r="G91" s="77">
        <f t="shared" si="49"/>
        <v>0</v>
      </c>
      <c r="I91" s="430" t="e">
        <f t="shared" ca="1" si="50"/>
        <v>#REF!</v>
      </c>
      <c r="J91" s="284" t="e">
        <f t="shared" ca="1" si="51"/>
        <v>#REF!</v>
      </c>
      <c r="K91" s="284" t="e">
        <f t="shared" ca="1" si="52"/>
        <v>#REF!</v>
      </c>
      <c r="L91" s="284" t="e">
        <f t="shared" ca="1" si="53"/>
        <v>#REF!</v>
      </c>
      <c r="M91" s="284" t="e">
        <f t="shared" ca="1" si="54"/>
        <v>#REF!</v>
      </c>
      <c r="N91" s="284" t="e">
        <f t="shared" ca="1" si="55"/>
        <v>#REF!</v>
      </c>
      <c r="O91" s="284" t="e">
        <f t="shared" ca="1" si="66"/>
        <v>#REF!</v>
      </c>
      <c r="P91" s="307" t="e">
        <f t="shared" ca="1" si="56"/>
        <v>#REF!</v>
      </c>
      <c r="Q91" s="284" t="e">
        <f t="shared" ca="1" si="57"/>
        <v>#REF!</v>
      </c>
      <c r="R91" s="307">
        <f t="shared" ca="1" si="58"/>
        <v>0</v>
      </c>
      <c r="S91" s="284" t="e">
        <f t="shared" ca="1" si="59"/>
        <v>#REF!</v>
      </c>
      <c r="T91" s="307" t="e">
        <f t="shared" ca="1" si="60"/>
        <v>#REF!</v>
      </c>
      <c r="U91" s="434" t="e">
        <f t="shared" ca="1" si="61"/>
        <v>#REF!</v>
      </c>
      <c r="V91" s="284" t="e">
        <f t="shared" ca="1" si="64"/>
        <v>#REF!</v>
      </c>
      <c r="W91" s="284" t="e">
        <f t="shared" ca="1" si="65"/>
        <v>#REF!</v>
      </c>
      <c r="X91" s="284" t="e">
        <f t="shared" ca="1" si="62"/>
        <v>#REF!</v>
      </c>
      <c r="Y91" s="284">
        <f t="shared" si="63"/>
        <v>0</v>
      </c>
      <c r="Z91" s="671"/>
    </row>
    <row r="92" spans="2:26" x14ac:dyDescent="0.25">
      <c r="B92" s="185">
        <f t="shared" ca="1" si="45"/>
        <v>2063</v>
      </c>
      <c r="C92" s="102" t="str">
        <f t="shared" si="44"/>
        <v>R</v>
      </c>
      <c r="D92" s="104">
        <f t="shared" ca="1" si="46"/>
        <v>0.26946820320924214</v>
      </c>
      <c r="E92" s="104">
        <f t="shared" si="47"/>
        <v>1</v>
      </c>
      <c r="F92" s="103">
        <f t="shared" si="48"/>
        <v>0</v>
      </c>
      <c r="G92" s="103">
        <f t="shared" si="49"/>
        <v>0</v>
      </c>
      <c r="I92" s="393" t="e">
        <f t="shared" ca="1" si="50"/>
        <v>#REF!</v>
      </c>
      <c r="J92" s="394" t="e">
        <f t="shared" ca="1" si="51"/>
        <v>#REF!</v>
      </c>
      <c r="K92" s="394" t="e">
        <f t="shared" ca="1" si="52"/>
        <v>#REF!</v>
      </c>
      <c r="L92" s="394" t="e">
        <f t="shared" ca="1" si="53"/>
        <v>#REF!</v>
      </c>
      <c r="M92" s="394" t="e">
        <f t="shared" ca="1" si="54"/>
        <v>#REF!</v>
      </c>
      <c r="N92" s="394" t="e">
        <f t="shared" ca="1" si="55"/>
        <v>#REF!</v>
      </c>
      <c r="O92" s="394" t="e">
        <f t="shared" ca="1" si="66"/>
        <v>#REF!</v>
      </c>
      <c r="P92" s="432" t="e">
        <f t="shared" ca="1" si="56"/>
        <v>#REF!</v>
      </c>
      <c r="Q92" s="394" t="e">
        <f t="shared" ca="1" si="57"/>
        <v>#REF!</v>
      </c>
      <c r="R92" s="432">
        <f t="shared" ca="1" si="58"/>
        <v>0</v>
      </c>
      <c r="S92" s="394" t="e">
        <f t="shared" ca="1" si="59"/>
        <v>#REF!</v>
      </c>
      <c r="T92" s="432" t="e">
        <f t="shared" ca="1" si="60"/>
        <v>#REF!</v>
      </c>
      <c r="U92" s="433" t="e">
        <f t="shared" ca="1" si="61"/>
        <v>#REF!</v>
      </c>
      <c r="V92" s="394" t="e">
        <f t="shared" ca="1" si="64"/>
        <v>#REF!</v>
      </c>
      <c r="W92" s="394" t="e">
        <f t="shared" ca="1" si="65"/>
        <v>#REF!</v>
      </c>
      <c r="X92" s="394" t="e">
        <f t="shared" ca="1" si="62"/>
        <v>#REF!</v>
      </c>
      <c r="Y92" s="394">
        <f t="shared" si="63"/>
        <v>0</v>
      </c>
      <c r="Z92" s="671" t="str">
        <f ca="1">IF(ISERROR($X92),"X",IF(-$I92&gt;(SP_DebtLimit/$E92),"I",IF(INDEX(SC_EX_APW,EXIDX1)&lt;1,"D","A")))</f>
        <v>X</v>
      </c>
    </row>
    <row r="93" spans="2:26" x14ac:dyDescent="0.25">
      <c r="B93">
        <f t="shared" ca="1" si="45"/>
        <v>2063</v>
      </c>
      <c r="C93" s="65" t="str">
        <f t="shared" si="44"/>
        <v>N</v>
      </c>
      <c r="D93" s="105">
        <f t="shared" si="46"/>
        <v>1</v>
      </c>
      <c r="E93" s="105">
        <f t="shared" ca="1" si="47"/>
        <v>0.26946820320924214</v>
      </c>
      <c r="F93" s="77">
        <f t="shared" si="48"/>
        <v>0</v>
      </c>
      <c r="G93" s="77">
        <f t="shared" si="49"/>
        <v>0</v>
      </c>
      <c r="I93" s="430" t="e">
        <f t="shared" ca="1" si="50"/>
        <v>#REF!</v>
      </c>
      <c r="J93" s="284" t="e">
        <f t="shared" ca="1" si="51"/>
        <v>#REF!</v>
      </c>
      <c r="K93" s="284" t="e">
        <f t="shared" ca="1" si="52"/>
        <v>#REF!</v>
      </c>
      <c r="L93" s="284" t="e">
        <f t="shared" ca="1" si="53"/>
        <v>#REF!</v>
      </c>
      <c r="M93" s="284" t="e">
        <f t="shared" ca="1" si="54"/>
        <v>#REF!</v>
      </c>
      <c r="N93" s="284" t="e">
        <f t="shared" ca="1" si="55"/>
        <v>#REF!</v>
      </c>
      <c r="O93" s="284" t="e">
        <f t="shared" ca="1" si="66"/>
        <v>#REF!</v>
      </c>
      <c r="P93" s="307" t="e">
        <f t="shared" ca="1" si="56"/>
        <v>#REF!</v>
      </c>
      <c r="Q93" s="284" t="e">
        <f t="shared" ca="1" si="57"/>
        <v>#REF!</v>
      </c>
      <c r="R93" s="307">
        <f t="shared" ca="1" si="58"/>
        <v>0</v>
      </c>
      <c r="S93" s="284" t="e">
        <f t="shared" ca="1" si="59"/>
        <v>#REF!</v>
      </c>
      <c r="T93" s="307" t="e">
        <f t="shared" ca="1" si="60"/>
        <v>#REF!</v>
      </c>
      <c r="U93" s="434" t="e">
        <f t="shared" ca="1" si="61"/>
        <v>#REF!</v>
      </c>
      <c r="V93" s="284" t="e">
        <f t="shared" ca="1" si="64"/>
        <v>#REF!</v>
      </c>
      <c r="W93" s="284" t="e">
        <f t="shared" ca="1" si="65"/>
        <v>#REF!</v>
      </c>
      <c r="X93" s="284" t="e">
        <f t="shared" ca="1" si="62"/>
        <v>#REF!</v>
      </c>
      <c r="Y93" s="284">
        <f t="shared" si="63"/>
        <v>0</v>
      </c>
      <c r="Z93" s="671"/>
    </row>
    <row r="94" spans="2:26" x14ac:dyDescent="0.25">
      <c r="B94" s="185">
        <f t="shared" ca="1" si="45"/>
        <v>2064</v>
      </c>
      <c r="C94" s="102" t="str">
        <f t="shared" si="44"/>
        <v>R</v>
      </c>
      <c r="D94" s="104">
        <f t="shared" ca="1" si="46"/>
        <v>0.2609861532292902</v>
      </c>
      <c r="E94" s="104">
        <f t="shared" si="47"/>
        <v>1</v>
      </c>
      <c r="F94" s="103">
        <f t="shared" si="48"/>
        <v>0</v>
      </c>
      <c r="G94" s="103">
        <f t="shared" si="49"/>
        <v>0</v>
      </c>
      <c r="I94" s="393" t="e">
        <f t="shared" ca="1" si="50"/>
        <v>#REF!</v>
      </c>
      <c r="J94" s="394" t="e">
        <f t="shared" ca="1" si="51"/>
        <v>#REF!</v>
      </c>
      <c r="K94" s="394" t="e">
        <f t="shared" ca="1" si="52"/>
        <v>#REF!</v>
      </c>
      <c r="L94" s="394" t="e">
        <f t="shared" ca="1" si="53"/>
        <v>#REF!</v>
      </c>
      <c r="M94" s="394" t="e">
        <f t="shared" ca="1" si="54"/>
        <v>#REF!</v>
      </c>
      <c r="N94" s="394" t="e">
        <f t="shared" ca="1" si="55"/>
        <v>#REF!</v>
      </c>
      <c r="O94" s="394" t="e">
        <f t="shared" ca="1" si="66"/>
        <v>#REF!</v>
      </c>
      <c r="P94" s="432" t="e">
        <f t="shared" ca="1" si="56"/>
        <v>#REF!</v>
      </c>
      <c r="Q94" s="394" t="e">
        <f t="shared" ca="1" si="57"/>
        <v>#REF!</v>
      </c>
      <c r="R94" s="432">
        <f t="shared" ca="1" si="58"/>
        <v>0</v>
      </c>
      <c r="S94" s="394" t="e">
        <f t="shared" ca="1" si="59"/>
        <v>#REF!</v>
      </c>
      <c r="T94" s="432" t="e">
        <f t="shared" ca="1" si="60"/>
        <v>#REF!</v>
      </c>
      <c r="U94" s="433" t="e">
        <f t="shared" ca="1" si="61"/>
        <v>#REF!</v>
      </c>
      <c r="V94" s="394" t="e">
        <f t="shared" ca="1" si="64"/>
        <v>#REF!</v>
      </c>
      <c r="W94" s="394" t="e">
        <f t="shared" ca="1" si="65"/>
        <v>#REF!</v>
      </c>
      <c r="X94" s="394" t="e">
        <f t="shared" ca="1" si="62"/>
        <v>#REF!</v>
      </c>
      <c r="Y94" s="394">
        <f t="shared" si="63"/>
        <v>0</v>
      </c>
      <c r="Z94" s="671" t="str">
        <f ca="1">IF(ISERROR($X94),"X",IF(-$I94&gt;(SP_DebtLimit/$E94),"I",IF(INDEX(SC_EX_APW,EXIDX1)&lt;1,"D","A")))</f>
        <v>X</v>
      </c>
    </row>
    <row r="95" spans="2:26" x14ac:dyDescent="0.25">
      <c r="B95">
        <f t="shared" ca="1" si="45"/>
        <v>2064</v>
      </c>
      <c r="C95" s="65" t="str">
        <f t="shared" si="44"/>
        <v>N</v>
      </c>
      <c r="D95" s="105">
        <f t="shared" si="46"/>
        <v>1</v>
      </c>
      <c r="E95" s="105">
        <f t="shared" ca="1" si="47"/>
        <v>0.2609861532292902</v>
      </c>
      <c r="F95" s="77">
        <f t="shared" si="48"/>
        <v>0</v>
      </c>
      <c r="G95" s="77">
        <f t="shared" si="49"/>
        <v>0</v>
      </c>
      <c r="I95" s="430" t="e">
        <f t="shared" ca="1" si="50"/>
        <v>#REF!</v>
      </c>
      <c r="J95" s="284" t="e">
        <f t="shared" ca="1" si="51"/>
        <v>#REF!</v>
      </c>
      <c r="K95" s="284" t="e">
        <f t="shared" ca="1" si="52"/>
        <v>#REF!</v>
      </c>
      <c r="L95" s="284" t="e">
        <f t="shared" ca="1" si="53"/>
        <v>#REF!</v>
      </c>
      <c r="M95" s="284" t="e">
        <f t="shared" ca="1" si="54"/>
        <v>#REF!</v>
      </c>
      <c r="N95" s="284" t="e">
        <f t="shared" ca="1" si="55"/>
        <v>#REF!</v>
      </c>
      <c r="O95" s="284" t="e">
        <f t="shared" ca="1" si="66"/>
        <v>#REF!</v>
      </c>
      <c r="P95" s="307" t="e">
        <f t="shared" ca="1" si="56"/>
        <v>#REF!</v>
      </c>
      <c r="Q95" s="284" t="e">
        <f t="shared" ca="1" si="57"/>
        <v>#REF!</v>
      </c>
      <c r="R95" s="307">
        <f t="shared" ca="1" si="58"/>
        <v>0</v>
      </c>
      <c r="S95" s="284" t="e">
        <f t="shared" ca="1" si="59"/>
        <v>#REF!</v>
      </c>
      <c r="T95" s="307" t="e">
        <f t="shared" ca="1" si="60"/>
        <v>#REF!</v>
      </c>
      <c r="U95" s="434" t="e">
        <f t="shared" ca="1" si="61"/>
        <v>#REF!</v>
      </c>
      <c r="V95" s="284" t="e">
        <f t="shared" ca="1" si="64"/>
        <v>#REF!</v>
      </c>
      <c r="W95" s="284" t="e">
        <f t="shared" ca="1" si="65"/>
        <v>#REF!</v>
      </c>
      <c r="X95" s="284" t="e">
        <f t="shared" ca="1" si="62"/>
        <v>#REF!</v>
      </c>
      <c r="Y95" s="284">
        <f t="shared" si="63"/>
        <v>0</v>
      </c>
      <c r="Z95" s="671"/>
    </row>
    <row r="96" spans="2:26" x14ac:dyDescent="0.25">
      <c r="B96" s="185">
        <f t="shared" ca="1" si="45"/>
        <v>2065</v>
      </c>
      <c r="C96" s="102" t="str">
        <f t="shared" si="44"/>
        <v>R</v>
      </c>
      <c r="D96" s="104">
        <f t="shared" ca="1" si="46"/>
        <v>0.25277109271601955</v>
      </c>
      <c r="E96" s="104">
        <f t="shared" si="47"/>
        <v>1</v>
      </c>
      <c r="F96" s="103">
        <f t="shared" si="48"/>
        <v>0</v>
      </c>
      <c r="G96" s="103">
        <f t="shared" si="49"/>
        <v>0</v>
      </c>
      <c r="I96" s="393" t="e">
        <f t="shared" ca="1" si="50"/>
        <v>#REF!</v>
      </c>
      <c r="J96" s="394" t="e">
        <f t="shared" ca="1" si="51"/>
        <v>#REF!</v>
      </c>
      <c r="K96" s="394" t="e">
        <f t="shared" ca="1" si="52"/>
        <v>#REF!</v>
      </c>
      <c r="L96" s="394" t="e">
        <f t="shared" ca="1" si="53"/>
        <v>#REF!</v>
      </c>
      <c r="M96" s="394" t="e">
        <f t="shared" ca="1" si="54"/>
        <v>#REF!</v>
      </c>
      <c r="N96" s="394" t="e">
        <f t="shared" ca="1" si="55"/>
        <v>#REF!</v>
      </c>
      <c r="O96" s="394" t="e">
        <f t="shared" ca="1" si="66"/>
        <v>#REF!</v>
      </c>
      <c r="P96" s="432" t="e">
        <f t="shared" ca="1" si="56"/>
        <v>#REF!</v>
      </c>
      <c r="Q96" s="394" t="e">
        <f t="shared" ca="1" si="57"/>
        <v>#REF!</v>
      </c>
      <c r="R96" s="432">
        <f t="shared" ca="1" si="58"/>
        <v>0</v>
      </c>
      <c r="S96" s="394" t="e">
        <f t="shared" ca="1" si="59"/>
        <v>#REF!</v>
      </c>
      <c r="T96" s="432" t="e">
        <f t="shared" ca="1" si="60"/>
        <v>#REF!</v>
      </c>
      <c r="U96" s="433" t="e">
        <f t="shared" ca="1" si="61"/>
        <v>#REF!</v>
      </c>
      <c r="V96" s="394" t="e">
        <f t="shared" ca="1" si="64"/>
        <v>#REF!</v>
      </c>
      <c r="W96" s="394" t="e">
        <f t="shared" ca="1" si="65"/>
        <v>#REF!</v>
      </c>
      <c r="X96" s="394" t="e">
        <f t="shared" ca="1" si="62"/>
        <v>#REF!</v>
      </c>
      <c r="Y96" s="394">
        <f t="shared" si="63"/>
        <v>0</v>
      </c>
      <c r="Z96" s="671" t="str">
        <f ca="1">IF(ISERROR($X96),"X",IF(-$I96&gt;(SP_DebtLimit/$E96),"I",IF(INDEX(SC_EX_APW,EXIDX1)&lt;1,"D","A")))</f>
        <v>X</v>
      </c>
    </row>
    <row r="97" spans="2:26" x14ac:dyDescent="0.25">
      <c r="B97">
        <f t="shared" ca="1" si="45"/>
        <v>2065</v>
      </c>
      <c r="C97" s="65" t="str">
        <f t="shared" si="44"/>
        <v>N</v>
      </c>
      <c r="D97" s="105">
        <f t="shared" si="46"/>
        <v>1</v>
      </c>
      <c r="E97" s="105">
        <f t="shared" ca="1" si="47"/>
        <v>0.25277109271601955</v>
      </c>
      <c r="F97" s="77">
        <f t="shared" si="48"/>
        <v>0</v>
      </c>
      <c r="G97" s="77">
        <f t="shared" si="49"/>
        <v>0</v>
      </c>
      <c r="I97" s="430" t="e">
        <f t="shared" ca="1" si="50"/>
        <v>#REF!</v>
      </c>
      <c r="J97" s="284" t="e">
        <f t="shared" ca="1" si="51"/>
        <v>#REF!</v>
      </c>
      <c r="K97" s="284" t="e">
        <f t="shared" ca="1" si="52"/>
        <v>#REF!</v>
      </c>
      <c r="L97" s="284" t="e">
        <f t="shared" ca="1" si="53"/>
        <v>#REF!</v>
      </c>
      <c r="M97" s="284" t="e">
        <f t="shared" ca="1" si="54"/>
        <v>#REF!</v>
      </c>
      <c r="N97" s="284" t="e">
        <f t="shared" ca="1" si="55"/>
        <v>#REF!</v>
      </c>
      <c r="O97" s="284" t="e">
        <f t="shared" ca="1" si="66"/>
        <v>#REF!</v>
      </c>
      <c r="P97" s="307" t="e">
        <f t="shared" ca="1" si="56"/>
        <v>#REF!</v>
      </c>
      <c r="Q97" s="284" t="e">
        <f t="shared" ca="1" si="57"/>
        <v>#REF!</v>
      </c>
      <c r="R97" s="307">
        <f t="shared" ca="1" si="58"/>
        <v>0</v>
      </c>
      <c r="S97" s="284" t="e">
        <f t="shared" ca="1" si="59"/>
        <v>#REF!</v>
      </c>
      <c r="T97" s="307" t="e">
        <f t="shared" ca="1" si="60"/>
        <v>#REF!</v>
      </c>
      <c r="U97" s="434" t="e">
        <f t="shared" ca="1" si="61"/>
        <v>#REF!</v>
      </c>
      <c r="V97" s="284" t="e">
        <f t="shared" ca="1" si="64"/>
        <v>#REF!</v>
      </c>
      <c r="W97" s="284" t="e">
        <f t="shared" ca="1" si="65"/>
        <v>#REF!</v>
      </c>
      <c r="X97" s="284" t="e">
        <f t="shared" ca="1" si="62"/>
        <v>#REF!</v>
      </c>
      <c r="Y97" s="284">
        <f t="shared" si="63"/>
        <v>0</v>
      </c>
      <c r="Z97" s="671"/>
    </row>
    <row r="98" spans="2:26" x14ac:dyDescent="0.25">
      <c r="B98" s="185">
        <f t="shared" ca="1" si="45"/>
        <v>2066</v>
      </c>
      <c r="C98" s="102" t="str">
        <f t="shared" si="44"/>
        <v>R</v>
      </c>
      <c r="D98" s="104">
        <f t="shared" ca="1" si="46"/>
        <v>0.24481461764263396</v>
      </c>
      <c r="E98" s="104">
        <f t="shared" si="47"/>
        <v>1</v>
      </c>
      <c r="F98" s="103">
        <f t="shared" si="48"/>
        <v>0</v>
      </c>
      <c r="G98" s="103">
        <f t="shared" si="49"/>
        <v>0</v>
      </c>
      <c r="I98" s="393" t="e">
        <f t="shared" ca="1" si="50"/>
        <v>#REF!</v>
      </c>
      <c r="J98" s="394" t="e">
        <f t="shared" ca="1" si="51"/>
        <v>#REF!</v>
      </c>
      <c r="K98" s="394" t="e">
        <f t="shared" ca="1" si="52"/>
        <v>#REF!</v>
      </c>
      <c r="L98" s="394" t="e">
        <f t="shared" ca="1" si="53"/>
        <v>#REF!</v>
      </c>
      <c r="M98" s="394" t="e">
        <f t="shared" ca="1" si="54"/>
        <v>#REF!</v>
      </c>
      <c r="N98" s="394" t="e">
        <f t="shared" ca="1" si="55"/>
        <v>#REF!</v>
      </c>
      <c r="O98" s="394" t="e">
        <f t="shared" ca="1" si="66"/>
        <v>#REF!</v>
      </c>
      <c r="P98" s="432" t="e">
        <f t="shared" ca="1" si="56"/>
        <v>#REF!</v>
      </c>
      <c r="Q98" s="394" t="e">
        <f t="shared" ca="1" si="57"/>
        <v>#REF!</v>
      </c>
      <c r="R98" s="432">
        <f t="shared" ca="1" si="58"/>
        <v>0</v>
      </c>
      <c r="S98" s="394" t="e">
        <f t="shared" ca="1" si="59"/>
        <v>#REF!</v>
      </c>
      <c r="T98" s="432" t="e">
        <f t="shared" ca="1" si="60"/>
        <v>#REF!</v>
      </c>
      <c r="U98" s="433" t="e">
        <f t="shared" ca="1" si="61"/>
        <v>#REF!</v>
      </c>
      <c r="V98" s="394" t="e">
        <f t="shared" ca="1" si="64"/>
        <v>#REF!</v>
      </c>
      <c r="W98" s="394" t="e">
        <f t="shared" ca="1" si="65"/>
        <v>#REF!</v>
      </c>
      <c r="X98" s="394" t="e">
        <f t="shared" ca="1" si="62"/>
        <v>#REF!</v>
      </c>
      <c r="Y98" s="394">
        <f t="shared" si="63"/>
        <v>0</v>
      </c>
      <c r="Z98" s="671" t="str">
        <f ca="1">IF(ISERROR($X98),"X",IF(-$I98&gt;(SP_DebtLimit/$E98),"I",IF(INDEX(SC_EX_APW,EXIDX1)&lt;1,"D","A")))</f>
        <v>X</v>
      </c>
    </row>
    <row r="99" spans="2:26" x14ac:dyDescent="0.25">
      <c r="B99">
        <f t="shared" ca="1" si="45"/>
        <v>2066</v>
      </c>
      <c r="C99" s="65" t="str">
        <f t="shared" si="44"/>
        <v>N</v>
      </c>
      <c r="D99" s="105">
        <f t="shared" si="46"/>
        <v>1</v>
      </c>
      <c r="E99" s="105">
        <f t="shared" ca="1" si="47"/>
        <v>0.24481461764263396</v>
      </c>
      <c r="F99" s="77">
        <f t="shared" si="48"/>
        <v>0</v>
      </c>
      <c r="G99" s="77">
        <f t="shared" si="49"/>
        <v>0</v>
      </c>
      <c r="I99" s="430" t="e">
        <f t="shared" ca="1" si="50"/>
        <v>#REF!</v>
      </c>
      <c r="J99" s="284" t="e">
        <f t="shared" ca="1" si="51"/>
        <v>#REF!</v>
      </c>
      <c r="K99" s="284" t="e">
        <f t="shared" ca="1" si="52"/>
        <v>#REF!</v>
      </c>
      <c r="L99" s="284" t="e">
        <f t="shared" ca="1" si="53"/>
        <v>#REF!</v>
      </c>
      <c r="M99" s="284" t="e">
        <f t="shared" ca="1" si="54"/>
        <v>#REF!</v>
      </c>
      <c r="N99" s="284" t="e">
        <f t="shared" ca="1" si="55"/>
        <v>#REF!</v>
      </c>
      <c r="O99" s="284" t="e">
        <f t="shared" ca="1" si="66"/>
        <v>#REF!</v>
      </c>
      <c r="P99" s="307" t="e">
        <f t="shared" ca="1" si="56"/>
        <v>#REF!</v>
      </c>
      <c r="Q99" s="284" t="e">
        <f t="shared" ca="1" si="57"/>
        <v>#REF!</v>
      </c>
      <c r="R99" s="307">
        <f t="shared" ca="1" si="58"/>
        <v>0</v>
      </c>
      <c r="S99" s="284" t="e">
        <f t="shared" ca="1" si="59"/>
        <v>#REF!</v>
      </c>
      <c r="T99" s="307" t="e">
        <f t="shared" ca="1" si="60"/>
        <v>#REF!</v>
      </c>
      <c r="U99" s="434" t="e">
        <f t="shared" ca="1" si="61"/>
        <v>#REF!</v>
      </c>
      <c r="V99" s="284" t="e">
        <f t="shared" ca="1" si="64"/>
        <v>#REF!</v>
      </c>
      <c r="W99" s="284" t="e">
        <f t="shared" ca="1" si="65"/>
        <v>#REF!</v>
      </c>
      <c r="X99" s="284" t="e">
        <f t="shared" ca="1" si="62"/>
        <v>#REF!</v>
      </c>
      <c r="Y99" s="284">
        <f t="shared" si="63"/>
        <v>0</v>
      </c>
      <c r="Z99" s="671"/>
    </row>
    <row r="100" spans="2:26" x14ac:dyDescent="0.25">
      <c r="B100" s="185">
        <f t="shared" ca="1" si="45"/>
        <v>2067</v>
      </c>
      <c r="C100" s="102" t="str">
        <f t="shared" si="44"/>
        <v>R</v>
      </c>
      <c r="D100" s="104">
        <f t="shared" ca="1" si="46"/>
        <v>0.23710858851586822</v>
      </c>
      <c r="E100" s="104">
        <f t="shared" si="47"/>
        <v>1</v>
      </c>
      <c r="F100" s="103">
        <f t="shared" si="48"/>
        <v>0</v>
      </c>
      <c r="G100" s="103">
        <f t="shared" si="49"/>
        <v>0</v>
      </c>
      <c r="I100" s="393" t="e">
        <f t="shared" ca="1" si="50"/>
        <v>#REF!</v>
      </c>
      <c r="J100" s="394" t="e">
        <f t="shared" ca="1" si="51"/>
        <v>#REF!</v>
      </c>
      <c r="K100" s="394" t="e">
        <f t="shared" ca="1" si="52"/>
        <v>#REF!</v>
      </c>
      <c r="L100" s="394" t="e">
        <f t="shared" ca="1" si="53"/>
        <v>#REF!</v>
      </c>
      <c r="M100" s="394" t="e">
        <f t="shared" ca="1" si="54"/>
        <v>#REF!</v>
      </c>
      <c r="N100" s="394" t="e">
        <f t="shared" ca="1" si="55"/>
        <v>#REF!</v>
      </c>
      <c r="O100" s="394" t="e">
        <f t="shared" ca="1" si="66"/>
        <v>#REF!</v>
      </c>
      <c r="P100" s="432" t="e">
        <f t="shared" ca="1" si="56"/>
        <v>#REF!</v>
      </c>
      <c r="Q100" s="394" t="e">
        <f t="shared" ca="1" si="57"/>
        <v>#REF!</v>
      </c>
      <c r="R100" s="432">
        <f t="shared" ca="1" si="58"/>
        <v>0</v>
      </c>
      <c r="S100" s="394" t="e">
        <f t="shared" ca="1" si="59"/>
        <v>#REF!</v>
      </c>
      <c r="T100" s="432" t="e">
        <f t="shared" ca="1" si="60"/>
        <v>#REF!</v>
      </c>
      <c r="U100" s="433" t="e">
        <f t="shared" ca="1" si="61"/>
        <v>#REF!</v>
      </c>
      <c r="V100" s="394" t="e">
        <f t="shared" ca="1" si="64"/>
        <v>#REF!</v>
      </c>
      <c r="W100" s="394" t="e">
        <f t="shared" ca="1" si="65"/>
        <v>#REF!</v>
      </c>
      <c r="X100" s="394" t="e">
        <f t="shared" ca="1" si="62"/>
        <v>#REF!</v>
      </c>
      <c r="Y100" s="394">
        <f t="shared" si="63"/>
        <v>0</v>
      </c>
      <c r="Z100" s="671" t="str">
        <f ca="1">IF(ISERROR($X100),"X",IF(-$I100&gt;(SP_DebtLimit/$E100),"I",IF(INDEX(SC_EX_APW,EXIDX1)&lt;1,"D","A")))</f>
        <v>X</v>
      </c>
    </row>
    <row r="101" spans="2:26" x14ac:dyDescent="0.25">
      <c r="B101">
        <f t="shared" ca="1" si="45"/>
        <v>2067</v>
      </c>
      <c r="C101" s="65" t="str">
        <f t="shared" si="44"/>
        <v>N</v>
      </c>
      <c r="D101" s="105">
        <f t="shared" si="46"/>
        <v>1</v>
      </c>
      <c r="E101" s="105">
        <f t="shared" ca="1" si="47"/>
        <v>0.23710858851586822</v>
      </c>
      <c r="F101" s="77">
        <f t="shared" si="48"/>
        <v>0</v>
      </c>
      <c r="G101" s="77">
        <f t="shared" si="49"/>
        <v>0</v>
      </c>
      <c r="I101" s="430" t="e">
        <f t="shared" ca="1" si="50"/>
        <v>#REF!</v>
      </c>
      <c r="J101" s="284" t="e">
        <f t="shared" ca="1" si="51"/>
        <v>#REF!</v>
      </c>
      <c r="K101" s="284" t="e">
        <f t="shared" ca="1" si="52"/>
        <v>#REF!</v>
      </c>
      <c r="L101" s="284" t="e">
        <f t="shared" ca="1" si="53"/>
        <v>#REF!</v>
      </c>
      <c r="M101" s="284" t="e">
        <f t="shared" ca="1" si="54"/>
        <v>#REF!</v>
      </c>
      <c r="N101" s="284" t="e">
        <f t="shared" ca="1" si="55"/>
        <v>#REF!</v>
      </c>
      <c r="O101" s="284" t="e">
        <f t="shared" ca="1" si="66"/>
        <v>#REF!</v>
      </c>
      <c r="P101" s="307" t="e">
        <f t="shared" ca="1" si="56"/>
        <v>#REF!</v>
      </c>
      <c r="Q101" s="284" t="e">
        <f t="shared" ca="1" si="57"/>
        <v>#REF!</v>
      </c>
      <c r="R101" s="307">
        <f t="shared" ca="1" si="58"/>
        <v>0</v>
      </c>
      <c r="S101" s="284" t="e">
        <f t="shared" ca="1" si="59"/>
        <v>#REF!</v>
      </c>
      <c r="T101" s="307" t="e">
        <f t="shared" ca="1" si="60"/>
        <v>#REF!</v>
      </c>
      <c r="U101" s="434" t="e">
        <f t="shared" ca="1" si="61"/>
        <v>#REF!</v>
      </c>
      <c r="V101" s="284" t="e">
        <f t="shared" ca="1" si="64"/>
        <v>#REF!</v>
      </c>
      <c r="W101" s="284" t="e">
        <f t="shared" ca="1" si="65"/>
        <v>#REF!</v>
      </c>
      <c r="X101" s="284" t="e">
        <f t="shared" ca="1" si="62"/>
        <v>#REF!</v>
      </c>
      <c r="Y101" s="284">
        <f t="shared" si="63"/>
        <v>0</v>
      </c>
      <c r="Z101" s="671"/>
    </row>
    <row r="102" spans="2:26" x14ac:dyDescent="0.25">
      <c r="B102" s="185">
        <f t="shared" ca="1" si="45"/>
        <v>2068</v>
      </c>
      <c r="C102" s="102" t="str">
        <f t="shared" si="44"/>
        <v>R</v>
      </c>
      <c r="D102" s="104">
        <f t="shared" ca="1" si="46"/>
        <v>0.22964512204926707</v>
      </c>
      <c r="E102" s="104">
        <f t="shared" si="47"/>
        <v>1</v>
      </c>
      <c r="F102" s="103">
        <f t="shared" si="48"/>
        <v>0</v>
      </c>
      <c r="G102" s="103">
        <f t="shared" si="49"/>
        <v>0</v>
      </c>
      <c r="I102" s="393" t="e">
        <f t="shared" ca="1" si="50"/>
        <v>#REF!</v>
      </c>
      <c r="J102" s="394" t="e">
        <f t="shared" ca="1" si="51"/>
        <v>#REF!</v>
      </c>
      <c r="K102" s="394" t="e">
        <f t="shared" ca="1" si="52"/>
        <v>#REF!</v>
      </c>
      <c r="L102" s="394" t="e">
        <f t="shared" ca="1" si="53"/>
        <v>#REF!</v>
      </c>
      <c r="M102" s="394" t="e">
        <f t="shared" ca="1" si="54"/>
        <v>#REF!</v>
      </c>
      <c r="N102" s="394" t="e">
        <f t="shared" ca="1" si="55"/>
        <v>#REF!</v>
      </c>
      <c r="O102" s="394" t="e">
        <f t="shared" ca="1" si="66"/>
        <v>#REF!</v>
      </c>
      <c r="P102" s="432" t="e">
        <f t="shared" ca="1" si="56"/>
        <v>#REF!</v>
      </c>
      <c r="Q102" s="394" t="e">
        <f t="shared" ca="1" si="57"/>
        <v>#REF!</v>
      </c>
      <c r="R102" s="432">
        <f t="shared" ca="1" si="58"/>
        <v>0</v>
      </c>
      <c r="S102" s="394" t="e">
        <f t="shared" ca="1" si="59"/>
        <v>#REF!</v>
      </c>
      <c r="T102" s="432" t="e">
        <f t="shared" ca="1" si="60"/>
        <v>#REF!</v>
      </c>
      <c r="U102" s="433" t="e">
        <f t="shared" ca="1" si="61"/>
        <v>#REF!</v>
      </c>
      <c r="V102" s="394" t="e">
        <f t="shared" ca="1" si="64"/>
        <v>#REF!</v>
      </c>
      <c r="W102" s="394" t="e">
        <f t="shared" ca="1" si="65"/>
        <v>#REF!</v>
      </c>
      <c r="X102" s="394" t="e">
        <f t="shared" ca="1" si="62"/>
        <v>#REF!</v>
      </c>
      <c r="Y102" s="394">
        <f t="shared" si="63"/>
        <v>0</v>
      </c>
      <c r="Z102" s="671" t="str">
        <f ca="1">IF(ISERROR($X102),"X",IF(-$I102&gt;(SP_DebtLimit/$E102),"I",IF(INDEX(SC_EX_APW,EXIDX1)&lt;1,"D","A")))</f>
        <v>X</v>
      </c>
    </row>
    <row r="103" spans="2:26" x14ac:dyDescent="0.25">
      <c r="B103">
        <f t="shared" ca="1" si="45"/>
        <v>2068</v>
      </c>
      <c r="C103" s="65" t="str">
        <f t="shared" si="44"/>
        <v>N</v>
      </c>
      <c r="D103" s="105">
        <f t="shared" si="46"/>
        <v>1</v>
      </c>
      <c r="E103" s="105">
        <f t="shared" ca="1" si="47"/>
        <v>0.22964512204926707</v>
      </c>
      <c r="F103" s="77">
        <f t="shared" si="48"/>
        <v>0</v>
      </c>
      <c r="G103" s="77">
        <f t="shared" si="49"/>
        <v>0</v>
      </c>
      <c r="I103" s="430" t="e">
        <f t="shared" ca="1" si="50"/>
        <v>#REF!</v>
      </c>
      <c r="J103" s="284" t="e">
        <f t="shared" ca="1" si="51"/>
        <v>#REF!</v>
      </c>
      <c r="K103" s="284" t="e">
        <f t="shared" ca="1" si="52"/>
        <v>#REF!</v>
      </c>
      <c r="L103" s="284" t="e">
        <f t="shared" ca="1" si="53"/>
        <v>#REF!</v>
      </c>
      <c r="M103" s="284" t="e">
        <f t="shared" ca="1" si="54"/>
        <v>#REF!</v>
      </c>
      <c r="N103" s="284" t="e">
        <f t="shared" ca="1" si="55"/>
        <v>#REF!</v>
      </c>
      <c r="O103" s="284" t="e">
        <f t="shared" ca="1" si="66"/>
        <v>#REF!</v>
      </c>
      <c r="P103" s="307" t="e">
        <f t="shared" ca="1" si="56"/>
        <v>#REF!</v>
      </c>
      <c r="Q103" s="284" t="e">
        <f t="shared" ca="1" si="57"/>
        <v>#REF!</v>
      </c>
      <c r="R103" s="307">
        <f t="shared" ca="1" si="58"/>
        <v>0</v>
      </c>
      <c r="S103" s="284" t="e">
        <f t="shared" ca="1" si="59"/>
        <v>#REF!</v>
      </c>
      <c r="T103" s="307" t="e">
        <f t="shared" ca="1" si="60"/>
        <v>#REF!</v>
      </c>
      <c r="U103" s="434" t="e">
        <f t="shared" ca="1" si="61"/>
        <v>#REF!</v>
      </c>
      <c r="V103" s="284" t="e">
        <f t="shared" ca="1" si="64"/>
        <v>#REF!</v>
      </c>
      <c r="W103" s="284" t="e">
        <f t="shared" ca="1" si="65"/>
        <v>#REF!</v>
      </c>
      <c r="X103" s="284" t="e">
        <f t="shared" ca="1" si="62"/>
        <v>#REF!</v>
      </c>
      <c r="Y103" s="284">
        <f t="shared" si="63"/>
        <v>0</v>
      </c>
      <c r="Z103" s="671"/>
    </row>
    <row r="104" spans="2:26" x14ac:dyDescent="0.25">
      <c r="B104" s="185">
        <f t="shared" ca="1" si="45"/>
        <v>2069</v>
      </c>
      <c r="C104" s="102" t="str">
        <f t="shared" si="44"/>
        <v>R</v>
      </c>
      <c r="D104" s="104">
        <f t="shared" ca="1" si="46"/>
        <v>0.22241658309856374</v>
      </c>
      <c r="E104" s="104">
        <f t="shared" si="47"/>
        <v>1</v>
      </c>
      <c r="F104" s="103">
        <f t="shared" si="48"/>
        <v>0</v>
      </c>
      <c r="G104" s="103">
        <f t="shared" si="49"/>
        <v>0</v>
      </c>
      <c r="I104" s="393" t="e">
        <f t="shared" ca="1" si="50"/>
        <v>#REF!</v>
      </c>
      <c r="J104" s="394" t="e">
        <f t="shared" ca="1" si="51"/>
        <v>#REF!</v>
      </c>
      <c r="K104" s="394" t="e">
        <f t="shared" ca="1" si="52"/>
        <v>#REF!</v>
      </c>
      <c r="L104" s="394" t="e">
        <f t="shared" ca="1" si="53"/>
        <v>#REF!</v>
      </c>
      <c r="M104" s="394" t="e">
        <f t="shared" ca="1" si="54"/>
        <v>#REF!</v>
      </c>
      <c r="N104" s="394" t="e">
        <f t="shared" ca="1" si="55"/>
        <v>#REF!</v>
      </c>
      <c r="O104" s="394" t="e">
        <f t="shared" ca="1" si="66"/>
        <v>#REF!</v>
      </c>
      <c r="P104" s="432" t="e">
        <f t="shared" ca="1" si="56"/>
        <v>#REF!</v>
      </c>
      <c r="Q104" s="394" t="e">
        <f t="shared" ca="1" si="57"/>
        <v>#REF!</v>
      </c>
      <c r="R104" s="432">
        <f t="shared" ca="1" si="58"/>
        <v>0</v>
      </c>
      <c r="S104" s="394" t="e">
        <f t="shared" ca="1" si="59"/>
        <v>#REF!</v>
      </c>
      <c r="T104" s="432" t="e">
        <f t="shared" ca="1" si="60"/>
        <v>#REF!</v>
      </c>
      <c r="U104" s="433" t="e">
        <f t="shared" ca="1" si="61"/>
        <v>#REF!</v>
      </c>
      <c r="V104" s="394" t="e">
        <f t="shared" ca="1" si="64"/>
        <v>#REF!</v>
      </c>
      <c r="W104" s="394" t="e">
        <f t="shared" ca="1" si="65"/>
        <v>#REF!</v>
      </c>
      <c r="X104" s="394" t="e">
        <f t="shared" ca="1" si="62"/>
        <v>#REF!</v>
      </c>
      <c r="Y104" s="394">
        <f t="shared" si="63"/>
        <v>0</v>
      </c>
      <c r="Z104" s="671" t="str">
        <f ca="1">IF(ISERROR($X104),"X",IF(-$I104&gt;(SP_DebtLimit/$E104),"I",IF(INDEX(SC_EX_APW,EXIDX1)&lt;1,"D","A")))</f>
        <v>X</v>
      </c>
    </row>
    <row r="105" spans="2:26" x14ac:dyDescent="0.25">
      <c r="B105">
        <f t="shared" ca="1" si="45"/>
        <v>2069</v>
      </c>
      <c r="C105" s="65" t="str">
        <f t="shared" si="44"/>
        <v>N</v>
      </c>
      <c r="D105" s="105">
        <f t="shared" si="46"/>
        <v>1</v>
      </c>
      <c r="E105" s="105">
        <f t="shared" ca="1" si="47"/>
        <v>0.22241658309856374</v>
      </c>
      <c r="F105" s="77">
        <f t="shared" si="48"/>
        <v>0</v>
      </c>
      <c r="G105" s="77">
        <f t="shared" si="49"/>
        <v>0</v>
      </c>
      <c r="I105" s="430" t="e">
        <f t="shared" ca="1" si="50"/>
        <v>#REF!</v>
      </c>
      <c r="J105" s="284" t="e">
        <f t="shared" ca="1" si="51"/>
        <v>#REF!</v>
      </c>
      <c r="K105" s="284" t="e">
        <f t="shared" ca="1" si="52"/>
        <v>#REF!</v>
      </c>
      <c r="L105" s="284" t="e">
        <f t="shared" ca="1" si="53"/>
        <v>#REF!</v>
      </c>
      <c r="M105" s="284" t="e">
        <f t="shared" ca="1" si="54"/>
        <v>#REF!</v>
      </c>
      <c r="N105" s="284" t="e">
        <f t="shared" ca="1" si="55"/>
        <v>#REF!</v>
      </c>
      <c r="O105" s="284" t="e">
        <f t="shared" ca="1" si="66"/>
        <v>#REF!</v>
      </c>
      <c r="P105" s="307" t="e">
        <f t="shared" ca="1" si="56"/>
        <v>#REF!</v>
      </c>
      <c r="Q105" s="284" t="e">
        <f t="shared" ca="1" si="57"/>
        <v>#REF!</v>
      </c>
      <c r="R105" s="307">
        <f t="shared" ca="1" si="58"/>
        <v>0</v>
      </c>
      <c r="S105" s="284" t="e">
        <f t="shared" ca="1" si="59"/>
        <v>#REF!</v>
      </c>
      <c r="T105" s="307" t="e">
        <f t="shared" ca="1" si="60"/>
        <v>#REF!</v>
      </c>
      <c r="U105" s="434" t="e">
        <f t="shared" ca="1" si="61"/>
        <v>#REF!</v>
      </c>
      <c r="V105" s="284" t="e">
        <f t="shared" ca="1" si="64"/>
        <v>#REF!</v>
      </c>
      <c r="W105" s="284" t="e">
        <f t="shared" ca="1" si="65"/>
        <v>#REF!</v>
      </c>
      <c r="X105" s="284" t="e">
        <f t="shared" ca="1" si="62"/>
        <v>#REF!</v>
      </c>
      <c r="Y105" s="284">
        <f t="shared" si="63"/>
        <v>0</v>
      </c>
      <c r="Z105" s="671"/>
    </row>
    <row r="106" spans="2:26" x14ac:dyDescent="0.25">
      <c r="B106" s="185">
        <f t="shared" ref="B106:B137" ca="1" si="67">B104+1</f>
        <v>2070</v>
      </c>
      <c r="C106" s="102" t="str">
        <f t="shared" si="44"/>
        <v>R</v>
      </c>
      <c r="D106" s="104">
        <f t="shared" ca="1" si="46"/>
        <v>0.21541557685090923</v>
      </c>
      <c r="E106" s="104">
        <f t="shared" ref="E106:E137" si="68">CHOOSE(MOD(ROW(),2)+1,1,INDEX(SC_EA_InflationCPIdx,EAIDX))</f>
        <v>1</v>
      </c>
      <c r="F106" s="103">
        <f t="shared" ref="F106:F137" si="69">IF(INDEX(SC_ShowRetireatee,1),IF($B106&lt;YEAR(INDEX(SP_BirthDate,1)),0,$B106-YEAR(INDEX(SP_BirthDate,1))),0)</f>
        <v>0</v>
      </c>
      <c r="G106" s="103">
        <f t="shared" ref="G106:G137" si="70">IF(INDEX(SC_ShowRetireatee,2),IF($B106&lt;YEAR(INDEX(SP_BirthDate,2)),0,$B106-YEAR(INDEX(SP_BirthDate,2))),0)</f>
        <v>0</v>
      </c>
      <c r="I106" s="393" t="e">
        <f t="shared" ref="I106:I137" ca="1" si="71">MIN(($I104+$X104)/$D104*$D106,0)</f>
        <v>#REF!</v>
      </c>
      <c r="J106" s="394" t="e">
        <f t="shared" ref="J106:J137" ca="1" si="72">INDEX(SC_EX_IncomeActiveA,EXIDX1)*$D106</f>
        <v>#REF!</v>
      </c>
      <c r="K106" s="394" t="e">
        <f t="shared" ref="K106:K137" ca="1" si="73">INDEX(SC_EX_IncomePassiveA,EXIDX1)*$D106</f>
        <v>#REF!</v>
      </c>
      <c r="L106" s="394" t="e">
        <f t="shared" ref="L106:L137" ca="1" si="74">INDEX(SC_ZA_IncomeAnny,ZAIDX)*$D106</f>
        <v>#REF!</v>
      </c>
      <c r="M106" s="394" t="e">
        <f t="shared" ref="M106:M137" ca="1" si="75">INDEX(SC_ZX_SSRIBA,ZXIDX1)*$D106</f>
        <v>#REF!</v>
      </c>
      <c r="N106" s="394" t="e">
        <f t="shared" ref="N106:N137" ca="1" si="76">INDEX(SC_ZX_IncomeCapitalA,ZXIDX1)*$D106</f>
        <v>#REF!</v>
      </c>
      <c r="O106" s="394" t="e">
        <f t="shared" ca="1" si="66"/>
        <v>#REF!</v>
      </c>
      <c r="P106" s="432" t="e">
        <f t="shared" ref="P106:P137" ca="1" si="77">(INDEX(SC_ZX_IRAContribA,ZXIDX1)+INDEX(SC_ZA_AnnyContrib,ZAIDX))*$D106</f>
        <v>#REF!</v>
      </c>
      <c r="Q106" s="394" t="e">
        <f t="shared" ref="Q106:Q137" ca="1" si="78">((ABS(INDEX(SC_EX_APW,EXIDX1))*INDEX(SC_ExpensesLiving,1)+(1-ABS(INDEX(SC_EX_APW,EXIDX1)))*INDEX(SC_ExpensesLiving,2))*12/INDEX(SC_EA_InflationCPIdx,EAIDX)+INDEX(SC_ZA_ExpensesHome,ZAIDX))*$D106</f>
        <v>#REF!</v>
      </c>
      <c r="R106" s="432">
        <f t="shared" ref="R106:R137" ca="1" si="79">(SUMIF(SP_LumpSumYears,$B106,SP_LumpSumAmounts)/INDEX(SC_EA_InflationCPIdx,EAIDX))*$D106</f>
        <v>0</v>
      </c>
      <c r="S106" s="394" t="e">
        <f t="shared" ref="S106:S137" ca="1" si="80">$I106*SP_DebtRate</f>
        <v>#REF!</v>
      </c>
      <c r="T106" s="432" t="e">
        <f t="shared" ref="T106:T137" ca="1" si="81">INDEX(SC_ZX_TotalTaxesA,ZXIDX1)*$D106</f>
        <v>#REF!</v>
      </c>
      <c r="U106" s="433" t="e">
        <f t="shared" ref="U106:U137" ca="1" si="82">(1-IF($O106&gt;0,-$T106/$O106,0))</f>
        <v>#REF!</v>
      </c>
      <c r="V106" s="394" t="e">
        <f t="shared" ca="1" si="64"/>
        <v>#REF!</v>
      </c>
      <c r="W106" s="394" t="e">
        <f t="shared" ca="1" si="65"/>
        <v>#REF!</v>
      </c>
      <c r="X106" s="394" t="e">
        <f t="shared" ref="X106:X137" ca="1" si="83">SUM(O106:T106)</f>
        <v>#REF!</v>
      </c>
      <c r="Y106" s="394">
        <f t="shared" ref="Y106:Y137" si="84">IF(SC_DataMode=FALSE, 0, IF($B106=SC_YearStop-1,0,($Y108/$D108*$D106)/(1+(INDEX(SC_ZX_ARPortfolio, ZXIDX1)*(1-ABS(INDEX(SC_EX_APW,EXIDX1))))))+$N106)</f>
        <v>0</v>
      </c>
      <c r="Z106" s="671" t="str">
        <f ca="1">IF(ISERROR($X106),"X",IF(-$I106&gt;(SP_DebtLimit/$E106),"I",IF(INDEX(SC_EX_APW,EXIDX1)&lt;1,"D","A")))</f>
        <v>X</v>
      </c>
    </row>
    <row r="107" spans="2:26" x14ac:dyDescent="0.25">
      <c r="B107">
        <f t="shared" ca="1" si="67"/>
        <v>2070</v>
      </c>
      <c r="C107" s="65" t="str">
        <f t="shared" si="44"/>
        <v>N</v>
      </c>
      <c r="D107" s="105">
        <f t="shared" si="46"/>
        <v>1</v>
      </c>
      <c r="E107" s="105">
        <f t="shared" ca="1" si="68"/>
        <v>0.21541557685090923</v>
      </c>
      <c r="F107" s="77">
        <f t="shared" si="69"/>
        <v>0</v>
      </c>
      <c r="G107" s="77">
        <f t="shared" si="70"/>
        <v>0</v>
      </c>
      <c r="I107" s="430" t="e">
        <f t="shared" ca="1" si="71"/>
        <v>#REF!</v>
      </c>
      <c r="J107" s="284" t="e">
        <f t="shared" ca="1" si="72"/>
        <v>#REF!</v>
      </c>
      <c r="K107" s="284" t="e">
        <f t="shared" ca="1" si="73"/>
        <v>#REF!</v>
      </c>
      <c r="L107" s="284" t="e">
        <f t="shared" ca="1" si="74"/>
        <v>#REF!</v>
      </c>
      <c r="M107" s="284" t="e">
        <f t="shared" ca="1" si="75"/>
        <v>#REF!</v>
      </c>
      <c r="N107" s="284" t="e">
        <f t="shared" ca="1" si="76"/>
        <v>#REF!</v>
      </c>
      <c r="O107" s="284" t="e">
        <f t="shared" ca="1" si="66"/>
        <v>#REF!</v>
      </c>
      <c r="P107" s="307" t="e">
        <f t="shared" ca="1" si="77"/>
        <v>#REF!</v>
      </c>
      <c r="Q107" s="284" t="e">
        <f t="shared" ca="1" si="78"/>
        <v>#REF!</v>
      </c>
      <c r="R107" s="307">
        <f t="shared" ca="1" si="79"/>
        <v>0</v>
      </c>
      <c r="S107" s="284" t="e">
        <f t="shared" ca="1" si="80"/>
        <v>#REF!</v>
      </c>
      <c r="T107" s="307" t="e">
        <f t="shared" ca="1" si="81"/>
        <v>#REF!</v>
      </c>
      <c r="U107" s="434" t="e">
        <f t="shared" ca="1" si="82"/>
        <v>#REF!</v>
      </c>
      <c r="V107" s="284" t="e">
        <f t="shared" ca="1" si="64"/>
        <v>#REF!</v>
      </c>
      <c r="W107" s="284" t="e">
        <f t="shared" ca="1" si="65"/>
        <v>#REF!</v>
      </c>
      <c r="X107" s="284" t="e">
        <f t="shared" ca="1" si="83"/>
        <v>#REF!</v>
      </c>
      <c r="Y107" s="284">
        <f t="shared" si="84"/>
        <v>0</v>
      </c>
      <c r="Z107" s="671"/>
    </row>
    <row r="108" spans="2:26" x14ac:dyDescent="0.25">
      <c r="B108" s="185">
        <f t="shared" ca="1" si="67"/>
        <v>2071</v>
      </c>
      <c r="C108" s="102" t="str">
        <f t="shared" si="44"/>
        <v>R</v>
      </c>
      <c r="D108" s="104">
        <f t="shared" ca="1" si="46"/>
        <v>0.20863494125996052</v>
      </c>
      <c r="E108" s="104">
        <f t="shared" si="68"/>
        <v>1</v>
      </c>
      <c r="F108" s="103">
        <f t="shared" si="69"/>
        <v>0</v>
      </c>
      <c r="G108" s="103">
        <f t="shared" si="70"/>
        <v>0</v>
      </c>
      <c r="I108" s="393" t="e">
        <f t="shared" ca="1" si="71"/>
        <v>#REF!</v>
      </c>
      <c r="J108" s="394" t="e">
        <f t="shared" ca="1" si="72"/>
        <v>#REF!</v>
      </c>
      <c r="K108" s="394" t="e">
        <f t="shared" ca="1" si="73"/>
        <v>#REF!</v>
      </c>
      <c r="L108" s="394" t="e">
        <f t="shared" ca="1" si="74"/>
        <v>#REF!</v>
      </c>
      <c r="M108" s="394" t="e">
        <f t="shared" ca="1" si="75"/>
        <v>#REF!</v>
      </c>
      <c r="N108" s="394" t="e">
        <f t="shared" ca="1" si="76"/>
        <v>#REF!</v>
      </c>
      <c r="O108" s="394" t="e">
        <f t="shared" ca="1" si="66"/>
        <v>#REF!</v>
      </c>
      <c r="P108" s="432" t="e">
        <f t="shared" ca="1" si="77"/>
        <v>#REF!</v>
      </c>
      <c r="Q108" s="394" t="e">
        <f t="shared" ca="1" si="78"/>
        <v>#REF!</v>
      </c>
      <c r="R108" s="432">
        <f t="shared" ca="1" si="79"/>
        <v>0</v>
      </c>
      <c r="S108" s="394" t="e">
        <f t="shared" ca="1" si="80"/>
        <v>#REF!</v>
      </c>
      <c r="T108" s="432" t="e">
        <f t="shared" ca="1" si="81"/>
        <v>#REF!</v>
      </c>
      <c r="U108" s="433" t="e">
        <f t="shared" ca="1" si="82"/>
        <v>#REF!</v>
      </c>
      <c r="V108" s="394" t="e">
        <f t="shared" ca="1" si="64"/>
        <v>#REF!</v>
      </c>
      <c r="W108" s="394" t="e">
        <f t="shared" ca="1" si="65"/>
        <v>#REF!</v>
      </c>
      <c r="X108" s="394" t="e">
        <f t="shared" ca="1" si="83"/>
        <v>#REF!</v>
      </c>
      <c r="Y108" s="394">
        <f t="shared" si="84"/>
        <v>0</v>
      </c>
      <c r="Z108" s="671" t="str">
        <f ca="1">IF(ISERROR($X108),"X",IF(-$I108&gt;(SP_DebtLimit/$E108),"I",IF(INDEX(SC_EX_APW,EXIDX1)&lt;1,"D","A")))</f>
        <v>X</v>
      </c>
    </row>
    <row r="109" spans="2:26" x14ac:dyDescent="0.25">
      <c r="B109">
        <f t="shared" ca="1" si="67"/>
        <v>2071</v>
      </c>
      <c r="C109" s="65" t="str">
        <f t="shared" si="44"/>
        <v>N</v>
      </c>
      <c r="D109" s="105">
        <f t="shared" si="46"/>
        <v>1</v>
      </c>
      <c r="E109" s="105">
        <f t="shared" ca="1" si="68"/>
        <v>0.20863494125996052</v>
      </c>
      <c r="F109" s="77">
        <f t="shared" si="69"/>
        <v>0</v>
      </c>
      <c r="G109" s="77">
        <f t="shared" si="70"/>
        <v>0</v>
      </c>
      <c r="I109" s="430" t="e">
        <f t="shared" ca="1" si="71"/>
        <v>#REF!</v>
      </c>
      <c r="J109" s="284" t="e">
        <f t="shared" ca="1" si="72"/>
        <v>#REF!</v>
      </c>
      <c r="K109" s="284" t="e">
        <f t="shared" ca="1" si="73"/>
        <v>#REF!</v>
      </c>
      <c r="L109" s="284" t="e">
        <f t="shared" ca="1" si="74"/>
        <v>#REF!</v>
      </c>
      <c r="M109" s="284" t="e">
        <f t="shared" ca="1" si="75"/>
        <v>#REF!</v>
      </c>
      <c r="N109" s="284" t="e">
        <f t="shared" ca="1" si="76"/>
        <v>#REF!</v>
      </c>
      <c r="O109" s="284" t="e">
        <f t="shared" ca="1" si="66"/>
        <v>#REF!</v>
      </c>
      <c r="P109" s="307" t="e">
        <f t="shared" ca="1" si="77"/>
        <v>#REF!</v>
      </c>
      <c r="Q109" s="284" t="e">
        <f t="shared" ca="1" si="78"/>
        <v>#REF!</v>
      </c>
      <c r="R109" s="307">
        <f t="shared" ca="1" si="79"/>
        <v>0</v>
      </c>
      <c r="S109" s="284" t="e">
        <f t="shared" ca="1" si="80"/>
        <v>#REF!</v>
      </c>
      <c r="T109" s="307" t="e">
        <f t="shared" ca="1" si="81"/>
        <v>#REF!</v>
      </c>
      <c r="U109" s="434" t="e">
        <f t="shared" ca="1" si="82"/>
        <v>#REF!</v>
      </c>
      <c r="V109" s="284" t="e">
        <f t="shared" ca="1" si="64"/>
        <v>#REF!</v>
      </c>
      <c r="W109" s="284" t="e">
        <f t="shared" ca="1" si="65"/>
        <v>#REF!</v>
      </c>
      <c r="X109" s="284" t="e">
        <f t="shared" ca="1" si="83"/>
        <v>#REF!</v>
      </c>
      <c r="Y109" s="284">
        <f t="shared" si="84"/>
        <v>0</v>
      </c>
      <c r="Z109" s="671"/>
    </row>
    <row r="110" spans="2:26" x14ac:dyDescent="0.25">
      <c r="B110" s="185">
        <f t="shared" ca="1" si="67"/>
        <v>2072</v>
      </c>
      <c r="C110" s="102" t="str">
        <f t="shared" si="44"/>
        <v>R</v>
      </c>
      <c r="D110" s="104">
        <f t="shared" ca="1" si="46"/>
        <v>0.20206773971909009</v>
      </c>
      <c r="E110" s="104">
        <f t="shared" si="68"/>
        <v>1</v>
      </c>
      <c r="F110" s="103">
        <f t="shared" si="69"/>
        <v>0</v>
      </c>
      <c r="G110" s="103">
        <f t="shared" si="70"/>
        <v>0</v>
      </c>
      <c r="I110" s="393" t="e">
        <f t="shared" ca="1" si="71"/>
        <v>#REF!</v>
      </c>
      <c r="J110" s="394" t="e">
        <f t="shared" ca="1" si="72"/>
        <v>#REF!</v>
      </c>
      <c r="K110" s="394" t="e">
        <f t="shared" ca="1" si="73"/>
        <v>#REF!</v>
      </c>
      <c r="L110" s="394" t="e">
        <f t="shared" ca="1" si="74"/>
        <v>#REF!</v>
      </c>
      <c r="M110" s="394" t="e">
        <f t="shared" ca="1" si="75"/>
        <v>#REF!</v>
      </c>
      <c r="N110" s="394" t="e">
        <f t="shared" ca="1" si="76"/>
        <v>#REF!</v>
      </c>
      <c r="O110" s="394" t="e">
        <f t="shared" ca="1" si="66"/>
        <v>#REF!</v>
      </c>
      <c r="P110" s="432" t="e">
        <f t="shared" ca="1" si="77"/>
        <v>#REF!</v>
      </c>
      <c r="Q110" s="394" t="e">
        <f t="shared" ca="1" si="78"/>
        <v>#REF!</v>
      </c>
      <c r="R110" s="432">
        <f t="shared" ca="1" si="79"/>
        <v>0</v>
      </c>
      <c r="S110" s="394" t="e">
        <f t="shared" ca="1" si="80"/>
        <v>#REF!</v>
      </c>
      <c r="T110" s="432" t="e">
        <f t="shared" ca="1" si="81"/>
        <v>#REF!</v>
      </c>
      <c r="U110" s="433" t="e">
        <f t="shared" ca="1" si="82"/>
        <v>#REF!</v>
      </c>
      <c r="V110" s="394" t="e">
        <f t="shared" ca="1" si="64"/>
        <v>#REF!</v>
      </c>
      <c r="W110" s="394" t="e">
        <f t="shared" ca="1" si="65"/>
        <v>#REF!</v>
      </c>
      <c r="X110" s="394" t="e">
        <f t="shared" ca="1" si="83"/>
        <v>#REF!</v>
      </c>
      <c r="Y110" s="394">
        <f t="shared" si="84"/>
        <v>0</v>
      </c>
      <c r="Z110" s="671" t="str">
        <f ca="1">IF(ISERROR($X110),"X",IF(-$I110&gt;(SP_DebtLimit/$E110),"I",IF(INDEX(SC_EX_APW,EXIDX1)&lt;1,"D","A")))</f>
        <v>X</v>
      </c>
    </row>
    <row r="111" spans="2:26" x14ac:dyDescent="0.25">
      <c r="B111">
        <f t="shared" ca="1" si="67"/>
        <v>2072</v>
      </c>
      <c r="C111" s="65" t="str">
        <f t="shared" si="44"/>
        <v>N</v>
      </c>
      <c r="D111" s="105">
        <f t="shared" si="46"/>
        <v>1</v>
      </c>
      <c r="E111" s="105">
        <f t="shared" ca="1" si="68"/>
        <v>0.20206773971909009</v>
      </c>
      <c r="F111" s="77">
        <f t="shared" si="69"/>
        <v>0</v>
      </c>
      <c r="G111" s="77">
        <f t="shared" si="70"/>
        <v>0</v>
      </c>
      <c r="I111" s="430" t="e">
        <f t="shared" ca="1" si="71"/>
        <v>#REF!</v>
      </c>
      <c r="J111" s="284" t="e">
        <f t="shared" ca="1" si="72"/>
        <v>#REF!</v>
      </c>
      <c r="K111" s="284" t="e">
        <f t="shared" ca="1" si="73"/>
        <v>#REF!</v>
      </c>
      <c r="L111" s="284" t="e">
        <f t="shared" ca="1" si="74"/>
        <v>#REF!</v>
      </c>
      <c r="M111" s="284" t="e">
        <f t="shared" ca="1" si="75"/>
        <v>#REF!</v>
      </c>
      <c r="N111" s="284" t="e">
        <f t="shared" ca="1" si="76"/>
        <v>#REF!</v>
      </c>
      <c r="O111" s="284" t="e">
        <f t="shared" ca="1" si="66"/>
        <v>#REF!</v>
      </c>
      <c r="P111" s="307" t="e">
        <f t="shared" ca="1" si="77"/>
        <v>#REF!</v>
      </c>
      <c r="Q111" s="284" t="e">
        <f t="shared" ca="1" si="78"/>
        <v>#REF!</v>
      </c>
      <c r="R111" s="307">
        <f t="shared" ca="1" si="79"/>
        <v>0</v>
      </c>
      <c r="S111" s="284" t="e">
        <f t="shared" ca="1" si="80"/>
        <v>#REF!</v>
      </c>
      <c r="T111" s="307" t="e">
        <f t="shared" ca="1" si="81"/>
        <v>#REF!</v>
      </c>
      <c r="U111" s="434" t="e">
        <f t="shared" ca="1" si="82"/>
        <v>#REF!</v>
      </c>
      <c r="V111" s="284" t="e">
        <f t="shared" ca="1" si="64"/>
        <v>#REF!</v>
      </c>
      <c r="W111" s="284" t="e">
        <f t="shared" ca="1" si="65"/>
        <v>#REF!</v>
      </c>
      <c r="X111" s="284" t="e">
        <f t="shared" ca="1" si="83"/>
        <v>#REF!</v>
      </c>
      <c r="Y111" s="284">
        <f t="shared" si="84"/>
        <v>0</v>
      </c>
      <c r="Z111" s="671"/>
    </row>
    <row r="112" spans="2:26" x14ac:dyDescent="0.25">
      <c r="B112" s="185">
        <f t="shared" ca="1" si="67"/>
        <v>2073</v>
      </c>
      <c r="C112" s="102" t="str">
        <f t="shared" si="44"/>
        <v>R</v>
      </c>
      <c r="D112" s="104">
        <f t="shared" ca="1" si="46"/>
        <v>0.19570725396522043</v>
      </c>
      <c r="E112" s="104">
        <f t="shared" si="68"/>
        <v>1</v>
      </c>
      <c r="F112" s="103">
        <f t="shared" si="69"/>
        <v>0</v>
      </c>
      <c r="G112" s="103">
        <f t="shared" si="70"/>
        <v>0</v>
      </c>
      <c r="I112" s="393" t="e">
        <f t="shared" ca="1" si="71"/>
        <v>#REF!</v>
      </c>
      <c r="J112" s="394" t="e">
        <f t="shared" ca="1" si="72"/>
        <v>#REF!</v>
      </c>
      <c r="K112" s="394" t="e">
        <f t="shared" ca="1" si="73"/>
        <v>#REF!</v>
      </c>
      <c r="L112" s="394" t="e">
        <f t="shared" ca="1" si="74"/>
        <v>#REF!</v>
      </c>
      <c r="M112" s="394" t="e">
        <f t="shared" ca="1" si="75"/>
        <v>#REF!</v>
      </c>
      <c r="N112" s="394" t="e">
        <f t="shared" ca="1" si="76"/>
        <v>#REF!</v>
      </c>
      <c r="O112" s="394" t="e">
        <f t="shared" ca="1" si="66"/>
        <v>#REF!</v>
      </c>
      <c r="P112" s="432" t="e">
        <f t="shared" ca="1" si="77"/>
        <v>#REF!</v>
      </c>
      <c r="Q112" s="394" t="e">
        <f t="shared" ca="1" si="78"/>
        <v>#REF!</v>
      </c>
      <c r="R112" s="432">
        <f t="shared" ca="1" si="79"/>
        <v>0</v>
      </c>
      <c r="S112" s="394" t="e">
        <f t="shared" ca="1" si="80"/>
        <v>#REF!</v>
      </c>
      <c r="T112" s="432" t="e">
        <f t="shared" ca="1" si="81"/>
        <v>#REF!</v>
      </c>
      <c r="U112" s="433" t="e">
        <f t="shared" ca="1" si="82"/>
        <v>#REF!</v>
      </c>
      <c r="V112" s="394" t="e">
        <f t="shared" ca="1" si="64"/>
        <v>#REF!</v>
      </c>
      <c r="W112" s="394" t="e">
        <f t="shared" ca="1" si="65"/>
        <v>#REF!</v>
      </c>
      <c r="X112" s="394" t="e">
        <f t="shared" ca="1" si="83"/>
        <v>#REF!</v>
      </c>
      <c r="Y112" s="394">
        <f t="shared" si="84"/>
        <v>0</v>
      </c>
      <c r="Z112" s="671" t="str">
        <f ca="1">IF(ISERROR($X112),"X",IF(-$I112&gt;(SP_DebtLimit/$E112),"I",IF(INDEX(SC_EX_APW,EXIDX1)&lt;1,"D","A")))</f>
        <v>X</v>
      </c>
    </row>
    <row r="113" spans="2:26" x14ac:dyDescent="0.25">
      <c r="B113">
        <f t="shared" ca="1" si="67"/>
        <v>2073</v>
      </c>
      <c r="C113" s="65" t="str">
        <f t="shared" si="44"/>
        <v>N</v>
      </c>
      <c r="D113" s="105">
        <f t="shared" si="46"/>
        <v>1</v>
      </c>
      <c r="E113" s="105">
        <f t="shared" ca="1" si="68"/>
        <v>0.19570725396522043</v>
      </c>
      <c r="F113" s="77">
        <f t="shared" si="69"/>
        <v>0</v>
      </c>
      <c r="G113" s="77">
        <f t="shared" si="70"/>
        <v>0</v>
      </c>
      <c r="I113" s="430" t="e">
        <f t="shared" ca="1" si="71"/>
        <v>#REF!</v>
      </c>
      <c r="J113" s="284" t="e">
        <f t="shared" ca="1" si="72"/>
        <v>#REF!</v>
      </c>
      <c r="K113" s="284" t="e">
        <f t="shared" ca="1" si="73"/>
        <v>#REF!</v>
      </c>
      <c r="L113" s="284" t="e">
        <f t="shared" ca="1" si="74"/>
        <v>#REF!</v>
      </c>
      <c r="M113" s="284" t="e">
        <f t="shared" ca="1" si="75"/>
        <v>#REF!</v>
      </c>
      <c r="N113" s="284" t="e">
        <f t="shared" ca="1" si="76"/>
        <v>#REF!</v>
      </c>
      <c r="O113" s="284" t="e">
        <f t="shared" ca="1" si="66"/>
        <v>#REF!</v>
      </c>
      <c r="P113" s="307" t="e">
        <f t="shared" ca="1" si="77"/>
        <v>#REF!</v>
      </c>
      <c r="Q113" s="284" t="e">
        <f t="shared" ca="1" si="78"/>
        <v>#REF!</v>
      </c>
      <c r="R113" s="307">
        <f t="shared" ca="1" si="79"/>
        <v>0</v>
      </c>
      <c r="S113" s="284" t="e">
        <f t="shared" ca="1" si="80"/>
        <v>#REF!</v>
      </c>
      <c r="T113" s="307" t="e">
        <f t="shared" ca="1" si="81"/>
        <v>#REF!</v>
      </c>
      <c r="U113" s="434" t="e">
        <f t="shared" ca="1" si="82"/>
        <v>#REF!</v>
      </c>
      <c r="V113" s="284" t="e">
        <f t="shared" ca="1" si="64"/>
        <v>#REF!</v>
      </c>
      <c r="W113" s="284" t="e">
        <f t="shared" ca="1" si="65"/>
        <v>#REF!</v>
      </c>
      <c r="X113" s="284" t="e">
        <f t="shared" ca="1" si="83"/>
        <v>#REF!</v>
      </c>
      <c r="Y113" s="284">
        <f t="shared" si="84"/>
        <v>0</v>
      </c>
      <c r="Z113" s="671"/>
    </row>
    <row r="114" spans="2:26" x14ac:dyDescent="0.25">
      <c r="B114" s="185">
        <f t="shared" ca="1" si="67"/>
        <v>2074</v>
      </c>
      <c r="C114" s="102" t="str">
        <f t="shared" si="44"/>
        <v>R</v>
      </c>
      <c r="D114" s="104">
        <f t="shared" ca="1" si="46"/>
        <v>0.18954697720602465</v>
      </c>
      <c r="E114" s="104">
        <f t="shared" si="68"/>
        <v>1</v>
      </c>
      <c r="F114" s="103">
        <f t="shared" si="69"/>
        <v>0</v>
      </c>
      <c r="G114" s="103">
        <f t="shared" si="70"/>
        <v>0</v>
      </c>
      <c r="I114" s="393" t="e">
        <f t="shared" ca="1" si="71"/>
        <v>#REF!</v>
      </c>
      <c r="J114" s="394" t="e">
        <f t="shared" ca="1" si="72"/>
        <v>#REF!</v>
      </c>
      <c r="K114" s="394" t="e">
        <f t="shared" ca="1" si="73"/>
        <v>#REF!</v>
      </c>
      <c r="L114" s="394" t="e">
        <f t="shared" ca="1" si="74"/>
        <v>#REF!</v>
      </c>
      <c r="M114" s="394" t="e">
        <f t="shared" ca="1" si="75"/>
        <v>#REF!</v>
      </c>
      <c r="N114" s="394" t="e">
        <f t="shared" ca="1" si="76"/>
        <v>#REF!</v>
      </c>
      <c r="O114" s="394" t="e">
        <f t="shared" ca="1" si="66"/>
        <v>#REF!</v>
      </c>
      <c r="P114" s="432" t="e">
        <f t="shared" ca="1" si="77"/>
        <v>#REF!</v>
      </c>
      <c r="Q114" s="394" t="e">
        <f t="shared" ca="1" si="78"/>
        <v>#REF!</v>
      </c>
      <c r="R114" s="432">
        <f t="shared" ca="1" si="79"/>
        <v>0</v>
      </c>
      <c r="S114" s="394" t="e">
        <f t="shared" ca="1" si="80"/>
        <v>#REF!</v>
      </c>
      <c r="T114" s="432" t="e">
        <f t="shared" ca="1" si="81"/>
        <v>#REF!</v>
      </c>
      <c r="U114" s="433" t="e">
        <f t="shared" ca="1" si="82"/>
        <v>#REF!</v>
      </c>
      <c r="V114" s="394" t="e">
        <f t="shared" ca="1" si="64"/>
        <v>#REF!</v>
      </c>
      <c r="W114" s="394" t="e">
        <f t="shared" ca="1" si="65"/>
        <v>#REF!</v>
      </c>
      <c r="X114" s="394" t="e">
        <f t="shared" ca="1" si="83"/>
        <v>#REF!</v>
      </c>
      <c r="Y114" s="394">
        <f t="shared" si="84"/>
        <v>0</v>
      </c>
      <c r="Z114" s="671" t="str">
        <f ca="1">IF(ISERROR($X114),"X",IF(-$I114&gt;(SP_DebtLimit/$E114),"I",IF(INDEX(SC_EX_APW,EXIDX1)&lt;1,"D","A")))</f>
        <v>X</v>
      </c>
    </row>
    <row r="115" spans="2:26" x14ac:dyDescent="0.25">
      <c r="B115">
        <f t="shared" ca="1" si="67"/>
        <v>2074</v>
      </c>
      <c r="C115" s="65" t="str">
        <f t="shared" si="44"/>
        <v>N</v>
      </c>
      <c r="D115" s="105">
        <f t="shared" si="46"/>
        <v>1</v>
      </c>
      <c r="E115" s="105">
        <f t="shared" ca="1" si="68"/>
        <v>0.18954697720602465</v>
      </c>
      <c r="F115" s="77">
        <f t="shared" si="69"/>
        <v>0</v>
      </c>
      <c r="G115" s="77">
        <f t="shared" si="70"/>
        <v>0</v>
      </c>
      <c r="I115" s="430" t="e">
        <f t="shared" ca="1" si="71"/>
        <v>#REF!</v>
      </c>
      <c r="J115" s="284" t="e">
        <f t="shared" ca="1" si="72"/>
        <v>#REF!</v>
      </c>
      <c r="K115" s="284" t="e">
        <f t="shared" ca="1" si="73"/>
        <v>#REF!</v>
      </c>
      <c r="L115" s="284" t="e">
        <f t="shared" ca="1" si="74"/>
        <v>#REF!</v>
      </c>
      <c r="M115" s="284" t="e">
        <f t="shared" ca="1" si="75"/>
        <v>#REF!</v>
      </c>
      <c r="N115" s="284" t="e">
        <f t="shared" ca="1" si="76"/>
        <v>#REF!</v>
      </c>
      <c r="O115" s="284" t="e">
        <f t="shared" ca="1" si="66"/>
        <v>#REF!</v>
      </c>
      <c r="P115" s="307" t="e">
        <f t="shared" ca="1" si="77"/>
        <v>#REF!</v>
      </c>
      <c r="Q115" s="284" t="e">
        <f t="shared" ca="1" si="78"/>
        <v>#REF!</v>
      </c>
      <c r="R115" s="307">
        <f t="shared" ca="1" si="79"/>
        <v>0</v>
      </c>
      <c r="S115" s="284" t="e">
        <f t="shared" ca="1" si="80"/>
        <v>#REF!</v>
      </c>
      <c r="T115" s="307" t="e">
        <f t="shared" ca="1" si="81"/>
        <v>#REF!</v>
      </c>
      <c r="U115" s="434" t="e">
        <f t="shared" ca="1" si="82"/>
        <v>#REF!</v>
      </c>
      <c r="V115" s="284" t="e">
        <f t="shared" ca="1" si="64"/>
        <v>#REF!</v>
      </c>
      <c r="W115" s="284" t="e">
        <f t="shared" ca="1" si="65"/>
        <v>#REF!</v>
      </c>
      <c r="X115" s="284" t="e">
        <f t="shared" ca="1" si="83"/>
        <v>#REF!</v>
      </c>
      <c r="Y115" s="284">
        <f t="shared" si="84"/>
        <v>0</v>
      </c>
      <c r="Z115" s="671"/>
    </row>
    <row r="116" spans="2:26" x14ac:dyDescent="0.25">
      <c r="B116" s="185">
        <f t="shared" ca="1" si="67"/>
        <v>2075</v>
      </c>
      <c r="C116" s="102" t="str">
        <f t="shared" si="44"/>
        <v>R</v>
      </c>
      <c r="D116" s="104">
        <f t="shared" ca="1" si="46"/>
        <v>0.18358060746346214</v>
      </c>
      <c r="E116" s="104">
        <f t="shared" si="68"/>
        <v>1</v>
      </c>
      <c r="F116" s="103">
        <f t="shared" si="69"/>
        <v>0</v>
      </c>
      <c r="G116" s="103">
        <f t="shared" si="70"/>
        <v>0</v>
      </c>
      <c r="I116" s="393" t="e">
        <f t="shared" ca="1" si="71"/>
        <v>#REF!</v>
      </c>
      <c r="J116" s="394" t="e">
        <f t="shared" ca="1" si="72"/>
        <v>#REF!</v>
      </c>
      <c r="K116" s="394" t="e">
        <f t="shared" ca="1" si="73"/>
        <v>#REF!</v>
      </c>
      <c r="L116" s="394" t="e">
        <f t="shared" ca="1" si="74"/>
        <v>#REF!</v>
      </c>
      <c r="M116" s="394" t="e">
        <f t="shared" ca="1" si="75"/>
        <v>#REF!</v>
      </c>
      <c r="N116" s="394" t="e">
        <f t="shared" ca="1" si="76"/>
        <v>#REF!</v>
      </c>
      <c r="O116" s="394" t="e">
        <f t="shared" ca="1" si="66"/>
        <v>#REF!</v>
      </c>
      <c r="P116" s="432" t="e">
        <f t="shared" ca="1" si="77"/>
        <v>#REF!</v>
      </c>
      <c r="Q116" s="394" t="e">
        <f t="shared" ca="1" si="78"/>
        <v>#REF!</v>
      </c>
      <c r="R116" s="432">
        <f t="shared" ca="1" si="79"/>
        <v>0</v>
      </c>
      <c r="S116" s="394" t="e">
        <f t="shared" ca="1" si="80"/>
        <v>#REF!</v>
      </c>
      <c r="T116" s="432" t="e">
        <f t="shared" ca="1" si="81"/>
        <v>#REF!</v>
      </c>
      <c r="U116" s="433" t="e">
        <f t="shared" ca="1" si="82"/>
        <v>#REF!</v>
      </c>
      <c r="V116" s="394" t="e">
        <f t="shared" ca="1" si="64"/>
        <v>#REF!</v>
      </c>
      <c r="W116" s="394" t="e">
        <f t="shared" ca="1" si="65"/>
        <v>#REF!</v>
      </c>
      <c r="X116" s="394" t="e">
        <f t="shared" ca="1" si="83"/>
        <v>#REF!</v>
      </c>
      <c r="Y116" s="394">
        <f t="shared" si="84"/>
        <v>0</v>
      </c>
      <c r="Z116" s="671" t="str">
        <f ca="1">IF(ISERROR($X116),"X",IF(-$I116&gt;(SP_DebtLimit/$E116),"I",IF(INDEX(SC_EX_APW,EXIDX1)&lt;1,"D","A")))</f>
        <v>X</v>
      </c>
    </row>
    <row r="117" spans="2:26" x14ac:dyDescent="0.25">
      <c r="B117">
        <f t="shared" ca="1" si="67"/>
        <v>2075</v>
      </c>
      <c r="C117" s="65" t="str">
        <f t="shared" si="44"/>
        <v>N</v>
      </c>
      <c r="D117" s="105">
        <f t="shared" si="46"/>
        <v>1</v>
      </c>
      <c r="E117" s="105">
        <f t="shared" ca="1" si="68"/>
        <v>0.18358060746346214</v>
      </c>
      <c r="F117" s="77">
        <f t="shared" si="69"/>
        <v>0</v>
      </c>
      <c r="G117" s="77">
        <f t="shared" si="70"/>
        <v>0</v>
      </c>
      <c r="I117" s="430" t="e">
        <f t="shared" ca="1" si="71"/>
        <v>#REF!</v>
      </c>
      <c r="J117" s="284" t="e">
        <f t="shared" ca="1" si="72"/>
        <v>#REF!</v>
      </c>
      <c r="K117" s="284" t="e">
        <f t="shared" ca="1" si="73"/>
        <v>#REF!</v>
      </c>
      <c r="L117" s="284" t="e">
        <f t="shared" ca="1" si="74"/>
        <v>#REF!</v>
      </c>
      <c r="M117" s="284" t="e">
        <f t="shared" ca="1" si="75"/>
        <v>#REF!</v>
      </c>
      <c r="N117" s="284" t="e">
        <f t="shared" ca="1" si="76"/>
        <v>#REF!</v>
      </c>
      <c r="O117" s="284" t="e">
        <f t="shared" ca="1" si="66"/>
        <v>#REF!</v>
      </c>
      <c r="P117" s="307" t="e">
        <f t="shared" ca="1" si="77"/>
        <v>#REF!</v>
      </c>
      <c r="Q117" s="284" t="e">
        <f t="shared" ca="1" si="78"/>
        <v>#REF!</v>
      </c>
      <c r="R117" s="307">
        <f t="shared" ca="1" si="79"/>
        <v>0</v>
      </c>
      <c r="S117" s="284" t="e">
        <f t="shared" ca="1" si="80"/>
        <v>#REF!</v>
      </c>
      <c r="T117" s="307" t="e">
        <f t="shared" ca="1" si="81"/>
        <v>#REF!</v>
      </c>
      <c r="U117" s="434" t="e">
        <f t="shared" ca="1" si="82"/>
        <v>#REF!</v>
      </c>
      <c r="V117" s="284" t="e">
        <f t="shared" ca="1" si="64"/>
        <v>#REF!</v>
      </c>
      <c r="W117" s="284" t="e">
        <f t="shared" ca="1" si="65"/>
        <v>#REF!</v>
      </c>
      <c r="X117" s="284" t="e">
        <f t="shared" ca="1" si="83"/>
        <v>#REF!</v>
      </c>
      <c r="Y117" s="284">
        <f t="shared" si="84"/>
        <v>0</v>
      </c>
      <c r="Z117" s="671"/>
    </row>
    <row r="118" spans="2:26" x14ac:dyDescent="0.25">
      <c r="B118" s="185">
        <f t="shared" ca="1" si="67"/>
        <v>2076</v>
      </c>
      <c r="C118" s="102" t="str">
        <f t="shared" si="44"/>
        <v>R</v>
      </c>
      <c r="D118" s="104">
        <f t="shared" ca="1" si="46"/>
        <v>0.17780204112683984</v>
      </c>
      <c r="E118" s="104">
        <f t="shared" si="68"/>
        <v>1</v>
      </c>
      <c r="F118" s="103">
        <f t="shared" si="69"/>
        <v>0</v>
      </c>
      <c r="G118" s="103">
        <f t="shared" si="70"/>
        <v>0</v>
      </c>
      <c r="I118" s="393" t="e">
        <f t="shared" ca="1" si="71"/>
        <v>#REF!</v>
      </c>
      <c r="J118" s="394" t="e">
        <f t="shared" ca="1" si="72"/>
        <v>#REF!</v>
      </c>
      <c r="K118" s="394" t="e">
        <f t="shared" ca="1" si="73"/>
        <v>#REF!</v>
      </c>
      <c r="L118" s="394" t="e">
        <f t="shared" ca="1" si="74"/>
        <v>#REF!</v>
      </c>
      <c r="M118" s="394" t="e">
        <f t="shared" ca="1" si="75"/>
        <v>#REF!</v>
      </c>
      <c r="N118" s="394" t="e">
        <f t="shared" ca="1" si="76"/>
        <v>#REF!</v>
      </c>
      <c r="O118" s="394" t="e">
        <f t="shared" ca="1" si="66"/>
        <v>#REF!</v>
      </c>
      <c r="P118" s="432" t="e">
        <f t="shared" ca="1" si="77"/>
        <v>#REF!</v>
      </c>
      <c r="Q118" s="394" t="e">
        <f t="shared" ca="1" si="78"/>
        <v>#REF!</v>
      </c>
      <c r="R118" s="432">
        <f t="shared" ca="1" si="79"/>
        <v>0</v>
      </c>
      <c r="S118" s="394" t="e">
        <f t="shared" ca="1" si="80"/>
        <v>#REF!</v>
      </c>
      <c r="T118" s="432" t="e">
        <f t="shared" ca="1" si="81"/>
        <v>#REF!</v>
      </c>
      <c r="U118" s="433" t="e">
        <f t="shared" ca="1" si="82"/>
        <v>#REF!</v>
      </c>
      <c r="V118" s="394" t="e">
        <f t="shared" ca="1" si="64"/>
        <v>#REF!</v>
      </c>
      <c r="W118" s="394" t="e">
        <f t="shared" ca="1" si="65"/>
        <v>#REF!</v>
      </c>
      <c r="X118" s="394" t="e">
        <f t="shared" ca="1" si="83"/>
        <v>#REF!</v>
      </c>
      <c r="Y118" s="394">
        <f t="shared" si="84"/>
        <v>0</v>
      </c>
      <c r="Z118" s="671" t="str">
        <f ca="1">IF(ISERROR($X118),"X",IF(-$I118&gt;(SP_DebtLimit/$E118),"I",IF(INDEX(SC_EX_APW,EXIDX1)&lt;1,"D","A")))</f>
        <v>X</v>
      </c>
    </row>
    <row r="119" spans="2:26" x14ac:dyDescent="0.25">
      <c r="B119">
        <f t="shared" ca="1" si="67"/>
        <v>2076</v>
      </c>
      <c r="C119" s="65" t="str">
        <f t="shared" si="44"/>
        <v>N</v>
      </c>
      <c r="D119" s="105">
        <f t="shared" si="46"/>
        <v>1</v>
      </c>
      <c r="E119" s="105">
        <f t="shared" ca="1" si="68"/>
        <v>0.17780204112683984</v>
      </c>
      <c r="F119" s="77">
        <f t="shared" si="69"/>
        <v>0</v>
      </c>
      <c r="G119" s="77">
        <f t="shared" si="70"/>
        <v>0</v>
      </c>
      <c r="I119" s="430" t="e">
        <f t="shared" ca="1" si="71"/>
        <v>#REF!</v>
      </c>
      <c r="J119" s="284" t="e">
        <f t="shared" ca="1" si="72"/>
        <v>#REF!</v>
      </c>
      <c r="K119" s="284" t="e">
        <f t="shared" ca="1" si="73"/>
        <v>#REF!</v>
      </c>
      <c r="L119" s="284" t="e">
        <f t="shared" ca="1" si="74"/>
        <v>#REF!</v>
      </c>
      <c r="M119" s="284" t="e">
        <f t="shared" ca="1" si="75"/>
        <v>#REF!</v>
      </c>
      <c r="N119" s="284" t="e">
        <f t="shared" ca="1" si="76"/>
        <v>#REF!</v>
      </c>
      <c r="O119" s="284" t="e">
        <f t="shared" ca="1" si="66"/>
        <v>#REF!</v>
      </c>
      <c r="P119" s="307" t="e">
        <f t="shared" ca="1" si="77"/>
        <v>#REF!</v>
      </c>
      <c r="Q119" s="284" t="e">
        <f t="shared" ca="1" si="78"/>
        <v>#REF!</v>
      </c>
      <c r="R119" s="307">
        <f t="shared" ca="1" si="79"/>
        <v>0</v>
      </c>
      <c r="S119" s="284" t="e">
        <f t="shared" ca="1" si="80"/>
        <v>#REF!</v>
      </c>
      <c r="T119" s="307" t="e">
        <f t="shared" ca="1" si="81"/>
        <v>#REF!</v>
      </c>
      <c r="U119" s="434" t="e">
        <f t="shared" ca="1" si="82"/>
        <v>#REF!</v>
      </c>
      <c r="V119" s="284" t="e">
        <f t="shared" ca="1" si="64"/>
        <v>#REF!</v>
      </c>
      <c r="W119" s="284" t="e">
        <f t="shared" ca="1" si="65"/>
        <v>#REF!</v>
      </c>
      <c r="X119" s="284" t="e">
        <f t="shared" ca="1" si="83"/>
        <v>#REF!</v>
      </c>
      <c r="Y119" s="284">
        <f t="shared" si="84"/>
        <v>0</v>
      </c>
      <c r="Z119" s="671"/>
    </row>
    <row r="120" spans="2:26" x14ac:dyDescent="0.25">
      <c r="B120" s="185">
        <f t="shared" ca="1" si="67"/>
        <v>2077</v>
      </c>
      <c r="C120" s="102" t="str">
        <f t="shared" si="44"/>
        <v>R</v>
      </c>
      <c r="D120" s="104">
        <f t="shared" ca="1" si="46"/>
        <v>0.17220536670880371</v>
      </c>
      <c r="E120" s="104">
        <f t="shared" si="68"/>
        <v>1</v>
      </c>
      <c r="F120" s="103">
        <f t="shared" si="69"/>
        <v>0</v>
      </c>
      <c r="G120" s="103">
        <f t="shared" si="70"/>
        <v>0</v>
      </c>
      <c r="I120" s="393" t="e">
        <f t="shared" ca="1" si="71"/>
        <v>#REF!</v>
      </c>
      <c r="J120" s="394" t="e">
        <f t="shared" ca="1" si="72"/>
        <v>#REF!</v>
      </c>
      <c r="K120" s="394" t="e">
        <f t="shared" ca="1" si="73"/>
        <v>#REF!</v>
      </c>
      <c r="L120" s="394" t="e">
        <f t="shared" ca="1" si="74"/>
        <v>#REF!</v>
      </c>
      <c r="M120" s="394" t="e">
        <f t="shared" ca="1" si="75"/>
        <v>#REF!</v>
      </c>
      <c r="N120" s="394" t="e">
        <f t="shared" ca="1" si="76"/>
        <v>#REF!</v>
      </c>
      <c r="O120" s="394" t="e">
        <f t="shared" ca="1" si="66"/>
        <v>#REF!</v>
      </c>
      <c r="P120" s="432" t="e">
        <f t="shared" ca="1" si="77"/>
        <v>#REF!</v>
      </c>
      <c r="Q120" s="394" t="e">
        <f t="shared" ca="1" si="78"/>
        <v>#REF!</v>
      </c>
      <c r="R120" s="432">
        <f t="shared" ca="1" si="79"/>
        <v>0</v>
      </c>
      <c r="S120" s="394" t="e">
        <f t="shared" ca="1" si="80"/>
        <v>#REF!</v>
      </c>
      <c r="T120" s="432" t="e">
        <f t="shared" ca="1" si="81"/>
        <v>#REF!</v>
      </c>
      <c r="U120" s="433" t="e">
        <f t="shared" ca="1" si="82"/>
        <v>#REF!</v>
      </c>
      <c r="V120" s="394" t="e">
        <f t="shared" ca="1" si="64"/>
        <v>#REF!</v>
      </c>
      <c r="W120" s="394" t="e">
        <f t="shared" ca="1" si="65"/>
        <v>#REF!</v>
      </c>
      <c r="X120" s="394" t="e">
        <f t="shared" ca="1" si="83"/>
        <v>#REF!</v>
      </c>
      <c r="Y120" s="394">
        <f t="shared" si="84"/>
        <v>0</v>
      </c>
      <c r="Z120" s="671" t="str">
        <f ca="1">IF(ISERROR($X120),"X",IF(-$I120&gt;(SP_DebtLimit/$E120),"I",IF(INDEX(SC_EX_APW,EXIDX1)&lt;1,"D","A")))</f>
        <v>X</v>
      </c>
    </row>
    <row r="121" spans="2:26" x14ac:dyDescent="0.25">
      <c r="B121">
        <f t="shared" ca="1" si="67"/>
        <v>2077</v>
      </c>
      <c r="C121" s="65" t="str">
        <f t="shared" si="44"/>
        <v>N</v>
      </c>
      <c r="D121" s="105">
        <f t="shared" si="46"/>
        <v>1</v>
      </c>
      <c r="E121" s="105">
        <f t="shared" ca="1" si="68"/>
        <v>0.17220536670880371</v>
      </c>
      <c r="F121" s="77">
        <f t="shared" si="69"/>
        <v>0</v>
      </c>
      <c r="G121" s="77">
        <f t="shared" si="70"/>
        <v>0</v>
      </c>
      <c r="I121" s="430" t="e">
        <f t="shared" ca="1" si="71"/>
        <v>#REF!</v>
      </c>
      <c r="J121" s="284" t="e">
        <f t="shared" ca="1" si="72"/>
        <v>#REF!</v>
      </c>
      <c r="K121" s="284" t="e">
        <f t="shared" ca="1" si="73"/>
        <v>#REF!</v>
      </c>
      <c r="L121" s="284" t="e">
        <f t="shared" ca="1" si="74"/>
        <v>#REF!</v>
      </c>
      <c r="M121" s="284" t="e">
        <f t="shared" ca="1" si="75"/>
        <v>#REF!</v>
      </c>
      <c r="N121" s="284" t="e">
        <f t="shared" ca="1" si="76"/>
        <v>#REF!</v>
      </c>
      <c r="O121" s="284" t="e">
        <f t="shared" ca="1" si="66"/>
        <v>#REF!</v>
      </c>
      <c r="P121" s="307" t="e">
        <f t="shared" ca="1" si="77"/>
        <v>#REF!</v>
      </c>
      <c r="Q121" s="284" t="e">
        <f t="shared" ca="1" si="78"/>
        <v>#REF!</v>
      </c>
      <c r="R121" s="307">
        <f t="shared" ca="1" si="79"/>
        <v>0</v>
      </c>
      <c r="S121" s="284" t="e">
        <f t="shared" ca="1" si="80"/>
        <v>#REF!</v>
      </c>
      <c r="T121" s="307" t="e">
        <f t="shared" ca="1" si="81"/>
        <v>#REF!</v>
      </c>
      <c r="U121" s="434" t="e">
        <f t="shared" ca="1" si="82"/>
        <v>#REF!</v>
      </c>
      <c r="V121" s="284" t="e">
        <f t="shared" ca="1" si="64"/>
        <v>#REF!</v>
      </c>
      <c r="W121" s="284" t="e">
        <f t="shared" ca="1" si="65"/>
        <v>#REF!</v>
      </c>
      <c r="X121" s="284" t="e">
        <f t="shared" ca="1" si="83"/>
        <v>#REF!</v>
      </c>
      <c r="Y121" s="284">
        <f t="shared" si="84"/>
        <v>0</v>
      </c>
      <c r="Z121" s="671"/>
    </row>
    <row r="122" spans="2:26" x14ac:dyDescent="0.25">
      <c r="B122" s="185">
        <f t="shared" ca="1" si="67"/>
        <v>2078</v>
      </c>
      <c r="C122" s="102" t="str">
        <f t="shared" si="44"/>
        <v>R</v>
      </c>
      <c r="D122" s="104">
        <f t="shared" ca="1" si="46"/>
        <v>0.16678485879787283</v>
      </c>
      <c r="E122" s="104">
        <f t="shared" si="68"/>
        <v>1</v>
      </c>
      <c r="F122" s="103">
        <f t="shared" si="69"/>
        <v>0</v>
      </c>
      <c r="G122" s="103">
        <f t="shared" si="70"/>
        <v>0</v>
      </c>
      <c r="I122" s="393" t="e">
        <f t="shared" ca="1" si="71"/>
        <v>#REF!</v>
      </c>
      <c r="J122" s="394" t="e">
        <f t="shared" ca="1" si="72"/>
        <v>#REF!</v>
      </c>
      <c r="K122" s="394" t="e">
        <f t="shared" ca="1" si="73"/>
        <v>#REF!</v>
      </c>
      <c r="L122" s="394" t="e">
        <f t="shared" ca="1" si="74"/>
        <v>#REF!</v>
      </c>
      <c r="M122" s="394" t="e">
        <f t="shared" ca="1" si="75"/>
        <v>#REF!</v>
      </c>
      <c r="N122" s="394" t="e">
        <f t="shared" ca="1" si="76"/>
        <v>#REF!</v>
      </c>
      <c r="O122" s="394" t="e">
        <f t="shared" ca="1" si="66"/>
        <v>#REF!</v>
      </c>
      <c r="P122" s="432" t="e">
        <f t="shared" ca="1" si="77"/>
        <v>#REF!</v>
      </c>
      <c r="Q122" s="394" t="e">
        <f t="shared" ca="1" si="78"/>
        <v>#REF!</v>
      </c>
      <c r="R122" s="432">
        <f t="shared" ca="1" si="79"/>
        <v>0</v>
      </c>
      <c r="S122" s="394" t="e">
        <f t="shared" ca="1" si="80"/>
        <v>#REF!</v>
      </c>
      <c r="T122" s="432" t="e">
        <f t="shared" ca="1" si="81"/>
        <v>#REF!</v>
      </c>
      <c r="U122" s="433" t="e">
        <f t="shared" ca="1" si="82"/>
        <v>#REF!</v>
      </c>
      <c r="V122" s="394" t="e">
        <f t="shared" ca="1" si="64"/>
        <v>#REF!</v>
      </c>
      <c r="W122" s="394" t="e">
        <f t="shared" ca="1" si="65"/>
        <v>#REF!</v>
      </c>
      <c r="X122" s="394" t="e">
        <f t="shared" ca="1" si="83"/>
        <v>#REF!</v>
      </c>
      <c r="Y122" s="394">
        <f t="shared" si="84"/>
        <v>0</v>
      </c>
      <c r="Z122" s="671" t="str">
        <f ca="1">IF(ISERROR($X122),"X",IF(-$I122&gt;(SP_DebtLimit/$E122),"I",IF(INDEX(SC_EX_APW,EXIDX1)&lt;1,"D","A")))</f>
        <v>X</v>
      </c>
    </row>
    <row r="123" spans="2:26" x14ac:dyDescent="0.25">
      <c r="B123">
        <f t="shared" ca="1" si="67"/>
        <v>2078</v>
      </c>
      <c r="C123" s="65" t="str">
        <f t="shared" si="44"/>
        <v>N</v>
      </c>
      <c r="D123" s="105">
        <f t="shared" si="46"/>
        <v>1</v>
      </c>
      <c r="E123" s="105">
        <f t="shared" ca="1" si="68"/>
        <v>0.16678485879787283</v>
      </c>
      <c r="F123" s="77">
        <f t="shared" si="69"/>
        <v>0</v>
      </c>
      <c r="G123" s="77">
        <f t="shared" si="70"/>
        <v>0</v>
      </c>
      <c r="I123" s="430" t="e">
        <f t="shared" ca="1" si="71"/>
        <v>#REF!</v>
      </c>
      <c r="J123" s="284" t="e">
        <f t="shared" ca="1" si="72"/>
        <v>#REF!</v>
      </c>
      <c r="K123" s="284" t="e">
        <f t="shared" ca="1" si="73"/>
        <v>#REF!</v>
      </c>
      <c r="L123" s="284" t="e">
        <f t="shared" ca="1" si="74"/>
        <v>#REF!</v>
      </c>
      <c r="M123" s="284" t="e">
        <f t="shared" ca="1" si="75"/>
        <v>#REF!</v>
      </c>
      <c r="N123" s="284" t="e">
        <f t="shared" ca="1" si="76"/>
        <v>#REF!</v>
      </c>
      <c r="O123" s="284" t="e">
        <f t="shared" ca="1" si="66"/>
        <v>#REF!</v>
      </c>
      <c r="P123" s="307" t="e">
        <f t="shared" ca="1" si="77"/>
        <v>#REF!</v>
      </c>
      <c r="Q123" s="284" t="e">
        <f t="shared" ca="1" si="78"/>
        <v>#REF!</v>
      </c>
      <c r="R123" s="307">
        <f t="shared" ca="1" si="79"/>
        <v>0</v>
      </c>
      <c r="S123" s="284" t="e">
        <f t="shared" ca="1" si="80"/>
        <v>#REF!</v>
      </c>
      <c r="T123" s="307" t="e">
        <f t="shared" ca="1" si="81"/>
        <v>#REF!</v>
      </c>
      <c r="U123" s="434" t="e">
        <f t="shared" ca="1" si="82"/>
        <v>#REF!</v>
      </c>
      <c r="V123" s="284" t="e">
        <f t="shared" ca="1" si="64"/>
        <v>#REF!</v>
      </c>
      <c r="W123" s="284" t="e">
        <f t="shared" ca="1" si="65"/>
        <v>#REF!</v>
      </c>
      <c r="X123" s="284" t="e">
        <f t="shared" ca="1" si="83"/>
        <v>#REF!</v>
      </c>
      <c r="Y123" s="284">
        <f t="shared" si="84"/>
        <v>0</v>
      </c>
      <c r="Z123" s="671"/>
    </row>
    <row r="124" spans="2:26" x14ac:dyDescent="0.25">
      <c r="B124" s="185">
        <f t="shared" ca="1" si="67"/>
        <v>2079</v>
      </c>
      <c r="C124" s="102" t="str">
        <f t="shared" si="44"/>
        <v>R</v>
      </c>
      <c r="D124" s="104">
        <f t="shared" ca="1" si="46"/>
        <v>0.16153497220132962</v>
      </c>
      <c r="E124" s="104">
        <f t="shared" si="68"/>
        <v>1</v>
      </c>
      <c r="F124" s="103">
        <f t="shared" si="69"/>
        <v>0</v>
      </c>
      <c r="G124" s="103">
        <f t="shared" si="70"/>
        <v>0</v>
      </c>
      <c r="I124" s="393" t="e">
        <f t="shared" ca="1" si="71"/>
        <v>#REF!</v>
      </c>
      <c r="J124" s="394" t="e">
        <f t="shared" ca="1" si="72"/>
        <v>#REF!</v>
      </c>
      <c r="K124" s="394" t="e">
        <f t="shared" ca="1" si="73"/>
        <v>#REF!</v>
      </c>
      <c r="L124" s="394" t="e">
        <f t="shared" ca="1" si="74"/>
        <v>#REF!</v>
      </c>
      <c r="M124" s="394" t="e">
        <f t="shared" ca="1" si="75"/>
        <v>#REF!</v>
      </c>
      <c r="N124" s="394" t="e">
        <f t="shared" ca="1" si="76"/>
        <v>#REF!</v>
      </c>
      <c r="O124" s="394" t="e">
        <f t="shared" ca="1" si="66"/>
        <v>#REF!</v>
      </c>
      <c r="P124" s="432" t="e">
        <f t="shared" ca="1" si="77"/>
        <v>#REF!</v>
      </c>
      <c r="Q124" s="394" t="e">
        <f t="shared" ca="1" si="78"/>
        <v>#REF!</v>
      </c>
      <c r="R124" s="432">
        <f t="shared" ca="1" si="79"/>
        <v>0</v>
      </c>
      <c r="S124" s="394" t="e">
        <f t="shared" ca="1" si="80"/>
        <v>#REF!</v>
      </c>
      <c r="T124" s="432" t="e">
        <f t="shared" ca="1" si="81"/>
        <v>#REF!</v>
      </c>
      <c r="U124" s="433" t="e">
        <f t="shared" ca="1" si="82"/>
        <v>#REF!</v>
      </c>
      <c r="V124" s="394" t="e">
        <f t="shared" ca="1" si="64"/>
        <v>#REF!</v>
      </c>
      <c r="W124" s="394" t="e">
        <f t="shared" ca="1" si="65"/>
        <v>#REF!</v>
      </c>
      <c r="X124" s="394" t="e">
        <f t="shared" ca="1" si="83"/>
        <v>#REF!</v>
      </c>
      <c r="Y124" s="394">
        <f t="shared" si="84"/>
        <v>0</v>
      </c>
      <c r="Z124" s="671" t="str">
        <f ca="1">IF(ISERROR($X124),"X",IF(-$I124&gt;(SP_DebtLimit/$E124),"I",IF(INDEX(SC_EX_APW,EXIDX1)&lt;1,"D","A")))</f>
        <v>X</v>
      </c>
    </row>
    <row r="125" spans="2:26" x14ac:dyDescent="0.25">
      <c r="B125">
        <f t="shared" ca="1" si="67"/>
        <v>2079</v>
      </c>
      <c r="C125" s="65" t="str">
        <f t="shared" si="44"/>
        <v>N</v>
      </c>
      <c r="D125" s="105">
        <f t="shared" si="46"/>
        <v>1</v>
      </c>
      <c r="E125" s="105">
        <f t="shared" ca="1" si="68"/>
        <v>0.16153497220132962</v>
      </c>
      <c r="F125" s="77">
        <f t="shared" si="69"/>
        <v>0</v>
      </c>
      <c r="G125" s="77">
        <f t="shared" si="70"/>
        <v>0</v>
      </c>
      <c r="I125" s="430" t="e">
        <f t="shared" ca="1" si="71"/>
        <v>#REF!</v>
      </c>
      <c r="J125" s="284" t="e">
        <f t="shared" ca="1" si="72"/>
        <v>#REF!</v>
      </c>
      <c r="K125" s="284" t="e">
        <f t="shared" ca="1" si="73"/>
        <v>#REF!</v>
      </c>
      <c r="L125" s="284" t="e">
        <f t="shared" ca="1" si="74"/>
        <v>#REF!</v>
      </c>
      <c r="M125" s="284" t="e">
        <f t="shared" ca="1" si="75"/>
        <v>#REF!</v>
      </c>
      <c r="N125" s="284" t="e">
        <f t="shared" ca="1" si="76"/>
        <v>#REF!</v>
      </c>
      <c r="O125" s="284" t="e">
        <f t="shared" ca="1" si="66"/>
        <v>#REF!</v>
      </c>
      <c r="P125" s="307" t="e">
        <f t="shared" ca="1" si="77"/>
        <v>#REF!</v>
      </c>
      <c r="Q125" s="284" t="e">
        <f t="shared" ca="1" si="78"/>
        <v>#REF!</v>
      </c>
      <c r="R125" s="307">
        <f t="shared" ca="1" si="79"/>
        <v>0</v>
      </c>
      <c r="S125" s="284" t="e">
        <f t="shared" ca="1" si="80"/>
        <v>#REF!</v>
      </c>
      <c r="T125" s="307" t="e">
        <f t="shared" ca="1" si="81"/>
        <v>#REF!</v>
      </c>
      <c r="U125" s="434" t="e">
        <f t="shared" ca="1" si="82"/>
        <v>#REF!</v>
      </c>
      <c r="V125" s="284" t="e">
        <f t="shared" ca="1" si="64"/>
        <v>#REF!</v>
      </c>
      <c r="W125" s="284" t="e">
        <f t="shared" ca="1" si="65"/>
        <v>#REF!</v>
      </c>
      <c r="X125" s="284" t="e">
        <f t="shared" ca="1" si="83"/>
        <v>#REF!</v>
      </c>
      <c r="Y125" s="284">
        <f t="shared" si="84"/>
        <v>0</v>
      </c>
      <c r="Z125" s="671"/>
    </row>
    <row r="126" spans="2:26" x14ac:dyDescent="0.25">
      <c r="B126" s="185">
        <f t="shared" ca="1" si="67"/>
        <v>2080</v>
      </c>
      <c r="C126" s="102" t="str">
        <f t="shared" si="44"/>
        <v>R</v>
      </c>
      <c r="D126" s="104">
        <f t="shared" ca="1" si="46"/>
        <v>0.15645033627247421</v>
      </c>
      <c r="E126" s="104">
        <f t="shared" si="68"/>
        <v>1</v>
      </c>
      <c r="F126" s="103">
        <f t="shared" si="69"/>
        <v>0</v>
      </c>
      <c r="G126" s="103">
        <f t="shared" si="70"/>
        <v>0</v>
      </c>
      <c r="I126" s="393" t="e">
        <f t="shared" ca="1" si="71"/>
        <v>#REF!</v>
      </c>
      <c r="J126" s="394" t="e">
        <f t="shared" ca="1" si="72"/>
        <v>#REF!</v>
      </c>
      <c r="K126" s="394" t="e">
        <f t="shared" ca="1" si="73"/>
        <v>#REF!</v>
      </c>
      <c r="L126" s="394" t="e">
        <f t="shared" ca="1" si="74"/>
        <v>#REF!</v>
      </c>
      <c r="M126" s="394" t="e">
        <f t="shared" ca="1" si="75"/>
        <v>#REF!</v>
      </c>
      <c r="N126" s="394" t="e">
        <f t="shared" ca="1" si="76"/>
        <v>#REF!</v>
      </c>
      <c r="O126" s="394" t="e">
        <f t="shared" ca="1" si="66"/>
        <v>#REF!</v>
      </c>
      <c r="P126" s="432" t="e">
        <f t="shared" ca="1" si="77"/>
        <v>#REF!</v>
      </c>
      <c r="Q126" s="394" t="e">
        <f t="shared" ca="1" si="78"/>
        <v>#REF!</v>
      </c>
      <c r="R126" s="432">
        <f t="shared" ca="1" si="79"/>
        <v>0</v>
      </c>
      <c r="S126" s="394" t="e">
        <f t="shared" ca="1" si="80"/>
        <v>#REF!</v>
      </c>
      <c r="T126" s="432" t="e">
        <f t="shared" ca="1" si="81"/>
        <v>#REF!</v>
      </c>
      <c r="U126" s="433" t="e">
        <f t="shared" ca="1" si="82"/>
        <v>#REF!</v>
      </c>
      <c r="V126" s="394" t="e">
        <f t="shared" ca="1" si="64"/>
        <v>#REF!</v>
      </c>
      <c r="W126" s="394" t="e">
        <f t="shared" ca="1" si="65"/>
        <v>#REF!</v>
      </c>
      <c r="X126" s="394" t="e">
        <f t="shared" ca="1" si="83"/>
        <v>#REF!</v>
      </c>
      <c r="Y126" s="394">
        <f t="shared" si="84"/>
        <v>0</v>
      </c>
      <c r="Z126" s="671" t="str">
        <f ca="1">IF(ISERROR($X126),"X",IF(-$I126&gt;(SP_DebtLimit/$E126),"I",IF(INDEX(SC_EX_APW,EXIDX1)&lt;1,"D","A")))</f>
        <v>X</v>
      </c>
    </row>
    <row r="127" spans="2:26" x14ac:dyDescent="0.25">
      <c r="B127">
        <f t="shared" ca="1" si="67"/>
        <v>2080</v>
      </c>
      <c r="C127" s="65" t="str">
        <f t="shared" si="44"/>
        <v>N</v>
      </c>
      <c r="D127" s="105">
        <f t="shared" si="46"/>
        <v>1</v>
      </c>
      <c r="E127" s="105">
        <f t="shared" ca="1" si="68"/>
        <v>0.15645033627247421</v>
      </c>
      <c r="F127" s="77">
        <f t="shared" si="69"/>
        <v>0</v>
      </c>
      <c r="G127" s="77">
        <f t="shared" si="70"/>
        <v>0</v>
      </c>
      <c r="I127" s="430" t="e">
        <f t="shared" ca="1" si="71"/>
        <v>#REF!</v>
      </c>
      <c r="J127" s="284" t="e">
        <f t="shared" ca="1" si="72"/>
        <v>#REF!</v>
      </c>
      <c r="K127" s="284" t="e">
        <f t="shared" ca="1" si="73"/>
        <v>#REF!</v>
      </c>
      <c r="L127" s="284" t="e">
        <f t="shared" ca="1" si="74"/>
        <v>#REF!</v>
      </c>
      <c r="M127" s="284" t="e">
        <f t="shared" ca="1" si="75"/>
        <v>#REF!</v>
      </c>
      <c r="N127" s="284" t="e">
        <f t="shared" ca="1" si="76"/>
        <v>#REF!</v>
      </c>
      <c r="O127" s="284" t="e">
        <f t="shared" ca="1" si="66"/>
        <v>#REF!</v>
      </c>
      <c r="P127" s="307" t="e">
        <f t="shared" ca="1" si="77"/>
        <v>#REF!</v>
      </c>
      <c r="Q127" s="284" t="e">
        <f t="shared" ca="1" si="78"/>
        <v>#REF!</v>
      </c>
      <c r="R127" s="307">
        <f t="shared" ca="1" si="79"/>
        <v>0</v>
      </c>
      <c r="S127" s="284" t="e">
        <f t="shared" ca="1" si="80"/>
        <v>#REF!</v>
      </c>
      <c r="T127" s="307" t="e">
        <f t="shared" ca="1" si="81"/>
        <v>#REF!</v>
      </c>
      <c r="U127" s="434" t="e">
        <f t="shared" ca="1" si="82"/>
        <v>#REF!</v>
      </c>
      <c r="V127" s="284" t="e">
        <f t="shared" ca="1" si="64"/>
        <v>#REF!</v>
      </c>
      <c r="W127" s="284" t="e">
        <f t="shared" ca="1" si="65"/>
        <v>#REF!</v>
      </c>
      <c r="X127" s="284" t="e">
        <f t="shared" ca="1" si="83"/>
        <v>#REF!</v>
      </c>
      <c r="Y127" s="284">
        <f t="shared" si="84"/>
        <v>0</v>
      </c>
      <c r="Z127" s="671"/>
    </row>
    <row r="128" spans="2:26" x14ac:dyDescent="0.25">
      <c r="B128" s="185">
        <f t="shared" ca="1" si="67"/>
        <v>2081</v>
      </c>
      <c r="C128" s="102" t="str">
        <f t="shared" si="44"/>
        <v>R</v>
      </c>
      <c r="D128" s="104">
        <f t="shared" ca="1" si="46"/>
        <v>0.15152574941643993</v>
      </c>
      <c r="E128" s="104">
        <f t="shared" si="68"/>
        <v>1</v>
      </c>
      <c r="F128" s="103">
        <f t="shared" si="69"/>
        <v>0</v>
      </c>
      <c r="G128" s="103">
        <f t="shared" si="70"/>
        <v>0</v>
      </c>
      <c r="I128" s="393" t="e">
        <f t="shared" ca="1" si="71"/>
        <v>#REF!</v>
      </c>
      <c r="J128" s="394" t="e">
        <f t="shared" ca="1" si="72"/>
        <v>#REF!</v>
      </c>
      <c r="K128" s="394" t="e">
        <f t="shared" ca="1" si="73"/>
        <v>#REF!</v>
      </c>
      <c r="L128" s="394" t="e">
        <f t="shared" ca="1" si="74"/>
        <v>#REF!</v>
      </c>
      <c r="M128" s="394" t="e">
        <f t="shared" ca="1" si="75"/>
        <v>#REF!</v>
      </c>
      <c r="N128" s="394" t="e">
        <f t="shared" ca="1" si="76"/>
        <v>#REF!</v>
      </c>
      <c r="O128" s="394" t="e">
        <f t="shared" ca="1" si="66"/>
        <v>#REF!</v>
      </c>
      <c r="P128" s="432" t="e">
        <f t="shared" ca="1" si="77"/>
        <v>#REF!</v>
      </c>
      <c r="Q128" s="394" t="e">
        <f t="shared" ca="1" si="78"/>
        <v>#REF!</v>
      </c>
      <c r="R128" s="432">
        <f t="shared" ca="1" si="79"/>
        <v>0</v>
      </c>
      <c r="S128" s="394" t="e">
        <f t="shared" ca="1" si="80"/>
        <v>#REF!</v>
      </c>
      <c r="T128" s="432" t="e">
        <f t="shared" ca="1" si="81"/>
        <v>#REF!</v>
      </c>
      <c r="U128" s="433" t="e">
        <f t="shared" ca="1" si="82"/>
        <v>#REF!</v>
      </c>
      <c r="V128" s="394" t="e">
        <f t="shared" ca="1" si="64"/>
        <v>#REF!</v>
      </c>
      <c r="W128" s="394" t="e">
        <f t="shared" ca="1" si="65"/>
        <v>#REF!</v>
      </c>
      <c r="X128" s="394" t="e">
        <f t="shared" ca="1" si="83"/>
        <v>#REF!</v>
      </c>
      <c r="Y128" s="394">
        <f t="shared" si="84"/>
        <v>0</v>
      </c>
      <c r="Z128" s="671" t="str">
        <f ca="1">IF(ISERROR($X128),"X",IF(-$I128&gt;(SP_DebtLimit/$E128),"I",IF(INDEX(SC_EX_APW,EXIDX1)&lt;1,"D","A")))</f>
        <v>X</v>
      </c>
    </row>
    <row r="129" spans="2:26" x14ac:dyDescent="0.25">
      <c r="B129">
        <f t="shared" ca="1" si="67"/>
        <v>2081</v>
      </c>
      <c r="C129" s="65" t="str">
        <f t="shared" si="44"/>
        <v>N</v>
      </c>
      <c r="D129" s="105">
        <f t="shared" si="46"/>
        <v>1</v>
      </c>
      <c r="E129" s="105">
        <f t="shared" ca="1" si="68"/>
        <v>0.15152574941643993</v>
      </c>
      <c r="F129" s="77">
        <f t="shared" si="69"/>
        <v>0</v>
      </c>
      <c r="G129" s="77">
        <f t="shared" si="70"/>
        <v>0</v>
      </c>
      <c r="I129" s="430" t="e">
        <f t="shared" ca="1" si="71"/>
        <v>#REF!</v>
      </c>
      <c r="J129" s="284" t="e">
        <f t="shared" ca="1" si="72"/>
        <v>#REF!</v>
      </c>
      <c r="K129" s="284" t="e">
        <f t="shared" ca="1" si="73"/>
        <v>#REF!</v>
      </c>
      <c r="L129" s="284" t="e">
        <f t="shared" ca="1" si="74"/>
        <v>#REF!</v>
      </c>
      <c r="M129" s="284" t="e">
        <f t="shared" ca="1" si="75"/>
        <v>#REF!</v>
      </c>
      <c r="N129" s="284" t="e">
        <f t="shared" ca="1" si="76"/>
        <v>#REF!</v>
      </c>
      <c r="O129" s="284" t="e">
        <f t="shared" ca="1" si="66"/>
        <v>#REF!</v>
      </c>
      <c r="P129" s="307" t="e">
        <f t="shared" ca="1" si="77"/>
        <v>#REF!</v>
      </c>
      <c r="Q129" s="284" t="e">
        <f t="shared" ca="1" si="78"/>
        <v>#REF!</v>
      </c>
      <c r="R129" s="307">
        <f t="shared" ca="1" si="79"/>
        <v>0</v>
      </c>
      <c r="S129" s="284" t="e">
        <f t="shared" ca="1" si="80"/>
        <v>#REF!</v>
      </c>
      <c r="T129" s="307" t="e">
        <f t="shared" ca="1" si="81"/>
        <v>#REF!</v>
      </c>
      <c r="U129" s="434" t="e">
        <f t="shared" ca="1" si="82"/>
        <v>#REF!</v>
      </c>
      <c r="V129" s="284" t="e">
        <f t="shared" ca="1" si="64"/>
        <v>#REF!</v>
      </c>
      <c r="W129" s="284" t="e">
        <f t="shared" ca="1" si="65"/>
        <v>#REF!</v>
      </c>
      <c r="X129" s="284" t="e">
        <f t="shared" ca="1" si="83"/>
        <v>#REF!</v>
      </c>
      <c r="Y129" s="284">
        <f t="shared" si="84"/>
        <v>0</v>
      </c>
      <c r="Z129" s="671"/>
    </row>
    <row r="130" spans="2:26" x14ac:dyDescent="0.25">
      <c r="B130" s="185">
        <f t="shared" ca="1" si="67"/>
        <v>2082</v>
      </c>
      <c r="C130" s="102" t="str">
        <f t="shared" si="44"/>
        <v>R</v>
      </c>
      <c r="D130" s="104">
        <f t="shared" ca="1" si="46"/>
        <v>0.14675617376894909</v>
      </c>
      <c r="E130" s="104">
        <f t="shared" si="68"/>
        <v>1</v>
      </c>
      <c r="F130" s="103">
        <f t="shared" si="69"/>
        <v>0</v>
      </c>
      <c r="G130" s="103">
        <f t="shared" si="70"/>
        <v>0</v>
      </c>
      <c r="I130" s="393" t="e">
        <f t="shared" ca="1" si="71"/>
        <v>#REF!</v>
      </c>
      <c r="J130" s="394" t="e">
        <f t="shared" ca="1" si="72"/>
        <v>#REF!</v>
      </c>
      <c r="K130" s="394" t="e">
        <f t="shared" ca="1" si="73"/>
        <v>#REF!</v>
      </c>
      <c r="L130" s="394" t="e">
        <f t="shared" ca="1" si="74"/>
        <v>#REF!</v>
      </c>
      <c r="M130" s="394" t="e">
        <f t="shared" ca="1" si="75"/>
        <v>#REF!</v>
      </c>
      <c r="N130" s="394" t="e">
        <f t="shared" ca="1" si="76"/>
        <v>#REF!</v>
      </c>
      <c r="O130" s="394" t="e">
        <f t="shared" ca="1" si="66"/>
        <v>#REF!</v>
      </c>
      <c r="P130" s="432" t="e">
        <f t="shared" ca="1" si="77"/>
        <v>#REF!</v>
      </c>
      <c r="Q130" s="394" t="e">
        <f t="shared" ca="1" si="78"/>
        <v>#REF!</v>
      </c>
      <c r="R130" s="432">
        <f t="shared" ca="1" si="79"/>
        <v>0</v>
      </c>
      <c r="S130" s="394" t="e">
        <f t="shared" ca="1" si="80"/>
        <v>#REF!</v>
      </c>
      <c r="T130" s="432" t="e">
        <f t="shared" ca="1" si="81"/>
        <v>#REF!</v>
      </c>
      <c r="U130" s="433" t="e">
        <f t="shared" ca="1" si="82"/>
        <v>#REF!</v>
      </c>
      <c r="V130" s="394" t="e">
        <f t="shared" ca="1" si="64"/>
        <v>#REF!</v>
      </c>
      <c r="W130" s="394" t="e">
        <f t="shared" ca="1" si="65"/>
        <v>#REF!</v>
      </c>
      <c r="X130" s="394" t="e">
        <f t="shared" ca="1" si="83"/>
        <v>#REF!</v>
      </c>
      <c r="Y130" s="394">
        <f t="shared" si="84"/>
        <v>0</v>
      </c>
      <c r="Z130" s="671" t="str">
        <f ca="1">IF(ISERROR($X130),"X",IF(-$I130&gt;(SP_DebtLimit/$E130),"I",IF(INDEX(SC_EX_APW,EXIDX1)&lt;1,"D","A")))</f>
        <v>X</v>
      </c>
    </row>
    <row r="131" spans="2:26" x14ac:dyDescent="0.25">
      <c r="B131">
        <f t="shared" ca="1" si="67"/>
        <v>2082</v>
      </c>
      <c r="C131" s="65" t="str">
        <f t="shared" si="44"/>
        <v>N</v>
      </c>
      <c r="D131" s="105">
        <f t="shared" si="46"/>
        <v>1</v>
      </c>
      <c r="E131" s="105">
        <f t="shared" ca="1" si="68"/>
        <v>0.14675617376894909</v>
      </c>
      <c r="F131" s="77">
        <f t="shared" si="69"/>
        <v>0</v>
      </c>
      <c r="G131" s="77">
        <f t="shared" si="70"/>
        <v>0</v>
      </c>
      <c r="I131" s="430" t="e">
        <f t="shared" ca="1" si="71"/>
        <v>#REF!</v>
      </c>
      <c r="J131" s="284" t="e">
        <f t="shared" ca="1" si="72"/>
        <v>#REF!</v>
      </c>
      <c r="K131" s="284" t="e">
        <f t="shared" ca="1" si="73"/>
        <v>#REF!</v>
      </c>
      <c r="L131" s="284" t="e">
        <f t="shared" ca="1" si="74"/>
        <v>#REF!</v>
      </c>
      <c r="M131" s="284" t="e">
        <f t="shared" ca="1" si="75"/>
        <v>#REF!</v>
      </c>
      <c r="N131" s="284" t="e">
        <f t="shared" ca="1" si="76"/>
        <v>#REF!</v>
      </c>
      <c r="O131" s="284" t="e">
        <f t="shared" ca="1" si="66"/>
        <v>#REF!</v>
      </c>
      <c r="P131" s="307" t="e">
        <f t="shared" ca="1" si="77"/>
        <v>#REF!</v>
      </c>
      <c r="Q131" s="284" t="e">
        <f t="shared" ca="1" si="78"/>
        <v>#REF!</v>
      </c>
      <c r="R131" s="307">
        <f t="shared" ca="1" si="79"/>
        <v>0</v>
      </c>
      <c r="S131" s="284" t="e">
        <f t="shared" ca="1" si="80"/>
        <v>#REF!</v>
      </c>
      <c r="T131" s="307" t="e">
        <f t="shared" ca="1" si="81"/>
        <v>#REF!</v>
      </c>
      <c r="U131" s="434" t="e">
        <f t="shared" ca="1" si="82"/>
        <v>#REF!</v>
      </c>
      <c r="V131" s="284" t="e">
        <f t="shared" ca="1" si="64"/>
        <v>#REF!</v>
      </c>
      <c r="W131" s="284" t="e">
        <f t="shared" ca="1" si="65"/>
        <v>#REF!</v>
      </c>
      <c r="X131" s="284" t="e">
        <f t="shared" ca="1" si="83"/>
        <v>#REF!</v>
      </c>
      <c r="Y131" s="284">
        <f t="shared" si="84"/>
        <v>0</v>
      </c>
      <c r="Z131" s="671"/>
    </row>
    <row r="132" spans="2:26" x14ac:dyDescent="0.25">
      <c r="B132" s="185">
        <f t="shared" ca="1" si="67"/>
        <v>2083</v>
      </c>
      <c r="C132" s="102" t="str">
        <f t="shared" si="44"/>
        <v>R</v>
      </c>
      <c r="D132" s="104">
        <f t="shared" ca="1" si="46"/>
        <v>0.14213673004256572</v>
      </c>
      <c r="E132" s="104">
        <f t="shared" si="68"/>
        <v>1</v>
      </c>
      <c r="F132" s="103">
        <f t="shared" si="69"/>
        <v>0</v>
      </c>
      <c r="G132" s="103">
        <f t="shared" si="70"/>
        <v>0</v>
      </c>
      <c r="I132" s="393" t="e">
        <f t="shared" ca="1" si="71"/>
        <v>#REF!</v>
      </c>
      <c r="J132" s="394" t="e">
        <f t="shared" ca="1" si="72"/>
        <v>#REF!</v>
      </c>
      <c r="K132" s="394" t="e">
        <f t="shared" ca="1" si="73"/>
        <v>#REF!</v>
      </c>
      <c r="L132" s="394" t="e">
        <f t="shared" ca="1" si="74"/>
        <v>#REF!</v>
      </c>
      <c r="M132" s="394" t="e">
        <f t="shared" ca="1" si="75"/>
        <v>#REF!</v>
      </c>
      <c r="N132" s="394" t="e">
        <f t="shared" ca="1" si="76"/>
        <v>#REF!</v>
      </c>
      <c r="O132" s="394" t="e">
        <f t="shared" ca="1" si="66"/>
        <v>#REF!</v>
      </c>
      <c r="P132" s="432" t="e">
        <f t="shared" ca="1" si="77"/>
        <v>#REF!</v>
      </c>
      <c r="Q132" s="394" t="e">
        <f t="shared" ca="1" si="78"/>
        <v>#REF!</v>
      </c>
      <c r="R132" s="432">
        <f t="shared" ca="1" si="79"/>
        <v>0</v>
      </c>
      <c r="S132" s="394" t="e">
        <f t="shared" ca="1" si="80"/>
        <v>#REF!</v>
      </c>
      <c r="T132" s="432" t="e">
        <f t="shared" ca="1" si="81"/>
        <v>#REF!</v>
      </c>
      <c r="U132" s="433" t="e">
        <f t="shared" ca="1" si="82"/>
        <v>#REF!</v>
      </c>
      <c r="V132" s="394" t="e">
        <f t="shared" ca="1" si="64"/>
        <v>#REF!</v>
      </c>
      <c r="W132" s="394" t="e">
        <f t="shared" ca="1" si="65"/>
        <v>#REF!</v>
      </c>
      <c r="X132" s="394" t="e">
        <f t="shared" ca="1" si="83"/>
        <v>#REF!</v>
      </c>
      <c r="Y132" s="394">
        <f t="shared" si="84"/>
        <v>0</v>
      </c>
      <c r="Z132" s="671" t="str">
        <f ca="1">IF(ISERROR($X132),"X",IF(-$I132&gt;(SP_DebtLimit/$E132),"I",IF(INDEX(SC_EX_APW,EXIDX1)&lt;1,"D","A")))</f>
        <v>X</v>
      </c>
    </row>
    <row r="133" spans="2:26" x14ac:dyDescent="0.25">
      <c r="B133">
        <f t="shared" ca="1" si="67"/>
        <v>2083</v>
      </c>
      <c r="C133" s="65" t="str">
        <f t="shared" si="44"/>
        <v>N</v>
      </c>
      <c r="D133" s="105">
        <f t="shared" si="46"/>
        <v>1</v>
      </c>
      <c r="E133" s="105">
        <f t="shared" ca="1" si="68"/>
        <v>0.14213673004256572</v>
      </c>
      <c r="F133" s="77">
        <f t="shared" si="69"/>
        <v>0</v>
      </c>
      <c r="G133" s="77">
        <f t="shared" si="70"/>
        <v>0</v>
      </c>
      <c r="I133" s="430" t="e">
        <f t="shared" ca="1" si="71"/>
        <v>#REF!</v>
      </c>
      <c r="J133" s="284" t="e">
        <f t="shared" ca="1" si="72"/>
        <v>#REF!</v>
      </c>
      <c r="K133" s="284" t="e">
        <f t="shared" ca="1" si="73"/>
        <v>#REF!</v>
      </c>
      <c r="L133" s="284" t="e">
        <f t="shared" ca="1" si="74"/>
        <v>#REF!</v>
      </c>
      <c r="M133" s="284" t="e">
        <f t="shared" ca="1" si="75"/>
        <v>#REF!</v>
      </c>
      <c r="N133" s="284" t="e">
        <f t="shared" ca="1" si="76"/>
        <v>#REF!</v>
      </c>
      <c r="O133" s="284" t="e">
        <f t="shared" ca="1" si="66"/>
        <v>#REF!</v>
      </c>
      <c r="P133" s="307" t="e">
        <f t="shared" ca="1" si="77"/>
        <v>#REF!</v>
      </c>
      <c r="Q133" s="284" t="e">
        <f t="shared" ca="1" si="78"/>
        <v>#REF!</v>
      </c>
      <c r="R133" s="307">
        <f t="shared" ca="1" si="79"/>
        <v>0</v>
      </c>
      <c r="S133" s="284" t="e">
        <f t="shared" ca="1" si="80"/>
        <v>#REF!</v>
      </c>
      <c r="T133" s="307" t="e">
        <f t="shared" ca="1" si="81"/>
        <v>#REF!</v>
      </c>
      <c r="U133" s="434" t="e">
        <f t="shared" ca="1" si="82"/>
        <v>#REF!</v>
      </c>
      <c r="V133" s="284" t="e">
        <f t="shared" ca="1" si="64"/>
        <v>#REF!</v>
      </c>
      <c r="W133" s="284" t="e">
        <f t="shared" ca="1" si="65"/>
        <v>#REF!</v>
      </c>
      <c r="X133" s="284" t="e">
        <f t="shared" ca="1" si="83"/>
        <v>#REF!</v>
      </c>
      <c r="Y133" s="284">
        <f t="shared" si="84"/>
        <v>0</v>
      </c>
      <c r="Z133" s="671"/>
    </row>
    <row r="134" spans="2:26" x14ac:dyDescent="0.25">
      <c r="B134" s="185">
        <f t="shared" ca="1" si="67"/>
        <v>2084</v>
      </c>
      <c r="C134" s="102" t="str">
        <f t="shared" si="44"/>
        <v>R</v>
      </c>
      <c r="D134" s="104">
        <f t="shared" ca="1" si="46"/>
        <v>0.1376626925351726</v>
      </c>
      <c r="E134" s="104">
        <f t="shared" si="68"/>
        <v>1</v>
      </c>
      <c r="F134" s="103">
        <f t="shared" si="69"/>
        <v>0</v>
      </c>
      <c r="G134" s="103">
        <f t="shared" si="70"/>
        <v>0</v>
      </c>
      <c r="I134" s="393" t="e">
        <f t="shared" ca="1" si="71"/>
        <v>#REF!</v>
      </c>
      <c r="J134" s="394" t="e">
        <f t="shared" ca="1" si="72"/>
        <v>#REF!</v>
      </c>
      <c r="K134" s="394" t="e">
        <f t="shared" ca="1" si="73"/>
        <v>#REF!</v>
      </c>
      <c r="L134" s="394" t="e">
        <f t="shared" ca="1" si="74"/>
        <v>#REF!</v>
      </c>
      <c r="M134" s="394" t="e">
        <f t="shared" ca="1" si="75"/>
        <v>#REF!</v>
      </c>
      <c r="N134" s="394" t="e">
        <f t="shared" ca="1" si="76"/>
        <v>#REF!</v>
      </c>
      <c r="O134" s="394" t="e">
        <f t="shared" ca="1" si="66"/>
        <v>#REF!</v>
      </c>
      <c r="P134" s="432" t="e">
        <f t="shared" ca="1" si="77"/>
        <v>#REF!</v>
      </c>
      <c r="Q134" s="394" t="e">
        <f t="shared" ca="1" si="78"/>
        <v>#REF!</v>
      </c>
      <c r="R134" s="432">
        <f t="shared" ca="1" si="79"/>
        <v>0</v>
      </c>
      <c r="S134" s="394" t="e">
        <f t="shared" ca="1" si="80"/>
        <v>#REF!</v>
      </c>
      <c r="T134" s="432" t="e">
        <f t="shared" ca="1" si="81"/>
        <v>#REF!</v>
      </c>
      <c r="U134" s="433" t="e">
        <f t="shared" ca="1" si="82"/>
        <v>#REF!</v>
      </c>
      <c r="V134" s="394" t="e">
        <f t="shared" ca="1" si="64"/>
        <v>#REF!</v>
      </c>
      <c r="W134" s="394" t="e">
        <f t="shared" ca="1" si="65"/>
        <v>#REF!</v>
      </c>
      <c r="X134" s="394" t="e">
        <f t="shared" ca="1" si="83"/>
        <v>#REF!</v>
      </c>
      <c r="Y134" s="394">
        <f t="shared" si="84"/>
        <v>0</v>
      </c>
      <c r="Z134" s="671" t="str">
        <f ca="1">IF(ISERROR($X134),"X",IF(-$I134&gt;(SP_DebtLimit/$E134),"I",IF(INDEX(SC_EX_APW,EXIDX1)&lt;1,"D","A")))</f>
        <v>X</v>
      </c>
    </row>
    <row r="135" spans="2:26" x14ac:dyDescent="0.25">
      <c r="B135">
        <f t="shared" ca="1" si="67"/>
        <v>2084</v>
      </c>
      <c r="C135" s="65" t="str">
        <f t="shared" si="44"/>
        <v>N</v>
      </c>
      <c r="D135" s="105">
        <f t="shared" si="46"/>
        <v>1</v>
      </c>
      <c r="E135" s="105">
        <f t="shared" ca="1" si="68"/>
        <v>0.1376626925351726</v>
      </c>
      <c r="F135" s="77">
        <f t="shared" si="69"/>
        <v>0</v>
      </c>
      <c r="G135" s="77">
        <f t="shared" si="70"/>
        <v>0</v>
      </c>
      <c r="I135" s="430" t="e">
        <f t="shared" ca="1" si="71"/>
        <v>#REF!</v>
      </c>
      <c r="J135" s="284" t="e">
        <f t="shared" ca="1" si="72"/>
        <v>#REF!</v>
      </c>
      <c r="K135" s="284" t="e">
        <f t="shared" ca="1" si="73"/>
        <v>#REF!</v>
      </c>
      <c r="L135" s="284" t="e">
        <f t="shared" ca="1" si="74"/>
        <v>#REF!</v>
      </c>
      <c r="M135" s="284" t="e">
        <f t="shared" ca="1" si="75"/>
        <v>#REF!</v>
      </c>
      <c r="N135" s="284" t="e">
        <f t="shared" ca="1" si="76"/>
        <v>#REF!</v>
      </c>
      <c r="O135" s="284" t="e">
        <f t="shared" ca="1" si="66"/>
        <v>#REF!</v>
      </c>
      <c r="P135" s="307" t="e">
        <f t="shared" ca="1" si="77"/>
        <v>#REF!</v>
      </c>
      <c r="Q135" s="284" t="e">
        <f t="shared" ca="1" si="78"/>
        <v>#REF!</v>
      </c>
      <c r="R135" s="307">
        <f t="shared" ca="1" si="79"/>
        <v>0</v>
      </c>
      <c r="S135" s="284" t="e">
        <f t="shared" ca="1" si="80"/>
        <v>#REF!</v>
      </c>
      <c r="T135" s="307" t="e">
        <f t="shared" ca="1" si="81"/>
        <v>#REF!</v>
      </c>
      <c r="U135" s="434" t="e">
        <f t="shared" ca="1" si="82"/>
        <v>#REF!</v>
      </c>
      <c r="V135" s="284" t="e">
        <f t="shared" ca="1" si="64"/>
        <v>#REF!</v>
      </c>
      <c r="W135" s="284" t="e">
        <f t="shared" ca="1" si="65"/>
        <v>#REF!</v>
      </c>
      <c r="X135" s="284" t="e">
        <f t="shared" ca="1" si="83"/>
        <v>#REF!</v>
      </c>
      <c r="Y135" s="284">
        <f t="shared" si="84"/>
        <v>0</v>
      </c>
      <c r="Z135" s="671"/>
    </row>
    <row r="136" spans="2:26" x14ac:dyDescent="0.25">
      <c r="B136" s="185">
        <f t="shared" ca="1" si="67"/>
        <v>2085</v>
      </c>
      <c r="C136" s="102" t="str">
        <f t="shared" ref="C136:C169" si="85">CHOOSE(MOD(ROW(),2)+1,"R","N")</f>
        <v>R</v>
      </c>
      <c r="D136" s="104">
        <f t="shared" ca="1" si="46"/>
        <v>0.13332948429556668</v>
      </c>
      <c r="E136" s="104">
        <f t="shared" si="68"/>
        <v>1</v>
      </c>
      <c r="F136" s="103">
        <f t="shared" si="69"/>
        <v>0</v>
      </c>
      <c r="G136" s="103">
        <f t="shared" si="70"/>
        <v>0</v>
      </c>
      <c r="I136" s="393" t="e">
        <f t="shared" ca="1" si="71"/>
        <v>#REF!</v>
      </c>
      <c r="J136" s="394" t="e">
        <f t="shared" ca="1" si="72"/>
        <v>#REF!</v>
      </c>
      <c r="K136" s="394" t="e">
        <f t="shared" ca="1" si="73"/>
        <v>#REF!</v>
      </c>
      <c r="L136" s="394" t="e">
        <f t="shared" ca="1" si="74"/>
        <v>#REF!</v>
      </c>
      <c r="M136" s="394" t="e">
        <f t="shared" ca="1" si="75"/>
        <v>#REF!</v>
      </c>
      <c r="N136" s="394" t="e">
        <f t="shared" ca="1" si="76"/>
        <v>#REF!</v>
      </c>
      <c r="O136" s="394" t="e">
        <f t="shared" ca="1" si="66"/>
        <v>#REF!</v>
      </c>
      <c r="P136" s="432" t="e">
        <f t="shared" ca="1" si="77"/>
        <v>#REF!</v>
      </c>
      <c r="Q136" s="394" t="e">
        <f t="shared" ca="1" si="78"/>
        <v>#REF!</v>
      </c>
      <c r="R136" s="432">
        <f t="shared" ca="1" si="79"/>
        <v>0</v>
      </c>
      <c r="S136" s="394" t="e">
        <f t="shared" ca="1" si="80"/>
        <v>#REF!</v>
      </c>
      <c r="T136" s="432" t="e">
        <f t="shared" ca="1" si="81"/>
        <v>#REF!</v>
      </c>
      <c r="U136" s="433" t="e">
        <f t="shared" ca="1" si="82"/>
        <v>#REF!</v>
      </c>
      <c r="V136" s="394" t="e">
        <f t="shared" ca="1" si="64"/>
        <v>#REF!</v>
      </c>
      <c r="W136" s="394" t="e">
        <f t="shared" ca="1" si="65"/>
        <v>#REF!</v>
      </c>
      <c r="X136" s="394" t="e">
        <f t="shared" ca="1" si="83"/>
        <v>#REF!</v>
      </c>
      <c r="Y136" s="394">
        <f t="shared" si="84"/>
        <v>0</v>
      </c>
      <c r="Z136" s="671" t="str">
        <f ca="1">IF(ISERROR($X136),"X",IF(-$I136&gt;(SP_DebtLimit/$E136),"I",IF(INDEX(SC_EX_APW,EXIDX1)&lt;1,"D","A")))</f>
        <v>X</v>
      </c>
    </row>
    <row r="137" spans="2:26" x14ac:dyDescent="0.25">
      <c r="B137">
        <f t="shared" ca="1" si="67"/>
        <v>2085</v>
      </c>
      <c r="C137" s="65" t="str">
        <f t="shared" si="85"/>
        <v>N</v>
      </c>
      <c r="D137" s="105">
        <f t="shared" si="46"/>
        <v>1</v>
      </c>
      <c r="E137" s="105">
        <f t="shared" ca="1" si="68"/>
        <v>0.13332948429556668</v>
      </c>
      <c r="F137" s="77">
        <f t="shared" si="69"/>
        <v>0</v>
      </c>
      <c r="G137" s="77">
        <f t="shared" si="70"/>
        <v>0</v>
      </c>
      <c r="I137" s="430" t="e">
        <f t="shared" ca="1" si="71"/>
        <v>#REF!</v>
      </c>
      <c r="J137" s="284" t="e">
        <f t="shared" ca="1" si="72"/>
        <v>#REF!</v>
      </c>
      <c r="K137" s="284" t="e">
        <f t="shared" ca="1" si="73"/>
        <v>#REF!</v>
      </c>
      <c r="L137" s="284" t="e">
        <f t="shared" ca="1" si="74"/>
        <v>#REF!</v>
      </c>
      <c r="M137" s="284" t="e">
        <f t="shared" ca="1" si="75"/>
        <v>#REF!</v>
      </c>
      <c r="N137" s="284" t="e">
        <f t="shared" ca="1" si="76"/>
        <v>#REF!</v>
      </c>
      <c r="O137" s="284" t="e">
        <f t="shared" ca="1" si="66"/>
        <v>#REF!</v>
      </c>
      <c r="P137" s="307" t="e">
        <f t="shared" ca="1" si="77"/>
        <v>#REF!</v>
      </c>
      <c r="Q137" s="284" t="e">
        <f t="shared" ca="1" si="78"/>
        <v>#REF!</v>
      </c>
      <c r="R137" s="307">
        <f t="shared" ca="1" si="79"/>
        <v>0</v>
      </c>
      <c r="S137" s="284" t="e">
        <f t="shared" ca="1" si="80"/>
        <v>#REF!</v>
      </c>
      <c r="T137" s="307" t="e">
        <f t="shared" ca="1" si="81"/>
        <v>#REF!</v>
      </c>
      <c r="U137" s="434" t="e">
        <f t="shared" ca="1" si="82"/>
        <v>#REF!</v>
      </c>
      <c r="V137" s="284" t="e">
        <f t="shared" ca="1" si="64"/>
        <v>#REF!</v>
      </c>
      <c r="W137" s="284" t="e">
        <f t="shared" ca="1" si="65"/>
        <v>#REF!</v>
      </c>
      <c r="X137" s="284" t="e">
        <f t="shared" ca="1" si="83"/>
        <v>#REF!</v>
      </c>
      <c r="Y137" s="284">
        <f t="shared" si="84"/>
        <v>0</v>
      </c>
      <c r="Z137" s="671"/>
    </row>
    <row r="138" spans="2:26" x14ac:dyDescent="0.25">
      <c r="B138" s="185">
        <f t="shared" ref="B138:B169" ca="1" si="86">B136+1</f>
        <v>2086</v>
      </c>
      <c r="C138" s="102" t="str">
        <f t="shared" si="85"/>
        <v>R</v>
      </c>
      <c r="D138" s="104">
        <f t="shared" ref="D138:D169" ca="1" si="87">CHOOSE(MOD(ROW(),2)+1,INDEX(SC_EA_InflationCPIdx,EAIDX),1)</f>
        <v>0.12913267244122681</v>
      </c>
      <c r="E138" s="104">
        <f t="shared" ref="E138:E169" si="88">CHOOSE(MOD(ROW(),2)+1,1,INDEX(SC_EA_InflationCPIdx,EAIDX))</f>
        <v>1</v>
      </c>
      <c r="F138" s="103">
        <f t="shared" ref="F138:F169" si="89">IF(INDEX(SC_ShowRetireatee,1),IF($B138&lt;YEAR(INDEX(SP_BirthDate,1)),0,$B138-YEAR(INDEX(SP_BirthDate,1))),0)</f>
        <v>0</v>
      </c>
      <c r="G138" s="103">
        <f t="shared" ref="G138:G169" si="90">IF(INDEX(SC_ShowRetireatee,2),IF($B138&lt;YEAR(INDEX(SP_BirthDate,2)),0,$B138-YEAR(INDEX(SP_BirthDate,2))),0)</f>
        <v>0</v>
      </c>
      <c r="I138" s="393" t="e">
        <f t="shared" ref="I138:I169" ca="1" si="91">MIN(($I136+$X136)/$D136*$D138,0)</f>
        <v>#REF!</v>
      </c>
      <c r="J138" s="394" t="e">
        <f t="shared" ref="J138:J169" ca="1" si="92">INDEX(SC_EX_IncomeActiveA,EXIDX1)*$D138</f>
        <v>#REF!</v>
      </c>
      <c r="K138" s="394" t="e">
        <f t="shared" ref="K138:K169" ca="1" si="93">INDEX(SC_EX_IncomePassiveA,EXIDX1)*$D138</f>
        <v>#REF!</v>
      </c>
      <c r="L138" s="394" t="e">
        <f t="shared" ref="L138:L169" ca="1" si="94">INDEX(SC_ZA_IncomeAnny,ZAIDX)*$D138</f>
        <v>#REF!</v>
      </c>
      <c r="M138" s="394" t="e">
        <f t="shared" ref="M138:M169" ca="1" si="95">INDEX(SC_ZX_SSRIBA,ZXIDX1)*$D138</f>
        <v>#REF!</v>
      </c>
      <c r="N138" s="394" t="e">
        <f t="shared" ref="N138:N169" ca="1" si="96">INDEX(SC_ZX_IncomeCapitalA,ZXIDX1)*$D138</f>
        <v>#REF!</v>
      </c>
      <c r="O138" s="394" t="e">
        <f t="shared" ca="1" si="66"/>
        <v>#REF!</v>
      </c>
      <c r="P138" s="432" t="e">
        <f t="shared" ref="P138:P169" ca="1" si="97">(INDEX(SC_ZX_IRAContribA,ZXIDX1)+INDEX(SC_ZA_AnnyContrib,ZAIDX))*$D138</f>
        <v>#REF!</v>
      </c>
      <c r="Q138" s="394" t="e">
        <f t="shared" ref="Q138:Q169" ca="1" si="98">((ABS(INDEX(SC_EX_APW,EXIDX1))*INDEX(SC_ExpensesLiving,1)+(1-ABS(INDEX(SC_EX_APW,EXIDX1)))*INDEX(SC_ExpensesLiving,2))*12/INDEX(SC_EA_InflationCPIdx,EAIDX)+INDEX(SC_ZA_ExpensesHome,ZAIDX))*$D138</f>
        <v>#REF!</v>
      </c>
      <c r="R138" s="432">
        <f t="shared" ref="R138:R169" ca="1" si="99">(SUMIF(SP_LumpSumYears,$B138,SP_LumpSumAmounts)/INDEX(SC_EA_InflationCPIdx,EAIDX))*$D138</f>
        <v>0</v>
      </c>
      <c r="S138" s="394" t="e">
        <f t="shared" ref="S138:S169" ca="1" si="100">$I138*SP_DebtRate</f>
        <v>#REF!</v>
      </c>
      <c r="T138" s="432" t="e">
        <f t="shared" ref="T138:T169" ca="1" si="101">INDEX(SC_ZX_TotalTaxesA,ZXIDX1)*$D138</f>
        <v>#REF!</v>
      </c>
      <c r="U138" s="433" t="e">
        <f t="shared" ref="U138:U169" ca="1" si="102">(1-IF($O138&gt;0,-$T138/$O138,0))</f>
        <v>#REF!</v>
      </c>
      <c r="V138" s="394" t="e">
        <f t="shared" ca="1" si="64"/>
        <v>#REF!</v>
      </c>
      <c r="W138" s="394" t="e">
        <f t="shared" ca="1" si="65"/>
        <v>#REF!</v>
      </c>
      <c r="X138" s="394" t="e">
        <f t="shared" ref="X138:X169" ca="1" si="103">SUM(O138:T138)</f>
        <v>#REF!</v>
      </c>
      <c r="Y138" s="394">
        <f t="shared" ref="Y138:Y169" si="104">IF(SC_DataMode=FALSE, 0, IF($B138=SC_YearStop-1,0,($Y140/$D140*$D138)/(1+(INDEX(SC_ZX_ARPortfolio, ZXIDX1)*(1-ABS(INDEX(SC_EX_APW,EXIDX1))))))+$N138)</f>
        <v>0</v>
      </c>
      <c r="Z138" s="671" t="str">
        <f ca="1">IF(ISERROR($X138),"X",IF(-$I138&gt;(SP_DebtLimit/$E138),"I",IF(INDEX(SC_EX_APW,EXIDX1)&lt;1,"D","A")))</f>
        <v>X</v>
      </c>
    </row>
    <row r="139" spans="2:26" x14ac:dyDescent="0.25">
      <c r="B139">
        <f t="shared" ca="1" si="86"/>
        <v>2086</v>
      </c>
      <c r="C139" s="65" t="str">
        <f t="shared" si="85"/>
        <v>N</v>
      </c>
      <c r="D139" s="105">
        <f t="shared" si="87"/>
        <v>1</v>
      </c>
      <c r="E139" s="105">
        <f t="shared" ca="1" si="88"/>
        <v>0.12913267244122681</v>
      </c>
      <c r="F139" s="77">
        <f t="shared" si="89"/>
        <v>0</v>
      </c>
      <c r="G139" s="77">
        <f t="shared" si="90"/>
        <v>0</v>
      </c>
      <c r="I139" s="430" t="e">
        <f t="shared" ca="1" si="91"/>
        <v>#REF!</v>
      </c>
      <c r="J139" s="284" t="e">
        <f t="shared" ca="1" si="92"/>
        <v>#REF!</v>
      </c>
      <c r="K139" s="284" t="e">
        <f t="shared" ca="1" si="93"/>
        <v>#REF!</v>
      </c>
      <c r="L139" s="284" t="e">
        <f t="shared" ca="1" si="94"/>
        <v>#REF!</v>
      </c>
      <c r="M139" s="284" t="e">
        <f t="shared" ca="1" si="95"/>
        <v>#REF!</v>
      </c>
      <c r="N139" s="284" t="e">
        <f t="shared" ca="1" si="96"/>
        <v>#REF!</v>
      </c>
      <c r="O139" s="284" t="e">
        <f t="shared" ca="1" si="66"/>
        <v>#REF!</v>
      </c>
      <c r="P139" s="307" t="e">
        <f t="shared" ca="1" si="97"/>
        <v>#REF!</v>
      </c>
      <c r="Q139" s="284" t="e">
        <f t="shared" ca="1" si="98"/>
        <v>#REF!</v>
      </c>
      <c r="R139" s="307">
        <f t="shared" ca="1" si="99"/>
        <v>0</v>
      </c>
      <c r="S139" s="284" t="e">
        <f t="shared" ca="1" si="100"/>
        <v>#REF!</v>
      </c>
      <c r="T139" s="307" t="e">
        <f t="shared" ca="1" si="101"/>
        <v>#REF!</v>
      </c>
      <c r="U139" s="434" t="e">
        <f t="shared" ca="1" si="102"/>
        <v>#REF!</v>
      </c>
      <c r="V139" s="284" t="e">
        <f t="shared" ref="V139:V169" ca="1" si="105">MAX(-($I139+$P139+$Q139+$R139+$S139)/$U139,0)</f>
        <v>#REF!</v>
      </c>
      <c r="W139" s="284" t="e">
        <f t="shared" ref="W139:W169" ca="1" si="106">MAX($V139-(SUM($J139:$M139)),0)</f>
        <v>#REF!</v>
      </c>
      <c r="X139" s="284" t="e">
        <f t="shared" ca="1" si="103"/>
        <v>#REF!</v>
      </c>
      <c r="Y139" s="284">
        <f t="shared" si="104"/>
        <v>0</v>
      </c>
      <c r="Z139" s="671"/>
    </row>
    <row r="140" spans="2:26" x14ac:dyDescent="0.25">
      <c r="B140" s="185">
        <f t="shared" ca="1" si="86"/>
        <v>2087</v>
      </c>
      <c r="C140" s="102" t="str">
        <f t="shared" si="85"/>
        <v>R</v>
      </c>
      <c r="D140" s="104">
        <f t="shared" ca="1" si="87"/>
        <v>0.12506796362346423</v>
      </c>
      <c r="E140" s="104">
        <f t="shared" si="88"/>
        <v>1</v>
      </c>
      <c r="F140" s="103">
        <f t="shared" si="89"/>
        <v>0</v>
      </c>
      <c r="G140" s="103">
        <f t="shared" si="90"/>
        <v>0</v>
      </c>
      <c r="I140" s="393" t="e">
        <f t="shared" ca="1" si="91"/>
        <v>#REF!</v>
      </c>
      <c r="J140" s="394" t="e">
        <f t="shared" ca="1" si="92"/>
        <v>#REF!</v>
      </c>
      <c r="K140" s="394" t="e">
        <f t="shared" ca="1" si="93"/>
        <v>#REF!</v>
      </c>
      <c r="L140" s="394" t="e">
        <f t="shared" ca="1" si="94"/>
        <v>#REF!</v>
      </c>
      <c r="M140" s="394" t="e">
        <f t="shared" ca="1" si="95"/>
        <v>#REF!</v>
      </c>
      <c r="N140" s="394" t="e">
        <f t="shared" ca="1" si="96"/>
        <v>#REF!</v>
      </c>
      <c r="O140" s="394" t="e">
        <f t="shared" ca="1" si="66"/>
        <v>#REF!</v>
      </c>
      <c r="P140" s="432" t="e">
        <f t="shared" ca="1" si="97"/>
        <v>#REF!</v>
      </c>
      <c r="Q140" s="394" t="e">
        <f t="shared" ca="1" si="98"/>
        <v>#REF!</v>
      </c>
      <c r="R140" s="432">
        <f t="shared" ca="1" si="99"/>
        <v>0</v>
      </c>
      <c r="S140" s="394" t="e">
        <f t="shared" ca="1" si="100"/>
        <v>#REF!</v>
      </c>
      <c r="T140" s="432" t="e">
        <f t="shared" ca="1" si="101"/>
        <v>#REF!</v>
      </c>
      <c r="U140" s="433" t="e">
        <f t="shared" ca="1" si="102"/>
        <v>#REF!</v>
      </c>
      <c r="V140" s="394" t="e">
        <f t="shared" ca="1" si="105"/>
        <v>#REF!</v>
      </c>
      <c r="W140" s="394" t="e">
        <f t="shared" ca="1" si="106"/>
        <v>#REF!</v>
      </c>
      <c r="X140" s="394" t="e">
        <f t="shared" ca="1" si="103"/>
        <v>#REF!</v>
      </c>
      <c r="Y140" s="394">
        <f t="shared" si="104"/>
        <v>0</v>
      </c>
      <c r="Z140" s="671" t="str">
        <f ca="1">IF(ISERROR($X140),"X",IF(-$I140&gt;(SP_DebtLimit/$E140),"I",IF(INDEX(SC_EX_APW,EXIDX1)&lt;1,"D","A")))</f>
        <v>X</v>
      </c>
    </row>
    <row r="141" spans="2:26" x14ac:dyDescent="0.25">
      <c r="B141">
        <f t="shared" ca="1" si="86"/>
        <v>2087</v>
      </c>
      <c r="C141" s="65" t="str">
        <f t="shared" si="85"/>
        <v>N</v>
      </c>
      <c r="D141" s="105">
        <f t="shared" si="87"/>
        <v>1</v>
      </c>
      <c r="E141" s="105">
        <f t="shared" ca="1" si="88"/>
        <v>0.12506796362346423</v>
      </c>
      <c r="F141" s="77">
        <f t="shared" si="89"/>
        <v>0</v>
      </c>
      <c r="G141" s="77">
        <f t="shared" si="90"/>
        <v>0</v>
      </c>
      <c r="I141" s="430" t="e">
        <f t="shared" ca="1" si="91"/>
        <v>#REF!</v>
      </c>
      <c r="J141" s="284" t="e">
        <f t="shared" ca="1" si="92"/>
        <v>#REF!</v>
      </c>
      <c r="K141" s="284" t="e">
        <f t="shared" ca="1" si="93"/>
        <v>#REF!</v>
      </c>
      <c r="L141" s="284" t="e">
        <f t="shared" ca="1" si="94"/>
        <v>#REF!</v>
      </c>
      <c r="M141" s="284" t="e">
        <f t="shared" ca="1" si="95"/>
        <v>#REF!</v>
      </c>
      <c r="N141" s="284" t="e">
        <f t="shared" ca="1" si="96"/>
        <v>#REF!</v>
      </c>
      <c r="O141" s="284" t="e">
        <f t="shared" ref="O141:O169" ca="1" si="107">SUM(J141:N141)</f>
        <v>#REF!</v>
      </c>
      <c r="P141" s="307" t="e">
        <f t="shared" ca="1" si="97"/>
        <v>#REF!</v>
      </c>
      <c r="Q141" s="284" t="e">
        <f t="shared" ca="1" si="98"/>
        <v>#REF!</v>
      </c>
      <c r="R141" s="307">
        <f t="shared" ca="1" si="99"/>
        <v>0</v>
      </c>
      <c r="S141" s="284" t="e">
        <f t="shared" ca="1" si="100"/>
        <v>#REF!</v>
      </c>
      <c r="T141" s="307" t="e">
        <f t="shared" ca="1" si="101"/>
        <v>#REF!</v>
      </c>
      <c r="U141" s="434" t="e">
        <f t="shared" ca="1" si="102"/>
        <v>#REF!</v>
      </c>
      <c r="V141" s="284" t="e">
        <f t="shared" ca="1" si="105"/>
        <v>#REF!</v>
      </c>
      <c r="W141" s="284" t="e">
        <f t="shared" ca="1" si="106"/>
        <v>#REF!</v>
      </c>
      <c r="X141" s="284" t="e">
        <f t="shared" ca="1" si="103"/>
        <v>#REF!</v>
      </c>
      <c r="Y141" s="284">
        <f t="shared" si="104"/>
        <v>0</v>
      </c>
      <c r="Z141" s="671"/>
    </row>
    <row r="142" spans="2:26" x14ac:dyDescent="0.25">
      <c r="B142" s="185">
        <f t="shared" ca="1" si="86"/>
        <v>2088</v>
      </c>
      <c r="C142" s="102" t="str">
        <f t="shared" si="85"/>
        <v>R</v>
      </c>
      <c r="D142" s="104">
        <f t="shared" ca="1" si="87"/>
        <v>0.12113119963531643</v>
      </c>
      <c r="E142" s="104">
        <f t="shared" si="88"/>
        <v>1</v>
      </c>
      <c r="F142" s="103">
        <f t="shared" si="89"/>
        <v>0</v>
      </c>
      <c r="G142" s="103">
        <f t="shared" si="90"/>
        <v>0</v>
      </c>
      <c r="I142" s="393" t="e">
        <f t="shared" ca="1" si="91"/>
        <v>#REF!</v>
      </c>
      <c r="J142" s="394" t="e">
        <f t="shared" ca="1" si="92"/>
        <v>#REF!</v>
      </c>
      <c r="K142" s="394" t="e">
        <f t="shared" ca="1" si="93"/>
        <v>#REF!</v>
      </c>
      <c r="L142" s="394" t="e">
        <f t="shared" ca="1" si="94"/>
        <v>#REF!</v>
      </c>
      <c r="M142" s="394" t="e">
        <f t="shared" ca="1" si="95"/>
        <v>#REF!</v>
      </c>
      <c r="N142" s="394" t="e">
        <f t="shared" ca="1" si="96"/>
        <v>#REF!</v>
      </c>
      <c r="O142" s="394" t="e">
        <f t="shared" ca="1" si="107"/>
        <v>#REF!</v>
      </c>
      <c r="P142" s="432" t="e">
        <f t="shared" ca="1" si="97"/>
        <v>#REF!</v>
      </c>
      <c r="Q142" s="394" t="e">
        <f t="shared" ca="1" si="98"/>
        <v>#REF!</v>
      </c>
      <c r="R142" s="432">
        <f t="shared" ca="1" si="99"/>
        <v>0</v>
      </c>
      <c r="S142" s="394" t="e">
        <f t="shared" ca="1" si="100"/>
        <v>#REF!</v>
      </c>
      <c r="T142" s="432" t="e">
        <f t="shared" ca="1" si="101"/>
        <v>#REF!</v>
      </c>
      <c r="U142" s="433" t="e">
        <f t="shared" ca="1" si="102"/>
        <v>#REF!</v>
      </c>
      <c r="V142" s="394" t="e">
        <f t="shared" ca="1" si="105"/>
        <v>#REF!</v>
      </c>
      <c r="W142" s="394" t="e">
        <f t="shared" ca="1" si="106"/>
        <v>#REF!</v>
      </c>
      <c r="X142" s="394" t="e">
        <f t="shared" ca="1" si="103"/>
        <v>#REF!</v>
      </c>
      <c r="Y142" s="394">
        <f t="shared" si="104"/>
        <v>0</v>
      </c>
      <c r="Z142" s="671" t="str">
        <f ca="1">IF(ISERROR($X142),"X",IF(-$I142&gt;(SP_DebtLimit/$E142),"I",IF(INDEX(SC_EX_APW,EXIDX1)&lt;1,"D","A")))</f>
        <v>X</v>
      </c>
    </row>
    <row r="143" spans="2:26" x14ac:dyDescent="0.25">
      <c r="B143">
        <f t="shared" ca="1" si="86"/>
        <v>2088</v>
      </c>
      <c r="C143" s="65" t="str">
        <f t="shared" si="85"/>
        <v>N</v>
      </c>
      <c r="D143" s="105">
        <f t="shared" si="87"/>
        <v>1</v>
      </c>
      <c r="E143" s="105">
        <f t="shared" ca="1" si="88"/>
        <v>0.12113119963531643</v>
      </c>
      <c r="F143" s="77">
        <f t="shared" si="89"/>
        <v>0</v>
      </c>
      <c r="G143" s="77">
        <f t="shared" si="90"/>
        <v>0</v>
      </c>
      <c r="I143" s="430" t="e">
        <f t="shared" ca="1" si="91"/>
        <v>#REF!</v>
      </c>
      <c r="J143" s="284" t="e">
        <f t="shared" ca="1" si="92"/>
        <v>#REF!</v>
      </c>
      <c r="K143" s="284" t="e">
        <f t="shared" ca="1" si="93"/>
        <v>#REF!</v>
      </c>
      <c r="L143" s="284" t="e">
        <f t="shared" ca="1" si="94"/>
        <v>#REF!</v>
      </c>
      <c r="M143" s="284" t="e">
        <f t="shared" ca="1" si="95"/>
        <v>#REF!</v>
      </c>
      <c r="N143" s="284" t="e">
        <f t="shared" ca="1" si="96"/>
        <v>#REF!</v>
      </c>
      <c r="O143" s="284" t="e">
        <f t="shared" ca="1" si="107"/>
        <v>#REF!</v>
      </c>
      <c r="P143" s="307" t="e">
        <f t="shared" ca="1" si="97"/>
        <v>#REF!</v>
      </c>
      <c r="Q143" s="284" t="e">
        <f t="shared" ca="1" si="98"/>
        <v>#REF!</v>
      </c>
      <c r="R143" s="307">
        <f t="shared" ca="1" si="99"/>
        <v>0</v>
      </c>
      <c r="S143" s="284" t="e">
        <f t="shared" ca="1" si="100"/>
        <v>#REF!</v>
      </c>
      <c r="T143" s="307" t="e">
        <f t="shared" ca="1" si="101"/>
        <v>#REF!</v>
      </c>
      <c r="U143" s="434" t="e">
        <f t="shared" ca="1" si="102"/>
        <v>#REF!</v>
      </c>
      <c r="V143" s="284" t="e">
        <f t="shared" ca="1" si="105"/>
        <v>#REF!</v>
      </c>
      <c r="W143" s="284" t="e">
        <f t="shared" ca="1" si="106"/>
        <v>#REF!</v>
      </c>
      <c r="X143" s="284" t="e">
        <f t="shared" ca="1" si="103"/>
        <v>#REF!</v>
      </c>
      <c r="Y143" s="284">
        <f t="shared" si="104"/>
        <v>0</v>
      </c>
      <c r="Z143" s="671"/>
    </row>
    <row r="144" spans="2:26" x14ac:dyDescent="0.25">
      <c r="B144" s="185">
        <f t="shared" ca="1" si="86"/>
        <v>2089</v>
      </c>
      <c r="C144" s="102" t="str">
        <f t="shared" si="85"/>
        <v>R</v>
      </c>
      <c r="D144" s="104">
        <f t="shared" ca="1" si="87"/>
        <v>0.11731835315769147</v>
      </c>
      <c r="E144" s="104">
        <f t="shared" si="88"/>
        <v>1</v>
      </c>
      <c r="F144" s="103">
        <f t="shared" si="89"/>
        <v>0</v>
      </c>
      <c r="G144" s="103">
        <f t="shared" si="90"/>
        <v>0</v>
      </c>
      <c r="I144" s="393" t="e">
        <f t="shared" ca="1" si="91"/>
        <v>#REF!</v>
      </c>
      <c r="J144" s="394" t="e">
        <f t="shared" ca="1" si="92"/>
        <v>#REF!</v>
      </c>
      <c r="K144" s="394" t="e">
        <f t="shared" ca="1" si="93"/>
        <v>#REF!</v>
      </c>
      <c r="L144" s="394" t="e">
        <f t="shared" ca="1" si="94"/>
        <v>#REF!</v>
      </c>
      <c r="M144" s="394" t="e">
        <f t="shared" ca="1" si="95"/>
        <v>#REF!</v>
      </c>
      <c r="N144" s="394" t="e">
        <f t="shared" ca="1" si="96"/>
        <v>#REF!</v>
      </c>
      <c r="O144" s="394" t="e">
        <f t="shared" ca="1" si="107"/>
        <v>#REF!</v>
      </c>
      <c r="P144" s="432" t="e">
        <f t="shared" ca="1" si="97"/>
        <v>#REF!</v>
      </c>
      <c r="Q144" s="394" t="e">
        <f t="shared" ca="1" si="98"/>
        <v>#REF!</v>
      </c>
      <c r="R144" s="432">
        <f t="shared" ca="1" si="99"/>
        <v>0</v>
      </c>
      <c r="S144" s="394" t="e">
        <f t="shared" ca="1" si="100"/>
        <v>#REF!</v>
      </c>
      <c r="T144" s="432" t="e">
        <f t="shared" ca="1" si="101"/>
        <v>#REF!</v>
      </c>
      <c r="U144" s="433" t="e">
        <f t="shared" ca="1" si="102"/>
        <v>#REF!</v>
      </c>
      <c r="V144" s="394" t="e">
        <f t="shared" ca="1" si="105"/>
        <v>#REF!</v>
      </c>
      <c r="W144" s="394" t="e">
        <f t="shared" ca="1" si="106"/>
        <v>#REF!</v>
      </c>
      <c r="X144" s="394" t="e">
        <f t="shared" ca="1" si="103"/>
        <v>#REF!</v>
      </c>
      <c r="Y144" s="394">
        <f t="shared" si="104"/>
        <v>0</v>
      </c>
      <c r="Z144" s="671" t="str">
        <f ca="1">IF(ISERROR($X144),"X",IF(-$I144&gt;(SP_DebtLimit/$E144),"I",IF(INDEX(SC_EX_APW,EXIDX1)&lt;1,"D","A")))</f>
        <v>X</v>
      </c>
    </row>
    <row r="145" spans="2:26" x14ac:dyDescent="0.25">
      <c r="B145">
        <f t="shared" ca="1" si="86"/>
        <v>2089</v>
      </c>
      <c r="C145" s="65" t="str">
        <f t="shared" si="85"/>
        <v>N</v>
      </c>
      <c r="D145" s="105">
        <f t="shared" si="87"/>
        <v>1</v>
      </c>
      <c r="E145" s="105">
        <f t="shared" ca="1" si="88"/>
        <v>0.11731835315769147</v>
      </c>
      <c r="F145" s="77">
        <f t="shared" si="89"/>
        <v>0</v>
      </c>
      <c r="G145" s="77">
        <f t="shared" si="90"/>
        <v>0</v>
      </c>
      <c r="I145" s="430" t="e">
        <f t="shared" ca="1" si="91"/>
        <v>#REF!</v>
      </c>
      <c r="J145" s="284" t="e">
        <f t="shared" ca="1" si="92"/>
        <v>#REF!</v>
      </c>
      <c r="K145" s="284" t="e">
        <f t="shared" ca="1" si="93"/>
        <v>#REF!</v>
      </c>
      <c r="L145" s="284" t="e">
        <f t="shared" ca="1" si="94"/>
        <v>#REF!</v>
      </c>
      <c r="M145" s="284" t="e">
        <f t="shared" ca="1" si="95"/>
        <v>#REF!</v>
      </c>
      <c r="N145" s="284" t="e">
        <f t="shared" ca="1" si="96"/>
        <v>#REF!</v>
      </c>
      <c r="O145" s="284" t="e">
        <f t="shared" ca="1" si="107"/>
        <v>#REF!</v>
      </c>
      <c r="P145" s="307" t="e">
        <f t="shared" ca="1" si="97"/>
        <v>#REF!</v>
      </c>
      <c r="Q145" s="284" t="e">
        <f t="shared" ca="1" si="98"/>
        <v>#REF!</v>
      </c>
      <c r="R145" s="307">
        <f t="shared" ca="1" si="99"/>
        <v>0</v>
      </c>
      <c r="S145" s="284" t="e">
        <f t="shared" ca="1" si="100"/>
        <v>#REF!</v>
      </c>
      <c r="T145" s="307" t="e">
        <f t="shared" ca="1" si="101"/>
        <v>#REF!</v>
      </c>
      <c r="U145" s="434" t="e">
        <f t="shared" ca="1" si="102"/>
        <v>#REF!</v>
      </c>
      <c r="V145" s="284" t="e">
        <f t="shared" ca="1" si="105"/>
        <v>#REF!</v>
      </c>
      <c r="W145" s="284" t="e">
        <f t="shared" ca="1" si="106"/>
        <v>#REF!</v>
      </c>
      <c r="X145" s="284" t="e">
        <f t="shared" ca="1" si="103"/>
        <v>#REF!</v>
      </c>
      <c r="Y145" s="284">
        <f t="shared" si="104"/>
        <v>0</v>
      </c>
      <c r="Z145" s="671"/>
    </row>
    <row r="146" spans="2:26" x14ac:dyDescent="0.25">
      <c r="B146" s="185">
        <f t="shared" ca="1" si="86"/>
        <v>2090</v>
      </c>
      <c r="C146" s="102" t="str">
        <f t="shared" si="85"/>
        <v>R</v>
      </c>
      <c r="D146" s="104">
        <f t="shared" ca="1" si="87"/>
        <v>0.11362552363941063</v>
      </c>
      <c r="E146" s="104">
        <f t="shared" si="88"/>
        <v>1</v>
      </c>
      <c r="F146" s="103">
        <f t="shared" si="89"/>
        <v>0</v>
      </c>
      <c r="G146" s="103">
        <f t="shared" si="90"/>
        <v>0</v>
      </c>
      <c r="I146" s="393" t="e">
        <f t="shared" ca="1" si="91"/>
        <v>#REF!</v>
      </c>
      <c r="J146" s="394" t="e">
        <f t="shared" ca="1" si="92"/>
        <v>#REF!</v>
      </c>
      <c r="K146" s="394" t="e">
        <f t="shared" ca="1" si="93"/>
        <v>#REF!</v>
      </c>
      <c r="L146" s="394" t="e">
        <f t="shared" ca="1" si="94"/>
        <v>#REF!</v>
      </c>
      <c r="M146" s="394" t="e">
        <f t="shared" ca="1" si="95"/>
        <v>#REF!</v>
      </c>
      <c r="N146" s="394" t="e">
        <f t="shared" ca="1" si="96"/>
        <v>#REF!</v>
      </c>
      <c r="O146" s="394" t="e">
        <f t="shared" ca="1" si="107"/>
        <v>#REF!</v>
      </c>
      <c r="P146" s="432" t="e">
        <f t="shared" ca="1" si="97"/>
        <v>#REF!</v>
      </c>
      <c r="Q146" s="394" t="e">
        <f t="shared" ca="1" si="98"/>
        <v>#REF!</v>
      </c>
      <c r="R146" s="432">
        <f t="shared" ca="1" si="99"/>
        <v>0</v>
      </c>
      <c r="S146" s="394" t="e">
        <f t="shared" ca="1" si="100"/>
        <v>#REF!</v>
      </c>
      <c r="T146" s="432" t="e">
        <f t="shared" ca="1" si="101"/>
        <v>#REF!</v>
      </c>
      <c r="U146" s="433" t="e">
        <f t="shared" ca="1" si="102"/>
        <v>#REF!</v>
      </c>
      <c r="V146" s="394" t="e">
        <f t="shared" ca="1" si="105"/>
        <v>#REF!</v>
      </c>
      <c r="W146" s="394" t="e">
        <f t="shared" ca="1" si="106"/>
        <v>#REF!</v>
      </c>
      <c r="X146" s="394" t="e">
        <f t="shared" ca="1" si="103"/>
        <v>#REF!</v>
      </c>
      <c r="Y146" s="394">
        <f t="shared" si="104"/>
        <v>0</v>
      </c>
      <c r="Z146" s="671" t="str">
        <f ca="1">IF(ISERROR($X146),"X",IF(-$I146&gt;(SP_DebtLimit/$E146),"I",IF(INDEX(SC_EX_APW,EXIDX1)&lt;1,"D","A")))</f>
        <v>X</v>
      </c>
    </row>
    <row r="147" spans="2:26" x14ac:dyDescent="0.25">
      <c r="B147">
        <f t="shared" ca="1" si="86"/>
        <v>2090</v>
      </c>
      <c r="C147" s="65" t="str">
        <f t="shared" si="85"/>
        <v>N</v>
      </c>
      <c r="D147" s="105">
        <f t="shared" si="87"/>
        <v>1</v>
      </c>
      <c r="E147" s="105">
        <f t="shared" ca="1" si="88"/>
        <v>0.11362552363941063</v>
      </c>
      <c r="F147" s="77">
        <f t="shared" si="89"/>
        <v>0</v>
      </c>
      <c r="G147" s="77">
        <f t="shared" si="90"/>
        <v>0</v>
      </c>
      <c r="I147" s="430" t="e">
        <f t="shared" ca="1" si="91"/>
        <v>#REF!</v>
      </c>
      <c r="J147" s="284" t="e">
        <f t="shared" ca="1" si="92"/>
        <v>#REF!</v>
      </c>
      <c r="K147" s="284" t="e">
        <f t="shared" ca="1" si="93"/>
        <v>#REF!</v>
      </c>
      <c r="L147" s="284" t="e">
        <f t="shared" ca="1" si="94"/>
        <v>#REF!</v>
      </c>
      <c r="M147" s="284" t="e">
        <f t="shared" ca="1" si="95"/>
        <v>#REF!</v>
      </c>
      <c r="N147" s="284" t="e">
        <f t="shared" ca="1" si="96"/>
        <v>#REF!</v>
      </c>
      <c r="O147" s="284" t="e">
        <f t="shared" ca="1" si="107"/>
        <v>#REF!</v>
      </c>
      <c r="P147" s="307" t="e">
        <f t="shared" ca="1" si="97"/>
        <v>#REF!</v>
      </c>
      <c r="Q147" s="284" t="e">
        <f t="shared" ca="1" si="98"/>
        <v>#REF!</v>
      </c>
      <c r="R147" s="307">
        <f t="shared" ca="1" si="99"/>
        <v>0</v>
      </c>
      <c r="S147" s="284" t="e">
        <f t="shared" ca="1" si="100"/>
        <v>#REF!</v>
      </c>
      <c r="T147" s="307" t="e">
        <f t="shared" ca="1" si="101"/>
        <v>#REF!</v>
      </c>
      <c r="U147" s="434" t="e">
        <f t="shared" ca="1" si="102"/>
        <v>#REF!</v>
      </c>
      <c r="V147" s="284" t="e">
        <f t="shared" ca="1" si="105"/>
        <v>#REF!</v>
      </c>
      <c r="W147" s="284" t="e">
        <f t="shared" ca="1" si="106"/>
        <v>#REF!</v>
      </c>
      <c r="X147" s="284" t="e">
        <f t="shared" ca="1" si="103"/>
        <v>#REF!</v>
      </c>
      <c r="Y147" s="284">
        <f t="shared" si="104"/>
        <v>0</v>
      </c>
      <c r="Z147" s="671"/>
    </row>
    <row r="148" spans="2:26" x14ac:dyDescent="0.25">
      <c r="B148" s="185">
        <f t="shared" ca="1" si="86"/>
        <v>2091</v>
      </c>
      <c r="C148" s="102" t="str">
        <f t="shared" si="85"/>
        <v>R</v>
      </c>
      <c r="D148" s="104">
        <f t="shared" ca="1" si="87"/>
        <v>0.11004893330693523</v>
      </c>
      <c r="E148" s="104">
        <f t="shared" si="88"/>
        <v>1</v>
      </c>
      <c r="F148" s="103">
        <f t="shared" si="89"/>
        <v>0</v>
      </c>
      <c r="G148" s="103">
        <f t="shared" si="90"/>
        <v>0</v>
      </c>
      <c r="I148" s="393" t="e">
        <f t="shared" ca="1" si="91"/>
        <v>#REF!</v>
      </c>
      <c r="J148" s="394" t="e">
        <f t="shared" ca="1" si="92"/>
        <v>#REF!</v>
      </c>
      <c r="K148" s="394" t="e">
        <f t="shared" ca="1" si="93"/>
        <v>#REF!</v>
      </c>
      <c r="L148" s="394" t="e">
        <f t="shared" ca="1" si="94"/>
        <v>#REF!</v>
      </c>
      <c r="M148" s="394" t="e">
        <f t="shared" ca="1" si="95"/>
        <v>#REF!</v>
      </c>
      <c r="N148" s="394" t="e">
        <f t="shared" ca="1" si="96"/>
        <v>#REF!</v>
      </c>
      <c r="O148" s="394" t="e">
        <f t="shared" ca="1" si="107"/>
        <v>#REF!</v>
      </c>
      <c r="P148" s="432" t="e">
        <f t="shared" ca="1" si="97"/>
        <v>#REF!</v>
      </c>
      <c r="Q148" s="394" t="e">
        <f t="shared" ca="1" si="98"/>
        <v>#REF!</v>
      </c>
      <c r="R148" s="432">
        <f t="shared" ca="1" si="99"/>
        <v>0</v>
      </c>
      <c r="S148" s="394" t="e">
        <f t="shared" ca="1" si="100"/>
        <v>#REF!</v>
      </c>
      <c r="T148" s="432" t="e">
        <f t="shared" ca="1" si="101"/>
        <v>#REF!</v>
      </c>
      <c r="U148" s="433" t="e">
        <f t="shared" ca="1" si="102"/>
        <v>#REF!</v>
      </c>
      <c r="V148" s="394" t="e">
        <f t="shared" ca="1" si="105"/>
        <v>#REF!</v>
      </c>
      <c r="W148" s="394" t="e">
        <f t="shared" ca="1" si="106"/>
        <v>#REF!</v>
      </c>
      <c r="X148" s="394" t="e">
        <f t="shared" ca="1" si="103"/>
        <v>#REF!</v>
      </c>
      <c r="Y148" s="394">
        <f t="shared" si="104"/>
        <v>0</v>
      </c>
      <c r="Z148" s="671" t="str">
        <f ca="1">IF(ISERROR($X148),"X",IF(-$I148&gt;(SP_DebtLimit/$E148),"I",IF(INDEX(SC_EX_APW,EXIDX1)&lt;1,"D","A")))</f>
        <v>X</v>
      </c>
    </row>
    <row r="149" spans="2:26" x14ac:dyDescent="0.25">
      <c r="B149">
        <f t="shared" ca="1" si="86"/>
        <v>2091</v>
      </c>
      <c r="C149" s="65" t="str">
        <f t="shared" si="85"/>
        <v>N</v>
      </c>
      <c r="D149" s="105">
        <f t="shared" si="87"/>
        <v>1</v>
      </c>
      <c r="E149" s="105">
        <f t="shared" ca="1" si="88"/>
        <v>0.11004893330693523</v>
      </c>
      <c r="F149" s="77">
        <f t="shared" si="89"/>
        <v>0</v>
      </c>
      <c r="G149" s="77">
        <f t="shared" si="90"/>
        <v>0</v>
      </c>
      <c r="I149" s="430" t="e">
        <f t="shared" ca="1" si="91"/>
        <v>#REF!</v>
      </c>
      <c r="J149" s="284" t="e">
        <f t="shared" ca="1" si="92"/>
        <v>#REF!</v>
      </c>
      <c r="K149" s="284" t="e">
        <f t="shared" ca="1" si="93"/>
        <v>#REF!</v>
      </c>
      <c r="L149" s="284" t="e">
        <f t="shared" ca="1" si="94"/>
        <v>#REF!</v>
      </c>
      <c r="M149" s="284" t="e">
        <f t="shared" ca="1" si="95"/>
        <v>#REF!</v>
      </c>
      <c r="N149" s="284" t="e">
        <f t="shared" ca="1" si="96"/>
        <v>#REF!</v>
      </c>
      <c r="O149" s="284" t="e">
        <f t="shared" ca="1" si="107"/>
        <v>#REF!</v>
      </c>
      <c r="P149" s="307" t="e">
        <f t="shared" ca="1" si="97"/>
        <v>#REF!</v>
      </c>
      <c r="Q149" s="284" t="e">
        <f t="shared" ca="1" si="98"/>
        <v>#REF!</v>
      </c>
      <c r="R149" s="307">
        <f t="shared" ca="1" si="99"/>
        <v>0</v>
      </c>
      <c r="S149" s="284" t="e">
        <f t="shared" ca="1" si="100"/>
        <v>#REF!</v>
      </c>
      <c r="T149" s="307" t="e">
        <f t="shared" ca="1" si="101"/>
        <v>#REF!</v>
      </c>
      <c r="U149" s="434" t="e">
        <f t="shared" ca="1" si="102"/>
        <v>#REF!</v>
      </c>
      <c r="V149" s="284" t="e">
        <f t="shared" ca="1" si="105"/>
        <v>#REF!</v>
      </c>
      <c r="W149" s="284" t="e">
        <f t="shared" ca="1" si="106"/>
        <v>#REF!</v>
      </c>
      <c r="X149" s="284" t="e">
        <f t="shared" ca="1" si="103"/>
        <v>#REF!</v>
      </c>
      <c r="Y149" s="284">
        <f t="shared" si="104"/>
        <v>0</v>
      </c>
      <c r="Z149" s="671"/>
    </row>
    <row r="150" spans="2:26" x14ac:dyDescent="0.25">
      <c r="B150" s="185">
        <f t="shared" ca="1" si="86"/>
        <v>2092</v>
      </c>
      <c r="C150" s="102" t="str">
        <f t="shared" si="85"/>
        <v>R</v>
      </c>
      <c r="D150" s="104">
        <f t="shared" ca="1" si="87"/>
        <v>0.10658492329969514</v>
      </c>
      <c r="E150" s="104">
        <f t="shared" si="88"/>
        <v>1</v>
      </c>
      <c r="F150" s="103">
        <f t="shared" si="89"/>
        <v>0</v>
      </c>
      <c r="G150" s="103">
        <f t="shared" si="90"/>
        <v>0</v>
      </c>
      <c r="I150" s="393" t="e">
        <f t="shared" ca="1" si="91"/>
        <v>#REF!</v>
      </c>
      <c r="J150" s="394" t="e">
        <f t="shared" ca="1" si="92"/>
        <v>#REF!</v>
      </c>
      <c r="K150" s="394" t="e">
        <f t="shared" ca="1" si="93"/>
        <v>#REF!</v>
      </c>
      <c r="L150" s="394" t="e">
        <f t="shared" ca="1" si="94"/>
        <v>#REF!</v>
      </c>
      <c r="M150" s="394" t="e">
        <f t="shared" ca="1" si="95"/>
        <v>#REF!</v>
      </c>
      <c r="N150" s="394" t="e">
        <f t="shared" ca="1" si="96"/>
        <v>#REF!</v>
      </c>
      <c r="O150" s="394" t="e">
        <f t="shared" ca="1" si="107"/>
        <v>#REF!</v>
      </c>
      <c r="P150" s="432" t="e">
        <f t="shared" ca="1" si="97"/>
        <v>#REF!</v>
      </c>
      <c r="Q150" s="394" t="e">
        <f t="shared" ca="1" si="98"/>
        <v>#REF!</v>
      </c>
      <c r="R150" s="432">
        <f t="shared" ca="1" si="99"/>
        <v>0</v>
      </c>
      <c r="S150" s="394" t="e">
        <f t="shared" ca="1" si="100"/>
        <v>#REF!</v>
      </c>
      <c r="T150" s="432" t="e">
        <f t="shared" ca="1" si="101"/>
        <v>#REF!</v>
      </c>
      <c r="U150" s="433" t="e">
        <f t="shared" ca="1" si="102"/>
        <v>#REF!</v>
      </c>
      <c r="V150" s="394" t="e">
        <f t="shared" ca="1" si="105"/>
        <v>#REF!</v>
      </c>
      <c r="W150" s="394" t="e">
        <f t="shared" ca="1" si="106"/>
        <v>#REF!</v>
      </c>
      <c r="X150" s="394" t="e">
        <f t="shared" ca="1" si="103"/>
        <v>#REF!</v>
      </c>
      <c r="Y150" s="394">
        <f t="shared" si="104"/>
        <v>0</v>
      </c>
      <c r="Z150" s="671" t="str">
        <f ca="1">IF(ISERROR($X150),"X",IF(-$I150&gt;(SP_DebtLimit/$E150),"I",IF(INDEX(SC_EX_APW,EXIDX1)&lt;1,"D","A")))</f>
        <v>X</v>
      </c>
    </row>
    <row r="151" spans="2:26" x14ac:dyDescent="0.25">
      <c r="B151">
        <f t="shared" ca="1" si="86"/>
        <v>2092</v>
      </c>
      <c r="C151" s="65" t="str">
        <f t="shared" si="85"/>
        <v>N</v>
      </c>
      <c r="D151" s="105">
        <f t="shared" si="87"/>
        <v>1</v>
      </c>
      <c r="E151" s="105">
        <f t="shared" ca="1" si="88"/>
        <v>0.10658492329969514</v>
      </c>
      <c r="F151" s="77">
        <f t="shared" si="89"/>
        <v>0</v>
      </c>
      <c r="G151" s="77">
        <f t="shared" si="90"/>
        <v>0</v>
      </c>
      <c r="I151" s="430" t="e">
        <f t="shared" ca="1" si="91"/>
        <v>#REF!</v>
      </c>
      <c r="J151" s="284" t="e">
        <f t="shared" ca="1" si="92"/>
        <v>#REF!</v>
      </c>
      <c r="K151" s="284" t="e">
        <f t="shared" ca="1" si="93"/>
        <v>#REF!</v>
      </c>
      <c r="L151" s="284" t="e">
        <f t="shared" ca="1" si="94"/>
        <v>#REF!</v>
      </c>
      <c r="M151" s="284" t="e">
        <f t="shared" ca="1" si="95"/>
        <v>#REF!</v>
      </c>
      <c r="N151" s="284" t="e">
        <f t="shared" ca="1" si="96"/>
        <v>#REF!</v>
      </c>
      <c r="O151" s="284" t="e">
        <f t="shared" ca="1" si="107"/>
        <v>#REF!</v>
      </c>
      <c r="P151" s="307" t="e">
        <f t="shared" ca="1" si="97"/>
        <v>#REF!</v>
      </c>
      <c r="Q151" s="284" t="e">
        <f t="shared" ca="1" si="98"/>
        <v>#REF!</v>
      </c>
      <c r="R151" s="307">
        <f t="shared" ca="1" si="99"/>
        <v>0</v>
      </c>
      <c r="S151" s="284" t="e">
        <f t="shared" ca="1" si="100"/>
        <v>#REF!</v>
      </c>
      <c r="T151" s="307" t="e">
        <f t="shared" ca="1" si="101"/>
        <v>#REF!</v>
      </c>
      <c r="U151" s="434" t="e">
        <f t="shared" ca="1" si="102"/>
        <v>#REF!</v>
      </c>
      <c r="V151" s="284" t="e">
        <f t="shared" ca="1" si="105"/>
        <v>#REF!</v>
      </c>
      <c r="W151" s="284" t="e">
        <f t="shared" ca="1" si="106"/>
        <v>#REF!</v>
      </c>
      <c r="X151" s="284" t="e">
        <f t="shared" ca="1" si="103"/>
        <v>#REF!</v>
      </c>
      <c r="Y151" s="284">
        <f t="shared" si="104"/>
        <v>0</v>
      </c>
      <c r="Z151" s="671"/>
    </row>
    <row r="152" spans="2:26" x14ac:dyDescent="0.25">
      <c r="B152" s="185">
        <f t="shared" ca="1" si="86"/>
        <v>2093</v>
      </c>
      <c r="C152" s="102" t="str">
        <f t="shared" si="85"/>
        <v>R</v>
      </c>
      <c r="D152" s="104">
        <f t="shared" ca="1" si="87"/>
        <v>0.10322994992706552</v>
      </c>
      <c r="E152" s="104">
        <f t="shared" si="88"/>
        <v>1</v>
      </c>
      <c r="F152" s="103">
        <f t="shared" si="89"/>
        <v>0</v>
      </c>
      <c r="G152" s="103">
        <f t="shared" si="90"/>
        <v>0</v>
      </c>
      <c r="I152" s="393" t="e">
        <f t="shared" ca="1" si="91"/>
        <v>#REF!</v>
      </c>
      <c r="J152" s="394" t="e">
        <f t="shared" ca="1" si="92"/>
        <v>#REF!</v>
      </c>
      <c r="K152" s="394" t="e">
        <f t="shared" ca="1" si="93"/>
        <v>#REF!</v>
      </c>
      <c r="L152" s="394" t="e">
        <f t="shared" ca="1" si="94"/>
        <v>#REF!</v>
      </c>
      <c r="M152" s="394" t="e">
        <f t="shared" ca="1" si="95"/>
        <v>#REF!</v>
      </c>
      <c r="N152" s="394" t="e">
        <f t="shared" ca="1" si="96"/>
        <v>#REF!</v>
      </c>
      <c r="O152" s="394" t="e">
        <f t="shared" ca="1" si="107"/>
        <v>#REF!</v>
      </c>
      <c r="P152" s="432" t="e">
        <f t="shared" ca="1" si="97"/>
        <v>#REF!</v>
      </c>
      <c r="Q152" s="394" t="e">
        <f t="shared" ca="1" si="98"/>
        <v>#REF!</v>
      </c>
      <c r="R152" s="432">
        <f t="shared" ca="1" si="99"/>
        <v>0</v>
      </c>
      <c r="S152" s="394" t="e">
        <f t="shared" ca="1" si="100"/>
        <v>#REF!</v>
      </c>
      <c r="T152" s="432" t="e">
        <f t="shared" ca="1" si="101"/>
        <v>#REF!</v>
      </c>
      <c r="U152" s="433" t="e">
        <f t="shared" ca="1" si="102"/>
        <v>#REF!</v>
      </c>
      <c r="V152" s="394" t="e">
        <f t="shared" ca="1" si="105"/>
        <v>#REF!</v>
      </c>
      <c r="W152" s="394" t="e">
        <f t="shared" ca="1" si="106"/>
        <v>#REF!</v>
      </c>
      <c r="X152" s="394" t="e">
        <f t="shared" ca="1" si="103"/>
        <v>#REF!</v>
      </c>
      <c r="Y152" s="394">
        <f t="shared" si="104"/>
        <v>0</v>
      </c>
      <c r="Z152" s="671" t="str">
        <f ca="1">IF(ISERROR($X152),"X",IF(-$I152&gt;(SP_DebtLimit/$E152),"I",IF(INDEX(SC_EX_APW,EXIDX1)&lt;1,"D","A")))</f>
        <v>X</v>
      </c>
    </row>
    <row r="153" spans="2:26" x14ac:dyDescent="0.25">
      <c r="B153">
        <f t="shared" ca="1" si="86"/>
        <v>2093</v>
      </c>
      <c r="C153" s="65" t="str">
        <f t="shared" si="85"/>
        <v>N</v>
      </c>
      <c r="D153" s="105">
        <f t="shared" si="87"/>
        <v>1</v>
      </c>
      <c r="E153" s="105">
        <f t="shared" ca="1" si="88"/>
        <v>0.10322994992706552</v>
      </c>
      <c r="F153" s="77">
        <f t="shared" si="89"/>
        <v>0</v>
      </c>
      <c r="G153" s="77">
        <f t="shared" si="90"/>
        <v>0</v>
      </c>
      <c r="I153" s="430" t="e">
        <f t="shared" ca="1" si="91"/>
        <v>#REF!</v>
      </c>
      <c r="J153" s="284" t="e">
        <f t="shared" ca="1" si="92"/>
        <v>#REF!</v>
      </c>
      <c r="K153" s="284" t="e">
        <f t="shared" ca="1" si="93"/>
        <v>#REF!</v>
      </c>
      <c r="L153" s="284" t="e">
        <f t="shared" ca="1" si="94"/>
        <v>#REF!</v>
      </c>
      <c r="M153" s="284" t="e">
        <f t="shared" ca="1" si="95"/>
        <v>#REF!</v>
      </c>
      <c r="N153" s="284" t="e">
        <f t="shared" ca="1" si="96"/>
        <v>#REF!</v>
      </c>
      <c r="O153" s="284" t="e">
        <f t="shared" ca="1" si="107"/>
        <v>#REF!</v>
      </c>
      <c r="P153" s="307" t="e">
        <f t="shared" ca="1" si="97"/>
        <v>#REF!</v>
      </c>
      <c r="Q153" s="284" t="e">
        <f t="shared" ca="1" si="98"/>
        <v>#REF!</v>
      </c>
      <c r="R153" s="307">
        <f t="shared" ca="1" si="99"/>
        <v>0</v>
      </c>
      <c r="S153" s="284" t="e">
        <f t="shared" ca="1" si="100"/>
        <v>#REF!</v>
      </c>
      <c r="T153" s="307" t="e">
        <f t="shared" ca="1" si="101"/>
        <v>#REF!</v>
      </c>
      <c r="U153" s="434" t="e">
        <f t="shared" ca="1" si="102"/>
        <v>#REF!</v>
      </c>
      <c r="V153" s="284" t="e">
        <f t="shared" ca="1" si="105"/>
        <v>#REF!</v>
      </c>
      <c r="W153" s="284" t="e">
        <f t="shared" ca="1" si="106"/>
        <v>#REF!</v>
      </c>
      <c r="X153" s="284" t="e">
        <f t="shared" ca="1" si="103"/>
        <v>#REF!</v>
      </c>
      <c r="Y153" s="284">
        <f t="shared" si="104"/>
        <v>0</v>
      </c>
      <c r="Z153" s="671"/>
    </row>
    <row r="154" spans="2:26" x14ac:dyDescent="0.25">
      <c r="B154" s="185">
        <f t="shared" ca="1" si="86"/>
        <v>2094</v>
      </c>
      <c r="C154" s="102" t="str">
        <f t="shared" si="85"/>
        <v>R</v>
      </c>
      <c r="D154" s="104">
        <f t="shared" ca="1" si="87"/>
        <v>9.9980581043162736E-2</v>
      </c>
      <c r="E154" s="104">
        <f t="shared" si="88"/>
        <v>1</v>
      </c>
      <c r="F154" s="103">
        <f t="shared" si="89"/>
        <v>0</v>
      </c>
      <c r="G154" s="103">
        <f t="shared" si="90"/>
        <v>0</v>
      </c>
      <c r="I154" s="393" t="e">
        <f t="shared" ca="1" si="91"/>
        <v>#REF!</v>
      </c>
      <c r="J154" s="394" t="e">
        <f t="shared" ca="1" si="92"/>
        <v>#REF!</v>
      </c>
      <c r="K154" s="394" t="e">
        <f t="shared" ca="1" si="93"/>
        <v>#REF!</v>
      </c>
      <c r="L154" s="394" t="e">
        <f t="shared" ca="1" si="94"/>
        <v>#REF!</v>
      </c>
      <c r="M154" s="394" t="e">
        <f t="shared" ca="1" si="95"/>
        <v>#REF!</v>
      </c>
      <c r="N154" s="394" t="e">
        <f t="shared" ca="1" si="96"/>
        <v>#REF!</v>
      </c>
      <c r="O154" s="394" t="e">
        <f t="shared" ca="1" si="107"/>
        <v>#REF!</v>
      </c>
      <c r="P154" s="432" t="e">
        <f t="shared" ca="1" si="97"/>
        <v>#REF!</v>
      </c>
      <c r="Q154" s="394" t="e">
        <f t="shared" ca="1" si="98"/>
        <v>#REF!</v>
      </c>
      <c r="R154" s="432">
        <f t="shared" ca="1" si="99"/>
        <v>0</v>
      </c>
      <c r="S154" s="394" t="e">
        <f t="shared" ca="1" si="100"/>
        <v>#REF!</v>
      </c>
      <c r="T154" s="432" t="e">
        <f t="shared" ca="1" si="101"/>
        <v>#REF!</v>
      </c>
      <c r="U154" s="433" t="e">
        <f t="shared" ca="1" si="102"/>
        <v>#REF!</v>
      </c>
      <c r="V154" s="394" t="e">
        <f t="shared" ca="1" si="105"/>
        <v>#REF!</v>
      </c>
      <c r="W154" s="394" t="e">
        <f t="shared" ca="1" si="106"/>
        <v>#REF!</v>
      </c>
      <c r="X154" s="394" t="e">
        <f t="shared" ca="1" si="103"/>
        <v>#REF!</v>
      </c>
      <c r="Y154" s="394">
        <f t="shared" si="104"/>
        <v>0</v>
      </c>
      <c r="Z154" s="671" t="str">
        <f ca="1">IF(ISERROR($X154),"X",IF(-$I154&gt;(SP_DebtLimit/$E154),"I",IF(INDEX(SC_EX_APW,EXIDX1)&lt;1,"D","A")))</f>
        <v>X</v>
      </c>
    </row>
    <row r="155" spans="2:26" x14ac:dyDescent="0.25">
      <c r="B155">
        <f t="shared" ca="1" si="86"/>
        <v>2094</v>
      </c>
      <c r="C155" s="65" t="str">
        <f t="shared" si="85"/>
        <v>N</v>
      </c>
      <c r="D155" s="105">
        <f t="shared" si="87"/>
        <v>1</v>
      </c>
      <c r="E155" s="105">
        <f t="shared" ca="1" si="88"/>
        <v>9.9980581043162736E-2</v>
      </c>
      <c r="F155" s="77">
        <f t="shared" si="89"/>
        <v>0</v>
      </c>
      <c r="G155" s="77">
        <f t="shared" si="90"/>
        <v>0</v>
      </c>
      <c r="I155" s="430" t="e">
        <f t="shared" ca="1" si="91"/>
        <v>#REF!</v>
      </c>
      <c r="J155" s="284" t="e">
        <f t="shared" ca="1" si="92"/>
        <v>#REF!</v>
      </c>
      <c r="K155" s="284" t="e">
        <f t="shared" ca="1" si="93"/>
        <v>#REF!</v>
      </c>
      <c r="L155" s="284" t="e">
        <f t="shared" ca="1" si="94"/>
        <v>#REF!</v>
      </c>
      <c r="M155" s="284" t="e">
        <f t="shared" ca="1" si="95"/>
        <v>#REF!</v>
      </c>
      <c r="N155" s="284" t="e">
        <f t="shared" ca="1" si="96"/>
        <v>#REF!</v>
      </c>
      <c r="O155" s="284" t="e">
        <f t="shared" ca="1" si="107"/>
        <v>#REF!</v>
      </c>
      <c r="P155" s="307" t="e">
        <f t="shared" ca="1" si="97"/>
        <v>#REF!</v>
      </c>
      <c r="Q155" s="284" t="e">
        <f t="shared" ca="1" si="98"/>
        <v>#REF!</v>
      </c>
      <c r="R155" s="307">
        <f t="shared" ca="1" si="99"/>
        <v>0</v>
      </c>
      <c r="S155" s="284" t="e">
        <f t="shared" ca="1" si="100"/>
        <v>#REF!</v>
      </c>
      <c r="T155" s="307" t="e">
        <f t="shared" ca="1" si="101"/>
        <v>#REF!</v>
      </c>
      <c r="U155" s="434" t="e">
        <f t="shared" ca="1" si="102"/>
        <v>#REF!</v>
      </c>
      <c r="V155" s="284" t="e">
        <f t="shared" ca="1" si="105"/>
        <v>#REF!</v>
      </c>
      <c r="W155" s="284" t="e">
        <f t="shared" ca="1" si="106"/>
        <v>#REF!</v>
      </c>
      <c r="X155" s="284" t="e">
        <f t="shared" ca="1" si="103"/>
        <v>#REF!</v>
      </c>
      <c r="Y155" s="284">
        <f t="shared" si="104"/>
        <v>0</v>
      </c>
      <c r="Z155" s="671"/>
    </row>
    <row r="156" spans="2:26" x14ac:dyDescent="0.25">
      <c r="B156" s="185">
        <f t="shared" ca="1" si="86"/>
        <v>2095</v>
      </c>
      <c r="C156" s="102" t="str">
        <f t="shared" si="85"/>
        <v>R</v>
      </c>
      <c r="D156" s="104">
        <f t="shared" ca="1" si="87"/>
        <v>9.683349253575084E-2</v>
      </c>
      <c r="E156" s="104">
        <f t="shared" si="88"/>
        <v>1</v>
      </c>
      <c r="F156" s="103">
        <f t="shared" si="89"/>
        <v>0</v>
      </c>
      <c r="G156" s="103">
        <f t="shared" si="90"/>
        <v>0</v>
      </c>
      <c r="I156" s="393" t="e">
        <f t="shared" ca="1" si="91"/>
        <v>#REF!</v>
      </c>
      <c r="J156" s="394" t="e">
        <f t="shared" ca="1" si="92"/>
        <v>#REF!</v>
      </c>
      <c r="K156" s="394" t="e">
        <f t="shared" ca="1" si="93"/>
        <v>#REF!</v>
      </c>
      <c r="L156" s="394" t="e">
        <f t="shared" ca="1" si="94"/>
        <v>#REF!</v>
      </c>
      <c r="M156" s="394" t="e">
        <f t="shared" ca="1" si="95"/>
        <v>#REF!</v>
      </c>
      <c r="N156" s="394" t="e">
        <f t="shared" ca="1" si="96"/>
        <v>#REF!</v>
      </c>
      <c r="O156" s="394" t="e">
        <f t="shared" ca="1" si="107"/>
        <v>#REF!</v>
      </c>
      <c r="P156" s="432" t="e">
        <f t="shared" ca="1" si="97"/>
        <v>#REF!</v>
      </c>
      <c r="Q156" s="394" t="e">
        <f t="shared" ca="1" si="98"/>
        <v>#REF!</v>
      </c>
      <c r="R156" s="432">
        <f t="shared" ca="1" si="99"/>
        <v>0</v>
      </c>
      <c r="S156" s="394" t="e">
        <f t="shared" ca="1" si="100"/>
        <v>#REF!</v>
      </c>
      <c r="T156" s="432" t="e">
        <f t="shared" ca="1" si="101"/>
        <v>#REF!</v>
      </c>
      <c r="U156" s="433" t="e">
        <f t="shared" ca="1" si="102"/>
        <v>#REF!</v>
      </c>
      <c r="V156" s="394" t="e">
        <f t="shared" ca="1" si="105"/>
        <v>#REF!</v>
      </c>
      <c r="W156" s="394" t="e">
        <f t="shared" ca="1" si="106"/>
        <v>#REF!</v>
      </c>
      <c r="X156" s="394" t="e">
        <f t="shared" ca="1" si="103"/>
        <v>#REF!</v>
      </c>
      <c r="Y156" s="394">
        <f t="shared" si="104"/>
        <v>0</v>
      </c>
      <c r="Z156" s="671" t="str">
        <f ca="1">IF(ISERROR($X156),"X",IF(-$I156&gt;(SP_DebtLimit/$E156),"I",IF(INDEX(SC_EX_APW,EXIDX1)&lt;1,"D","A")))</f>
        <v>X</v>
      </c>
    </row>
    <row r="157" spans="2:26" x14ac:dyDescent="0.25">
      <c r="B157">
        <f t="shared" ca="1" si="86"/>
        <v>2095</v>
      </c>
      <c r="C157" s="65" t="str">
        <f t="shared" si="85"/>
        <v>N</v>
      </c>
      <c r="D157" s="105">
        <f t="shared" si="87"/>
        <v>1</v>
      </c>
      <c r="E157" s="105">
        <f t="shared" ca="1" si="88"/>
        <v>9.683349253575084E-2</v>
      </c>
      <c r="F157" s="77">
        <f t="shared" si="89"/>
        <v>0</v>
      </c>
      <c r="G157" s="77">
        <f t="shared" si="90"/>
        <v>0</v>
      </c>
      <c r="I157" s="430" t="e">
        <f t="shared" ca="1" si="91"/>
        <v>#REF!</v>
      </c>
      <c r="J157" s="284" t="e">
        <f t="shared" ca="1" si="92"/>
        <v>#REF!</v>
      </c>
      <c r="K157" s="284" t="e">
        <f t="shared" ca="1" si="93"/>
        <v>#REF!</v>
      </c>
      <c r="L157" s="284" t="e">
        <f t="shared" ca="1" si="94"/>
        <v>#REF!</v>
      </c>
      <c r="M157" s="284" t="e">
        <f t="shared" ca="1" si="95"/>
        <v>#REF!</v>
      </c>
      <c r="N157" s="284" t="e">
        <f t="shared" ca="1" si="96"/>
        <v>#REF!</v>
      </c>
      <c r="O157" s="284" t="e">
        <f t="shared" ca="1" si="107"/>
        <v>#REF!</v>
      </c>
      <c r="P157" s="307" t="e">
        <f t="shared" ca="1" si="97"/>
        <v>#REF!</v>
      </c>
      <c r="Q157" s="284" t="e">
        <f t="shared" ca="1" si="98"/>
        <v>#REF!</v>
      </c>
      <c r="R157" s="307">
        <f t="shared" ca="1" si="99"/>
        <v>0</v>
      </c>
      <c r="S157" s="284" t="e">
        <f t="shared" ca="1" si="100"/>
        <v>#REF!</v>
      </c>
      <c r="T157" s="307" t="e">
        <f t="shared" ca="1" si="101"/>
        <v>#REF!</v>
      </c>
      <c r="U157" s="434" t="e">
        <f t="shared" ca="1" si="102"/>
        <v>#REF!</v>
      </c>
      <c r="V157" s="284" t="e">
        <f t="shared" ca="1" si="105"/>
        <v>#REF!</v>
      </c>
      <c r="W157" s="284" t="e">
        <f t="shared" ca="1" si="106"/>
        <v>#REF!</v>
      </c>
      <c r="X157" s="284" t="e">
        <f t="shared" ca="1" si="103"/>
        <v>#REF!</v>
      </c>
      <c r="Y157" s="284">
        <f t="shared" si="104"/>
        <v>0</v>
      </c>
      <c r="Z157" s="671"/>
    </row>
    <row r="158" spans="2:26" x14ac:dyDescent="0.25">
      <c r="B158" s="185">
        <f t="shared" ca="1" si="86"/>
        <v>2096</v>
      </c>
      <c r="C158" s="102" t="str">
        <f t="shared" si="85"/>
        <v>R</v>
      </c>
      <c r="D158" s="104">
        <f t="shared" ca="1" si="87"/>
        <v>9.3785464925666667E-2</v>
      </c>
      <c r="E158" s="104">
        <f t="shared" si="88"/>
        <v>1</v>
      </c>
      <c r="F158" s="103">
        <f t="shared" si="89"/>
        <v>0</v>
      </c>
      <c r="G158" s="103">
        <f t="shared" si="90"/>
        <v>0</v>
      </c>
      <c r="I158" s="393" t="e">
        <f t="shared" ca="1" si="91"/>
        <v>#REF!</v>
      </c>
      <c r="J158" s="394" t="e">
        <f t="shared" ca="1" si="92"/>
        <v>#REF!</v>
      </c>
      <c r="K158" s="394" t="e">
        <f t="shared" ca="1" si="93"/>
        <v>#REF!</v>
      </c>
      <c r="L158" s="394" t="e">
        <f t="shared" ca="1" si="94"/>
        <v>#REF!</v>
      </c>
      <c r="M158" s="394" t="e">
        <f t="shared" ca="1" si="95"/>
        <v>#REF!</v>
      </c>
      <c r="N158" s="394" t="e">
        <f t="shared" ca="1" si="96"/>
        <v>#REF!</v>
      </c>
      <c r="O158" s="394" t="e">
        <f t="shared" ca="1" si="107"/>
        <v>#REF!</v>
      </c>
      <c r="P158" s="432" t="e">
        <f t="shared" ca="1" si="97"/>
        <v>#REF!</v>
      </c>
      <c r="Q158" s="394" t="e">
        <f t="shared" ca="1" si="98"/>
        <v>#REF!</v>
      </c>
      <c r="R158" s="432">
        <f t="shared" ca="1" si="99"/>
        <v>0</v>
      </c>
      <c r="S158" s="394" t="e">
        <f t="shared" ca="1" si="100"/>
        <v>#REF!</v>
      </c>
      <c r="T158" s="432" t="e">
        <f t="shared" ca="1" si="101"/>
        <v>#REF!</v>
      </c>
      <c r="U158" s="433" t="e">
        <f t="shared" ca="1" si="102"/>
        <v>#REF!</v>
      </c>
      <c r="V158" s="394" t="e">
        <f t="shared" ca="1" si="105"/>
        <v>#REF!</v>
      </c>
      <c r="W158" s="394" t="e">
        <f t="shared" ca="1" si="106"/>
        <v>#REF!</v>
      </c>
      <c r="X158" s="394" t="e">
        <f t="shared" ca="1" si="103"/>
        <v>#REF!</v>
      </c>
      <c r="Y158" s="394">
        <f t="shared" si="104"/>
        <v>0</v>
      </c>
      <c r="Z158" s="671" t="str">
        <f ca="1">IF(ISERROR($X158),"X",IF(-$I158&gt;(SP_DebtLimit/$E158),"I",IF(INDEX(SC_EX_APW,EXIDX1)&lt;1,"D","A")))</f>
        <v>X</v>
      </c>
    </row>
    <row r="159" spans="2:26" x14ac:dyDescent="0.25">
      <c r="B159">
        <f t="shared" ca="1" si="86"/>
        <v>2096</v>
      </c>
      <c r="C159" s="65" t="str">
        <f t="shared" si="85"/>
        <v>N</v>
      </c>
      <c r="D159" s="105">
        <f t="shared" si="87"/>
        <v>1</v>
      </c>
      <c r="E159" s="105">
        <f t="shared" ca="1" si="88"/>
        <v>9.3785464925666667E-2</v>
      </c>
      <c r="F159" s="77">
        <f t="shared" si="89"/>
        <v>0</v>
      </c>
      <c r="G159" s="77">
        <f t="shared" si="90"/>
        <v>0</v>
      </c>
      <c r="I159" s="430" t="e">
        <f t="shared" ca="1" si="91"/>
        <v>#REF!</v>
      </c>
      <c r="J159" s="284" t="e">
        <f t="shared" ca="1" si="92"/>
        <v>#REF!</v>
      </c>
      <c r="K159" s="284" t="e">
        <f t="shared" ca="1" si="93"/>
        <v>#REF!</v>
      </c>
      <c r="L159" s="284" t="e">
        <f t="shared" ca="1" si="94"/>
        <v>#REF!</v>
      </c>
      <c r="M159" s="284" t="e">
        <f t="shared" ca="1" si="95"/>
        <v>#REF!</v>
      </c>
      <c r="N159" s="284" t="e">
        <f t="shared" ca="1" si="96"/>
        <v>#REF!</v>
      </c>
      <c r="O159" s="284" t="e">
        <f t="shared" ca="1" si="107"/>
        <v>#REF!</v>
      </c>
      <c r="P159" s="307" t="e">
        <f t="shared" ca="1" si="97"/>
        <v>#REF!</v>
      </c>
      <c r="Q159" s="284" t="e">
        <f t="shared" ca="1" si="98"/>
        <v>#REF!</v>
      </c>
      <c r="R159" s="307">
        <f t="shared" ca="1" si="99"/>
        <v>0</v>
      </c>
      <c r="S159" s="284" t="e">
        <f t="shared" ca="1" si="100"/>
        <v>#REF!</v>
      </c>
      <c r="T159" s="307" t="e">
        <f t="shared" ca="1" si="101"/>
        <v>#REF!</v>
      </c>
      <c r="U159" s="434" t="e">
        <f t="shared" ca="1" si="102"/>
        <v>#REF!</v>
      </c>
      <c r="V159" s="284" t="e">
        <f t="shared" ca="1" si="105"/>
        <v>#REF!</v>
      </c>
      <c r="W159" s="284" t="e">
        <f t="shared" ca="1" si="106"/>
        <v>#REF!</v>
      </c>
      <c r="X159" s="284" t="e">
        <f t="shared" ca="1" si="103"/>
        <v>#REF!</v>
      </c>
      <c r="Y159" s="284">
        <f t="shared" si="104"/>
        <v>0</v>
      </c>
      <c r="Z159" s="671"/>
    </row>
    <row r="160" spans="2:26" x14ac:dyDescent="0.25">
      <c r="B160" s="185">
        <f t="shared" ca="1" si="86"/>
        <v>2097</v>
      </c>
      <c r="C160" s="102" t="str">
        <f t="shared" si="85"/>
        <v>R</v>
      </c>
      <c r="D160" s="104">
        <f t="shared" ca="1" si="87"/>
        <v>9.0833380073284911E-2</v>
      </c>
      <c r="E160" s="104">
        <f t="shared" si="88"/>
        <v>1</v>
      </c>
      <c r="F160" s="103">
        <f t="shared" si="89"/>
        <v>0</v>
      </c>
      <c r="G160" s="103">
        <f t="shared" si="90"/>
        <v>0</v>
      </c>
      <c r="I160" s="393" t="e">
        <f t="shared" ca="1" si="91"/>
        <v>#REF!</v>
      </c>
      <c r="J160" s="394" t="e">
        <f t="shared" ca="1" si="92"/>
        <v>#REF!</v>
      </c>
      <c r="K160" s="394" t="e">
        <f t="shared" ca="1" si="93"/>
        <v>#REF!</v>
      </c>
      <c r="L160" s="394" t="e">
        <f t="shared" ca="1" si="94"/>
        <v>#REF!</v>
      </c>
      <c r="M160" s="394" t="e">
        <f t="shared" ca="1" si="95"/>
        <v>#REF!</v>
      </c>
      <c r="N160" s="394" t="e">
        <f t="shared" ca="1" si="96"/>
        <v>#REF!</v>
      </c>
      <c r="O160" s="394" t="e">
        <f t="shared" ca="1" si="107"/>
        <v>#REF!</v>
      </c>
      <c r="P160" s="432" t="e">
        <f t="shared" ca="1" si="97"/>
        <v>#REF!</v>
      </c>
      <c r="Q160" s="394" t="e">
        <f t="shared" ca="1" si="98"/>
        <v>#REF!</v>
      </c>
      <c r="R160" s="432">
        <f t="shared" ca="1" si="99"/>
        <v>0</v>
      </c>
      <c r="S160" s="394" t="e">
        <f t="shared" ca="1" si="100"/>
        <v>#REF!</v>
      </c>
      <c r="T160" s="432" t="e">
        <f t="shared" ca="1" si="101"/>
        <v>#REF!</v>
      </c>
      <c r="U160" s="433" t="e">
        <f t="shared" ca="1" si="102"/>
        <v>#REF!</v>
      </c>
      <c r="V160" s="394" t="e">
        <f t="shared" ca="1" si="105"/>
        <v>#REF!</v>
      </c>
      <c r="W160" s="394" t="e">
        <f t="shared" ca="1" si="106"/>
        <v>#REF!</v>
      </c>
      <c r="X160" s="394" t="e">
        <f t="shared" ca="1" si="103"/>
        <v>#REF!</v>
      </c>
      <c r="Y160" s="394">
        <f t="shared" si="104"/>
        <v>0</v>
      </c>
      <c r="Z160" s="671" t="str">
        <f ca="1">IF(ISERROR($X160),"X",IF(-$I160&gt;(SP_DebtLimit/$E160),"I",IF(INDEX(SC_EX_APW,EXIDX1)&lt;1,"D","A")))</f>
        <v>X</v>
      </c>
    </row>
    <row r="161" spans="2:26" x14ac:dyDescent="0.25">
      <c r="B161">
        <f t="shared" ca="1" si="86"/>
        <v>2097</v>
      </c>
      <c r="C161" s="65" t="str">
        <f t="shared" si="85"/>
        <v>N</v>
      </c>
      <c r="D161" s="105">
        <f t="shared" si="87"/>
        <v>1</v>
      </c>
      <c r="E161" s="105">
        <f t="shared" ca="1" si="88"/>
        <v>9.0833380073284911E-2</v>
      </c>
      <c r="F161" s="77">
        <f t="shared" si="89"/>
        <v>0</v>
      </c>
      <c r="G161" s="77">
        <f t="shared" si="90"/>
        <v>0</v>
      </c>
      <c r="I161" s="430" t="e">
        <f t="shared" ca="1" si="91"/>
        <v>#REF!</v>
      </c>
      <c r="J161" s="284" t="e">
        <f t="shared" ca="1" si="92"/>
        <v>#REF!</v>
      </c>
      <c r="K161" s="284" t="e">
        <f t="shared" ca="1" si="93"/>
        <v>#REF!</v>
      </c>
      <c r="L161" s="284" t="e">
        <f t="shared" ca="1" si="94"/>
        <v>#REF!</v>
      </c>
      <c r="M161" s="284" t="e">
        <f t="shared" ca="1" si="95"/>
        <v>#REF!</v>
      </c>
      <c r="N161" s="284" t="e">
        <f t="shared" ca="1" si="96"/>
        <v>#REF!</v>
      </c>
      <c r="O161" s="284" t="e">
        <f t="shared" ca="1" si="107"/>
        <v>#REF!</v>
      </c>
      <c r="P161" s="307" t="e">
        <f t="shared" ca="1" si="97"/>
        <v>#REF!</v>
      </c>
      <c r="Q161" s="284" t="e">
        <f t="shared" ca="1" si="98"/>
        <v>#REF!</v>
      </c>
      <c r="R161" s="307">
        <f t="shared" ca="1" si="99"/>
        <v>0</v>
      </c>
      <c r="S161" s="284" t="e">
        <f t="shared" ca="1" si="100"/>
        <v>#REF!</v>
      </c>
      <c r="T161" s="307" t="e">
        <f t="shared" ca="1" si="101"/>
        <v>#REF!</v>
      </c>
      <c r="U161" s="434" t="e">
        <f t="shared" ca="1" si="102"/>
        <v>#REF!</v>
      </c>
      <c r="V161" s="284" t="e">
        <f t="shared" ca="1" si="105"/>
        <v>#REF!</v>
      </c>
      <c r="W161" s="284" t="e">
        <f t="shared" ca="1" si="106"/>
        <v>#REF!</v>
      </c>
      <c r="X161" s="284" t="e">
        <f t="shared" ca="1" si="103"/>
        <v>#REF!</v>
      </c>
      <c r="Y161" s="284">
        <f t="shared" si="104"/>
        <v>0</v>
      </c>
      <c r="Z161" s="671"/>
    </row>
    <row r="162" spans="2:26" x14ac:dyDescent="0.25">
      <c r="B162" s="185">
        <f t="shared" ca="1" si="86"/>
        <v>2098</v>
      </c>
      <c r="C162" s="102" t="str">
        <f t="shared" si="85"/>
        <v>R</v>
      </c>
      <c r="D162" s="104">
        <f t="shared" ca="1" si="87"/>
        <v>8.797421798865368E-2</v>
      </c>
      <c r="E162" s="104">
        <f t="shared" si="88"/>
        <v>1</v>
      </c>
      <c r="F162" s="103">
        <f t="shared" si="89"/>
        <v>0</v>
      </c>
      <c r="G162" s="103">
        <f t="shared" si="90"/>
        <v>0</v>
      </c>
      <c r="I162" s="393" t="e">
        <f t="shared" ca="1" si="91"/>
        <v>#REF!</v>
      </c>
      <c r="J162" s="394" t="e">
        <f t="shared" ca="1" si="92"/>
        <v>#REF!</v>
      </c>
      <c r="K162" s="394" t="e">
        <f t="shared" ca="1" si="93"/>
        <v>#REF!</v>
      </c>
      <c r="L162" s="394" t="e">
        <f t="shared" ca="1" si="94"/>
        <v>#REF!</v>
      </c>
      <c r="M162" s="394" t="e">
        <f t="shared" ca="1" si="95"/>
        <v>#REF!</v>
      </c>
      <c r="N162" s="394" t="e">
        <f t="shared" ca="1" si="96"/>
        <v>#REF!</v>
      </c>
      <c r="O162" s="394" t="e">
        <f t="shared" ca="1" si="107"/>
        <v>#REF!</v>
      </c>
      <c r="P162" s="432" t="e">
        <f t="shared" ca="1" si="97"/>
        <v>#REF!</v>
      </c>
      <c r="Q162" s="394" t="e">
        <f t="shared" ca="1" si="98"/>
        <v>#REF!</v>
      </c>
      <c r="R162" s="432">
        <f t="shared" ca="1" si="99"/>
        <v>0</v>
      </c>
      <c r="S162" s="394" t="e">
        <f t="shared" ca="1" si="100"/>
        <v>#REF!</v>
      </c>
      <c r="T162" s="432" t="e">
        <f t="shared" ca="1" si="101"/>
        <v>#REF!</v>
      </c>
      <c r="U162" s="433" t="e">
        <f t="shared" ca="1" si="102"/>
        <v>#REF!</v>
      </c>
      <c r="V162" s="394" t="e">
        <f t="shared" ca="1" si="105"/>
        <v>#REF!</v>
      </c>
      <c r="W162" s="394" t="e">
        <f t="shared" ca="1" si="106"/>
        <v>#REF!</v>
      </c>
      <c r="X162" s="394" t="e">
        <f t="shared" ca="1" si="103"/>
        <v>#REF!</v>
      </c>
      <c r="Y162" s="394">
        <f t="shared" si="104"/>
        <v>0</v>
      </c>
      <c r="Z162" s="671" t="str">
        <f ca="1">IF(ISERROR($X162),"X",IF(-$I162&gt;(SP_DebtLimit/$E162),"I",IF(INDEX(SC_EX_APW,EXIDX1)&lt;1,"D","A")))</f>
        <v>X</v>
      </c>
    </row>
    <row r="163" spans="2:26" x14ac:dyDescent="0.25">
      <c r="B163">
        <f t="shared" ca="1" si="86"/>
        <v>2098</v>
      </c>
      <c r="C163" s="65" t="str">
        <f t="shared" si="85"/>
        <v>N</v>
      </c>
      <c r="D163" s="105">
        <f t="shared" si="87"/>
        <v>1</v>
      </c>
      <c r="E163" s="105">
        <f t="shared" ca="1" si="88"/>
        <v>8.797421798865368E-2</v>
      </c>
      <c r="F163" s="77">
        <f t="shared" si="89"/>
        <v>0</v>
      </c>
      <c r="G163" s="77">
        <f t="shared" si="90"/>
        <v>0</v>
      </c>
      <c r="I163" s="430" t="e">
        <f t="shared" ca="1" si="91"/>
        <v>#REF!</v>
      </c>
      <c r="J163" s="284" t="e">
        <f t="shared" ca="1" si="92"/>
        <v>#REF!</v>
      </c>
      <c r="K163" s="284" t="e">
        <f t="shared" ca="1" si="93"/>
        <v>#REF!</v>
      </c>
      <c r="L163" s="284" t="e">
        <f t="shared" ca="1" si="94"/>
        <v>#REF!</v>
      </c>
      <c r="M163" s="284" t="e">
        <f t="shared" ca="1" si="95"/>
        <v>#REF!</v>
      </c>
      <c r="N163" s="284" t="e">
        <f t="shared" ca="1" si="96"/>
        <v>#REF!</v>
      </c>
      <c r="O163" s="284" t="e">
        <f t="shared" ca="1" si="107"/>
        <v>#REF!</v>
      </c>
      <c r="P163" s="307" t="e">
        <f t="shared" ca="1" si="97"/>
        <v>#REF!</v>
      </c>
      <c r="Q163" s="284" t="e">
        <f t="shared" ca="1" si="98"/>
        <v>#REF!</v>
      </c>
      <c r="R163" s="307">
        <f t="shared" ca="1" si="99"/>
        <v>0</v>
      </c>
      <c r="S163" s="284" t="e">
        <f t="shared" ca="1" si="100"/>
        <v>#REF!</v>
      </c>
      <c r="T163" s="307" t="e">
        <f t="shared" ca="1" si="101"/>
        <v>#REF!</v>
      </c>
      <c r="U163" s="434" t="e">
        <f t="shared" ca="1" si="102"/>
        <v>#REF!</v>
      </c>
      <c r="V163" s="284" t="e">
        <f t="shared" ca="1" si="105"/>
        <v>#REF!</v>
      </c>
      <c r="W163" s="284" t="e">
        <f t="shared" ca="1" si="106"/>
        <v>#REF!</v>
      </c>
      <c r="X163" s="284" t="e">
        <f t="shared" ca="1" si="103"/>
        <v>#REF!</v>
      </c>
      <c r="Y163" s="284">
        <f t="shared" si="104"/>
        <v>0</v>
      </c>
      <c r="Z163" s="671"/>
    </row>
    <row r="164" spans="2:26" x14ac:dyDescent="0.25">
      <c r="B164" s="185">
        <f t="shared" ca="1" si="86"/>
        <v>2099</v>
      </c>
      <c r="C164" s="102" t="str">
        <f t="shared" si="85"/>
        <v>R</v>
      </c>
      <c r="D164" s="104">
        <f t="shared" ca="1" si="87"/>
        <v>8.5205053742037462E-2</v>
      </c>
      <c r="E164" s="104">
        <f t="shared" si="88"/>
        <v>1</v>
      </c>
      <c r="F164" s="103">
        <f t="shared" si="89"/>
        <v>0</v>
      </c>
      <c r="G164" s="103">
        <f t="shared" si="90"/>
        <v>0</v>
      </c>
      <c r="I164" s="393" t="e">
        <f t="shared" ca="1" si="91"/>
        <v>#REF!</v>
      </c>
      <c r="J164" s="394" t="e">
        <f t="shared" ca="1" si="92"/>
        <v>#REF!</v>
      </c>
      <c r="K164" s="394" t="e">
        <f t="shared" ca="1" si="93"/>
        <v>#REF!</v>
      </c>
      <c r="L164" s="394" t="e">
        <f t="shared" ca="1" si="94"/>
        <v>#REF!</v>
      </c>
      <c r="M164" s="394" t="e">
        <f t="shared" ca="1" si="95"/>
        <v>#REF!</v>
      </c>
      <c r="N164" s="394" t="e">
        <f t="shared" ca="1" si="96"/>
        <v>#REF!</v>
      </c>
      <c r="O164" s="394" t="e">
        <f t="shared" ca="1" si="107"/>
        <v>#REF!</v>
      </c>
      <c r="P164" s="432" t="e">
        <f t="shared" ca="1" si="97"/>
        <v>#REF!</v>
      </c>
      <c r="Q164" s="394" t="e">
        <f t="shared" ca="1" si="98"/>
        <v>#REF!</v>
      </c>
      <c r="R164" s="432">
        <f t="shared" ca="1" si="99"/>
        <v>0</v>
      </c>
      <c r="S164" s="394" t="e">
        <f t="shared" ca="1" si="100"/>
        <v>#REF!</v>
      </c>
      <c r="T164" s="432" t="e">
        <f t="shared" ca="1" si="101"/>
        <v>#REF!</v>
      </c>
      <c r="U164" s="433" t="e">
        <f t="shared" ca="1" si="102"/>
        <v>#REF!</v>
      </c>
      <c r="V164" s="394" t="e">
        <f t="shared" ca="1" si="105"/>
        <v>#REF!</v>
      </c>
      <c r="W164" s="394" t="e">
        <f t="shared" ca="1" si="106"/>
        <v>#REF!</v>
      </c>
      <c r="X164" s="394" t="e">
        <f t="shared" ca="1" si="103"/>
        <v>#REF!</v>
      </c>
      <c r="Y164" s="394">
        <f t="shared" si="104"/>
        <v>0</v>
      </c>
      <c r="Z164" s="671" t="str">
        <f ca="1">IF(ISERROR($X164),"X",IF(-$I164&gt;(SP_DebtLimit/$E164),"I",IF(INDEX(SC_EX_APW,EXIDX1)&lt;1,"D","A")))</f>
        <v>X</v>
      </c>
    </row>
    <row r="165" spans="2:26" x14ac:dyDescent="0.25">
      <c r="B165">
        <f t="shared" ca="1" si="86"/>
        <v>2099</v>
      </c>
      <c r="C165" s="65" t="str">
        <f t="shared" si="85"/>
        <v>N</v>
      </c>
      <c r="D165" s="105">
        <f t="shared" si="87"/>
        <v>1</v>
      </c>
      <c r="E165" s="105">
        <f t="shared" ca="1" si="88"/>
        <v>8.5205053742037462E-2</v>
      </c>
      <c r="F165" s="77">
        <f t="shared" si="89"/>
        <v>0</v>
      </c>
      <c r="G165" s="77">
        <f t="shared" si="90"/>
        <v>0</v>
      </c>
      <c r="I165" s="430" t="e">
        <f t="shared" ca="1" si="91"/>
        <v>#REF!</v>
      </c>
      <c r="J165" s="284" t="e">
        <f t="shared" ca="1" si="92"/>
        <v>#REF!</v>
      </c>
      <c r="K165" s="284" t="e">
        <f t="shared" ca="1" si="93"/>
        <v>#REF!</v>
      </c>
      <c r="L165" s="284" t="e">
        <f t="shared" ca="1" si="94"/>
        <v>#REF!</v>
      </c>
      <c r="M165" s="284" t="e">
        <f t="shared" ca="1" si="95"/>
        <v>#REF!</v>
      </c>
      <c r="N165" s="284" t="e">
        <f t="shared" ca="1" si="96"/>
        <v>#REF!</v>
      </c>
      <c r="O165" s="284" t="e">
        <f t="shared" ca="1" si="107"/>
        <v>#REF!</v>
      </c>
      <c r="P165" s="307" t="e">
        <f t="shared" ca="1" si="97"/>
        <v>#REF!</v>
      </c>
      <c r="Q165" s="284" t="e">
        <f t="shared" ca="1" si="98"/>
        <v>#REF!</v>
      </c>
      <c r="R165" s="307">
        <f t="shared" ca="1" si="99"/>
        <v>0</v>
      </c>
      <c r="S165" s="284" t="e">
        <f t="shared" ca="1" si="100"/>
        <v>#REF!</v>
      </c>
      <c r="T165" s="307" t="e">
        <f t="shared" ca="1" si="101"/>
        <v>#REF!</v>
      </c>
      <c r="U165" s="434" t="e">
        <f t="shared" ca="1" si="102"/>
        <v>#REF!</v>
      </c>
      <c r="V165" s="284" t="e">
        <f t="shared" ca="1" si="105"/>
        <v>#REF!</v>
      </c>
      <c r="W165" s="284" t="e">
        <f t="shared" ca="1" si="106"/>
        <v>#REF!</v>
      </c>
      <c r="X165" s="284" t="e">
        <f t="shared" ca="1" si="103"/>
        <v>#REF!</v>
      </c>
      <c r="Y165" s="284">
        <f t="shared" si="104"/>
        <v>0</v>
      </c>
      <c r="Z165" s="671"/>
    </row>
    <row r="166" spans="2:26" x14ac:dyDescent="0.25">
      <c r="B166" s="185">
        <f t="shared" ca="1" si="86"/>
        <v>2100</v>
      </c>
      <c r="C166" s="102" t="str">
        <f t="shared" si="85"/>
        <v>R</v>
      </c>
      <c r="D166" s="104">
        <f t="shared" ca="1" si="87"/>
        <v>8.2523054471706977E-2</v>
      </c>
      <c r="E166" s="104">
        <f t="shared" si="88"/>
        <v>1</v>
      </c>
      <c r="F166" s="103">
        <f t="shared" si="89"/>
        <v>0</v>
      </c>
      <c r="G166" s="103">
        <f t="shared" si="90"/>
        <v>0</v>
      </c>
      <c r="I166" s="393" t="e">
        <f t="shared" ca="1" si="91"/>
        <v>#REF!</v>
      </c>
      <c r="J166" s="394" t="e">
        <f t="shared" ca="1" si="92"/>
        <v>#REF!</v>
      </c>
      <c r="K166" s="394" t="e">
        <f t="shared" ca="1" si="93"/>
        <v>#REF!</v>
      </c>
      <c r="L166" s="394" t="e">
        <f t="shared" ca="1" si="94"/>
        <v>#REF!</v>
      </c>
      <c r="M166" s="394" t="e">
        <f t="shared" ca="1" si="95"/>
        <v>#REF!</v>
      </c>
      <c r="N166" s="394" t="e">
        <f t="shared" ca="1" si="96"/>
        <v>#REF!</v>
      </c>
      <c r="O166" s="394" t="e">
        <f t="shared" ca="1" si="107"/>
        <v>#REF!</v>
      </c>
      <c r="P166" s="432" t="e">
        <f t="shared" ca="1" si="97"/>
        <v>#REF!</v>
      </c>
      <c r="Q166" s="394" t="e">
        <f t="shared" ca="1" si="98"/>
        <v>#REF!</v>
      </c>
      <c r="R166" s="432">
        <f t="shared" ca="1" si="99"/>
        <v>0</v>
      </c>
      <c r="S166" s="394" t="e">
        <f t="shared" ca="1" si="100"/>
        <v>#REF!</v>
      </c>
      <c r="T166" s="432" t="e">
        <f t="shared" ca="1" si="101"/>
        <v>#REF!</v>
      </c>
      <c r="U166" s="433" t="e">
        <f t="shared" ca="1" si="102"/>
        <v>#REF!</v>
      </c>
      <c r="V166" s="394" t="e">
        <f t="shared" ca="1" si="105"/>
        <v>#REF!</v>
      </c>
      <c r="W166" s="394" t="e">
        <f t="shared" ca="1" si="106"/>
        <v>#REF!</v>
      </c>
      <c r="X166" s="394" t="e">
        <f t="shared" ca="1" si="103"/>
        <v>#REF!</v>
      </c>
      <c r="Y166" s="394">
        <f t="shared" si="104"/>
        <v>0</v>
      </c>
      <c r="Z166" s="671" t="str">
        <f ca="1">IF(ISERROR($X166),"X",IF(-$I166&gt;(SP_DebtLimit/$E166),"I",IF(INDEX(SC_EX_APW,EXIDX1)&lt;1,"D","A")))</f>
        <v>X</v>
      </c>
    </row>
    <row r="167" spans="2:26" x14ac:dyDescent="0.25">
      <c r="B167">
        <f t="shared" ca="1" si="86"/>
        <v>2100</v>
      </c>
      <c r="C167" s="65" t="str">
        <f t="shared" si="85"/>
        <v>N</v>
      </c>
      <c r="D167" s="105">
        <f t="shared" si="87"/>
        <v>1</v>
      </c>
      <c r="E167" s="105">
        <f t="shared" ca="1" si="88"/>
        <v>8.2523054471706977E-2</v>
      </c>
      <c r="F167" s="77">
        <f t="shared" si="89"/>
        <v>0</v>
      </c>
      <c r="G167" s="77">
        <f t="shared" si="90"/>
        <v>0</v>
      </c>
      <c r="I167" s="430" t="e">
        <f t="shared" ca="1" si="91"/>
        <v>#REF!</v>
      </c>
      <c r="J167" s="284" t="e">
        <f t="shared" ca="1" si="92"/>
        <v>#REF!</v>
      </c>
      <c r="K167" s="284" t="e">
        <f t="shared" ca="1" si="93"/>
        <v>#REF!</v>
      </c>
      <c r="L167" s="284" t="e">
        <f t="shared" ca="1" si="94"/>
        <v>#REF!</v>
      </c>
      <c r="M167" s="284" t="e">
        <f t="shared" ca="1" si="95"/>
        <v>#REF!</v>
      </c>
      <c r="N167" s="284" t="e">
        <f t="shared" ca="1" si="96"/>
        <v>#REF!</v>
      </c>
      <c r="O167" s="284" t="e">
        <f t="shared" ca="1" si="107"/>
        <v>#REF!</v>
      </c>
      <c r="P167" s="307" t="e">
        <f t="shared" ca="1" si="97"/>
        <v>#REF!</v>
      </c>
      <c r="Q167" s="284" t="e">
        <f t="shared" ca="1" si="98"/>
        <v>#REF!</v>
      </c>
      <c r="R167" s="307">
        <f t="shared" ca="1" si="99"/>
        <v>0</v>
      </c>
      <c r="S167" s="284" t="e">
        <f t="shared" ca="1" si="100"/>
        <v>#REF!</v>
      </c>
      <c r="T167" s="307" t="e">
        <f t="shared" ca="1" si="101"/>
        <v>#REF!</v>
      </c>
      <c r="U167" s="434" t="e">
        <f t="shared" ca="1" si="102"/>
        <v>#REF!</v>
      </c>
      <c r="V167" s="284" t="e">
        <f t="shared" ca="1" si="105"/>
        <v>#REF!</v>
      </c>
      <c r="W167" s="284" t="e">
        <f t="shared" ca="1" si="106"/>
        <v>#REF!</v>
      </c>
      <c r="X167" s="284" t="e">
        <f t="shared" ca="1" si="103"/>
        <v>#REF!</v>
      </c>
      <c r="Y167" s="284">
        <f t="shared" si="104"/>
        <v>0</v>
      </c>
      <c r="Z167" s="671"/>
    </row>
    <row r="168" spans="2:26" x14ac:dyDescent="0.25">
      <c r="B168" s="185">
        <f t="shared" ca="1" si="86"/>
        <v>2101</v>
      </c>
      <c r="C168" s="102" t="str">
        <f t="shared" si="85"/>
        <v>R</v>
      </c>
      <c r="D168" s="104">
        <f t="shared" ca="1" si="87"/>
        <v>7.9925476485914748E-2</v>
      </c>
      <c r="E168" s="104">
        <f t="shared" si="88"/>
        <v>1</v>
      </c>
      <c r="F168" s="103">
        <f t="shared" si="89"/>
        <v>0</v>
      </c>
      <c r="G168" s="103">
        <f t="shared" si="90"/>
        <v>0</v>
      </c>
      <c r="I168" s="393" t="e">
        <f t="shared" ca="1" si="91"/>
        <v>#REF!</v>
      </c>
      <c r="J168" s="394" t="e">
        <f t="shared" ca="1" si="92"/>
        <v>#REF!</v>
      </c>
      <c r="K168" s="394" t="e">
        <f t="shared" ca="1" si="93"/>
        <v>#REF!</v>
      </c>
      <c r="L168" s="394" t="e">
        <f t="shared" ca="1" si="94"/>
        <v>#REF!</v>
      </c>
      <c r="M168" s="394" t="e">
        <f t="shared" ca="1" si="95"/>
        <v>#REF!</v>
      </c>
      <c r="N168" s="394" t="e">
        <f t="shared" ca="1" si="96"/>
        <v>#REF!</v>
      </c>
      <c r="O168" s="394" t="e">
        <f t="shared" ca="1" si="107"/>
        <v>#REF!</v>
      </c>
      <c r="P168" s="432" t="e">
        <f t="shared" ca="1" si="97"/>
        <v>#REF!</v>
      </c>
      <c r="Q168" s="394" t="e">
        <f t="shared" ca="1" si="98"/>
        <v>#REF!</v>
      </c>
      <c r="R168" s="432">
        <f t="shared" ca="1" si="99"/>
        <v>0</v>
      </c>
      <c r="S168" s="394" t="e">
        <f t="shared" ca="1" si="100"/>
        <v>#REF!</v>
      </c>
      <c r="T168" s="432" t="e">
        <f t="shared" ca="1" si="101"/>
        <v>#REF!</v>
      </c>
      <c r="U168" s="433" t="e">
        <f t="shared" ca="1" si="102"/>
        <v>#REF!</v>
      </c>
      <c r="V168" s="394" t="e">
        <f t="shared" ca="1" si="105"/>
        <v>#REF!</v>
      </c>
      <c r="W168" s="394" t="e">
        <f t="shared" ca="1" si="106"/>
        <v>#REF!</v>
      </c>
      <c r="X168" s="394" t="e">
        <f t="shared" ca="1" si="103"/>
        <v>#REF!</v>
      </c>
      <c r="Y168" s="394">
        <f t="shared" si="104"/>
        <v>0</v>
      </c>
      <c r="Z168" s="671" t="str">
        <f ca="1">IF(ISERROR($X168),"X",IF(-$I168&gt;(SP_DebtLimit/$E168),"I",IF(INDEX(SC_EX_APW,EXIDX1)&lt;1,"D","A")))</f>
        <v>X</v>
      </c>
    </row>
    <row r="169" spans="2:26" x14ac:dyDescent="0.25">
      <c r="B169">
        <f t="shared" ca="1" si="86"/>
        <v>2101</v>
      </c>
      <c r="C169" s="65" t="str">
        <f t="shared" si="85"/>
        <v>N</v>
      </c>
      <c r="D169" s="105">
        <f t="shared" si="87"/>
        <v>1</v>
      </c>
      <c r="E169" s="105">
        <f t="shared" ca="1" si="88"/>
        <v>7.9925476485914748E-2</v>
      </c>
      <c r="F169" s="77">
        <f t="shared" si="89"/>
        <v>0</v>
      </c>
      <c r="G169" s="77">
        <f t="shared" si="90"/>
        <v>0</v>
      </c>
      <c r="I169" s="430" t="e">
        <f t="shared" ca="1" si="91"/>
        <v>#REF!</v>
      </c>
      <c r="J169" s="284" t="e">
        <f t="shared" ca="1" si="92"/>
        <v>#REF!</v>
      </c>
      <c r="K169" s="284" t="e">
        <f t="shared" ca="1" si="93"/>
        <v>#REF!</v>
      </c>
      <c r="L169" s="284" t="e">
        <f t="shared" ca="1" si="94"/>
        <v>#REF!</v>
      </c>
      <c r="M169" s="284" t="e">
        <f t="shared" ca="1" si="95"/>
        <v>#REF!</v>
      </c>
      <c r="N169" s="284" t="e">
        <f t="shared" ca="1" si="96"/>
        <v>#REF!</v>
      </c>
      <c r="O169" s="284" t="e">
        <f t="shared" ca="1" si="107"/>
        <v>#REF!</v>
      </c>
      <c r="P169" s="307" t="e">
        <f t="shared" ca="1" si="97"/>
        <v>#REF!</v>
      </c>
      <c r="Q169" s="284" t="e">
        <f t="shared" ca="1" si="98"/>
        <v>#REF!</v>
      </c>
      <c r="R169" s="307">
        <f t="shared" ca="1" si="99"/>
        <v>0</v>
      </c>
      <c r="S169" s="284" t="e">
        <f t="shared" ca="1" si="100"/>
        <v>#REF!</v>
      </c>
      <c r="T169" s="307" t="e">
        <f t="shared" ca="1" si="101"/>
        <v>#REF!</v>
      </c>
      <c r="U169" s="434" t="e">
        <f t="shared" ca="1" si="102"/>
        <v>#REF!</v>
      </c>
      <c r="V169" s="284" t="e">
        <f t="shared" ca="1" si="105"/>
        <v>#REF!</v>
      </c>
      <c r="W169" s="284" t="e">
        <f t="shared" ca="1" si="106"/>
        <v>#REF!</v>
      </c>
      <c r="X169" s="284" t="e">
        <f t="shared" ca="1" si="103"/>
        <v>#REF!</v>
      </c>
      <c r="Y169" s="284">
        <f t="shared" si="104"/>
        <v>0</v>
      </c>
      <c r="Z169" s="671"/>
    </row>
    <row r="170" spans="2:26" x14ac:dyDescent="0.25">
      <c r="J170" s="2"/>
      <c r="P170" s="2"/>
    </row>
    <row r="171" spans="2:26" x14ac:dyDescent="0.25">
      <c r="P171" s="2"/>
    </row>
    <row r="172" spans="2:26" x14ac:dyDescent="0.25">
      <c r="P172" s="2"/>
    </row>
    <row r="173" spans="2:26" x14ac:dyDescent="0.25">
      <c r="P173" s="2"/>
    </row>
    <row r="174" spans="2:26" x14ac:dyDescent="0.25">
      <c r="P174" s="2"/>
    </row>
    <row r="175" spans="2:26" x14ac:dyDescent="0.25">
      <c r="P175" s="2"/>
    </row>
    <row r="176" spans="2:26" x14ac:dyDescent="0.25">
      <c r="P176" s="2"/>
    </row>
    <row r="177" spans="16:16" x14ac:dyDescent="0.25">
      <c r="P177" s="2"/>
    </row>
    <row r="178" spans="16:16" x14ac:dyDescent="0.25">
      <c r="P178" s="2"/>
    </row>
    <row r="179" spans="16:16" x14ac:dyDescent="0.25">
      <c r="P179" s="2"/>
    </row>
    <row r="180" spans="16:16" x14ac:dyDescent="0.25">
      <c r="P180" s="2"/>
    </row>
    <row r="181" spans="16:16" x14ac:dyDescent="0.25">
      <c r="P181" s="2"/>
    </row>
    <row r="182" spans="16:16" x14ac:dyDescent="0.25">
      <c r="P182" s="2"/>
    </row>
    <row r="183" spans="16:16" x14ac:dyDescent="0.25">
      <c r="P183" s="2"/>
    </row>
    <row r="184" spans="16:16" x14ac:dyDescent="0.25">
      <c r="P184" s="2"/>
    </row>
    <row r="185" spans="16:16" x14ac:dyDescent="0.25">
      <c r="P185" s="2"/>
    </row>
    <row r="186" spans="16:16" x14ac:dyDescent="0.25">
      <c r="P186" s="2"/>
    </row>
    <row r="187" spans="16:16" x14ac:dyDescent="0.25">
      <c r="P187" s="2"/>
    </row>
    <row r="188" spans="16:16" x14ac:dyDescent="0.25">
      <c r="P188" s="2"/>
    </row>
    <row r="189" spans="16:16" x14ac:dyDescent="0.25">
      <c r="P189" s="2"/>
    </row>
    <row r="190" spans="16:16" x14ac:dyDescent="0.25">
      <c r="P190" s="2"/>
    </row>
    <row r="191" spans="16:16" x14ac:dyDescent="0.25">
      <c r="P191" s="2"/>
    </row>
    <row r="192" spans="16:16" x14ac:dyDescent="0.25">
      <c r="P192" s="2"/>
    </row>
    <row r="193" spans="16:16" x14ac:dyDescent="0.25">
      <c r="P193" s="2"/>
    </row>
    <row r="194" spans="16:16" x14ac:dyDescent="0.25">
      <c r="P194" s="2"/>
    </row>
    <row r="195" spans="16:16" x14ac:dyDescent="0.25">
      <c r="P195" s="2"/>
    </row>
    <row r="196" spans="16:16" x14ac:dyDescent="0.25">
      <c r="P196" s="2"/>
    </row>
    <row r="197" spans="16:16" x14ac:dyDescent="0.25">
      <c r="P197" s="2"/>
    </row>
    <row r="198" spans="16:16" x14ac:dyDescent="0.25">
      <c r="P198" s="2"/>
    </row>
    <row r="199" spans="16:16" x14ac:dyDescent="0.25">
      <c r="P199" s="2"/>
    </row>
    <row r="200" spans="16:16" x14ac:dyDescent="0.25">
      <c r="P200" s="2"/>
    </row>
    <row r="201" spans="16:16" x14ac:dyDescent="0.25">
      <c r="P201" s="2"/>
    </row>
    <row r="202" spans="16:16" x14ac:dyDescent="0.25">
      <c r="P202" s="2"/>
    </row>
    <row r="203" spans="16:16" x14ac:dyDescent="0.25">
      <c r="P203" s="2"/>
    </row>
    <row r="204" spans="16:16" x14ac:dyDescent="0.25">
      <c r="P204" s="2"/>
    </row>
    <row r="205" spans="16:16" x14ac:dyDescent="0.25">
      <c r="P205" s="2"/>
    </row>
    <row r="206" spans="16:16" x14ac:dyDescent="0.25">
      <c r="P206" s="2"/>
    </row>
    <row r="207" spans="16:16" x14ac:dyDescent="0.25">
      <c r="P207" s="2"/>
    </row>
    <row r="208" spans="16:16" x14ac:dyDescent="0.25">
      <c r="P208" s="2"/>
    </row>
    <row r="209" spans="16:16" x14ac:dyDescent="0.25">
      <c r="P209" s="2"/>
    </row>
    <row r="210" spans="16:16" x14ac:dyDescent="0.25">
      <c r="P210" s="2"/>
    </row>
    <row r="211" spans="16:16" x14ac:dyDescent="0.25">
      <c r="P211" s="2"/>
    </row>
    <row r="212" spans="16:16" x14ac:dyDescent="0.25">
      <c r="P212" s="2"/>
    </row>
    <row r="213" spans="16:16" x14ac:dyDescent="0.25">
      <c r="P213" s="2"/>
    </row>
    <row r="214" spans="16:16" x14ac:dyDescent="0.25">
      <c r="P214" s="2"/>
    </row>
    <row r="215" spans="16:16" x14ac:dyDescent="0.25">
      <c r="P215" s="2"/>
    </row>
    <row r="216" spans="16:16" x14ac:dyDescent="0.25">
      <c r="P216" s="2"/>
    </row>
    <row r="217" spans="16:16" x14ac:dyDescent="0.25">
      <c r="P217" s="2"/>
    </row>
    <row r="218" spans="16:16" x14ac:dyDescent="0.25">
      <c r="P218" s="2"/>
    </row>
    <row r="219" spans="16:16" x14ac:dyDescent="0.25">
      <c r="P219" s="2"/>
    </row>
    <row r="220" spans="16:16" x14ac:dyDescent="0.25">
      <c r="P220" s="2"/>
    </row>
    <row r="221" spans="16:16" x14ac:dyDescent="0.25">
      <c r="P221" s="2"/>
    </row>
    <row r="222" spans="16:16" x14ac:dyDescent="0.25">
      <c r="P222" s="2"/>
    </row>
    <row r="223" spans="16:16" x14ac:dyDescent="0.25">
      <c r="P223" s="2"/>
    </row>
    <row r="224" spans="16:16" x14ac:dyDescent="0.25">
      <c r="P224" s="2"/>
    </row>
    <row r="225" spans="16:16" x14ac:dyDescent="0.25">
      <c r="P225" s="2"/>
    </row>
    <row r="226" spans="16:16" x14ac:dyDescent="0.25">
      <c r="P226" s="2"/>
    </row>
    <row r="227" spans="16:16" x14ac:dyDescent="0.25">
      <c r="P227" s="2"/>
    </row>
    <row r="228" spans="16:16" x14ac:dyDescent="0.25">
      <c r="P228" s="2"/>
    </row>
    <row r="229" spans="16:16" x14ac:dyDescent="0.25">
      <c r="P229" s="2"/>
    </row>
    <row r="230" spans="16:16" x14ac:dyDescent="0.25">
      <c r="P230" s="2"/>
    </row>
    <row r="231" spans="16:16" x14ac:dyDescent="0.25">
      <c r="P231" s="2"/>
    </row>
    <row r="232" spans="16:16" x14ac:dyDescent="0.25">
      <c r="P232" s="2"/>
    </row>
    <row r="233" spans="16:16" x14ac:dyDescent="0.25">
      <c r="P233" s="2"/>
    </row>
    <row r="234" spans="16:16" x14ac:dyDescent="0.25">
      <c r="P234" s="2"/>
    </row>
    <row r="235" spans="16:16" x14ac:dyDescent="0.25">
      <c r="P235" s="2"/>
    </row>
    <row r="236" spans="16:16" x14ac:dyDescent="0.25">
      <c r="P236" s="2"/>
    </row>
    <row r="237" spans="16:16" x14ac:dyDescent="0.25">
      <c r="P237" s="2"/>
    </row>
    <row r="238" spans="16:16" x14ac:dyDescent="0.25">
      <c r="P238" s="2"/>
    </row>
    <row r="239" spans="16:16" x14ac:dyDescent="0.25">
      <c r="P239" s="2"/>
    </row>
    <row r="240" spans="16:16" x14ac:dyDescent="0.25">
      <c r="P240" s="2"/>
    </row>
    <row r="241" spans="16:16" x14ac:dyDescent="0.25">
      <c r="P241" s="2"/>
    </row>
    <row r="242" spans="16:16" x14ac:dyDescent="0.25">
      <c r="P242" s="2"/>
    </row>
    <row r="243" spans="16:16" x14ac:dyDescent="0.25">
      <c r="P243" s="2"/>
    </row>
    <row r="244" spans="16:16" x14ac:dyDescent="0.25">
      <c r="P244" s="2"/>
    </row>
    <row r="245" spans="16:16" x14ac:dyDescent="0.25">
      <c r="P245" s="2"/>
    </row>
    <row r="246" spans="16:16" x14ac:dyDescent="0.25">
      <c r="P246" s="2"/>
    </row>
    <row r="247" spans="16:16" x14ac:dyDescent="0.25">
      <c r="P247" s="2"/>
    </row>
    <row r="248" spans="16:16" x14ac:dyDescent="0.25">
      <c r="P248" s="2"/>
    </row>
    <row r="249" spans="16:16" x14ac:dyDescent="0.25">
      <c r="P249" s="2"/>
    </row>
    <row r="250" spans="16:16" x14ac:dyDescent="0.25">
      <c r="P250" s="2"/>
    </row>
  </sheetData>
  <sheetProtection sheet="1" objects="1" scenarios="1" autoFilter="0"/>
  <mergeCells count="84">
    <mergeCell ref="Z168:Z169"/>
    <mergeCell ref="Z8:Z9"/>
    <mergeCell ref="Z158:Z159"/>
    <mergeCell ref="Z160:Z161"/>
    <mergeCell ref="Z162:Z163"/>
    <mergeCell ref="Z164:Z165"/>
    <mergeCell ref="Z166:Z167"/>
    <mergeCell ref="Z148:Z149"/>
    <mergeCell ref="Z150:Z151"/>
    <mergeCell ref="Z152:Z153"/>
    <mergeCell ref="Z154:Z155"/>
    <mergeCell ref="Z156:Z157"/>
    <mergeCell ref="Z138:Z139"/>
    <mergeCell ref="Z140:Z141"/>
    <mergeCell ref="Z118:Z119"/>
    <mergeCell ref="Z120:Z121"/>
    <mergeCell ref="Z122:Z123"/>
    <mergeCell ref="Z124:Z125"/>
    <mergeCell ref="Z126:Z127"/>
    <mergeCell ref="Z146:Z147"/>
    <mergeCell ref="Z128:Z129"/>
    <mergeCell ref="Z132:Z133"/>
    <mergeCell ref="Z134:Z135"/>
    <mergeCell ref="Z136:Z137"/>
    <mergeCell ref="Z130:Z131"/>
    <mergeCell ref="Z144:Z145"/>
    <mergeCell ref="Z142:Z143"/>
    <mergeCell ref="Z116:Z117"/>
    <mergeCell ref="Z82:Z83"/>
    <mergeCell ref="Z84:Z85"/>
    <mergeCell ref="Z86:Z87"/>
    <mergeCell ref="Z88:Z89"/>
    <mergeCell ref="Z90:Z91"/>
    <mergeCell ref="Z92:Z93"/>
    <mergeCell ref="Z94:Z95"/>
    <mergeCell ref="Z96:Z97"/>
    <mergeCell ref="Z98:Z99"/>
    <mergeCell ref="Z100:Z101"/>
    <mergeCell ref="Z102:Z103"/>
    <mergeCell ref="Z104:Z105"/>
    <mergeCell ref="Z106:Z107"/>
    <mergeCell ref="Z108:Z109"/>
    <mergeCell ref="Z70:Z71"/>
    <mergeCell ref="Z72:Z73"/>
    <mergeCell ref="Z110:Z111"/>
    <mergeCell ref="Z112:Z113"/>
    <mergeCell ref="Z114:Z115"/>
    <mergeCell ref="Z74:Z75"/>
    <mergeCell ref="Z76:Z77"/>
    <mergeCell ref="Z78:Z79"/>
    <mergeCell ref="Z80:Z81"/>
    <mergeCell ref="Z46:Z47"/>
    <mergeCell ref="Z48:Z49"/>
    <mergeCell ref="Z50:Z51"/>
    <mergeCell ref="Z52:Z53"/>
    <mergeCell ref="Z54:Z55"/>
    <mergeCell ref="Z56:Z57"/>
    <mergeCell ref="Z58:Z59"/>
    <mergeCell ref="Z60:Z61"/>
    <mergeCell ref="Z62:Z63"/>
    <mergeCell ref="Z64:Z65"/>
    <mergeCell ref="Z66:Z67"/>
    <mergeCell ref="Z68:Z69"/>
    <mergeCell ref="Z44:Z45"/>
    <mergeCell ref="Z10:Z11"/>
    <mergeCell ref="Z12:Z13"/>
    <mergeCell ref="Z14:Z15"/>
    <mergeCell ref="Z16:Z17"/>
    <mergeCell ref="Z18:Z19"/>
    <mergeCell ref="Z20:Z21"/>
    <mergeCell ref="Z22:Z23"/>
    <mergeCell ref="Z24:Z25"/>
    <mergeCell ref="Z26:Z27"/>
    <mergeCell ref="Z28:Z29"/>
    <mergeCell ref="Z30:Z31"/>
    <mergeCell ref="Z32:Z33"/>
    <mergeCell ref="Z34:Z35"/>
    <mergeCell ref="I2:Z2"/>
    <mergeCell ref="Z42:Z43"/>
    <mergeCell ref="Z6:Z7"/>
    <mergeCell ref="Z36:Z37"/>
    <mergeCell ref="Z4:Z5"/>
    <mergeCell ref="Z38:Z39"/>
    <mergeCell ref="Z40:Z41"/>
  </mergeCells>
  <conditionalFormatting sqref="B10:B169">
    <cfRule type="expression" dxfId="0" priority="1">
      <formula>($B10=SP_CurrentYear)</formula>
    </cfRule>
  </conditionalFormatting>
  <pageMargins left="0.7" right="0.7" top="0.75" bottom="0.75" header="0.3" footer="0.3"/>
  <pageSetup orientation="portrait" horizontalDpi="4294967293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8"/>
  <dimension ref="A1:M246"/>
  <sheetViews>
    <sheetView topLeftCell="B2" workbookViewId="0"/>
  </sheetViews>
  <sheetFormatPr defaultRowHeight="15" x14ac:dyDescent="0.25"/>
  <cols>
    <col min="1" max="1" width="9.140625" hidden="1" customWidth="1"/>
    <col min="2" max="2" width="31.7109375" customWidth="1"/>
    <col min="3" max="3" width="17.85546875" customWidth="1"/>
    <col min="4" max="4" width="15.7109375" bestFit="1" customWidth="1"/>
    <col min="5" max="5" width="11.7109375" bestFit="1" customWidth="1"/>
    <col min="6" max="6" width="11.7109375" customWidth="1"/>
    <col min="7" max="7" width="11.5703125" customWidth="1"/>
    <col min="8" max="8" width="12.42578125" bestFit="1" customWidth="1"/>
    <col min="9" max="9" width="10.140625" customWidth="1"/>
    <col min="10" max="10" width="9.140625" customWidth="1"/>
    <col min="11" max="11" width="7.85546875" customWidth="1"/>
    <col min="12" max="12" width="9" customWidth="1"/>
    <col min="13" max="13" width="10.140625" bestFit="1" customWidth="1"/>
    <col min="14" max="14" width="10.5703125" customWidth="1"/>
  </cols>
  <sheetData>
    <row r="1" spans="1:3" hidden="1" x14ac:dyDescent="0.25">
      <c r="A1">
        <f>PMBASIC+PMADVANCED</f>
        <v>48</v>
      </c>
    </row>
    <row r="3" spans="1:3" x14ac:dyDescent="0.25">
      <c r="B3" t="s">
        <v>53</v>
      </c>
    </row>
    <row r="5" spans="1:3" x14ac:dyDescent="0.25">
      <c r="B5" t="s">
        <v>49</v>
      </c>
    </row>
    <row r="6" spans="1:3" x14ac:dyDescent="0.25">
      <c r="C6" t="s">
        <v>50</v>
      </c>
    </row>
    <row r="7" spans="1:3" x14ac:dyDescent="0.25">
      <c r="B7" s="9" t="s">
        <v>51</v>
      </c>
      <c r="C7" s="1">
        <v>6.2E-2</v>
      </c>
    </row>
    <row r="8" spans="1:3" x14ac:dyDescent="0.25">
      <c r="C8" s="33" t="s">
        <v>52</v>
      </c>
    </row>
    <row r="9" spans="1:3" x14ac:dyDescent="0.25">
      <c r="B9" s="9" t="s">
        <v>51</v>
      </c>
      <c r="C9" s="1">
        <v>1.4500000000000001E-2</v>
      </c>
    </row>
    <row r="10" spans="1:3" x14ac:dyDescent="0.25">
      <c r="B10" s="9"/>
      <c r="C10" s="1"/>
    </row>
    <row r="11" spans="1:3" x14ac:dyDescent="0.25">
      <c r="B11" t="s">
        <v>42</v>
      </c>
    </row>
    <row r="12" spans="1:3" x14ac:dyDescent="0.25">
      <c r="B12" s="32" t="s">
        <v>54</v>
      </c>
      <c r="C12" s="2">
        <v>1510</v>
      </c>
    </row>
    <row r="13" spans="1:3" x14ac:dyDescent="0.25">
      <c r="B13" s="32" t="s">
        <v>47</v>
      </c>
      <c r="C13" s="2">
        <f>LT_SSOneCredit*4</f>
        <v>6040</v>
      </c>
    </row>
    <row r="14" spans="1:3" x14ac:dyDescent="0.25">
      <c r="B14" s="9"/>
      <c r="C14" s="1"/>
    </row>
    <row r="15" spans="1:3" x14ac:dyDescent="0.25">
      <c r="B15" s="9" t="s">
        <v>48</v>
      </c>
      <c r="C15" s="2">
        <v>0</v>
      </c>
    </row>
    <row r="16" spans="1:3" x14ac:dyDescent="0.25">
      <c r="C16" s="2"/>
    </row>
    <row r="17" spans="2:13" x14ac:dyDescent="0.25">
      <c r="B17" s="2" t="s">
        <v>40</v>
      </c>
      <c r="C17" s="2"/>
      <c r="E17" s="1"/>
      <c r="F17" s="2"/>
      <c r="G17" s="1"/>
    </row>
    <row r="18" spans="2:13" x14ac:dyDescent="0.25">
      <c r="B18" s="28" t="s">
        <v>38</v>
      </c>
      <c r="C18" s="28" t="s">
        <v>39</v>
      </c>
    </row>
    <row r="19" spans="2:13" x14ac:dyDescent="0.25">
      <c r="B19" s="7">
        <v>0</v>
      </c>
      <c r="C19" s="1">
        <v>0.9</v>
      </c>
      <c r="H19" s="2"/>
    </row>
    <row r="20" spans="2:13" x14ac:dyDescent="0.25">
      <c r="B20" s="7">
        <v>1</v>
      </c>
      <c r="C20" s="1">
        <v>0.32</v>
      </c>
    </row>
    <row r="21" spans="2:13" x14ac:dyDescent="0.25">
      <c r="B21" s="7">
        <v>2</v>
      </c>
      <c r="C21" s="1">
        <v>0.15</v>
      </c>
    </row>
    <row r="22" spans="2:13" x14ac:dyDescent="0.25">
      <c r="C22" s="1"/>
    </row>
    <row r="23" spans="2:13" ht="75" x14ac:dyDescent="0.25">
      <c r="C23" s="28" t="s">
        <v>21</v>
      </c>
      <c r="D23" s="28" t="s">
        <v>22</v>
      </c>
      <c r="E23" s="28" t="s">
        <v>20</v>
      </c>
      <c r="F23" s="28" t="s">
        <v>22</v>
      </c>
      <c r="G23" s="28" t="s">
        <v>19</v>
      </c>
      <c r="H23" s="16"/>
      <c r="I23" s="28" t="s">
        <v>24</v>
      </c>
      <c r="J23" s="28" t="s">
        <v>25</v>
      </c>
      <c r="K23" s="28" t="s">
        <v>26</v>
      </c>
      <c r="M23" s="28" t="s">
        <v>834</v>
      </c>
    </row>
    <row r="24" spans="2:13" x14ac:dyDescent="0.25">
      <c r="B24" s="9" t="s">
        <v>15</v>
      </c>
      <c r="C24" s="70">
        <v>0</v>
      </c>
      <c r="D24" s="70">
        <v>0</v>
      </c>
      <c r="E24" s="67">
        <v>0.1</v>
      </c>
      <c r="F24" s="70">
        <v>0</v>
      </c>
      <c r="G24" s="67">
        <v>0</v>
      </c>
      <c r="H24" s="65"/>
      <c r="I24" s="70">
        <v>0</v>
      </c>
      <c r="J24" s="70">
        <v>0</v>
      </c>
      <c r="K24" s="67">
        <v>0</v>
      </c>
      <c r="M24" s="70">
        <v>12950</v>
      </c>
    </row>
    <row r="25" spans="2:13" x14ac:dyDescent="0.25">
      <c r="C25" s="70">
        <v>10275</v>
      </c>
      <c r="D25" s="70">
        <f t="shared" ref="D25:D30" si="0">(C25-C24)*E24+D24</f>
        <v>1027.5</v>
      </c>
      <c r="E25" s="67">
        <v>0.12</v>
      </c>
      <c r="F25" s="70">
        <f t="shared" ref="F25:F30" si="1">(C25-C24)*G24+F24</f>
        <v>0</v>
      </c>
      <c r="G25" s="67">
        <v>0</v>
      </c>
      <c r="H25" s="65"/>
      <c r="I25" s="70">
        <v>25000</v>
      </c>
      <c r="J25" s="70">
        <f>(I25-I24)*K24+J24</f>
        <v>0</v>
      </c>
      <c r="K25" s="67">
        <v>0.5</v>
      </c>
      <c r="M25" s="6"/>
    </row>
    <row r="26" spans="2:13" x14ac:dyDescent="0.25">
      <c r="C26" s="70">
        <v>41775</v>
      </c>
      <c r="D26" s="70">
        <f t="shared" si="0"/>
        <v>4807.5</v>
      </c>
      <c r="E26" s="67">
        <v>0.22</v>
      </c>
      <c r="F26" s="70">
        <f t="shared" si="1"/>
        <v>0</v>
      </c>
      <c r="G26" s="67">
        <v>0.15</v>
      </c>
      <c r="H26" s="65"/>
      <c r="I26" s="70">
        <v>34000</v>
      </c>
      <c r="J26" s="70">
        <f>(I26-I25)*K25+J25</f>
        <v>4500</v>
      </c>
      <c r="K26" s="67">
        <v>0.85</v>
      </c>
      <c r="M26" s="6"/>
    </row>
    <row r="27" spans="2:13" x14ac:dyDescent="0.25">
      <c r="C27" s="70">
        <v>89075</v>
      </c>
      <c r="D27" s="70">
        <f t="shared" si="0"/>
        <v>15213.5</v>
      </c>
      <c r="E27" s="67">
        <v>0.24</v>
      </c>
      <c r="F27" s="70">
        <f t="shared" si="1"/>
        <v>7095</v>
      </c>
      <c r="G27" s="67">
        <v>0.15</v>
      </c>
      <c r="H27" s="65"/>
      <c r="I27" s="70"/>
      <c r="J27" s="70"/>
      <c r="K27" s="65"/>
      <c r="M27" s="6"/>
    </row>
    <row r="28" spans="2:13" x14ac:dyDescent="0.25">
      <c r="C28" s="70">
        <v>170050</v>
      </c>
      <c r="D28" s="70">
        <f t="shared" si="0"/>
        <v>34647.5</v>
      </c>
      <c r="E28" s="67">
        <v>0.32</v>
      </c>
      <c r="F28" s="70">
        <f t="shared" si="1"/>
        <v>19241.25</v>
      </c>
      <c r="G28" s="67">
        <v>0.15</v>
      </c>
      <c r="H28" s="65"/>
      <c r="I28" s="70"/>
      <c r="J28" s="70"/>
      <c r="K28" s="65"/>
      <c r="M28" s="6"/>
    </row>
    <row r="29" spans="2:13" x14ac:dyDescent="0.25">
      <c r="C29" s="70">
        <v>215950</v>
      </c>
      <c r="D29" s="70">
        <f t="shared" si="0"/>
        <v>49335.5</v>
      </c>
      <c r="E29" s="67">
        <v>0.35</v>
      </c>
      <c r="F29" s="70">
        <f t="shared" si="1"/>
        <v>26126.25</v>
      </c>
      <c r="G29" s="67">
        <v>0.15</v>
      </c>
      <c r="H29" s="65"/>
      <c r="I29" s="70"/>
      <c r="J29" s="70"/>
      <c r="K29" s="65"/>
      <c r="M29" s="6"/>
    </row>
    <row r="30" spans="2:13" x14ac:dyDescent="0.25">
      <c r="C30" s="70">
        <v>539900</v>
      </c>
      <c r="D30" s="70">
        <f t="shared" si="0"/>
        <v>162718</v>
      </c>
      <c r="E30" s="67">
        <v>0.37</v>
      </c>
      <c r="F30" s="70">
        <f t="shared" si="1"/>
        <v>74718.75</v>
      </c>
      <c r="G30" s="67">
        <v>0.2</v>
      </c>
      <c r="H30" s="65"/>
      <c r="I30" s="70"/>
      <c r="J30" s="70"/>
      <c r="K30" s="65"/>
      <c r="M30" s="6"/>
    </row>
    <row r="31" spans="2:13" x14ac:dyDescent="0.25">
      <c r="C31" s="70"/>
      <c r="D31" s="70"/>
      <c r="E31" s="65"/>
      <c r="F31" s="70"/>
      <c r="G31" s="65"/>
      <c r="H31" s="65"/>
      <c r="I31" s="70"/>
      <c r="J31" s="70"/>
      <c r="K31" s="65"/>
      <c r="M31" s="6"/>
    </row>
    <row r="32" spans="2:13" x14ac:dyDescent="0.25">
      <c r="B32" s="9" t="s">
        <v>16</v>
      </c>
      <c r="C32" s="70">
        <v>0</v>
      </c>
      <c r="D32" s="70">
        <v>0</v>
      </c>
      <c r="E32" s="67">
        <v>0.1</v>
      </c>
      <c r="F32" s="70">
        <v>0</v>
      </c>
      <c r="G32" s="67">
        <v>0</v>
      </c>
      <c r="H32" s="65"/>
      <c r="I32" s="70">
        <v>0</v>
      </c>
      <c r="J32" s="70">
        <v>0</v>
      </c>
      <c r="K32" s="67">
        <v>0</v>
      </c>
      <c r="M32" s="70">
        <v>19400</v>
      </c>
    </row>
    <row r="33" spans="2:13" x14ac:dyDescent="0.25">
      <c r="C33" s="70">
        <v>14650</v>
      </c>
      <c r="D33" s="70">
        <f t="shared" ref="D33:D38" si="2">(C33-C32)*E32+D32</f>
        <v>1465</v>
      </c>
      <c r="E33" s="67">
        <v>0.12</v>
      </c>
      <c r="F33" s="70">
        <f t="shared" ref="F33:F38" si="3">(C33-C32)*G32+F32</f>
        <v>0</v>
      </c>
      <c r="G33" s="67">
        <v>0</v>
      </c>
      <c r="H33" s="65"/>
      <c r="I33" s="70">
        <v>25000</v>
      </c>
      <c r="J33" s="70">
        <f>(I33-I32)*K32+J32</f>
        <v>0</v>
      </c>
      <c r="K33" s="67">
        <v>0.5</v>
      </c>
      <c r="M33" s="6"/>
    </row>
    <row r="34" spans="2:13" x14ac:dyDescent="0.25">
      <c r="C34" s="70">
        <v>55900</v>
      </c>
      <c r="D34" s="70">
        <f t="shared" si="2"/>
        <v>6415</v>
      </c>
      <c r="E34" s="67">
        <v>0.22</v>
      </c>
      <c r="F34" s="70">
        <f t="shared" si="3"/>
        <v>0</v>
      </c>
      <c r="G34" s="67">
        <v>0.15</v>
      </c>
      <c r="H34" s="65"/>
      <c r="I34" s="70">
        <v>34000</v>
      </c>
      <c r="J34" s="70">
        <f>(I34-I33)*K33+J33</f>
        <v>4500</v>
      </c>
      <c r="K34" s="67">
        <v>0.85</v>
      </c>
      <c r="M34" s="6"/>
    </row>
    <row r="35" spans="2:13" x14ac:dyDescent="0.25">
      <c r="C35" s="70">
        <v>89050</v>
      </c>
      <c r="D35" s="70">
        <f t="shared" si="2"/>
        <v>13708</v>
      </c>
      <c r="E35" s="67">
        <v>0.24</v>
      </c>
      <c r="F35" s="70">
        <f t="shared" si="3"/>
        <v>4972.5</v>
      </c>
      <c r="G35" s="67">
        <v>0.15</v>
      </c>
      <c r="H35" s="65"/>
      <c r="I35" s="70"/>
      <c r="J35" s="70"/>
      <c r="K35" s="65"/>
      <c r="M35" s="6"/>
    </row>
    <row r="36" spans="2:13" x14ac:dyDescent="0.25">
      <c r="C36" s="70">
        <v>170050</v>
      </c>
      <c r="D36" s="70">
        <f t="shared" si="2"/>
        <v>33148</v>
      </c>
      <c r="E36" s="67">
        <v>0.32</v>
      </c>
      <c r="F36" s="70">
        <f t="shared" si="3"/>
        <v>17122.5</v>
      </c>
      <c r="G36" s="67">
        <v>0.15</v>
      </c>
      <c r="H36" s="65"/>
      <c r="I36" s="70"/>
      <c r="J36" s="70"/>
      <c r="K36" s="65"/>
      <c r="M36" s="6"/>
    </row>
    <row r="37" spans="2:13" x14ac:dyDescent="0.25">
      <c r="C37" s="70">
        <v>215950</v>
      </c>
      <c r="D37" s="70">
        <f t="shared" si="2"/>
        <v>47836</v>
      </c>
      <c r="E37" s="67">
        <v>0.35</v>
      </c>
      <c r="F37" s="70">
        <f t="shared" si="3"/>
        <v>24007.5</v>
      </c>
      <c r="G37" s="67">
        <v>0.15</v>
      </c>
      <c r="H37" s="65"/>
      <c r="I37" s="70"/>
      <c r="J37" s="70"/>
      <c r="K37" s="65"/>
      <c r="M37" s="6"/>
    </row>
    <row r="38" spans="2:13" x14ac:dyDescent="0.25">
      <c r="C38" s="70">
        <v>539900</v>
      </c>
      <c r="D38" s="70">
        <f t="shared" si="2"/>
        <v>161218.5</v>
      </c>
      <c r="E38" s="67">
        <v>0.37</v>
      </c>
      <c r="F38" s="70">
        <f t="shared" si="3"/>
        <v>72600</v>
      </c>
      <c r="G38" s="67">
        <v>0.2</v>
      </c>
      <c r="H38" s="65"/>
      <c r="I38" s="70"/>
      <c r="J38" s="70"/>
      <c r="K38" s="65"/>
      <c r="M38" s="6"/>
    </row>
    <row r="39" spans="2:13" x14ac:dyDescent="0.25">
      <c r="C39" s="70"/>
      <c r="D39" s="70"/>
      <c r="E39" s="67"/>
      <c r="F39" s="70"/>
      <c r="G39" s="67"/>
      <c r="H39" s="65"/>
      <c r="I39" s="70"/>
      <c r="J39" s="70"/>
      <c r="K39" s="65"/>
      <c r="M39" s="6"/>
    </row>
    <row r="40" spans="2:13" x14ac:dyDescent="0.25">
      <c r="B40" s="9" t="s">
        <v>17</v>
      </c>
      <c r="C40" s="535">
        <v>0</v>
      </c>
      <c r="D40" s="70">
        <v>0</v>
      </c>
      <c r="E40" s="67">
        <v>0.1</v>
      </c>
      <c r="F40" s="70">
        <v>0</v>
      </c>
      <c r="G40" s="67">
        <v>0</v>
      </c>
      <c r="H40" s="65"/>
      <c r="I40" s="70">
        <v>0</v>
      </c>
      <c r="J40" s="70">
        <v>0</v>
      </c>
      <c r="K40" s="67">
        <v>0</v>
      </c>
      <c r="M40" s="70">
        <v>12950</v>
      </c>
    </row>
    <row r="41" spans="2:13" x14ac:dyDescent="0.25">
      <c r="C41" s="535">
        <v>10275</v>
      </c>
      <c r="D41" s="70">
        <f t="shared" ref="D41:D46" si="4">(C41-C40)*E40+D40</f>
        <v>1027.5</v>
      </c>
      <c r="E41" s="67">
        <v>0.12</v>
      </c>
      <c r="F41" s="70">
        <f t="shared" ref="F41:F46" si="5">(C41-C40)*G40+F40</f>
        <v>0</v>
      </c>
      <c r="G41" s="67">
        <v>0</v>
      </c>
      <c r="H41" s="65"/>
      <c r="I41" s="70">
        <v>32000</v>
      </c>
      <c r="J41" s="70">
        <v>0</v>
      </c>
      <c r="K41" s="67">
        <v>0.5</v>
      </c>
      <c r="M41" s="6"/>
    </row>
    <row r="42" spans="2:13" x14ac:dyDescent="0.25">
      <c r="C42" s="535">
        <v>41775</v>
      </c>
      <c r="D42" s="70">
        <f t="shared" si="4"/>
        <v>4807.5</v>
      </c>
      <c r="E42" s="67">
        <v>0.22</v>
      </c>
      <c r="F42" s="70">
        <f t="shared" si="5"/>
        <v>0</v>
      </c>
      <c r="G42" s="67">
        <v>0.15</v>
      </c>
      <c r="H42" s="65"/>
      <c r="I42" s="70">
        <v>44000</v>
      </c>
      <c r="J42" s="70">
        <f>(I42-I41)*K41+J41</f>
        <v>6000</v>
      </c>
      <c r="K42" s="67">
        <v>0.85</v>
      </c>
      <c r="M42" s="6"/>
    </row>
    <row r="43" spans="2:13" x14ac:dyDescent="0.25">
      <c r="C43" s="535">
        <v>89075</v>
      </c>
      <c r="D43" s="70">
        <f t="shared" si="4"/>
        <v>15213.5</v>
      </c>
      <c r="E43" s="67">
        <v>0.24</v>
      </c>
      <c r="F43" s="70">
        <f t="shared" si="5"/>
        <v>7095</v>
      </c>
      <c r="G43" s="67">
        <v>0.15</v>
      </c>
      <c r="H43" s="65"/>
      <c r="I43" s="70"/>
      <c r="J43" s="70"/>
      <c r="K43" s="65"/>
      <c r="M43" s="6"/>
    </row>
    <row r="44" spans="2:13" x14ac:dyDescent="0.25">
      <c r="C44" s="535">
        <v>170050</v>
      </c>
      <c r="D44" s="70">
        <f t="shared" si="4"/>
        <v>34647.5</v>
      </c>
      <c r="E44" s="67">
        <v>0.32</v>
      </c>
      <c r="F44" s="70">
        <f t="shared" si="5"/>
        <v>19241.25</v>
      </c>
      <c r="G44" s="67">
        <v>0.15</v>
      </c>
      <c r="H44" s="65"/>
      <c r="I44" s="70"/>
      <c r="J44" s="70"/>
      <c r="K44" s="65"/>
      <c r="M44" s="6"/>
    </row>
    <row r="45" spans="2:13" x14ac:dyDescent="0.25">
      <c r="C45" s="535">
        <v>215950</v>
      </c>
      <c r="D45" s="70">
        <f t="shared" si="4"/>
        <v>49335.5</v>
      </c>
      <c r="E45" s="67">
        <v>0.35</v>
      </c>
      <c r="F45" s="70">
        <f t="shared" si="5"/>
        <v>26126.25</v>
      </c>
      <c r="G45" s="67">
        <v>0.15</v>
      </c>
      <c r="H45" s="65"/>
      <c r="I45" s="70"/>
      <c r="J45" s="70"/>
      <c r="K45" s="65"/>
      <c r="M45" s="6"/>
    </row>
    <row r="46" spans="2:13" x14ac:dyDescent="0.25">
      <c r="C46" s="535">
        <v>539900</v>
      </c>
      <c r="D46" s="70">
        <f t="shared" si="4"/>
        <v>162718</v>
      </c>
      <c r="E46" s="67">
        <v>0.37</v>
      </c>
      <c r="F46" s="70">
        <f t="shared" si="5"/>
        <v>74718.75</v>
      </c>
      <c r="G46" s="67">
        <v>0.2</v>
      </c>
      <c r="H46" s="65"/>
      <c r="I46" s="70"/>
      <c r="J46" s="70"/>
      <c r="K46" s="65"/>
      <c r="M46" s="6"/>
    </row>
    <row r="47" spans="2:13" x14ac:dyDescent="0.25">
      <c r="C47" s="70"/>
      <c r="D47" s="70"/>
      <c r="E47" s="67"/>
      <c r="F47" s="70"/>
      <c r="G47" s="67"/>
      <c r="H47" s="65"/>
      <c r="I47" s="70"/>
      <c r="J47" s="70"/>
      <c r="K47" s="65"/>
      <c r="M47" s="6"/>
    </row>
    <row r="48" spans="2:13" x14ac:dyDescent="0.25">
      <c r="B48" s="9" t="s">
        <v>18</v>
      </c>
      <c r="C48" s="70">
        <v>0</v>
      </c>
      <c r="D48" s="70">
        <v>0</v>
      </c>
      <c r="E48" s="67">
        <v>0.1</v>
      </c>
      <c r="F48" s="70">
        <v>0</v>
      </c>
      <c r="G48" s="67">
        <v>0</v>
      </c>
      <c r="H48" s="65"/>
      <c r="I48" s="70">
        <v>0</v>
      </c>
      <c r="J48" s="70">
        <v>0</v>
      </c>
      <c r="K48" s="67">
        <v>0</v>
      </c>
      <c r="M48" s="70">
        <v>25900</v>
      </c>
    </row>
    <row r="49" spans="2:11" x14ac:dyDescent="0.25">
      <c r="C49" s="70">
        <v>20550</v>
      </c>
      <c r="D49" s="70">
        <f t="shared" ref="D49:D54" si="6">(C49-C48)*E48+D48</f>
        <v>2055</v>
      </c>
      <c r="E49" s="67">
        <v>0.12</v>
      </c>
      <c r="F49" s="70">
        <f t="shared" ref="F49:F54" si="7">(C49-C48)*G48+F48</f>
        <v>0</v>
      </c>
      <c r="G49" s="67">
        <v>0</v>
      </c>
      <c r="H49" s="65"/>
      <c r="I49" s="70">
        <v>32000</v>
      </c>
      <c r="J49" s="70">
        <v>0</v>
      </c>
      <c r="K49" s="67">
        <v>0.5</v>
      </c>
    </row>
    <row r="50" spans="2:11" x14ac:dyDescent="0.25">
      <c r="C50" s="70">
        <v>83550</v>
      </c>
      <c r="D50" s="70">
        <f t="shared" si="6"/>
        <v>9615</v>
      </c>
      <c r="E50" s="67">
        <v>0.22</v>
      </c>
      <c r="F50" s="70">
        <f t="shared" si="7"/>
        <v>0</v>
      </c>
      <c r="G50" s="67">
        <v>0.15</v>
      </c>
      <c r="H50" s="65"/>
      <c r="I50" s="70">
        <v>44000</v>
      </c>
      <c r="J50" s="70">
        <f>(I50-I49)*K49+J49</f>
        <v>6000</v>
      </c>
      <c r="K50" s="67">
        <v>0.85</v>
      </c>
    </row>
    <row r="51" spans="2:11" x14ac:dyDescent="0.25">
      <c r="C51" s="70">
        <v>178150</v>
      </c>
      <c r="D51" s="70">
        <f t="shared" si="6"/>
        <v>30427</v>
      </c>
      <c r="E51" s="67">
        <v>0.24</v>
      </c>
      <c r="F51" s="70">
        <f t="shared" si="7"/>
        <v>14190</v>
      </c>
      <c r="G51" s="67">
        <v>0.15</v>
      </c>
      <c r="H51" s="65"/>
      <c r="I51" s="70"/>
      <c r="J51" s="70"/>
      <c r="K51" s="65"/>
    </row>
    <row r="52" spans="2:11" x14ac:dyDescent="0.25">
      <c r="C52" s="70">
        <v>340100</v>
      </c>
      <c r="D52" s="70">
        <f t="shared" si="6"/>
        <v>69295</v>
      </c>
      <c r="E52" s="67">
        <v>0.32</v>
      </c>
      <c r="F52" s="70">
        <f t="shared" si="7"/>
        <v>38482.5</v>
      </c>
      <c r="G52" s="67">
        <v>0.15</v>
      </c>
      <c r="H52" s="65"/>
      <c r="I52" s="70"/>
      <c r="J52" s="70"/>
      <c r="K52" s="65"/>
    </row>
    <row r="53" spans="2:11" x14ac:dyDescent="0.25">
      <c r="C53" s="70">
        <v>431900</v>
      </c>
      <c r="D53" s="70">
        <f t="shared" si="6"/>
        <v>98671</v>
      </c>
      <c r="E53" s="67">
        <v>0.35</v>
      </c>
      <c r="F53" s="70">
        <f t="shared" si="7"/>
        <v>52252.5</v>
      </c>
      <c r="G53" s="67">
        <v>0.15</v>
      </c>
      <c r="H53" s="65"/>
      <c r="I53" s="70"/>
      <c r="J53" s="70"/>
      <c r="K53" s="65"/>
    </row>
    <row r="54" spans="2:11" x14ac:dyDescent="0.25">
      <c r="C54" s="70">
        <v>647850</v>
      </c>
      <c r="D54" s="70">
        <f t="shared" si="6"/>
        <v>174253.5</v>
      </c>
      <c r="E54" s="67">
        <v>0.37</v>
      </c>
      <c r="F54" s="70">
        <f t="shared" si="7"/>
        <v>84645</v>
      </c>
      <c r="G54" s="67">
        <v>0.2</v>
      </c>
      <c r="H54" s="65"/>
      <c r="I54" s="70"/>
      <c r="J54" s="70"/>
      <c r="K54" s="65"/>
    </row>
    <row r="55" spans="2:11" x14ac:dyDescent="0.25">
      <c r="C55" s="2"/>
      <c r="D55" s="2"/>
      <c r="E55" s="1"/>
      <c r="F55" s="2"/>
      <c r="G55" s="1"/>
    </row>
    <row r="56" spans="2:11" ht="45" x14ac:dyDescent="0.25">
      <c r="C56" s="219" t="s">
        <v>71</v>
      </c>
      <c r="D56" s="258" t="s">
        <v>919</v>
      </c>
      <c r="E56" s="259" t="s">
        <v>920</v>
      </c>
      <c r="F56" s="258" t="s">
        <v>921</v>
      </c>
      <c r="G56" s="258" t="s">
        <v>923</v>
      </c>
      <c r="H56" s="258" t="s">
        <v>981</v>
      </c>
    </row>
    <row r="57" spans="2:11" x14ac:dyDescent="0.25">
      <c r="B57" s="2"/>
      <c r="C57" s="2" t="s">
        <v>918</v>
      </c>
      <c r="D57" s="257">
        <v>0</v>
      </c>
      <c r="E57" s="257">
        <v>0</v>
      </c>
      <c r="F57" s="257">
        <v>0</v>
      </c>
      <c r="G57" t="b">
        <v>0</v>
      </c>
      <c r="H57" s="1">
        <v>0</v>
      </c>
    </row>
    <row r="58" spans="2:11" x14ac:dyDescent="0.25">
      <c r="C58" t="s">
        <v>931</v>
      </c>
      <c r="D58" s="257">
        <v>0</v>
      </c>
      <c r="E58" s="257">
        <v>3.1108474237025764E-2</v>
      </c>
      <c r="F58" s="257">
        <v>4.1221368949917139E-2</v>
      </c>
      <c r="G58" t="b">
        <v>0</v>
      </c>
      <c r="H58" s="1">
        <v>4.3E-3</v>
      </c>
    </row>
    <row r="59" spans="2:11" x14ac:dyDescent="0.25">
      <c r="C59" t="s">
        <v>932</v>
      </c>
      <c r="D59" s="257">
        <v>0</v>
      </c>
      <c r="E59" s="257">
        <v>0</v>
      </c>
      <c r="F59" s="257">
        <v>0</v>
      </c>
      <c r="G59" t="b">
        <v>0</v>
      </c>
      <c r="H59" s="1">
        <v>1.18E-2</v>
      </c>
    </row>
    <row r="60" spans="2:11" x14ac:dyDescent="0.25">
      <c r="C60" t="s">
        <v>933</v>
      </c>
      <c r="D60" s="257">
        <v>0.19385996185181187</v>
      </c>
      <c r="E60" s="257">
        <v>0</v>
      </c>
      <c r="F60" s="257">
        <v>2.3610400491214056E-2</v>
      </c>
      <c r="G60" t="b">
        <v>0</v>
      </c>
      <c r="H60" s="1">
        <v>8.0999999999999996E-3</v>
      </c>
    </row>
    <row r="61" spans="2:11" x14ac:dyDescent="0.25">
      <c r="C61" t="s">
        <v>930</v>
      </c>
      <c r="D61" s="257">
        <v>0</v>
      </c>
      <c r="E61" s="257">
        <v>0.20511062648993755</v>
      </c>
      <c r="F61" s="257">
        <v>9.2463715715008429E-3</v>
      </c>
      <c r="G61" t="b">
        <v>0</v>
      </c>
      <c r="H61" s="1">
        <v>6.1999999999999998E-3</v>
      </c>
    </row>
    <row r="62" spans="2:11" x14ac:dyDescent="0.25">
      <c r="C62" t="s">
        <v>934</v>
      </c>
      <c r="D62" s="257">
        <v>0.85471559380818851</v>
      </c>
      <c r="E62" s="257">
        <v>2.5735523318830222E-2</v>
      </c>
      <c r="F62" s="257">
        <v>0</v>
      </c>
      <c r="G62" t="b">
        <v>0</v>
      </c>
      <c r="H62" s="1">
        <v>8.0999999999999996E-3</v>
      </c>
    </row>
    <row r="63" spans="2:11" x14ac:dyDescent="0.25">
      <c r="C63" t="s">
        <v>935</v>
      </c>
      <c r="D63" s="257">
        <v>0</v>
      </c>
      <c r="E63" s="257">
        <v>7.4779711966969844E-7</v>
      </c>
      <c r="F63" s="257">
        <v>4.6299826473327602E-2</v>
      </c>
      <c r="G63" t="b">
        <v>1</v>
      </c>
      <c r="H63" s="1">
        <v>6.0000000000000001E-3</v>
      </c>
    </row>
    <row r="64" spans="2:11" x14ac:dyDescent="0.25">
      <c r="C64" t="s">
        <v>936</v>
      </c>
      <c r="D64" s="257">
        <v>0</v>
      </c>
      <c r="E64" s="257">
        <v>0.12307102589798655</v>
      </c>
      <c r="F64" s="257">
        <v>2.0049725267209034E-2</v>
      </c>
      <c r="G64" t="b">
        <v>1</v>
      </c>
      <c r="H64" s="1">
        <v>1.9699999999999999E-2</v>
      </c>
    </row>
    <row r="65" spans="3:8" x14ac:dyDescent="0.25">
      <c r="C65" t="s">
        <v>937</v>
      </c>
      <c r="D65" s="257">
        <v>0</v>
      </c>
      <c r="E65" s="257">
        <v>0.1659696946302878</v>
      </c>
      <c r="F65" s="257">
        <v>1.6593661066806119E-2</v>
      </c>
      <c r="G65" t="b">
        <v>0</v>
      </c>
      <c r="H65" s="1">
        <v>5.4000000000000003E-3</v>
      </c>
    </row>
    <row r="66" spans="3:8" x14ac:dyDescent="0.25">
      <c r="C66" t="s">
        <v>980</v>
      </c>
      <c r="D66" s="257">
        <v>0</v>
      </c>
      <c r="E66" s="257">
        <v>0.19809712872350749</v>
      </c>
      <c r="F66" s="257">
        <v>2.4724586771270471E-2</v>
      </c>
      <c r="G66" t="b">
        <v>0</v>
      </c>
      <c r="H66" s="1">
        <v>5.5999999999999999E-3</v>
      </c>
    </row>
    <row r="67" spans="3:8" x14ac:dyDescent="0.25">
      <c r="C67" t="s">
        <v>938</v>
      </c>
      <c r="D67" s="257">
        <v>0</v>
      </c>
      <c r="E67" s="257">
        <v>0</v>
      </c>
      <c r="F67" s="257">
        <v>0</v>
      </c>
      <c r="G67" t="b">
        <v>0</v>
      </c>
      <c r="H67" s="1">
        <v>1.06E-2</v>
      </c>
    </row>
    <row r="68" spans="3:8" x14ac:dyDescent="0.25">
      <c r="C68" t="s">
        <v>939</v>
      </c>
      <c r="D68" s="257">
        <v>0</v>
      </c>
      <c r="E68" s="257">
        <v>9.8810964497598436E-2</v>
      </c>
      <c r="F68" s="257">
        <v>3.2088001395401244E-2</v>
      </c>
      <c r="G68" t="b">
        <v>0</v>
      </c>
      <c r="H68" s="1">
        <v>9.4000000000000004E-3</v>
      </c>
    </row>
    <row r="69" spans="3:8" x14ac:dyDescent="0.25">
      <c r="C69" t="s">
        <v>940</v>
      </c>
      <c r="D69" s="257">
        <v>0</v>
      </c>
      <c r="E69" s="257">
        <v>0.24258984046291054</v>
      </c>
      <c r="F69" s="257">
        <v>1.0280044526871458E-2</v>
      </c>
      <c r="G69" t="b">
        <v>0</v>
      </c>
      <c r="H69" s="1">
        <v>2.7000000000000001E-3</v>
      </c>
    </row>
    <row r="70" spans="3:8" x14ac:dyDescent="0.25">
      <c r="C70" t="s">
        <v>941</v>
      </c>
      <c r="D70" s="257">
        <v>0</v>
      </c>
      <c r="E70" s="257">
        <v>0.15680858105725495</v>
      </c>
      <c r="F70" s="257">
        <v>2.9276994360208843E-2</v>
      </c>
      <c r="G70" t="b">
        <v>0</v>
      </c>
      <c r="H70" s="1">
        <v>7.6E-3</v>
      </c>
    </row>
    <row r="71" spans="3:8" x14ac:dyDescent="0.25">
      <c r="C71" t="s">
        <v>942</v>
      </c>
      <c r="D71" s="257">
        <v>0</v>
      </c>
      <c r="E71" s="257">
        <v>0</v>
      </c>
      <c r="F71" s="257">
        <v>3.7499623220409874E-2</v>
      </c>
      <c r="G71" t="b">
        <v>0</v>
      </c>
      <c r="H71" s="1">
        <v>2.3E-2</v>
      </c>
    </row>
    <row r="72" spans="3:8" x14ac:dyDescent="0.25">
      <c r="C72" t="s">
        <v>943</v>
      </c>
      <c r="D72" s="257">
        <v>0</v>
      </c>
      <c r="E72" s="257">
        <v>0</v>
      </c>
      <c r="F72" s="257">
        <v>3.2299721463539946E-2</v>
      </c>
      <c r="G72" t="b">
        <v>0</v>
      </c>
      <c r="H72" s="1">
        <v>8.6999999999999994E-3</v>
      </c>
    </row>
    <row r="73" spans="3:8" x14ac:dyDescent="0.25">
      <c r="C73" t="s">
        <v>944</v>
      </c>
      <c r="D73" s="257">
        <v>0</v>
      </c>
      <c r="E73" s="257">
        <v>0.27291870762216147</v>
      </c>
      <c r="F73" s="257">
        <v>7.6183360451303403E-3</v>
      </c>
      <c r="G73" t="b">
        <v>0</v>
      </c>
      <c r="H73" s="1">
        <v>1.4800000000000001E-2</v>
      </c>
    </row>
    <row r="74" spans="3:8" x14ac:dyDescent="0.25">
      <c r="C74" t="s">
        <v>945</v>
      </c>
      <c r="D74" s="257">
        <v>0</v>
      </c>
      <c r="E74" s="257">
        <v>8.8283356560485318E-2</v>
      </c>
      <c r="F74" s="257">
        <v>1.9438507309437456E-2</v>
      </c>
      <c r="G74" t="b">
        <v>1</v>
      </c>
      <c r="H74" s="1">
        <v>1.4E-2</v>
      </c>
    </row>
    <row r="75" spans="3:8" x14ac:dyDescent="0.25">
      <c r="C75" t="s">
        <v>946</v>
      </c>
      <c r="D75" s="257">
        <v>0</v>
      </c>
      <c r="E75" s="257">
        <v>8.0972360576906044E-2</v>
      </c>
      <c r="F75" s="257">
        <v>3.6629990495927689E-2</v>
      </c>
      <c r="G75" t="b">
        <v>0</v>
      </c>
      <c r="H75" s="1">
        <v>8.5000000000000006E-3</v>
      </c>
    </row>
    <row r="76" spans="3:8" x14ac:dyDescent="0.25">
      <c r="C76" t="s">
        <v>947</v>
      </c>
      <c r="D76" s="257">
        <v>7.7369110257874477E-2</v>
      </c>
      <c r="E76" s="257">
        <v>0.1449686708042438</v>
      </c>
      <c r="F76" s="257">
        <v>4.7066076031574249E-3</v>
      </c>
      <c r="G76" t="b">
        <v>0</v>
      </c>
      <c r="H76" s="1">
        <v>4.8999999999999998E-3</v>
      </c>
    </row>
    <row r="77" spans="3:8" x14ac:dyDescent="0.25">
      <c r="C77" t="s">
        <v>948</v>
      </c>
      <c r="D77" s="257">
        <v>0.38963419066340449</v>
      </c>
      <c r="E77" s="257">
        <v>0</v>
      </c>
      <c r="F77" s="257">
        <v>5.0525439809135E-2</v>
      </c>
      <c r="G77" t="b">
        <v>0</v>
      </c>
      <c r="H77" s="1">
        <v>1.2999999999999999E-2</v>
      </c>
    </row>
    <row r="78" spans="3:8" x14ac:dyDescent="0.25">
      <c r="C78" t="s">
        <v>949</v>
      </c>
      <c r="D78" s="257">
        <v>1.178102949269157E-2</v>
      </c>
      <c r="E78" s="257">
        <v>4.4379692166948842E-2</v>
      </c>
      <c r="F78" s="257">
        <v>3.8026092020342767E-2</v>
      </c>
      <c r="G78" t="b">
        <v>0</v>
      </c>
      <c r="H78" s="1">
        <v>1.0999999999999999E-2</v>
      </c>
    </row>
    <row r="79" spans="3:8" x14ac:dyDescent="0.25">
      <c r="C79" t="s">
        <v>950</v>
      </c>
      <c r="D79" s="257">
        <v>0</v>
      </c>
      <c r="E79" s="257">
        <v>0</v>
      </c>
      <c r="F79" s="257">
        <v>5.0999999999999997E-2</v>
      </c>
      <c r="G79" t="b">
        <v>0</v>
      </c>
      <c r="H79" s="1">
        <v>1.2E-2</v>
      </c>
    </row>
    <row r="80" spans="3:8" x14ac:dyDescent="0.25">
      <c r="C80" t="s">
        <v>951</v>
      </c>
      <c r="D80" s="257">
        <v>5.383205185316686E-7</v>
      </c>
      <c r="E80" s="257">
        <v>1.7323429101813939E-6</v>
      </c>
      <c r="F80" s="257">
        <v>4.2499531290193494E-2</v>
      </c>
      <c r="G80" t="b">
        <v>0</v>
      </c>
      <c r="H80" s="1">
        <v>1.78E-2</v>
      </c>
    </row>
    <row r="81" spans="3:8" x14ac:dyDescent="0.25">
      <c r="C81" t="s">
        <v>952</v>
      </c>
      <c r="D81" s="257">
        <v>0.39130462507651037</v>
      </c>
      <c r="E81" s="257">
        <v>0</v>
      </c>
      <c r="F81" s="257">
        <v>4.7720252054265618E-2</v>
      </c>
      <c r="G81" t="b">
        <v>1</v>
      </c>
      <c r="H81" s="1">
        <v>1.18E-2</v>
      </c>
    </row>
    <row r="82" spans="3:8" x14ac:dyDescent="0.25">
      <c r="C82" t="s">
        <v>953</v>
      </c>
      <c r="D82" s="257">
        <v>0</v>
      </c>
      <c r="E82" s="257">
        <v>5.6036785106901736E-2</v>
      </c>
      <c r="F82" s="257">
        <v>3.4158508502523569E-2</v>
      </c>
      <c r="G82" t="b">
        <v>0</v>
      </c>
      <c r="H82" s="1">
        <v>7.9000000000000008E-3</v>
      </c>
    </row>
    <row r="83" spans="3:8" x14ac:dyDescent="0.25">
      <c r="C83" t="s">
        <v>954</v>
      </c>
      <c r="D83" s="257">
        <v>0</v>
      </c>
      <c r="E83" s="257">
        <v>8.8192570753846483E-2</v>
      </c>
      <c r="F83" s="257">
        <v>3.5112737605523664E-2</v>
      </c>
      <c r="G83" t="b">
        <v>1</v>
      </c>
      <c r="H83" s="1">
        <v>0.01</v>
      </c>
    </row>
    <row r="84" spans="3:8" x14ac:dyDescent="0.25">
      <c r="C84" t="s">
        <v>955</v>
      </c>
      <c r="D84" s="257">
        <v>0</v>
      </c>
      <c r="E84" s="257">
        <v>0.17378830140999038</v>
      </c>
      <c r="F84" s="257">
        <v>1.9412905009770463E-2</v>
      </c>
      <c r="G84" t="b">
        <v>1</v>
      </c>
      <c r="H84" s="1">
        <v>8.5000000000000006E-3</v>
      </c>
    </row>
    <row r="85" spans="3:8" x14ac:dyDescent="0.25">
      <c r="C85" t="s">
        <v>956</v>
      </c>
      <c r="D85" s="257">
        <v>0</v>
      </c>
      <c r="E85" s="257">
        <v>0.18879383966017577</v>
      </c>
      <c r="F85" s="257">
        <v>9.6803720955320471E-3</v>
      </c>
      <c r="G85" t="b">
        <v>1</v>
      </c>
      <c r="H85" s="1">
        <v>1.8499999999999999E-2</v>
      </c>
    </row>
    <row r="86" spans="3:8" x14ac:dyDescent="0.25">
      <c r="C86" t="s">
        <v>957</v>
      </c>
      <c r="D86" s="257">
        <v>0</v>
      </c>
      <c r="E86" s="257">
        <v>0</v>
      </c>
      <c r="F86" s="257">
        <v>0</v>
      </c>
      <c r="G86" t="b">
        <v>0</v>
      </c>
      <c r="H86" s="1">
        <v>8.5000000000000006E-3</v>
      </c>
    </row>
    <row r="87" spans="3:8" x14ac:dyDescent="0.25">
      <c r="C87" t="s">
        <v>958</v>
      </c>
      <c r="D87" s="257">
        <v>0</v>
      </c>
      <c r="E87" s="257">
        <v>0</v>
      </c>
      <c r="F87" s="257">
        <v>0.05</v>
      </c>
      <c r="G87" t="b">
        <v>0</v>
      </c>
      <c r="H87" s="1">
        <v>2.1499999999999998E-2</v>
      </c>
    </row>
    <row r="88" spans="3:8" x14ac:dyDescent="0.25">
      <c r="C88" t="s">
        <v>959</v>
      </c>
      <c r="D88" s="257">
        <v>0.54725314418400295</v>
      </c>
      <c r="E88" s="257">
        <v>0</v>
      </c>
      <c r="F88" s="257">
        <v>6.5696568489257345E-3</v>
      </c>
      <c r="G88" t="b">
        <v>0</v>
      </c>
      <c r="H88" s="1">
        <v>2.35E-2</v>
      </c>
    </row>
    <row r="89" spans="3:8" x14ac:dyDescent="0.25">
      <c r="C89" t="s">
        <v>960</v>
      </c>
      <c r="D89" s="257">
        <v>0</v>
      </c>
      <c r="E89" s="257">
        <v>0.11469638207435463</v>
      </c>
      <c r="F89" s="257">
        <v>1.6090267837961986E-2</v>
      </c>
      <c r="G89" t="b">
        <v>1</v>
      </c>
      <c r="H89" s="1">
        <v>7.4000000000000003E-3</v>
      </c>
    </row>
    <row r="90" spans="3:8" x14ac:dyDescent="0.25">
      <c r="C90" t="s">
        <v>961</v>
      </c>
      <c r="D90" s="257">
        <v>0</v>
      </c>
      <c r="E90" s="257">
        <v>0.11961367041489256</v>
      </c>
      <c r="F90" s="257">
        <v>3.0257997946351433E-2</v>
      </c>
      <c r="G90" t="b">
        <v>0</v>
      </c>
      <c r="H90" s="1">
        <v>1.6199999999999999E-2</v>
      </c>
    </row>
    <row r="91" spans="3:8" x14ac:dyDescent="0.25">
      <c r="C91" t="s">
        <v>962</v>
      </c>
      <c r="D91" s="257">
        <v>0</v>
      </c>
      <c r="E91" s="257">
        <v>0</v>
      </c>
      <c r="F91" s="257">
        <v>5.4989999999999997E-2</v>
      </c>
      <c r="G91" t="b">
        <v>0</v>
      </c>
      <c r="H91" s="1">
        <v>8.5000000000000006E-3</v>
      </c>
    </row>
    <row r="92" spans="3:8" x14ac:dyDescent="0.25">
      <c r="C92" t="s">
        <v>963</v>
      </c>
      <c r="D92" s="257">
        <v>0.15759221110012281</v>
      </c>
      <c r="E92" s="257">
        <v>0</v>
      </c>
      <c r="F92" s="257">
        <v>8.4434175440674421E-3</v>
      </c>
      <c r="G92" t="b">
        <v>1</v>
      </c>
      <c r="H92" s="1">
        <v>1.12E-2</v>
      </c>
    </row>
    <row r="93" spans="3:8" x14ac:dyDescent="0.25">
      <c r="C93" t="s">
        <v>964</v>
      </c>
      <c r="D93" s="257">
        <v>0.1146830116397064</v>
      </c>
      <c r="E93" s="257">
        <v>0.11780934693179541</v>
      </c>
      <c r="F93" s="257">
        <v>0</v>
      </c>
      <c r="G93" t="b">
        <v>0</v>
      </c>
      <c r="H93" s="1">
        <v>1.5599999999999999E-2</v>
      </c>
    </row>
    <row r="94" spans="3:8" x14ac:dyDescent="0.25">
      <c r="C94" t="s">
        <v>965</v>
      </c>
      <c r="D94" s="257">
        <v>0</v>
      </c>
      <c r="E94" s="257">
        <v>0.1266706630032553</v>
      </c>
      <c r="F94" s="257">
        <v>1.4114038588815811E-2</v>
      </c>
      <c r="G94" t="b">
        <v>0</v>
      </c>
      <c r="H94" s="1">
        <v>8.8000000000000005E-3</v>
      </c>
    </row>
    <row r="95" spans="3:8" x14ac:dyDescent="0.25">
      <c r="C95" t="s">
        <v>966</v>
      </c>
      <c r="D95" s="257">
        <v>0</v>
      </c>
      <c r="E95" s="257">
        <v>0.15360488126803637</v>
      </c>
      <c r="F95" s="257">
        <v>4.8928570036617214E-2</v>
      </c>
      <c r="G95" t="b">
        <v>0</v>
      </c>
      <c r="H95" s="1">
        <v>1.0800000000000001E-2</v>
      </c>
    </row>
    <row r="96" spans="3:8" x14ac:dyDescent="0.25">
      <c r="C96" t="s">
        <v>967</v>
      </c>
      <c r="D96" s="257">
        <v>0</v>
      </c>
      <c r="E96" s="257">
        <v>0</v>
      </c>
      <c r="F96" s="257">
        <v>3.0699748659574793E-2</v>
      </c>
      <c r="G96" t="b">
        <v>0</v>
      </c>
      <c r="H96" s="1">
        <v>1.5299999999999999E-2</v>
      </c>
    </row>
    <row r="97" spans="2:8" x14ac:dyDescent="0.25">
      <c r="C97" t="s">
        <v>968</v>
      </c>
      <c r="D97" s="257">
        <v>0.23686053854082309</v>
      </c>
      <c r="E97" s="257">
        <v>0</v>
      </c>
      <c r="F97" s="257">
        <v>3.3466567214598397E-2</v>
      </c>
      <c r="G97" t="b">
        <v>1</v>
      </c>
      <c r="H97" s="1">
        <v>1.6299999999999999E-2</v>
      </c>
    </row>
    <row r="98" spans="2:8" x14ac:dyDescent="0.25">
      <c r="C98" t="s">
        <v>969</v>
      </c>
      <c r="D98" s="257">
        <v>0</v>
      </c>
      <c r="E98" s="257">
        <v>0.16747974606177318</v>
      </c>
      <c r="F98" s="257">
        <v>2.2414604233195433E-2</v>
      </c>
      <c r="G98" t="b">
        <v>0</v>
      </c>
      <c r="H98" s="1">
        <v>5.7000000000000002E-3</v>
      </c>
    </row>
    <row r="99" spans="2:8" x14ac:dyDescent="0.25">
      <c r="C99" t="s">
        <v>970</v>
      </c>
      <c r="D99" s="257">
        <v>0</v>
      </c>
      <c r="E99" s="257">
        <v>0</v>
      </c>
      <c r="F99" s="257">
        <v>0</v>
      </c>
      <c r="G99" t="b">
        <v>0</v>
      </c>
      <c r="H99" s="1">
        <v>1.34E-2</v>
      </c>
    </row>
    <row r="100" spans="2:8" x14ac:dyDescent="0.25">
      <c r="C100" t="s">
        <v>971</v>
      </c>
      <c r="D100" s="257">
        <v>0</v>
      </c>
      <c r="E100" s="257">
        <v>0</v>
      </c>
      <c r="F100" s="257">
        <v>0.05</v>
      </c>
      <c r="G100" t="b">
        <v>0</v>
      </c>
      <c r="H100" s="1">
        <v>7.4999999999999997E-3</v>
      </c>
    </row>
    <row r="101" spans="2:8" x14ac:dyDescent="0.25">
      <c r="C101" t="s">
        <v>972</v>
      </c>
      <c r="D101" s="257">
        <v>0</v>
      </c>
      <c r="E101" s="257">
        <v>0</v>
      </c>
      <c r="F101" s="257">
        <v>0</v>
      </c>
      <c r="G101" t="b">
        <v>0</v>
      </c>
      <c r="H101" s="1">
        <v>1.9E-2</v>
      </c>
    </row>
    <row r="102" spans="2:8" x14ac:dyDescent="0.25">
      <c r="C102" t="s">
        <v>973</v>
      </c>
      <c r="D102" s="257">
        <v>0</v>
      </c>
      <c r="E102" s="257">
        <v>0</v>
      </c>
      <c r="F102" s="257">
        <v>0.05</v>
      </c>
      <c r="G102" t="b">
        <v>1</v>
      </c>
      <c r="H102" s="1">
        <v>6.7999999999999996E-3</v>
      </c>
    </row>
    <row r="103" spans="2:8" x14ac:dyDescent="0.25">
      <c r="C103" t="s">
        <v>974</v>
      </c>
      <c r="D103" s="257">
        <v>0.53804526835361821</v>
      </c>
      <c r="E103" s="257">
        <v>0</v>
      </c>
      <c r="F103" s="257">
        <v>2.6934102232042172E-2</v>
      </c>
      <c r="G103" t="b">
        <v>1</v>
      </c>
      <c r="H103" s="1">
        <v>1.7399999999999999E-2</v>
      </c>
    </row>
    <row r="104" spans="2:8" x14ac:dyDescent="0.25">
      <c r="C104" t="s">
        <v>975</v>
      </c>
      <c r="D104" s="257">
        <v>0</v>
      </c>
      <c r="E104" s="257">
        <v>8.0587902355947177E-2</v>
      </c>
      <c r="F104" s="257">
        <v>3.451712685552543E-2</v>
      </c>
      <c r="G104" t="b">
        <v>0</v>
      </c>
      <c r="H104" s="1">
        <v>8.0000000000000002E-3</v>
      </c>
    </row>
    <row r="105" spans="2:8" x14ac:dyDescent="0.25">
      <c r="C105" t="s">
        <v>976</v>
      </c>
      <c r="D105" s="257">
        <v>0</v>
      </c>
      <c r="E105" s="257">
        <v>0</v>
      </c>
      <c r="F105" s="257">
        <v>0</v>
      </c>
      <c r="G105" t="b">
        <v>0</v>
      </c>
      <c r="H105" s="1">
        <v>1.0800000000000001E-2</v>
      </c>
    </row>
    <row r="106" spans="2:8" x14ac:dyDescent="0.25">
      <c r="C106" t="s">
        <v>977</v>
      </c>
      <c r="D106" s="257">
        <v>0</v>
      </c>
      <c r="E106" s="257">
        <v>0.1581236760904936</v>
      </c>
      <c r="F106" s="257">
        <v>1.7086112585574287E-2</v>
      </c>
      <c r="G106" t="b">
        <v>1</v>
      </c>
      <c r="H106" s="1">
        <v>5.7999999999999996E-3</v>
      </c>
    </row>
    <row r="107" spans="2:8" x14ac:dyDescent="0.25">
      <c r="C107" t="s">
        <v>978</v>
      </c>
      <c r="D107" s="257">
        <v>0</v>
      </c>
      <c r="E107" s="257">
        <v>0.11137190957354484</v>
      </c>
      <c r="F107" s="257">
        <v>3.3085740672721582E-2</v>
      </c>
      <c r="G107" t="b">
        <v>0</v>
      </c>
      <c r="H107" s="1">
        <v>1.9599999999999999E-2</v>
      </c>
    </row>
    <row r="108" spans="2:8" x14ac:dyDescent="0.25">
      <c r="C108" t="s">
        <v>979</v>
      </c>
      <c r="D108" s="257">
        <v>0</v>
      </c>
      <c r="E108" s="257">
        <v>0</v>
      </c>
      <c r="F108" s="257">
        <v>0</v>
      </c>
      <c r="G108" t="b">
        <v>0</v>
      </c>
      <c r="H108" s="1">
        <v>6.1000000000000004E-3</v>
      </c>
    </row>
    <row r="109" spans="2:8" x14ac:dyDescent="0.25">
      <c r="B109" s="257"/>
      <c r="C109" s="257"/>
      <c r="D109" s="257"/>
    </row>
    <row r="110" spans="2:8" x14ac:dyDescent="0.25">
      <c r="B110" s="33" t="s">
        <v>850</v>
      </c>
      <c r="C110" s="2"/>
      <c r="D110" s="2"/>
      <c r="E110" s="1"/>
      <c r="F110" s="2"/>
      <c r="G110" s="1"/>
    </row>
    <row r="111" spans="2:8" ht="30" x14ac:dyDescent="0.25">
      <c r="B111" s="44" t="s">
        <v>851</v>
      </c>
      <c r="C111" s="260" t="s">
        <v>856</v>
      </c>
      <c r="D111" s="44" t="s">
        <v>853</v>
      </c>
      <c r="E111" s="260" t="s">
        <v>854</v>
      </c>
      <c r="F111" s="260" t="s">
        <v>855</v>
      </c>
      <c r="G111" s="260" t="s">
        <v>845</v>
      </c>
      <c r="H111" s="258" t="s">
        <v>849</v>
      </c>
    </row>
    <row r="112" spans="2:8" x14ac:dyDescent="0.25">
      <c r="B112" s="9" t="s">
        <v>848</v>
      </c>
      <c r="C112" t="b">
        <v>0</v>
      </c>
      <c r="D112">
        <f>-((SC_VersionMaj - SC_YearEpoch) + SC_MaxForecastYears)</f>
        <v>-148</v>
      </c>
      <c r="E112" s="220">
        <v>0.5</v>
      </c>
      <c r="F112" s="220">
        <v>0.4</v>
      </c>
      <c r="G112" s="220">
        <f>1-E112-F112</f>
        <v>9.9999999999999978E-2</v>
      </c>
      <c r="H112" s="1">
        <f t="shared" ref="H112:H116" si="8">0.8*E112</f>
        <v>0.4</v>
      </c>
    </row>
    <row r="113" spans="2:10" x14ac:dyDescent="0.25">
      <c r="B113" s="9" t="s">
        <v>858</v>
      </c>
      <c r="C113" t="b">
        <v>0</v>
      </c>
      <c r="D113">
        <v>0</v>
      </c>
      <c r="E113" s="220">
        <v>0.6</v>
      </c>
      <c r="F113" s="220">
        <v>0.3</v>
      </c>
      <c r="G113" s="220">
        <f t="shared" ref="G113:G117" si="9">1-E113-F113</f>
        <v>0.10000000000000003</v>
      </c>
      <c r="H113" s="1">
        <f t="shared" si="8"/>
        <v>0.48</v>
      </c>
    </row>
    <row r="114" spans="2:10" x14ac:dyDescent="0.25">
      <c r="B114" s="9" t="s">
        <v>847</v>
      </c>
      <c r="C114" t="b">
        <v>0</v>
      </c>
      <c r="D114">
        <v>5</v>
      </c>
      <c r="E114" s="220">
        <v>0.6</v>
      </c>
      <c r="F114" s="220">
        <v>0.3</v>
      </c>
      <c r="G114" s="220">
        <f t="shared" si="9"/>
        <v>0.10000000000000003</v>
      </c>
      <c r="H114" s="1">
        <f t="shared" si="8"/>
        <v>0.48</v>
      </c>
    </row>
    <row r="115" spans="2:10" x14ac:dyDescent="0.25">
      <c r="B115" s="9" t="s">
        <v>860</v>
      </c>
      <c r="C115" t="b">
        <v>0</v>
      </c>
      <c r="D115">
        <v>10</v>
      </c>
      <c r="E115" s="220">
        <v>0.7</v>
      </c>
      <c r="F115" s="220">
        <v>0.25</v>
      </c>
      <c r="G115" s="220">
        <f t="shared" si="9"/>
        <v>5.0000000000000044E-2</v>
      </c>
      <c r="H115" s="1">
        <f t="shared" si="8"/>
        <v>0.55999999999999994</v>
      </c>
    </row>
    <row r="116" spans="2:10" x14ac:dyDescent="0.25">
      <c r="B116" s="9" t="s">
        <v>859</v>
      </c>
      <c r="C116" t="b">
        <v>0</v>
      </c>
      <c r="D116">
        <v>15</v>
      </c>
      <c r="E116" s="220">
        <v>0.85</v>
      </c>
      <c r="F116" s="220">
        <v>0.15</v>
      </c>
      <c r="G116" s="220">
        <f t="shared" si="9"/>
        <v>0</v>
      </c>
      <c r="H116" s="1">
        <f t="shared" si="8"/>
        <v>0.68</v>
      </c>
    </row>
    <row r="117" spans="2:10" x14ac:dyDescent="0.25">
      <c r="B117" s="9" t="s">
        <v>846</v>
      </c>
      <c r="C117" t="b">
        <v>0</v>
      </c>
      <c r="D117">
        <v>20</v>
      </c>
      <c r="E117" s="220">
        <v>0.95</v>
      </c>
      <c r="F117" s="220">
        <v>0.05</v>
      </c>
      <c r="G117" s="220">
        <f t="shared" si="9"/>
        <v>0</v>
      </c>
      <c r="H117" s="1">
        <f>0.8*E117</f>
        <v>0.76</v>
      </c>
    </row>
    <row r="118" spans="2:10" x14ac:dyDescent="0.25">
      <c r="B118" s="9" t="s">
        <v>845</v>
      </c>
      <c r="C118" t="b">
        <v>0</v>
      </c>
      <c r="E118" s="220">
        <v>0</v>
      </c>
      <c r="F118" s="220">
        <v>0</v>
      </c>
      <c r="G118" s="220">
        <f>1-E118-F118</f>
        <v>1</v>
      </c>
      <c r="H118" s="1">
        <f>0.8*E118</f>
        <v>0</v>
      </c>
    </row>
    <row r="119" spans="2:10" x14ac:dyDescent="0.25">
      <c r="B119" s="9" t="s">
        <v>857</v>
      </c>
      <c r="C119" t="b">
        <v>1</v>
      </c>
    </row>
    <row r="120" spans="2:10" x14ac:dyDescent="0.25">
      <c r="J120" s="15"/>
    </row>
    <row r="121" spans="2:10" x14ac:dyDescent="0.25">
      <c r="B121" t="s">
        <v>995</v>
      </c>
    </row>
    <row r="122" spans="2:10" ht="45" x14ac:dyDescent="0.25">
      <c r="B122" s="228" t="s">
        <v>868</v>
      </c>
      <c r="C122" s="229" t="s">
        <v>991</v>
      </c>
      <c r="D122" s="229" t="s">
        <v>996</v>
      </c>
      <c r="E122" s="229" t="s">
        <v>992</v>
      </c>
      <c r="F122" s="229" t="s">
        <v>993</v>
      </c>
      <c r="G122" s="229" t="s">
        <v>997</v>
      </c>
      <c r="H122" s="229" t="s">
        <v>994</v>
      </c>
    </row>
    <row r="123" spans="2:10" x14ac:dyDescent="0.25">
      <c r="B123">
        <v>0</v>
      </c>
      <c r="C123" s="1">
        <v>6.3829999999999998E-3</v>
      </c>
      <c r="D123" s="1">
        <f>100%-C123</f>
        <v>0.99361699999999997</v>
      </c>
      <c r="E123" s="15">
        <v>76.150000000000006</v>
      </c>
      <c r="F123" s="1">
        <v>5.3740000000000003E-3</v>
      </c>
      <c r="G123" s="1">
        <f>100%-F123</f>
        <v>0.99462600000000001</v>
      </c>
      <c r="H123" s="15">
        <v>80.97</v>
      </c>
    </row>
    <row r="124" spans="2:10" x14ac:dyDescent="0.25">
      <c r="B124">
        <v>1</v>
      </c>
      <c r="C124" s="1">
        <v>4.5300000000000001E-4</v>
      </c>
      <c r="D124" s="1">
        <f t="shared" ref="D124:D187" si="10">100%-C124</f>
        <v>0.99954699999999996</v>
      </c>
      <c r="E124" s="15">
        <v>75.63</v>
      </c>
      <c r="F124" s="1">
        <v>3.5300000000000002E-4</v>
      </c>
      <c r="G124" s="1">
        <f t="shared" ref="G124:G187" si="11">100%-F124</f>
        <v>0.99964699999999995</v>
      </c>
      <c r="H124" s="15">
        <v>80.41</v>
      </c>
    </row>
    <row r="125" spans="2:10" x14ac:dyDescent="0.25">
      <c r="B125">
        <v>2</v>
      </c>
      <c r="C125" s="1">
        <v>2.8200000000000002E-4</v>
      </c>
      <c r="D125" s="1">
        <f t="shared" si="10"/>
        <v>0.999718</v>
      </c>
      <c r="E125" s="15">
        <v>74.67</v>
      </c>
      <c r="F125" s="1">
        <v>2.31E-4</v>
      </c>
      <c r="G125" s="1">
        <f t="shared" si="11"/>
        <v>0.99976900000000002</v>
      </c>
      <c r="H125" s="15">
        <v>79.44</v>
      </c>
    </row>
    <row r="126" spans="2:10" x14ac:dyDescent="0.25">
      <c r="B126">
        <v>3</v>
      </c>
      <c r="C126" s="1">
        <v>2.3000000000000001E-4</v>
      </c>
      <c r="D126" s="1">
        <f t="shared" si="10"/>
        <v>0.99977000000000005</v>
      </c>
      <c r="E126" s="15">
        <v>73.69</v>
      </c>
      <c r="F126" s="1">
        <v>1.65E-4</v>
      </c>
      <c r="G126" s="1">
        <f t="shared" si="11"/>
        <v>0.99983500000000003</v>
      </c>
      <c r="H126" s="15">
        <v>78.45</v>
      </c>
    </row>
    <row r="127" spans="2:10" x14ac:dyDescent="0.25">
      <c r="B127">
        <v>4</v>
      </c>
      <c r="C127" s="1">
        <v>1.6899999999999999E-4</v>
      </c>
      <c r="D127" s="1">
        <f t="shared" si="10"/>
        <v>0.99983100000000003</v>
      </c>
      <c r="E127" s="15">
        <v>72.709999999999994</v>
      </c>
      <c r="F127" s="1">
        <v>1.2899999999999999E-4</v>
      </c>
      <c r="G127" s="1">
        <f t="shared" si="11"/>
        <v>0.99987099999999995</v>
      </c>
      <c r="H127" s="15">
        <v>77.47</v>
      </c>
    </row>
    <row r="128" spans="2:10" x14ac:dyDescent="0.25">
      <c r="B128">
        <v>5</v>
      </c>
      <c r="C128" s="1">
        <v>1.55E-4</v>
      </c>
      <c r="D128" s="1">
        <f t="shared" si="10"/>
        <v>0.99984499999999998</v>
      </c>
      <c r="E128" s="15">
        <v>71.72</v>
      </c>
      <c r="F128" s="1">
        <v>1.16E-4</v>
      </c>
      <c r="G128" s="1">
        <f t="shared" si="11"/>
        <v>0.999884</v>
      </c>
      <c r="H128" s="15">
        <v>76.48</v>
      </c>
    </row>
    <row r="129" spans="2:8" x14ac:dyDescent="0.25">
      <c r="B129">
        <v>6</v>
      </c>
      <c r="C129" s="1">
        <v>1.45E-4</v>
      </c>
      <c r="D129" s="1">
        <f t="shared" si="10"/>
        <v>0.99985500000000005</v>
      </c>
      <c r="E129" s="15">
        <v>70.73</v>
      </c>
      <c r="F129" s="1">
        <v>1.07E-4</v>
      </c>
      <c r="G129" s="1">
        <f t="shared" si="11"/>
        <v>0.99989300000000003</v>
      </c>
      <c r="H129" s="15">
        <v>75.48</v>
      </c>
    </row>
    <row r="130" spans="2:8" x14ac:dyDescent="0.25">
      <c r="B130">
        <v>7</v>
      </c>
      <c r="C130" s="1">
        <v>1.35E-4</v>
      </c>
      <c r="D130" s="1">
        <f t="shared" si="10"/>
        <v>0.999865</v>
      </c>
      <c r="E130" s="15">
        <v>69.739999999999995</v>
      </c>
      <c r="F130" s="1">
        <v>1.01E-4</v>
      </c>
      <c r="G130" s="1">
        <f t="shared" si="11"/>
        <v>0.99989899999999998</v>
      </c>
      <c r="H130" s="15">
        <v>74.489999999999995</v>
      </c>
    </row>
    <row r="131" spans="2:8" x14ac:dyDescent="0.25">
      <c r="B131">
        <v>8</v>
      </c>
      <c r="C131" s="1">
        <v>1.2E-4</v>
      </c>
      <c r="D131" s="1">
        <f t="shared" si="10"/>
        <v>0.99987999999999999</v>
      </c>
      <c r="E131" s="15">
        <v>68.75</v>
      </c>
      <c r="F131" s="1">
        <v>9.6000000000000002E-5</v>
      </c>
      <c r="G131" s="1">
        <f t="shared" si="11"/>
        <v>0.99990400000000002</v>
      </c>
      <c r="H131" s="15">
        <v>73.5</v>
      </c>
    </row>
    <row r="132" spans="2:8" x14ac:dyDescent="0.25">
      <c r="B132">
        <v>9</v>
      </c>
      <c r="C132" s="1">
        <v>1.05E-4</v>
      </c>
      <c r="D132" s="1">
        <f t="shared" si="10"/>
        <v>0.99989499999999998</v>
      </c>
      <c r="E132" s="15">
        <v>67.760000000000005</v>
      </c>
      <c r="F132" s="1">
        <v>9.2E-5</v>
      </c>
      <c r="G132" s="1">
        <f t="shared" si="11"/>
        <v>0.99990800000000002</v>
      </c>
      <c r="H132" s="15">
        <v>72.510000000000005</v>
      </c>
    </row>
    <row r="133" spans="2:8" x14ac:dyDescent="0.25">
      <c r="B133">
        <v>10</v>
      </c>
      <c r="C133" s="1">
        <v>9.3999999999999994E-5</v>
      </c>
      <c r="D133" s="1">
        <f t="shared" si="10"/>
        <v>0.99990599999999996</v>
      </c>
      <c r="E133" s="15">
        <v>66.760000000000005</v>
      </c>
      <c r="F133" s="1">
        <v>9.1000000000000003E-5</v>
      </c>
      <c r="G133" s="1">
        <f t="shared" si="11"/>
        <v>0.99990900000000005</v>
      </c>
      <c r="H133" s="15">
        <v>71.510000000000005</v>
      </c>
    </row>
    <row r="134" spans="2:8" x14ac:dyDescent="0.25">
      <c r="B134">
        <v>11</v>
      </c>
      <c r="C134" s="1">
        <v>9.8999999999999994E-5</v>
      </c>
      <c r="D134" s="1">
        <f t="shared" si="10"/>
        <v>0.99990100000000004</v>
      </c>
      <c r="E134" s="15">
        <v>65.77</v>
      </c>
      <c r="F134" s="1">
        <v>9.6000000000000002E-5</v>
      </c>
      <c r="G134" s="1">
        <f t="shared" si="11"/>
        <v>0.99990400000000002</v>
      </c>
      <c r="H134" s="15">
        <v>70.52</v>
      </c>
    </row>
    <row r="135" spans="2:8" x14ac:dyDescent="0.25">
      <c r="B135">
        <v>12</v>
      </c>
      <c r="C135" s="1">
        <v>1.34E-4</v>
      </c>
      <c r="D135" s="1">
        <f t="shared" si="10"/>
        <v>0.99986600000000003</v>
      </c>
      <c r="E135" s="15">
        <v>64.78</v>
      </c>
      <c r="F135" s="1">
        <v>1.11E-4</v>
      </c>
      <c r="G135" s="1">
        <f t="shared" si="11"/>
        <v>0.99988900000000003</v>
      </c>
      <c r="H135" s="15">
        <v>69.53</v>
      </c>
    </row>
    <row r="136" spans="2:8" x14ac:dyDescent="0.25">
      <c r="B136">
        <v>13</v>
      </c>
      <c r="C136" s="1">
        <v>2.0699999999999999E-4</v>
      </c>
      <c r="D136" s="1">
        <f t="shared" si="10"/>
        <v>0.99979300000000004</v>
      </c>
      <c r="E136" s="15">
        <v>63.79</v>
      </c>
      <c r="F136" s="1">
        <v>1.3799999999999999E-4</v>
      </c>
      <c r="G136" s="1">
        <f t="shared" si="11"/>
        <v>0.99986200000000003</v>
      </c>
      <c r="H136" s="15">
        <v>68.53</v>
      </c>
    </row>
    <row r="137" spans="2:8" x14ac:dyDescent="0.25">
      <c r="B137">
        <v>14</v>
      </c>
      <c r="C137" s="1">
        <v>3.0899999999999998E-4</v>
      </c>
      <c r="D137" s="1">
        <f t="shared" si="10"/>
        <v>0.999691</v>
      </c>
      <c r="E137" s="15">
        <v>62.8</v>
      </c>
      <c r="F137" s="1">
        <v>1.74E-4</v>
      </c>
      <c r="G137" s="1">
        <f t="shared" si="11"/>
        <v>0.99982599999999999</v>
      </c>
      <c r="H137" s="15">
        <v>67.540000000000006</v>
      </c>
    </row>
    <row r="138" spans="2:8" x14ac:dyDescent="0.25">
      <c r="B138">
        <v>15</v>
      </c>
      <c r="C138" s="1">
        <v>4.1899999999999999E-4</v>
      </c>
      <c r="D138" s="1">
        <f t="shared" si="10"/>
        <v>0.99958100000000005</v>
      </c>
      <c r="E138" s="15">
        <v>61.82</v>
      </c>
      <c r="F138" s="1">
        <v>2.14E-4</v>
      </c>
      <c r="G138" s="1">
        <f t="shared" si="11"/>
        <v>0.99978599999999995</v>
      </c>
      <c r="H138" s="15">
        <v>66.56</v>
      </c>
    </row>
    <row r="139" spans="2:8" x14ac:dyDescent="0.25">
      <c r="B139">
        <v>16</v>
      </c>
      <c r="C139" s="1">
        <v>5.2999999999999998E-4</v>
      </c>
      <c r="D139" s="1">
        <f t="shared" si="10"/>
        <v>0.99946999999999997</v>
      </c>
      <c r="E139" s="15">
        <v>60.84</v>
      </c>
      <c r="F139" s="1">
        <v>2.5399999999999999E-4</v>
      </c>
      <c r="G139" s="1">
        <f t="shared" si="11"/>
        <v>0.99974600000000002</v>
      </c>
      <c r="H139" s="15">
        <v>65.569999999999993</v>
      </c>
    </row>
    <row r="140" spans="2:8" x14ac:dyDescent="0.25">
      <c r="B140">
        <v>17</v>
      </c>
      <c r="C140" s="1">
        <v>6.5499999999999998E-4</v>
      </c>
      <c r="D140" s="1">
        <f t="shared" si="10"/>
        <v>0.99934500000000004</v>
      </c>
      <c r="E140" s="15">
        <v>59.88</v>
      </c>
      <c r="F140" s="1">
        <v>2.9399999999999999E-4</v>
      </c>
      <c r="G140" s="1">
        <f t="shared" si="11"/>
        <v>0.99970599999999998</v>
      </c>
      <c r="H140" s="15">
        <v>64.59</v>
      </c>
    </row>
    <row r="141" spans="2:8" x14ac:dyDescent="0.25">
      <c r="B141">
        <v>18</v>
      </c>
      <c r="C141" s="1">
        <v>7.9100000000000004E-4</v>
      </c>
      <c r="D141" s="1">
        <f t="shared" si="10"/>
        <v>0.99920900000000001</v>
      </c>
      <c r="E141" s="15">
        <v>58.91</v>
      </c>
      <c r="F141" s="1">
        <v>3.3E-4</v>
      </c>
      <c r="G141" s="1">
        <f t="shared" si="11"/>
        <v>0.99966999999999995</v>
      </c>
      <c r="H141" s="15">
        <v>63.61</v>
      </c>
    </row>
    <row r="142" spans="2:8" x14ac:dyDescent="0.25">
      <c r="B142">
        <v>19</v>
      </c>
      <c r="C142" s="1">
        <v>9.3400000000000004E-4</v>
      </c>
      <c r="D142" s="1">
        <f t="shared" si="10"/>
        <v>0.99906600000000001</v>
      </c>
      <c r="E142" s="15">
        <v>57.96</v>
      </c>
      <c r="F142" s="1">
        <v>3.6400000000000001E-4</v>
      </c>
      <c r="G142" s="1">
        <f t="shared" si="11"/>
        <v>0.99963599999999997</v>
      </c>
      <c r="H142" s="15">
        <v>62.63</v>
      </c>
    </row>
    <row r="143" spans="2:8" x14ac:dyDescent="0.25">
      <c r="B143">
        <v>20</v>
      </c>
      <c r="C143" s="1">
        <v>1.085E-3</v>
      </c>
      <c r="D143" s="1">
        <f t="shared" si="10"/>
        <v>0.998915</v>
      </c>
      <c r="E143" s="15">
        <v>57.01</v>
      </c>
      <c r="F143" s="1">
        <v>3.9899999999999999E-4</v>
      </c>
      <c r="G143" s="1">
        <f t="shared" si="11"/>
        <v>0.99960099999999996</v>
      </c>
      <c r="H143" s="15">
        <v>61.65</v>
      </c>
    </row>
    <row r="144" spans="2:8" x14ac:dyDescent="0.25">
      <c r="B144">
        <v>21</v>
      </c>
      <c r="C144" s="1">
        <v>1.2279999999999999E-3</v>
      </c>
      <c r="D144" s="1">
        <f t="shared" si="10"/>
        <v>0.99877199999999999</v>
      </c>
      <c r="E144" s="15">
        <v>56.08</v>
      </c>
      <c r="F144" s="1">
        <v>4.3600000000000003E-4</v>
      </c>
      <c r="G144" s="1">
        <f t="shared" si="11"/>
        <v>0.99956400000000001</v>
      </c>
      <c r="H144" s="15">
        <v>60.67</v>
      </c>
    </row>
    <row r="145" spans="2:8" x14ac:dyDescent="0.25">
      <c r="B145">
        <v>22</v>
      </c>
      <c r="C145" s="1">
        <v>1.3389999999999999E-3</v>
      </c>
      <c r="D145" s="1">
        <f t="shared" si="10"/>
        <v>0.99866100000000002</v>
      </c>
      <c r="E145" s="15">
        <v>55.14</v>
      </c>
      <c r="F145" s="1">
        <v>4.6900000000000002E-4</v>
      </c>
      <c r="G145" s="1">
        <f t="shared" si="11"/>
        <v>0.99953099999999995</v>
      </c>
      <c r="H145" s="15">
        <v>59.7</v>
      </c>
    </row>
    <row r="146" spans="2:8" x14ac:dyDescent="0.25">
      <c r="B146">
        <v>23</v>
      </c>
      <c r="C146" s="1">
        <v>1.403E-3</v>
      </c>
      <c r="D146" s="1">
        <f t="shared" si="10"/>
        <v>0.99859699999999996</v>
      </c>
      <c r="E146" s="15">
        <v>54.22</v>
      </c>
      <c r="F146" s="1">
        <v>4.9700000000000005E-4</v>
      </c>
      <c r="G146" s="1">
        <f t="shared" si="11"/>
        <v>0.99950300000000003</v>
      </c>
      <c r="H146" s="15">
        <v>58.73</v>
      </c>
    </row>
    <row r="147" spans="2:8" x14ac:dyDescent="0.25">
      <c r="B147">
        <v>24</v>
      </c>
      <c r="C147" s="1">
        <v>1.433E-3</v>
      </c>
      <c r="D147" s="1">
        <f t="shared" si="10"/>
        <v>0.99856699999999998</v>
      </c>
      <c r="E147" s="15">
        <v>53.29</v>
      </c>
      <c r="F147" s="1">
        <v>5.22E-4</v>
      </c>
      <c r="G147" s="1">
        <f t="shared" si="11"/>
        <v>0.99947799999999998</v>
      </c>
      <c r="H147" s="15">
        <v>57.76</v>
      </c>
    </row>
    <row r="148" spans="2:8" x14ac:dyDescent="0.25">
      <c r="B148">
        <v>25</v>
      </c>
      <c r="C148" s="1">
        <v>1.451E-3</v>
      </c>
      <c r="D148" s="1">
        <f t="shared" si="10"/>
        <v>0.99854900000000002</v>
      </c>
      <c r="E148" s="15">
        <v>52.37</v>
      </c>
      <c r="F148" s="1">
        <v>5.4600000000000004E-4</v>
      </c>
      <c r="G148" s="1">
        <f t="shared" si="11"/>
        <v>0.99945399999999995</v>
      </c>
      <c r="H148" s="15">
        <v>56.79</v>
      </c>
    </row>
    <row r="149" spans="2:8" x14ac:dyDescent="0.25">
      <c r="B149">
        <v>26</v>
      </c>
      <c r="C149" s="1">
        <v>1.475E-3</v>
      </c>
      <c r="D149" s="1">
        <f t="shared" si="10"/>
        <v>0.998525</v>
      </c>
      <c r="E149" s="15">
        <v>51.44</v>
      </c>
      <c r="F149" s="1">
        <v>5.7200000000000003E-4</v>
      </c>
      <c r="G149" s="1">
        <f t="shared" si="11"/>
        <v>0.99942799999999998</v>
      </c>
      <c r="H149" s="15">
        <v>55.82</v>
      </c>
    </row>
    <row r="150" spans="2:8" x14ac:dyDescent="0.25">
      <c r="B150">
        <v>27</v>
      </c>
      <c r="C150" s="1">
        <v>1.5020000000000001E-3</v>
      </c>
      <c r="D150" s="1">
        <f t="shared" si="10"/>
        <v>0.998498</v>
      </c>
      <c r="E150" s="15">
        <v>50.52</v>
      </c>
      <c r="F150" s="1">
        <v>6.0400000000000004E-4</v>
      </c>
      <c r="G150" s="1">
        <f t="shared" si="11"/>
        <v>0.99939599999999995</v>
      </c>
      <c r="H150" s="15">
        <v>54.85</v>
      </c>
    </row>
    <row r="151" spans="2:8" x14ac:dyDescent="0.25">
      <c r="B151">
        <v>28</v>
      </c>
      <c r="C151" s="1">
        <v>1.5380000000000001E-3</v>
      </c>
      <c r="D151" s="1">
        <f t="shared" si="10"/>
        <v>0.99846199999999996</v>
      </c>
      <c r="E151" s="15">
        <v>49.59</v>
      </c>
      <c r="F151" s="1">
        <v>6.4400000000000004E-4</v>
      </c>
      <c r="G151" s="1">
        <f t="shared" si="11"/>
        <v>0.99935600000000002</v>
      </c>
      <c r="H151" s="15">
        <v>53.88</v>
      </c>
    </row>
    <row r="152" spans="2:8" x14ac:dyDescent="0.25">
      <c r="B152">
        <v>29</v>
      </c>
      <c r="C152" s="1">
        <v>1.5809999999999999E-3</v>
      </c>
      <c r="D152" s="1">
        <f t="shared" si="10"/>
        <v>0.99841899999999995</v>
      </c>
      <c r="E152" s="15">
        <v>48.67</v>
      </c>
      <c r="F152" s="1">
        <v>6.8999999999999997E-4</v>
      </c>
      <c r="G152" s="1">
        <f t="shared" si="11"/>
        <v>0.99931000000000003</v>
      </c>
      <c r="H152" s="15">
        <v>52.92</v>
      </c>
    </row>
    <row r="153" spans="2:8" x14ac:dyDescent="0.25">
      <c r="B153">
        <v>30</v>
      </c>
      <c r="C153" s="1">
        <v>1.6260000000000001E-3</v>
      </c>
      <c r="D153" s="1">
        <f t="shared" si="10"/>
        <v>0.99837399999999998</v>
      </c>
      <c r="E153" s="15">
        <v>47.75</v>
      </c>
      <c r="F153" s="1">
        <v>7.3999999999999999E-4</v>
      </c>
      <c r="G153" s="1">
        <f t="shared" si="11"/>
        <v>0.99926000000000004</v>
      </c>
      <c r="H153" s="15">
        <v>51.95</v>
      </c>
    </row>
    <row r="154" spans="2:8" x14ac:dyDescent="0.25">
      <c r="B154">
        <v>31</v>
      </c>
      <c r="C154" s="1">
        <v>1.6689999999999999E-3</v>
      </c>
      <c r="D154" s="1">
        <f t="shared" si="10"/>
        <v>0.99833099999999997</v>
      </c>
      <c r="E154" s="15">
        <v>46.82</v>
      </c>
      <c r="F154" s="1">
        <v>7.9199999999999995E-4</v>
      </c>
      <c r="G154" s="1">
        <f t="shared" si="11"/>
        <v>0.99920799999999999</v>
      </c>
      <c r="H154" s="15">
        <v>50.99</v>
      </c>
    </row>
    <row r="155" spans="2:8" x14ac:dyDescent="0.25">
      <c r="B155">
        <v>32</v>
      </c>
      <c r="C155" s="1">
        <v>1.712E-3</v>
      </c>
      <c r="D155" s="1">
        <f t="shared" si="10"/>
        <v>0.99828799999999995</v>
      </c>
      <c r="E155" s="15">
        <v>45.9</v>
      </c>
      <c r="F155" s="1">
        <v>8.4099999999999995E-4</v>
      </c>
      <c r="G155" s="1">
        <f t="shared" si="11"/>
        <v>0.99915900000000002</v>
      </c>
      <c r="H155" s="15">
        <v>50.03</v>
      </c>
    </row>
    <row r="156" spans="2:8" x14ac:dyDescent="0.25">
      <c r="B156">
        <v>33</v>
      </c>
      <c r="C156" s="1">
        <v>1.755E-3</v>
      </c>
      <c r="D156" s="1">
        <f t="shared" si="10"/>
        <v>0.99824500000000005</v>
      </c>
      <c r="E156" s="15">
        <v>44.98</v>
      </c>
      <c r="F156" s="1">
        <v>8.8599999999999996E-4</v>
      </c>
      <c r="G156" s="1">
        <f t="shared" si="11"/>
        <v>0.99911399999999995</v>
      </c>
      <c r="H156" s="15">
        <v>49.07</v>
      </c>
    </row>
    <row r="157" spans="2:8" x14ac:dyDescent="0.25">
      <c r="B157">
        <v>34</v>
      </c>
      <c r="C157" s="1">
        <v>1.8E-3</v>
      </c>
      <c r="D157" s="1">
        <f t="shared" si="10"/>
        <v>0.99819999999999998</v>
      </c>
      <c r="E157" s="15">
        <v>44.06</v>
      </c>
      <c r="F157" s="1">
        <v>9.2900000000000003E-4</v>
      </c>
      <c r="G157" s="1">
        <f t="shared" si="11"/>
        <v>0.99907100000000004</v>
      </c>
      <c r="H157" s="15">
        <v>48.11</v>
      </c>
    </row>
    <row r="158" spans="2:8" x14ac:dyDescent="0.25">
      <c r="B158">
        <v>35</v>
      </c>
      <c r="C158" s="1">
        <v>1.8550000000000001E-3</v>
      </c>
      <c r="D158" s="1">
        <f t="shared" si="10"/>
        <v>0.99814499999999995</v>
      </c>
      <c r="E158" s="15">
        <v>43.14</v>
      </c>
      <c r="F158" s="1">
        <v>9.77E-4</v>
      </c>
      <c r="G158" s="1">
        <f t="shared" si="11"/>
        <v>0.99902299999999999</v>
      </c>
      <c r="H158" s="15">
        <v>47.16</v>
      </c>
    </row>
    <row r="159" spans="2:8" x14ac:dyDescent="0.25">
      <c r="B159">
        <v>36</v>
      </c>
      <c r="C159" s="1">
        <v>1.92E-3</v>
      </c>
      <c r="D159" s="1">
        <f t="shared" si="10"/>
        <v>0.99807999999999997</v>
      </c>
      <c r="E159" s="15">
        <v>42.22</v>
      </c>
      <c r="F159" s="1">
        <v>1.034E-3</v>
      </c>
      <c r="G159" s="1">
        <f t="shared" si="11"/>
        <v>0.99896600000000002</v>
      </c>
      <c r="H159" s="15">
        <v>46.2</v>
      </c>
    </row>
    <row r="160" spans="2:8" x14ac:dyDescent="0.25">
      <c r="B160">
        <v>37</v>
      </c>
      <c r="C160" s="1">
        <v>1.9880000000000002E-3</v>
      </c>
      <c r="D160" s="1">
        <f t="shared" si="10"/>
        <v>0.99801200000000001</v>
      </c>
      <c r="E160" s="15">
        <v>41.3</v>
      </c>
      <c r="F160" s="1">
        <v>1.098E-3</v>
      </c>
      <c r="G160" s="1">
        <f t="shared" si="11"/>
        <v>0.99890199999999996</v>
      </c>
      <c r="H160" s="15">
        <v>45.25</v>
      </c>
    </row>
    <row r="161" spans="2:8" x14ac:dyDescent="0.25">
      <c r="B161">
        <v>38</v>
      </c>
      <c r="C161" s="1">
        <v>2.0600000000000002E-3</v>
      </c>
      <c r="D161" s="1">
        <f t="shared" si="10"/>
        <v>0.99794000000000005</v>
      </c>
      <c r="E161" s="15">
        <v>40.380000000000003</v>
      </c>
      <c r="F161" s="1">
        <v>1.1709999999999999E-3</v>
      </c>
      <c r="G161" s="1">
        <f t="shared" si="11"/>
        <v>0.99882899999999997</v>
      </c>
      <c r="H161" s="15">
        <v>44.3</v>
      </c>
    </row>
    <row r="162" spans="2:8" x14ac:dyDescent="0.25">
      <c r="B162">
        <v>39</v>
      </c>
      <c r="C162" s="1">
        <v>2.1410000000000001E-3</v>
      </c>
      <c r="D162" s="1">
        <f t="shared" si="10"/>
        <v>0.99785900000000005</v>
      </c>
      <c r="E162" s="15">
        <v>39.46</v>
      </c>
      <c r="F162" s="1">
        <v>1.253E-3</v>
      </c>
      <c r="G162" s="1">
        <f t="shared" si="11"/>
        <v>0.99874700000000005</v>
      </c>
      <c r="H162" s="15">
        <v>43.35</v>
      </c>
    </row>
    <row r="163" spans="2:8" x14ac:dyDescent="0.25">
      <c r="B163">
        <v>40</v>
      </c>
      <c r="C163" s="1">
        <v>2.2399999999999998E-3</v>
      </c>
      <c r="D163" s="1">
        <f t="shared" si="10"/>
        <v>0.99775999999999998</v>
      </c>
      <c r="E163" s="15">
        <v>38.54</v>
      </c>
      <c r="F163" s="1">
        <v>1.3470000000000001E-3</v>
      </c>
      <c r="G163" s="1">
        <f t="shared" si="11"/>
        <v>0.99865300000000001</v>
      </c>
      <c r="H163" s="15">
        <v>42.41</v>
      </c>
    </row>
    <row r="164" spans="2:8" x14ac:dyDescent="0.25">
      <c r="B164">
        <v>41</v>
      </c>
      <c r="C164" s="1">
        <v>2.362E-3</v>
      </c>
      <c r="D164" s="1">
        <f t="shared" si="10"/>
        <v>0.99763800000000002</v>
      </c>
      <c r="E164" s="15">
        <v>37.630000000000003</v>
      </c>
      <c r="F164" s="1">
        <v>1.4519999999999999E-3</v>
      </c>
      <c r="G164" s="1">
        <f t="shared" si="11"/>
        <v>0.99854799999999999</v>
      </c>
      <c r="H164" s="15">
        <v>41.46</v>
      </c>
    </row>
    <row r="165" spans="2:8" x14ac:dyDescent="0.25">
      <c r="B165">
        <v>42</v>
      </c>
      <c r="C165" s="1">
        <v>2.5089999999999999E-3</v>
      </c>
      <c r="D165" s="1">
        <f t="shared" si="10"/>
        <v>0.99749100000000002</v>
      </c>
      <c r="E165" s="15">
        <v>36.72</v>
      </c>
      <c r="F165" s="1">
        <v>1.5709999999999999E-3</v>
      </c>
      <c r="G165" s="1">
        <f t="shared" si="11"/>
        <v>0.99842900000000001</v>
      </c>
      <c r="H165" s="15">
        <v>40.520000000000003</v>
      </c>
    </row>
    <row r="166" spans="2:8" x14ac:dyDescent="0.25">
      <c r="B166">
        <v>43</v>
      </c>
      <c r="C166" s="1">
        <v>2.6840000000000002E-3</v>
      </c>
      <c r="D166" s="1">
        <f t="shared" si="10"/>
        <v>0.99731599999999998</v>
      </c>
      <c r="E166" s="15">
        <v>35.81</v>
      </c>
      <c r="F166" s="1">
        <v>1.7060000000000001E-3</v>
      </c>
      <c r="G166" s="1">
        <f t="shared" si="11"/>
        <v>0.99829400000000001</v>
      </c>
      <c r="H166" s="15">
        <v>39.590000000000003</v>
      </c>
    </row>
    <row r="167" spans="2:8" x14ac:dyDescent="0.25">
      <c r="B167">
        <v>44</v>
      </c>
      <c r="C167" s="1">
        <v>2.8900000000000002E-3</v>
      </c>
      <c r="D167" s="1">
        <f t="shared" si="10"/>
        <v>0.99711000000000005</v>
      </c>
      <c r="E167" s="15">
        <v>34.9</v>
      </c>
      <c r="F167" s="1">
        <v>1.8569999999999999E-3</v>
      </c>
      <c r="G167" s="1">
        <f t="shared" si="11"/>
        <v>0.998143</v>
      </c>
      <c r="H167" s="15">
        <v>38.65</v>
      </c>
    </row>
    <row r="168" spans="2:8" x14ac:dyDescent="0.25">
      <c r="B168">
        <v>45</v>
      </c>
      <c r="C168" s="1">
        <v>3.1210000000000001E-3</v>
      </c>
      <c r="D168" s="1">
        <f t="shared" si="10"/>
        <v>0.99687899999999996</v>
      </c>
      <c r="E168" s="15">
        <v>34</v>
      </c>
      <c r="F168" s="1">
        <v>2.0219999999999999E-3</v>
      </c>
      <c r="G168" s="1">
        <f t="shared" si="11"/>
        <v>0.99797800000000003</v>
      </c>
      <c r="H168" s="15">
        <v>37.72</v>
      </c>
    </row>
    <row r="169" spans="2:8" x14ac:dyDescent="0.25">
      <c r="B169">
        <v>46</v>
      </c>
      <c r="C169" s="1">
        <v>3.3860000000000001E-3</v>
      </c>
      <c r="D169" s="1">
        <f t="shared" si="10"/>
        <v>0.996614</v>
      </c>
      <c r="E169" s="15">
        <v>33.11</v>
      </c>
      <c r="F169" s="1">
        <v>2.2039999999999998E-3</v>
      </c>
      <c r="G169" s="1">
        <f t="shared" si="11"/>
        <v>0.99779600000000002</v>
      </c>
      <c r="H169" s="15">
        <v>36.799999999999997</v>
      </c>
    </row>
    <row r="170" spans="2:8" x14ac:dyDescent="0.25">
      <c r="B170">
        <v>47</v>
      </c>
      <c r="C170" s="1">
        <v>3.7069999999999998E-3</v>
      </c>
      <c r="D170" s="1">
        <f t="shared" si="10"/>
        <v>0.99629299999999998</v>
      </c>
      <c r="E170" s="15">
        <v>32.22</v>
      </c>
      <c r="F170" s="1">
        <v>2.4109999999999999E-3</v>
      </c>
      <c r="G170" s="1">
        <f t="shared" si="11"/>
        <v>0.99758899999999995</v>
      </c>
      <c r="H170" s="15">
        <v>35.880000000000003</v>
      </c>
    </row>
    <row r="171" spans="2:8" x14ac:dyDescent="0.25">
      <c r="B171">
        <v>48</v>
      </c>
      <c r="C171" s="1">
        <v>4.091E-3</v>
      </c>
      <c r="D171" s="1">
        <f t="shared" si="10"/>
        <v>0.99590900000000004</v>
      </c>
      <c r="E171" s="15">
        <v>31.34</v>
      </c>
      <c r="F171" s="1">
        <v>2.6480000000000002E-3</v>
      </c>
      <c r="G171" s="1">
        <f t="shared" si="11"/>
        <v>0.99735200000000002</v>
      </c>
      <c r="H171" s="15">
        <v>34.96</v>
      </c>
    </row>
    <row r="172" spans="2:8" x14ac:dyDescent="0.25">
      <c r="B172">
        <v>49</v>
      </c>
      <c r="C172" s="1">
        <v>4.5310000000000003E-3</v>
      </c>
      <c r="D172" s="1">
        <f t="shared" si="10"/>
        <v>0.99546900000000005</v>
      </c>
      <c r="E172" s="15">
        <v>30.46</v>
      </c>
      <c r="F172" s="1">
        <v>2.9099999999999998E-3</v>
      </c>
      <c r="G172" s="1">
        <f t="shared" si="11"/>
        <v>0.99709000000000003</v>
      </c>
      <c r="H172" s="15">
        <v>34.06</v>
      </c>
    </row>
    <row r="173" spans="2:8" x14ac:dyDescent="0.25">
      <c r="B173">
        <v>50</v>
      </c>
      <c r="C173" s="1">
        <v>5.0130000000000001E-3</v>
      </c>
      <c r="D173" s="1">
        <f t="shared" si="10"/>
        <v>0.99498699999999995</v>
      </c>
      <c r="E173" s="15">
        <v>29.6</v>
      </c>
      <c r="F173" s="1">
        <v>3.1930000000000001E-3</v>
      </c>
      <c r="G173" s="1">
        <f t="shared" si="11"/>
        <v>0.996807</v>
      </c>
      <c r="H173" s="15">
        <v>33.15</v>
      </c>
    </row>
    <row r="174" spans="2:8" x14ac:dyDescent="0.25">
      <c r="B174">
        <v>51</v>
      </c>
      <c r="C174" s="1">
        <v>5.5240000000000003E-3</v>
      </c>
      <c r="D174" s="1">
        <f t="shared" si="10"/>
        <v>0.99447600000000003</v>
      </c>
      <c r="E174" s="15">
        <v>28.75</v>
      </c>
      <c r="F174" s="1">
        <v>3.4910000000000002E-3</v>
      </c>
      <c r="G174" s="1">
        <f t="shared" si="11"/>
        <v>0.99650899999999998</v>
      </c>
      <c r="H174" s="15">
        <v>32.26</v>
      </c>
    </row>
    <row r="175" spans="2:8" x14ac:dyDescent="0.25">
      <c r="B175">
        <v>52</v>
      </c>
      <c r="C175" s="1">
        <v>6.0590000000000001E-3</v>
      </c>
      <c r="D175" s="1">
        <f t="shared" si="10"/>
        <v>0.99394099999999996</v>
      </c>
      <c r="E175" s="15">
        <v>27.9</v>
      </c>
      <c r="F175" s="1">
        <v>3.8010000000000001E-3</v>
      </c>
      <c r="G175" s="1">
        <f t="shared" si="11"/>
        <v>0.99619899999999995</v>
      </c>
      <c r="H175" s="15">
        <v>31.37</v>
      </c>
    </row>
    <row r="176" spans="2:8" x14ac:dyDescent="0.25">
      <c r="B176">
        <v>53</v>
      </c>
      <c r="C176" s="1">
        <v>6.6109999999999997E-3</v>
      </c>
      <c r="D176" s="1">
        <f t="shared" si="10"/>
        <v>0.99338899999999997</v>
      </c>
      <c r="E176" s="15">
        <v>27.07</v>
      </c>
      <c r="F176" s="1">
        <v>4.1190000000000003E-3</v>
      </c>
      <c r="G176" s="1">
        <f t="shared" si="11"/>
        <v>0.99588100000000002</v>
      </c>
      <c r="H176" s="15">
        <v>30.49</v>
      </c>
    </row>
    <row r="177" spans="2:10" x14ac:dyDescent="0.25">
      <c r="B177">
        <v>54</v>
      </c>
      <c r="C177" s="1">
        <v>7.1869999999999998E-3</v>
      </c>
      <c r="D177" s="1">
        <f t="shared" si="10"/>
        <v>0.99281299999999995</v>
      </c>
      <c r="E177" s="15">
        <v>26.25</v>
      </c>
      <c r="F177" s="1">
        <v>4.4489999999999998E-3</v>
      </c>
      <c r="G177" s="1">
        <f t="shared" si="11"/>
        <v>0.99555099999999996</v>
      </c>
      <c r="H177" s="15">
        <v>29.61</v>
      </c>
    </row>
    <row r="178" spans="2:10" x14ac:dyDescent="0.25">
      <c r="B178">
        <v>55</v>
      </c>
      <c r="C178" s="1">
        <v>7.7999999999999996E-3</v>
      </c>
      <c r="D178" s="1">
        <f t="shared" si="10"/>
        <v>0.99219999999999997</v>
      </c>
      <c r="E178" s="15">
        <v>25.43</v>
      </c>
      <c r="F178" s="1">
        <v>4.8129999999999996E-3</v>
      </c>
      <c r="G178" s="1">
        <f t="shared" si="11"/>
        <v>0.99518700000000004</v>
      </c>
      <c r="H178" s="15">
        <v>28.74</v>
      </c>
    </row>
    <row r="179" spans="2:10" x14ac:dyDescent="0.25">
      <c r="B179">
        <v>56</v>
      </c>
      <c r="C179" s="1">
        <v>8.456E-3</v>
      </c>
      <c r="D179" s="1">
        <f t="shared" si="10"/>
        <v>0.99154399999999998</v>
      </c>
      <c r="E179" s="15">
        <v>24.63</v>
      </c>
      <c r="F179" s="1">
        <v>5.2009999999999999E-3</v>
      </c>
      <c r="G179" s="1">
        <f t="shared" si="11"/>
        <v>0.99479899999999999</v>
      </c>
      <c r="H179" s="15">
        <v>27.88</v>
      </c>
    </row>
    <row r="180" spans="2:10" x14ac:dyDescent="0.25">
      <c r="B180">
        <v>57</v>
      </c>
      <c r="C180" s="1">
        <v>9.1439999999999994E-3</v>
      </c>
      <c r="D180" s="1">
        <f t="shared" si="10"/>
        <v>0.99085599999999996</v>
      </c>
      <c r="E180" s="15">
        <v>23.83</v>
      </c>
      <c r="F180" s="1">
        <v>5.5830000000000003E-3</v>
      </c>
      <c r="G180" s="1">
        <f t="shared" si="11"/>
        <v>0.994417</v>
      </c>
      <c r="H180" s="15">
        <v>27.02</v>
      </c>
    </row>
    <row r="181" spans="2:10" x14ac:dyDescent="0.25">
      <c r="B181">
        <v>58</v>
      </c>
      <c r="C181" s="1">
        <v>9.8650000000000005E-3</v>
      </c>
      <c r="D181" s="1">
        <f t="shared" si="10"/>
        <v>0.99013499999999999</v>
      </c>
      <c r="E181" s="15">
        <v>23.05</v>
      </c>
      <c r="F181" s="1">
        <v>5.9519999999999998E-3</v>
      </c>
      <c r="G181" s="1">
        <f t="shared" si="11"/>
        <v>0.99404800000000004</v>
      </c>
      <c r="H181" s="15">
        <v>26.17</v>
      </c>
    </row>
    <row r="182" spans="2:10" x14ac:dyDescent="0.25">
      <c r="B182">
        <v>59</v>
      </c>
      <c r="C182" s="1">
        <v>1.0621999999999999E-2</v>
      </c>
      <c r="D182" s="1">
        <f t="shared" si="10"/>
        <v>0.98937799999999998</v>
      </c>
      <c r="E182" s="15">
        <v>22.27</v>
      </c>
      <c r="F182" s="1">
        <v>6.3249999999999999E-3</v>
      </c>
      <c r="G182" s="1">
        <f t="shared" si="11"/>
        <v>0.99367499999999997</v>
      </c>
      <c r="H182" s="15">
        <v>25.32</v>
      </c>
    </row>
    <row r="183" spans="2:10" x14ac:dyDescent="0.25">
      <c r="B183">
        <v>60</v>
      </c>
      <c r="C183" s="1">
        <v>1.1457999999999999E-2</v>
      </c>
      <c r="D183" s="1">
        <f t="shared" si="10"/>
        <v>0.98854200000000003</v>
      </c>
      <c r="E183" s="15">
        <v>21.51</v>
      </c>
      <c r="F183" s="1">
        <v>6.7489999999999998E-3</v>
      </c>
      <c r="G183" s="1">
        <f t="shared" si="11"/>
        <v>0.993251</v>
      </c>
      <c r="H183" s="15">
        <v>24.48</v>
      </c>
    </row>
    <row r="184" spans="2:10" x14ac:dyDescent="0.25">
      <c r="B184">
        <v>61</v>
      </c>
      <c r="C184" s="1">
        <v>1.235E-2</v>
      </c>
      <c r="D184" s="1">
        <f t="shared" si="10"/>
        <v>0.98765000000000003</v>
      </c>
      <c r="E184" s="15">
        <v>20.75</v>
      </c>
      <c r="F184" s="1">
        <v>7.2379999999999996E-3</v>
      </c>
      <c r="G184" s="1">
        <f t="shared" si="11"/>
        <v>0.99276200000000003</v>
      </c>
      <c r="H184" s="15">
        <v>23.64</v>
      </c>
    </row>
    <row r="185" spans="2:10" x14ac:dyDescent="0.25">
      <c r="B185">
        <v>62</v>
      </c>
      <c r="C185" s="1">
        <v>1.3235E-2</v>
      </c>
      <c r="D185" s="1">
        <f t="shared" si="10"/>
        <v>0.986765</v>
      </c>
      <c r="E185" s="15">
        <v>20</v>
      </c>
      <c r="F185" s="1">
        <v>7.7759999999999999E-3</v>
      </c>
      <c r="G185" s="1">
        <f t="shared" si="11"/>
        <v>0.99222399999999999</v>
      </c>
      <c r="H185" s="15">
        <v>22.81</v>
      </c>
    </row>
    <row r="186" spans="2:10" x14ac:dyDescent="0.25">
      <c r="B186">
        <v>63</v>
      </c>
      <c r="C186" s="1">
        <v>1.4097E-2</v>
      </c>
      <c r="D186" s="1">
        <f t="shared" si="10"/>
        <v>0.98590299999999997</v>
      </c>
      <c r="E186" s="15">
        <v>19.27</v>
      </c>
      <c r="F186" s="1">
        <v>8.3680000000000004E-3</v>
      </c>
      <c r="G186" s="1">
        <f t="shared" si="11"/>
        <v>0.99163199999999996</v>
      </c>
      <c r="H186" s="15">
        <v>21.99</v>
      </c>
    </row>
    <row r="187" spans="2:10" x14ac:dyDescent="0.25">
      <c r="B187">
        <v>64</v>
      </c>
      <c r="C187" s="1">
        <v>1.4978999999999999E-2</v>
      </c>
      <c r="D187" s="1">
        <f t="shared" si="10"/>
        <v>0.98502100000000004</v>
      </c>
      <c r="E187" s="15">
        <v>18.53</v>
      </c>
      <c r="F187" s="1">
        <v>9.0320000000000001E-3</v>
      </c>
      <c r="G187" s="1">
        <f t="shared" si="11"/>
        <v>0.99096799999999996</v>
      </c>
      <c r="H187" s="15">
        <v>21.17</v>
      </c>
    </row>
    <row r="188" spans="2:10" x14ac:dyDescent="0.25">
      <c r="B188">
        <v>65</v>
      </c>
      <c r="C188" s="1">
        <v>1.5966999999999999E-2</v>
      </c>
      <c r="D188" s="1">
        <f t="shared" ref="D188:D243" si="12">100%-C188</f>
        <v>0.98403300000000005</v>
      </c>
      <c r="E188" s="15">
        <v>17.809999999999999</v>
      </c>
      <c r="F188" s="1">
        <v>9.7940000000000006E-3</v>
      </c>
      <c r="G188" s="1">
        <f t="shared" ref="G188:G243" si="13">100%-F188</f>
        <v>0.99020600000000003</v>
      </c>
      <c r="H188" s="15">
        <v>20.36</v>
      </c>
    </row>
    <row r="189" spans="2:10" x14ac:dyDescent="0.25">
      <c r="B189">
        <v>66</v>
      </c>
      <c r="C189" s="1">
        <v>1.7108999999999999E-2</v>
      </c>
      <c r="D189" s="1">
        <f t="shared" si="12"/>
        <v>0.98289099999999996</v>
      </c>
      <c r="E189" s="15">
        <v>17.09</v>
      </c>
      <c r="F189" s="1">
        <v>1.0673E-2</v>
      </c>
      <c r="G189" s="1">
        <f t="shared" si="13"/>
        <v>0.98932699999999996</v>
      </c>
      <c r="H189" s="15">
        <v>19.55</v>
      </c>
    </row>
    <row r="190" spans="2:10" x14ac:dyDescent="0.25">
      <c r="B190">
        <v>67</v>
      </c>
      <c r="C190" s="1">
        <v>1.8391999999999999E-2</v>
      </c>
      <c r="D190" s="1">
        <f t="shared" si="12"/>
        <v>0.98160800000000004</v>
      </c>
      <c r="E190" s="15">
        <v>16.38</v>
      </c>
      <c r="F190" s="1">
        <v>1.1676000000000001E-2</v>
      </c>
      <c r="G190" s="1">
        <f t="shared" si="13"/>
        <v>0.98832399999999998</v>
      </c>
      <c r="H190" s="15">
        <v>18.760000000000002</v>
      </c>
      <c r="J190" s="1"/>
    </row>
    <row r="191" spans="2:10" x14ac:dyDescent="0.25">
      <c r="B191">
        <v>68</v>
      </c>
      <c r="C191" s="1">
        <v>1.9835999999999999E-2</v>
      </c>
      <c r="D191" s="1">
        <f t="shared" si="12"/>
        <v>0.98016400000000004</v>
      </c>
      <c r="E191" s="15">
        <v>15.68</v>
      </c>
      <c r="F191" s="1">
        <v>1.2815E-2</v>
      </c>
      <c r="G191" s="1">
        <f t="shared" si="13"/>
        <v>0.98718499999999998</v>
      </c>
      <c r="H191" s="15">
        <v>17.98</v>
      </c>
      <c r="J191" s="1"/>
    </row>
    <row r="192" spans="2:10" x14ac:dyDescent="0.25">
      <c r="B192">
        <v>69</v>
      </c>
      <c r="C192" s="1">
        <v>2.1465000000000001E-2</v>
      </c>
      <c r="D192" s="1">
        <f t="shared" si="12"/>
        <v>0.97853500000000004</v>
      </c>
      <c r="E192" s="15">
        <v>14.98</v>
      </c>
      <c r="F192" s="1">
        <v>1.4104999999999999E-2</v>
      </c>
      <c r="G192" s="1">
        <f t="shared" si="13"/>
        <v>0.98589499999999997</v>
      </c>
      <c r="H192" s="15">
        <v>17.2</v>
      </c>
      <c r="J192" s="1"/>
    </row>
    <row r="193" spans="2:10" x14ac:dyDescent="0.25">
      <c r="B193">
        <v>70</v>
      </c>
      <c r="C193" s="1">
        <v>2.3351E-2</v>
      </c>
      <c r="D193" s="1">
        <f t="shared" si="12"/>
        <v>0.97664899999999999</v>
      </c>
      <c r="E193" s="15">
        <v>14.3</v>
      </c>
      <c r="F193" s="1">
        <v>1.5616E-2</v>
      </c>
      <c r="G193" s="1">
        <f t="shared" si="13"/>
        <v>0.98438400000000004</v>
      </c>
      <c r="H193" s="15">
        <v>16.440000000000001</v>
      </c>
      <c r="J193" s="1"/>
    </row>
    <row r="194" spans="2:10" x14ac:dyDescent="0.25">
      <c r="B194">
        <v>71</v>
      </c>
      <c r="C194" s="1">
        <v>2.5482000000000001E-2</v>
      </c>
      <c r="D194" s="1">
        <f t="shared" si="12"/>
        <v>0.974518</v>
      </c>
      <c r="E194" s="15">
        <v>13.63</v>
      </c>
      <c r="F194" s="1">
        <v>1.7318E-2</v>
      </c>
      <c r="G194" s="1">
        <f t="shared" si="13"/>
        <v>0.98268200000000006</v>
      </c>
      <c r="H194" s="15">
        <v>15.69</v>
      </c>
      <c r="J194" s="1"/>
    </row>
    <row r="195" spans="2:10" x14ac:dyDescent="0.25">
      <c r="B195">
        <v>72</v>
      </c>
      <c r="C195" s="1">
        <v>2.7793999999999999E-2</v>
      </c>
      <c r="D195" s="1">
        <f t="shared" si="12"/>
        <v>0.97220600000000001</v>
      </c>
      <c r="E195" s="15">
        <v>12.97</v>
      </c>
      <c r="F195" s="1">
        <v>1.9118E-2</v>
      </c>
      <c r="G195" s="1">
        <f t="shared" si="13"/>
        <v>0.98088200000000003</v>
      </c>
      <c r="H195" s="15">
        <v>14.96</v>
      </c>
      <c r="J195" s="1"/>
    </row>
    <row r="196" spans="2:10" x14ac:dyDescent="0.25">
      <c r="B196">
        <v>73</v>
      </c>
      <c r="C196" s="1">
        <v>3.0282E-2</v>
      </c>
      <c r="D196" s="1">
        <f t="shared" si="12"/>
        <v>0.96971799999999997</v>
      </c>
      <c r="E196" s="15">
        <v>12.33</v>
      </c>
      <c r="F196" s="1">
        <v>2.0996000000000001E-2</v>
      </c>
      <c r="G196" s="1">
        <f t="shared" si="13"/>
        <v>0.97900399999999999</v>
      </c>
      <c r="H196" s="15">
        <v>14.24</v>
      </c>
      <c r="J196" s="1"/>
    </row>
    <row r="197" spans="2:10" x14ac:dyDescent="0.25">
      <c r="B197">
        <v>74</v>
      </c>
      <c r="C197" s="1">
        <v>3.3022000000000003E-2</v>
      </c>
      <c r="D197" s="1">
        <f t="shared" si="12"/>
        <v>0.966978</v>
      </c>
      <c r="E197" s="15">
        <v>11.7</v>
      </c>
      <c r="F197" s="1">
        <v>2.3033000000000001E-2</v>
      </c>
      <c r="G197" s="1">
        <f t="shared" si="13"/>
        <v>0.97696700000000003</v>
      </c>
      <c r="H197" s="15">
        <v>13.54</v>
      </c>
      <c r="J197" s="1"/>
    </row>
    <row r="198" spans="2:10" x14ac:dyDescent="0.25">
      <c r="B198">
        <v>75</v>
      </c>
      <c r="C198" s="1">
        <v>3.6200999999999997E-2</v>
      </c>
      <c r="D198" s="1">
        <f t="shared" si="12"/>
        <v>0.96379899999999996</v>
      </c>
      <c r="E198" s="15">
        <v>11.08</v>
      </c>
      <c r="F198" s="1">
        <v>2.5413000000000002E-2</v>
      </c>
      <c r="G198" s="1">
        <f t="shared" si="13"/>
        <v>0.97458699999999998</v>
      </c>
      <c r="H198" s="15">
        <v>12.85</v>
      </c>
      <c r="J198" s="1"/>
    </row>
    <row r="199" spans="2:10" x14ac:dyDescent="0.25">
      <c r="B199">
        <v>76</v>
      </c>
      <c r="C199" s="1">
        <v>3.9857999999999998E-2</v>
      </c>
      <c r="D199" s="1">
        <f t="shared" si="12"/>
        <v>0.96014200000000005</v>
      </c>
      <c r="E199" s="15">
        <v>10.48</v>
      </c>
      <c r="F199" s="1">
        <v>2.8197E-2</v>
      </c>
      <c r="G199" s="1">
        <f t="shared" si="13"/>
        <v>0.97180299999999997</v>
      </c>
      <c r="H199" s="15">
        <v>12.17</v>
      </c>
      <c r="J199" s="1"/>
    </row>
    <row r="200" spans="2:10" x14ac:dyDescent="0.25">
      <c r="B200">
        <v>77</v>
      </c>
      <c r="C200" s="1">
        <v>4.3890999999999999E-2</v>
      </c>
      <c r="D200" s="1">
        <f t="shared" si="12"/>
        <v>0.95610899999999999</v>
      </c>
      <c r="E200" s="15">
        <v>9.89</v>
      </c>
      <c r="F200" s="1">
        <v>3.1313000000000001E-2</v>
      </c>
      <c r="G200" s="1">
        <f t="shared" si="13"/>
        <v>0.96868699999999996</v>
      </c>
      <c r="H200" s="15">
        <v>11.51</v>
      </c>
      <c r="J200" s="1"/>
    </row>
    <row r="201" spans="2:10" x14ac:dyDescent="0.25">
      <c r="B201">
        <v>78</v>
      </c>
      <c r="C201" s="1">
        <v>4.8311E-2</v>
      </c>
      <c r="D201" s="1">
        <f t="shared" si="12"/>
        <v>0.95168900000000001</v>
      </c>
      <c r="E201" s="15">
        <v>9.33</v>
      </c>
      <c r="F201" s="1">
        <v>3.4782E-2</v>
      </c>
      <c r="G201" s="1">
        <f t="shared" si="13"/>
        <v>0.96521800000000002</v>
      </c>
      <c r="H201" s="15">
        <v>10.86</v>
      </c>
      <c r="J201" s="1"/>
    </row>
    <row r="202" spans="2:10" x14ac:dyDescent="0.25">
      <c r="B202">
        <v>79</v>
      </c>
      <c r="C202" s="1">
        <v>5.3227999999999998E-2</v>
      </c>
      <c r="D202" s="1">
        <f t="shared" si="12"/>
        <v>0.94677199999999995</v>
      </c>
      <c r="E202" s="15">
        <v>8.77</v>
      </c>
      <c r="F202" s="1">
        <v>3.8689000000000001E-2</v>
      </c>
      <c r="G202" s="1">
        <f t="shared" si="13"/>
        <v>0.96131100000000003</v>
      </c>
      <c r="H202" s="15">
        <v>10.24</v>
      </c>
      <c r="J202" s="1"/>
    </row>
    <row r="203" spans="2:10" x14ac:dyDescent="0.25">
      <c r="B203">
        <v>80</v>
      </c>
      <c r="C203" s="1">
        <v>5.8896999999999998E-2</v>
      </c>
      <c r="D203" s="1">
        <f t="shared" si="12"/>
        <v>0.94110300000000002</v>
      </c>
      <c r="E203" s="15">
        <v>8.24</v>
      </c>
      <c r="F203" s="1">
        <v>4.3257999999999998E-2</v>
      </c>
      <c r="G203" s="1">
        <f t="shared" si="13"/>
        <v>0.95674199999999998</v>
      </c>
      <c r="H203" s="15">
        <v>9.6300000000000008</v>
      </c>
      <c r="J203" s="1"/>
    </row>
    <row r="204" spans="2:10" x14ac:dyDescent="0.25">
      <c r="B204">
        <v>81</v>
      </c>
      <c r="C204" s="1">
        <v>6.5365000000000006E-2</v>
      </c>
      <c r="D204" s="1">
        <f t="shared" si="12"/>
        <v>0.93463499999999999</v>
      </c>
      <c r="E204" s="15">
        <v>7.72</v>
      </c>
      <c r="F204" s="1">
        <v>4.8489999999999998E-2</v>
      </c>
      <c r="G204" s="1">
        <f t="shared" si="13"/>
        <v>0.95150999999999997</v>
      </c>
      <c r="H204" s="15">
        <v>9.0399999999999991</v>
      </c>
      <c r="J204" s="1"/>
    </row>
    <row r="205" spans="2:10" x14ac:dyDescent="0.25">
      <c r="B205">
        <v>82</v>
      </c>
      <c r="C205" s="1">
        <v>7.2491E-2</v>
      </c>
      <c r="D205" s="1">
        <f t="shared" si="12"/>
        <v>0.92750900000000003</v>
      </c>
      <c r="E205" s="15">
        <v>7.23</v>
      </c>
      <c r="F205" s="1">
        <v>5.4223E-2</v>
      </c>
      <c r="G205" s="1">
        <f t="shared" si="13"/>
        <v>0.94577699999999998</v>
      </c>
      <c r="H205" s="15">
        <v>8.48</v>
      </c>
      <c r="J205" s="1"/>
    </row>
    <row r="206" spans="2:10" x14ac:dyDescent="0.25">
      <c r="B206">
        <v>83</v>
      </c>
      <c r="C206" s="1">
        <v>8.0287999999999998E-2</v>
      </c>
      <c r="D206" s="1">
        <f t="shared" si="12"/>
        <v>0.91971199999999997</v>
      </c>
      <c r="E206" s="15">
        <v>6.75</v>
      </c>
      <c r="F206" s="1">
        <v>6.0446E-2</v>
      </c>
      <c r="G206" s="1">
        <f t="shared" si="13"/>
        <v>0.939554</v>
      </c>
      <c r="H206" s="15">
        <v>7.93</v>
      </c>
      <c r="J206" s="1"/>
    </row>
    <row r="207" spans="2:10" x14ac:dyDescent="0.25">
      <c r="B207">
        <v>84</v>
      </c>
      <c r="C207" s="1">
        <v>8.8915999999999995E-2</v>
      </c>
      <c r="D207" s="1">
        <f t="shared" si="12"/>
        <v>0.911084</v>
      </c>
      <c r="E207" s="15">
        <v>6.3</v>
      </c>
      <c r="F207" s="1">
        <v>6.7337999999999995E-2</v>
      </c>
      <c r="G207" s="1">
        <f t="shared" si="13"/>
        <v>0.93266199999999999</v>
      </c>
      <c r="H207" s="15">
        <v>7.41</v>
      </c>
      <c r="J207" s="1"/>
    </row>
    <row r="208" spans="2:10" x14ac:dyDescent="0.25">
      <c r="B208">
        <v>85</v>
      </c>
      <c r="C208" s="1">
        <v>9.8575999999999997E-2</v>
      </c>
      <c r="D208" s="1">
        <f t="shared" si="12"/>
        <v>0.901424</v>
      </c>
      <c r="E208" s="15">
        <v>5.87</v>
      </c>
      <c r="F208" s="1">
        <v>7.5133000000000005E-2</v>
      </c>
      <c r="G208" s="1">
        <f t="shared" si="13"/>
        <v>0.92486699999999999</v>
      </c>
      <c r="H208" s="15">
        <v>6.91</v>
      </c>
      <c r="J208" s="1"/>
    </row>
    <row r="209" spans="2:10" x14ac:dyDescent="0.25">
      <c r="B209">
        <v>86</v>
      </c>
      <c r="C209" s="1">
        <v>0.10943799999999999</v>
      </c>
      <c r="D209" s="1">
        <f t="shared" si="12"/>
        <v>0.89056199999999996</v>
      </c>
      <c r="E209" s="15">
        <v>5.45</v>
      </c>
      <c r="F209" s="1">
        <v>8.4032999999999997E-2</v>
      </c>
      <c r="G209" s="1">
        <f t="shared" si="13"/>
        <v>0.91596699999999998</v>
      </c>
      <c r="H209" s="15">
        <v>6.43</v>
      </c>
      <c r="J209" s="1"/>
    </row>
    <row r="210" spans="2:10" x14ac:dyDescent="0.25">
      <c r="B210">
        <v>87</v>
      </c>
      <c r="C210" s="1">
        <v>0.121619</v>
      </c>
      <c r="D210" s="1">
        <f t="shared" si="12"/>
        <v>0.87838099999999997</v>
      </c>
      <c r="E210" s="15">
        <v>5.0599999999999996</v>
      </c>
      <c r="F210" s="1">
        <v>9.4176999999999997E-2</v>
      </c>
      <c r="G210" s="1">
        <f t="shared" si="13"/>
        <v>0.90582300000000004</v>
      </c>
      <c r="H210" s="15">
        <v>5.98</v>
      </c>
      <c r="J210" s="1"/>
    </row>
    <row r="211" spans="2:10" x14ac:dyDescent="0.25">
      <c r="B211">
        <v>88</v>
      </c>
      <c r="C211" s="1">
        <v>0.13517599999999999</v>
      </c>
      <c r="D211" s="1">
        <f t="shared" si="12"/>
        <v>0.86482400000000004</v>
      </c>
      <c r="E211" s="15">
        <v>4.6900000000000004</v>
      </c>
      <c r="F211" s="1">
        <v>0.105633</v>
      </c>
      <c r="G211" s="1">
        <f t="shared" si="13"/>
        <v>0.89436700000000002</v>
      </c>
      <c r="H211" s="15">
        <v>5.54</v>
      </c>
      <c r="J211" s="1"/>
    </row>
    <row r="212" spans="2:10" x14ac:dyDescent="0.25">
      <c r="B212">
        <v>89</v>
      </c>
      <c r="C212" s="1">
        <v>0.15010899999999999</v>
      </c>
      <c r="D212" s="1">
        <f t="shared" si="12"/>
        <v>0.84989099999999995</v>
      </c>
      <c r="E212" s="15">
        <v>4.3499999999999996</v>
      </c>
      <c r="F212" s="1">
        <v>0.118407</v>
      </c>
      <c r="G212" s="1">
        <f t="shared" si="13"/>
        <v>0.88159299999999996</v>
      </c>
      <c r="H212" s="15">
        <v>5.14</v>
      </c>
      <c r="J212" s="1"/>
    </row>
    <row r="213" spans="2:10" x14ac:dyDescent="0.25">
      <c r="B213">
        <v>90</v>
      </c>
      <c r="C213" s="1">
        <v>0.16639699999999999</v>
      </c>
      <c r="D213" s="1">
        <f t="shared" si="12"/>
        <v>0.83360299999999998</v>
      </c>
      <c r="E213" s="15">
        <v>4.03</v>
      </c>
      <c r="F213" s="1">
        <v>0.13247600000000001</v>
      </c>
      <c r="G213" s="1">
        <f t="shared" si="13"/>
        <v>0.86752399999999996</v>
      </c>
      <c r="H213" s="15">
        <v>4.76</v>
      </c>
      <c r="J213" s="1"/>
    </row>
    <row r="214" spans="2:10" x14ac:dyDescent="0.25">
      <c r="B214">
        <v>91</v>
      </c>
      <c r="C214" s="1">
        <v>0.18399699999999999</v>
      </c>
      <c r="D214" s="1">
        <f t="shared" si="12"/>
        <v>0.81600300000000003</v>
      </c>
      <c r="E214" s="15">
        <v>3.73</v>
      </c>
      <c r="F214" s="1">
        <v>0.14780099999999999</v>
      </c>
      <c r="G214" s="1">
        <f t="shared" si="13"/>
        <v>0.85219900000000004</v>
      </c>
      <c r="H214" s="15">
        <v>4.41</v>
      </c>
      <c r="J214" s="1"/>
    </row>
    <row r="215" spans="2:10" x14ac:dyDescent="0.25">
      <c r="B215">
        <v>92</v>
      </c>
      <c r="C215" s="1">
        <v>0.20285500000000001</v>
      </c>
      <c r="D215" s="1">
        <f t="shared" si="12"/>
        <v>0.79714499999999999</v>
      </c>
      <c r="E215" s="15">
        <v>3.46</v>
      </c>
      <c r="F215" s="1">
        <v>0.164331</v>
      </c>
      <c r="G215" s="1">
        <f t="shared" si="13"/>
        <v>0.835669</v>
      </c>
      <c r="H215" s="15">
        <v>4.09</v>
      </c>
      <c r="J215" s="1"/>
    </row>
    <row r="216" spans="2:10" x14ac:dyDescent="0.25">
      <c r="B216">
        <v>93</v>
      </c>
      <c r="C216" s="1">
        <v>0.222911</v>
      </c>
      <c r="D216" s="1">
        <f t="shared" si="12"/>
        <v>0.77708900000000003</v>
      </c>
      <c r="E216" s="15">
        <v>3.21</v>
      </c>
      <c r="F216" s="1">
        <v>0.18201200000000001</v>
      </c>
      <c r="G216" s="1">
        <f t="shared" si="13"/>
        <v>0.81798799999999994</v>
      </c>
      <c r="H216" s="15">
        <v>3.8</v>
      </c>
      <c r="J216" s="1"/>
    </row>
    <row r="217" spans="2:10" x14ac:dyDescent="0.25">
      <c r="B217">
        <v>94</v>
      </c>
      <c r="C217" s="1">
        <v>0.24409400000000001</v>
      </c>
      <c r="D217" s="1">
        <f t="shared" si="12"/>
        <v>0.75590599999999997</v>
      </c>
      <c r="E217" s="15">
        <v>2.99</v>
      </c>
      <c r="F217" s="1">
        <v>0.20078299999999999</v>
      </c>
      <c r="G217" s="1">
        <f t="shared" si="13"/>
        <v>0.79921700000000007</v>
      </c>
      <c r="H217" s="15">
        <v>3.54</v>
      </c>
      <c r="J217" s="1"/>
    </row>
    <row r="218" spans="2:10" x14ac:dyDescent="0.25">
      <c r="B218">
        <v>95</v>
      </c>
      <c r="C218" s="1">
        <v>0.26509100000000002</v>
      </c>
      <c r="D218" s="1">
        <f t="shared" si="12"/>
        <v>0.73490900000000003</v>
      </c>
      <c r="E218" s="15">
        <v>2.8</v>
      </c>
      <c r="F218" s="1">
        <v>0.21975800000000001</v>
      </c>
      <c r="G218" s="1">
        <f t="shared" si="13"/>
        <v>0.78024199999999999</v>
      </c>
      <c r="H218" s="15">
        <v>3.3</v>
      </c>
      <c r="J218" s="1"/>
    </row>
    <row r="219" spans="2:10" x14ac:dyDescent="0.25">
      <c r="B219">
        <v>96</v>
      </c>
      <c r="C219" s="1">
        <v>0.28550799999999998</v>
      </c>
      <c r="D219" s="1">
        <f t="shared" si="12"/>
        <v>0.71449200000000002</v>
      </c>
      <c r="E219" s="15">
        <v>2.63</v>
      </c>
      <c r="F219" s="1">
        <v>0.23863000000000001</v>
      </c>
      <c r="G219" s="1">
        <f t="shared" si="13"/>
        <v>0.76136999999999999</v>
      </c>
      <c r="H219" s="15">
        <v>3.09</v>
      </c>
      <c r="J219" s="1"/>
    </row>
    <row r="220" spans="2:10" x14ac:dyDescent="0.25">
      <c r="B220">
        <v>97</v>
      </c>
      <c r="C220" s="1">
        <v>0.30492599999999997</v>
      </c>
      <c r="D220" s="1">
        <f t="shared" si="12"/>
        <v>0.69507399999999997</v>
      </c>
      <c r="E220" s="15">
        <v>2.48</v>
      </c>
      <c r="F220" s="1">
        <v>0.25706499999999999</v>
      </c>
      <c r="G220" s="1">
        <f t="shared" si="13"/>
        <v>0.74293500000000001</v>
      </c>
      <c r="H220" s="15">
        <v>2.9</v>
      </c>
      <c r="J220" s="1"/>
    </row>
    <row r="221" spans="2:10" x14ac:dyDescent="0.25">
      <c r="B221">
        <v>98</v>
      </c>
      <c r="C221" s="1">
        <v>0.32291900000000001</v>
      </c>
      <c r="D221" s="1">
        <f t="shared" si="12"/>
        <v>0.67708100000000004</v>
      </c>
      <c r="E221" s="15">
        <v>2.34</v>
      </c>
      <c r="F221" s="1">
        <v>0.27470600000000001</v>
      </c>
      <c r="G221" s="1">
        <f t="shared" si="13"/>
        <v>0.72529399999999999</v>
      </c>
      <c r="H221" s="15">
        <v>2.73</v>
      </c>
      <c r="J221" s="1"/>
    </row>
    <row r="222" spans="2:10" x14ac:dyDescent="0.25">
      <c r="B222">
        <v>99</v>
      </c>
      <c r="C222" s="1">
        <v>0.33906500000000001</v>
      </c>
      <c r="D222" s="1">
        <f t="shared" si="12"/>
        <v>0.66093500000000005</v>
      </c>
      <c r="E222" s="15">
        <v>2.2200000000000002</v>
      </c>
      <c r="F222" s="1">
        <v>0.29118899999999998</v>
      </c>
      <c r="G222" s="1">
        <f t="shared" si="13"/>
        <v>0.70881100000000008</v>
      </c>
      <c r="H222" s="15">
        <v>2.57</v>
      </c>
      <c r="J222" s="1"/>
    </row>
    <row r="223" spans="2:10" x14ac:dyDescent="0.25">
      <c r="B223">
        <v>100</v>
      </c>
      <c r="C223" s="1">
        <v>0.356018</v>
      </c>
      <c r="D223" s="1">
        <f t="shared" si="12"/>
        <v>0.64398200000000005</v>
      </c>
      <c r="E223" s="15">
        <v>2.11</v>
      </c>
      <c r="F223" s="1">
        <v>0.30865999999999999</v>
      </c>
      <c r="G223" s="1">
        <f t="shared" si="13"/>
        <v>0.69134000000000007</v>
      </c>
      <c r="H223" s="15">
        <v>2.42</v>
      </c>
      <c r="J223" s="1"/>
    </row>
    <row r="224" spans="2:10" x14ac:dyDescent="0.25">
      <c r="B224">
        <v>101</v>
      </c>
      <c r="C224" s="1">
        <v>0.37381900000000001</v>
      </c>
      <c r="D224" s="1">
        <f t="shared" si="12"/>
        <v>0.62618099999999999</v>
      </c>
      <c r="E224" s="15">
        <v>2</v>
      </c>
      <c r="F224" s="1">
        <v>0.32718000000000003</v>
      </c>
      <c r="G224" s="1">
        <f t="shared" si="13"/>
        <v>0.67281999999999997</v>
      </c>
      <c r="H224" s="15">
        <v>2.27</v>
      </c>
      <c r="J224" s="1"/>
    </row>
    <row r="225" spans="2:10" x14ac:dyDescent="0.25">
      <c r="B225">
        <v>102</v>
      </c>
      <c r="C225" s="1">
        <v>0.39251000000000003</v>
      </c>
      <c r="D225" s="1">
        <f t="shared" si="12"/>
        <v>0.60748999999999997</v>
      </c>
      <c r="E225" s="15">
        <v>1.89</v>
      </c>
      <c r="F225" s="1">
        <v>0.34681000000000001</v>
      </c>
      <c r="G225" s="1">
        <f t="shared" si="13"/>
        <v>0.65318999999999994</v>
      </c>
      <c r="H225" s="15">
        <v>2.14</v>
      </c>
      <c r="J225" s="1"/>
    </row>
    <row r="226" spans="2:10" x14ac:dyDescent="0.25">
      <c r="B226">
        <v>103</v>
      </c>
      <c r="C226" s="1">
        <v>0.41213499999999997</v>
      </c>
      <c r="D226" s="1">
        <f t="shared" si="12"/>
        <v>0.58786500000000008</v>
      </c>
      <c r="E226" s="15">
        <v>1.79</v>
      </c>
      <c r="F226" s="1">
        <v>0.36761899999999997</v>
      </c>
      <c r="G226" s="1">
        <f t="shared" si="13"/>
        <v>0.63238100000000008</v>
      </c>
      <c r="H226" s="15">
        <v>2</v>
      </c>
      <c r="J226" s="1"/>
    </row>
    <row r="227" spans="2:10" x14ac:dyDescent="0.25">
      <c r="B227">
        <v>104</v>
      </c>
      <c r="C227" s="1">
        <v>0.43274200000000002</v>
      </c>
      <c r="D227" s="1">
        <f t="shared" si="12"/>
        <v>0.56725800000000004</v>
      </c>
      <c r="E227" s="15">
        <v>1.69</v>
      </c>
      <c r="F227" s="1">
        <v>0.38967600000000002</v>
      </c>
      <c r="G227" s="1">
        <f t="shared" si="13"/>
        <v>0.61032399999999998</v>
      </c>
      <c r="H227" s="15">
        <v>1.88</v>
      </c>
      <c r="J227" s="1"/>
    </row>
    <row r="228" spans="2:10" x14ac:dyDescent="0.25">
      <c r="B228">
        <v>105</v>
      </c>
      <c r="C228" s="1">
        <v>0.45437899999999998</v>
      </c>
      <c r="D228" s="1">
        <f t="shared" si="12"/>
        <v>0.54562100000000002</v>
      </c>
      <c r="E228" s="15">
        <v>1.59</v>
      </c>
      <c r="F228" s="1">
        <v>0.41305700000000001</v>
      </c>
      <c r="G228" s="1">
        <f t="shared" si="13"/>
        <v>0.58694299999999999</v>
      </c>
      <c r="H228" s="15">
        <v>1.76</v>
      </c>
      <c r="J228" s="1"/>
    </row>
    <row r="229" spans="2:10" x14ac:dyDescent="0.25">
      <c r="B229">
        <v>106</v>
      </c>
      <c r="C229" s="1">
        <v>0.47709800000000002</v>
      </c>
      <c r="D229" s="1">
        <f t="shared" si="12"/>
        <v>0.52290199999999998</v>
      </c>
      <c r="E229" s="15">
        <v>1.5</v>
      </c>
      <c r="F229" s="1">
        <v>0.43784000000000001</v>
      </c>
      <c r="G229" s="1">
        <f t="shared" si="13"/>
        <v>0.56215999999999999</v>
      </c>
      <c r="H229" s="15">
        <v>1.64</v>
      </c>
      <c r="J229" s="1"/>
    </row>
    <row r="230" spans="2:10" x14ac:dyDescent="0.25">
      <c r="B230">
        <v>107</v>
      </c>
      <c r="C230" s="1">
        <v>0.50095299999999998</v>
      </c>
      <c r="D230" s="1">
        <f t="shared" si="12"/>
        <v>0.49904700000000002</v>
      </c>
      <c r="E230" s="15">
        <v>1.41</v>
      </c>
      <c r="F230" s="1">
        <v>0.464111</v>
      </c>
      <c r="G230" s="1">
        <f t="shared" si="13"/>
        <v>0.53588900000000006</v>
      </c>
      <c r="H230" s="15">
        <v>1.53</v>
      </c>
      <c r="J230" s="1"/>
    </row>
    <row r="231" spans="2:10" x14ac:dyDescent="0.25">
      <c r="B231">
        <v>108</v>
      </c>
      <c r="C231" s="1">
        <v>0.52600000000000002</v>
      </c>
      <c r="D231" s="1">
        <f t="shared" si="12"/>
        <v>0.47399999999999998</v>
      </c>
      <c r="E231" s="15">
        <v>1.33</v>
      </c>
      <c r="F231" s="1">
        <v>0.49195699999999998</v>
      </c>
      <c r="G231" s="1">
        <f t="shared" si="13"/>
        <v>0.50804300000000002</v>
      </c>
      <c r="H231" s="15">
        <v>1.43</v>
      </c>
      <c r="J231" s="1"/>
    </row>
    <row r="232" spans="2:10" x14ac:dyDescent="0.25">
      <c r="B232">
        <v>109</v>
      </c>
      <c r="C232" s="1">
        <v>0.55230000000000001</v>
      </c>
      <c r="D232" s="1">
        <f t="shared" si="12"/>
        <v>0.44769999999999999</v>
      </c>
      <c r="E232" s="15">
        <v>1.25</v>
      </c>
      <c r="F232" s="1">
        <v>0.52147500000000002</v>
      </c>
      <c r="G232" s="1">
        <f t="shared" si="13"/>
        <v>0.47852499999999998</v>
      </c>
      <c r="H232" s="15">
        <v>1.33</v>
      </c>
      <c r="J232" s="1"/>
    </row>
    <row r="233" spans="2:10" x14ac:dyDescent="0.25">
      <c r="B233">
        <v>110</v>
      </c>
      <c r="C233" s="1">
        <v>0.57991499999999996</v>
      </c>
      <c r="D233" s="1">
        <f t="shared" si="12"/>
        <v>0.42008500000000004</v>
      </c>
      <c r="E233" s="15">
        <v>1.17</v>
      </c>
      <c r="F233" s="1">
        <v>0.552763</v>
      </c>
      <c r="G233" s="1">
        <f t="shared" si="13"/>
        <v>0.447237</v>
      </c>
      <c r="H233" s="15">
        <v>1.24</v>
      </c>
      <c r="J233" s="1"/>
    </row>
    <row r="234" spans="2:10" x14ac:dyDescent="0.25">
      <c r="B234">
        <v>111</v>
      </c>
      <c r="C234" s="1">
        <v>0.60891099999999998</v>
      </c>
      <c r="D234" s="1">
        <f t="shared" si="12"/>
        <v>0.39108900000000002</v>
      </c>
      <c r="E234" s="15">
        <v>1.1000000000000001</v>
      </c>
      <c r="F234" s="1">
        <v>0.58592900000000003</v>
      </c>
      <c r="G234" s="1">
        <f t="shared" si="13"/>
        <v>0.41407099999999997</v>
      </c>
      <c r="H234" s="15">
        <v>1.1499999999999999</v>
      </c>
      <c r="J234" s="1"/>
    </row>
    <row r="235" spans="2:10" x14ac:dyDescent="0.25">
      <c r="B235">
        <v>112</v>
      </c>
      <c r="C235" s="1">
        <v>0.63935699999999995</v>
      </c>
      <c r="D235" s="1">
        <f t="shared" si="12"/>
        <v>0.36064300000000005</v>
      </c>
      <c r="E235" s="15">
        <v>1.03</v>
      </c>
      <c r="F235" s="1">
        <v>0.621085</v>
      </c>
      <c r="G235" s="1">
        <f t="shared" si="13"/>
        <v>0.378915</v>
      </c>
      <c r="H235" s="15">
        <v>1.06</v>
      </c>
      <c r="J235" s="1"/>
    </row>
    <row r="236" spans="2:10" x14ac:dyDescent="0.25">
      <c r="B236">
        <v>113</v>
      </c>
      <c r="C236" s="1">
        <v>0.67132499999999995</v>
      </c>
      <c r="D236" s="1">
        <f t="shared" si="12"/>
        <v>0.32867500000000005</v>
      </c>
      <c r="E236" s="15">
        <v>0.96</v>
      </c>
      <c r="F236" s="1">
        <v>0.65834999999999999</v>
      </c>
      <c r="G236" s="1">
        <f t="shared" si="13"/>
        <v>0.34165000000000001</v>
      </c>
      <c r="H236" s="15">
        <v>0.98</v>
      </c>
      <c r="J236" s="1"/>
    </row>
    <row r="237" spans="2:10" x14ac:dyDescent="0.25">
      <c r="B237">
        <v>114</v>
      </c>
      <c r="C237" s="1">
        <v>0.70489100000000005</v>
      </c>
      <c r="D237" s="1">
        <f t="shared" si="12"/>
        <v>0.29510899999999995</v>
      </c>
      <c r="E237" s="15">
        <v>0.89</v>
      </c>
      <c r="F237" s="1">
        <v>0.697851</v>
      </c>
      <c r="G237" s="1">
        <f t="shared" si="13"/>
        <v>0.302149</v>
      </c>
      <c r="H237" s="15">
        <v>0.9</v>
      </c>
      <c r="J237" s="1"/>
    </row>
    <row r="238" spans="2:10" x14ac:dyDescent="0.25">
      <c r="B238">
        <v>115</v>
      </c>
      <c r="C238" s="1">
        <v>0.74013499999999999</v>
      </c>
      <c r="D238" s="1">
        <f t="shared" si="12"/>
        <v>0.25986500000000001</v>
      </c>
      <c r="E238" s="15">
        <v>0.83</v>
      </c>
      <c r="F238" s="1">
        <v>0.73972199999999999</v>
      </c>
      <c r="G238" s="1">
        <f t="shared" si="13"/>
        <v>0.26027800000000001</v>
      </c>
      <c r="H238" s="15">
        <v>0.83</v>
      </c>
      <c r="J238" s="1"/>
    </row>
    <row r="239" spans="2:10" x14ac:dyDescent="0.25">
      <c r="B239">
        <v>116</v>
      </c>
      <c r="C239" s="1">
        <v>0.777142</v>
      </c>
      <c r="D239" s="1">
        <f t="shared" si="12"/>
        <v>0.222858</v>
      </c>
      <c r="E239" s="15">
        <v>0.77</v>
      </c>
      <c r="F239" s="1">
        <v>0.777142</v>
      </c>
      <c r="G239" s="1">
        <f t="shared" si="13"/>
        <v>0.222858</v>
      </c>
      <c r="H239" s="15">
        <v>0.77</v>
      </c>
      <c r="J239" s="1"/>
    </row>
    <row r="240" spans="2:10" x14ac:dyDescent="0.25">
      <c r="B240">
        <v>117</v>
      </c>
      <c r="C240" s="1">
        <v>0.81599900000000003</v>
      </c>
      <c r="D240" s="1">
        <f t="shared" si="12"/>
        <v>0.18400099999999997</v>
      </c>
      <c r="E240" s="15">
        <v>0.71</v>
      </c>
      <c r="F240" s="1">
        <v>0.81599900000000003</v>
      </c>
      <c r="G240" s="1">
        <f t="shared" si="13"/>
        <v>0.18400099999999997</v>
      </c>
      <c r="H240" s="15">
        <v>0.71</v>
      </c>
      <c r="J240" s="1"/>
    </row>
    <row r="241" spans="2:10" x14ac:dyDescent="0.25">
      <c r="B241">
        <v>118</v>
      </c>
      <c r="C241" s="1">
        <v>0.85679899999999998</v>
      </c>
      <c r="D241" s="1">
        <f t="shared" si="12"/>
        <v>0.14320100000000002</v>
      </c>
      <c r="E241" s="15">
        <v>0.66</v>
      </c>
      <c r="F241" s="1">
        <v>0.85679899999999998</v>
      </c>
      <c r="G241" s="1">
        <f t="shared" si="13"/>
        <v>0.14320100000000002</v>
      </c>
      <c r="H241" s="15">
        <v>0.66</v>
      </c>
      <c r="J241" s="1"/>
    </row>
    <row r="242" spans="2:10" x14ac:dyDescent="0.25">
      <c r="B242">
        <v>119</v>
      </c>
      <c r="C242" s="1">
        <v>0.89963899999999997</v>
      </c>
      <c r="D242" s="1">
        <f t="shared" si="12"/>
        <v>0.10036100000000003</v>
      </c>
      <c r="E242" s="15">
        <v>0.61</v>
      </c>
      <c r="F242" s="1">
        <v>0.89963899999999997</v>
      </c>
      <c r="G242" s="1">
        <f t="shared" si="13"/>
        <v>0.10036100000000003</v>
      </c>
      <c r="H242" s="15">
        <v>0.61</v>
      </c>
      <c r="J242" s="1"/>
    </row>
    <row r="243" spans="2:10" x14ac:dyDescent="0.25">
      <c r="B243">
        <v>120</v>
      </c>
      <c r="C243" s="1">
        <v>1</v>
      </c>
      <c r="D243" s="1">
        <f t="shared" si="12"/>
        <v>0</v>
      </c>
      <c r="E243" s="15">
        <v>0</v>
      </c>
      <c r="F243" s="1">
        <v>1</v>
      </c>
      <c r="G243" s="1">
        <f t="shared" si="13"/>
        <v>0</v>
      </c>
      <c r="H243" s="15">
        <v>0</v>
      </c>
      <c r="J243" s="1"/>
    </row>
    <row r="245" spans="2:10" x14ac:dyDescent="0.25">
      <c r="B245" s="309" t="s">
        <v>1002</v>
      </c>
      <c r="C245" s="310">
        <v>647200</v>
      </c>
      <c r="J245" s="1"/>
    </row>
    <row r="246" spans="2:10" x14ac:dyDescent="0.25">
      <c r="B246" s="309" t="s">
        <v>1031</v>
      </c>
      <c r="C246" s="419">
        <v>0.06</v>
      </c>
    </row>
  </sheetData>
  <sheetProtection sheet="1" objects="1" scenarios="1" autoFilter="0"/>
  <sortState xmlns:xlrd2="http://schemas.microsoft.com/office/spreadsheetml/2017/richdata2" ref="B58:G108">
    <sortCondition ref="B58:B108"/>
  </sortState>
  <pageMargins left="0.7" right="0.7" top="0.75" bottom="0.75" header="0.3" footer="0.3"/>
  <pageSetup orientation="portrait" horizontalDpi="4294967293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9"/>
  <dimension ref="A1:J120"/>
  <sheetViews>
    <sheetView showGridLines="0" showRowColHeaders="0" tabSelected="1" topLeftCell="B2" workbookViewId="0"/>
  </sheetViews>
  <sheetFormatPr defaultRowHeight="15" x14ac:dyDescent="0.25"/>
  <cols>
    <col min="1" max="1" width="9.140625" hidden="1" customWidth="1"/>
  </cols>
  <sheetData>
    <row r="1" spans="1:7" hidden="1" x14ac:dyDescent="0.25">
      <c r="A1">
        <f t="shared" ref="A1:A6" si="0">PMBASIC+PMADVANCED+VMONLINE+VMMACRO+VMWIPED</f>
        <v>55</v>
      </c>
    </row>
    <row r="2" spans="1:7" x14ac:dyDescent="0.25">
      <c r="A2">
        <f t="shared" si="0"/>
        <v>55</v>
      </c>
      <c r="B2" t="str">
        <f>"Retireator Advanced Retirement Simulator v" &amp; SC_VersionMaj &amp; "." &amp; TEXT(SC_VersionMin,"0000")</f>
        <v>Retireator Advanced Retirement Simulator v2022.0213</v>
      </c>
    </row>
    <row r="3" spans="1:7" x14ac:dyDescent="0.25">
      <c r="A3">
        <f t="shared" si="0"/>
        <v>55</v>
      </c>
      <c r="B3" t="s">
        <v>1047</v>
      </c>
    </row>
    <row r="4" spans="1:7" x14ac:dyDescent="0.25">
      <c r="A4">
        <f t="shared" si="0"/>
        <v>55</v>
      </c>
      <c r="B4" s="672" t="s">
        <v>85</v>
      </c>
      <c r="C4" s="631"/>
      <c r="D4" s="631"/>
      <c r="E4" s="631"/>
      <c r="F4" s="631"/>
      <c r="G4" s="631"/>
    </row>
    <row r="5" spans="1:7" x14ac:dyDescent="0.25">
      <c r="A5">
        <f t="shared" si="0"/>
        <v>55</v>
      </c>
      <c r="B5" s="672" t="s">
        <v>1003</v>
      </c>
      <c r="C5" s="631"/>
      <c r="D5" s="631"/>
      <c r="E5" s="631"/>
      <c r="F5" s="631"/>
      <c r="G5" s="631"/>
    </row>
    <row r="6" spans="1:7" x14ac:dyDescent="0.25">
      <c r="A6">
        <f t="shared" si="0"/>
        <v>55</v>
      </c>
      <c r="B6" s="37"/>
    </row>
    <row r="7" spans="1:7" x14ac:dyDescent="0.25">
      <c r="A7">
        <f>PMBASIC+PMADVANCED+VMONLINE+VMWIPED</f>
        <v>51</v>
      </c>
      <c r="B7" s="37"/>
      <c r="C7" s="261" t="s">
        <v>983</v>
      </c>
    </row>
    <row r="8" spans="1:7" x14ac:dyDescent="0.25">
      <c r="A8">
        <f>PMBASIC+PMADVANCED+VMONLINE+VMWIPED</f>
        <v>51</v>
      </c>
      <c r="B8" s="37"/>
    </row>
    <row r="9" spans="1:7" x14ac:dyDescent="0.25">
      <c r="B9" t="s">
        <v>91</v>
      </c>
    </row>
    <row r="10" spans="1:7" x14ac:dyDescent="0.25">
      <c r="B10" t="s">
        <v>94</v>
      </c>
    </row>
    <row r="11" spans="1:7" x14ac:dyDescent="0.25">
      <c r="B11" t="s">
        <v>95</v>
      </c>
    </row>
    <row r="12" spans="1:7" x14ac:dyDescent="0.25">
      <c r="B12" t="s">
        <v>96</v>
      </c>
    </row>
    <row r="14" spans="1:7" x14ac:dyDescent="0.25">
      <c r="B14" t="s">
        <v>87</v>
      </c>
    </row>
    <row r="15" spans="1:7" x14ac:dyDescent="0.25">
      <c r="B15" t="s">
        <v>88</v>
      </c>
    </row>
    <row r="16" spans="1:7" x14ac:dyDescent="0.25">
      <c r="B16" t="s">
        <v>89</v>
      </c>
    </row>
    <row r="17" spans="2:2" x14ac:dyDescent="0.25">
      <c r="B17" t="s">
        <v>97</v>
      </c>
    </row>
    <row r="19" spans="2:2" x14ac:dyDescent="0.25">
      <c r="B19" t="s">
        <v>98</v>
      </c>
    </row>
    <row r="20" spans="2:2" x14ac:dyDescent="0.25">
      <c r="B20" t="s">
        <v>90</v>
      </c>
    </row>
    <row r="120" spans="10:10" x14ac:dyDescent="0.25">
      <c r="J120">
        <v>62</v>
      </c>
    </row>
  </sheetData>
  <sheetProtection sheet="1" objects="1" scenarios="1" autoFilter="0"/>
  <mergeCells count="2">
    <mergeCell ref="B5:G5"/>
    <mergeCell ref="B4:G4"/>
  </mergeCells>
  <hyperlinks>
    <hyperlink ref="B4" r:id="rId1" xr:uid="{00000000-0004-0000-0E00-000000000000}"/>
    <hyperlink ref="B5" r:id="rId2" display="http://www.retireator.org" xr:uid="{00000000-0004-0000-0E00-000001000000}"/>
  </hyperlinks>
  <pageMargins left="0.7" right="0.7" top="0.75" bottom="0.75" header="0.3" footer="0.3"/>
  <pageSetup orientation="portrait" horizontalDpi="4294967293" verticalDpi="0" r:id="rId3"/>
  <drawing r:id="rId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0"/>
  <dimension ref="A1:B662"/>
  <sheetViews>
    <sheetView showGridLines="0" showRowColHeaders="0" topLeftCell="B2" workbookViewId="0"/>
  </sheetViews>
  <sheetFormatPr defaultRowHeight="15" x14ac:dyDescent="0.25"/>
  <cols>
    <col min="1" max="1" width="9.140625" hidden="1" customWidth="1"/>
  </cols>
  <sheetData>
    <row r="1" spans="1:2" hidden="1" x14ac:dyDescent="0.25">
      <c r="A1">
        <f>PMBASIC+PMADVANCED+VMONLINE+VMMACRO+VMWIPED</f>
        <v>55</v>
      </c>
    </row>
    <row r="2" spans="1:2" x14ac:dyDescent="0.25">
      <c r="B2" s="50" t="s">
        <v>99</v>
      </c>
    </row>
    <row r="3" spans="1:2" x14ac:dyDescent="0.25">
      <c r="B3" s="50" t="s">
        <v>100</v>
      </c>
    </row>
    <row r="4" spans="1:2" x14ac:dyDescent="0.25">
      <c r="B4" s="51"/>
    </row>
    <row r="5" spans="1:2" x14ac:dyDescent="0.25">
      <c r="B5" s="50" t="s">
        <v>101</v>
      </c>
    </row>
    <row r="6" spans="1:2" x14ac:dyDescent="0.25">
      <c r="B6" s="50" t="s">
        <v>102</v>
      </c>
    </row>
    <row r="7" spans="1:2" x14ac:dyDescent="0.25">
      <c r="B7" s="50" t="s">
        <v>103</v>
      </c>
    </row>
    <row r="8" spans="1:2" x14ac:dyDescent="0.25">
      <c r="B8" s="51"/>
    </row>
    <row r="9" spans="1:2" x14ac:dyDescent="0.25">
      <c r="B9" s="50" t="s">
        <v>104</v>
      </c>
    </row>
    <row r="10" spans="1:2" x14ac:dyDescent="0.25">
      <c r="B10" s="51"/>
    </row>
    <row r="11" spans="1:2" x14ac:dyDescent="0.25">
      <c r="B11" s="50" t="s">
        <v>105</v>
      </c>
    </row>
    <row r="12" spans="1:2" x14ac:dyDescent="0.25">
      <c r="B12" s="50" t="s">
        <v>106</v>
      </c>
    </row>
    <row r="13" spans="1:2" x14ac:dyDescent="0.25">
      <c r="B13" s="50" t="s">
        <v>107</v>
      </c>
    </row>
    <row r="14" spans="1:2" x14ac:dyDescent="0.25">
      <c r="B14" s="51"/>
    </row>
    <row r="15" spans="1:2" x14ac:dyDescent="0.25">
      <c r="B15" s="50" t="s">
        <v>108</v>
      </c>
    </row>
    <row r="16" spans="1:2" x14ac:dyDescent="0.25">
      <c r="B16" s="50" t="s">
        <v>109</v>
      </c>
    </row>
    <row r="17" spans="2:2" x14ac:dyDescent="0.25">
      <c r="B17" s="50" t="s">
        <v>110</v>
      </c>
    </row>
    <row r="18" spans="2:2" x14ac:dyDescent="0.25">
      <c r="B18" s="50" t="s">
        <v>111</v>
      </c>
    </row>
    <row r="19" spans="2:2" x14ac:dyDescent="0.25">
      <c r="B19" s="50" t="s">
        <v>112</v>
      </c>
    </row>
    <row r="20" spans="2:2" x14ac:dyDescent="0.25">
      <c r="B20" s="51"/>
    </row>
    <row r="21" spans="2:2" x14ac:dyDescent="0.25">
      <c r="B21" s="50" t="s">
        <v>113</v>
      </c>
    </row>
    <row r="22" spans="2:2" x14ac:dyDescent="0.25">
      <c r="B22" s="50" t="s">
        <v>114</v>
      </c>
    </row>
    <row r="23" spans="2:2" x14ac:dyDescent="0.25">
      <c r="B23" s="50" t="s">
        <v>115</v>
      </c>
    </row>
    <row r="24" spans="2:2" x14ac:dyDescent="0.25">
      <c r="B24" s="50" t="s">
        <v>116</v>
      </c>
    </row>
    <row r="25" spans="2:2" x14ac:dyDescent="0.25">
      <c r="B25" s="50" t="s">
        <v>117</v>
      </c>
    </row>
    <row r="26" spans="2:2" x14ac:dyDescent="0.25">
      <c r="B26" s="50" t="s">
        <v>118</v>
      </c>
    </row>
    <row r="27" spans="2:2" x14ac:dyDescent="0.25">
      <c r="B27" s="51"/>
    </row>
    <row r="28" spans="2:2" x14ac:dyDescent="0.25">
      <c r="B28" s="50" t="s">
        <v>119</v>
      </c>
    </row>
    <row r="29" spans="2:2" x14ac:dyDescent="0.25">
      <c r="B29" s="50" t="s">
        <v>120</v>
      </c>
    </row>
    <row r="30" spans="2:2" x14ac:dyDescent="0.25">
      <c r="B30" s="50" t="s">
        <v>121</v>
      </c>
    </row>
    <row r="31" spans="2:2" x14ac:dyDescent="0.25">
      <c r="B31" s="50" t="s">
        <v>122</v>
      </c>
    </row>
    <row r="32" spans="2:2" x14ac:dyDescent="0.25">
      <c r="B32" s="51"/>
    </row>
    <row r="33" spans="2:2" x14ac:dyDescent="0.25">
      <c r="B33" s="50" t="s">
        <v>123</v>
      </c>
    </row>
    <row r="34" spans="2:2" x14ac:dyDescent="0.25">
      <c r="B34" s="50" t="s">
        <v>124</v>
      </c>
    </row>
    <row r="35" spans="2:2" x14ac:dyDescent="0.25">
      <c r="B35" s="50" t="s">
        <v>125</v>
      </c>
    </row>
    <row r="36" spans="2:2" x14ac:dyDescent="0.25">
      <c r="B36" s="50" t="s">
        <v>126</v>
      </c>
    </row>
    <row r="37" spans="2:2" x14ac:dyDescent="0.25">
      <c r="B37" s="50" t="s">
        <v>127</v>
      </c>
    </row>
    <row r="38" spans="2:2" x14ac:dyDescent="0.25">
      <c r="B38" s="50" t="s">
        <v>128</v>
      </c>
    </row>
    <row r="39" spans="2:2" x14ac:dyDescent="0.25">
      <c r="B39" s="50" t="s">
        <v>129</v>
      </c>
    </row>
    <row r="40" spans="2:2" x14ac:dyDescent="0.25">
      <c r="B40" s="50" t="s">
        <v>130</v>
      </c>
    </row>
    <row r="41" spans="2:2" x14ac:dyDescent="0.25">
      <c r="B41" s="50" t="s">
        <v>131</v>
      </c>
    </row>
    <row r="42" spans="2:2" x14ac:dyDescent="0.25">
      <c r="B42" s="51"/>
    </row>
    <row r="43" spans="2:2" x14ac:dyDescent="0.25">
      <c r="B43" s="50" t="s">
        <v>132</v>
      </c>
    </row>
    <row r="44" spans="2:2" x14ac:dyDescent="0.25">
      <c r="B44" s="50" t="s">
        <v>133</v>
      </c>
    </row>
    <row r="45" spans="2:2" x14ac:dyDescent="0.25">
      <c r="B45" s="50" t="s">
        <v>134</v>
      </c>
    </row>
    <row r="46" spans="2:2" x14ac:dyDescent="0.25">
      <c r="B46" s="50" t="s">
        <v>135</v>
      </c>
    </row>
    <row r="47" spans="2:2" x14ac:dyDescent="0.25">
      <c r="B47" s="50" t="s">
        <v>136</v>
      </c>
    </row>
    <row r="48" spans="2:2" x14ac:dyDescent="0.25">
      <c r="B48" s="50" t="s">
        <v>137</v>
      </c>
    </row>
    <row r="49" spans="2:2" x14ac:dyDescent="0.25">
      <c r="B49" s="50" t="s">
        <v>138</v>
      </c>
    </row>
    <row r="50" spans="2:2" x14ac:dyDescent="0.25">
      <c r="B50" s="51"/>
    </row>
    <row r="51" spans="2:2" x14ac:dyDescent="0.25">
      <c r="B51" s="50" t="s">
        <v>139</v>
      </c>
    </row>
    <row r="52" spans="2:2" x14ac:dyDescent="0.25">
      <c r="B52" s="50" t="s">
        <v>140</v>
      </c>
    </row>
    <row r="53" spans="2:2" x14ac:dyDescent="0.25">
      <c r="B53" s="50" t="s">
        <v>141</v>
      </c>
    </row>
    <row r="54" spans="2:2" x14ac:dyDescent="0.25">
      <c r="B54" s="50" t="s">
        <v>142</v>
      </c>
    </row>
    <row r="55" spans="2:2" x14ac:dyDescent="0.25">
      <c r="B55" s="50" t="s">
        <v>143</v>
      </c>
    </row>
    <row r="56" spans="2:2" x14ac:dyDescent="0.25">
      <c r="B56" s="51"/>
    </row>
    <row r="57" spans="2:2" x14ac:dyDescent="0.25">
      <c r="B57" s="50" t="s">
        <v>144</v>
      </c>
    </row>
    <row r="58" spans="2:2" x14ac:dyDescent="0.25">
      <c r="B58" s="50" t="s">
        <v>145</v>
      </c>
    </row>
    <row r="59" spans="2:2" x14ac:dyDescent="0.25">
      <c r="B59" s="51"/>
    </row>
    <row r="60" spans="2:2" x14ac:dyDescent="0.25">
      <c r="B60" s="50" t="s">
        <v>146</v>
      </c>
    </row>
    <row r="61" spans="2:2" x14ac:dyDescent="0.25">
      <c r="B61" s="51"/>
    </row>
    <row r="62" spans="2:2" x14ac:dyDescent="0.25">
      <c r="B62" s="50" t="s">
        <v>147</v>
      </c>
    </row>
    <row r="63" spans="2:2" x14ac:dyDescent="0.25">
      <c r="B63" s="51"/>
    </row>
    <row r="64" spans="2:2" x14ac:dyDescent="0.25">
      <c r="B64" s="50" t="s">
        <v>148</v>
      </c>
    </row>
    <row r="65" spans="2:2" x14ac:dyDescent="0.25">
      <c r="B65" s="51"/>
    </row>
    <row r="66" spans="2:2" x14ac:dyDescent="0.25">
      <c r="B66" s="50" t="s">
        <v>149</v>
      </c>
    </row>
    <row r="67" spans="2:2" x14ac:dyDescent="0.25">
      <c r="B67" s="50" t="s">
        <v>150</v>
      </c>
    </row>
    <row r="68" spans="2:2" x14ac:dyDescent="0.25">
      <c r="B68" s="51"/>
    </row>
    <row r="69" spans="2:2" x14ac:dyDescent="0.25">
      <c r="B69" s="50" t="s">
        <v>151</v>
      </c>
    </row>
    <row r="70" spans="2:2" x14ac:dyDescent="0.25">
      <c r="B70" s="50" t="s">
        <v>152</v>
      </c>
    </row>
    <row r="71" spans="2:2" x14ac:dyDescent="0.25">
      <c r="B71" s="50" t="s">
        <v>153</v>
      </c>
    </row>
    <row r="72" spans="2:2" x14ac:dyDescent="0.25">
      <c r="B72" s="51"/>
    </row>
    <row r="73" spans="2:2" x14ac:dyDescent="0.25">
      <c r="B73" s="50" t="s">
        <v>154</v>
      </c>
    </row>
    <row r="74" spans="2:2" x14ac:dyDescent="0.25">
      <c r="B74" s="50" t="s">
        <v>155</v>
      </c>
    </row>
    <row r="75" spans="2:2" x14ac:dyDescent="0.25">
      <c r="B75" s="50" t="s">
        <v>156</v>
      </c>
    </row>
    <row r="76" spans="2:2" x14ac:dyDescent="0.25">
      <c r="B76" s="50" t="s">
        <v>157</v>
      </c>
    </row>
    <row r="77" spans="2:2" x14ac:dyDescent="0.25">
      <c r="B77" s="51"/>
    </row>
    <row r="78" spans="2:2" x14ac:dyDescent="0.25">
      <c r="B78" s="50" t="s">
        <v>158</v>
      </c>
    </row>
    <row r="79" spans="2:2" x14ac:dyDescent="0.25">
      <c r="B79" s="50" t="s">
        <v>159</v>
      </c>
    </row>
    <row r="80" spans="2:2" x14ac:dyDescent="0.25">
      <c r="B80" s="51"/>
    </row>
    <row r="81" spans="2:2" x14ac:dyDescent="0.25">
      <c r="B81" s="50" t="s">
        <v>160</v>
      </c>
    </row>
    <row r="82" spans="2:2" x14ac:dyDescent="0.25">
      <c r="B82" s="50" t="s">
        <v>161</v>
      </c>
    </row>
    <row r="83" spans="2:2" x14ac:dyDescent="0.25">
      <c r="B83" s="50" t="s">
        <v>162</v>
      </c>
    </row>
    <row r="84" spans="2:2" x14ac:dyDescent="0.25">
      <c r="B84" s="50" t="s">
        <v>163</v>
      </c>
    </row>
    <row r="85" spans="2:2" x14ac:dyDescent="0.25">
      <c r="B85" s="50" t="s">
        <v>164</v>
      </c>
    </row>
    <row r="86" spans="2:2" x14ac:dyDescent="0.25">
      <c r="B86" s="50" t="s">
        <v>165</v>
      </c>
    </row>
    <row r="87" spans="2:2" x14ac:dyDescent="0.25">
      <c r="B87" s="51"/>
    </row>
    <row r="88" spans="2:2" x14ac:dyDescent="0.25">
      <c r="B88" s="50" t="s">
        <v>166</v>
      </c>
    </row>
    <row r="89" spans="2:2" x14ac:dyDescent="0.25">
      <c r="B89" s="50" t="s">
        <v>167</v>
      </c>
    </row>
    <row r="90" spans="2:2" x14ac:dyDescent="0.25">
      <c r="B90" s="50" t="s">
        <v>168</v>
      </c>
    </row>
    <row r="91" spans="2:2" x14ac:dyDescent="0.25">
      <c r="B91" s="51"/>
    </row>
    <row r="92" spans="2:2" x14ac:dyDescent="0.25">
      <c r="B92" s="50" t="s">
        <v>169</v>
      </c>
    </row>
    <row r="93" spans="2:2" x14ac:dyDescent="0.25">
      <c r="B93" s="50" t="s">
        <v>170</v>
      </c>
    </row>
    <row r="94" spans="2:2" x14ac:dyDescent="0.25">
      <c r="B94" s="50" t="s">
        <v>171</v>
      </c>
    </row>
    <row r="95" spans="2:2" x14ac:dyDescent="0.25">
      <c r="B95" s="50" t="s">
        <v>172</v>
      </c>
    </row>
    <row r="96" spans="2:2" x14ac:dyDescent="0.25">
      <c r="B96" s="50" t="s">
        <v>173</v>
      </c>
    </row>
    <row r="97" spans="2:2" x14ac:dyDescent="0.25">
      <c r="B97" s="50" t="s">
        <v>174</v>
      </c>
    </row>
    <row r="98" spans="2:2" x14ac:dyDescent="0.25">
      <c r="B98" s="50" t="s">
        <v>175</v>
      </c>
    </row>
    <row r="99" spans="2:2" x14ac:dyDescent="0.25">
      <c r="B99" s="50" t="s">
        <v>176</v>
      </c>
    </row>
    <row r="100" spans="2:2" x14ac:dyDescent="0.25">
      <c r="B100" s="51"/>
    </row>
    <row r="101" spans="2:2" x14ac:dyDescent="0.25">
      <c r="B101" s="50" t="s">
        <v>177</v>
      </c>
    </row>
    <row r="102" spans="2:2" x14ac:dyDescent="0.25">
      <c r="B102" s="51"/>
    </row>
    <row r="103" spans="2:2" x14ac:dyDescent="0.25">
      <c r="B103" s="50" t="s">
        <v>178</v>
      </c>
    </row>
    <row r="104" spans="2:2" x14ac:dyDescent="0.25">
      <c r="B104" s="50" t="s">
        <v>179</v>
      </c>
    </row>
    <row r="105" spans="2:2" x14ac:dyDescent="0.25">
      <c r="B105" s="50" t="s">
        <v>180</v>
      </c>
    </row>
    <row r="106" spans="2:2" x14ac:dyDescent="0.25">
      <c r="B106" s="51"/>
    </row>
    <row r="107" spans="2:2" x14ac:dyDescent="0.25">
      <c r="B107" s="50" t="s">
        <v>181</v>
      </c>
    </row>
    <row r="108" spans="2:2" x14ac:dyDescent="0.25">
      <c r="B108" s="50" t="s">
        <v>182</v>
      </c>
    </row>
    <row r="109" spans="2:2" x14ac:dyDescent="0.25">
      <c r="B109" s="50" t="s">
        <v>183</v>
      </c>
    </row>
    <row r="110" spans="2:2" x14ac:dyDescent="0.25">
      <c r="B110" s="50" t="s">
        <v>184</v>
      </c>
    </row>
    <row r="111" spans="2:2" x14ac:dyDescent="0.25">
      <c r="B111" s="51"/>
    </row>
    <row r="112" spans="2:2" x14ac:dyDescent="0.25">
      <c r="B112" s="50" t="s">
        <v>185</v>
      </c>
    </row>
    <row r="113" spans="2:2" x14ac:dyDescent="0.25">
      <c r="B113" s="50" t="s">
        <v>186</v>
      </c>
    </row>
    <row r="114" spans="2:2" x14ac:dyDescent="0.25">
      <c r="B114" s="50" t="s">
        <v>187</v>
      </c>
    </row>
    <row r="115" spans="2:2" x14ac:dyDescent="0.25">
      <c r="B115" s="50" t="s">
        <v>188</v>
      </c>
    </row>
    <row r="116" spans="2:2" x14ac:dyDescent="0.25">
      <c r="B116" s="50" t="s">
        <v>189</v>
      </c>
    </row>
    <row r="117" spans="2:2" x14ac:dyDescent="0.25">
      <c r="B117" s="50" t="s">
        <v>190</v>
      </c>
    </row>
    <row r="118" spans="2:2" x14ac:dyDescent="0.25">
      <c r="B118" s="50" t="s">
        <v>191</v>
      </c>
    </row>
    <row r="119" spans="2:2" x14ac:dyDescent="0.25">
      <c r="B119" s="50" t="s">
        <v>192</v>
      </c>
    </row>
    <row r="120" spans="2:2" x14ac:dyDescent="0.25">
      <c r="B120" s="50" t="s">
        <v>193</v>
      </c>
    </row>
    <row r="121" spans="2:2" x14ac:dyDescent="0.25">
      <c r="B121" s="50" t="s">
        <v>194</v>
      </c>
    </row>
    <row r="122" spans="2:2" x14ac:dyDescent="0.25">
      <c r="B122" s="51"/>
    </row>
    <row r="123" spans="2:2" x14ac:dyDescent="0.25">
      <c r="B123" s="50" t="s">
        <v>195</v>
      </c>
    </row>
    <row r="124" spans="2:2" x14ac:dyDescent="0.25">
      <c r="B124" s="50" t="s">
        <v>196</v>
      </c>
    </row>
    <row r="125" spans="2:2" x14ac:dyDescent="0.25">
      <c r="B125" s="50" t="s">
        <v>197</v>
      </c>
    </row>
    <row r="126" spans="2:2" x14ac:dyDescent="0.25">
      <c r="B126" s="50" t="s">
        <v>198</v>
      </c>
    </row>
    <row r="127" spans="2:2" x14ac:dyDescent="0.25">
      <c r="B127" s="50" t="s">
        <v>199</v>
      </c>
    </row>
    <row r="128" spans="2:2" x14ac:dyDescent="0.25">
      <c r="B128" s="50" t="s">
        <v>200</v>
      </c>
    </row>
    <row r="129" spans="2:2" x14ac:dyDescent="0.25">
      <c r="B129" s="50" t="s">
        <v>201</v>
      </c>
    </row>
    <row r="130" spans="2:2" x14ac:dyDescent="0.25">
      <c r="B130" s="50" t="s">
        <v>202</v>
      </c>
    </row>
    <row r="131" spans="2:2" x14ac:dyDescent="0.25">
      <c r="B131" s="50" t="s">
        <v>203</v>
      </c>
    </row>
    <row r="132" spans="2:2" x14ac:dyDescent="0.25">
      <c r="B132" s="50" t="s">
        <v>204</v>
      </c>
    </row>
    <row r="133" spans="2:2" x14ac:dyDescent="0.25">
      <c r="B133" s="50" t="s">
        <v>205</v>
      </c>
    </row>
    <row r="134" spans="2:2" x14ac:dyDescent="0.25">
      <c r="B134" s="50" t="s">
        <v>206</v>
      </c>
    </row>
    <row r="135" spans="2:2" x14ac:dyDescent="0.25">
      <c r="B135" s="51"/>
    </row>
    <row r="136" spans="2:2" x14ac:dyDescent="0.25">
      <c r="B136" s="50" t="s">
        <v>207</v>
      </c>
    </row>
    <row r="137" spans="2:2" x14ac:dyDescent="0.25">
      <c r="B137" s="50" t="s">
        <v>208</v>
      </c>
    </row>
    <row r="138" spans="2:2" x14ac:dyDescent="0.25">
      <c r="B138" s="50" t="s">
        <v>209</v>
      </c>
    </row>
    <row r="139" spans="2:2" x14ac:dyDescent="0.25">
      <c r="B139" s="51"/>
    </row>
    <row r="140" spans="2:2" x14ac:dyDescent="0.25">
      <c r="B140" s="50" t="s">
        <v>210</v>
      </c>
    </row>
    <row r="141" spans="2:2" x14ac:dyDescent="0.25">
      <c r="B141" s="50" t="s">
        <v>211</v>
      </c>
    </row>
    <row r="142" spans="2:2" x14ac:dyDescent="0.25">
      <c r="B142" s="51"/>
    </row>
    <row r="143" spans="2:2" x14ac:dyDescent="0.25">
      <c r="B143" s="50" t="s">
        <v>212</v>
      </c>
    </row>
    <row r="144" spans="2:2" x14ac:dyDescent="0.25">
      <c r="B144" s="51"/>
    </row>
    <row r="145" spans="2:2" x14ac:dyDescent="0.25">
      <c r="B145" s="50" t="s">
        <v>213</v>
      </c>
    </row>
    <row r="146" spans="2:2" x14ac:dyDescent="0.25">
      <c r="B146" s="50" t="s">
        <v>214</v>
      </c>
    </row>
    <row r="147" spans="2:2" x14ac:dyDescent="0.25">
      <c r="B147" s="50" t="s">
        <v>215</v>
      </c>
    </row>
    <row r="148" spans="2:2" x14ac:dyDescent="0.25">
      <c r="B148" s="50" t="s">
        <v>216</v>
      </c>
    </row>
    <row r="149" spans="2:2" x14ac:dyDescent="0.25">
      <c r="B149" s="50" t="s">
        <v>217</v>
      </c>
    </row>
    <row r="150" spans="2:2" x14ac:dyDescent="0.25">
      <c r="B150" s="50" t="s">
        <v>218</v>
      </c>
    </row>
    <row r="151" spans="2:2" x14ac:dyDescent="0.25">
      <c r="B151" s="50" t="s">
        <v>219</v>
      </c>
    </row>
    <row r="152" spans="2:2" x14ac:dyDescent="0.25">
      <c r="B152" s="51"/>
    </row>
    <row r="153" spans="2:2" x14ac:dyDescent="0.25">
      <c r="B153" s="50" t="s">
        <v>220</v>
      </c>
    </row>
    <row r="154" spans="2:2" x14ac:dyDescent="0.25">
      <c r="B154" s="50" t="s">
        <v>221</v>
      </c>
    </row>
    <row r="155" spans="2:2" x14ac:dyDescent="0.25">
      <c r="B155" s="50" t="s">
        <v>222</v>
      </c>
    </row>
    <row r="156" spans="2:2" x14ac:dyDescent="0.25">
      <c r="B156" s="50" t="s">
        <v>223</v>
      </c>
    </row>
    <row r="157" spans="2:2" x14ac:dyDescent="0.25">
      <c r="B157" s="50" t="s">
        <v>224</v>
      </c>
    </row>
    <row r="158" spans="2:2" x14ac:dyDescent="0.25">
      <c r="B158" s="50" t="s">
        <v>225</v>
      </c>
    </row>
    <row r="159" spans="2:2" x14ac:dyDescent="0.25">
      <c r="B159" s="50" t="s">
        <v>226</v>
      </c>
    </row>
    <row r="160" spans="2:2" x14ac:dyDescent="0.25">
      <c r="B160" s="50" t="s">
        <v>227</v>
      </c>
    </row>
    <row r="161" spans="2:2" x14ac:dyDescent="0.25">
      <c r="B161" s="50" t="s">
        <v>228</v>
      </c>
    </row>
    <row r="162" spans="2:2" x14ac:dyDescent="0.25">
      <c r="B162" s="50" t="s">
        <v>229</v>
      </c>
    </row>
    <row r="163" spans="2:2" x14ac:dyDescent="0.25">
      <c r="B163" s="51"/>
    </row>
    <row r="164" spans="2:2" x14ac:dyDescent="0.25">
      <c r="B164" s="50" t="s">
        <v>230</v>
      </c>
    </row>
    <row r="165" spans="2:2" x14ac:dyDescent="0.25">
      <c r="B165" s="50" t="s">
        <v>231</v>
      </c>
    </row>
    <row r="166" spans="2:2" x14ac:dyDescent="0.25">
      <c r="B166" s="50" t="s">
        <v>232</v>
      </c>
    </row>
    <row r="167" spans="2:2" x14ac:dyDescent="0.25">
      <c r="B167" s="51"/>
    </row>
    <row r="168" spans="2:2" x14ac:dyDescent="0.25">
      <c r="B168" s="50" t="s">
        <v>233</v>
      </c>
    </row>
    <row r="169" spans="2:2" x14ac:dyDescent="0.25">
      <c r="B169" s="51"/>
    </row>
    <row r="170" spans="2:2" x14ac:dyDescent="0.25">
      <c r="B170" s="50" t="s">
        <v>234</v>
      </c>
    </row>
    <row r="171" spans="2:2" x14ac:dyDescent="0.25">
      <c r="B171" s="50" t="s">
        <v>235</v>
      </c>
    </row>
    <row r="172" spans="2:2" x14ac:dyDescent="0.25">
      <c r="B172" s="50" t="s">
        <v>236</v>
      </c>
    </row>
    <row r="173" spans="2:2" x14ac:dyDescent="0.25">
      <c r="B173" s="50" t="s">
        <v>237</v>
      </c>
    </row>
    <row r="174" spans="2:2" x14ac:dyDescent="0.25">
      <c r="B174" s="50" t="s">
        <v>238</v>
      </c>
    </row>
    <row r="175" spans="2:2" x14ac:dyDescent="0.25">
      <c r="B175" s="51"/>
    </row>
    <row r="176" spans="2:2" x14ac:dyDescent="0.25">
      <c r="B176" s="50" t="s">
        <v>239</v>
      </c>
    </row>
    <row r="177" spans="2:2" x14ac:dyDescent="0.25">
      <c r="B177" s="50" t="s">
        <v>240</v>
      </c>
    </row>
    <row r="178" spans="2:2" x14ac:dyDescent="0.25">
      <c r="B178" s="50" t="s">
        <v>241</v>
      </c>
    </row>
    <row r="179" spans="2:2" x14ac:dyDescent="0.25">
      <c r="B179" s="50" t="s">
        <v>242</v>
      </c>
    </row>
    <row r="180" spans="2:2" x14ac:dyDescent="0.25">
      <c r="B180" s="50" t="s">
        <v>243</v>
      </c>
    </row>
    <row r="181" spans="2:2" x14ac:dyDescent="0.25">
      <c r="B181" s="50" t="s">
        <v>244</v>
      </c>
    </row>
    <row r="182" spans="2:2" x14ac:dyDescent="0.25">
      <c r="B182" s="50" t="s">
        <v>245</v>
      </c>
    </row>
    <row r="183" spans="2:2" x14ac:dyDescent="0.25">
      <c r="B183" s="51"/>
    </row>
    <row r="184" spans="2:2" x14ac:dyDescent="0.25">
      <c r="B184" s="50" t="s">
        <v>246</v>
      </c>
    </row>
    <row r="185" spans="2:2" x14ac:dyDescent="0.25">
      <c r="B185" s="51"/>
    </row>
    <row r="186" spans="2:2" x14ac:dyDescent="0.25">
      <c r="B186" s="50" t="s">
        <v>247</v>
      </c>
    </row>
    <row r="187" spans="2:2" x14ac:dyDescent="0.25">
      <c r="B187" s="50" t="s">
        <v>248</v>
      </c>
    </row>
    <row r="188" spans="2:2" x14ac:dyDescent="0.25">
      <c r="B188" s="50" t="s">
        <v>249</v>
      </c>
    </row>
    <row r="189" spans="2:2" x14ac:dyDescent="0.25">
      <c r="B189" s="50" t="s">
        <v>250</v>
      </c>
    </row>
    <row r="190" spans="2:2" x14ac:dyDescent="0.25">
      <c r="B190" s="50" t="s">
        <v>251</v>
      </c>
    </row>
    <row r="191" spans="2:2" x14ac:dyDescent="0.25">
      <c r="B191" s="50" t="s">
        <v>252</v>
      </c>
    </row>
    <row r="192" spans="2:2" x14ac:dyDescent="0.25">
      <c r="B192" s="50" t="s">
        <v>253</v>
      </c>
    </row>
    <row r="193" spans="2:2" x14ac:dyDescent="0.25">
      <c r="B193" s="51"/>
    </row>
    <row r="194" spans="2:2" x14ac:dyDescent="0.25">
      <c r="B194" s="50" t="s">
        <v>254</v>
      </c>
    </row>
    <row r="195" spans="2:2" x14ac:dyDescent="0.25">
      <c r="B195" s="50" t="s">
        <v>255</v>
      </c>
    </row>
    <row r="196" spans="2:2" x14ac:dyDescent="0.25">
      <c r="B196" s="51"/>
    </row>
    <row r="197" spans="2:2" x14ac:dyDescent="0.25">
      <c r="B197" s="50" t="s">
        <v>256</v>
      </c>
    </row>
    <row r="198" spans="2:2" x14ac:dyDescent="0.25">
      <c r="B198" s="51"/>
    </row>
    <row r="199" spans="2:2" x14ac:dyDescent="0.25">
      <c r="B199" s="50" t="s">
        <v>257</v>
      </c>
    </row>
    <row r="200" spans="2:2" x14ac:dyDescent="0.25">
      <c r="B200" s="50" t="s">
        <v>258</v>
      </c>
    </row>
    <row r="201" spans="2:2" x14ac:dyDescent="0.25">
      <c r="B201" s="50" t="s">
        <v>259</v>
      </c>
    </row>
    <row r="202" spans="2:2" x14ac:dyDescent="0.25">
      <c r="B202" s="51"/>
    </row>
    <row r="203" spans="2:2" x14ac:dyDescent="0.25">
      <c r="B203" s="50" t="s">
        <v>260</v>
      </c>
    </row>
    <row r="204" spans="2:2" x14ac:dyDescent="0.25">
      <c r="B204" s="50" t="s">
        <v>261</v>
      </c>
    </row>
    <row r="205" spans="2:2" x14ac:dyDescent="0.25">
      <c r="B205" s="51"/>
    </row>
    <row r="206" spans="2:2" x14ac:dyDescent="0.25">
      <c r="B206" s="50" t="s">
        <v>262</v>
      </c>
    </row>
    <row r="207" spans="2:2" x14ac:dyDescent="0.25">
      <c r="B207" s="50" t="s">
        <v>263</v>
      </c>
    </row>
    <row r="208" spans="2:2" x14ac:dyDescent="0.25">
      <c r="B208" s="50" t="s">
        <v>264</v>
      </c>
    </row>
    <row r="209" spans="2:2" x14ac:dyDescent="0.25">
      <c r="B209" s="50" t="s">
        <v>265</v>
      </c>
    </row>
    <row r="210" spans="2:2" x14ac:dyDescent="0.25">
      <c r="B210" s="51"/>
    </row>
    <row r="211" spans="2:2" x14ac:dyDescent="0.25">
      <c r="B211" s="50" t="s">
        <v>266</v>
      </c>
    </row>
    <row r="212" spans="2:2" x14ac:dyDescent="0.25">
      <c r="B212" s="50" t="s">
        <v>267</v>
      </c>
    </row>
    <row r="213" spans="2:2" x14ac:dyDescent="0.25">
      <c r="B213" s="50" t="s">
        <v>268</v>
      </c>
    </row>
    <row r="214" spans="2:2" x14ac:dyDescent="0.25">
      <c r="B214" s="50" t="s">
        <v>269</v>
      </c>
    </row>
    <row r="215" spans="2:2" x14ac:dyDescent="0.25">
      <c r="B215" s="50" t="s">
        <v>270</v>
      </c>
    </row>
    <row r="216" spans="2:2" x14ac:dyDescent="0.25">
      <c r="B216" s="50" t="s">
        <v>271</v>
      </c>
    </row>
    <row r="217" spans="2:2" x14ac:dyDescent="0.25">
      <c r="B217" s="50" t="s">
        <v>272</v>
      </c>
    </row>
    <row r="218" spans="2:2" x14ac:dyDescent="0.25">
      <c r="B218" s="51"/>
    </row>
    <row r="219" spans="2:2" x14ac:dyDescent="0.25">
      <c r="B219" s="50" t="s">
        <v>273</v>
      </c>
    </row>
    <row r="220" spans="2:2" x14ac:dyDescent="0.25">
      <c r="B220" s="50" t="s">
        <v>274</v>
      </c>
    </row>
    <row r="221" spans="2:2" x14ac:dyDescent="0.25">
      <c r="B221" s="50" t="s">
        <v>275</v>
      </c>
    </row>
    <row r="222" spans="2:2" x14ac:dyDescent="0.25">
      <c r="B222" s="50" t="s">
        <v>276</v>
      </c>
    </row>
    <row r="223" spans="2:2" x14ac:dyDescent="0.25">
      <c r="B223" s="51"/>
    </row>
    <row r="224" spans="2:2" x14ac:dyDescent="0.25">
      <c r="B224" s="50" t="s">
        <v>277</v>
      </c>
    </row>
    <row r="225" spans="2:2" x14ac:dyDescent="0.25">
      <c r="B225" s="50" t="s">
        <v>278</v>
      </c>
    </row>
    <row r="226" spans="2:2" x14ac:dyDescent="0.25">
      <c r="B226" s="50" t="s">
        <v>279</v>
      </c>
    </row>
    <row r="227" spans="2:2" x14ac:dyDescent="0.25">
      <c r="B227" s="50" t="s">
        <v>280</v>
      </c>
    </row>
    <row r="228" spans="2:2" x14ac:dyDescent="0.25">
      <c r="B228" s="50" t="s">
        <v>281</v>
      </c>
    </row>
    <row r="229" spans="2:2" x14ac:dyDescent="0.25">
      <c r="B229" s="50" t="s">
        <v>282</v>
      </c>
    </row>
    <row r="230" spans="2:2" x14ac:dyDescent="0.25">
      <c r="B230" s="50" t="s">
        <v>283</v>
      </c>
    </row>
    <row r="231" spans="2:2" x14ac:dyDescent="0.25">
      <c r="B231" s="50" t="s">
        <v>284</v>
      </c>
    </row>
    <row r="232" spans="2:2" x14ac:dyDescent="0.25">
      <c r="B232" s="50" t="s">
        <v>285</v>
      </c>
    </row>
    <row r="233" spans="2:2" x14ac:dyDescent="0.25">
      <c r="B233" s="51"/>
    </row>
    <row r="234" spans="2:2" x14ac:dyDescent="0.25">
      <c r="B234" s="50" t="s">
        <v>286</v>
      </c>
    </row>
    <row r="235" spans="2:2" x14ac:dyDescent="0.25">
      <c r="B235" s="51"/>
    </row>
    <row r="236" spans="2:2" x14ac:dyDescent="0.25">
      <c r="B236" s="50" t="s">
        <v>287</v>
      </c>
    </row>
    <row r="237" spans="2:2" x14ac:dyDescent="0.25">
      <c r="B237" s="50" t="s">
        <v>288</v>
      </c>
    </row>
    <row r="238" spans="2:2" x14ac:dyDescent="0.25">
      <c r="B238" s="50" t="s">
        <v>289</v>
      </c>
    </row>
    <row r="239" spans="2:2" x14ac:dyDescent="0.25">
      <c r="B239" s="50" t="s">
        <v>290</v>
      </c>
    </row>
    <row r="240" spans="2:2" x14ac:dyDescent="0.25">
      <c r="B240" s="51"/>
    </row>
    <row r="241" spans="2:2" x14ac:dyDescent="0.25">
      <c r="B241" s="50" t="s">
        <v>291</v>
      </c>
    </row>
    <row r="242" spans="2:2" x14ac:dyDescent="0.25">
      <c r="B242" s="50" t="s">
        <v>292</v>
      </c>
    </row>
    <row r="243" spans="2:2" x14ac:dyDescent="0.25">
      <c r="B243" s="50" t="s">
        <v>293</v>
      </c>
    </row>
    <row r="244" spans="2:2" x14ac:dyDescent="0.25">
      <c r="B244" s="50" t="s">
        <v>294</v>
      </c>
    </row>
    <row r="245" spans="2:2" x14ac:dyDescent="0.25">
      <c r="B245" s="51"/>
    </row>
    <row r="246" spans="2:2" x14ac:dyDescent="0.25">
      <c r="B246" s="50" t="s">
        <v>295</v>
      </c>
    </row>
    <row r="247" spans="2:2" x14ac:dyDescent="0.25">
      <c r="B247" s="50" t="s">
        <v>296</v>
      </c>
    </row>
    <row r="248" spans="2:2" x14ac:dyDescent="0.25">
      <c r="B248" s="50" t="s">
        <v>297</v>
      </c>
    </row>
    <row r="249" spans="2:2" x14ac:dyDescent="0.25">
      <c r="B249" s="50" t="s">
        <v>298</v>
      </c>
    </row>
    <row r="250" spans="2:2" x14ac:dyDescent="0.25">
      <c r="B250" s="50" t="s">
        <v>299</v>
      </c>
    </row>
    <row r="251" spans="2:2" x14ac:dyDescent="0.25">
      <c r="B251" s="50" t="s">
        <v>300</v>
      </c>
    </row>
    <row r="252" spans="2:2" x14ac:dyDescent="0.25">
      <c r="B252" s="50" t="s">
        <v>301</v>
      </c>
    </row>
    <row r="253" spans="2:2" x14ac:dyDescent="0.25">
      <c r="B253" s="50" t="s">
        <v>302</v>
      </c>
    </row>
    <row r="254" spans="2:2" x14ac:dyDescent="0.25">
      <c r="B254" s="50" t="s">
        <v>303</v>
      </c>
    </row>
    <row r="255" spans="2:2" x14ac:dyDescent="0.25">
      <c r="B255" s="50" t="s">
        <v>304</v>
      </c>
    </row>
    <row r="256" spans="2:2" x14ac:dyDescent="0.25">
      <c r="B256" s="50" t="s">
        <v>305</v>
      </c>
    </row>
    <row r="257" spans="2:2" x14ac:dyDescent="0.25">
      <c r="B257" s="51"/>
    </row>
    <row r="258" spans="2:2" x14ac:dyDescent="0.25">
      <c r="B258" s="50" t="s">
        <v>306</v>
      </c>
    </row>
    <row r="259" spans="2:2" x14ac:dyDescent="0.25">
      <c r="B259" s="50" t="s">
        <v>307</v>
      </c>
    </row>
    <row r="260" spans="2:2" x14ac:dyDescent="0.25">
      <c r="B260" s="50" t="s">
        <v>308</v>
      </c>
    </row>
    <row r="261" spans="2:2" x14ac:dyDescent="0.25">
      <c r="B261" s="50" t="s">
        <v>309</v>
      </c>
    </row>
    <row r="262" spans="2:2" x14ac:dyDescent="0.25">
      <c r="B262" s="50" t="s">
        <v>310</v>
      </c>
    </row>
    <row r="263" spans="2:2" x14ac:dyDescent="0.25">
      <c r="B263" s="51"/>
    </row>
    <row r="264" spans="2:2" x14ac:dyDescent="0.25">
      <c r="B264" s="50" t="s">
        <v>311</v>
      </c>
    </row>
    <row r="265" spans="2:2" x14ac:dyDescent="0.25">
      <c r="B265" s="50" t="s">
        <v>312</v>
      </c>
    </row>
    <row r="266" spans="2:2" x14ac:dyDescent="0.25">
      <c r="B266" s="50" t="s">
        <v>313</v>
      </c>
    </row>
    <row r="267" spans="2:2" x14ac:dyDescent="0.25">
      <c r="B267" s="50" t="s">
        <v>314</v>
      </c>
    </row>
    <row r="268" spans="2:2" x14ac:dyDescent="0.25">
      <c r="B268" s="50" t="s">
        <v>315</v>
      </c>
    </row>
    <row r="269" spans="2:2" x14ac:dyDescent="0.25">
      <c r="B269" s="50" t="s">
        <v>316</v>
      </c>
    </row>
    <row r="270" spans="2:2" x14ac:dyDescent="0.25">
      <c r="B270" s="50" t="s">
        <v>317</v>
      </c>
    </row>
    <row r="271" spans="2:2" x14ac:dyDescent="0.25">
      <c r="B271" s="50" t="s">
        <v>318</v>
      </c>
    </row>
    <row r="272" spans="2:2" x14ac:dyDescent="0.25">
      <c r="B272" s="50" t="s">
        <v>319</v>
      </c>
    </row>
    <row r="273" spans="2:2" x14ac:dyDescent="0.25">
      <c r="B273" s="50" t="s">
        <v>320</v>
      </c>
    </row>
    <row r="274" spans="2:2" x14ac:dyDescent="0.25">
      <c r="B274" s="50" t="s">
        <v>321</v>
      </c>
    </row>
    <row r="275" spans="2:2" x14ac:dyDescent="0.25">
      <c r="B275" s="50" t="s">
        <v>322</v>
      </c>
    </row>
    <row r="276" spans="2:2" x14ac:dyDescent="0.25">
      <c r="B276" s="51"/>
    </row>
    <row r="277" spans="2:2" x14ac:dyDescent="0.25">
      <c r="B277" s="50" t="s">
        <v>323</v>
      </c>
    </row>
    <row r="278" spans="2:2" x14ac:dyDescent="0.25">
      <c r="B278" s="50" t="s">
        <v>324</v>
      </c>
    </row>
    <row r="279" spans="2:2" x14ac:dyDescent="0.25">
      <c r="B279" s="50" t="s">
        <v>325</v>
      </c>
    </row>
    <row r="280" spans="2:2" x14ac:dyDescent="0.25">
      <c r="B280" s="50" t="s">
        <v>326</v>
      </c>
    </row>
    <row r="281" spans="2:2" x14ac:dyDescent="0.25">
      <c r="B281" s="51"/>
    </row>
    <row r="282" spans="2:2" x14ac:dyDescent="0.25">
      <c r="B282" s="50" t="s">
        <v>327</v>
      </c>
    </row>
    <row r="283" spans="2:2" x14ac:dyDescent="0.25">
      <c r="B283" s="50" t="s">
        <v>328</v>
      </c>
    </row>
    <row r="284" spans="2:2" x14ac:dyDescent="0.25">
      <c r="B284" s="50" t="s">
        <v>329</v>
      </c>
    </row>
    <row r="285" spans="2:2" x14ac:dyDescent="0.25">
      <c r="B285" s="51"/>
    </row>
    <row r="286" spans="2:2" x14ac:dyDescent="0.25">
      <c r="B286" s="50" t="s">
        <v>330</v>
      </c>
    </row>
    <row r="287" spans="2:2" x14ac:dyDescent="0.25">
      <c r="B287" s="50" t="s">
        <v>331</v>
      </c>
    </row>
    <row r="288" spans="2:2" x14ac:dyDescent="0.25">
      <c r="B288" s="50" t="s">
        <v>332</v>
      </c>
    </row>
    <row r="289" spans="2:2" x14ac:dyDescent="0.25">
      <c r="B289" s="50" t="s">
        <v>333</v>
      </c>
    </row>
    <row r="290" spans="2:2" x14ac:dyDescent="0.25">
      <c r="B290" s="50" t="s">
        <v>334</v>
      </c>
    </row>
    <row r="291" spans="2:2" x14ac:dyDescent="0.25">
      <c r="B291" s="50" t="s">
        <v>335</v>
      </c>
    </row>
    <row r="292" spans="2:2" x14ac:dyDescent="0.25">
      <c r="B292" s="50" t="s">
        <v>336</v>
      </c>
    </row>
    <row r="293" spans="2:2" x14ac:dyDescent="0.25">
      <c r="B293" s="50" t="s">
        <v>337</v>
      </c>
    </row>
    <row r="294" spans="2:2" x14ac:dyDescent="0.25">
      <c r="B294" s="50" t="s">
        <v>338</v>
      </c>
    </row>
    <row r="295" spans="2:2" x14ac:dyDescent="0.25">
      <c r="B295" s="50" t="s">
        <v>339</v>
      </c>
    </row>
    <row r="296" spans="2:2" x14ac:dyDescent="0.25">
      <c r="B296" s="50" t="s">
        <v>340</v>
      </c>
    </row>
    <row r="297" spans="2:2" x14ac:dyDescent="0.25">
      <c r="B297" s="50" t="s">
        <v>341</v>
      </c>
    </row>
    <row r="298" spans="2:2" x14ac:dyDescent="0.25">
      <c r="B298" s="51"/>
    </row>
    <row r="299" spans="2:2" x14ac:dyDescent="0.25">
      <c r="B299" s="50" t="s">
        <v>342</v>
      </c>
    </row>
    <row r="300" spans="2:2" x14ac:dyDescent="0.25">
      <c r="B300" s="50" t="s">
        <v>343</v>
      </c>
    </row>
    <row r="301" spans="2:2" x14ac:dyDescent="0.25">
      <c r="B301" s="50" t="s">
        <v>344</v>
      </c>
    </row>
    <row r="302" spans="2:2" x14ac:dyDescent="0.25">
      <c r="B302" s="50" t="s">
        <v>345</v>
      </c>
    </row>
    <row r="303" spans="2:2" x14ac:dyDescent="0.25">
      <c r="B303" s="50" t="s">
        <v>346</v>
      </c>
    </row>
    <row r="304" spans="2:2" x14ac:dyDescent="0.25">
      <c r="B304" s="50" t="s">
        <v>347</v>
      </c>
    </row>
    <row r="305" spans="2:2" x14ac:dyDescent="0.25">
      <c r="B305" s="50" t="s">
        <v>348</v>
      </c>
    </row>
    <row r="306" spans="2:2" x14ac:dyDescent="0.25">
      <c r="B306" s="51"/>
    </row>
    <row r="307" spans="2:2" x14ac:dyDescent="0.25">
      <c r="B307" s="50" t="s">
        <v>349</v>
      </c>
    </row>
    <row r="308" spans="2:2" x14ac:dyDescent="0.25">
      <c r="B308" s="50" t="s">
        <v>350</v>
      </c>
    </row>
    <row r="309" spans="2:2" x14ac:dyDescent="0.25">
      <c r="B309" s="50" t="s">
        <v>351</v>
      </c>
    </row>
    <row r="310" spans="2:2" x14ac:dyDescent="0.25">
      <c r="B310" s="50" t="s">
        <v>352</v>
      </c>
    </row>
    <row r="311" spans="2:2" x14ac:dyDescent="0.25">
      <c r="B311" s="50" t="s">
        <v>353</v>
      </c>
    </row>
    <row r="312" spans="2:2" x14ac:dyDescent="0.25">
      <c r="B312" s="50" t="s">
        <v>354</v>
      </c>
    </row>
    <row r="313" spans="2:2" x14ac:dyDescent="0.25">
      <c r="B313" s="50" t="s">
        <v>355</v>
      </c>
    </row>
    <row r="314" spans="2:2" x14ac:dyDescent="0.25">
      <c r="B314" s="50" t="s">
        <v>356</v>
      </c>
    </row>
    <row r="315" spans="2:2" x14ac:dyDescent="0.25">
      <c r="B315" s="50" t="s">
        <v>357</v>
      </c>
    </row>
    <row r="316" spans="2:2" x14ac:dyDescent="0.25">
      <c r="B316" s="50" t="s">
        <v>358</v>
      </c>
    </row>
    <row r="317" spans="2:2" x14ac:dyDescent="0.25">
      <c r="B317" s="51"/>
    </row>
    <row r="318" spans="2:2" x14ac:dyDescent="0.25">
      <c r="B318" s="50" t="s">
        <v>359</v>
      </c>
    </row>
    <row r="319" spans="2:2" x14ac:dyDescent="0.25">
      <c r="B319" s="50" t="s">
        <v>360</v>
      </c>
    </row>
    <row r="320" spans="2:2" x14ac:dyDescent="0.25">
      <c r="B320" s="50" t="s">
        <v>361</v>
      </c>
    </row>
    <row r="321" spans="2:2" x14ac:dyDescent="0.25">
      <c r="B321" s="50" t="s">
        <v>362</v>
      </c>
    </row>
    <row r="322" spans="2:2" x14ac:dyDescent="0.25">
      <c r="B322" s="50" t="s">
        <v>363</v>
      </c>
    </row>
    <row r="323" spans="2:2" x14ac:dyDescent="0.25">
      <c r="B323" s="50" t="s">
        <v>364</v>
      </c>
    </row>
    <row r="324" spans="2:2" x14ac:dyDescent="0.25">
      <c r="B324" s="50" t="s">
        <v>365</v>
      </c>
    </row>
    <row r="325" spans="2:2" x14ac:dyDescent="0.25">
      <c r="B325" s="51"/>
    </row>
    <row r="326" spans="2:2" x14ac:dyDescent="0.25">
      <c r="B326" s="50" t="s">
        <v>366</v>
      </c>
    </row>
    <row r="327" spans="2:2" x14ac:dyDescent="0.25">
      <c r="B327" s="50" t="s">
        <v>367</v>
      </c>
    </row>
    <row r="328" spans="2:2" x14ac:dyDescent="0.25">
      <c r="B328" s="50" t="s">
        <v>368</v>
      </c>
    </row>
    <row r="329" spans="2:2" x14ac:dyDescent="0.25">
      <c r="B329" s="50" t="s">
        <v>369</v>
      </c>
    </row>
    <row r="330" spans="2:2" x14ac:dyDescent="0.25">
      <c r="B330" s="50" t="s">
        <v>370</v>
      </c>
    </row>
    <row r="331" spans="2:2" x14ac:dyDescent="0.25">
      <c r="B331" s="51"/>
    </row>
    <row r="332" spans="2:2" x14ac:dyDescent="0.25">
      <c r="B332" s="50" t="s">
        <v>371</v>
      </c>
    </row>
    <row r="333" spans="2:2" x14ac:dyDescent="0.25">
      <c r="B333" s="51"/>
    </row>
    <row r="334" spans="2:2" x14ac:dyDescent="0.25">
      <c r="B334" s="50" t="s">
        <v>372</v>
      </c>
    </row>
    <row r="335" spans="2:2" x14ac:dyDescent="0.25">
      <c r="B335" s="50" t="s">
        <v>373</v>
      </c>
    </row>
    <row r="336" spans="2:2" x14ac:dyDescent="0.25">
      <c r="B336" s="50" t="s">
        <v>374</v>
      </c>
    </row>
    <row r="337" spans="2:2" x14ac:dyDescent="0.25">
      <c r="B337" s="50" t="s">
        <v>375</v>
      </c>
    </row>
    <row r="338" spans="2:2" x14ac:dyDescent="0.25">
      <c r="B338" s="50" t="s">
        <v>376</v>
      </c>
    </row>
    <row r="339" spans="2:2" x14ac:dyDescent="0.25">
      <c r="B339" s="50" t="s">
        <v>377</v>
      </c>
    </row>
    <row r="340" spans="2:2" x14ac:dyDescent="0.25">
      <c r="B340" s="50" t="s">
        <v>378</v>
      </c>
    </row>
    <row r="341" spans="2:2" x14ac:dyDescent="0.25">
      <c r="B341" s="50" t="s">
        <v>379</v>
      </c>
    </row>
    <row r="342" spans="2:2" x14ac:dyDescent="0.25">
      <c r="B342" s="51"/>
    </row>
    <row r="343" spans="2:2" x14ac:dyDescent="0.25">
      <c r="B343" s="50" t="s">
        <v>380</v>
      </c>
    </row>
    <row r="344" spans="2:2" x14ac:dyDescent="0.25">
      <c r="B344" s="50" t="s">
        <v>381</v>
      </c>
    </row>
    <row r="345" spans="2:2" x14ac:dyDescent="0.25">
      <c r="B345" s="50" t="s">
        <v>382</v>
      </c>
    </row>
    <row r="346" spans="2:2" x14ac:dyDescent="0.25">
      <c r="B346" s="50" t="s">
        <v>383</v>
      </c>
    </row>
    <row r="347" spans="2:2" x14ac:dyDescent="0.25">
      <c r="B347" s="50" t="s">
        <v>384</v>
      </c>
    </row>
    <row r="348" spans="2:2" x14ac:dyDescent="0.25">
      <c r="B348" s="50" t="s">
        <v>385</v>
      </c>
    </row>
    <row r="349" spans="2:2" x14ac:dyDescent="0.25">
      <c r="B349" s="51"/>
    </row>
    <row r="350" spans="2:2" x14ac:dyDescent="0.25">
      <c r="B350" s="50" t="s">
        <v>386</v>
      </c>
    </row>
    <row r="351" spans="2:2" x14ac:dyDescent="0.25">
      <c r="B351" s="50" t="s">
        <v>387</v>
      </c>
    </row>
    <row r="352" spans="2:2" x14ac:dyDescent="0.25">
      <c r="B352" s="50" t="s">
        <v>388</v>
      </c>
    </row>
    <row r="353" spans="2:2" x14ac:dyDescent="0.25">
      <c r="B353" s="51"/>
    </row>
    <row r="354" spans="2:2" x14ac:dyDescent="0.25">
      <c r="B354" s="50" t="s">
        <v>389</v>
      </c>
    </row>
    <row r="355" spans="2:2" x14ac:dyDescent="0.25">
      <c r="B355" s="50" t="s">
        <v>390</v>
      </c>
    </row>
    <row r="356" spans="2:2" x14ac:dyDescent="0.25">
      <c r="B356" s="51"/>
    </row>
    <row r="357" spans="2:2" x14ac:dyDescent="0.25">
      <c r="B357" s="50" t="s">
        <v>391</v>
      </c>
    </row>
    <row r="358" spans="2:2" x14ac:dyDescent="0.25">
      <c r="B358" s="50" t="s">
        <v>392</v>
      </c>
    </row>
    <row r="359" spans="2:2" x14ac:dyDescent="0.25">
      <c r="B359" s="50" t="s">
        <v>393</v>
      </c>
    </row>
    <row r="360" spans="2:2" x14ac:dyDescent="0.25">
      <c r="B360" s="51"/>
    </row>
    <row r="361" spans="2:2" x14ac:dyDescent="0.25">
      <c r="B361" s="50" t="s">
        <v>394</v>
      </c>
    </row>
    <row r="362" spans="2:2" x14ac:dyDescent="0.25">
      <c r="B362" s="50" t="s">
        <v>395</v>
      </c>
    </row>
    <row r="363" spans="2:2" x14ac:dyDescent="0.25">
      <c r="B363" s="50" t="s">
        <v>396</v>
      </c>
    </row>
    <row r="364" spans="2:2" x14ac:dyDescent="0.25">
      <c r="B364" s="51"/>
    </row>
    <row r="365" spans="2:2" x14ac:dyDescent="0.25">
      <c r="B365" s="50" t="s">
        <v>397</v>
      </c>
    </row>
    <row r="366" spans="2:2" x14ac:dyDescent="0.25">
      <c r="B366" s="50" t="s">
        <v>398</v>
      </c>
    </row>
    <row r="367" spans="2:2" x14ac:dyDescent="0.25">
      <c r="B367" s="51"/>
    </row>
    <row r="368" spans="2:2" x14ac:dyDescent="0.25">
      <c r="B368" s="50" t="s">
        <v>399</v>
      </c>
    </row>
    <row r="369" spans="2:2" x14ac:dyDescent="0.25">
      <c r="B369" s="50" t="s">
        <v>400</v>
      </c>
    </row>
    <row r="370" spans="2:2" x14ac:dyDescent="0.25">
      <c r="B370" s="51"/>
    </row>
    <row r="371" spans="2:2" x14ac:dyDescent="0.25">
      <c r="B371" s="50" t="s">
        <v>401</v>
      </c>
    </row>
    <row r="372" spans="2:2" x14ac:dyDescent="0.25">
      <c r="B372" s="50" t="s">
        <v>402</v>
      </c>
    </row>
    <row r="373" spans="2:2" x14ac:dyDescent="0.25">
      <c r="B373" s="50" t="s">
        <v>403</v>
      </c>
    </row>
    <row r="374" spans="2:2" x14ac:dyDescent="0.25">
      <c r="B374" s="50" t="s">
        <v>404</v>
      </c>
    </row>
    <row r="375" spans="2:2" x14ac:dyDescent="0.25">
      <c r="B375" s="50" t="s">
        <v>405</v>
      </c>
    </row>
    <row r="376" spans="2:2" x14ac:dyDescent="0.25">
      <c r="B376" s="51"/>
    </row>
    <row r="377" spans="2:2" x14ac:dyDescent="0.25">
      <c r="B377" s="50" t="s">
        <v>406</v>
      </c>
    </row>
    <row r="378" spans="2:2" x14ac:dyDescent="0.25">
      <c r="B378" s="50" t="s">
        <v>407</v>
      </c>
    </row>
    <row r="379" spans="2:2" x14ac:dyDescent="0.25">
      <c r="B379" s="50" t="s">
        <v>408</v>
      </c>
    </row>
    <row r="380" spans="2:2" x14ac:dyDescent="0.25">
      <c r="B380" s="50" t="s">
        <v>409</v>
      </c>
    </row>
    <row r="381" spans="2:2" x14ac:dyDescent="0.25">
      <c r="B381" s="50" t="s">
        <v>410</v>
      </c>
    </row>
    <row r="382" spans="2:2" x14ac:dyDescent="0.25">
      <c r="B382" s="50" t="s">
        <v>411</v>
      </c>
    </row>
    <row r="383" spans="2:2" x14ac:dyDescent="0.25">
      <c r="B383" s="50" t="s">
        <v>412</v>
      </c>
    </row>
    <row r="384" spans="2:2" x14ac:dyDescent="0.25">
      <c r="B384" s="50" t="s">
        <v>413</v>
      </c>
    </row>
    <row r="385" spans="2:2" x14ac:dyDescent="0.25">
      <c r="B385" s="50" t="s">
        <v>414</v>
      </c>
    </row>
    <row r="386" spans="2:2" x14ac:dyDescent="0.25">
      <c r="B386" s="51"/>
    </row>
    <row r="387" spans="2:2" x14ac:dyDescent="0.25">
      <c r="B387" s="50" t="s">
        <v>415</v>
      </c>
    </row>
    <row r="388" spans="2:2" x14ac:dyDescent="0.25">
      <c r="B388" s="50" t="s">
        <v>416</v>
      </c>
    </row>
    <row r="389" spans="2:2" x14ac:dyDescent="0.25">
      <c r="B389" s="50" t="s">
        <v>417</v>
      </c>
    </row>
    <row r="390" spans="2:2" x14ac:dyDescent="0.25">
      <c r="B390" s="50" t="s">
        <v>418</v>
      </c>
    </row>
    <row r="391" spans="2:2" x14ac:dyDescent="0.25">
      <c r="B391" s="51"/>
    </row>
    <row r="392" spans="2:2" x14ac:dyDescent="0.25">
      <c r="B392" s="50" t="s">
        <v>419</v>
      </c>
    </row>
    <row r="393" spans="2:2" x14ac:dyDescent="0.25">
      <c r="B393" s="50" t="s">
        <v>420</v>
      </c>
    </row>
    <row r="394" spans="2:2" x14ac:dyDescent="0.25">
      <c r="B394" s="50" t="s">
        <v>421</v>
      </c>
    </row>
    <row r="395" spans="2:2" x14ac:dyDescent="0.25">
      <c r="B395" s="51"/>
    </row>
    <row r="396" spans="2:2" x14ac:dyDescent="0.25">
      <c r="B396" s="50" t="s">
        <v>422</v>
      </c>
    </row>
    <row r="397" spans="2:2" x14ac:dyDescent="0.25">
      <c r="B397" s="51"/>
    </row>
    <row r="398" spans="2:2" x14ac:dyDescent="0.25">
      <c r="B398" s="50" t="s">
        <v>423</v>
      </c>
    </row>
    <row r="399" spans="2:2" x14ac:dyDescent="0.25">
      <c r="B399" s="50" t="s">
        <v>424</v>
      </c>
    </row>
    <row r="400" spans="2:2" x14ac:dyDescent="0.25">
      <c r="B400" s="50" t="s">
        <v>425</v>
      </c>
    </row>
    <row r="401" spans="2:2" x14ac:dyDescent="0.25">
      <c r="B401" s="50" t="s">
        <v>426</v>
      </c>
    </row>
    <row r="402" spans="2:2" x14ac:dyDescent="0.25">
      <c r="B402" s="50" t="s">
        <v>427</v>
      </c>
    </row>
    <row r="403" spans="2:2" x14ac:dyDescent="0.25">
      <c r="B403" s="51"/>
    </row>
    <row r="404" spans="2:2" x14ac:dyDescent="0.25">
      <c r="B404" s="50" t="s">
        <v>428</v>
      </c>
    </row>
    <row r="405" spans="2:2" x14ac:dyDescent="0.25">
      <c r="B405" s="50" t="s">
        <v>429</v>
      </c>
    </row>
    <row r="406" spans="2:2" x14ac:dyDescent="0.25">
      <c r="B406" s="50" t="s">
        <v>430</v>
      </c>
    </row>
    <row r="407" spans="2:2" x14ac:dyDescent="0.25">
      <c r="B407" s="50" t="s">
        <v>431</v>
      </c>
    </row>
    <row r="408" spans="2:2" x14ac:dyDescent="0.25">
      <c r="B408" s="50" t="s">
        <v>432</v>
      </c>
    </row>
    <row r="409" spans="2:2" x14ac:dyDescent="0.25">
      <c r="B409" s="50" t="s">
        <v>433</v>
      </c>
    </row>
    <row r="410" spans="2:2" x14ac:dyDescent="0.25">
      <c r="B410" s="51"/>
    </row>
    <row r="411" spans="2:2" x14ac:dyDescent="0.25">
      <c r="B411" s="50" t="s">
        <v>434</v>
      </c>
    </row>
    <row r="412" spans="2:2" x14ac:dyDescent="0.25">
      <c r="B412" s="50" t="s">
        <v>435</v>
      </c>
    </row>
    <row r="413" spans="2:2" x14ac:dyDescent="0.25">
      <c r="B413" s="50" t="s">
        <v>436</v>
      </c>
    </row>
    <row r="414" spans="2:2" x14ac:dyDescent="0.25">
      <c r="B414" s="50" t="s">
        <v>437</v>
      </c>
    </row>
    <row r="415" spans="2:2" x14ac:dyDescent="0.25">
      <c r="B415" s="50" t="s">
        <v>438</v>
      </c>
    </row>
    <row r="416" spans="2:2" x14ac:dyDescent="0.25">
      <c r="B416" s="50" t="s">
        <v>439</v>
      </c>
    </row>
    <row r="417" spans="2:2" x14ac:dyDescent="0.25">
      <c r="B417" s="51"/>
    </row>
    <row r="418" spans="2:2" x14ac:dyDescent="0.25">
      <c r="B418" s="50" t="s">
        <v>440</v>
      </c>
    </row>
    <row r="419" spans="2:2" x14ac:dyDescent="0.25">
      <c r="B419" s="50" t="s">
        <v>441</v>
      </c>
    </row>
    <row r="420" spans="2:2" x14ac:dyDescent="0.25">
      <c r="B420" s="50" t="s">
        <v>442</v>
      </c>
    </row>
    <row r="421" spans="2:2" x14ac:dyDescent="0.25">
      <c r="B421" s="50" t="s">
        <v>443</v>
      </c>
    </row>
    <row r="422" spans="2:2" x14ac:dyDescent="0.25">
      <c r="B422" s="50" t="s">
        <v>444</v>
      </c>
    </row>
    <row r="423" spans="2:2" x14ac:dyDescent="0.25">
      <c r="B423" s="51"/>
    </row>
    <row r="424" spans="2:2" x14ac:dyDescent="0.25">
      <c r="B424" s="50" t="s">
        <v>445</v>
      </c>
    </row>
    <row r="425" spans="2:2" x14ac:dyDescent="0.25">
      <c r="B425" s="51"/>
    </row>
    <row r="426" spans="2:2" x14ac:dyDescent="0.25">
      <c r="B426" s="50" t="s">
        <v>446</v>
      </c>
    </row>
    <row r="427" spans="2:2" x14ac:dyDescent="0.25">
      <c r="B427" s="50" t="s">
        <v>447</v>
      </c>
    </row>
    <row r="428" spans="2:2" x14ac:dyDescent="0.25">
      <c r="B428" s="50" t="s">
        <v>448</v>
      </c>
    </row>
    <row r="429" spans="2:2" x14ac:dyDescent="0.25">
      <c r="B429" s="50" t="s">
        <v>449</v>
      </c>
    </row>
    <row r="430" spans="2:2" x14ac:dyDescent="0.25">
      <c r="B430" s="50" t="s">
        <v>450</v>
      </c>
    </row>
    <row r="431" spans="2:2" x14ac:dyDescent="0.25">
      <c r="B431" s="50" t="s">
        <v>451</v>
      </c>
    </row>
    <row r="432" spans="2:2" x14ac:dyDescent="0.25">
      <c r="B432" s="50" t="s">
        <v>452</v>
      </c>
    </row>
    <row r="433" spans="2:2" x14ac:dyDescent="0.25">
      <c r="B433" s="50" t="s">
        <v>453</v>
      </c>
    </row>
    <row r="434" spans="2:2" x14ac:dyDescent="0.25">
      <c r="B434" s="51"/>
    </row>
    <row r="435" spans="2:2" x14ac:dyDescent="0.25">
      <c r="B435" s="50" t="s">
        <v>454</v>
      </c>
    </row>
    <row r="436" spans="2:2" x14ac:dyDescent="0.25">
      <c r="B436" s="51"/>
    </row>
    <row r="437" spans="2:2" x14ac:dyDescent="0.25">
      <c r="B437" s="50" t="s">
        <v>455</v>
      </c>
    </row>
    <row r="438" spans="2:2" x14ac:dyDescent="0.25">
      <c r="B438" s="50" t="s">
        <v>456</v>
      </c>
    </row>
    <row r="439" spans="2:2" x14ac:dyDescent="0.25">
      <c r="B439" s="50" t="s">
        <v>457</v>
      </c>
    </row>
    <row r="440" spans="2:2" x14ac:dyDescent="0.25">
      <c r="B440" s="50" t="s">
        <v>458</v>
      </c>
    </row>
    <row r="441" spans="2:2" x14ac:dyDescent="0.25">
      <c r="B441" s="51"/>
    </row>
    <row r="442" spans="2:2" x14ac:dyDescent="0.25">
      <c r="B442" s="50" t="s">
        <v>459</v>
      </c>
    </row>
    <row r="443" spans="2:2" x14ac:dyDescent="0.25">
      <c r="B443" s="50" t="s">
        <v>460</v>
      </c>
    </row>
    <row r="444" spans="2:2" x14ac:dyDescent="0.25">
      <c r="B444" s="50" t="s">
        <v>461</v>
      </c>
    </row>
    <row r="445" spans="2:2" x14ac:dyDescent="0.25">
      <c r="B445" s="50" t="s">
        <v>462</v>
      </c>
    </row>
    <row r="446" spans="2:2" x14ac:dyDescent="0.25">
      <c r="B446" s="50" t="s">
        <v>463</v>
      </c>
    </row>
    <row r="447" spans="2:2" x14ac:dyDescent="0.25">
      <c r="B447" s="50" t="s">
        <v>464</v>
      </c>
    </row>
    <row r="448" spans="2:2" x14ac:dyDescent="0.25">
      <c r="B448" s="50" t="s">
        <v>465</v>
      </c>
    </row>
    <row r="449" spans="2:2" x14ac:dyDescent="0.25">
      <c r="B449" s="50" t="s">
        <v>466</v>
      </c>
    </row>
    <row r="450" spans="2:2" x14ac:dyDescent="0.25">
      <c r="B450" s="50" t="s">
        <v>467</v>
      </c>
    </row>
    <row r="451" spans="2:2" x14ac:dyDescent="0.25">
      <c r="B451" s="51"/>
    </row>
    <row r="452" spans="2:2" x14ac:dyDescent="0.25">
      <c r="B452" s="50" t="s">
        <v>468</v>
      </c>
    </row>
    <row r="453" spans="2:2" x14ac:dyDescent="0.25">
      <c r="B453" s="50" t="s">
        <v>469</v>
      </c>
    </row>
    <row r="454" spans="2:2" x14ac:dyDescent="0.25">
      <c r="B454" s="50" t="s">
        <v>470</v>
      </c>
    </row>
    <row r="455" spans="2:2" x14ac:dyDescent="0.25">
      <c r="B455" s="50" t="s">
        <v>471</v>
      </c>
    </row>
    <row r="456" spans="2:2" x14ac:dyDescent="0.25">
      <c r="B456" s="50" t="s">
        <v>472</v>
      </c>
    </row>
    <row r="457" spans="2:2" x14ac:dyDescent="0.25">
      <c r="B457" s="50" t="s">
        <v>473</v>
      </c>
    </row>
    <row r="458" spans="2:2" x14ac:dyDescent="0.25">
      <c r="B458" s="50" t="s">
        <v>474</v>
      </c>
    </row>
    <row r="459" spans="2:2" x14ac:dyDescent="0.25">
      <c r="B459" s="51"/>
    </row>
    <row r="460" spans="2:2" x14ac:dyDescent="0.25">
      <c r="B460" s="50" t="s">
        <v>475</v>
      </c>
    </row>
    <row r="461" spans="2:2" x14ac:dyDescent="0.25">
      <c r="B461" s="51"/>
    </row>
    <row r="462" spans="2:2" x14ac:dyDescent="0.25">
      <c r="B462" s="50" t="s">
        <v>476</v>
      </c>
    </row>
    <row r="463" spans="2:2" x14ac:dyDescent="0.25">
      <c r="B463" s="50" t="s">
        <v>477</v>
      </c>
    </row>
    <row r="464" spans="2:2" x14ac:dyDescent="0.25">
      <c r="B464" s="50" t="s">
        <v>478</v>
      </c>
    </row>
    <row r="465" spans="2:2" x14ac:dyDescent="0.25">
      <c r="B465" s="51"/>
    </row>
    <row r="466" spans="2:2" x14ac:dyDescent="0.25">
      <c r="B466" s="50" t="s">
        <v>479</v>
      </c>
    </row>
    <row r="467" spans="2:2" x14ac:dyDescent="0.25">
      <c r="B467" s="50" t="s">
        <v>480</v>
      </c>
    </row>
    <row r="468" spans="2:2" x14ac:dyDescent="0.25">
      <c r="B468" s="50" t="s">
        <v>481</v>
      </c>
    </row>
    <row r="469" spans="2:2" x14ac:dyDescent="0.25">
      <c r="B469" s="50" t="s">
        <v>482</v>
      </c>
    </row>
    <row r="470" spans="2:2" x14ac:dyDescent="0.25">
      <c r="B470" s="50" t="s">
        <v>483</v>
      </c>
    </row>
    <row r="471" spans="2:2" x14ac:dyDescent="0.25">
      <c r="B471" s="50" t="s">
        <v>484</v>
      </c>
    </row>
    <row r="472" spans="2:2" x14ac:dyDescent="0.25">
      <c r="B472" s="50" t="s">
        <v>485</v>
      </c>
    </row>
    <row r="473" spans="2:2" x14ac:dyDescent="0.25">
      <c r="B473" s="50" t="s">
        <v>486</v>
      </c>
    </row>
    <row r="474" spans="2:2" x14ac:dyDescent="0.25">
      <c r="B474" s="50" t="s">
        <v>487</v>
      </c>
    </row>
    <row r="475" spans="2:2" x14ac:dyDescent="0.25">
      <c r="B475" s="51"/>
    </row>
    <row r="476" spans="2:2" x14ac:dyDescent="0.25">
      <c r="B476" s="50" t="s">
        <v>488</v>
      </c>
    </row>
    <row r="477" spans="2:2" x14ac:dyDescent="0.25">
      <c r="B477" s="50" t="s">
        <v>489</v>
      </c>
    </row>
    <row r="478" spans="2:2" x14ac:dyDescent="0.25">
      <c r="B478" s="50" t="s">
        <v>490</v>
      </c>
    </row>
    <row r="479" spans="2:2" x14ac:dyDescent="0.25">
      <c r="B479" s="50" t="s">
        <v>491</v>
      </c>
    </row>
    <row r="480" spans="2:2" x14ac:dyDescent="0.25">
      <c r="B480" s="51"/>
    </row>
    <row r="481" spans="2:2" x14ac:dyDescent="0.25">
      <c r="B481" s="50" t="s">
        <v>492</v>
      </c>
    </row>
    <row r="482" spans="2:2" x14ac:dyDescent="0.25">
      <c r="B482" s="50" t="s">
        <v>493</v>
      </c>
    </row>
    <row r="483" spans="2:2" x14ac:dyDescent="0.25">
      <c r="B483" s="50" t="s">
        <v>494</v>
      </c>
    </row>
    <row r="484" spans="2:2" x14ac:dyDescent="0.25">
      <c r="B484" s="50" t="s">
        <v>495</v>
      </c>
    </row>
    <row r="485" spans="2:2" x14ac:dyDescent="0.25">
      <c r="B485" s="50" t="s">
        <v>496</v>
      </c>
    </row>
    <row r="486" spans="2:2" x14ac:dyDescent="0.25">
      <c r="B486" s="50" t="s">
        <v>497</v>
      </c>
    </row>
    <row r="487" spans="2:2" x14ac:dyDescent="0.25">
      <c r="B487" s="51"/>
    </row>
    <row r="488" spans="2:2" x14ac:dyDescent="0.25">
      <c r="B488" s="50" t="s">
        <v>498</v>
      </c>
    </row>
    <row r="489" spans="2:2" x14ac:dyDescent="0.25">
      <c r="B489" s="50" t="s">
        <v>499</v>
      </c>
    </row>
    <row r="490" spans="2:2" x14ac:dyDescent="0.25">
      <c r="B490" s="50" t="s">
        <v>500</v>
      </c>
    </row>
    <row r="491" spans="2:2" x14ac:dyDescent="0.25">
      <c r="B491" s="50" t="s">
        <v>501</v>
      </c>
    </row>
    <row r="492" spans="2:2" x14ac:dyDescent="0.25">
      <c r="B492" s="50" t="s">
        <v>502</v>
      </c>
    </row>
    <row r="493" spans="2:2" x14ac:dyDescent="0.25">
      <c r="B493" s="50" t="s">
        <v>503</v>
      </c>
    </row>
    <row r="494" spans="2:2" x14ac:dyDescent="0.25">
      <c r="B494" s="50" t="s">
        <v>504</v>
      </c>
    </row>
    <row r="495" spans="2:2" x14ac:dyDescent="0.25">
      <c r="B495" s="50" t="s">
        <v>505</v>
      </c>
    </row>
    <row r="496" spans="2:2" x14ac:dyDescent="0.25">
      <c r="B496" s="50" t="s">
        <v>506</v>
      </c>
    </row>
    <row r="497" spans="2:2" x14ac:dyDescent="0.25">
      <c r="B497" s="50" t="s">
        <v>507</v>
      </c>
    </row>
    <row r="498" spans="2:2" x14ac:dyDescent="0.25">
      <c r="B498" s="50" t="s">
        <v>508</v>
      </c>
    </row>
    <row r="499" spans="2:2" x14ac:dyDescent="0.25">
      <c r="B499" s="50" t="s">
        <v>509</v>
      </c>
    </row>
    <row r="500" spans="2:2" x14ac:dyDescent="0.25">
      <c r="B500" s="50" t="s">
        <v>510</v>
      </c>
    </row>
    <row r="501" spans="2:2" x14ac:dyDescent="0.25">
      <c r="B501" s="51"/>
    </row>
    <row r="502" spans="2:2" x14ac:dyDescent="0.25">
      <c r="B502" s="50" t="s">
        <v>511</v>
      </c>
    </row>
    <row r="503" spans="2:2" x14ac:dyDescent="0.25">
      <c r="B503" s="50" t="s">
        <v>512</v>
      </c>
    </row>
    <row r="504" spans="2:2" x14ac:dyDescent="0.25">
      <c r="B504" s="50" t="s">
        <v>513</v>
      </c>
    </row>
    <row r="505" spans="2:2" x14ac:dyDescent="0.25">
      <c r="B505" s="50" t="s">
        <v>514</v>
      </c>
    </row>
    <row r="506" spans="2:2" x14ac:dyDescent="0.25">
      <c r="B506" s="50" t="s">
        <v>515</v>
      </c>
    </row>
    <row r="507" spans="2:2" x14ac:dyDescent="0.25">
      <c r="B507" s="50" t="s">
        <v>516</v>
      </c>
    </row>
    <row r="508" spans="2:2" x14ac:dyDescent="0.25">
      <c r="B508" s="50" t="s">
        <v>517</v>
      </c>
    </row>
    <row r="509" spans="2:2" x14ac:dyDescent="0.25">
      <c r="B509" s="51"/>
    </row>
    <row r="510" spans="2:2" x14ac:dyDescent="0.25">
      <c r="B510" s="50" t="s">
        <v>518</v>
      </c>
    </row>
    <row r="511" spans="2:2" x14ac:dyDescent="0.25">
      <c r="B511" s="50" t="s">
        <v>519</v>
      </c>
    </row>
    <row r="512" spans="2:2" x14ac:dyDescent="0.25">
      <c r="B512" s="50" t="s">
        <v>520</v>
      </c>
    </row>
    <row r="513" spans="2:2" x14ac:dyDescent="0.25">
      <c r="B513" s="50" t="s">
        <v>521</v>
      </c>
    </row>
    <row r="514" spans="2:2" x14ac:dyDescent="0.25">
      <c r="B514" s="50" t="s">
        <v>522</v>
      </c>
    </row>
    <row r="515" spans="2:2" x14ac:dyDescent="0.25">
      <c r="B515" s="50" t="s">
        <v>523</v>
      </c>
    </row>
    <row r="516" spans="2:2" x14ac:dyDescent="0.25">
      <c r="B516" s="50" t="s">
        <v>524</v>
      </c>
    </row>
    <row r="517" spans="2:2" x14ac:dyDescent="0.25">
      <c r="B517" s="50" t="s">
        <v>525</v>
      </c>
    </row>
    <row r="518" spans="2:2" x14ac:dyDescent="0.25">
      <c r="B518" s="50" t="s">
        <v>526</v>
      </c>
    </row>
    <row r="519" spans="2:2" x14ac:dyDescent="0.25">
      <c r="B519" s="50" t="s">
        <v>527</v>
      </c>
    </row>
    <row r="520" spans="2:2" x14ac:dyDescent="0.25">
      <c r="B520" s="50" t="s">
        <v>528</v>
      </c>
    </row>
    <row r="521" spans="2:2" x14ac:dyDescent="0.25">
      <c r="B521" s="50" t="s">
        <v>529</v>
      </c>
    </row>
    <row r="522" spans="2:2" x14ac:dyDescent="0.25">
      <c r="B522" s="50" t="s">
        <v>530</v>
      </c>
    </row>
    <row r="523" spans="2:2" x14ac:dyDescent="0.25">
      <c r="B523" s="50" t="s">
        <v>531</v>
      </c>
    </row>
    <row r="524" spans="2:2" x14ac:dyDescent="0.25">
      <c r="B524" s="51"/>
    </row>
    <row r="525" spans="2:2" x14ac:dyDescent="0.25">
      <c r="B525" s="50" t="s">
        <v>532</v>
      </c>
    </row>
    <row r="526" spans="2:2" x14ac:dyDescent="0.25">
      <c r="B526" s="50" t="s">
        <v>533</v>
      </c>
    </row>
    <row r="527" spans="2:2" x14ac:dyDescent="0.25">
      <c r="B527" s="50" t="s">
        <v>534</v>
      </c>
    </row>
    <row r="528" spans="2:2" x14ac:dyDescent="0.25">
      <c r="B528" s="51"/>
    </row>
    <row r="529" spans="2:2" x14ac:dyDescent="0.25">
      <c r="B529" s="50" t="s">
        <v>535</v>
      </c>
    </row>
    <row r="530" spans="2:2" x14ac:dyDescent="0.25">
      <c r="B530" s="51"/>
    </row>
    <row r="531" spans="2:2" x14ac:dyDescent="0.25">
      <c r="B531" s="50" t="s">
        <v>536</v>
      </c>
    </row>
    <row r="532" spans="2:2" x14ac:dyDescent="0.25">
      <c r="B532" s="50" t="s">
        <v>537</v>
      </c>
    </row>
    <row r="533" spans="2:2" x14ac:dyDescent="0.25">
      <c r="B533" s="50" t="s">
        <v>538</v>
      </c>
    </row>
    <row r="534" spans="2:2" x14ac:dyDescent="0.25">
      <c r="B534" s="50" t="s">
        <v>539</v>
      </c>
    </row>
    <row r="535" spans="2:2" x14ac:dyDescent="0.25">
      <c r="B535" s="50" t="s">
        <v>540</v>
      </c>
    </row>
    <row r="536" spans="2:2" x14ac:dyDescent="0.25">
      <c r="B536" s="50" t="s">
        <v>541</v>
      </c>
    </row>
    <row r="537" spans="2:2" x14ac:dyDescent="0.25">
      <c r="B537" s="50" t="s">
        <v>542</v>
      </c>
    </row>
    <row r="538" spans="2:2" x14ac:dyDescent="0.25">
      <c r="B538" s="50" t="s">
        <v>543</v>
      </c>
    </row>
    <row r="539" spans="2:2" x14ac:dyDescent="0.25">
      <c r="B539" s="50" t="s">
        <v>544</v>
      </c>
    </row>
    <row r="540" spans="2:2" x14ac:dyDescent="0.25">
      <c r="B540" s="51"/>
    </row>
    <row r="541" spans="2:2" x14ac:dyDescent="0.25">
      <c r="B541" s="50" t="s">
        <v>545</v>
      </c>
    </row>
    <row r="542" spans="2:2" x14ac:dyDescent="0.25">
      <c r="B542" s="51"/>
    </row>
    <row r="543" spans="2:2" x14ac:dyDescent="0.25">
      <c r="B543" s="50" t="s">
        <v>546</v>
      </c>
    </row>
    <row r="544" spans="2:2" x14ac:dyDescent="0.25">
      <c r="B544" s="50" t="s">
        <v>547</v>
      </c>
    </row>
    <row r="545" spans="2:2" x14ac:dyDescent="0.25">
      <c r="B545" s="50" t="s">
        <v>548</v>
      </c>
    </row>
    <row r="546" spans="2:2" x14ac:dyDescent="0.25">
      <c r="B546" s="50" t="s">
        <v>549</v>
      </c>
    </row>
    <row r="547" spans="2:2" x14ac:dyDescent="0.25">
      <c r="B547" s="50" t="s">
        <v>550</v>
      </c>
    </row>
    <row r="548" spans="2:2" x14ac:dyDescent="0.25">
      <c r="B548" s="50" t="s">
        <v>551</v>
      </c>
    </row>
    <row r="549" spans="2:2" x14ac:dyDescent="0.25">
      <c r="B549" s="50" t="s">
        <v>552</v>
      </c>
    </row>
    <row r="550" spans="2:2" x14ac:dyDescent="0.25">
      <c r="B550" s="50" t="s">
        <v>553</v>
      </c>
    </row>
    <row r="551" spans="2:2" x14ac:dyDescent="0.25">
      <c r="B551" s="50" t="s">
        <v>554</v>
      </c>
    </row>
    <row r="552" spans="2:2" x14ac:dyDescent="0.25">
      <c r="B552" s="50" t="s">
        <v>555</v>
      </c>
    </row>
    <row r="553" spans="2:2" x14ac:dyDescent="0.25">
      <c r="B553" s="51"/>
    </row>
    <row r="554" spans="2:2" x14ac:dyDescent="0.25">
      <c r="B554" s="50" t="s">
        <v>556</v>
      </c>
    </row>
    <row r="555" spans="2:2" x14ac:dyDescent="0.25">
      <c r="B555" s="50" t="s">
        <v>557</v>
      </c>
    </row>
    <row r="556" spans="2:2" x14ac:dyDescent="0.25">
      <c r="B556" s="50" t="s">
        <v>558</v>
      </c>
    </row>
    <row r="557" spans="2:2" x14ac:dyDescent="0.25">
      <c r="B557" s="50" t="s">
        <v>559</v>
      </c>
    </row>
    <row r="558" spans="2:2" x14ac:dyDescent="0.25">
      <c r="B558" s="50" t="s">
        <v>560</v>
      </c>
    </row>
    <row r="559" spans="2:2" x14ac:dyDescent="0.25">
      <c r="B559" s="50" t="s">
        <v>561</v>
      </c>
    </row>
    <row r="560" spans="2:2" x14ac:dyDescent="0.25">
      <c r="B560" s="50" t="s">
        <v>562</v>
      </c>
    </row>
    <row r="561" spans="2:2" x14ac:dyDescent="0.25">
      <c r="B561" s="51"/>
    </row>
    <row r="562" spans="2:2" x14ac:dyDescent="0.25">
      <c r="B562" s="50" t="s">
        <v>563</v>
      </c>
    </row>
    <row r="563" spans="2:2" x14ac:dyDescent="0.25">
      <c r="B563" s="51"/>
    </row>
    <row r="564" spans="2:2" x14ac:dyDescent="0.25">
      <c r="B564" s="50" t="s">
        <v>564</v>
      </c>
    </row>
    <row r="565" spans="2:2" x14ac:dyDescent="0.25">
      <c r="B565" s="50" t="s">
        <v>565</v>
      </c>
    </row>
    <row r="566" spans="2:2" x14ac:dyDescent="0.25">
      <c r="B566" s="50" t="s">
        <v>566</v>
      </c>
    </row>
    <row r="567" spans="2:2" x14ac:dyDescent="0.25">
      <c r="B567" s="50" t="s">
        <v>567</v>
      </c>
    </row>
    <row r="568" spans="2:2" x14ac:dyDescent="0.25">
      <c r="B568" s="51"/>
    </row>
    <row r="569" spans="2:2" x14ac:dyDescent="0.25">
      <c r="B569" s="50" t="s">
        <v>568</v>
      </c>
    </row>
    <row r="570" spans="2:2" x14ac:dyDescent="0.25">
      <c r="B570" s="50" t="s">
        <v>569</v>
      </c>
    </row>
    <row r="571" spans="2:2" x14ac:dyDescent="0.25">
      <c r="B571" s="50" t="s">
        <v>570</v>
      </c>
    </row>
    <row r="572" spans="2:2" x14ac:dyDescent="0.25">
      <c r="B572" s="50" t="s">
        <v>571</v>
      </c>
    </row>
    <row r="573" spans="2:2" x14ac:dyDescent="0.25">
      <c r="B573" s="50" t="s">
        <v>572</v>
      </c>
    </row>
    <row r="574" spans="2:2" x14ac:dyDescent="0.25">
      <c r="B574" s="50" t="s">
        <v>573</v>
      </c>
    </row>
    <row r="575" spans="2:2" x14ac:dyDescent="0.25">
      <c r="B575" s="50" t="s">
        <v>574</v>
      </c>
    </row>
    <row r="576" spans="2:2" x14ac:dyDescent="0.25">
      <c r="B576" s="50" t="s">
        <v>575</v>
      </c>
    </row>
    <row r="577" spans="2:2" x14ac:dyDescent="0.25">
      <c r="B577" s="51"/>
    </row>
    <row r="578" spans="2:2" x14ac:dyDescent="0.25">
      <c r="B578" s="50" t="s">
        <v>576</v>
      </c>
    </row>
    <row r="579" spans="2:2" x14ac:dyDescent="0.25">
      <c r="B579" s="50" t="s">
        <v>577</v>
      </c>
    </row>
    <row r="580" spans="2:2" x14ac:dyDescent="0.25">
      <c r="B580" s="50" t="s">
        <v>578</v>
      </c>
    </row>
    <row r="581" spans="2:2" x14ac:dyDescent="0.25">
      <c r="B581" s="50" t="s">
        <v>579</v>
      </c>
    </row>
    <row r="582" spans="2:2" x14ac:dyDescent="0.25">
      <c r="B582" s="51"/>
    </row>
    <row r="583" spans="2:2" x14ac:dyDescent="0.25">
      <c r="B583" s="50" t="s">
        <v>580</v>
      </c>
    </row>
    <row r="584" spans="2:2" x14ac:dyDescent="0.25">
      <c r="B584" s="50" t="s">
        <v>581</v>
      </c>
    </row>
    <row r="585" spans="2:2" x14ac:dyDescent="0.25">
      <c r="B585" s="50" t="s">
        <v>582</v>
      </c>
    </row>
    <row r="586" spans="2:2" x14ac:dyDescent="0.25">
      <c r="B586" s="50" t="s">
        <v>583</v>
      </c>
    </row>
    <row r="587" spans="2:2" x14ac:dyDescent="0.25">
      <c r="B587" s="51"/>
    </row>
    <row r="588" spans="2:2" x14ac:dyDescent="0.25">
      <c r="B588" s="50" t="s">
        <v>584</v>
      </c>
    </row>
    <row r="589" spans="2:2" x14ac:dyDescent="0.25">
      <c r="B589" s="51"/>
    </row>
    <row r="590" spans="2:2" x14ac:dyDescent="0.25">
      <c r="B590" s="50" t="s">
        <v>585</v>
      </c>
    </row>
    <row r="591" spans="2:2" x14ac:dyDescent="0.25">
      <c r="B591" s="50" t="s">
        <v>586</v>
      </c>
    </row>
    <row r="592" spans="2:2" x14ac:dyDescent="0.25">
      <c r="B592" s="50" t="s">
        <v>587</v>
      </c>
    </row>
    <row r="593" spans="2:2" x14ac:dyDescent="0.25">
      <c r="B593" s="50" t="s">
        <v>588</v>
      </c>
    </row>
    <row r="594" spans="2:2" x14ac:dyDescent="0.25">
      <c r="B594" s="50" t="s">
        <v>589</v>
      </c>
    </row>
    <row r="595" spans="2:2" x14ac:dyDescent="0.25">
      <c r="B595" s="50" t="s">
        <v>590</v>
      </c>
    </row>
    <row r="596" spans="2:2" x14ac:dyDescent="0.25">
      <c r="B596" s="50" t="s">
        <v>591</v>
      </c>
    </row>
    <row r="597" spans="2:2" x14ac:dyDescent="0.25">
      <c r="B597" s="50" t="s">
        <v>592</v>
      </c>
    </row>
    <row r="598" spans="2:2" x14ac:dyDescent="0.25">
      <c r="B598" s="51"/>
    </row>
    <row r="599" spans="2:2" x14ac:dyDescent="0.25">
      <c r="B599" s="50" t="s">
        <v>593</v>
      </c>
    </row>
    <row r="600" spans="2:2" x14ac:dyDescent="0.25">
      <c r="B600" s="51"/>
    </row>
    <row r="601" spans="2:2" x14ac:dyDescent="0.25">
      <c r="B601" s="50" t="s">
        <v>594</v>
      </c>
    </row>
    <row r="602" spans="2:2" x14ac:dyDescent="0.25">
      <c r="B602" s="50" t="s">
        <v>595</v>
      </c>
    </row>
    <row r="603" spans="2:2" x14ac:dyDescent="0.25">
      <c r="B603" s="50" t="s">
        <v>596</v>
      </c>
    </row>
    <row r="604" spans="2:2" x14ac:dyDescent="0.25">
      <c r="B604" s="50" t="s">
        <v>597</v>
      </c>
    </row>
    <row r="605" spans="2:2" x14ac:dyDescent="0.25">
      <c r="B605" s="50" t="s">
        <v>598</v>
      </c>
    </row>
    <row r="606" spans="2:2" x14ac:dyDescent="0.25">
      <c r="B606" s="50" t="s">
        <v>599</v>
      </c>
    </row>
    <row r="607" spans="2:2" x14ac:dyDescent="0.25">
      <c r="B607" s="50" t="s">
        <v>600</v>
      </c>
    </row>
    <row r="608" spans="2:2" x14ac:dyDescent="0.25">
      <c r="B608" s="50" t="s">
        <v>601</v>
      </c>
    </row>
    <row r="609" spans="2:2" x14ac:dyDescent="0.25">
      <c r="B609" s="50" t="s">
        <v>602</v>
      </c>
    </row>
    <row r="610" spans="2:2" x14ac:dyDescent="0.25">
      <c r="B610" s="51"/>
    </row>
    <row r="611" spans="2:2" x14ac:dyDescent="0.25">
      <c r="B611" s="50" t="s">
        <v>603</v>
      </c>
    </row>
    <row r="612" spans="2:2" x14ac:dyDescent="0.25">
      <c r="B612" s="51"/>
    </row>
    <row r="613" spans="2:2" x14ac:dyDescent="0.25">
      <c r="B613" s="50" t="s">
        <v>604</v>
      </c>
    </row>
    <row r="614" spans="2:2" x14ac:dyDescent="0.25">
      <c r="B614" s="50" t="s">
        <v>605</v>
      </c>
    </row>
    <row r="615" spans="2:2" x14ac:dyDescent="0.25">
      <c r="B615" s="50" t="s">
        <v>606</v>
      </c>
    </row>
    <row r="616" spans="2:2" x14ac:dyDescent="0.25">
      <c r="B616" s="50" t="s">
        <v>607</v>
      </c>
    </row>
    <row r="617" spans="2:2" x14ac:dyDescent="0.25">
      <c r="B617" s="50" t="s">
        <v>608</v>
      </c>
    </row>
    <row r="618" spans="2:2" x14ac:dyDescent="0.25">
      <c r="B618" s="50" t="s">
        <v>609</v>
      </c>
    </row>
    <row r="619" spans="2:2" x14ac:dyDescent="0.25">
      <c r="B619" s="51"/>
    </row>
    <row r="620" spans="2:2" x14ac:dyDescent="0.25">
      <c r="B620" s="50" t="s">
        <v>610</v>
      </c>
    </row>
    <row r="621" spans="2:2" x14ac:dyDescent="0.25">
      <c r="B621" s="51"/>
    </row>
    <row r="622" spans="2:2" x14ac:dyDescent="0.25">
      <c r="B622" s="50" t="s">
        <v>611</v>
      </c>
    </row>
    <row r="623" spans="2:2" x14ac:dyDescent="0.25">
      <c r="B623" s="51"/>
    </row>
    <row r="624" spans="2:2" x14ac:dyDescent="0.25">
      <c r="B624" s="50" t="s">
        <v>612</v>
      </c>
    </row>
    <row r="625" spans="2:2" x14ac:dyDescent="0.25">
      <c r="B625" s="50" t="s">
        <v>613</v>
      </c>
    </row>
    <row r="626" spans="2:2" x14ac:dyDescent="0.25">
      <c r="B626" s="50" t="s">
        <v>614</v>
      </c>
    </row>
    <row r="627" spans="2:2" x14ac:dyDescent="0.25">
      <c r="B627" s="51"/>
    </row>
    <row r="628" spans="2:2" x14ac:dyDescent="0.25">
      <c r="B628" s="50" t="s">
        <v>615</v>
      </c>
    </row>
    <row r="629" spans="2:2" x14ac:dyDescent="0.25">
      <c r="B629" s="50" t="s">
        <v>616</v>
      </c>
    </row>
    <row r="630" spans="2:2" x14ac:dyDescent="0.25">
      <c r="B630" s="50" t="s">
        <v>617</v>
      </c>
    </row>
    <row r="631" spans="2:2" x14ac:dyDescent="0.25">
      <c r="B631" s="50" t="s">
        <v>618</v>
      </c>
    </row>
    <row r="632" spans="2:2" x14ac:dyDescent="0.25">
      <c r="B632" s="51"/>
    </row>
    <row r="633" spans="2:2" x14ac:dyDescent="0.25">
      <c r="B633" s="50" t="s">
        <v>619</v>
      </c>
    </row>
    <row r="634" spans="2:2" x14ac:dyDescent="0.25">
      <c r="B634" s="50" t="s">
        <v>620</v>
      </c>
    </row>
    <row r="635" spans="2:2" x14ac:dyDescent="0.25">
      <c r="B635" s="51"/>
    </row>
    <row r="636" spans="2:2" x14ac:dyDescent="0.25">
      <c r="B636" s="50" t="s">
        <v>86</v>
      </c>
    </row>
    <row r="637" spans="2:2" x14ac:dyDescent="0.25">
      <c r="B637" s="50" t="s">
        <v>92</v>
      </c>
    </row>
    <row r="638" spans="2:2" x14ac:dyDescent="0.25">
      <c r="B638" s="50" t="s">
        <v>93</v>
      </c>
    </row>
    <row r="639" spans="2:2" x14ac:dyDescent="0.25">
      <c r="B639" s="50" t="s">
        <v>78</v>
      </c>
    </row>
    <row r="640" spans="2:2" x14ac:dyDescent="0.25">
      <c r="B640" s="51"/>
    </row>
    <row r="641" spans="2:2" x14ac:dyDescent="0.25">
      <c r="B641" s="50" t="s">
        <v>79</v>
      </c>
    </row>
    <row r="642" spans="2:2" x14ac:dyDescent="0.25">
      <c r="B642" s="50" t="s">
        <v>80</v>
      </c>
    </row>
    <row r="643" spans="2:2" x14ac:dyDescent="0.25">
      <c r="B643" s="50" t="s">
        <v>81</v>
      </c>
    </row>
    <row r="644" spans="2:2" x14ac:dyDescent="0.25">
      <c r="B644" s="50" t="s">
        <v>83</v>
      </c>
    </row>
    <row r="645" spans="2:2" x14ac:dyDescent="0.25">
      <c r="B645" s="51"/>
    </row>
    <row r="646" spans="2:2" x14ac:dyDescent="0.25">
      <c r="B646" s="50" t="s">
        <v>84</v>
      </c>
    </row>
    <row r="647" spans="2:2" x14ac:dyDescent="0.25">
      <c r="B647" s="50" t="s">
        <v>82</v>
      </c>
    </row>
    <row r="648" spans="2:2" x14ac:dyDescent="0.25">
      <c r="B648" s="51"/>
    </row>
    <row r="649" spans="2:2" x14ac:dyDescent="0.25">
      <c r="B649" s="50" t="s">
        <v>621</v>
      </c>
    </row>
    <row r="650" spans="2:2" x14ac:dyDescent="0.25">
      <c r="B650" s="51"/>
    </row>
    <row r="651" spans="2:2" x14ac:dyDescent="0.25">
      <c r="B651" s="50" t="s">
        <v>622</v>
      </c>
    </row>
    <row r="652" spans="2:2" x14ac:dyDescent="0.25">
      <c r="B652" s="50" t="s">
        <v>623</v>
      </c>
    </row>
    <row r="653" spans="2:2" x14ac:dyDescent="0.25">
      <c r="B653" s="50" t="s">
        <v>624</v>
      </c>
    </row>
    <row r="654" spans="2:2" x14ac:dyDescent="0.25">
      <c r="B654" s="50" t="s">
        <v>625</v>
      </c>
    </row>
    <row r="655" spans="2:2" x14ac:dyDescent="0.25">
      <c r="B655" s="50" t="s">
        <v>626</v>
      </c>
    </row>
    <row r="656" spans="2:2" x14ac:dyDescent="0.25">
      <c r="B656" s="50" t="s">
        <v>627</v>
      </c>
    </row>
    <row r="657" spans="2:2" x14ac:dyDescent="0.25">
      <c r="B657" s="50" t="s">
        <v>628</v>
      </c>
    </row>
    <row r="658" spans="2:2" x14ac:dyDescent="0.25">
      <c r="B658" s="51"/>
    </row>
    <row r="659" spans="2:2" x14ac:dyDescent="0.25">
      <c r="B659" s="50" t="s">
        <v>629</v>
      </c>
    </row>
    <row r="660" spans="2:2" x14ac:dyDescent="0.25">
      <c r="B660" s="50" t="s">
        <v>630</v>
      </c>
    </row>
    <row r="661" spans="2:2" x14ac:dyDescent="0.25">
      <c r="B661" s="50" t="s">
        <v>631</v>
      </c>
    </row>
    <row r="662" spans="2:2" x14ac:dyDescent="0.25">
      <c r="B662" s="50" t="s">
        <v>632</v>
      </c>
    </row>
  </sheetData>
  <sheetProtection sheet="1" objects="1" scenarios="1" autoFilter="0"/>
  <pageMargins left="0.7" right="0.7" top="0.75" bottom="0.75" header="0.3" footer="0.3"/>
  <pageSetup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Q146"/>
  <sheetViews>
    <sheetView topLeftCell="A146" zoomScaleNormal="100" workbookViewId="0"/>
  </sheetViews>
  <sheetFormatPr defaultRowHeight="15" x14ac:dyDescent="0.25"/>
  <cols>
    <col min="1" max="1" width="9.140625" hidden="1" customWidth="1"/>
    <col min="2" max="2" width="9.28515625" hidden="1" customWidth="1"/>
    <col min="3" max="3" width="48.28515625" hidden="1" customWidth="1"/>
    <col min="4" max="4" width="6.5703125" hidden="1" customWidth="1"/>
    <col min="5" max="5" width="6.140625" hidden="1" customWidth="1"/>
    <col min="6" max="6" width="3.5703125" hidden="1" customWidth="1"/>
    <col min="7" max="7" width="5.85546875" hidden="1" customWidth="1"/>
    <col min="8" max="8" width="3.5703125" hidden="1" customWidth="1"/>
    <col min="9" max="9" width="12.85546875" hidden="1" customWidth="1"/>
    <col min="10" max="10" width="26.28515625" hidden="1" customWidth="1"/>
    <col min="11" max="11" width="17.28515625" hidden="1" customWidth="1"/>
    <col min="12" max="12" width="16.140625" hidden="1" customWidth="1"/>
    <col min="13" max="13" width="2.85546875" hidden="1" customWidth="1"/>
    <col min="14" max="14" width="9.7109375" hidden="1" customWidth="1"/>
  </cols>
  <sheetData>
    <row r="1" spans="1:16" hidden="1" x14ac:dyDescent="0.25">
      <c r="A1" s="400">
        <f>PMBASIC+PMADVANCED+VMONLINE+VMMACRO</f>
        <v>54</v>
      </c>
      <c r="B1">
        <f>PMBASIC+PMADVANCED+VMONLINE+VMMACRO</f>
        <v>54</v>
      </c>
      <c r="C1">
        <f>PMBASIC+PMADVANCED+VMONLINE+VMMACRO</f>
        <v>54</v>
      </c>
      <c r="D1">
        <f>PMBASIC+PMADVANCED+IF(INDEX(SC_ShowRetireatee,2), VMONLINE+VMMACRO,0)</f>
        <v>48</v>
      </c>
      <c r="E1">
        <f>PMBASIC+PMADVANCED</f>
        <v>48</v>
      </c>
      <c r="F1">
        <f>PMBASIC+PMADVANCED</f>
        <v>48</v>
      </c>
      <c r="G1">
        <f>PMBASIC+PMADVANCED</f>
        <v>48</v>
      </c>
      <c r="H1">
        <f>PMBASIC+PMADVANCED</f>
        <v>48</v>
      </c>
      <c r="I1">
        <f>PMBASIC+PMADVANCED+VMONLINE+VMMACRO</f>
        <v>54</v>
      </c>
      <c r="J1">
        <f>PMBASIC+PMADVANCED+VMONLINE+VMMACRO</f>
        <v>54</v>
      </c>
      <c r="K1">
        <f>PMBASIC+PMADVANCED</f>
        <v>48</v>
      </c>
      <c r="L1">
        <f>PMBASIC+PMADVANCED</f>
        <v>48</v>
      </c>
      <c r="M1">
        <f>PMBASIC+PMADVANCED+VMONLINE+VMMACRO</f>
        <v>54</v>
      </c>
      <c r="N1">
        <f>PMBASIC+PMADVANCED+VMONLINE+VMMACRO</f>
        <v>54</v>
      </c>
    </row>
    <row r="2" spans="1:16" hidden="1" x14ac:dyDescent="0.25">
      <c r="A2">
        <f>PMBASIC+PMADVANCED+VMONLINE+VMMACRO</f>
        <v>54</v>
      </c>
      <c r="C2" s="582" t="s">
        <v>800</v>
      </c>
      <c r="D2" s="583"/>
      <c r="E2" s="583"/>
      <c r="F2" s="583"/>
      <c r="G2" s="583"/>
      <c r="H2" s="583"/>
      <c r="I2" s="583"/>
      <c r="J2" s="584"/>
      <c r="K2" s="215" t="s">
        <v>746</v>
      </c>
      <c r="L2" s="55" t="s">
        <v>751</v>
      </c>
      <c r="M2" s="186"/>
    </row>
    <row r="3" spans="1:16" hidden="1" x14ac:dyDescent="0.25">
      <c r="A3">
        <f>PMBASIC+PMADVANCED+VMONLINE+VMMACRO</f>
        <v>54</v>
      </c>
      <c r="C3" s="594"/>
      <c r="D3" s="595"/>
      <c r="E3" s="286" t="s">
        <v>839</v>
      </c>
      <c r="F3" s="457"/>
      <c r="G3" s="457"/>
      <c r="H3" s="457"/>
      <c r="I3" s="458"/>
      <c r="J3" s="456"/>
      <c r="K3" s="212"/>
      <c r="L3" s="57"/>
      <c r="M3" s="186"/>
    </row>
    <row r="4" spans="1:16" hidden="1" x14ac:dyDescent="0.25">
      <c r="A4">
        <f>PMBASIC+PMADVANCED+VMONLINE</f>
        <v>50</v>
      </c>
      <c r="C4" s="554" t="s">
        <v>829</v>
      </c>
      <c r="D4" s="559"/>
      <c r="E4" s="198" t="b">
        <f>IF(SC_ViewMode=VMWIPED,FALSE,IF(SC_ViewMode=VMDEBUG,TRUE,AND(MOD(INT($A4/POWER(2,LOG(SC_ParameterMode,2))),2)&lt;&gt;0,MOD(INT($A4/POWER(2,LOG(SC_ViewMode,2))),2)&lt;&gt;0)))</f>
        <v>0</v>
      </c>
      <c r="F4" s="489"/>
      <c r="G4" s="329"/>
      <c r="H4" s="457"/>
      <c r="I4" s="475"/>
      <c r="J4" s="247"/>
      <c r="K4" s="213">
        <f ca="1">IF(IF(COLUMN()=COLUMN(I4),TRUE,ISBLANK(I4)), L4, I4)</f>
        <v>44605</v>
      </c>
      <c r="L4" s="59">
        <f ca="1">MAX(MIN(TODAY(),DATE(SP_CurrentYear,12,31)),DATE(SP_CurrentYear,1,1))</f>
        <v>44605</v>
      </c>
      <c r="M4" s="186">
        <f ca="1">IF($E4, IF(ISERROR(DATEVALUE(TEXT(SP_CurrentDate,"mm/dd/yyyy"))),200,IF(SP_CurrentDate&lt;DATE(YEAR(TODAY()),MONTH(TODAY()),1),101,0)),0)</f>
        <v>0</v>
      </c>
      <c r="N4" t="str">
        <f t="shared" ref="N4:N87" ca="1" si="0">IFERROR(VLOOKUP(M4,IV_CodeTable,2,FALSE),"")</f>
        <v/>
      </c>
    </row>
    <row r="5" spans="1:16" hidden="1" x14ac:dyDescent="0.25">
      <c r="A5">
        <f>PMBASIC+PMADVANCED+VMMACRO</f>
        <v>52</v>
      </c>
      <c r="C5" s="589" t="s">
        <v>829</v>
      </c>
      <c r="D5" s="559"/>
      <c r="E5" s="198" t="b">
        <f>IF(SC_ViewMode=VMWIPED,FALSE,IF(SC_ViewMode=VMDEBUG,TRUE,AND(MOD(INT($A5/POWER(2,LOG(SC_ParameterMode,2))),2)&lt;&gt;0,MOD(INT($A5/POWER(2,LOG(SC_ViewMode,2))),2)&lt;&gt;0)))</f>
        <v>0</v>
      </c>
      <c r="F5" s="457"/>
      <c r="G5" s="459"/>
      <c r="H5" s="457"/>
      <c r="I5" s="499">
        <f ca="1">SP_CurrentDate</f>
        <v>44605</v>
      </c>
      <c r="J5" s="449"/>
      <c r="K5" s="135"/>
      <c r="L5" s="59"/>
      <c r="M5" s="186">
        <f ca="1">IF($E5, IF(ISERROR(DATEVALUE(TEXT(SP_CurrentDate,"mm/dd/yyyy"))),200,IF(SP_CurrentDate&lt;DATE(YEAR(TODAY()),MONTH(TODAY()),1),101,0)),0)</f>
        <v>0</v>
      </c>
      <c r="N5" t="str">
        <f t="shared" ca="1" si="0"/>
        <v/>
      </c>
    </row>
    <row r="6" spans="1:16" hidden="1" x14ac:dyDescent="0.25">
      <c r="A6">
        <f>PMBASIC+PMADVANCED</f>
        <v>48</v>
      </c>
      <c r="C6" s="585" t="s">
        <v>761</v>
      </c>
      <c r="D6" s="586"/>
      <c r="E6" s="457"/>
      <c r="F6" s="457"/>
      <c r="G6" s="329"/>
      <c r="H6" s="457"/>
      <c r="I6" s="461">
        <f ca="1">YEARFRAC(SP_CurrentDate, DATE(YEAR(SP_CurrentDate)+1,1,1))</f>
        <v>0.8833333333333333</v>
      </c>
      <c r="J6" s="456"/>
      <c r="K6" s="135"/>
      <c r="L6" s="59"/>
      <c r="M6" s="186"/>
    </row>
    <row r="7" spans="1:16" hidden="1" x14ac:dyDescent="0.25">
      <c r="A7">
        <f>PMBASIC+PMADVANCED</f>
        <v>48</v>
      </c>
      <c r="C7" s="585" t="s">
        <v>821</v>
      </c>
      <c r="D7" s="586"/>
      <c r="E7" s="457"/>
      <c r="F7" s="457"/>
      <c r="G7" s="329"/>
      <c r="H7" s="457"/>
      <c r="I7" s="500"/>
      <c r="J7" s="456"/>
      <c r="K7" s="214">
        <f ca="1">IF(IF(COLUMN()=COLUMN(I7),TRUE,ISBLANK(I7)), L7, I7)</f>
        <v>2022</v>
      </c>
      <c r="L7" s="58">
        <f ca="1">YEAR(TODAY())</f>
        <v>2022</v>
      </c>
      <c r="M7" s="186"/>
    </row>
    <row r="8" spans="1:16" hidden="1" x14ac:dyDescent="0.25">
      <c r="A8">
        <f>PMBASIC+PMADVANCED</f>
        <v>48</v>
      </c>
      <c r="C8" s="585" t="s">
        <v>820</v>
      </c>
      <c r="D8" s="586"/>
      <c r="E8" s="457"/>
      <c r="F8" s="460"/>
      <c r="G8" s="457"/>
      <c r="H8" s="457"/>
      <c r="I8" s="199">
        <f ca="1">IFERROR(MAX(IF(INDEX(SC_ShowRetireatee,1),YEAR(INDEX(SP_BirthDate,1))+INDEX(SP_LifeExp,1)+1,SP_CurrentYear+1), IF(INDEX(SC_ShowRetireatee,2),YEAR(INDEX(SP_BirthDate,2))+INDEX(SP_LifeExp,2)+1),SP_CurrentYear+1),SP_CurrentYear+1)</f>
        <v>2023</v>
      </c>
      <c r="J8" s="456"/>
      <c r="K8" s="135"/>
      <c r="L8" s="59"/>
      <c r="M8" s="186"/>
    </row>
    <row r="9" spans="1:16" hidden="1" x14ac:dyDescent="0.25">
      <c r="A9">
        <f>PMBASIC+PMADVANCED+VMONLINE</f>
        <v>50</v>
      </c>
      <c r="C9" s="554" t="s">
        <v>769</v>
      </c>
      <c r="D9" s="559"/>
      <c r="E9" s="198" t="b">
        <f>IF(SC_ViewMode=VMWIPED,FALSE,IF(SC_ViewMode=VMDEBUG,TRUE,AND(MOD(INT($A9/POWER(2,LOG(SC_ParameterMode,2))),2)&lt;&gt;0,MOD(INT($A9/POWER(2,LOG(SC_ViewMode,2))),2)&lt;&gt;0)))</f>
        <v>0</v>
      </c>
      <c r="F9" s="457"/>
      <c r="G9" s="329"/>
      <c r="H9" s="457"/>
      <c r="I9" s="487"/>
      <c r="J9" s="456"/>
      <c r="K9" s="135">
        <f ca="1">IF(IF(COLUMN()=COLUMN(I9),TRUE,ISBLANK(I9)), L9, I9)</f>
        <v>44927</v>
      </c>
      <c r="L9" s="59">
        <f ca="1">DATE(SC_YearStop,1,1)</f>
        <v>44927</v>
      </c>
      <c r="M9" s="186">
        <f>IF($E9,IF(ISERROR(DATEVALUE(TEXT($K9,"mm/dd/yyyy"))),200,IF($K9&gt;DATE(SC_YearStop,1,1),200,0)),0)</f>
        <v>0</v>
      </c>
      <c r="N9" t="str">
        <f t="shared" si="0"/>
        <v/>
      </c>
    </row>
    <row r="10" spans="1:16" hidden="1" x14ac:dyDescent="0.25">
      <c r="A10">
        <f>PMBASIC+PMADVANCED+VMMACRO</f>
        <v>52</v>
      </c>
      <c r="C10" s="589" t="s">
        <v>769</v>
      </c>
      <c r="D10" s="559"/>
      <c r="E10" s="198" t="b">
        <f>IF(SC_ViewMode=VMWIPED,FALSE,IF(SC_ViewMode=VMDEBUG,TRUE,AND(MOD(INT($A10/POWER(2,LOG(SC_ParameterMode,2))),2)&lt;&gt;0,MOD(INT($A10/POWER(2,LOG(SC_ViewMode,2))),2)&lt;&gt;0)))</f>
        <v>0</v>
      </c>
      <c r="F10" s="457"/>
      <c r="G10" s="459"/>
      <c r="H10" s="457"/>
      <c r="I10" s="499">
        <f ca="1">SP_TargetRD</f>
        <v>44927</v>
      </c>
      <c r="J10" s="450"/>
      <c r="K10" s="135"/>
      <c r="L10" s="59"/>
      <c r="M10" s="186">
        <f>IF($E10,IF(ISERROR(DATEVALUE(TEXT(SP_TargetRD,"mm/dd/yyyy"))),200,IF(SP_TargetRD&gt;DATE(SC_YearStop,1,1),200,0)),0)</f>
        <v>0</v>
      </c>
      <c r="N10" t="str">
        <f t="shared" ref="N10" si="1">IFERROR(VLOOKUP(M10,IV_CodeTable,2,FALSE),"")</f>
        <v/>
      </c>
    </row>
    <row r="11" spans="1:16" hidden="1" x14ac:dyDescent="0.25">
      <c r="A11">
        <f>PMBASIC+PMADVANCED+VMONLINE+VMMACRO</f>
        <v>54</v>
      </c>
      <c r="C11" s="590" t="s">
        <v>35</v>
      </c>
      <c r="D11" s="568"/>
      <c r="E11" s="451"/>
      <c r="F11" s="451"/>
      <c r="G11" s="218"/>
      <c r="H11" s="451"/>
      <c r="I11" s="506"/>
      <c r="J11" s="454"/>
      <c r="K11" s="131">
        <f t="shared" ref="K11:K16" si="2">IF(IF(COLUMN()=COLUMN(I11),TRUE,ISBLANK(I11)), L11, I11)</f>
        <v>3.7499999999999999E-2</v>
      </c>
      <c r="L11" s="57">
        <v>3.7499999999999999E-2</v>
      </c>
      <c r="M11" s="186">
        <f>IFERROR(IF(OR(NOT(ISNUMBER($K11)),$K11&lt;-1,$K11&gt;1),201,0),203)</f>
        <v>0</v>
      </c>
      <c r="N11" t="str">
        <f t="shared" si="0"/>
        <v/>
      </c>
    </row>
    <row r="12" spans="1:16" hidden="1" x14ac:dyDescent="0.25">
      <c r="A12">
        <f>PMBASIC+PMADVANCED+VMONLINE+VMMACRO</f>
        <v>54</v>
      </c>
      <c r="C12" s="589" t="s">
        <v>36</v>
      </c>
      <c r="D12" s="559"/>
      <c r="E12" s="457"/>
      <c r="F12" s="457"/>
      <c r="G12" s="329"/>
      <c r="H12" s="457"/>
      <c r="I12" s="507"/>
      <c r="J12" s="456"/>
      <c r="K12" s="131">
        <f t="shared" si="2"/>
        <v>3.2500000000000001E-2</v>
      </c>
      <c r="L12" s="57">
        <v>3.2500000000000001E-2</v>
      </c>
      <c r="M12" s="186">
        <f>IFERROR(IF(OR(NOT(ISNUMBER($K12)),$K12&lt;-1,$K12&gt;1),201,0),203)</f>
        <v>0</v>
      </c>
      <c r="N12" t="str">
        <f t="shared" si="0"/>
        <v/>
      </c>
      <c r="P12" s="1"/>
    </row>
    <row r="13" spans="1:16" hidden="1" x14ac:dyDescent="0.25">
      <c r="A13">
        <f>PMBASIC+PMADVANCED+VMONLINE+VMMACRO</f>
        <v>54</v>
      </c>
      <c r="C13" s="589" t="s">
        <v>843</v>
      </c>
      <c r="D13" s="559"/>
      <c r="E13" s="457"/>
      <c r="F13" s="457"/>
      <c r="G13" s="329"/>
      <c r="H13" s="457"/>
      <c r="I13" s="507"/>
      <c r="J13" s="456"/>
      <c r="K13" s="131">
        <f t="shared" si="2"/>
        <v>7.0000000000000007E-2</v>
      </c>
      <c r="L13" s="57">
        <v>7.0000000000000007E-2</v>
      </c>
      <c r="M13" s="186">
        <f>IFERROR(IF(OR(NOT(ISNUMBER($K13)),$K13&lt;-1,$K13&gt;1),201,0),203)</f>
        <v>0</v>
      </c>
      <c r="N13" t="str">
        <f t="shared" ref="N13" si="3">IFERROR(VLOOKUP(M13,IV_CodeTable,2,FALSE),"")</f>
        <v/>
      </c>
      <c r="P13" s="1"/>
    </row>
    <row r="14" spans="1:16" hidden="1" x14ac:dyDescent="0.25">
      <c r="A14">
        <f>PMBASIC+PMADVANCED+VMONLINE+VMMACRO</f>
        <v>54</v>
      </c>
      <c r="C14" s="589" t="s">
        <v>862</v>
      </c>
      <c r="D14" s="559"/>
      <c r="E14" s="457"/>
      <c r="F14" s="457"/>
      <c r="G14" s="329"/>
      <c r="H14" s="457"/>
      <c r="I14" s="483"/>
      <c r="J14" s="456"/>
      <c r="K14" s="131">
        <f t="shared" si="2"/>
        <v>0.05</v>
      </c>
      <c r="L14" s="57">
        <v>0.05</v>
      </c>
      <c r="M14" s="186">
        <f>IFERROR(IF(OR(NOT(ISNUMBER($K14)),$K14&lt;0,$K14&gt;1),201,0),203)</f>
        <v>0</v>
      </c>
      <c r="N14" t="str">
        <f t="shared" ref="N14" si="4">IFERROR(VLOOKUP(M14,IV_CodeTable,2,FALSE),"")</f>
        <v/>
      </c>
      <c r="P14" s="1"/>
    </row>
    <row r="15" spans="1:16" hidden="1" x14ac:dyDescent="0.25">
      <c r="A15">
        <f>PMBASIC+PMADVANCED+VMONLINE+VMMACRO</f>
        <v>54</v>
      </c>
      <c r="C15" s="589" t="s">
        <v>844</v>
      </c>
      <c r="D15" s="591"/>
      <c r="E15" s="457"/>
      <c r="F15" s="457"/>
      <c r="G15" s="457"/>
      <c r="H15" s="457"/>
      <c r="I15" s="592"/>
      <c r="J15" s="593"/>
      <c r="K15" s="455" t="str">
        <f t="shared" si="2"/>
        <v>Target Date Fund</v>
      </c>
      <c r="L15" s="453" t="s">
        <v>857</v>
      </c>
      <c r="M15" s="186"/>
    </row>
    <row r="16" spans="1:16" s="467" customFormat="1" hidden="1" x14ac:dyDescent="0.25">
      <c r="A16" s="467">
        <f>PMBASIC+PMADVANCED</f>
        <v>48</v>
      </c>
      <c r="C16" s="598" t="s">
        <v>1044</v>
      </c>
      <c r="D16" s="599"/>
      <c r="E16" s="464"/>
      <c r="F16" s="464"/>
      <c r="G16" s="464"/>
      <c r="H16" s="464"/>
      <c r="I16" s="524"/>
      <c r="J16" s="468"/>
      <c r="K16" s="466" t="str">
        <f t="shared" si="2"/>
        <v>Nominal</v>
      </c>
      <c r="L16" s="465" t="s">
        <v>1045</v>
      </c>
      <c r="M16" s="186"/>
    </row>
    <row r="17" spans="1:16" s="452" customFormat="1" hidden="1" x14ac:dyDescent="0.25">
      <c r="A17" s="467">
        <f>PMBASIC+PMADVANCED+VMMACRO</f>
        <v>52</v>
      </c>
      <c r="C17" s="596" t="s">
        <v>1044</v>
      </c>
      <c r="D17" s="597"/>
      <c r="E17" s="458"/>
      <c r="F17" s="458"/>
      <c r="G17" s="138"/>
      <c r="H17" s="458"/>
      <c r="I17" s="463" t="str">
        <f>SP_CurrencyMode</f>
        <v>Nominal</v>
      </c>
      <c r="J17" s="462"/>
      <c r="K17" s="455"/>
      <c r="L17" s="453"/>
      <c r="M17" s="186"/>
      <c r="P17" s="1"/>
    </row>
    <row r="18" spans="1:16" hidden="1" x14ac:dyDescent="0.25">
      <c r="A18">
        <f>PMBASIC+PMADVANCED+VMONLINE+VMMACRO</f>
        <v>54</v>
      </c>
      <c r="C18" s="451"/>
      <c r="D18" s="451"/>
      <c r="E18" s="451"/>
      <c r="F18" s="451"/>
      <c r="G18" s="451"/>
      <c r="H18" s="451"/>
      <c r="I18" s="451"/>
      <c r="J18" s="451"/>
      <c r="K18" s="451"/>
      <c r="L18" s="451"/>
      <c r="M18" s="186"/>
      <c r="N18" t="str">
        <f t="shared" si="0"/>
        <v/>
      </c>
    </row>
    <row r="19" spans="1:16" hidden="1" x14ac:dyDescent="0.25">
      <c r="A19">
        <f>PMBASIC+PMADVANCED+VMONLINE+VMMACRO</f>
        <v>54</v>
      </c>
      <c r="B19" s="12"/>
      <c r="C19" s="582" t="s">
        <v>791</v>
      </c>
      <c r="D19" s="583"/>
      <c r="E19" s="583"/>
      <c r="F19" s="583"/>
      <c r="G19" s="583"/>
      <c r="H19" s="583"/>
      <c r="I19" s="583"/>
      <c r="J19" s="584"/>
      <c r="K19" s="216" t="s">
        <v>746</v>
      </c>
      <c r="L19" s="53" t="s">
        <v>751</v>
      </c>
      <c r="M19" s="186"/>
      <c r="N19" t="str">
        <f t="shared" si="0"/>
        <v/>
      </c>
    </row>
    <row r="20" spans="1:16" hidden="1" x14ac:dyDescent="0.25">
      <c r="A20">
        <f>PMBASIC+PMADVANCED+VMONLINE+VMMACRO</f>
        <v>54</v>
      </c>
      <c r="B20" s="12"/>
      <c r="C20" s="587"/>
      <c r="D20" s="588"/>
      <c r="E20" s="43"/>
      <c r="F20" s="43"/>
      <c r="G20" s="43"/>
      <c r="H20" s="43"/>
      <c r="I20" s="43"/>
      <c r="J20" s="208"/>
      <c r="K20" s="64"/>
      <c r="L20" s="62"/>
      <c r="M20" s="186"/>
      <c r="N20" t="str">
        <f t="shared" si="0"/>
        <v/>
      </c>
    </row>
    <row r="21" spans="1:16" hidden="1" x14ac:dyDescent="0.25">
      <c r="A21">
        <f>PMBASIC+PMADVANCED+VMONLINE+VMMACRO</f>
        <v>54</v>
      </c>
      <c r="B21" s="12"/>
      <c r="C21" s="554" t="s">
        <v>672</v>
      </c>
      <c r="D21" s="555"/>
      <c r="I21" s="544"/>
      <c r="J21" s="545"/>
      <c r="K21" s="221" t="str">
        <f>IF(IF(COLUMN()=COLUMN(I21),TRUE,ISBLANK(I21)), $L21, I21)</f>
        <v>Single</v>
      </c>
      <c r="L21" s="237" t="s">
        <v>15</v>
      </c>
      <c r="M21" s="186"/>
    </row>
    <row r="22" spans="1:16" hidden="1" x14ac:dyDescent="0.25">
      <c r="A22">
        <f>PMBASIC+PMADVANCED+VMONLINE+VMMACRO</f>
        <v>54</v>
      </c>
      <c r="B22" s="12"/>
      <c r="C22" s="554" t="s">
        <v>23</v>
      </c>
      <c r="D22" s="555"/>
      <c r="I22" s="544"/>
      <c r="J22" s="545"/>
      <c r="K22" s="221" t="str">
        <f>IF(IF(COLUMN()=COLUMN(I22),TRUE,ISBLANK(I22)), $L22, I22)</f>
        <v>Single</v>
      </c>
      <c r="L22" s="237" t="s">
        <v>15</v>
      </c>
      <c r="M22" s="186"/>
    </row>
    <row r="23" spans="1:16" hidden="1" x14ac:dyDescent="0.25">
      <c r="A23">
        <f>PMBASIC+PMADVANCED+IF(INDEX(SC_ShowRetireatee,1), VMONLINE+VMMACRO,0)</f>
        <v>48</v>
      </c>
      <c r="B23" s="12"/>
      <c r="C23" s="554" t="s">
        <v>801</v>
      </c>
      <c r="D23" s="555"/>
      <c r="I23" s="537"/>
      <c r="J23" s="12"/>
      <c r="K23" s="217" t="str">
        <f>IF(IF(COLUMN()=COLUMN(I23),TRUE,ISBLANK(I23)), "", I23)</f>
        <v/>
      </c>
      <c r="L23" s="57"/>
      <c r="M23" s="186"/>
    </row>
    <row r="24" spans="1:16" hidden="1" x14ac:dyDescent="0.25">
      <c r="A24">
        <f>PMBASIC+PMADVANCED+IF(INDEX(SC_ShowRetireatee,2), VMONLINE+VMMACRO,0)</f>
        <v>48</v>
      </c>
      <c r="B24" s="12"/>
      <c r="C24" s="554" t="s">
        <v>802</v>
      </c>
      <c r="D24" s="555"/>
      <c r="I24" s="537"/>
      <c r="J24" s="12"/>
      <c r="K24" s="234" t="str">
        <f>IF(IF(COLUMN()=COLUMN(I24),TRUE,ISBLANK(I24)), "", I24)</f>
        <v/>
      </c>
      <c r="L24" s="233"/>
      <c r="M24" s="186"/>
    </row>
    <row r="25" spans="1:16" hidden="1" x14ac:dyDescent="0.25">
      <c r="A25">
        <f>PMBASIC+PMADVANCED+VMONLINE+VMMACRO</f>
        <v>54</v>
      </c>
      <c r="B25" s="12"/>
      <c r="C25" s="567" t="s">
        <v>710</v>
      </c>
      <c r="D25" s="568"/>
      <c r="E25" s="399"/>
      <c r="F25" s="399"/>
      <c r="G25" s="399"/>
      <c r="H25" s="399"/>
      <c r="I25" s="480"/>
      <c r="J25" s="402"/>
      <c r="K25" s="132">
        <f>IF(IF(COLUMN()=COLUMN(I25),TRUE,ISBLANK(I25)),L25,I25)</f>
        <v>0</v>
      </c>
      <c r="L25" s="63">
        <v>0</v>
      </c>
      <c r="M25" s="186">
        <f>IFERROR(IF(OR(NOT(ISNUMBER($K25)),$K25&lt;0),202,0),203)</f>
        <v>0</v>
      </c>
      <c r="N25" t="str">
        <f t="shared" si="0"/>
        <v/>
      </c>
    </row>
    <row r="26" spans="1:16" hidden="1" x14ac:dyDescent="0.25">
      <c r="A26">
        <f>PMBASIC+PMADVANCED+VMONLINE+VMMACRO</f>
        <v>54</v>
      </c>
      <c r="B26" s="12"/>
      <c r="C26" s="554" t="s">
        <v>762</v>
      </c>
      <c r="D26" s="559"/>
      <c r="E26" s="404"/>
      <c r="F26" s="404"/>
      <c r="G26" s="404"/>
      <c r="H26" s="404"/>
      <c r="I26" s="481"/>
      <c r="J26" s="403"/>
      <c r="K26" s="132">
        <f>IF(IF(COLUMN()=COLUMN(I26),TRUE,ISBLANK(I26)),L26,I26)</f>
        <v>0</v>
      </c>
      <c r="L26" s="63">
        <f>IF(ISNUMBER(SP_CoreBalance),SP_CoreBalance,0)</f>
        <v>0</v>
      </c>
      <c r="M26" s="186">
        <f>IFERROR(IF(OR(NOT(ISNUMBER($K26)),$K26&lt;0),202,0),203)</f>
        <v>0</v>
      </c>
      <c r="N26" t="str">
        <f t="shared" si="0"/>
        <v/>
      </c>
    </row>
    <row r="27" spans="1:16" hidden="1" x14ac:dyDescent="0.25">
      <c r="A27">
        <f>PMADVANCED+VMONLINE+VMMACRO</f>
        <v>38</v>
      </c>
      <c r="B27" s="12"/>
      <c r="C27" s="554" t="s">
        <v>668</v>
      </c>
      <c r="D27" s="559"/>
      <c r="E27" s="404"/>
      <c r="F27" s="404"/>
      <c r="G27" s="404"/>
      <c r="H27" s="404"/>
      <c r="I27" s="498"/>
      <c r="J27" s="403"/>
      <c r="K27" s="132">
        <f t="shared" ref="K27:K46" si="5">IF(IF(COLUMN()=COLUMN(I27),TRUE,ISBLANK(I27)),L27,I27)</f>
        <v>0</v>
      </c>
      <c r="L27" s="63">
        <v>0</v>
      </c>
      <c r="M27" s="186">
        <f>IFERROR(IF(OR(NOT(ISNUMBER($K27)),$K27&lt;0),202,0),203)</f>
        <v>0</v>
      </c>
      <c r="N27" t="str">
        <f t="shared" si="0"/>
        <v/>
      </c>
    </row>
    <row r="28" spans="1:16" hidden="1" x14ac:dyDescent="0.25">
      <c r="A28">
        <f>PMBASIC+PMADVANCED+VMONLINE+VMMACRO</f>
        <v>54</v>
      </c>
      <c r="B28" s="12"/>
      <c r="C28" s="554" t="s">
        <v>650</v>
      </c>
      <c r="D28" s="559"/>
      <c r="E28" s="404"/>
      <c r="F28" s="404"/>
      <c r="G28" s="404"/>
      <c r="H28" s="404"/>
      <c r="I28" s="481"/>
      <c r="J28" s="403" t="s">
        <v>666</v>
      </c>
      <c r="K28" s="132">
        <f t="shared" si="5"/>
        <v>0</v>
      </c>
      <c r="L28" s="63">
        <v>0</v>
      </c>
      <c r="M28" s="186">
        <f>IFERROR(IF(OR(NOT(ISNUMBER($K28)),$K28&lt;0),202,0),203)</f>
        <v>0</v>
      </c>
      <c r="N28" t="str">
        <f t="shared" si="0"/>
        <v/>
      </c>
    </row>
    <row r="29" spans="1:16" hidden="1" x14ac:dyDescent="0.25">
      <c r="A29">
        <f>PMBASIC+PMADVANCED+VMONLINE+VMMACRO</f>
        <v>54</v>
      </c>
      <c r="B29" s="12"/>
      <c r="C29" s="560" t="s">
        <v>917</v>
      </c>
      <c r="D29" s="561"/>
      <c r="E29" s="405"/>
      <c r="F29" s="405"/>
      <c r="G29" s="133"/>
      <c r="H29" s="405"/>
      <c r="I29" s="542"/>
      <c r="J29" s="543"/>
      <c r="K29" s="256" t="str">
        <f t="shared" si="5"/>
        <v>None</v>
      </c>
      <c r="L29" s="231" t="s">
        <v>918</v>
      </c>
      <c r="M29" s="186">
        <f>IF($K29="None",111,0)</f>
        <v>111</v>
      </c>
      <c r="N29" t="str">
        <f t="shared" si="0"/>
        <v>No parameter provided</v>
      </c>
    </row>
    <row r="30" spans="1:16" hidden="1" x14ac:dyDescent="0.25">
      <c r="A30">
        <f t="shared" ref="A30:A36" si="6">PMADVANCED+VMONLINE+VMMACRO</f>
        <v>38</v>
      </c>
      <c r="B30" s="607" t="s">
        <v>871</v>
      </c>
      <c r="C30" s="610" t="s">
        <v>872</v>
      </c>
      <c r="D30" s="611"/>
      <c r="E30" s="399"/>
      <c r="F30" s="399"/>
      <c r="G30" s="218"/>
      <c r="H30" s="399"/>
      <c r="I30" s="605"/>
      <c r="J30" s="606"/>
      <c r="K30" s="401" t="str">
        <f t="shared" ref="K30:K39" si="7">IF(IF(COLUMN()=COLUMN(I30),TRUE,ISBLANK(I30)), L30, I30)</f>
        <v>Life</v>
      </c>
      <c r="L30" s="401" t="s">
        <v>875</v>
      </c>
      <c r="M30" s="186"/>
      <c r="P30" s="1"/>
    </row>
    <row r="31" spans="1:16" hidden="1" x14ac:dyDescent="0.25">
      <c r="A31">
        <f t="shared" si="6"/>
        <v>38</v>
      </c>
      <c r="B31" s="608"/>
      <c r="C31" s="562" t="s">
        <v>873</v>
      </c>
      <c r="D31" s="563"/>
      <c r="E31" s="404"/>
      <c r="F31" s="404"/>
      <c r="G31" s="329"/>
      <c r="H31" s="404"/>
      <c r="I31" s="557"/>
      <c r="J31" s="603"/>
      <c r="K31" s="401" t="str">
        <f t="shared" si="7"/>
        <v>Fixed</v>
      </c>
      <c r="L31" s="401" t="s">
        <v>876</v>
      </c>
      <c r="M31" s="186"/>
      <c r="P31" s="1"/>
    </row>
    <row r="32" spans="1:16" hidden="1" x14ac:dyDescent="0.25">
      <c r="A32">
        <f t="shared" si="6"/>
        <v>38</v>
      </c>
      <c r="B32" s="608"/>
      <c r="C32" s="562" t="s">
        <v>909</v>
      </c>
      <c r="D32" s="563"/>
      <c r="E32" s="404"/>
      <c r="F32" s="404"/>
      <c r="G32" s="329"/>
      <c r="H32" s="404"/>
      <c r="I32" s="604"/>
      <c r="J32" s="575"/>
      <c r="K32" s="401" t="b">
        <f t="shared" si="7"/>
        <v>0</v>
      </c>
      <c r="L32" s="401" t="b">
        <v>0</v>
      </c>
      <c r="M32" s="186"/>
      <c r="P32" s="1"/>
    </row>
    <row r="33" spans="1:16" hidden="1" x14ac:dyDescent="0.25">
      <c r="A33">
        <f t="shared" si="6"/>
        <v>38</v>
      </c>
      <c r="B33" s="608"/>
      <c r="C33" s="562" t="s">
        <v>881</v>
      </c>
      <c r="D33" s="563"/>
      <c r="E33" s="404"/>
      <c r="F33" s="404"/>
      <c r="G33" s="329"/>
      <c r="H33" s="404"/>
      <c r="I33" s="507"/>
      <c r="J33" s="403"/>
      <c r="K33" s="57">
        <f t="shared" ref="K33" si="8">IF(IF(COLUMN()=COLUMN(I33),TRUE,ISBLANK(I33)), L33, I33)</f>
        <v>1</v>
      </c>
      <c r="L33" s="57">
        <f>IF(SP_AnnyRate="Indexed",0.75,1)</f>
        <v>1</v>
      </c>
      <c r="M33" s="186">
        <f>IFERROR(IF(OR(NOT(ISNUMBER($K33)),$K33&lt;=0,$K33&gt;1),201,0),203)</f>
        <v>0</v>
      </c>
      <c r="N33" t="str">
        <f t="shared" ref="N33:N38" si="9">IFERROR(VLOOKUP(M33,IV_CodeTable,2,FALSE),"")</f>
        <v/>
      </c>
      <c r="P33" s="1"/>
    </row>
    <row r="34" spans="1:16" hidden="1" x14ac:dyDescent="0.25">
      <c r="A34">
        <f t="shared" si="6"/>
        <v>38</v>
      </c>
      <c r="B34" s="608"/>
      <c r="C34" s="562" t="s">
        <v>902</v>
      </c>
      <c r="D34" s="563"/>
      <c r="E34" s="404"/>
      <c r="F34" s="404"/>
      <c r="G34" s="329"/>
      <c r="H34" s="404"/>
      <c r="I34" s="507"/>
      <c r="J34" s="403"/>
      <c r="K34" s="57">
        <f t="shared" ref="K34" si="10">IF(IF(COLUMN()=COLUMN(I34),TRUE,ISBLANK(I34)), L34, I34)</f>
        <v>1</v>
      </c>
      <c r="L34" s="57">
        <f>IF(SP_AnnyRate="Indexed",0.07,1)</f>
        <v>1</v>
      </c>
      <c r="M34" s="186">
        <f>IFERROR(IF(OR(NOT(ISNUMBER($K34)),$K34&lt;=0,$K34&gt;1),201,0),203)</f>
        <v>0</v>
      </c>
      <c r="N34" t="str">
        <f t="shared" ref="N34" si="11">IFERROR(VLOOKUP(M34,IV_CodeTable,2,FALSE),"")</f>
        <v/>
      </c>
      <c r="P34" s="1"/>
    </row>
    <row r="35" spans="1:16" hidden="1" x14ac:dyDescent="0.25">
      <c r="A35">
        <f t="shared" si="6"/>
        <v>38</v>
      </c>
      <c r="B35" s="608"/>
      <c r="C35" s="562" t="s">
        <v>903</v>
      </c>
      <c r="D35" s="563"/>
      <c r="E35" s="404"/>
      <c r="F35" s="404"/>
      <c r="G35" s="329"/>
      <c r="H35" s="404"/>
      <c r="I35" s="507"/>
      <c r="J35" s="403"/>
      <c r="K35" s="57">
        <f t="shared" ref="K35" si="12">IF(IF(COLUMN()=COLUMN(I35),TRUE,ISBLANK(I35)), L35, I35)</f>
        <v>0</v>
      </c>
      <c r="L35" s="57">
        <v>0</v>
      </c>
      <c r="M35" s="186">
        <f>IFERROR(IF(OR(NOT(ISNUMBER($K35)),$K35&lt;=-1,$K35&gt;1),201,0),203)</f>
        <v>0</v>
      </c>
      <c r="N35" t="str">
        <f t="shared" ref="N35" si="13">IFERROR(VLOOKUP(M35,IV_CodeTable,2,FALSE),"")</f>
        <v/>
      </c>
      <c r="P35" s="1"/>
    </row>
    <row r="36" spans="1:16" hidden="1" x14ac:dyDescent="0.25">
      <c r="A36">
        <f t="shared" si="6"/>
        <v>38</v>
      </c>
      <c r="B36" s="608"/>
      <c r="C36" s="562" t="s">
        <v>904</v>
      </c>
      <c r="D36" s="563"/>
      <c r="E36" s="404"/>
      <c r="F36" s="404"/>
      <c r="G36" s="329"/>
      <c r="H36" s="404"/>
      <c r="I36" s="507"/>
      <c r="J36" s="403" t="s">
        <v>666</v>
      </c>
      <c r="K36" s="57">
        <f>IF(IF(COLUMN()=COLUMN(I36),TRUE,ISBLANK(I36)), L36, I36)</f>
        <v>1.4999999999999999E-2</v>
      </c>
      <c r="L36" s="57">
        <f>IF(SP_AnnyRate="Variable",0.02,0.015)</f>
        <v>1.4999999999999999E-2</v>
      </c>
      <c r="M36" s="186">
        <f>IFERROR(IF(OR(NOT(ISNUMBER($K36)),$K36&lt;0,$K36&gt;1),201,0),203)</f>
        <v>0</v>
      </c>
      <c r="N36" t="str">
        <f>IFERROR(VLOOKUP(M36,IV_CodeTable,2,FALSE),"")</f>
        <v/>
      </c>
      <c r="P36" s="1"/>
    </row>
    <row r="37" spans="1:16" hidden="1" x14ac:dyDescent="0.25">
      <c r="A37">
        <f>PMADVANCED+IF(INDEX(SC_ShowRetireatee,2),VMONLINE+VMMACRO,0)</f>
        <v>32</v>
      </c>
      <c r="B37" s="608"/>
      <c r="C37" s="562" t="s">
        <v>874</v>
      </c>
      <c r="D37" s="563"/>
      <c r="E37" s="404"/>
      <c r="F37" s="404"/>
      <c r="G37" s="329"/>
      <c r="H37" s="404"/>
      <c r="I37" s="528"/>
      <c r="J37" s="403"/>
      <c r="K37" s="231" t="b">
        <f t="shared" si="7"/>
        <v>0</v>
      </c>
      <c r="L37" s="231" t="b">
        <f>AND(INDEX(SC_ShowRetireatee,1),INDEX(SC_ShowRetireatee,2))</f>
        <v>0</v>
      </c>
      <c r="M37" s="186"/>
      <c r="P37" s="1"/>
    </row>
    <row r="38" spans="1:16" hidden="1" x14ac:dyDescent="0.25">
      <c r="A38">
        <f>PMADVANCED+VMONLINE+VMMACRO</f>
        <v>38</v>
      </c>
      <c r="B38" s="608"/>
      <c r="C38" s="562" t="s">
        <v>870</v>
      </c>
      <c r="D38" s="563"/>
      <c r="E38" s="404"/>
      <c r="F38" s="404"/>
      <c r="G38" s="329"/>
      <c r="H38" s="404"/>
      <c r="I38" s="513"/>
      <c r="J38" s="403" t="s">
        <v>756</v>
      </c>
      <c r="K38" s="58">
        <f t="shared" si="7"/>
        <v>10</v>
      </c>
      <c r="L38" s="58">
        <f>IF(SP_AnnyTerms="Life",10,20)</f>
        <v>10</v>
      </c>
      <c r="M38" s="186">
        <f>IF(AND($K$30="Period Certain",$K38=0),205,0)</f>
        <v>0</v>
      </c>
      <c r="N38" t="str">
        <f t="shared" si="9"/>
        <v/>
      </c>
      <c r="P38" s="1"/>
    </row>
    <row r="39" spans="1:16" hidden="1" x14ac:dyDescent="0.25">
      <c r="A39">
        <f>PMBASIC+PMADVANCED+VMONLINE+VMMACRO</f>
        <v>54</v>
      </c>
      <c r="B39" s="608"/>
      <c r="C39" s="562" t="s">
        <v>878</v>
      </c>
      <c r="D39" s="563"/>
      <c r="E39" s="404"/>
      <c r="F39" s="404"/>
      <c r="G39" s="329"/>
      <c r="H39" s="404"/>
      <c r="I39" s="514"/>
      <c r="J39" s="403" t="s">
        <v>666</v>
      </c>
      <c r="K39" s="61">
        <f t="shared" si="7"/>
        <v>0</v>
      </c>
      <c r="L39" s="61">
        <v>0</v>
      </c>
      <c r="M39" s="186">
        <f>IFERROR(IF(OR(NOT(ISNUMBER($K39)),$K39&lt;0),202,0),203)</f>
        <v>0</v>
      </c>
      <c r="N39" t="str">
        <f t="shared" ref="N39" si="14">IFERROR(VLOOKUP(M39,IV_CodeTable,2,FALSE),"")</f>
        <v/>
      </c>
      <c r="P39" s="1"/>
    </row>
    <row r="40" spans="1:16" hidden="1" x14ac:dyDescent="0.25">
      <c r="A40">
        <f>PMBASIC+PMADVANCED+VMONLINE+VMMACRO</f>
        <v>54</v>
      </c>
      <c r="B40" s="608"/>
      <c r="C40" s="562" t="s">
        <v>877</v>
      </c>
      <c r="D40" s="563"/>
      <c r="E40" s="404"/>
      <c r="F40" s="404"/>
      <c r="G40" s="329"/>
      <c r="H40" s="404"/>
      <c r="I40" s="481"/>
      <c r="J40" s="403"/>
      <c r="K40" s="61">
        <f>IF(IF(COLUMN()=COLUMN(I40),TRUE,ISBLANK(I40)), L40, I40)</f>
        <v>0</v>
      </c>
      <c r="L40" s="61">
        <v>0</v>
      </c>
      <c r="M40" s="186">
        <f>IFERROR(IF(OR(NOT(ISNUMBER($K40)),$K40&lt;0),202,0),203)</f>
        <v>0</v>
      </c>
      <c r="N40" t="str">
        <f t="shared" ref="N40:N41" si="15">IFERROR(VLOOKUP(M40,IV_CodeTable,2,FALSE),"")</f>
        <v/>
      </c>
      <c r="P40" s="1"/>
    </row>
    <row r="41" spans="1:16" hidden="1" x14ac:dyDescent="0.25">
      <c r="A41">
        <f>PMBASIC+PMADVANCED+VMONLINE+VMMACRO</f>
        <v>54</v>
      </c>
      <c r="B41" s="608"/>
      <c r="C41" s="562" t="s">
        <v>762</v>
      </c>
      <c r="D41" s="563"/>
      <c r="E41" s="489"/>
      <c r="F41" s="489"/>
      <c r="G41" s="329"/>
      <c r="H41" s="404"/>
      <c r="I41" s="481"/>
      <c r="J41" s="398"/>
      <c r="K41" s="61">
        <f>IF(IF(COLUMN()=COLUMN(I41),TRUE,ISBLANK(I41)), L41, I41)</f>
        <v>0</v>
      </c>
      <c r="L41" s="61">
        <f>$K$40</f>
        <v>0</v>
      </c>
      <c r="M41" s="186">
        <f>IFERROR(IF(OR(NOT(ISNUMBER($K41)),$K41&lt;0),202,0),203)</f>
        <v>0</v>
      </c>
      <c r="N41" t="str">
        <f t="shared" si="15"/>
        <v/>
      </c>
      <c r="P41" s="1"/>
    </row>
    <row r="42" spans="1:16" hidden="1" x14ac:dyDescent="0.25">
      <c r="A42">
        <f>PMBASIC+PMADVANCED+VMONLINE+VMMACRO</f>
        <v>54</v>
      </c>
      <c r="B42" s="608"/>
      <c r="C42" s="612" t="s">
        <v>911</v>
      </c>
      <c r="D42" s="613"/>
      <c r="E42" s="489"/>
      <c r="F42" s="489"/>
      <c r="G42" s="329"/>
      <c r="H42" s="404"/>
      <c r="I42" s="239">
        <f t="array" aca="1" ref="I42" ca="1">IFERROR(SUM(SC_ZA_AnnyROR*SC_ZA_AnnyWeight)/SUM(SC_ZA_AnnyWeight),0)</f>
        <v>0</v>
      </c>
      <c r="J42" s="403"/>
      <c r="K42" s="64"/>
      <c r="L42" s="61"/>
      <c r="M42" s="186"/>
      <c r="P42" s="1"/>
    </row>
    <row r="43" spans="1:16" hidden="1" x14ac:dyDescent="0.25">
      <c r="A43">
        <f>PMBASIC+PMADVANCED</f>
        <v>48</v>
      </c>
      <c r="B43" s="609"/>
      <c r="C43" s="569" t="s">
        <v>901</v>
      </c>
      <c r="D43" s="570"/>
      <c r="E43" s="405"/>
      <c r="F43" s="405"/>
      <c r="G43" s="138"/>
      <c r="H43" s="405"/>
      <c r="I43" s="239">
        <f ca="1">YEARFRAC(DATE(YEAR(SP_TargetRD),MONTH(SP_TargetRD)+IF(DAY(SP_TargetRD)=1, 0, 1),1),DATE(YEAR(SP_TargetRD)+1,1,1))</f>
        <v>1</v>
      </c>
      <c r="J43" s="406"/>
      <c r="K43" s="64"/>
      <c r="L43" s="61"/>
      <c r="M43" s="186"/>
      <c r="P43" s="1"/>
    </row>
    <row r="44" spans="1:16" hidden="1" x14ac:dyDescent="0.25">
      <c r="A44">
        <f t="shared" ref="A44:A49" si="16">PMBASIC+PMADVANCED+VMONLINE+VMMACRO</f>
        <v>54</v>
      </c>
      <c r="B44" s="208"/>
      <c r="C44" s="567" t="s">
        <v>9</v>
      </c>
      <c r="D44" s="568"/>
      <c r="E44" s="43"/>
      <c r="F44" s="43"/>
      <c r="G44" s="43"/>
      <c r="H44" s="43"/>
      <c r="I44" s="480"/>
      <c r="J44" s="208"/>
      <c r="K44" s="132">
        <f t="shared" si="5"/>
        <v>10000</v>
      </c>
      <c r="L44" s="63">
        <v>10000</v>
      </c>
      <c r="M44" s="186">
        <f>IFERROR(IF(OR(NOT(ISNUMBER($K44)),$K44&lt;=0),202,0),203)</f>
        <v>0</v>
      </c>
      <c r="N44" t="str">
        <f t="shared" si="0"/>
        <v/>
      </c>
    </row>
    <row r="45" spans="1:16" hidden="1" x14ac:dyDescent="0.25">
      <c r="A45">
        <f t="shared" si="16"/>
        <v>54</v>
      </c>
      <c r="B45" s="12"/>
      <c r="C45" s="554" t="s">
        <v>10</v>
      </c>
      <c r="D45" s="555"/>
      <c r="I45" s="481"/>
      <c r="J45" s="12"/>
      <c r="K45" s="132">
        <f t="shared" si="5"/>
        <v>0</v>
      </c>
      <c r="L45" s="63">
        <v>0</v>
      </c>
      <c r="M45" s="186">
        <f>IFERROR(IF(OR(NOT(ISNUMBER($K45)),$K45&lt;0),202,IF($K45&gt;$K44,105,0)),203)</f>
        <v>0</v>
      </c>
      <c r="N45" t="str">
        <f t="shared" si="0"/>
        <v/>
      </c>
    </row>
    <row r="46" spans="1:16" hidden="1" x14ac:dyDescent="0.25">
      <c r="A46">
        <f t="shared" si="16"/>
        <v>54</v>
      </c>
      <c r="B46" s="12"/>
      <c r="C46" s="560" t="s">
        <v>4</v>
      </c>
      <c r="D46" s="561"/>
      <c r="E46" s="134"/>
      <c r="F46" s="134"/>
      <c r="G46" s="134"/>
      <c r="H46" s="134"/>
      <c r="I46" s="482"/>
      <c r="J46" s="30"/>
      <c r="K46" s="132">
        <f t="shared" si="5"/>
        <v>0.05</v>
      </c>
      <c r="L46" s="63">
        <f>SP_BondYieldDef</f>
        <v>0.05</v>
      </c>
      <c r="M46" s="186">
        <f>IFERROR(IF(OR(NOT(ISNUMBER($K46)),$K46&lt;0,$K46&gt;1),201,0),203)</f>
        <v>0</v>
      </c>
      <c r="N46" t="str">
        <f t="shared" si="0"/>
        <v/>
      </c>
    </row>
    <row r="47" spans="1:16" hidden="1" x14ac:dyDescent="0.25">
      <c r="A47">
        <f t="shared" si="16"/>
        <v>54</v>
      </c>
      <c r="C47" s="232"/>
      <c r="D47" s="134"/>
      <c r="E47" s="134"/>
      <c r="F47" s="134"/>
      <c r="G47" s="133"/>
      <c r="H47" s="134"/>
      <c r="I47" s="134"/>
      <c r="J47" s="134"/>
      <c r="K47" s="138"/>
      <c r="L47" s="138"/>
      <c r="M47" s="186"/>
    </row>
    <row r="48" spans="1:16" hidden="1" x14ac:dyDescent="0.25">
      <c r="A48">
        <f t="shared" si="16"/>
        <v>54</v>
      </c>
      <c r="B48" s="12"/>
      <c r="C48" s="582" t="s">
        <v>792</v>
      </c>
      <c r="D48" s="583"/>
      <c r="E48" s="583"/>
      <c r="F48" s="583"/>
      <c r="G48" s="583"/>
      <c r="H48" s="583"/>
      <c r="I48" s="583"/>
      <c r="J48" s="584"/>
      <c r="K48" s="126" t="s">
        <v>746</v>
      </c>
      <c r="L48" s="127" t="s">
        <v>751</v>
      </c>
      <c r="M48" s="186"/>
    </row>
    <row r="49" spans="1:17" hidden="1" x14ac:dyDescent="0.25">
      <c r="A49">
        <f t="shared" si="16"/>
        <v>54</v>
      </c>
      <c r="B49" s="12"/>
      <c r="C49" s="139"/>
      <c r="D49" s="153" t="s">
        <v>690</v>
      </c>
      <c r="E49" s="26" t="s">
        <v>839</v>
      </c>
      <c r="F49" s="26" t="s">
        <v>655</v>
      </c>
      <c r="G49" s="26" t="s">
        <v>708</v>
      </c>
      <c r="H49" s="26" t="s">
        <v>656</v>
      </c>
      <c r="I49" s="26"/>
      <c r="J49" s="208"/>
      <c r="K49" s="136"/>
      <c r="L49" s="56"/>
      <c r="M49" s="186"/>
    </row>
    <row r="50" spans="1:17" ht="15" hidden="1" customHeight="1" x14ac:dyDescent="0.25">
      <c r="A50">
        <f>PMBASIC+PMADVANCED</f>
        <v>48</v>
      </c>
      <c r="B50" s="12"/>
      <c r="C50" s="565" t="s">
        <v>745</v>
      </c>
      <c r="D50" s="154" t="str">
        <f>INDEX(SP_Initials,F50)</f>
        <v/>
      </c>
      <c r="E50" s="172" t="b">
        <f>IF(SC_ViewMode=VMWIPED,FALSE,IF(SC_ViewMode=VMDEBUG,TRUE,AND(MOD(INT($A50/POWER(2,LOG(SC_ParameterMode,2))),2)&lt;&gt;0,MOD(INT($A50/POWER(2,LOG(SC_ViewMode,2))),2)&lt;&gt;0)))</f>
        <v>0</v>
      </c>
      <c r="F50" s="155">
        <f>MOD(ROW()-ROW($F$50),2)+1</f>
        <v>1</v>
      </c>
      <c r="G50" s="155">
        <f t="shared" ref="G50:G85" si="17">INDEX(SC_TaxIndex,$F50)</f>
        <v>0</v>
      </c>
      <c r="H50" s="156">
        <f t="shared" ref="H50:H85" si="18">MOD($F50,2)-($F50-1)</f>
        <v>1</v>
      </c>
      <c r="I50" s="197" t="b">
        <f>INDEX(SP_Initials,$F50)&lt;&gt;""</f>
        <v>0</v>
      </c>
      <c r="J50" s="552"/>
      <c r="K50" s="136"/>
      <c r="L50" s="56"/>
      <c r="M50" s="186"/>
    </row>
    <row r="51" spans="1:17" ht="15" hidden="1" customHeight="1" x14ac:dyDescent="0.25">
      <c r="A51">
        <f>PMBASIC+PMADVANCED</f>
        <v>48</v>
      </c>
      <c r="B51" s="12"/>
      <c r="C51" s="566"/>
      <c r="D51" s="157" t="str">
        <f>INDEX(SP_Initials,F51)</f>
        <v/>
      </c>
      <c r="E51" s="170" t="b">
        <f>IF(SC_ViewMode=VMWIPED,FALSE,IF(SC_ViewMode=VMDEBUG,TRUE,AND(MOD(INT($A51/POWER(2,LOG(SC_ParameterMode,2))),2)&lt;&gt;0,MOD(INT($A51/POWER(2,LOG(SC_ViewMode,2))),2)&lt;&gt;0)))</f>
        <v>0</v>
      </c>
      <c r="F51" s="158">
        <f t="shared" ref="F51:F126" si="19">MOD(ROW()-ROW($F$50),2)+1</f>
        <v>2</v>
      </c>
      <c r="G51" s="158">
        <f t="shared" si="17"/>
        <v>0</v>
      </c>
      <c r="H51" s="159">
        <f t="shared" si="18"/>
        <v>-1</v>
      </c>
      <c r="I51" s="197" t="b">
        <f>INDEX(SP_Initials,$F51)&lt;&gt;""</f>
        <v>0</v>
      </c>
      <c r="J51" s="546"/>
      <c r="K51" s="136"/>
      <c r="L51" s="56"/>
      <c r="M51" s="186"/>
    </row>
    <row r="52" spans="1:17" hidden="1" x14ac:dyDescent="0.25">
      <c r="A52">
        <f t="shared" ref="A52:A57" si="20">PMBASIC+PMADVANCED+IF(INDEX(SC_ShowRetireatee,$F52), VMONLINE+VMMACRO,0)</f>
        <v>48</v>
      </c>
      <c r="C52" s="549" t="s">
        <v>37</v>
      </c>
      <c r="D52" s="160" t="str">
        <f t="shared" ref="D52:D61" si="21">INDEX(SP_Initials,F52)</f>
        <v/>
      </c>
      <c r="E52" s="169" t="b">
        <f>IF(SC_ViewMode=VMWIPED,FALSE,IF(SC_ViewMode=VMDEBUG,TRUE,AND(MOD(INT($A52/POWER(2,LOG(SC_ParameterMode,2))),2)&lt;&gt;0,MOD(INT($A52/POWER(2,LOG(SC_ViewMode,2))),2)&lt;&gt;0)))</f>
        <v>0</v>
      </c>
      <c r="F52" s="161">
        <f t="shared" si="19"/>
        <v>1</v>
      </c>
      <c r="G52" s="161">
        <f t="shared" si="17"/>
        <v>0</v>
      </c>
      <c r="H52" s="162">
        <f t="shared" si="18"/>
        <v>1</v>
      </c>
      <c r="I52" s="501"/>
      <c r="J52" s="572"/>
      <c r="K52" s="135" t="str">
        <f>IF(IF(COLUMN()=COLUMN(I52),TRUE,ISBLANK(I52)), "", I52)</f>
        <v/>
      </c>
      <c r="L52" s="58"/>
      <c r="M52" s="186"/>
      <c r="Q52" s="262"/>
    </row>
    <row r="53" spans="1:17" hidden="1" x14ac:dyDescent="0.25">
      <c r="A53">
        <f t="shared" si="20"/>
        <v>48</v>
      </c>
      <c r="C53" s="550"/>
      <c r="D53" s="157" t="str">
        <f t="shared" si="21"/>
        <v/>
      </c>
      <c r="E53" s="170" t="b">
        <f>IF(SC_ViewMode=VMWIPED,FALSE,IF(SC_ViewMode=VMDEBUG,TRUE,AND(MOD(INT($A53/POWER(2,LOG(SC_ParameterMode,2))),2)&lt;&gt;0,MOD(INT($A53/POWER(2,LOG(SC_ViewMode,2))),2)&lt;&gt;0)))</f>
        <v>0</v>
      </c>
      <c r="F53" s="158">
        <f t="shared" si="19"/>
        <v>2</v>
      </c>
      <c r="G53" s="158">
        <f t="shared" si="17"/>
        <v>0</v>
      </c>
      <c r="H53" s="159">
        <f t="shared" si="18"/>
        <v>-1</v>
      </c>
      <c r="I53" s="501"/>
      <c r="J53" s="546"/>
      <c r="K53" s="135" t="str">
        <f>IF(IF(COLUMN()=COLUMN(I53),TRUE,ISBLANK(I53)), "", I53)</f>
        <v/>
      </c>
      <c r="L53" s="58"/>
      <c r="M53" s="186"/>
    </row>
    <row r="54" spans="1:17" hidden="1" x14ac:dyDescent="0.25">
      <c r="A54">
        <f t="shared" si="20"/>
        <v>48</v>
      </c>
      <c r="C54" s="549" t="s">
        <v>784</v>
      </c>
      <c r="D54" s="160" t="str">
        <f t="shared" si="21"/>
        <v/>
      </c>
      <c r="E54" s="169" t="b">
        <f>IF(SC_ViewMode=VMWIPED,FALSE,IF(SC_ViewMode=VMDEBUG,TRUE,AND(MOD(INT($A54/POWER(2,LOG(SC_ParameterMode,2))),2)&lt;&gt;0,MOD(INT($A54/POWER(2,LOG(SC_ViewMode,2))),2)&lt;&gt;0)))</f>
        <v>0</v>
      </c>
      <c r="F54" s="161">
        <f t="shared" si="19"/>
        <v>1</v>
      </c>
      <c r="G54" s="161">
        <f t="shared" si="17"/>
        <v>0</v>
      </c>
      <c r="H54" s="162">
        <f t="shared" si="18"/>
        <v>1</v>
      </c>
      <c r="I54" s="502"/>
      <c r="J54" s="546"/>
      <c r="K54" s="136">
        <f t="shared" ref="K54:K61" si="22">IF(IF(COLUMN()=COLUMN(I54),TRUE,ISBLANK(I54)), L54, I54)</f>
        <v>18</v>
      </c>
      <c r="L54" s="58">
        <v>18</v>
      </c>
      <c r="M54" s="186"/>
    </row>
    <row r="55" spans="1:17" hidden="1" x14ac:dyDescent="0.25">
      <c r="A55">
        <f t="shared" si="20"/>
        <v>48</v>
      </c>
      <c r="C55" s="550"/>
      <c r="D55" s="157" t="str">
        <f t="shared" si="21"/>
        <v/>
      </c>
      <c r="E55" s="170" t="b">
        <f>IF(SC_ViewMode=VMWIPED,FALSE,IF(SC_ViewMode=VMDEBUG,TRUE,AND(MOD(INT($A55/POWER(2,LOG(SC_ParameterMode,2))),2)&lt;&gt;0,MOD(INT($A55/POWER(2,LOG(SC_ViewMode,2))),2)&lt;&gt;0)))</f>
        <v>0</v>
      </c>
      <c r="F55" s="158">
        <f t="shared" si="19"/>
        <v>2</v>
      </c>
      <c r="G55" s="158">
        <f t="shared" si="17"/>
        <v>0</v>
      </c>
      <c r="H55" s="159">
        <f t="shared" si="18"/>
        <v>-1</v>
      </c>
      <c r="I55" s="502"/>
      <c r="J55" s="546"/>
      <c r="K55" s="136">
        <f t="shared" si="22"/>
        <v>18</v>
      </c>
      <c r="L55" s="58">
        <v>18</v>
      </c>
      <c r="M55" s="186"/>
    </row>
    <row r="56" spans="1:17" hidden="1" x14ac:dyDescent="0.25">
      <c r="A56">
        <f t="shared" si="20"/>
        <v>48</v>
      </c>
      <c r="C56" s="549" t="s">
        <v>790</v>
      </c>
      <c r="D56" s="160" t="str">
        <f t="shared" si="21"/>
        <v/>
      </c>
      <c r="E56" s="169" t="b">
        <f>IF(SC_ViewMode=VMWIPED,FALSE,IF(SC_ViewMode=VMDEBUG,TRUE,AND(MOD(INT($A56/POWER(2,LOG(SC_ParameterMode,2))),2)&lt;&gt;0,MOD(INT($A56/POWER(2,LOG(SC_ViewMode,2))),2)&lt;&gt;0)))</f>
        <v>0</v>
      </c>
      <c r="F56" s="161">
        <f t="shared" si="19"/>
        <v>1</v>
      </c>
      <c r="G56" s="161">
        <f t="shared" si="17"/>
        <v>0</v>
      </c>
      <c r="H56" s="162">
        <f t="shared" si="18"/>
        <v>1</v>
      </c>
      <c r="I56" s="502"/>
      <c r="J56" s="546"/>
      <c r="K56" s="136">
        <f t="shared" si="22"/>
        <v>92</v>
      </c>
      <c r="L56" s="58">
        <v>92</v>
      </c>
      <c r="M56" s="186"/>
    </row>
    <row r="57" spans="1:17" hidden="1" x14ac:dyDescent="0.25">
      <c r="A57">
        <f t="shared" si="20"/>
        <v>48</v>
      </c>
      <c r="C57" s="550"/>
      <c r="D57" s="157" t="str">
        <f t="shared" si="21"/>
        <v/>
      </c>
      <c r="E57" s="170" t="b">
        <f>IF(SC_ViewMode=VMWIPED,FALSE,IF(SC_ViewMode=VMDEBUG,TRUE,AND(MOD(INT($A57/POWER(2,LOG(SC_ParameterMode,2))),2)&lt;&gt;0,MOD(INT($A57/POWER(2,LOG(SC_ViewMode,2))),2)&lt;&gt;0)))</f>
        <v>0</v>
      </c>
      <c r="F57" s="158">
        <f t="shared" si="19"/>
        <v>2</v>
      </c>
      <c r="G57" s="158">
        <f t="shared" si="17"/>
        <v>0</v>
      </c>
      <c r="H57" s="159">
        <f t="shared" si="18"/>
        <v>-1</v>
      </c>
      <c r="I57" s="502"/>
      <c r="J57" s="546"/>
      <c r="K57" s="136">
        <f t="shared" si="22"/>
        <v>92</v>
      </c>
      <c r="L57" s="58">
        <v>92</v>
      </c>
      <c r="M57" s="186"/>
    </row>
    <row r="58" spans="1:17" s="339" customFormat="1" hidden="1" x14ac:dyDescent="0.25">
      <c r="A58" s="339">
        <f>PMADVANCED+IF(AND(SP_SSRIB,INDEX(SC_ShowRetireatee,1),INDEX(SC_ShowRetireatee,2)), VMONLINE+VMMACRO, 0)</f>
        <v>32</v>
      </c>
      <c r="B58" s="340"/>
      <c r="C58" s="566" t="s">
        <v>1010</v>
      </c>
      <c r="D58" s="160" t="str">
        <f t="shared" ref="D58:D59" si="23">INDEX(SP_Initials,F58)</f>
        <v/>
      </c>
      <c r="E58" s="169" t="b">
        <f>IF(SC_ViewMode=VMWIPED,FALSE,IF(SC_ViewMode=VMDEBUG,TRUE,AND(MOD(INT($A58/POWER(2,LOG(SC_ParameterMode,2))),2)&lt;&gt;0,MOD(INT($A58/POWER(2,LOG(SC_ViewMode,2))),2)&lt;&gt;0)))</f>
        <v>0</v>
      </c>
      <c r="F58" s="161">
        <f t="shared" ref="F58:F145" si="24">MOD(ROW()-ROW($F$50),2)+1</f>
        <v>1</v>
      </c>
      <c r="G58" s="161">
        <f>INDEX(SC_TaxIndex,$F58)</f>
        <v>0</v>
      </c>
      <c r="H58" s="162">
        <f>MOD($F58,2)-($F58-1)</f>
        <v>1</v>
      </c>
      <c r="I58" s="377">
        <f>IF(AND(INDEX(SC_ShowRetireatee,1),INDEX(SC_ShowRetireatee,2)),ROUND(YEAR(INDEX(SP_BirthDate,3-$F58))+INDEX(SP_LifeExp,3-$F58)+ROUNDUP(YEARFRAC(INDEX(SP_BirthDate,$F58), DATE(YEAR(INDEX(SP_BirthDate,$F58))+1,1,1)),1)-YEAR(INDEX(SP_BirthDate,$F58)),1),LT_AnnuityMaxAge+1)</f>
        <v>121</v>
      </c>
      <c r="J58" s="546"/>
      <c r="K58" s="342"/>
      <c r="L58" s="56"/>
      <c r="M58" s="186"/>
    </row>
    <row r="59" spans="1:17" s="339" customFormat="1" hidden="1" x14ac:dyDescent="0.25">
      <c r="A59" s="339">
        <f>PMADVANCED+IF(AND(SP_SSRIB,INDEX(SC_ShowRetireatee,1),INDEX(SC_ShowRetireatee,2)), VMONLINE+VMMACRO, 0)</f>
        <v>32</v>
      </c>
      <c r="B59" s="340"/>
      <c r="C59" s="566"/>
      <c r="D59" s="157" t="str">
        <f t="shared" si="23"/>
        <v/>
      </c>
      <c r="E59" s="170" t="b">
        <f>IF(SC_ViewMode=VMWIPED,FALSE,IF(SC_ViewMode=VMDEBUG,TRUE,AND(MOD(INT($A59/POWER(2,LOG(SC_ParameterMode,2))),2)&lt;&gt;0,MOD(INT($A59/POWER(2,LOG(SC_ViewMode,2))),2)&lt;&gt;0)))</f>
        <v>0</v>
      </c>
      <c r="F59" s="158">
        <f t="shared" si="24"/>
        <v>2</v>
      </c>
      <c r="G59" s="158">
        <f>INDEX(SC_TaxIndex,$F59)</f>
        <v>0</v>
      </c>
      <c r="H59" s="159">
        <f>MOD($F59,2)-($F59-1)</f>
        <v>-1</v>
      </c>
      <c r="I59" s="377">
        <f>IF(AND(INDEX(SC_ShowRetireatee,1),INDEX(SC_ShowRetireatee,2)),ROUND(YEAR(INDEX(SP_BirthDate,3-$F59))+INDEX(SP_LifeExp,3-$F59)+ROUNDUP(YEARFRAC(INDEX(SP_BirthDate,$F59), DATE(YEAR(INDEX(SP_BirthDate,$F59))+1,1,1)),1)-YEAR(INDEX(SP_BirthDate,$F59)),1),LT_AnnuityMaxAge+1)</f>
        <v>121</v>
      </c>
      <c r="J59" s="546"/>
      <c r="K59" s="342"/>
      <c r="L59" s="56"/>
      <c r="M59" s="186"/>
    </row>
    <row r="60" spans="1:17" hidden="1" x14ac:dyDescent="0.25">
      <c r="A60">
        <f>PMBASIC+PMADVANCED+IF(INDEX(SC_ShowRetireatee,$F60), VMONLINE+VMMACRO,0)</f>
        <v>48</v>
      </c>
      <c r="C60" s="549" t="s">
        <v>693</v>
      </c>
      <c r="D60" s="160" t="str">
        <f t="shared" si="21"/>
        <v/>
      </c>
      <c r="E60" s="169" t="b">
        <f>IF(SC_ViewMode=VMWIPED,FALSE,IF(SC_ViewMode=VMDEBUG,TRUE,AND(MOD(INT($A60/POWER(2,LOG(SC_ParameterMode,2))),2)&lt;&gt;0,MOD(INT($A60/POWER(2,LOG(SC_ViewMode,2))),2)&lt;&gt;0)))</f>
        <v>0</v>
      </c>
      <c r="F60" s="161">
        <f t="shared" si="19"/>
        <v>1</v>
      </c>
      <c r="G60" s="161">
        <f t="shared" si="17"/>
        <v>0</v>
      </c>
      <c r="H60" s="162">
        <f t="shared" si="18"/>
        <v>1</v>
      </c>
      <c r="I60" s="505"/>
      <c r="J60" s="546"/>
      <c r="K60" s="136">
        <f t="shared" si="22"/>
        <v>0</v>
      </c>
      <c r="L60" s="58">
        <v>0</v>
      </c>
      <c r="M60" s="186">
        <f>IFERROR(IF($E60, IF(OR(NOT(ISNUMBER($K60)),$K60&lt;0),202,0),0),203)</f>
        <v>0</v>
      </c>
      <c r="N60" t="str">
        <f t="shared" si="0"/>
        <v/>
      </c>
    </row>
    <row r="61" spans="1:17" hidden="1" x14ac:dyDescent="0.25">
      <c r="A61">
        <f>PMBASIC+PMADVANCED+IF(INDEX(SC_ShowRetireatee,$F61), VMONLINE+VMMACRO,0)</f>
        <v>48</v>
      </c>
      <c r="C61" s="551"/>
      <c r="D61" s="163" t="str">
        <f t="shared" si="21"/>
        <v/>
      </c>
      <c r="E61" s="173" t="b">
        <f>IF(SC_ViewMode=VMWIPED,FALSE,IF(SC_ViewMode=VMDEBUG,TRUE,AND(MOD(INT($A61/POWER(2,LOG(SC_ParameterMode,2))),2)&lt;&gt;0,MOD(INT($A61/POWER(2,LOG(SC_ViewMode,2))),2)&lt;&gt;0)))</f>
        <v>0</v>
      </c>
      <c r="F61" s="164">
        <f t="shared" si="19"/>
        <v>2</v>
      </c>
      <c r="G61" s="164">
        <f t="shared" si="17"/>
        <v>0</v>
      </c>
      <c r="H61" s="165">
        <f t="shared" si="18"/>
        <v>-1</v>
      </c>
      <c r="I61" s="529"/>
      <c r="J61" s="548"/>
      <c r="K61" s="136">
        <f t="shared" si="22"/>
        <v>0</v>
      </c>
      <c r="L61" s="58">
        <v>0</v>
      </c>
      <c r="M61" s="186">
        <f>IFERROR(IF($E61, IF(OR(NOT(ISNUMBER($K61)),$K61&lt;0),202,0),0),203)</f>
        <v>0</v>
      </c>
      <c r="N61" t="str">
        <f t="shared" si="0"/>
        <v/>
      </c>
    </row>
    <row r="62" spans="1:17" ht="15" hidden="1" customHeight="1" x14ac:dyDescent="0.25">
      <c r="A62">
        <f>PMBASIC+PMADVANCED+IF(AND(SP_EI,INDEX(SC_ShowRetireatee,$F62)), VMONLINE+VMMACRO, 0)</f>
        <v>48</v>
      </c>
      <c r="B62" s="607" t="s">
        <v>34</v>
      </c>
      <c r="C62" s="564" t="s">
        <v>817</v>
      </c>
      <c r="D62" s="154" t="str">
        <f>INDEX(SP_Initials,F62)</f>
        <v/>
      </c>
      <c r="E62" s="172" t="b">
        <f>IF(SC_ViewMode=VMWIPED,FALSE,IF(SC_ViewMode=VMDEBUG,TRUE,AND(MOD(INT($A62/POWER(2,LOG(SC_ParameterMode,2))),2)&lt;&gt;0,MOD(INT($A62/POWER(2,LOG(SC_ViewMode,2))),2)&lt;&gt;0)))</f>
        <v>0</v>
      </c>
      <c r="F62" s="155">
        <f>MOD(ROW()-ROW($F$50),2)+1</f>
        <v>1</v>
      </c>
      <c r="G62" s="155">
        <f t="shared" si="17"/>
        <v>0</v>
      </c>
      <c r="H62" s="156">
        <f t="shared" si="18"/>
        <v>1</v>
      </c>
      <c r="I62" s="503">
        <f ca="1">IF(SC_ViewMode=VMONLINE, INDEX(IV_IncomeEmployer,$F62),HYPERLINK(IV_WBNAME&amp;ADDRESS(ROW(INDEX(IV_IncomeEmployer,$F62)),COLUMN(INDEX(IV_IncomeEmployer,$F62)),,,"Income"),INDEX(IV_IncomeEmployer,$F62)))</f>
        <v>0</v>
      </c>
      <c r="J62" s="573"/>
      <c r="K62" s="136"/>
      <c r="L62" s="56"/>
      <c r="M62" s="186"/>
    </row>
    <row r="63" spans="1:17" ht="15" hidden="1" customHeight="1" x14ac:dyDescent="0.25">
      <c r="A63">
        <f>PMBASIC+PMADVANCED+IF(AND(SP_EI,INDEX(SC_ShowRetireatee,$F63)), VMONLINE+VMMACRO, 0)</f>
        <v>48</v>
      </c>
      <c r="B63" s="608"/>
      <c r="C63" s="550"/>
      <c r="D63" s="166" t="str">
        <f>INDEX(SP_Initials,F63)</f>
        <v/>
      </c>
      <c r="E63" s="171" t="b">
        <f>IF(SC_ViewMode=VMWIPED,FALSE,IF(SC_ViewMode=VMDEBUG,TRUE,AND(MOD(INT($A63/POWER(2,LOG(SC_ParameterMode,2))),2)&lt;&gt;0,MOD(INT($A63/POWER(2,LOG(SC_ViewMode,2))),2)&lt;&gt;0)))</f>
        <v>0</v>
      </c>
      <c r="F63" s="167">
        <f t="shared" si="19"/>
        <v>2</v>
      </c>
      <c r="G63" s="167">
        <f t="shared" si="17"/>
        <v>0</v>
      </c>
      <c r="H63" s="168">
        <f t="shared" si="18"/>
        <v>-1</v>
      </c>
      <c r="I63" s="503">
        <f ca="1">IF(SC_ViewMode=VMONLINE, INDEX(IV_IncomeEmployer,$F63),HYPERLINK(IV_WBNAME&amp;ADDRESS(ROW(INDEX(IV_IncomeEmployer,$F63)),COLUMN(INDEX(IV_IncomeEmployer,$F63)),,,"Income"),INDEX(IV_IncomeEmployer,$F63)))</f>
        <v>0</v>
      </c>
      <c r="J63" s="556"/>
      <c r="K63" s="136"/>
      <c r="L63" s="56"/>
      <c r="M63" s="186"/>
    </row>
    <row r="64" spans="1:17" hidden="1" x14ac:dyDescent="0.25">
      <c r="A64">
        <f>PMBASIC+PMADVANCED+IF(AND(SP_EI,INDEX(SC_ShowRetireatee,$F64)), VMONLINE+VMMACRO, 0)</f>
        <v>48</v>
      </c>
      <c r="B64" s="608"/>
      <c r="C64" s="549" t="s">
        <v>832</v>
      </c>
      <c r="D64" s="160" t="str">
        <f>INDEX(SP_Initials,F64)</f>
        <v/>
      </c>
      <c r="E64" s="169" t="b">
        <f>IF(SC_ViewMode=VMWIPED,FALSE,IF(SC_ViewMode=VMDEBUG,TRUE,AND(MOD(INT($A64/POWER(2,LOG(SC_ParameterMode,2))),2)&lt;&gt;0,MOD(INT($A64/POWER(2,LOG(SC_ViewMode,2))),2)&lt;&gt;0)))</f>
        <v>0</v>
      </c>
      <c r="F64" s="161">
        <f t="shared" si="19"/>
        <v>1</v>
      </c>
      <c r="G64" s="161">
        <f>INDEX(SC_TaxIndex,$F64)</f>
        <v>0</v>
      </c>
      <c r="H64" s="162">
        <f>MOD($F64,2)-($F64-1)</f>
        <v>1</v>
      </c>
      <c r="I64" s="477"/>
      <c r="J64" s="571" t="s">
        <v>805</v>
      </c>
      <c r="K64" s="131">
        <f>IF(IF(COLUMN()=COLUMN(I64),TRUE,ISBLANK(I64)), L64, I64)</f>
        <v>0</v>
      </c>
      <c r="L64" s="57">
        <v>0</v>
      </c>
      <c r="M64" s="186">
        <f>IFERROR(IF($E64, IF(OR(NOT(ISNUMBER($K64)),$K64&lt;-1,$K64&gt;1),201,0), 0),203)</f>
        <v>0</v>
      </c>
      <c r="N64" t="str">
        <f>IFERROR(VLOOKUP(M64,IV_CodeTable,2,FALSE),"")</f>
        <v/>
      </c>
    </row>
    <row r="65" spans="1:14" hidden="1" x14ac:dyDescent="0.25">
      <c r="A65">
        <f>PMBASIC+PMADVANCED+IF(AND(SP_EI,INDEX(SC_ShowRetireatee,$F65)), VMONLINE+VMMACRO, 0)</f>
        <v>48</v>
      </c>
      <c r="B65" s="608"/>
      <c r="C65" s="550"/>
      <c r="D65" s="157" t="str">
        <f>INDEX(SP_Initials,F65)</f>
        <v/>
      </c>
      <c r="E65" s="170" t="b">
        <f>IF(SC_ViewMode=VMWIPED,FALSE,IF(SC_ViewMode=VMDEBUG,TRUE,AND(MOD(INT($A65/POWER(2,LOG(SC_ParameterMode,2))),2)&lt;&gt;0,MOD(INT($A65/POWER(2,LOG(SC_ViewMode,2))),2)&lt;&gt;0)))</f>
        <v>0</v>
      </c>
      <c r="F65" s="158">
        <f t="shared" si="19"/>
        <v>2</v>
      </c>
      <c r="G65" s="158">
        <f>INDEX(SC_TaxIndex,$F65)</f>
        <v>0</v>
      </c>
      <c r="H65" s="159">
        <f>MOD($F65,2)-($F65-1)</f>
        <v>-1</v>
      </c>
      <c r="I65" s="477"/>
      <c r="J65" s="571"/>
      <c r="K65" s="131">
        <f>IF(IF(COLUMN()=COLUMN(I65),TRUE,ISBLANK(I65)), L65, I65)</f>
        <v>0</v>
      </c>
      <c r="L65" s="57">
        <v>0</v>
      </c>
      <c r="M65" s="186">
        <f>IFERROR(IF($E65, IF(OR(NOT(ISNUMBER($K65)),$K65&lt;-1,$K65&gt;1),201,0), 0),203)</f>
        <v>0</v>
      </c>
      <c r="N65" t="str">
        <f>IFERROR(VLOOKUP(M65,IV_CodeTable,2,FALSE),"")</f>
        <v/>
      </c>
    </row>
    <row r="66" spans="1:14" hidden="1" x14ac:dyDescent="0.25">
      <c r="A66">
        <f t="shared" ref="A66:A73" si="25">PMADVANCED+IF(AND(SP_EI,INDEX(SC_ShowRetireatee,$F66)), VMONLINE+VMMACRO, 0)</f>
        <v>32</v>
      </c>
      <c r="B66" s="608"/>
      <c r="C66" s="549" t="s">
        <v>809</v>
      </c>
      <c r="D66" s="181" t="str">
        <f t="shared" ref="D66:D87" si="26">INDEX(SP_Initials,F66)</f>
        <v/>
      </c>
      <c r="E66" s="184" t="b">
        <f>IF(SC_ViewMode=VMWIPED,FALSE,IF(SC_ViewMode=VMDEBUG,TRUE,AND(MOD(INT($A66/POWER(2,LOG(SC_ParameterMode,2))),2)&lt;&gt;0,MOD(INT($A66/POWER(2,LOG(SC_ViewMode,2))),2)&lt;&gt;0)))</f>
        <v>0</v>
      </c>
      <c r="F66" s="182">
        <f t="shared" si="19"/>
        <v>1</v>
      </c>
      <c r="G66" s="182">
        <f t="shared" si="17"/>
        <v>0</v>
      </c>
      <c r="H66" s="183">
        <f t="shared" si="18"/>
        <v>1</v>
      </c>
      <c r="I66" s="508"/>
      <c r="J66" s="556"/>
      <c r="K66" s="135" t="str">
        <f>IF(IF(COLUMN()=COLUMN(I66),TRUE,ISBLANK(I66)), L66, I66)</f>
        <v/>
      </c>
      <c r="L66" s="57" t="str">
        <f>""</f>
        <v/>
      </c>
      <c r="M66" s="186">
        <f>IF($E66, IF($K66="",0,IF(ISERROR(DATEVALUE(TEXT($K66,"mm/dd/yyyy"))),200,0)), 0)</f>
        <v>0</v>
      </c>
      <c r="N66" t="str">
        <f t="shared" si="0"/>
        <v/>
      </c>
    </row>
    <row r="67" spans="1:14" hidden="1" x14ac:dyDescent="0.25">
      <c r="A67">
        <f t="shared" si="25"/>
        <v>32</v>
      </c>
      <c r="B67" s="608"/>
      <c r="C67" s="550"/>
      <c r="D67" s="157" t="str">
        <f t="shared" si="26"/>
        <v/>
      </c>
      <c r="E67" s="170" t="b">
        <f>IF(SC_ViewMode=VMWIPED,FALSE,IF(SC_ViewMode=VMDEBUG,TRUE,AND(MOD(INT($A67/POWER(2,LOG(SC_ParameterMode,2))),2)&lt;&gt;0,MOD(INT($A67/POWER(2,LOG(SC_ViewMode,2))),2)&lt;&gt;0)))</f>
        <v>0</v>
      </c>
      <c r="F67" s="158">
        <f t="shared" si="19"/>
        <v>2</v>
      </c>
      <c r="G67" s="158">
        <f t="shared" si="17"/>
        <v>0</v>
      </c>
      <c r="H67" s="159">
        <f t="shared" si="18"/>
        <v>-1</v>
      </c>
      <c r="I67" s="532"/>
      <c r="J67" s="552"/>
      <c r="K67" s="135" t="str">
        <f>IF(IF(COLUMN()=COLUMN(I67),TRUE,ISBLANK(I67)), L67, I67)</f>
        <v/>
      </c>
      <c r="L67" s="57" t="str">
        <f>""</f>
        <v/>
      </c>
      <c r="M67" s="186">
        <f>IF($E67, IF($K67="",0,IF(ISERROR(DATEVALUE(TEXT($K67,"mm/dd/yyyy"))),200,0)), 0)</f>
        <v>0</v>
      </c>
      <c r="N67" t="str">
        <f t="shared" si="0"/>
        <v/>
      </c>
    </row>
    <row r="68" spans="1:14" hidden="1" x14ac:dyDescent="0.25">
      <c r="A68">
        <f t="shared" si="25"/>
        <v>32</v>
      </c>
      <c r="B68" s="608"/>
      <c r="C68" s="549" t="s">
        <v>808</v>
      </c>
      <c r="D68" s="160" t="str">
        <f t="shared" si="26"/>
        <v/>
      </c>
      <c r="E68" s="169" t="b">
        <f>IF(SC_ViewMode=VMWIPED,FALSE,IF(SC_ViewMode=VMDEBUG,TRUE,AND(MOD(INT($A68/POWER(2,LOG(SC_ParameterMode,2))),2)&lt;&gt;0,MOD(INT($A68/POWER(2,LOG(SC_ViewMode,2))),2)&lt;&gt;0)))</f>
        <v>0</v>
      </c>
      <c r="F68" s="161">
        <f t="shared" si="19"/>
        <v>1</v>
      </c>
      <c r="G68" s="161">
        <f t="shared" si="17"/>
        <v>0</v>
      </c>
      <c r="H68" s="162">
        <f t="shared" si="18"/>
        <v>1</v>
      </c>
      <c r="I68" s="509"/>
      <c r="J68" s="576" t="s">
        <v>756</v>
      </c>
      <c r="K68" s="136">
        <f t="shared" ref="K68:K87" si="27">IF(IF(COLUMN()=COLUMN(I68),TRUE,ISBLANK(I68)), L68, I68)</f>
        <v>0</v>
      </c>
      <c r="L68" s="58">
        <v>0</v>
      </c>
      <c r="M68" s="186">
        <f>IFERROR(IF($E68, IF(OR(NOT(ISNUMBER($K68)),$K68&lt;0),202,0),0),203)</f>
        <v>0</v>
      </c>
      <c r="N68" t="str">
        <f t="shared" si="0"/>
        <v/>
      </c>
    </row>
    <row r="69" spans="1:14" hidden="1" x14ac:dyDescent="0.25">
      <c r="A69">
        <f t="shared" si="25"/>
        <v>32</v>
      </c>
      <c r="B69" s="608"/>
      <c r="C69" s="550"/>
      <c r="D69" s="157" t="str">
        <f t="shared" si="26"/>
        <v/>
      </c>
      <c r="E69" s="170" t="b">
        <f>IF(SC_ViewMode=VMWIPED,FALSE,IF(SC_ViewMode=VMDEBUG,TRUE,AND(MOD(INT($A69/POWER(2,LOG(SC_ParameterMode,2))),2)&lt;&gt;0,MOD(INT($A69/POWER(2,LOG(SC_ViewMode,2))),2)&lt;&gt;0)))</f>
        <v>0</v>
      </c>
      <c r="F69" s="158">
        <f t="shared" si="19"/>
        <v>2</v>
      </c>
      <c r="G69" s="158">
        <f t="shared" si="17"/>
        <v>0</v>
      </c>
      <c r="H69" s="159">
        <f t="shared" si="18"/>
        <v>-1</v>
      </c>
      <c r="I69" s="509"/>
      <c r="J69" s="552"/>
      <c r="K69" s="136">
        <f t="shared" si="27"/>
        <v>0</v>
      </c>
      <c r="L69" s="58">
        <v>0</v>
      </c>
      <c r="M69" s="186">
        <f>IFERROR(IF($E69, IF(OR(NOT(ISNUMBER($K69)),$K69&lt;0),202,0),0),203)</f>
        <v>0</v>
      </c>
      <c r="N69" t="str">
        <f t="shared" si="0"/>
        <v/>
      </c>
    </row>
    <row r="70" spans="1:14" hidden="1" x14ac:dyDescent="0.25">
      <c r="A70">
        <f t="shared" si="25"/>
        <v>32</v>
      </c>
      <c r="B70" s="608"/>
      <c r="C70" s="549" t="s">
        <v>810</v>
      </c>
      <c r="D70" s="160" t="str">
        <f t="shared" si="26"/>
        <v/>
      </c>
      <c r="E70" s="169" t="b">
        <f>IF(SC_ViewMode=VMWIPED,FALSE,IF(SC_ViewMode=VMDEBUG,TRUE,AND(MOD(INT($A70/POWER(2,LOG(SC_ParameterMode,2))),2)&lt;&gt;0,MOD(INT($A70/POWER(2,LOG(SC_ViewMode,2))),2)&lt;&gt;0)))</f>
        <v>0</v>
      </c>
      <c r="F70" s="161">
        <f t="shared" si="19"/>
        <v>1</v>
      </c>
      <c r="G70" s="161">
        <f t="shared" si="17"/>
        <v>0</v>
      </c>
      <c r="H70" s="162">
        <f t="shared" si="18"/>
        <v>1</v>
      </c>
      <c r="I70" s="477"/>
      <c r="J70" s="576" t="s">
        <v>806</v>
      </c>
      <c r="K70" s="131">
        <f t="shared" si="27"/>
        <v>0</v>
      </c>
      <c r="L70" s="57">
        <v>0</v>
      </c>
      <c r="M70" s="186">
        <f>IFERROR(IF($E70, IF(OR(NOT(ISNUMBER($K70)),$K70&lt;0,$K70&gt;1),201,0), 0),203)</f>
        <v>0</v>
      </c>
      <c r="N70" t="str">
        <f t="shared" si="0"/>
        <v/>
      </c>
    </row>
    <row r="71" spans="1:14" hidden="1" x14ac:dyDescent="0.25">
      <c r="A71">
        <f t="shared" si="25"/>
        <v>32</v>
      </c>
      <c r="B71" s="608"/>
      <c r="C71" s="553"/>
      <c r="D71" s="166" t="str">
        <f t="shared" si="26"/>
        <v/>
      </c>
      <c r="E71" s="171" t="b">
        <f>IF(SC_ViewMode=VMWIPED,FALSE,IF(SC_ViewMode=VMDEBUG,TRUE,AND(MOD(INT($A71/POWER(2,LOG(SC_ParameterMode,2))),2)&lt;&gt;0,MOD(INT($A71/POWER(2,LOG(SC_ViewMode,2))),2)&lt;&gt;0)))</f>
        <v>0</v>
      </c>
      <c r="F71" s="167">
        <f t="shared" si="19"/>
        <v>2</v>
      </c>
      <c r="G71" s="167">
        <f t="shared" si="17"/>
        <v>0</v>
      </c>
      <c r="H71" s="168">
        <f t="shared" si="18"/>
        <v>-1</v>
      </c>
      <c r="I71" s="477"/>
      <c r="J71" s="556"/>
      <c r="K71" s="131">
        <f t="shared" si="27"/>
        <v>0</v>
      </c>
      <c r="L71" s="57">
        <v>0</v>
      </c>
      <c r="M71" s="186">
        <f>IFERROR(IF($E71, IF(OR(NOT(ISNUMBER($K71)),$K71&lt;0,$K71&gt;1),201,0), 0),203)</f>
        <v>0</v>
      </c>
      <c r="N71" t="str">
        <f t="shared" si="0"/>
        <v/>
      </c>
    </row>
    <row r="72" spans="1:14" hidden="1" x14ac:dyDescent="0.25">
      <c r="A72">
        <f t="shared" si="25"/>
        <v>32</v>
      </c>
      <c r="B72" s="608"/>
      <c r="C72" s="549" t="s">
        <v>912</v>
      </c>
      <c r="D72" s="181" t="str">
        <f t="shared" ref="D72:D73" si="28">INDEX(SP_Initials,F72)</f>
        <v/>
      </c>
      <c r="E72" s="183" t="b">
        <f>IF(SC_ViewMode=VMWIPED,FALSE,IF(SC_ViewMode=VMDEBUG,TRUE,AND(MOD(INT($A72/POWER(2,LOG(SC_ParameterMode,2))),2)&lt;&gt;0,MOD(INT($A72/POWER(2,LOG(SC_ViewMode,2))),2)&lt;&gt;0)))</f>
        <v>0</v>
      </c>
      <c r="F72" s="525">
        <f t="shared" si="19"/>
        <v>1</v>
      </c>
      <c r="G72" s="182">
        <f t="shared" si="17"/>
        <v>0</v>
      </c>
      <c r="H72" s="183">
        <f t="shared" si="18"/>
        <v>1</v>
      </c>
      <c r="I72" s="557"/>
      <c r="J72" s="558"/>
      <c r="K72" s="256" t="str">
        <f t="shared" ref="K72:K73" si="29">IF(IF(COLUMN()=COLUMN(I72),TRUE,ISBLANK(I72)), L72, I72)</f>
        <v>Annuity</v>
      </c>
      <c r="L72" s="231" t="s">
        <v>871</v>
      </c>
      <c r="M72" s="186"/>
    </row>
    <row r="73" spans="1:14" hidden="1" x14ac:dyDescent="0.25">
      <c r="A73">
        <f t="shared" si="25"/>
        <v>32</v>
      </c>
      <c r="B73" s="608"/>
      <c r="C73" s="553"/>
      <c r="D73" s="163" t="str">
        <f t="shared" si="28"/>
        <v/>
      </c>
      <c r="E73" s="165" t="b">
        <f>IF(SC_ViewMode=VMWIPED,FALSE,IF(SC_ViewMode=VMDEBUG,TRUE,AND(MOD(INT($A73/POWER(2,LOG(SC_ParameterMode,2))),2)&lt;&gt;0,MOD(INT($A73/POWER(2,LOG(SC_ViewMode,2))),2)&lt;&gt;0)))</f>
        <v>0</v>
      </c>
      <c r="F73" s="526">
        <f t="shared" si="19"/>
        <v>2</v>
      </c>
      <c r="G73" s="164">
        <f t="shared" si="17"/>
        <v>0</v>
      </c>
      <c r="H73" s="165">
        <f t="shared" si="18"/>
        <v>-1</v>
      </c>
      <c r="I73" s="574"/>
      <c r="J73" s="575"/>
      <c r="K73" s="256" t="str">
        <f t="shared" si="29"/>
        <v>Annuity</v>
      </c>
      <c r="L73" s="231" t="s">
        <v>871</v>
      </c>
      <c r="M73" s="186"/>
    </row>
    <row r="74" spans="1:14" hidden="1" x14ac:dyDescent="0.25">
      <c r="A74">
        <f t="shared" ref="A74:A87" si="30">PMBASIC+PMADVANCED+IF(AND(SP_EI,INDEX(SC_ShowRetireatee,$F74)), VMONLINE+VMMACRO, 0)</f>
        <v>48</v>
      </c>
      <c r="B74" s="608"/>
      <c r="C74" s="564" t="s">
        <v>1004</v>
      </c>
      <c r="D74" s="154" t="str">
        <f t="shared" si="26"/>
        <v/>
      </c>
      <c r="E74" s="172" t="b">
        <f>IF(SC_ViewMode=VMWIPED,FALSE,IF(SC_ViewMode=VMDEBUG,TRUE,AND(MOD(INT($A74/POWER(2,LOG(SC_ParameterMode,2))),2)&lt;&gt;0,MOD(INT($A74/POWER(2,LOG(SC_ViewMode,2))),2)&lt;&gt;0)))</f>
        <v>0</v>
      </c>
      <c r="F74" s="155">
        <f t="shared" si="19"/>
        <v>1</v>
      </c>
      <c r="G74" s="155">
        <f t="shared" si="17"/>
        <v>0</v>
      </c>
      <c r="H74" s="156">
        <f t="shared" si="18"/>
        <v>1</v>
      </c>
      <c r="I74" s="484"/>
      <c r="J74" s="579" t="s">
        <v>803</v>
      </c>
      <c r="K74" s="131">
        <f t="shared" si="27"/>
        <v>0</v>
      </c>
      <c r="L74" s="57">
        <v>0</v>
      </c>
      <c r="M74" s="186">
        <f>IFERROR(IF($E74, IF(OR(NOT(ISNUMBER($K74)),$K74&lt;0,$K74&gt;1),201,0), 0),203)</f>
        <v>0</v>
      </c>
      <c r="N74" t="str">
        <f t="shared" si="0"/>
        <v/>
      </c>
    </row>
    <row r="75" spans="1:14" hidden="1" x14ac:dyDescent="0.25">
      <c r="A75">
        <f t="shared" si="30"/>
        <v>48</v>
      </c>
      <c r="B75" s="608"/>
      <c r="C75" s="550"/>
      <c r="D75" s="157" t="str">
        <f t="shared" si="26"/>
        <v/>
      </c>
      <c r="E75" s="170" t="b">
        <f>IF(SC_ViewMode=VMWIPED,FALSE,IF(SC_ViewMode=VMDEBUG,TRUE,AND(MOD(INT($A75/POWER(2,LOG(SC_ParameterMode,2))),2)&lt;&gt;0,MOD(INT($A75/POWER(2,LOG(SC_ViewMode,2))),2)&lt;&gt;0)))</f>
        <v>0</v>
      </c>
      <c r="F75" s="158">
        <f t="shared" si="19"/>
        <v>2</v>
      </c>
      <c r="G75" s="158">
        <f t="shared" si="17"/>
        <v>0</v>
      </c>
      <c r="H75" s="159">
        <f t="shared" si="18"/>
        <v>-1</v>
      </c>
      <c r="I75" s="477"/>
      <c r="J75" s="552"/>
      <c r="K75" s="131">
        <f t="shared" si="27"/>
        <v>0</v>
      </c>
      <c r="L75" s="57">
        <v>0</v>
      </c>
      <c r="M75" s="186">
        <f>IFERROR(IF($E75, IF(OR(NOT(ISNUMBER($K75)),$K75&lt;0,$K75&gt;1),201,0), 0),203)</f>
        <v>0</v>
      </c>
      <c r="N75" t="str">
        <f t="shared" si="0"/>
        <v/>
      </c>
    </row>
    <row r="76" spans="1:14" hidden="1" x14ac:dyDescent="0.25">
      <c r="A76">
        <f t="shared" si="30"/>
        <v>48</v>
      </c>
      <c r="B76" s="608"/>
      <c r="C76" s="549" t="s">
        <v>676</v>
      </c>
      <c r="D76" s="160" t="str">
        <f t="shared" si="26"/>
        <v/>
      </c>
      <c r="E76" s="169" t="b">
        <f>IF(SC_ViewMode=VMWIPED,FALSE,IF(SC_ViewMode=VMDEBUG,TRUE,AND(MOD(INT($A76/POWER(2,LOG(SC_ParameterMode,2))),2)&lt;&gt;0,MOD(INT($A76/POWER(2,LOG(SC_ViewMode,2))),2)&lt;&gt;0)))</f>
        <v>0</v>
      </c>
      <c r="F76" s="161">
        <f t="shared" si="19"/>
        <v>1</v>
      </c>
      <c r="G76" s="161">
        <f t="shared" si="17"/>
        <v>0</v>
      </c>
      <c r="H76" s="162">
        <f t="shared" si="18"/>
        <v>1</v>
      </c>
      <c r="I76" s="478"/>
      <c r="J76" s="576"/>
      <c r="K76" s="64">
        <f t="shared" si="27"/>
        <v>0</v>
      </c>
      <c r="L76" s="61">
        <v>0</v>
      </c>
      <c r="M76" s="186">
        <f>IFERROR(IF($E76, IF(OR(NOT(ISNUMBER($K76)),$K76&lt;0),202,0),0),203)</f>
        <v>0</v>
      </c>
      <c r="N76" t="str">
        <f t="shared" si="0"/>
        <v/>
      </c>
    </row>
    <row r="77" spans="1:14" hidden="1" x14ac:dyDescent="0.25">
      <c r="A77">
        <f t="shared" si="30"/>
        <v>48</v>
      </c>
      <c r="B77" s="608"/>
      <c r="C77" s="550"/>
      <c r="D77" s="157" t="str">
        <f t="shared" si="26"/>
        <v/>
      </c>
      <c r="E77" s="170" t="b">
        <f>IF(SC_ViewMode=VMWIPED,FALSE,IF(SC_ViewMode=VMDEBUG,TRUE,AND(MOD(INT($A77/POWER(2,LOG(SC_ParameterMode,2))),2)&lt;&gt;0,MOD(INT($A77/POWER(2,LOG(SC_ViewMode,2))),2)&lt;&gt;0)))</f>
        <v>0</v>
      </c>
      <c r="F77" s="158">
        <f t="shared" si="19"/>
        <v>2</v>
      </c>
      <c r="G77" s="158">
        <f t="shared" si="17"/>
        <v>0</v>
      </c>
      <c r="H77" s="159">
        <f t="shared" si="18"/>
        <v>-1</v>
      </c>
      <c r="I77" s="478"/>
      <c r="J77" s="552"/>
      <c r="K77" s="64">
        <f t="shared" si="27"/>
        <v>0</v>
      </c>
      <c r="L77" s="61">
        <v>0</v>
      </c>
      <c r="M77" s="186">
        <f>IFERROR(IF($E77, IF(OR(NOT(ISNUMBER($K77)),$K77&lt;0),202,0),0),203)</f>
        <v>0</v>
      </c>
      <c r="N77" t="str">
        <f t="shared" si="0"/>
        <v/>
      </c>
    </row>
    <row r="78" spans="1:14" hidden="1" x14ac:dyDescent="0.25">
      <c r="A78">
        <f t="shared" si="30"/>
        <v>48</v>
      </c>
      <c r="B78" s="608"/>
      <c r="C78" s="549" t="s">
        <v>675</v>
      </c>
      <c r="D78" s="160" t="str">
        <f t="shared" si="26"/>
        <v/>
      </c>
      <c r="E78" s="169" t="b">
        <f>IF(SC_ViewMode=VMWIPED,FALSE,IF(SC_ViewMode=VMDEBUG,TRUE,AND(MOD(INT($A78/POWER(2,LOG(SC_ParameterMode,2))),2)&lt;&gt;0,MOD(INT($A78/POWER(2,LOG(SC_ViewMode,2))),2)&lt;&gt;0)))</f>
        <v>0</v>
      </c>
      <c r="F78" s="161">
        <f t="shared" si="19"/>
        <v>1</v>
      </c>
      <c r="G78" s="161">
        <f t="shared" si="17"/>
        <v>0</v>
      </c>
      <c r="H78" s="162">
        <f t="shared" si="18"/>
        <v>1</v>
      </c>
      <c r="I78" s="477"/>
      <c r="J78" s="576" t="s">
        <v>803</v>
      </c>
      <c r="K78" s="131">
        <f t="shared" si="27"/>
        <v>0</v>
      </c>
      <c r="L78" s="57">
        <v>0</v>
      </c>
      <c r="M78" s="186">
        <f>IFERROR(IF($E78, IF(OR(NOT(ISNUMBER($K78)),$K78&lt;0,$K78&gt;1),201,0), 0),203)</f>
        <v>0</v>
      </c>
      <c r="N78" t="str">
        <f t="shared" si="0"/>
        <v/>
      </c>
    </row>
    <row r="79" spans="1:14" hidden="1" x14ac:dyDescent="0.25">
      <c r="A79">
        <f t="shared" si="30"/>
        <v>48</v>
      </c>
      <c r="B79" s="608"/>
      <c r="C79" s="550"/>
      <c r="D79" s="157" t="str">
        <f t="shared" si="26"/>
        <v/>
      </c>
      <c r="E79" s="170" t="b">
        <f>IF(SC_ViewMode=VMWIPED,FALSE,IF(SC_ViewMode=VMDEBUG,TRUE,AND(MOD(INT($A79/POWER(2,LOG(SC_ParameterMode,2))),2)&lt;&gt;0,MOD(INT($A79/POWER(2,LOG(SC_ViewMode,2))),2)&lt;&gt;0)))</f>
        <v>0</v>
      </c>
      <c r="F79" s="158">
        <f t="shared" si="19"/>
        <v>2</v>
      </c>
      <c r="G79" s="158">
        <f t="shared" si="17"/>
        <v>0</v>
      </c>
      <c r="H79" s="159">
        <f t="shared" si="18"/>
        <v>-1</v>
      </c>
      <c r="I79" s="477"/>
      <c r="J79" s="552"/>
      <c r="K79" s="131">
        <f t="shared" si="27"/>
        <v>0</v>
      </c>
      <c r="L79" s="57">
        <v>0</v>
      </c>
      <c r="M79" s="186">
        <f>IFERROR(IF($E79, IF(OR(NOT(ISNUMBER($K79)),$K79&lt;0,$K79&gt;1),201,0), 0),203)</f>
        <v>0</v>
      </c>
      <c r="N79" t="str">
        <f t="shared" si="0"/>
        <v/>
      </c>
    </row>
    <row r="80" spans="1:14" hidden="1" x14ac:dyDescent="0.25">
      <c r="A80">
        <f t="shared" si="30"/>
        <v>48</v>
      </c>
      <c r="B80" s="608"/>
      <c r="C80" s="549" t="s">
        <v>1005</v>
      </c>
      <c r="D80" s="160" t="str">
        <f t="shared" si="26"/>
        <v/>
      </c>
      <c r="E80" s="169" t="b">
        <f>IF(SC_ViewMode=VMWIPED,FALSE,IF(SC_ViewMode=VMDEBUG,TRUE,AND(MOD(INT($A80/POWER(2,LOG(SC_ParameterMode,2))),2)&lt;&gt;0,MOD(INT($A80/POWER(2,LOG(SC_ViewMode,2))),2)&lt;&gt;0)))</f>
        <v>0</v>
      </c>
      <c r="F80" s="161">
        <f t="shared" si="19"/>
        <v>1</v>
      </c>
      <c r="G80" s="161">
        <f t="shared" si="17"/>
        <v>0</v>
      </c>
      <c r="H80" s="162">
        <f t="shared" si="18"/>
        <v>1</v>
      </c>
      <c r="I80" s="477"/>
      <c r="J80" s="576" t="s">
        <v>803</v>
      </c>
      <c r="K80" s="131">
        <f t="shared" si="27"/>
        <v>0</v>
      </c>
      <c r="L80" s="57">
        <v>0</v>
      </c>
      <c r="M80" s="186">
        <f>IFERROR(IF($E80, IF(OR(NOT(ISNUMBER($K80)),$K80&lt;0,$K80&gt;1),201,0), 0),203)</f>
        <v>0</v>
      </c>
      <c r="N80" t="str">
        <f t="shared" si="0"/>
        <v/>
      </c>
    </row>
    <row r="81" spans="1:14" hidden="1" x14ac:dyDescent="0.25">
      <c r="A81">
        <f t="shared" si="30"/>
        <v>48</v>
      </c>
      <c r="B81" s="608"/>
      <c r="C81" s="550"/>
      <c r="D81" s="157" t="str">
        <f t="shared" si="26"/>
        <v/>
      </c>
      <c r="E81" s="170" t="b">
        <f>IF(SC_ViewMode=VMWIPED,FALSE,IF(SC_ViewMode=VMDEBUG,TRUE,AND(MOD(INT($A81/POWER(2,LOG(SC_ParameterMode,2))),2)&lt;&gt;0,MOD(INT($A81/POWER(2,LOG(SC_ViewMode,2))),2)&lt;&gt;0)))</f>
        <v>0</v>
      </c>
      <c r="F81" s="158">
        <f t="shared" si="19"/>
        <v>2</v>
      </c>
      <c r="G81" s="158">
        <f t="shared" si="17"/>
        <v>0</v>
      </c>
      <c r="H81" s="159">
        <f t="shared" si="18"/>
        <v>-1</v>
      </c>
      <c r="I81" s="477"/>
      <c r="J81" s="552"/>
      <c r="K81" s="131">
        <f t="shared" si="27"/>
        <v>0</v>
      </c>
      <c r="L81" s="57">
        <v>0</v>
      </c>
      <c r="M81" s="186">
        <f>IFERROR(IF($E81, IF(OR(NOT(ISNUMBER($K81)),$K81&lt;0,$K81&gt;1),201,0), 0),203)</f>
        <v>0</v>
      </c>
      <c r="N81" t="str">
        <f t="shared" si="0"/>
        <v/>
      </c>
    </row>
    <row r="82" spans="1:14" hidden="1" x14ac:dyDescent="0.25">
      <c r="A82">
        <f t="shared" si="30"/>
        <v>48</v>
      </c>
      <c r="B82" s="608"/>
      <c r="C82" s="549" t="s">
        <v>677</v>
      </c>
      <c r="D82" s="160" t="str">
        <f t="shared" si="26"/>
        <v/>
      </c>
      <c r="E82" s="169" t="b">
        <f>IF(SC_ViewMode=VMWIPED,FALSE,IF(SC_ViewMode=VMDEBUG,TRUE,AND(MOD(INT($A82/POWER(2,LOG(SC_ParameterMode,2))),2)&lt;&gt;0,MOD(INT($A82/POWER(2,LOG(SC_ViewMode,2))),2)&lt;&gt;0)))</f>
        <v>0</v>
      </c>
      <c r="F82" s="161">
        <f t="shared" si="19"/>
        <v>1</v>
      </c>
      <c r="G82" s="161">
        <f t="shared" si="17"/>
        <v>0</v>
      </c>
      <c r="H82" s="162">
        <f t="shared" si="18"/>
        <v>1</v>
      </c>
      <c r="I82" s="478"/>
      <c r="J82" s="576"/>
      <c r="K82" s="64">
        <f t="shared" si="27"/>
        <v>0</v>
      </c>
      <c r="L82" s="61">
        <v>0</v>
      </c>
      <c r="M82" s="186">
        <f t="shared" ref="M82:M87" si="31">IFERROR(IF($E82, IF(OR(NOT(ISNUMBER($K82)),$K82&lt;0),202,0),0),203)</f>
        <v>0</v>
      </c>
      <c r="N82" t="str">
        <f t="shared" si="0"/>
        <v/>
      </c>
    </row>
    <row r="83" spans="1:14" hidden="1" x14ac:dyDescent="0.25">
      <c r="A83">
        <f t="shared" si="30"/>
        <v>48</v>
      </c>
      <c r="B83" s="608"/>
      <c r="C83" s="550"/>
      <c r="D83" s="157" t="str">
        <f t="shared" si="26"/>
        <v/>
      </c>
      <c r="E83" s="170" t="b">
        <f>IF(SC_ViewMode=VMWIPED,FALSE,IF(SC_ViewMode=VMDEBUG,TRUE,AND(MOD(INT($A83/POWER(2,LOG(SC_ParameterMode,2))),2)&lt;&gt;0,MOD(INT($A83/POWER(2,LOG(SC_ViewMode,2))),2)&lt;&gt;0)))</f>
        <v>0</v>
      </c>
      <c r="F83" s="158">
        <f t="shared" si="19"/>
        <v>2</v>
      </c>
      <c r="G83" s="158">
        <f t="shared" si="17"/>
        <v>0</v>
      </c>
      <c r="H83" s="159">
        <f t="shared" si="18"/>
        <v>-1</v>
      </c>
      <c r="I83" s="478"/>
      <c r="J83" s="552"/>
      <c r="K83" s="64">
        <f t="shared" si="27"/>
        <v>0</v>
      </c>
      <c r="L83" s="61">
        <v>0</v>
      </c>
      <c r="M83" s="186">
        <f t="shared" si="31"/>
        <v>0</v>
      </c>
      <c r="N83" t="str">
        <f t="shared" si="0"/>
        <v/>
      </c>
    </row>
    <row r="84" spans="1:14" hidden="1" x14ac:dyDescent="0.25">
      <c r="A84">
        <f t="shared" si="30"/>
        <v>48</v>
      </c>
      <c r="B84" s="608"/>
      <c r="C84" s="549" t="s">
        <v>682</v>
      </c>
      <c r="D84" s="160" t="str">
        <f t="shared" si="26"/>
        <v/>
      </c>
      <c r="E84" s="169" t="b">
        <f>IF(SC_ViewMode=VMWIPED,FALSE,IF(SC_ViewMode=VMDEBUG,TRUE,AND(MOD(INT($A84/POWER(2,LOG(SC_ParameterMode,2))),2)&lt;&gt;0,MOD(INT($A84/POWER(2,LOG(SC_ViewMode,2))),2)&lt;&gt;0)))</f>
        <v>0</v>
      </c>
      <c r="F84" s="161">
        <f t="shared" si="19"/>
        <v>1</v>
      </c>
      <c r="G84" s="161">
        <f t="shared" si="17"/>
        <v>0</v>
      </c>
      <c r="H84" s="162">
        <f t="shared" si="18"/>
        <v>1</v>
      </c>
      <c r="I84" s="478"/>
      <c r="J84" s="576"/>
      <c r="K84" s="64">
        <f t="shared" si="27"/>
        <v>0</v>
      </c>
      <c r="L84" s="61">
        <f>IF($M82=0,$I82,0)</f>
        <v>0</v>
      </c>
      <c r="M84" s="186">
        <f t="shared" si="31"/>
        <v>0</v>
      </c>
      <c r="N84" t="str">
        <f t="shared" si="0"/>
        <v/>
      </c>
    </row>
    <row r="85" spans="1:14" hidden="1" x14ac:dyDescent="0.25">
      <c r="A85">
        <f t="shared" si="30"/>
        <v>48</v>
      </c>
      <c r="B85" s="608"/>
      <c r="C85" s="550"/>
      <c r="D85" s="157" t="str">
        <f t="shared" si="26"/>
        <v/>
      </c>
      <c r="E85" s="170" t="b">
        <f>IF(SC_ViewMode=VMWIPED,FALSE,IF(SC_ViewMode=VMDEBUG,TRUE,AND(MOD(INT($A85/POWER(2,LOG(SC_ParameterMode,2))),2)&lt;&gt;0,MOD(INT($A85/POWER(2,LOG(SC_ViewMode,2))),2)&lt;&gt;0)))</f>
        <v>0</v>
      </c>
      <c r="F85" s="158">
        <f t="shared" si="19"/>
        <v>2</v>
      </c>
      <c r="G85" s="158">
        <f t="shared" si="17"/>
        <v>0</v>
      </c>
      <c r="H85" s="159">
        <f t="shared" si="18"/>
        <v>-1</v>
      </c>
      <c r="I85" s="478"/>
      <c r="J85" s="552"/>
      <c r="K85" s="64">
        <f t="shared" si="27"/>
        <v>0</v>
      </c>
      <c r="L85" s="61">
        <f>IF($M83=0,$I83,0)</f>
        <v>0</v>
      </c>
      <c r="M85" s="186">
        <f t="shared" si="31"/>
        <v>0</v>
      </c>
      <c r="N85" t="str">
        <f t="shared" si="0"/>
        <v/>
      </c>
    </row>
    <row r="86" spans="1:14" hidden="1" x14ac:dyDescent="0.25">
      <c r="A86">
        <f t="shared" si="30"/>
        <v>48</v>
      </c>
      <c r="B86" s="608"/>
      <c r="C86" s="549" t="s">
        <v>681</v>
      </c>
      <c r="D86" s="160" t="str">
        <f t="shared" si="26"/>
        <v/>
      </c>
      <c r="E86" s="169" t="b">
        <f>IF(SC_ViewMode=VMWIPED,FALSE,IF(SC_ViewMode=VMDEBUG,TRUE,AND(MOD(INT($A86/POWER(2,LOG(SC_ParameterMode,2))),2)&lt;&gt;0,MOD(INT($A86/POWER(2,LOG(SC_ViewMode,2))),2)&lt;&gt;0)))</f>
        <v>0</v>
      </c>
      <c r="F86" s="161">
        <f t="shared" si="19"/>
        <v>1</v>
      </c>
      <c r="G86" s="161">
        <f t="shared" ref="G86:G115" si="32">INDEX(SC_TaxIndex,$F86)</f>
        <v>0</v>
      </c>
      <c r="H86" s="162">
        <f t="shared" ref="H86:H115" si="33">MOD($F86,2)-($F86-1)</f>
        <v>1</v>
      </c>
      <c r="I86" s="485"/>
      <c r="J86" s="576"/>
      <c r="K86" s="137">
        <f t="shared" si="27"/>
        <v>0</v>
      </c>
      <c r="L86" s="60">
        <f>IF($K52="",0,IF(SP_TargetRD &lt; DATE(YEAR($K52)+55,MONTH($K52),DAY($K52)), 59.5, 55))</f>
        <v>0</v>
      </c>
      <c r="M86" s="186">
        <f t="shared" si="31"/>
        <v>0</v>
      </c>
      <c r="N86" t="str">
        <f t="shared" si="0"/>
        <v/>
      </c>
    </row>
    <row r="87" spans="1:14" hidden="1" x14ac:dyDescent="0.25">
      <c r="A87">
        <f t="shared" si="30"/>
        <v>48</v>
      </c>
      <c r="B87" s="609"/>
      <c r="C87" s="551"/>
      <c r="D87" s="163" t="str">
        <f t="shared" si="26"/>
        <v/>
      </c>
      <c r="E87" s="173" t="b">
        <f>IF(SC_ViewMode=VMWIPED,FALSE,IF(SC_ViewMode=VMDEBUG,TRUE,AND(MOD(INT($A87/POWER(2,LOG(SC_ParameterMode,2))),2)&lt;&gt;0,MOD(INT($A87/POWER(2,LOG(SC_ViewMode,2))),2)&lt;&gt;0)))</f>
        <v>0</v>
      </c>
      <c r="F87" s="164">
        <f t="shared" si="19"/>
        <v>2</v>
      </c>
      <c r="G87" s="164">
        <f t="shared" si="32"/>
        <v>0</v>
      </c>
      <c r="H87" s="165">
        <f t="shared" si="33"/>
        <v>-1</v>
      </c>
      <c r="I87" s="511"/>
      <c r="J87" s="577"/>
      <c r="K87" s="137">
        <f t="shared" si="27"/>
        <v>0</v>
      </c>
      <c r="L87" s="60">
        <f>IF($K53="",0,IF(SP_TargetRD &lt; DATE(YEAR($K53)+55,MONTH($K53),DAY($K53)), 59.5, 55))</f>
        <v>0</v>
      </c>
      <c r="M87" s="186">
        <f t="shared" si="31"/>
        <v>0</v>
      </c>
      <c r="N87" t="str">
        <f t="shared" si="0"/>
        <v/>
      </c>
    </row>
    <row r="88" spans="1:14" ht="15" hidden="1" customHeight="1" x14ac:dyDescent="0.25">
      <c r="A88">
        <f t="shared" ref="A88:A105" si="34">PMBASIC+PMADVANCED+IF(AND(SP_SEI,INDEX(SC_ShowRetireatee,$F88)), VMONLINE+VMMACRO, 0)</f>
        <v>48</v>
      </c>
      <c r="B88" s="607" t="s">
        <v>674</v>
      </c>
      <c r="C88" s="564" t="s">
        <v>818</v>
      </c>
      <c r="D88" s="154" t="str">
        <f>INDEX(SP_Initials,F88)</f>
        <v/>
      </c>
      <c r="E88" s="172" t="b">
        <f>IF(SC_ViewMode=VMWIPED,FALSE,IF(SC_ViewMode=VMDEBUG,TRUE,AND(MOD(INT($A88/POWER(2,LOG(SC_ParameterMode,2))),2)&lt;&gt;0,MOD(INT($A88/POWER(2,LOG(SC_ViewMode,2))),2)&lt;&gt;0)))</f>
        <v>0</v>
      </c>
      <c r="F88" s="155">
        <f>MOD(ROW()-ROW($F$50),2)+1</f>
        <v>1</v>
      </c>
      <c r="G88" s="155">
        <f t="shared" si="32"/>
        <v>0</v>
      </c>
      <c r="H88" s="156">
        <f t="shared" si="33"/>
        <v>1</v>
      </c>
      <c r="I88" s="504">
        <f ca="1">IF(SC_ViewMode=VMONLINE, INDEX(IV_IncomeSE,$F88), HYPERLINK(IV_WBNAME&amp;ADDRESS(ROW(INDEX(IV_IncomeSE,$F88)),COLUMN(INDEX(IV_IncomeSE,$F88)),,,"Income"),INDEX(IV_IncomeSE,$F88)))</f>
        <v>0</v>
      </c>
      <c r="J88" s="578"/>
      <c r="K88" s="136"/>
      <c r="L88" s="56"/>
      <c r="M88" s="186"/>
    </row>
    <row r="89" spans="1:14" ht="15" hidden="1" customHeight="1" x14ac:dyDescent="0.25">
      <c r="A89">
        <f t="shared" si="34"/>
        <v>48</v>
      </c>
      <c r="B89" s="608"/>
      <c r="C89" s="550"/>
      <c r="D89" s="166" t="str">
        <f>INDEX(SP_Initials,F89)</f>
        <v/>
      </c>
      <c r="E89" s="171" t="b">
        <f>IF(SC_ViewMode=VMWIPED,FALSE,IF(SC_ViewMode=VMDEBUG,TRUE,AND(MOD(INT($A89/POWER(2,LOG(SC_ParameterMode,2))),2)&lt;&gt;0,MOD(INT($A89/POWER(2,LOG(SC_ViewMode,2))),2)&lt;&gt;0)))</f>
        <v>0</v>
      </c>
      <c r="F89" s="167">
        <f t="shared" si="19"/>
        <v>2</v>
      </c>
      <c r="G89" s="167">
        <f t="shared" si="32"/>
        <v>0</v>
      </c>
      <c r="H89" s="168">
        <f t="shared" si="33"/>
        <v>-1</v>
      </c>
      <c r="I89" s="503">
        <f ca="1">IF(SC_ViewMode=VMONLINE, INDEX(IV_IncomeSE,$F89), HYPERLINK(IV_WBNAME&amp;ADDRESS(ROW(INDEX(IV_IncomeSE,$F89)),COLUMN(INDEX(IV_IncomeSE,$F89)),,,"Income"),INDEX(IV_IncomeSE,$F89)))</f>
        <v>0</v>
      </c>
      <c r="J89" s="576"/>
      <c r="K89" s="136"/>
      <c r="L89" s="56"/>
      <c r="M89" s="186"/>
    </row>
    <row r="90" spans="1:14" hidden="1" x14ac:dyDescent="0.25">
      <c r="A90">
        <f t="shared" si="34"/>
        <v>48</v>
      </c>
      <c r="B90" s="608"/>
      <c r="C90" s="549" t="s">
        <v>832</v>
      </c>
      <c r="D90" s="160" t="str">
        <f>INDEX(SP_Initials,F90)</f>
        <v/>
      </c>
      <c r="E90" s="169" t="b">
        <f>IF(SC_ViewMode=VMWIPED,FALSE,IF(SC_ViewMode=VMDEBUG,TRUE,AND(MOD(INT($A90/POWER(2,LOG(SC_ParameterMode,2))),2)&lt;&gt;0,MOD(INT($A90/POWER(2,LOG(SC_ViewMode,2))),2)&lt;&gt;0)))</f>
        <v>0</v>
      </c>
      <c r="F90" s="161">
        <f t="shared" si="19"/>
        <v>1</v>
      </c>
      <c r="G90" s="161">
        <f>INDEX(SC_TaxIndex,$F90)</f>
        <v>0</v>
      </c>
      <c r="H90" s="162">
        <f>MOD($F90,2)-($F90-1)</f>
        <v>1</v>
      </c>
      <c r="I90" s="477"/>
      <c r="J90" s="571" t="s">
        <v>805</v>
      </c>
      <c r="K90" s="131">
        <f t="shared" ref="K90:K105" si="35">IF(IF(COLUMN()=COLUMN(I90),TRUE,ISBLANK(I90)), L90, I90)</f>
        <v>0</v>
      </c>
      <c r="L90" s="57">
        <v>0</v>
      </c>
      <c r="M90" s="186">
        <f>IFERROR(IF($E90, IF(OR(NOT(ISNUMBER($K90)),$K90&lt;-1,$K90&gt;1),201,0), 0),203)</f>
        <v>0</v>
      </c>
      <c r="N90" t="str">
        <f>IFERROR(VLOOKUP(M90,IV_CodeTable,2,FALSE),"")</f>
        <v/>
      </c>
    </row>
    <row r="91" spans="1:14" hidden="1" x14ac:dyDescent="0.25">
      <c r="A91">
        <f t="shared" si="34"/>
        <v>48</v>
      </c>
      <c r="B91" s="608"/>
      <c r="C91" s="550"/>
      <c r="D91" s="157" t="str">
        <f>INDEX(SP_Initials,F91)</f>
        <v/>
      </c>
      <c r="E91" s="170" t="b">
        <f>IF(SC_ViewMode=VMWIPED,FALSE,IF(SC_ViewMode=VMDEBUG,TRUE,AND(MOD(INT($A91/POWER(2,LOG(SC_ParameterMode,2))),2)&lt;&gt;0,MOD(INT($A91/POWER(2,LOG(SC_ViewMode,2))),2)&lt;&gt;0)))</f>
        <v>0</v>
      </c>
      <c r="F91" s="158">
        <f t="shared" si="19"/>
        <v>2</v>
      </c>
      <c r="G91" s="158">
        <f>INDEX(SC_TaxIndex,$F91)</f>
        <v>0</v>
      </c>
      <c r="H91" s="159">
        <f>MOD($F91,2)-($F91-1)</f>
        <v>-1</v>
      </c>
      <c r="I91" s="477"/>
      <c r="J91" s="571"/>
      <c r="K91" s="131">
        <f t="shared" si="35"/>
        <v>0</v>
      </c>
      <c r="L91" s="57">
        <v>0</v>
      </c>
      <c r="M91" s="186">
        <f>IFERROR(IF($E91, IF(OR(NOT(ISNUMBER($K91)),$K91&lt;-1,$K91&gt;1),201,0), 0),203)</f>
        <v>0</v>
      </c>
      <c r="N91" t="str">
        <f>IFERROR(VLOOKUP(M91,IV_CodeTable,2,FALSE),"")</f>
        <v/>
      </c>
    </row>
    <row r="92" spans="1:14" hidden="1" x14ac:dyDescent="0.25">
      <c r="A92">
        <f t="shared" si="34"/>
        <v>48</v>
      </c>
      <c r="B92" s="608"/>
      <c r="C92" s="549" t="s">
        <v>765</v>
      </c>
      <c r="D92" s="181" t="str">
        <f t="shared" ref="D92:D143" si="36">INDEX(SP_Initials,F92)</f>
        <v/>
      </c>
      <c r="E92" s="184" t="b">
        <f>IF(SC_ViewMode=VMWIPED,FALSE,IF(SC_ViewMode=VMDEBUG,TRUE,AND(MOD(INT($A92/POWER(2,LOG(SC_ParameterMode,2))),2)&lt;&gt;0,MOD(INT($A92/POWER(2,LOG(SC_ViewMode,2))),2)&lt;&gt;0)))</f>
        <v>0</v>
      </c>
      <c r="F92" s="182">
        <f t="shared" si="19"/>
        <v>1</v>
      </c>
      <c r="G92" s="182">
        <f t="shared" si="32"/>
        <v>0</v>
      </c>
      <c r="H92" s="183">
        <f t="shared" si="33"/>
        <v>1</v>
      </c>
      <c r="I92" s="510"/>
      <c r="J92" s="552" t="s">
        <v>804</v>
      </c>
      <c r="K92" s="131">
        <f t="shared" si="35"/>
        <v>0</v>
      </c>
      <c r="L92" s="57">
        <v>0</v>
      </c>
      <c r="M92" s="186">
        <f>IFERROR(IF($E92, IF(OR(NOT(ISNUMBER($K92)),$K92&lt;0,$K92&gt;1),201,0), 0),203)</f>
        <v>0</v>
      </c>
      <c r="N92" t="str">
        <f t="shared" ref="N92:N127" si="37">IFERROR(VLOOKUP(M92,IV_CodeTable,2,FALSE),"")</f>
        <v/>
      </c>
    </row>
    <row r="93" spans="1:14" hidden="1" x14ac:dyDescent="0.25">
      <c r="A93">
        <f t="shared" si="34"/>
        <v>48</v>
      </c>
      <c r="B93" s="608"/>
      <c r="C93" s="550"/>
      <c r="D93" s="157" t="str">
        <f t="shared" si="36"/>
        <v/>
      </c>
      <c r="E93" s="170" t="b">
        <f>IF(SC_ViewMode=VMWIPED,FALSE,IF(SC_ViewMode=VMDEBUG,TRUE,AND(MOD(INT($A93/POWER(2,LOG(SC_ParameterMode,2))),2)&lt;&gt;0,MOD(INT($A93/POWER(2,LOG(SC_ViewMode,2))),2)&lt;&gt;0)))</f>
        <v>0</v>
      </c>
      <c r="F93" s="158">
        <f t="shared" si="19"/>
        <v>2</v>
      </c>
      <c r="G93" s="158">
        <f t="shared" si="32"/>
        <v>0</v>
      </c>
      <c r="H93" s="159">
        <f t="shared" si="33"/>
        <v>-1</v>
      </c>
      <c r="I93" s="477"/>
      <c r="J93" s="546"/>
      <c r="K93" s="131">
        <f t="shared" si="35"/>
        <v>0</v>
      </c>
      <c r="L93" s="57">
        <v>0</v>
      </c>
      <c r="M93" s="186">
        <f>IFERROR(IF($E93, IF(OR(NOT(ISNUMBER($K93)),$K93&lt;0,$K93&gt;1),201,0), 0),203)</f>
        <v>0</v>
      </c>
      <c r="N93" t="str">
        <f t="shared" si="37"/>
        <v/>
      </c>
    </row>
    <row r="94" spans="1:14" hidden="1" x14ac:dyDescent="0.25">
      <c r="A94">
        <f t="shared" si="34"/>
        <v>48</v>
      </c>
      <c r="B94" s="608"/>
      <c r="C94" s="549" t="s">
        <v>676</v>
      </c>
      <c r="D94" s="160" t="str">
        <f t="shared" si="36"/>
        <v/>
      </c>
      <c r="E94" s="169" t="b">
        <f>IF(SC_ViewMode=VMWIPED,FALSE,IF(SC_ViewMode=VMDEBUG,TRUE,AND(MOD(INT($A94/POWER(2,LOG(SC_ParameterMode,2))),2)&lt;&gt;0,MOD(INT($A94/POWER(2,LOG(SC_ViewMode,2))),2)&lt;&gt;0)))</f>
        <v>0</v>
      </c>
      <c r="F94" s="161">
        <f t="shared" si="19"/>
        <v>1</v>
      </c>
      <c r="G94" s="161">
        <f t="shared" si="32"/>
        <v>0</v>
      </c>
      <c r="H94" s="162">
        <f t="shared" si="33"/>
        <v>1</v>
      </c>
      <c r="I94" s="478"/>
      <c r="J94" s="546"/>
      <c r="K94" s="64">
        <f t="shared" si="35"/>
        <v>0</v>
      </c>
      <c r="L94" s="61">
        <v>0</v>
      </c>
      <c r="M94" s="186">
        <f>IFERROR(IF($E94, IF(OR(NOT(ISNUMBER($K94)),$K94&lt;0),202,0),0),203)</f>
        <v>0</v>
      </c>
      <c r="N94" t="str">
        <f t="shared" si="37"/>
        <v/>
      </c>
    </row>
    <row r="95" spans="1:14" hidden="1" x14ac:dyDescent="0.25">
      <c r="A95">
        <f t="shared" si="34"/>
        <v>48</v>
      </c>
      <c r="B95" s="608"/>
      <c r="C95" s="550"/>
      <c r="D95" s="157" t="str">
        <f t="shared" si="36"/>
        <v/>
      </c>
      <c r="E95" s="170" t="b">
        <f>IF(SC_ViewMode=VMWIPED,FALSE,IF(SC_ViewMode=VMDEBUG,TRUE,AND(MOD(INT($A95/POWER(2,LOG(SC_ParameterMode,2))),2)&lt;&gt;0,MOD(INT($A95/POWER(2,LOG(SC_ViewMode,2))),2)&lt;&gt;0)))</f>
        <v>0</v>
      </c>
      <c r="F95" s="158">
        <f t="shared" si="19"/>
        <v>2</v>
      </c>
      <c r="G95" s="158">
        <f t="shared" si="32"/>
        <v>0</v>
      </c>
      <c r="H95" s="159">
        <f t="shared" si="33"/>
        <v>-1</v>
      </c>
      <c r="I95" s="478"/>
      <c r="J95" s="546"/>
      <c r="K95" s="64">
        <f t="shared" si="35"/>
        <v>0</v>
      </c>
      <c r="L95" s="61">
        <v>0</v>
      </c>
      <c r="M95" s="186">
        <f>IFERROR(IF($E95, IF(OR(NOT(ISNUMBER($K95)),$K95&lt;0),202,0),0),203)</f>
        <v>0</v>
      </c>
      <c r="N95" t="str">
        <f t="shared" si="37"/>
        <v/>
      </c>
    </row>
    <row r="96" spans="1:14" hidden="1" x14ac:dyDescent="0.25">
      <c r="A96">
        <f t="shared" si="34"/>
        <v>48</v>
      </c>
      <c r="B96" s="608"/>
      <c r="C96" s="549" t="s">
        <v>675</v>
      </c>
      <c r="D96" s="160" t="str">
        <f t="shared" si="36"/>
        <v/>
      </c>
      <c r="E96" s="169" t="b">
        <f>IF(SC_ViewMode=VMWIPED,FALSE,IF(SC_ViewMode=VMDEBUG,TRUE,AND(MOD(INT($A96/POWER(2,LOG(SC_ParameterMode,2))),2)&lt;&gt;0,MOD(INT($A96/POWER(2,LOG(SC_ViewMode,2))),2)&lt;&gt;0)))</f>
        <v>0</v>
      </c>
      <c r="F96" s="161">
        <f t="shared" si="19"/>
        <v>1</v>
      </c>
      <c r="G96" s="161">
        <f t="shared" si="32"/>
        <v>0</v>
      </c>
      <c r="H96" s="162">
        <f t="shared" si="33"/>
        <v>1</v>
      </c>
      <c r="I96" s="477"/>
      <c r="J96" s="546" t="s">
        <v>804</v>
      </c>
      <c r="K96" s="131">
        <f t="shared" si="35"/>
        <v>0</v>
      </c>
      <c r="L96" s="57">
        <v>0</v>
      </c>
      <c r="M96" s="186">
        <f>IFERROR(IF($E96, IF(OR(NOT(ISNUMBER($K96)),$K96&lt;0,$K96&gt;1),201,0), 0),203)</f>
        <v>0</v>
      </c>
      <c r="N96" t="str">
        <f t="shared" si="37"/>
        <v/>
      </c>
    </row>
    <row r="97" spans="1:14" hidden="1" x14ac:dyDescent="0.25">
      <c r="A97">
        <f t="shared" si="34"/>
        <v>48</v>
      </c>
      <c r="B97" s="608"/>
      <c r="C97" s="550"/>
      <c r="D97" s="157" t="str">
        <f t="shared" si="36"/>
        <v/>
      </c>
      <c r="E97" s="170" t="b">
        <f>IF(SC_ViewMode=VMWIPED,FALSE,IF(SC_ViewMode=VMDEBUG,TRUE,AND(MOD(INT($A97/POWER(2,LOG(SC_ParameterMode,2))),2)&lt;&gt;0,MOD(INT($A97/POWER(2,LOG(SC_ViewMode,2))),2)&lt;&gt;0)))</f>
        <v>0</v>
      </c>
      <c r="F97" s="158">
        <f t="shared" si="19"/>
        <v>2</v>
      </c>
      <c r="G97" s="158">
        <f t="shared" si="32"/>
        <v>0</v>
      </c>
      <c r="H97" s="159">
        <f t="shared" si="33"/>
        <v>-1</v>
      </c>
      <c r="I97" s="477"/>
      <c r="J97" s="546"/>
      <c r="K97" s="131">
        <f t="shared" si="35"/>
        <v>0</v>
      </c>
      <c r="L97" s="57">
        <v>0</v>
      </c>
      <c r="M97" s="186">
        <f>IFERROR(IF($E97, IF(OR(NOT(ISNUMBER($K97)),$K97&lt;0,$K97&gt;1),201,0), 0),203)</f>
        <v>0</v>
      </c>
      <c r="N97" t="str">
        <f t="shared" si="37"/>
        <v/>
      </c>
    </row>
    <row r="98" spans="1:14" hidden="1" x14ac:dyDescent="0.25">
      <c r="A98">
        <f t="shared" si="34"/>
        <v>48</v>
      </c>
      <c r="B98" s="608"/>
      <c r="C98" s="549" t="s">
        <v>766</v>
      </c>
      <c r="D98" s="160" t="str">
        <f t="shared" si="36"/>
        <v/>
      </c>
      <c r="E98" s="169" t="b">
        <f>IF(SC_ViewMode=VMWIPED,FALSE,IF(SC_ViewMode=VMDEBUG,TRUE,AND(MOD(INT($A98/POWER(2,LOG(SC_ParameterMode,2))),2)&lt;&gt;0,MOD(INT($A98/POWER(2,LOG(SC_ViewMode,2))),2)&lt;&gt;0)))</f>
        <v>0</v>
      </c>
      <c r="F98" s="161">
        <f t="shared" si="19"/>
        <v>1</v>
      </c>
      <c r="G98" s="161">
        <f t="shared" si="32"/>
        <v>0</v>
      </c>
      <c r="H98" s="162">
        <f t="shared" si="33"/>
        <v>1</v>
      </c>
      <c r="I98" s="477"/>
      <c r="J98" s="546" t="s">
        <v>804</v>
      </c>
      <c r="K98" s="131">
        <f t="shared" si="35"/>
        <v>0</v>
      </c>
      <c r="L98" s="57">
        <v>0</v>
      </c>
      <c r="M98" s="186">
        <f>IFERROR(IF($E98, IF(OR(NOT(ISNUMBER($K98)),$K98&lt;0,$K98&gt;1),201,0), 0),203)</f>
        <v>0</v>
      </c>
      <c r="N98" t="str">
        <f t="shared" si="37"/>
        <v/>
      </c>
    </row>
    <row r="99" spans="1:14" hidden="1" x14ac:dyDescent="0.25">
      <c r="A99">
        <f t="shared" si="34"/>
        <v>48</v>
      </c>
      <c r="B99" s="608"/>
      <c r="C99" s="550"/>
      <c r="D99" s="157" t="str">
        <f t="shared" si="36"/>
        <v/>
      </c>
      <c r="E99" s="170" t="b">
        <f>IF(SC_ViewMode=VMWIPED,FALSE,IF(SC_ViewMode=VMDEBUG,TRUE,AND(MOD(INT($A99/POWER(2,LOG(SC_ParameterMode,2))),2)&lt;&gt;0,MOD(INT($A99/POWER(2,LOG(SC_ViewMode,2))),2)&lt;&gt;0)))</f>
        <v>0</v>
      </c>
      <c r="F99" s="158">
        <f t="shared" si="19"/>
        <v>2</v>
      </c>
      <c r="G99" s="158">
        <f t="shared" si="32"/>
        <v>0</v>
      </c>
      <c r="H99" s="159">
        <f t="shared" si="33"/>
        <v>-1</v>
      </c>
      <c r="I99" s="477"/>
      <c r="J99" s="546"/>
      <c r="K99" s="131">
        <f t="shared" si="35"/>
        <v>0</v>
      </c>
      <c r="L99" s="57">
        <v>0</v>
      </c>
      <c r="M99" s="186">
        <f>IFERROR(IF($E99, IF(OR(NOT(ISNUMBER($K99)),$K99&lt;0,$K99&gt;1),201,0), 0),203)</f>
        <v>0</v>
      </c>
      <c r="N99" t="str">
        <f t="shared" si="37"/>
        <v/>
      </c>
    </row>
    <row r="100" spans="1:14" hidden="1" x14ac:dyDescent="0.25">
      <c r="A100">
        <f t="shared" si="34"/>
        <v>48</v>
      </c>
      <c r="B100" s="608"/>
      <c r="C100" s="549" t="s">
        <v>677</v>
      </c>
      <c r="D100" s="160" t="str">
        <f t="shared" si="36"/>
        <v/>
      </c>
      <c r="E100" s="169" t="b">
        <f>IF(SC_ViewMode=VMWIPED,FALSE,IF(SC_ViewMode=VMDEBUG,TRUE,AND(MOD(INT($A100/POWER(2,LOG(SC_ParameterMode,2))),2)&lt;&gt;0,MOD(INT($A100/POWER(2,LOG(SC_ViewMode,2))),2)&lt;&gt;0)))</f>
        <v>0</v>
      </c>
      <c r="F100" s="161">
        <f t="shared" si="19"/>
        <v>1</v>
      </c>
      <c r="G100" s="161">
        <f t="shared" si="32"/>
        <v>0</v>
      </c>
      <c r="H100" s="162">
        <f t="shared" si="33"/>
        <v>1</v>
      </c>
      <c r="I100" s="478"/>
      <c r="J100" s="546"/>
      <c r="K100" s="64">
        <f t="shared" si="35"/>
        <v>0</v>
      </c>
      <c r="L100" s="61">
        <v>0</v>
      </c>
      <c r="M100" s="186">
        <f t="shared" ref="M100:M105" si="38">IFERROR(IF($E100, IF(OR(NOT(ISNUMBER($K100)),$K100&lt;0),202,0),0),203)</f>
        <v>0</v>
      </c>
      <c r="N100" t="str">
        <f t="shared" si="37"/>
        <v/>
      </c>
    </row>
    <row r="101" spans="1:14" hidden="1" x14ac:dyDescent="0.25">
      <c r="A101">
        <f t="shared" si="34"/>
        <v>48</v>
      </c>
      <c r="B101" s="608"/>
      <c r="C101" s="550"/>
      <c r="D101" s="157" t="str">
        <f t="shared" si="36"/>
        <v/>
      </c>
      <c r="E101" s="170" t="b">
        <f>IF(SC_ViewMode=VMWIPED,FALSE,IF(SC_ViewMode=VMDEBUG,TRUE,AND(MOD(INT($A101/POWER(2,LOG(SC_ParameterMode,2))),2)&lt;&gt;0,MOD(INT($A101/POWER(2,LOG(SC_ViewMode,2))),2)&lt;&gt;0)))</f>
        <v>0</v>
      </c>
      <c r="F101" s="158">
        <f t="shared" si="19"/>
        <v>2</v>
      </c>
      <c r="G101" s="158">
        <f t="shared" si="32"/>
        <v>0</v>
      </c>
      <c r="H101" s="159">
        <f t="shared" si="33"/>
        <v>-1</v>
      </c>
      <c r="I101" s="478"/>
      <c r="J101" s="546"/>
      <c r="K101" s="64">
        <f t="shared" si="35"/>
        <v>0</v>
      </c>
      <c r="L101" s="61">
        <v>0</v>
      </c>
      <c r="M101" s="186">
        <f t="shared" si="38"/>
        <v>0</v>
      </c>
      <c r="N101" t="str">
        <f t="shared" si="37"/>
        <v/>
      </c>
    </row>
    <row r="102" spans="1:14" hidden="1" x14ac:dyDescent="0.25">
      <c r="A102">
        <f t="shared" si="34"/>
        <v>48</v>
      </c>
      <c r="B102" s="608"/>
      <c r="C102" s="549" t="s">
        <v>682</v>
      </c>
      <c r="D102" s="160" t="str">
        <f t="shared" si="36"/>
        <v/>
      </c>
      <c r="E102" s="169" t="b">
        <f>IF(SC_ViewMode=VMWIPED,FALSE,IF(SC_ViewMode=VMDEBUG,TRUE,AND(MOD(INT($A102/POWER(2,LOG(SC_ParameterMode,2))),2)&lt;&gt;0,MOD(INT($A102/POWER(2,LOG(SC_ViewMode,2))),2)&lt;&gt;0)))</f>
        <v>0</v>
      </c>
      <c r="F102" s="161">
        <f t="shared" si="19"/>
        <v>1</v>
      </c>
      <c r="G102" s="161">
        <f t="shared" si="32"/>
        <v>0</v>
      </c>
      <c r="H102" s="162">
        <f t="shared" si="33"/>
        <v>1</v>
      </c>
      <c r="I102" s="478"/>
      <c r="J102" s="546"/>
      <c r="K102" s="64">
        <f t="shared" si="35"/>
        <v>0</v>
      </c>
      <c r="L102" s="61">
        <f>IF($M100=0,$I100,0)</f>
        <v>0</v>
      </c>
      <c r="M102" s="186">
        <f t="shared" si="38"/>
        <v>0</v>
      </c>
      <c r="N102" t="str">
        <f t="shared" si="37"/>
        <v/>
      </c>
    </row>
    <row r="103" spans="1:14" hidden="1" x14ac:dyDescent="0.25">
      <c r="A103">
        <f t="shared" si="34"/>
        <v>48</v>
      </c>
      <c r="B103" s="608"/>
      <c r="C103" s="550"/>
      <c r="D103" s="157" t="str">
        <f t="shared" si="36"/>
        <v/>
      </c>
      <c r="E103" s="170" t="b">
        <f>IF(SC_ViewMode=VMWIPED,FALSE,IF(SC_ViewMode=VMDEBUG,TRUE,AND(MOD(INT($A103/POWER(2,LOG(SC_ParameterMode,2))),2)&lt;&gt;0,MOD(INT($A103/POWER(2,LOG(SC_ViewMode,2))),2)&lt;&gt;0)))</f>
        <v>0</v>
      </c>
      <c r="F103" s="158">
        <f t="shared" si="19"/>
        <v>2</v>
      </c>
      <c r="G103" s="158">
        <f t="shared" si="32"/>
        <v>0</v>
      </c>
      <c r="H103" s="159">
        <f t="shared" si="33"/>
        <v>-1</v>
      </c>
      <c r="I103" s="478"/>
      <c r="J103" s="546"/>
      <c r="K103" s="64">
        <f t="shared" si="35"/>
        <v>0</v>
      </c>
      <c r="L103" s="61">
        <f>IF($M101=0,$I101,0)</f>
        <v>0</v>
      </c>
      <c r="M103" s="186">
        <f t="shared" si="38"/>
        <v>0</v>
      </c>
      <c r="N103" t="str">
        <f t="shared" si="37"/>
        <v/>
      </c>
    </row>
    <row r="104" spans="1:14" hidden="1" x14ac:dyDescent="0.25">
      <c r="A104">
        <f t="shared" si="34"/>
        <v>48</v>
      </c>
      <c r="B104" s="608"/>
      <c r="C104" s="549" t="s">
        <v>681</v>
      </c>
      <c r="D104" s="160" t="str">
        <f t="shared" si="36"/>
        <v/>
      </c>
      <c r="E104" s="169" t="b">
        <f>IF(SC_ViewMode=VMWIPED,FALSE,IF(SC_ViewMode=VMDEBUG,TRUE,AND(MOD(INT($A104/POWER(2,LOG(SC_ParameterMode,2))),2)&lt;&gt;0,MOD(INT($A104/POWER(2,LOG(SC_ViewMode,2))),2)&lt;&gt;0)))</f>
        <v>0</v>
      </c>
      <c r="F104" s="161">
        <f t="shared" si="19"/>
        <v>1</v>
      </c>
      <c r="G104" s="161">
        <f t="shared" si="32"/>
        <v>0</v>
      </c>
      <c r="H104" s="162">
        <f t="shared" si="33"/>
        <v>1</v>
      </c>
      <c r="I104" s="485"/>
      <c r="J104" s="546"/>
      <c r="K104" s="137">
        <f t="shared" si="35"/>
        <v>0</v>
      </c>
      <c r="L104" s="60">
        <f>IF($K52="",0,IF(SP_TargetRD &lt; DATE(YEAR($K52)+55,MONTH($K52),DAY($K52)), 59.5, 55))</f>
        <v>0</v>
      </c>
      <c r="M104" s="186">
        <f t="shared" si="38"/>
        <v>0</v>
      </c>
      <c r="N104" t="str">
        <f t="shared" si="37"/>
        <v/>
      </c>
    </row>
    <row r="105" spans="1:14" hidden="1" x14ac:dyDescent="0.25">
      <c r="A105">
        <f t="shared" si="34"/>
        <v>48</v>
      </c>
      <c r="B105" s="609"/>
      <c r="C105" s="551"/>
      <c r="D105" s="163" t="str">
        <f t="shared" si="36"/>
        <v/>
      </c>
      <c r="E105" s="173" t="b">
        <f>IF(SC_ViewMode=VMWIPED,FALSE,IF(SC_ViewMode=VMDEBUG,TRUE,AND(MOD(INT($A105/POWER(2,LOG(SC_ParameterMode,2))),2)&lt;&gt;0,MOD(INT($A105/POWER(2,LOG(SC_ViewMode,2))),2)&lt;&gt;0)))</f>
        <v>0</v>
      </c>
      <c r="F105" s="164">
        <f t="shared" si="19"/>
        <v>2</v>
      </c>
      <c r="G105" s="164">
        <f t="shared" si="32"/>
        <v>0</v>
      </c>
      <c r="H105" s="165">
        <f t="shared" si="33"/>
        <v>-1</v>
      </c>
      <c r="I105" s="511"/>
      <c r="J105" s="548"/>
      <c r="K105" s="137">
        <f t="shared" si="35"/>
        <v>0</v>
      </c>
      <c r="L105" s="60">
        <f>IF($K53="",0,IF(SP_TargetRD &lt; DATE(YEAR($K53)+55,MONTH($K53),DAY($K53)), 59.5, 55))</f>
        <v>0</v>
      </c>
      <c r="M105" s="186">
        <f t="shared" si="38"/>
        <v>0</v>
      </c>
      <c r="N105" t="str">
        <f t="shared" si="37"/>
        <v/>
      </c>
    </row>
    <row r="106" spans="1:14" ht="15" hidden="1" customHeight="1" x14ac:dyDescent="0.25">
      <c r="A106">
        <f t="shared" ref="A106:A111" si="39">PMBASIC+PMADVANCED+IF(AND(SP_PIIRP,INDEX(SC_ShowRetireatee,$F106)), VMONLINE+VMMACRO, 0)</f>
        <v>48</v>
      </c>
      <c r="B106" s="607" t="s">
        <v>680</v>
      </c>
      <c r="C106" s="564" t="s">
        <v>819</v>
      </c>
      <c r="D106" s="154" t="str">
        <f>INDEX(SP_Initials,F106)</f>
        <v/>
      </c>
      <c r="E106" s="172" t="b">
        <f>IF(SC_ViewMode=VMWIPED,FALSE,IF(SC_ViewMode=VMDEBUG,TRUE,AND(MOD(INT($A106/POWER(2,LOG(SC_ParameterMode,2))),2)&lt;&gt;0,MOD(INT($A106/POWER(2,LOG(SC_ViewMode,2))),2)&lt;&gt;0)))</f>
        <v>0</v>
      </c>
      <c r="F106" s="155">
        <f>MOD(ROW()-ROW($F$50),2)+1</f>
        <v>1</v>
      </c>
      <c r="G106" s="155">
        <f t="shared" si="32"/>
        <v>0</v>
      </c>
      <c r="H106" s="156">
        <f t="shared" si="33"/>
        <v>1</v>
      </c>
      <c r="I106" s="504">
        <f ca="1">IF(SC_ViewMode=VMONLINE, INDEX(IV_IncomePassive,$F106), HYPERLINK(IV_WBNAME&amp;ADDRESS(ROW(INDEX(IV_IncomePassive,$F106)),COLUMN(INDEX(IV_IncomePassive,$F106)),,,"Income"),INDEX(IV_IncomePassive,$F106)))</f>
        <v>0</v>
      </c>
      <c r="J106" s="578"/>
      <c r="K106" s="136"/>
      <c r="L106" s="56"/>
      <c r="M106" s="186"/>
    </row>
    <row r="107" spans="1:14" ht="15" hidden="1" customHeight="1" x14ac:dyDescent="0.25">
      <c r="A107">
        <f t="shared" si="39"/>
        <v>48</v>
      </c>
      <c r="B107" s="608"/>
      <c r="C107" s="550"/>
      <c r="D107" s="166" t="str">
        <f>INDEX(SP_Initials,F107)</f>
        <v/>
      </c>
      <c r="E107" s="171" t="b">
        <f>IF(SC_ViewMode=VMWIPED,FALSE,IF(SC_ViewMode=VMDEBUG,TRUE,AND(MOD(INT($A107/POWER(2,LOG(SC_ParameterMode,2))),2)&lt;&gt;0,MOD(INT($A107/POWER(2,LOG(SC_ViewMode,2))),2)&lt;&gt;0)))</f>
        <v>0</v>
      </c>
      <c r="F107" s="167">
        <f t="shared" si="19"/>
        <v>2</v>
      </c>
      <c r="G107" s="167">
        <f t="shared" si="32"/>
        <v>0</v>
      </c>
      <c r="H107" s="168">
        <f t="shared" si="33"/>
        <v>-1</v>
      </c>
      <c r="I107" s="503">
        <f ca="1">IF(SC_ViewMode=VMONLINE, INDEX(IV_IncomePassive,$F107), HYPERLINK(IV_WBNAME&amp;ADDRESS(ROW(INDEX(IV_IncomePassive,$F107)),COLUMN(INDEX(IV_IncomePassive,$F107)),,,"Income"),INDEX(IV_IncomePassive,$F107)))</f>
        <v>0</v>
      </c>
      <c r="J107" s="576"/>
      <c r="K107" s="136"/>
      <c r="L107" s="56"/>
      <c r="M107" s="186"/>
    </row>
    <row r="108" spans="1:14" hidden="1" x14ac:dyDescent="0.25">
      <c r="A108">
        <f t="shared" si="39"/>
        <v>48</v>
      </c>
      <c r="B108" s="608"/>
      <c r="C108" s="549" t="s">
        <v>832</v>
      </c>
      <c r="D108" s="160" t="str">
        <f t="shared" ref="D108:D109" si="40">INDEX(SP_Initials,F108)</f>
        <v/>
      </c>
      <c r="E108" s="169" t="b">
        <f>IF(SC_ViewMode=VMWIPED,FALSE,IF(SC_ViewMode=VMDEBUG,TRUE,AND(MOD(INT($A108/POWER(2,LOG(SC_ParameterMode,2))),2)&lt;&gt;0,MOD(INT($A108/POWER(2,LOG(SC_ViewMode,2))),2)&lt;&gt;0)))</f>
        <v>0</v>
      </c>
      <c r="F108" s="161">
        <f t="shared" si="19"/>
        <v>1</v>
      </c>
      <c r="G108" s="161">
        <f>INDEX(SC_TaxIndex,$F108)</f>
        <v>0</v>
      </c>
      <c r="H108" s="162">
        <f>MOD($F108,2)-($F108-1)</f>
        <v>1</v>
      </c>
      <c r="I108" s="477"/>
      <c r="J108" s="571" t="s">
        <v>807</v>
      </c>
      <c r="K108" s="131">
        <f t="shared" ref="K108:K123" si="41">IF(IF(COLUMN()=COLUMN(I108),TRUE,ISBLANK(I108)), L108, I108)</f>
        <v>0</v>
      </c>
      <c r="L108" s="57">
        <v>0</v>
      </c>
      <c r="M108" s="186">
        <f>IFERROR(IF($E108, IF(OR(NOT(ISNUMBER($K108)),$K108&lt;0,$K108&gt;1),201,0), 0),203)</f>
        <v>0</v>
      </c>
      <c r="N108" t="str">
        <f>IFERROR(VLOOKUP(M108,IV_CodeTable,2,FALSE),"")</f>
        <v/>
      </c>
    </row>
    <row r="109" spans="1:14" hidden="1" x14ac:dyDescent="0.25">
      <c r="A109">
        <f t="shared" si="39"/>
        <v>48</v>
      </c>
      <c r="B109" s="608"/>
      <c r="C109" s="550"/>
      <c r="D109" s="166" t="str">
        <f t="shared" si="40"/>
        <v/>
      </c>
      <c r="E109" s="171" t="b">
        <f>IF(SC_ViewMode=VMWIPED,FALSE,IF(SC_ViewMode=VMDEBUG,TRUE,AND(MOD(INT($A109/POWER(2,LOG(SC_ParameterMode,2))),2)&lt;&gt;0,MOD(INT($A109/POWER(2,LOG(SC_ViewMode,2))),2)&lt;&gt;0)))</f>
        <v>0</v>
      </c>
      <c r="F109" s="167">
        <f t="shared" si="19"/>
        <v>2</v>
      </c>
      <c r="G109" s="167">
        <f>INDEX(SC_TaxIndex,$F109)</f>
        <v>0</v>
      </c>
      <c r="H109" s="168">
        <f>MOD($F109,2)-($F109-1)</f>
        <v>-1</v>
      </c>
      <c r="I109" s="477"/>
      <c r="J109" s="580"/>
      <c r="K109" s="131">
        <f t="shared" si="41"/>
        <v>0</v>
      </c>
      <c r="L109" s="57">
        <v>0</v>
      </c>
      <c r="M109" s="186">
        <f>IFERROR(IF($E109, IF(OR(NOT(ISNUMBER($K109)),$K109&lt;0,$K109&gt;1),201,0), 0),203)</f>
        <v>0</v>
      </c>
      <c r="N109" t="str">
        <f>IFERROR(VLOOKUP(M109,IV_CodeTable,2,FALSE),"")</f>
        <v/>
      </c>
    </row>
    <row r="110" spans="1:14" hidden="1" x14ac:dyDescent="0.25">
      <c r="A110">
        <f t="shared" si="39"/>
        <v>48</v>
      </c>
      <c r="B110" s="608"/>
      <c r="C110" s="549" t="s">
        <v>678</v>
      </c>
      <c r="D110" s="181" t="str">
        <f t="shared" si="36"/>
        <v/>
      </c>
      <c r="E110" s="184" t="b">
        <f>IF(SC_ViewMode=VMWIPED,FALSE,IF(SC_ViewMode=VMDEBUG,TRUE,AND(MOD(INT($A110/POWER(2,LOG(SC_ParameterMode,2))),2)&lt;&gt;0,MOD(INT($A110/POWER(2,LOG(SC_ViewMode,2))),2)&lt;&gt;0)))</f>
        <v>0</v>
      </c>
      <c r="F110" s="182">
        <f t="shared" si="19"/>
        <v>1</v>
      </c>
      <c r="G110" s="182">
        <f t="shared" si="32"/>
        <v>0</v>
      </c>
      <c r="H110" s="183">
        <f t="shared" si="33"/>
        <v>1</v>
      </c>
      <c r="I110" s="512"/>
      <c r="J110" s="552" t="s">
        <v>666</v>
      </c>
      <c r="K110" s="64">
        <f t="shared" si="41"/>
        <v>0</v>
      </c>
      <c r="L110" s="61">
        <v>0</v>
      </c>
      <c r="M110" s="186">
        <f t="shared" ref="M110:M123" si="42">IFERROR(IF($E110, IF(OR(NOT(ISNUMBER($K110)),$K110&lt;0),202,0),0),203)</f>
        <v>0</v>
      </c>
      <c r="N110" t="str">
        <f t="shared" si="37"/>
        <v/>
      </c>
    </row>
    <row r="111" spans="1:14" hidden="1" x14ac:dyDescent="0.25">
      <c r="A111">
        <f t="shared" si="39"/>
        <v>48</v>
      </c>
      <c r="B111" s="608"/>
      <c r="C111" s="550"/>
      <c r="D111" s="157" t="str">
        <f t="shared" si="36"/>
        <v/>
      </c>
      <c r="E111" s="170" t="b">
        <f>IF(SC_ViewMode=VMWIPED,FALSE,IF(SC_ViewMode=VMDEBUG,TRUE,AND(MOD(INT($A111/POWER(2,LOG(SC_ParameterMode,2))),2)&lt;&gt;0,MOD(INT($A111/POWER(2,LOG(SC_ViewMode,2))),2)&lt;&gt;0)))</f>
        <v>0</v>
      </c>
      <c r="F111" s="158">
        <f t="shared" si="19"/>
        <v>2</v>
      </c>
      <c r="G111" s="158">
        <f t="shared" si="32"/>
        <v>0</v>
      </c>
      <c r="H111" s="159">
        <f t="shared" si="33"/>
        <v>-1</v>
      </c>
      <c r="I111" s="478"/>
      <c r="J111" s="546"/>
      <c r="K111" s="64">
        <f t="shared" si="41"/>
        <v>0</v>
      </c>
      <c r="L111" s="61">
        <v>0</v>
      </c>
      <c r="M111" s="186">
        <f t="shared" si="42"/>
        <v>0</v>
      </c>
      <c r="N111" t="str">
        <f t="shared" si="37"/>
        <v/>
      </c>
    </row>
    <row r="112" spans="1:14" hidden="1" x14ac:dyDescent="0.25">
      <c r="A112">
        <f>PMADVANCED+IF(AND(SP_PIIRP,INDEX(SC_ShowRetireatee,1),INDEX(SC_ShowRetireatee,2)), VMONLINE+VMMACRO, 0)</f>
        <v>32</v>
      </c>
      <c r="B112" s="608"/>
      <c r="C112" s="549" t="s">
        <v>692</v>
      </c>
      <c r="D112" s="160" t="str">
        <f t="shared" si="36"/>
        <v/>
      </c>
      <c r="E112" s="169" t="b">
        <f>IF(SC_ViewMode=VMWIPED,FALSE,IF(SC_ViewMode=VMDEBUG,TRUE,AND(MOD(INT($A112/POWER(2,LOG(SC_ParameterMode,2))),2)&lt;&gt;0,MOD(INT($A112/POWER(2,LOG(SC_ViewMode,2))),2)&lt;&gt;0)))</f>
        <v>0</v>
      </c>
      <c r="F112" s="161">
        <f t="shared" si="19"/>
        <v>1</v>
      </c>
      <c r="G112" s="161">
        <f t="shared" si="32"/>
        <v>0</v>
      </c>
      <c r="H112" s="162">
        <f t="shared" si="33"/>
        <v>1</v>
      </c>
      <c r="I112" s="478"/>
      <c r="J112" s="546" t="s">
        <v>666</v>
      </c>
      <c r="K112" s="64">
        <f t="shared" si="41"/>
        <v>0</v>
      </c>
      <c r="L112" s="61">
        <v>0</v>
      </c>
      <c r="M112" s="186">
        <f t="shared" si="42"/>
        <v>0</v>
      </c>
      <c r="N112" t="str">
        <f t="shared" si="37"/>
        <v/>
      </c>
    </row>
    <row r="113" spans="1:14" hidden="1" x14ac:dyDescent="0.25">
      <c r="A113">
        <f>PMADVANCED+IF(AND(SP_PIIRP,INDEX(SC_ShowRetireatee,1),INDEX(SC_ShowRetireatee,2)), VMONLINE+VMMACRO, 0)</f>
        <v>32</v>
      </c>
      <c r="B113" s="608"/>
      <c r="C113" s="550"/>
      <c r="D113" s="157" t="str">
        <f t="shared" si="36"/>
        <v/>
      </c>
      <c r="E113" s="170" t="b">
        <f>IF(SC_ViewMode=VMWIPED,FALSE,IF(SC_ViewMode=VMDEBUG,TRUE,AND(MOD(INT($A113/POWER(2,LOG(SC_ParameterMode,2))),2)&lt;&gt;0,MOD(INT($A113/POWER(2,LOG(SC_ViewMode,2))),2)&lt;&gt;0)))</f>
        <v>0</v>
      </c>
      <c r="F113" s="158">
        <f t="shared" si="19"/>
        <v>2</v>
      </c>
      <c r="G113" s="158">
        <f t="shared" si="32"/>
        <v>0</v>
      </c>
      <c r="H113" s="159">
        <f t="shared" si="33"/>
        <v>-1</v>
      </c>
      <c r="I113" s="478"/>
      <c r="J113" s="546"/>
      <c r="K113" s="64">
        <f t="shared" si="41"/>
        <v>0</v>
      </c>
      <c r="L113" s="61">
        <v>0</v>
      </c>
      <c r="M113" s="186">
        <f t="shared" si="42"/>
        <v>0</v>
      </c>
      <c r="N113" t="str">
        <f t="shared" si="37"/>
        <v/>
      </c>
    </row>
    <row r="114" spans="1:14" hidden="1" x14ac:dyDescent="0.25">
      <c r="A114">
        <f t="shared" ref="A114:A123" si="43">PMBASIC+PMADVANCED+IF(AND(SP_PIIRP,INDEX(SC_ShowRetireatee,$F114)), VMONLINE+VMMACRO, 0)</f>
        <v>48</v>
      </c>
      <c r="B114" s="608"/>
      <c r="C114" s="549" t="s">
        <v>676</v>
      </c>
      <c r="D114" s="160" t="str">
        <f t="shared" si="36"/>
        <v/>
      </c>
      <c r="E114" s="169" t="b">
        <f>IF(SC_ViewMode=VMWIPED,FALSE,IF(SC_ViewMode=VMDEBUG,TRUE,AND(MOD(INT($A114/POWER(2,LOG(SC_ParameterMode,2))),2)&lt;&gt;0,MOD(INT($A114/POWER(2,LOG(SC_ViewMode,2))),2)&lt;&gt;0)))</f>
        <v>0</v>
      </c>
      <c r="F114" s="161">
        <f t="shared" si="19"/>
        <v>1</v>
      </c>
      <c r="G114" s="161">
        <f t="shared" si="32"/>
        <v>0</v>
      </c>
      <c r="H114" s="162">
        <f t="shared" si="33"/>
        <v>1</v>
      </c>
      <c r="I114" s="478"/>
      <c r="J114" s="546"/>
      <c r="K114" s="64">
        <f t="shared" si="41"/>
        <v>0</v>
      </c>
      <c r="L114" s="61">
        <v>0</v>
      </c>
      <c r="M114" s="186">
        <f t="shared" si="42"/>
        <v>0</v>
      </c>
      <c r="N114" t="str">
        <f t="shared" si="37"/>
        <v/>
      </c>
    </row>
    <row r="115" spans="1:14" hidden="1" x14ac:dyDescent="0.25">
      <c r="A115">
        <f t="shared" si="43"/>
        <v>48</v>
      </c>
      <c r="B115" s="608"/>
      <c r="C115" s="550"/>
      <c r="D115" s="157" t="str">
        <f t="shared" si="36"/>
        <v/>
      </c>
      <c r="E115" s="170" t="b">
        <f>IF(SC_ViewMode=VMWIPED,FALSE,IF(SC_ViewMode=VMDEBUG,TRUE,AND(MOD(INT($A115/POWER(2,LOG(SC_ParameterMode,2))),2)&lt;&gt;0,MOD(INT($A115/POWER(2,LOG(SC_ViewMode,2))),2)&lt;&gt;0)))</f>
        <v>0</v>
      </c>
      <c r="F115" s="158">
        <f t="shared" si="19"/>
        <v>2</v>
      </c>
      <c r="G115" s="158">
        <f t="shared" si="32"/>
        <v>0</v>
      </c>
      <c r="H115" s="159">
        <f t="shared" si="33"/>
        <v>-1</v>
      </c>
      <c r="I115" s="478"/>
      <c r="J115" s="546"/>
      <c r="K115" s="64">
        <f t="shared" si="41"/>
        <v>0</v>
      </c>
      <c r="L115" s="61">
        <v>0</v>
      </c>
      <c r="M115" s="186">
        <f t="shared" si="42"/>
        <v>0</v>
      </c>
      <c r="N115" t="str">
        <f t="shared" si="37"/>
        <v/>
      </c>
    </row>
    <row r="116" spans="1:14" hidden="1" x14ac:dyDescent="0.25">
      <c r="A116">
        <f t="shared" si="43"/>
        <v>48</v>
      </c>
      <c r="B116" s="608"/>
      <c r="C116" s="549" t="s">
        <v>679</v>
      </c>
      <c r="D116" s="160" t="str">
        <f t="shared" si="36"/>
        <v/>
      </c>
      <c r="E116" s="169" t="b">
        <f>IF(SC_ViewMode=VMWIPED,FALSE,IF(SC_ViewMode=VMDEBUG,TRUE,AND(MOD(INT($A116/POWER(2,LOG(SC_ParameterMode,2))),2)&lt;&gt;0,MOD(INT($A116/POWER(2,LOG(SC_ViewMode,2))),2)&lt;&gt;0)))</f>
        <v>0</v>
      </c>
      <c r="F116" s="161">
        <f t="shared" si="19"/>
        <v>1</v>
      </c>
      <c r="G116" s="161">
        <f t="shared" ref="G116:G145" si="44">INDEX(SC_TaxIndex,$F116)</f>
        <v>0</v>
      </c>
      <c r="H116" s="162">
        <f t="shared" ref="H116:H145" si="45">MOD($F116,2)-($F116-1)</f>
        <v>1</v>
      </c>
      <c r="I116" s="478"/>
      <c r="J116" s="546" t="s">
        <v>666</v>
      </c>
      <c r="K116" s="64">
        <f t="shared" si="41"/>
        <v>0</v>
      </c>
      <c r="L116" s="61">
        <v>0</v>
      </c>
      <c r="M116" s="186">
        <f t="shared" si="42"/>
        <v>0</v>
      </c>
      <c r="N116" t="str">
        <f t="shared" si="37"/>
        <v/>
      </c>
    </row>
    <row r="117" spans="1:14" hidden="1" x14ac:dyDescent="0.25">
      <c r="A117">
        <f t="shared" si="43"/>
        <v>48</v>
      </c>
      <c r="B117" s="608"/>
      <c r="C117" s="550"/>
      <c r="D117" s="157" t="str">
        <f t="shared" si="36"/>
        <v/>
      </c>
      <c r="E117" s="170" t="b">
        <f>IF(SC_ViewMode=VMWIPED,FALSE,IF(SC_ViewMode=VMDEBUG,TRUE,AND(MOD(INT($A117/POWER(2,LOG(SC_ParameterMode,2))),2)&lt;&gt;0,MOD(INT($A117/POWER(2,LOG(SC_ViewMode,2))),2)&lt;&gt;0)))</f>
        <v>0</v>
      </c>
      <c r="F117" s="158">
        <f t="shared" si="19"/>
        <v>2</v>
      </c>
      <c r="G117" s="158">
        <f t="shared" si="44"/>
        <v>0</v>
      </c>
      <c r="H117" s="159">
        <f t="shared" si="45"/>
        <v>-1</v>
      </c>
      <c r="I117" s="478"/>
      <c r="J117" s="546"/>
      <c r="K117" s="64">
        <f t="shared" si="41"/>
        <v>0</v>
      </c>
      <c r="L117" s="61">
        <v>0</v>
      </c>
      <c r="M117" s="186">
        <f t="shared" si="42"/>
        <v>0</v>
      </c>
      <c r="N117" t="str">
        <f t="shared" si="37"/>
        <v/>
      </c>
    </row>
    <row r="118" spans="1:14" hidden="1" x14ac:dyDescent="0.25">
      <c r="A118">
        <f t="shared" si="43"/>
        <v>48</v>
      </c>
      <c r="B118" s="608"/>
      <c r="C118" s="549" t="s">
        <v>677</v>
      </c>
      <c r="D118" s="160" t="str">
        <f t="shared" si="36"/>
        <v/>
      </c>
      <c r="E118" s="169" t="b">
        <f>IF(SC_ViewMode=VMWIPED,FALSE,IF(SC_ViewMode=VMDEBUG,TRUE,AND(MOD(INT($A118/POWER(2,LOG(SC_ParameterMode,2))),2)&lt;&gt;0,MOD(INT($A118/POWER(2,LOG(SC_ViewMode,2))),2)&lt;&gt;0)))</f>
        <v>0</v>
      </c>
      <c r="F118" s="161">
        <f t="shared" si="19"/>
        <v>1</v>
      </c>
      <c r="G118" s="161">
        <f t="shared" si="44"/>
        <v>0</v>
      </c>
      <c r="H118" s="162">
        <f t="shared" si="45"/>
        <v>1</v>
      </c>
      <c r="I118" s="478"/>
      <c r="J118" s="546"/>
      <c r="K118" s="64">
        <f t="shared" si="41"/>
        <v>0</v>
      </c>
      <c r="L118" s="61">
        <v>0</v>
      </c>
      <c r="M118" s="186">
        <f t="shared" si="42"/>
        <v>0</v>
      </c>
      <c r="N118" t="str">
        <f t="shared" si="37"/>
        <v/>
      </c>
    </row>
    <row r="119" spans="1:14" hidden="1" x14ac:dyDescent="0.25">
      <c r="A119">
        <f t="shared" si="43"/>
        <v>48</v>
      </c>
      <c r="B119" s="608"/>
      <c r="C119" s="550"/>
      <c r="D119" s="157" t="str">
        <f t="shared" si="36"/>
        <v/>
      </c>
      <c r="E119" s="170" t="b">
        <f>IF(SC_ViewMode=VMWIPED,FALSE,IF(SC_ViewMode=VMDEBUG,TRUE,AND(MOD(INT($A119/POWER(2,LOG(SC_ParameterMode,2))),2)&lt;&gt;0,MOD(INT($A119/POWER(2,LOG(SC_ViewMode,2))),2)&lt;&gt;0)))</f>
        <v>0</v>
      </c>
      <c r="F119" s="158">
        <f t="shared" si="19"/>
        <v>2</v>
      </c>
      <c r="G119" s="158">
        <f t="shared" si="44"/>
        <v>0</v>
      </c>
      <c r="H119" s="159">
        <f t="shared" si="45"/>
        <v>-1</v>
      </c>
      <c r="I119" s="478"/>
      <c r="J119" s="546"/>
      <c r="K119" s="64">
        <f t="shared" si="41"/>
        <v>0</v>
      </c>
      <c r="L119" s="61">
        <v>0</v>
      </c>
      <c r="M119" s="186">
        <f t="shared" si="42"/>
        <v>0</v>
      </c>
      <c r="N119" t="str">
        <f t="shared" si="37"/>
        <v/>
      </c>
    </row>
    <row r="120" spans="1:14" hidden="1" x14ac:dyDescent="0.25">
      <c r="A120">
        <f t="shared" si="43"/>
        <v>48</v>
      </c>
      <c r="B120" s="608"/>
      <c r="C120" s="549" t="s">
        <v>682</v>
      </c>
      <c r="D120" s="160" t="str">
        <f t="shared" si="36"/>
        <v/>
      </c>
      <c r="E120" s="169" t="b">
        <f>IF(SC_ViewMode=VMWIPED,FALSE,IF(SC_ViewMode=VMDEBUG,TRUE,AND(MOD(INT($A120/POWER(2,LOG(SC_ParameterMode,2))),2)&lt;&gt;0,MOD(INT($A120/POWER(2,LOG(SC_ViewMode,2))),2)&lt;&gt;0)))</f>
        <v>0</v>
      </c>
      <c r="F120" s="161">
        <f t="shared" si="19"/>
        <v>1</v>
      </c>
      <c r="G120" s="161">
        <f t="shared" si="44"/>
        <v>0</v>
      </c>
      <c r="H120" s="162">
        <f t="shared" si="45"/>
        <v>1</v>
      </c>
      <c r="I120" s="478"/>
      <c r="J120" s="546"/>
      <c r="K120" s="64">
        <f t="shared" si="41"/>
        <v>0</v>
      </c>
      <c r="L120" s="61">
        <f>IF($M118=0,$I118,0)</f>
        <v>0</v>
      </c>
      <c r="M120" s="186">
        <f t="shared" si="42"/>
        <v>0</v>
      </c>
      <c r="N120" t="str">
        <f t="shared" si="37"/>
        <v/>
      </c>
    </row>
    <row r="121" spans="1:14" hidden="1" x14ac:dyDescent="0.25">
      <c r="A121">
        <f t="shared" si="43"/>
        <v>48</v>
      </c>
      <c r="B121" s="608"/>
      <c r="C121" s="550"/>
      <c r="D121" s="157" t="str">
        <f t="shared" si="36"/>
        <v/>
      </c>
      <c r="E121" s="170" t="b">
        <f>IF(SC_ViewMode=VMWIPED,FALSE,IF(SC_ViewMode=VMDEBUG,TRUE,AND(MOD(INT($A121/POWER(2,LOG(SC_ParameterMode,2))),2)&lt;&gt;0,MOD(INT($A121/POWER(2,LOG(SC_ViewMode,2))),2)&lt;&gt;0)))</f>
        <v>0</v>
      </c>
      <c r="F121" s="158">
        <f t="shared" si="19"/>
        <v>2</v>
      </c>
      <c r="G121" s="158">
        <f t="shared" si="44"/>
        <v>0</v>
      </c>
      <c r="H121" s="159">
        <f t="shared" si="45"/>
        <v>-1</v>
      </c>
      <c r="I121" s="478"/>
      <c r="J121" s="546"/>
      <c r="K121" s="64">
        <f t="shared" si="41"/>
        <v>0</v>
      </c>
      <c r="L121" s="61">
        <f>IF($M119=0,$I119,0)</f>
        <v>0</v>
      </c>
      <c r="M121" s="186">
        <f t="shared" si="42"/>
        <v>0</v>
      </c>
      <c r="N121" t="str">
        <f t="shared" si="37"/>
        <v/>
      </c>
    </row>
    <row r="122" spans="1:14" hidden="1" x14ac:dyDescent="0.25">
      <c r="A122">
        <f t="shared" si="43"/>
        <v>48</v>
      </c>
      <c r="B122" s="608"/>
      <c r="C122" s="549" t="s">
        <v>681</v>
      </c>
      <c r="D122" s="160" t="str">
        <f t="shared" si="36"/>
        <v/>
      </c>
      <c r="E122" s="169" t="b">
        <f>IF(SC_ViewMode=VMWIPED,FALSE,IF(SC_ViewMode=VMDEBUG,TRUE,AND(MOD(INT($A122/POWER(2,LOG(SC_ParameterMode,2))),2)&lt;&gt;0,MOD(INT($A122/POWER(2,LOG(SC_ViewMode,2))),2)&lt;&gt;0)))</f>
        <v>0</v>
      </c>
      <c r="F122" s="161">
        <f t="shared" si="19"/>
        <v>1</v>
      </c>
      <c r="G122" s="161">
        <f t="shared" si="44"/>
        <v>0</v>
      </c>
      <c r="H122" s="162">
        <f t="shared" si="45"/>
        <v>1</v>
      </c>
      <c r="I122" s="485"/>
      <c r="J122" s="546"/>
      <c r="K122" s="137">
        <f t="shared" si="41"/>
        <v>59.5</v>
      </c>
      <c r="L122" s="60">
        <v>59.5</v>
      </c>
      <c r="M122" s="186">
        <f t="shared" si="42"/>
        <v>0</v>
      </c>
      <c r="N122" t="str">
        <f t="shared" si="37"/>
        <v/>
      </c>
    </row>
    <row r="123" spans="1:14" hidden="1" x14ac:dyDescent="0.25">
      <c r="A123">
        <f t="shared" si="43"/>
        <v>48</v>
      </c>
      <c r="B123" s="609"/>
      <c r="C123" s="551"/>
      <c r="D123" s="163" t="str">
        <f t="shared" si="36"/>
        <v/>
      </c>
      <c r="E123" s="173" t="b">
        <f>IF(SC_ViewMode=VMWIPED,FALSE,IF(SC_ViewMode=VMDEBUG,TRUE,AND(MOD(INT($A123/POWER(2,LOG(SC_ParameterMode,2))),2)&lt;&gt;0,MOD(INT($A123/POWER(2,LOG(SC_ViewMode,2))),2)&lt;&gt;0)))</f>
        <v>0</v>
      </c>
      <c r="F123" s="164">
        <f t="shared" si="19"/>
        <v>2</v>
      </c>
      <c r="G123" s="164">
        <f t="shared" si="44"/>
        <v>0</v>
      </c>
      <c r="H123" s="165">
        <f t="shared" si="45"/>
        <v>-1</v>
      </c>
      <c r="I123" s="511"/>
      <c r="J123" s="548"/>
      <c r="K123" s="137">
        <f t="shared" si="41"/>
        <v>59.5</v>
      </c>
      <c r="L123" s="60">
        <v>59.5</v>
      </c>
      <c r="M123" s="186">
        <f t="shared" si="42"/>
        <v>0</v>
      </c>
      <c r="N123" t="str">
        <f t="shared" si="37"/>
        <v/>
      </c>
    </row>
    <row r="124" spans="1:14" hidden="1" x14ac:dyDescent="0.25">
      <c r="A124">
        <f>PMBASIC+PMADVANCED+IF(AND(SP_SSRIB,INDEX(SC_ShowRetireatee,$F124)), VMONLINE+VMMACRO, 0)</f>
        <v>48</v>
      </c>
      <c r="B124" s="600" t="s">
        <v>77</v>
      </c>
      <c r="C124" s="581" t="s">
        <v>45</v>
      </c>
      <c r="D124" s="362" t="str">
        <f t="shared" si="36"/>
        <v/>
      </c>
      <c r="E124" s="365" t="b">
        <f>IF(SC_ViewMode=VMWIPED,FALSE,IF(SC_ViewMode=VMDEBUG,TRUE,AND(MOD(INT($A124/POWER(2,LOG(SC_ParameterMode,2))),2)&lt;&gt;0,MOD(INT($A124/POWER(2,LOG(SC_ViewMode,2))),2)&lt;&gt;0)))</f>
        <v>0</v>
      </c>
      <c r="F124" s="363">
        <f t="shared" si="19"/>
        <v>1</v>
      </c>
      <c r="G124" s="363">
        <f t="shared" si="44"/>
        <v>0</v>
      </c>
      <c r="H124" s="364">
        <f t="shared" si="45"/>
        <v>1</v>
      </c>
      <c r="I124" s="486"/>
      <c r="J124" s="473">
        <f>IF($K124="",0,EDATE(DATE(YEAR(INDEX(SP_BirthDate,$F124)-1),MONTH(INDEX(SP_BirthDate,$F124)-1),1),ROUND($I124*12,0)))</f>
        <v>0</v>
      </c>
      <c r="K124" s="137" t="str">
        <f>IF(IF(COLUMN()=COLUMN(I124),TRUE,ISBLANK(I124)), L124, I124)</f>
        <v/>
      </c>
      <c r="L124" s="137" t="str">
        <f>""</f>
        <v/>
      </c>
      <c r="M124" s="186">
        <f>IFERROR(IF($E124, IF($K124="",110,IF(OR(NOT(ISNUMBER($I124)),$I124&lt;IF(DAY(INDEX(SP_BirthDate,$F124))=2,62,62+1/12),$I124&gt;LT_AnnuityMaxAge),210,0)), 0),203)</f>
        <v>0</v>
      </c>
      <c r="N124" t="str">
        <f t="shared" si="37"/>
        <v/>
      </c>
    </row>
    <row r="125" spans="1:14" hidden="1" x14ac:dyDescent="0.25">
      <c r="A125">
        <f>PMBASIC+PMADVANCED+IF(AND(SP_SSRIB,INDEX(SC_ShowRetireatee,$F125)), VMONLINE+VMMACRO, 0)</f>
        <v>48</v>
      </c>
      <c r="B125" s="601"/>
      <c r="C125" s="547"/>
      <c r="D125" s="366" t="str">
        <f t="shared" si="36"/>
        <v/>
      </c>
      <c r="E125" s="368" t="b">
        <f>IF(SC_ViewMode=VMWIPED,FALSE,IF(SC_ViewMode=VMDEBUG,TRUE,AND(MOD(INT($A125/POWER(2,LOG(SC_ParameterMode,2))),2)&lt;&gt;0,MOD(INT($A125/POWER(2,LOG(SC_ViewMode,2))),2)&lt;&gt;0)))</f>
        <v>0</v>
      </c>
      <c r="F125" s="367">
        <f t="shared" si="19"/>
        <v>2</v>
      </c>
      <c r="G125" s="367">
        <f t="shared" si="44"/>
        <v>0</v>
      </c>
      <c r="H125" s="353">
        <f t="shared" si="45"/>
        <v>-1</v>
      </c>
      <c r="I125" s="511"/>
      <c r="J125" s="473">
        <f>IF($K125="",0,EDATE(DATE(YEAR(INDEX(SP_BirthDate,$F125)-1),MONTH(INDEX(SP_BirthDate,$F125)-1),1),ROUND($I125*12,0)))</f>
        <v>0</v>
      </c>
      <c r="K125" s="137" t="str">
        <f t="shared" ref="K125:K127" si="46">IF(IF(COLUMN()=COLUMN(I125),TRUE,ISBLANK(I125)), L125, I125)</f>
        <v/>
      </c>
      <c r="L125" s="137" t="str">
        <f>""</f>
        <v/>
      </c>
      <c r="M125" s="186">
        <f>IFERROR(IF($E125, IF($K125="",110,IF(OR(NOT(ISNUMBER($I125)),$I125&lt;IF(DAY(INDEX(SP_BirthDate,$F125))=2,62,62+1/12),$I125&gt;LT_AnnuityMaxAge),210,0)), 0),203)</f>
        <v>0</v>
      </c>
      <c r="N125" t="str">
        <f t="shared" si="37"/>
        <v/>
      </c>
    </row>
    <row r="126" spans="1:14" hidden="1" x14ac:dyDescent="0.25">
      <c r="A126">
        <f>PMADVANCED+IF(AND(SP_SSRIB,INDEX(SC_ShowRetireatee,$F126),INDEX(SC_ShowRetireatee,$F126+$H126)), VMONLINE+VMMACRO, 0)</f>
        <v>32</v>
      </c>
      <c r="B126" s="601"/>
      <c r="C126" s="547" t="s">
        <v>1009</v>
      </c>
      <c r="D126" s="369" t="str">
        <f t="shared" si="36"/>
        <v/>
      </c>
      <c r="E126" s="370" t="b">
        <f>IF(SC_ViewMode=VMWIPED,FALSE,IF(SC_ViewMode=VMDEBUG,TRUE,AND(MOD(INT($A126/POWER(2,LOG(SC_ParameterMode,2))),2)&lt;&gt;0,MOD(INT($A126/POWER(2,LOG(SC_ViewMode,2))),2)&lt;&gt;0)))</f>
        <v>0</v>
      </c>
      <c r="F126" s="338">
        <f t="shared" si="19"/>
        <v>1</v>
      </c>
      <c r="G126" s="338">
        <f t="shared" si="44"/>
        <v>0</v>
      </c>
      <c r="H126" s="283">
        <f t="shared" si="45"/>
        <v>1</v>
      </c>
      <c r="I126" s="511"/>
      <c r="J126" s="473">
        <f>IF($K126="",0,EDATE(DATE(YEAR(INDEX(SP_BirthDate,$F126)-1),MONTH(INDEX(SP_BirthDate,$F126)-1),1),ROUND($I126*12,0)))</f>
        <v>0</v>
      </c>
      <c r="K126" s="137" t="str">
        <f t="shared" si="46"/>
        <v/>
      </c>
      <c r="L126" s="137" t="str">
        <f>""</f>
        <v/>
      </c>
      <c r="M126" s="186">
        <f>IFERROR(IF($E126, IF($K126="",0,IF(OR(NOT(ISNUMBER($I126)),$K126&lt;$I128,$K126&gt;INDEX(SP_LifeExp,$F126)),210,IF(INDEX(SP_SSABFA,$F126+$H126)="",0,211))), 0),203)</f>
        <v>0</v>
      </c>
      <c r="N126" t="str">
        <f t="shared" si="37"/>
        <v/>
      </c>
    </row>
    <row r="127" spans="1:14" hidden="1" x14ac:dyDescent="0.25">
      <c r="A127">
        <f>PMADVANCED+IF(AND(SP_SSRIB,INDEX(SC_ShowRetireatee,$F127),INDEX(SC_ShowRetireatee,$F127+$H127)), VMONLINE+VMMACRO, 0)</f>
        <v>32</v>
      </c>
      <c r="B127" s="601"/>
      <c r="C127" s="547"/>
      <c r="D127" s="366" t="str">
        <f t="shared" si="36"/>
        <v/>
      </c>
      <c r="E127" s="368" t="b">
        <f>IF(SC_ViewMode=VMWIPED,FALSE,IF(SC_ViewMode=VMDEBUG,TRUE,AND(MOD(INT($A127/POWER(2,LOG(SC_ParameterMode,2))),2)&lt;&gt;0,MOD(INT($A127/POWER(2,LOG(SC_ViewMode,2))),2)&lt;&gt;0)))</f>
        <v>0</v>
      </c>
      <c r="F127" s="367">
        <f t="shared" si="24"/>
        <v>2</v>
      </c>
      <c r="G127" s="367">
        <f t="shared" si="44"/>
        <v>0</v>
      </c>
      <c r="H127" s="353">
        <f t="shared" si="45"/>
        <v>-1</v>
      </c>
      <c r="I127" s="511"/>
      <c r="J127" s="473">
        <f>IF($K127="",0,EDATE(DATE(YEAR(INDEX(SP_BirthDate,$F127)-1),MONTH(INDEX(SP_BirthDate,$F127)-1),1),ROUND($I127*12,0)))</f>
        <v>0</v>
      </c>
      <c r="K127" s="137" t="str">
        <f t="shared" si="46"/>
        <v/>
      </c>
      <c r="L127" s="137" t="str">
        <f>""</f>
        <v/>
      </c>
      <c r="M127" s="186">
        <f>IFERROR(IF($E127, IF($K127="",0,IF(OR(NOT(ISNUMBER($I127)),$K127&lt;$I129,$K127&gt;INDEX(SP_LifeExp,$F127)),210,IF(INDEX(SP_SSABFA,$F127+$H127)="",0,211))), 0),203)</f>
        <v>0</v>
      </c>
      <c r="N127" t="str">
        <f t="shared" si="37"/>
        <v/>
      </c>
    </row>
    <row r="128" spans="1:14" s="378" customFormat="1" hidden="1" x14ac:dyDescent="0.25">
      <c r="A128" s="479">
        <f>PMADVANCED</f>
        <v>32</v>
      </c>
      <c r="B128" s="601"/>
      <c r="C128" s="538" t="s">
        <v>1018</v>
      </c>
      <c r="D128" s="369" t="str">
        <f t="shared" ref="D128:D129" si="47">INDEX(SP_Initials,F128)</f>
        <v/>
      </c>
      <c r="E128" s="283" t="b">
        <f>IF(SC_ViewMode=VMWIPED,FALSE,IF(SC_ViewMode=VMDEBUG,TRUE,AND(MOD(INT($A128/POWER(2,LOG(SC_ParameterMode,2))),2)&lt;&gt;0,MOD(INT($A128/POWER(2,LOG(SC_ViewMode,2))),2)&lt;&gt;0)))</f>
        <v>0</v>
      </c>
      <c r="F128" s="338">
        <f t="shared" si="24"/>
        <v>1</v>
      </c>
      <c r="G128" s="338">
        <f t="shared" si="44"/>
        <v>0</v>
      </c>
      <c r="H128" s="283">
        <f t="shared" si="45"/>
        <v>1</v>
      </c>
      <c r="I128" s="375">
        <f>IF(INDEX(SC_ShowRetireatee,$F128),MIN(IF(INDEX(SC_SSPBFD,3-$F130)=0,LT_AnnuityMaxAge+1,MAX(IF(DAY(INDEX(SP_BirthDate,$F128))=2,62,62+1/12),ROUNDUP(YEARFRAC(INDEX(SP_BirthDate,$F130),INDEX(SC_SSPBFD,3-$F130)),1))),MAX($I58,60)),0)</f>
        <v>0</v>
      </c>
      <c r="J128" s="540"/>
      <c r="K128" s="379"/>
      <c r="L128" s="380"/>
      <c r="M128" s="186"/>
    </row>
    <row r="129" spans="1:13" s="378" customFormat="1" hidden="1" x14ac:dyDescent="0.25">
      <c r="A129" s="378">
        <f>PMADVANCED</f>
        <v>32</v>
      </c>
      <c r="B129" s="601"/>
      <c r="C129" s="538"/>
      <c r="D129" s="366" t="str">
        <f t="shared" si="47"/>
        <v/>
      </c>
      <c r="E129" s="353" t="b">
        <f>IF(SC_ViewMode=VMWIPED,FALSE,IF(SC_ViewMode=VMDEBUG,TRUE,AND(MOD(INT($A129/POWER(2,LOG(SC_ParameterMode,2))),2)&lt;&gt;0,MOD(INT($A129/POWER(2,LOG(SC_ViewMode,2))),2)&lt;&gt;0)))</f>
        <v>0</v>
      </c>
      <c r="F129" s="367">
        <f t="shared" si="24"/>
        <v>2</v>
      </c>
      <c r="G129" s="367">
        <f t="shared" si="44"/>
        <v>0</v>
      </c>
      <c r="H129" s="353">
        <f t="shared" si="45"/>
        <v>-1</v>
      </c>
      <c r="I129" s="375">
        <f>IF(INDEX(SC_ShowRetireatee,$F129),MIN(IF(INDEX(SC_SSPBFD,3-$F131)=0,LT_AnnuityMaxAge+1,MAX(IF(DAY(INDEX(SP_BirthDate,$F129))=2,62,62+1/12),ROUNDUP(YEARFRAC(INDEX(SP_BirthDate,$F131),INDEX(SC_SSPBFD,3-$F131)),1))),MAX($I59,60)),0)</f>
        <v>0</v>
      </c>
      <c r="J129" s="540"/>
      <c r="K129" s="379"/>
      <c r="L129" s="380"/>
      <c r="M129" s="186"/>
    </row>
    <row r="130" spans="1:13" hidden="1" x14ac:dyDescent="0.25">
      <c r="A130" s="479">
        <f>PMBASIC+PMADVANCED</f>
        <v>48</v>
      </c>
      <c r="B130" s="601"/>
      <c r="C130" s="538" t="s">
        <v>68</v>
      </c>
      <c r="D130" s="369" t="str">
        <f t="shared" si="36"/>
        <v/>
      </c>
      <c r="E130" s="283" t="b">
        <f>IF(SC_ViewMode=VMWIPED,FALSE,IF(SC_ViewMode=VMDEBUG,TRUE,AND(MOD(INT($A130/POWER(2,LOG(SC_ParameterMode,2))),2)&lt;&gt;0,MOD(INT($A130/POWER(2,LOG(SC_ViewMode,2))),2)&lt;&gt;0)))</f>
        <v>0</v>
      </c>
      <c r="F130" s="338">
        <f t="shared" si="24"/>
        <v>1</v>
      </c>
      <c r="G130" s="338">
        <f t="shared" si="44"/>
        <v>0</v>
      </c>
      <c r="H130" s="283">
        <f t="shared" si="45"/>
        <v>1</v>
      </c>
      <c r="I130" s="199">
        <f>IF(INDEX(SC_ShowRetireatee,$F130),YEAR($K52-1)+60,0)</f>
        <v>0</v>
      </c>
      <c r="J130" s="540"/>
      <c r="K130" s="404"/>
      <c r="L130" s="403"/>
      <c r="M130" s="186"/>
    </row>
    <row r="131" spans="1:13" hidden="1" x14ac:dyDescent="0.25">
      <c r="A131">
        <f>PMBASIC+PMADVANCED</f>
        <v>48</v>
      </c>
      <c r="B131" s="601"/>
      <c r="C131" s="538"/>
      <c r="D131" s="366" t="str">
        <f t="shared" si="36"/>
        <v/>
      </c>
      <c r="E131" s="353" t="b">
        <f>IF(SC_ViewMode=VMWIPED,FALSE,IF(SC_ViewMode=VMDEBUG,TRUE,AND(MOD(INT($A131/POWER(2,LOG(SC_ParameterMode,2))),2)&lt;&gt;0,MOD(INT($A131/POWER(2,LOG(SC_ViewMode,2))),2)&lt;&gt;0)))</f>
        <v>0</v>
      </c>
      <c r="F131" s="367">
        <f t="shared" si="24"/>
        <v>2</v>
      </c>
      <c r="G131" s="367">
        <f t="shared" si="44"/>
        <v>0</v>
      </c>
      <c r="H131" s="353">
        <f t="shared" si="45"/>
        <v>-1</v>
      </c>
      <c r="I131" s="374">
        <f>IF(INDEX(SC_ShowRetireatee,$F131),YEAR($K53-1)+60,0)</f>
        <v>0</v>
      </c>
      <c r="J131" s="540"/>
      <c r="K131" s="404"/>
      <c r="L131" s="403"/>
      <c r="M131" s="186"/>
    </row>
    <row r="132" spans="1:13" hidden="1" x14ac:dyDescent="0.25">
      <c r="A132">
        <f>PMBASIC+PMADVANCED+IF(AND(SP_SSRIB,INDEX(SC_ShowRetireatee,$F132)), VMONLINE+VMMACRO, 0)</f>
        <v>48</v>
      </c>
      <c r="B132" s="601"/>
      <c r="C132" s="538" t="s">
        <v>44</v>
      </c>
      <c r="D132" s="369" t="str">
        <f t="shared" si="36"/>
        <v/>
      </c>
      <c r="E132" s="283" t="b">
        <f>IF(SC_ViewMode=VMWIPED,FALSE,IF(SC_ViewMode=VMDEBUG,TRUE,AND(MOD(INT($A132/POWER(2,LOG(SC_ParameterMode,2))),2)&lt;&gt;0,MOD(INT($A132/POWER(2,LOG(SC_ViewMode,2))),2)&lt;&gt;0)))</f>
        <v>0</v>
      </c>
      <c r="F132" s="338">
        <f t="shared" si="24"/>
        <v>1</v>
      </c>
      <c r="G132" s="338">
        <f t="shared" si="44"/>
        <v>0</v>
      </c>
      <c r="H132" s="283">
        <f t="shared" si="45"/>
        <v>1</v>
      </c>
      <c r="I132" s="375">
        <f>IF(INDEX(SC_ShowRetireatee,$F132),IF(YEAR($K52-1)&lt;1937,65,IF(YEAR($K52-1)&lt;1943,65+((YEAR($K52-1)-1937)/6),IF(YEAR($K52-1)&lt;1954, 66, IF(YEAR($K52-1)&lt;1960,66+((YEAR($K52-1)-1954)/6), 67)))),0)</f>
        <v>0</v>
      </c>
      <c r="J132" s="473">
        <f>IF($I132=0,0,EDATE(DATE(YEAR(INDEX(SP_BirthDate,$F132)-1),MONTH(INDEX(SP_BirthDate,$F132)-1),1),ROUND($I132*12,0)))</f>
        <v>0</v>
      </c>
      <c r="K132" s="329"/>
      <c r="L132" s="238"/>
      <c r="M132" s="186"/>
    </row>
    <row r="133" spans="1:13" hidden="1" x14ac:dyDescent="0.25">
      <c r="A133">
        <f>PMBASIC+PMADVANCED+IF(AND(SP_SSRIB,INDEX(SC_ShowRetireatee,$F133)), VMONLINE+VMMACRO, 0)</f>
        <v>48</v>
      </c>
      <c r="B133" s="601"/>
      <c r="C133" s="538"/>
      <c r="D133" s="366" t="str">
        <f t="shared" si="36"/>
        <v/>
      </c>
      <c r="E133" s="353" t="b">
        <f>IF(SC_ViewMode=VMWIPED,FALSE,IF(SC_ViewMode=VMDEBUG,TRUE,AND(MOD(INT($A133/POWER(2,LOG(SC_ParameterMode,2))),2)&lt;&gt;0,MOD(INT($A133/POWER(2,LOG(SC_ViewMode,2))),2)&lt;&gt;0)))</f>
        <v>0</v>
      </c>
      <c r="F133" s="367">
        <f t="shared" si="24"/>
        <v>2</v>
      </c>
      <c r="G133" s="367">
        <f t="shared" si="44"/>
        <v>0</v>
      </c>
      <c r="H133" s="353">
        <f t="shared" si="45"/>
        <v>-1</v>
      </c>
      <c r="I133" s="375">
        <f>IF(INDEX(SC_ShowRetireatee,$F133),IF(YEAR($K53-1)&lt;1937,65,IF(YEAR($K53-1)&lt;1943,65+((YEAR($K53-1)-1937)/6),IF(YEAR($K53-1)&lt;1954, 66, IF(YEAR($K53-1)&lt;1960,66+((YEAR($K53-1)-1954)/6), 67)))),0)</f>
        <v>0</v>
      </c>
      <c r="J133" s="473">
        <f>IF($I133=0,0,EDATE(DATE(YEAR(INDEX(SP_BirthDate,$F133)-1),MONTH(INDEX(SP_BirthDate,$F133)-1),1),ROUND($I133*12,0)))</f>
        <v>0</v>
      </c>
      <c r="K133" s="329"/>
      <c r="L133" s="238"/>
      <c r="M133" s="186"/>
    </row>
    <row r="134" spans="1:13" hidden="1" x14ac:dyDescent="0.25">
      <c r="A134">
        <f>PMADVANCED+IF(AND(SP_SSRIB,INDEX(SC_ShowRetireatee,$F134)), VMONLINE+VMMACRO, 0)</f>
        <v>32</v>
      </c>
      <c r="B134" s="601"/>
      <c r="C134" s="538" t="s">
        <v>46</v>
      </c>
      <c r="D134" s="369" t="str">
        <f t="shared" si="36"/>
        <v/>
      </c>
      <c r="E134" s="283" t="b">
        <f>IF(SC_ViewMode=VMWIPED,FALSE,IF(SC_ViewMode=VMDEBUG,TRUE,AND(MOD(INT($A134/POWER(2,LOG(SC_ParameterMode,2))),2)&lt;&gt;0,MOD(INT($A134/POWER(2,LOG(SC_ViewMode,2))),2)&lt;&gt;0)))</f>
        <v>0</v>
      </c>
      <c r="F134" s="338">
        <f t="shared" si="24"/>
        <v>1</v>
      </c>
      <c r="G134" s="338">
        <f t="shared" si="44"/>
        <v>0</v>
      </c>
      <c r="H134" s="283">
        <f t="shared" si="45"/>
        <v>1</v>
      </c>
      <c r="I134" s="375">
        <f>IF($J124=0,IF($K126="",0,IF($K126&lt;MIN(IF(YEAR($K52-1)&lt;1954,$I132,70),$I58),MAX($K126,62),0)),IF($K126="",$K124,IF($K126&lt;MIN(IF(YEAR($K52-1)&lt;1954,$I132,70),$I58),MIN($K124,MAX($K126,62)),$K124)))</f>
        <v>0</v>
      </c>
      <c r="J134" s="473">
        <f>IF($I134=0,0,EDATE(DATE(YEAR(INDEX(SP_BirthDate,$F134)-1),MONTH(INDEX(SP_BirthDate,$F134)-1),1),ROUND($I134*12,0)))</f>
        <v>0</v>
      </c>
      <c r="K134" s="404"/>
      <c r="L134" s="403"/>
      <c r="M134" s="186"/>
    </row>
    <row r="135" spans="1:13" hidden="1" x14ac:dyDescent="0.25">
      <c r="A135">
        <f>PMADVANCED+IF(AND(SP_SSRIB,INDEX(SC_ShowRetireatee,$F135)), VMONLINE+VMMACRO, 0)</f>
        <v>32</v>
      </c>
      <c r="B135" s="601"/>
      <c r="C135" s="538"/>
      <c r="D135" s="366" t="str">
        <f t="shared" si="36"/>
        <v/>
      </c>
      <c r="E135" s="353" t="b">
        <f>IF(SC_ViewMode=VMWIPED,FALSE,IF(SC_ViewMode=VMDEBUG,TRUE,AND(MOD(INT($A135/POWER(2,LOG(SC_ParameterMode,2))),2)&lt;&gt;0,MOD(INT($A135/POWER(2,LOG(SC_ViewMode,2))),2)&lt;&gt;0)))</f>
        <v>0</v>
      </c>
      <c r="F135" s="367">
        <f t="shared" si="24"/>
        <v>2</v>
      </c>
      <c r="G135" s="367">
        <f t="shared" si="44"/>
        <v>0</v>
      </c>
      <c r="H135" s="353">
        <f t="shared" si="45"/>
        <v>-1</v>
      </c>
      <c r="I135" s="375">
        <f>IF($J125=0,IF($K127="",0,IF($K127&lt;MIN(IF(YEAR($K53-1)&lt;1954,$I133,70),$I59),MAX($K127,62),0)),IF($K127="",$K125,IF($K127&lt;MIN(IF(YEAR($K53-1)&lt;1954,$I133,70),$I59),MIN($K125,MAX($K127,62)),$K125)))</f>
        <v>0</v>
      </c>
      <c r="J135" s="473">
        <f>IF($I135=0,0,EDATE(DATE(YEAR(INDEX(SP_BirthDate,$F135)-1),MONTH(INDEX(SP_BirthDate,$F135)-1),1),ROUND($I135*12,0)))</f>
        <v>0</v>
      </c>
      <c r="K135" s="404"/>
      <c r="L135" s="403"/>
      <c r="M135" s="186"/>
    </row>
    <row r="136" spans="1:13" hidden="1" x14ac:dyDescent="0.25">
      <c r="A136">
        <f t="shared" ref="A136:A141" si="48">PMBASIC+PMADVANCED+IF(AND(SP_SSRIB,INDEX(SC_ShowRetireatee,$F136)), VMONLINE+VMMACRO, 0)</f>
        <v>48</v>
      </c>
      <c r="B136" s="601"/>
      <c r="C136" s="538" t="s">
        <v>43</v>
      </c>
      <c r="D136" s="369" t="str">
        <f t="shared" si="36"/>
        <v/>
      </c>
      <c r="E136" s="283" t="b">
        <f>IF(SC_ViewMode=VMWIPED,FALSE,IF(SC_ViewMode=VMDEBUG,TRUE,AND(MOD(INT($A136/POWER(2,LOG(SC_ParameterMode,2))),2)&lt;&gt;0,MOD(INT($A136/POWER(2,LOG(SC_ViewMode,2))),2)&lt;&gt;0)))</f>
        <v>0</v>
      </c>
      <c r="F136" s="338">
        <f t="shared" si="24"/>
        <v>1</v>
      </c>
      <c r="G136" s="338">
        <f t="shared" si="44"/>
        <v>0</v>
      </c>
      <c r="H136" s="283">
        <f t="shared" si="45"/>
        <v>1</v>
      </c>
      <c r="I136" s="374">
        <f>IF(INDEX(SC_ShowRetireatee,$F136),40-MAX(1929-YEAR($K52),0),0)</f>
        <v>0</v>
      </c>
      <c r="J136" s="540"/>
      <c r="K136" s="404"/>
      <c r="L136" s="403"/>
      <c r="M136" s="186"/>
    </row>
    <row r="137" spans="1:13" hidden="1" x14ac:dyDescent="0.25">
      <c r="A137">
        <f t="shared" si="48"/>
        <v>48</v>
      </c>
      <c r="B137" s="601"/>
      <c r="C137" s="538"/>
      <c r="D137" s="366" t="str">
        <f t="shared" si="36"/>
        <v/>
      </c>
      <c r="E137" s="353" t="b">
        <f>IF(SC_ViewMode=VMWIPED,FALSE,IF(SC_ViewMode=VMDEBUG,TRUE,AND(MOD(INT($A137/POWER(2,LOG(SC_ParameterMode,2))),2)&lt;&gt;0,MOD(INT($A137/POWER(2,LOG(SC_ViewMode,2))),2)&lt;&gt;0)))</f>
        <v>0</v>
      </c>
      <c r="F137" s="367">
        <f t="shared" si="24"/>
        <v>2</v>
      </c>
      <c r="G137" s="367">
        <f t="shared" si="44"/>
        <v>0</v>
      </c>
      <c r="H137" s="353">
        <f t="shared" si="45"/>
        <v>-1</v>
      </c>
      <c r="I137" s="374">
        <f>IF(INDEX(SC_ShowRetireatee,$F137),40-MAX(1929-YEAR($K53),0),0)</f>
        <v>0</v>
      </c>
      <c r="J137" s="540"/>
      <c r="K137" s="404"/>
      <c r="L137" s="403"/>
      <c r="M137" s="186"/>
    </row>
    <row r="138" spans="1:13" hidden="1" x14ac:dyDescent="0.25">
      <c r="A138">
        <f t="shared" si="48"/>
        <v>48</v>
      </c>
      <c r="B138" s="601"/>
      <c r="C138" s="538" t="s">
        <v>32</v>
      </c>
      <c r="D138" s="369" t="str">
        <f t="shared" si="36"/>
        <v/>
      </c>
      <c r="E138" s="283" t="b">
        <f>IF(SC_ViewMode=VMWIPED,FALSE,IF(SC_ViewMode=VMDEBUG,TRUE,AND(MOD(INT($A138/POWER(2,LOG(SC_ParameterMode,2))),2)&lt;&gt;0,MOD(INT($A138/POWER(2,LOG(SC_ViewMode,2))),2)&lt;&gt;0)))</f>
        <v>0</v>
      </c>
      <c r="F138" s="338">
        <f t="shared" si="24"/>
        <v>1</v>
      </c>
      <c r="G138" s="338">
        <f t="shared" si="44"/>
        <v>0</v>
      </c>
      <c r="H138" s="283">
        <f t="shared" si="45"/>
        <v>1</v>
      </c>
      <c r="I138" s="376">
        <f>IF(INDEX(SC_ShowRetireatee,$F138),IF(YEAR($K52)&lt;=1924, 0.03, 0.03+ MIN(ROUNDUP((YEAR($K52)-1924)/2,0),10)*0.005),0)</f>
        <v>0</v>
      </c>
      <c r="J138" s="540"/>
      <c r="K138" s="404"/>
      <c r="L138" s="403"/>
      <c r="M138" s="186"/>
    </row>
    <row r="139" spans="1:13" hidden="1" x14ac:dyDescent="0.25">
      <c r="A139">
        <f t="shared" si="48"/>
        <v>48</v>
      </c>
      <c r="B139" s="601"/>
      <c r="C139" s="538"/>
      <c r="D139" s="366" t="str">
        <f t="shared" si="36"/>
        <v/>
      </c>
      <c r="E139" s="353" t="b">
        <f>IF(SC_ViewMode=VMWIPED,FALSE,IF(SC_ViewMode=VMDEBUG,TRUE,AND(MOD(INT($A139/POWER(2,LOG(SC_ParameterMode,2))),2)&lt;&gt;0,MOD(INT($A139/POWER(2,LOG(SC_ViewMode,2))),2)&lt;&gt;0)))</f>
        <v>0</v>
      </c>
      <c r="F139" s="367">
        <f t="shared" si="24"/>
        <v>2</v>
      </c>
      <c r="G139" s="367">
        <f t="shared" si="44"/>
        <v>0</v>
      </c>
      <c r="H139" s="353">
        <f t="shared" si="45"/>
        <v>-1</v>
      </c>
      <c r="I139" s="376">
        <f>IF(INDEX(SC_ShowRetireatee,$F139),IF(YEAR($K53)&lt;=1924, 0.03, 0.03+ MIN(ROUNDUP((YEAR($K53)-1924)/2,0),10)*0.005),0)</f>
        <v>0</v>
      </c>
      <c r="J139" s="540"/>
      <c r="K139" s="404"/>
      <c r="L139" s="403"/>
      <c r="M139" s="186"/>
    </row>
    <row r="140" spans="1:13" hidden="1" x14ac:dyDescent="0.25">
      <c r="A140">
        <f t="shared" si="48"/>
        <v>48</v>
      </c>
      <c r="B140" s="601"/>
      <c r="C140" s="538" t="s">
        <v>55</v>
      </c>
      <c r="D140" s="369" t="str">
        <f t="shared" si="36"/>
        <v/>
      </c>
      <c r="E140" s="283" t="b">
        <f>IF(SC_ViewMode=VMWIPED,FALSE,IF(SC_ViewMode=VMDEBUG,TRUE,AND(MOD(INT($A140/POWER(2,LOG(SC_ParameterMode,2))),2)&lt;&gt;0,MOD(INT($A140/POWER(2,LOG(SC_ViewMode,2))),2)&lt;&gt;0)))</f>
        <v>0</v>
      </c>
      <c r="F140" s="338">
        <f t="shared" si="24"/>
        <v>1</v>
      </c>
      <c r="G140" s="338">
        <f t="shared" si="44"/>
        <v>0</v>
      </c>
      <c r="H140" s="283">
        <f t="shared" si="45"/>
        <v>1</v>
      </c>
      <c r="I140" s="376">
        <f>IF($I134=0,100%,1-(MAX(MIN(36,($I132-$I134)*12),0)*5/900)-(MAX(($I132-$I134)*12-36,0)*5/1200)+(MAX(MIN($I134,70)-$I132,0)*$I138))</f>
        <v>1</v>
      </c>
      <c r="J140" s="540"/>
      <c r="K140" s="404"/>
      <c r="L140" s="403"/>
      <c r="M140" s="186"/>
    </row>
    <row r="141" spans="1:13" hidden="1" x14ac:dyDescent="0.25">
      <c r="A141">
        <f t="shared" si="48"/>
        <v>48</v>
      </c>
      <c r="B141" s="601"/>
      <c r="C141" s="538"/>
      <c r="D141" s="366" t="str">
        <f t="shared" si="36"/>
        <v/>
      </c>
      <c r="E141" s="353" t="b">
        <f>IF(SC_ViewMode=VMWIPED,FALSE,IF(SC_ViewMode=VMDEBUG,TRUE,AND(MOD(INT($A141/POWER(2,LOG(SC_ParameterMode,2))),2)&lt;&gt;0,MOD(INT($A141/POWER(2,LOG(SC_ViewMode,2))),2)&lt;&gt;0)))</f>
        <v>0</v>
      </c>
      <c r="F141" s="367">
        <f t="shared" si="24"/>
        <v>2</v>
      </c>
      <c r="G141" s="367">
        <f t="shared" si="44"/>
        <v>0</v>
      </c>
      <c r="H141" s="353">
        <f t="shared" si="45"/>
        <v>-1</v>
      </c>
      <c r="I141" s="376">
        <f>IF($I135=0,100%,1-(MAX(MIN(36,($I133-$I135)*12),0)*5/900)-(MAX(($I133-$I135)*12-36,0)*5/1200)+(MAX(MIN($I135,70)-$I133,0)*$I139))</f>
        <v>1</v>
      </c>
      <c r="J141" s="540"/>
      <c r="K141" s="404"/>
      <c r="L141" s="403"/>
      <c r="M141" s="186"/>
    </row>
    <row r="142" spans="1:13" hidden="1" x14ac:dyDescent="0.25">
      <c r="A142">
        <f>PMADVANCED+IF(AND(SP_SSRIB,INDEX(SC_ShowRetireatee,1),INDEX(SC_ShowRetireatee,2)), VMONLINE+VMMACRO, 0)</f>
        <v>32</v>
      </c>
      <c r="B142" s="601"/>
      <c r="C142" s="538" t="s">
        <v>56</v>
      </c>
      <c r="D142" s="369" t="str">
        <f t="shared" si="36"/>
        <v/>
      </c>
      <c r="E142" s="283" t="b">
        <f>IF(SC_ViewMode=VMWIPED,FALSE,IF(SC_ViewMode=VMDEBUG,TRUE,AND(MOD(INT($A142/POWER(2,LOG(SC_ParameterMode,2))),2)&lt;&gt;0,MOD(INT($A142/POWER(2,LOG(SC_ViewMode,2))),2)&lt;&gt;0)))</f>
        <v>0</v>
      </c>
      <c r="F142" s="338">
        <f t="shared" si="24"/>
        <v>1</v>
      </c>
      <c r="G142" s="338">
        <f t="shared" si="44"/>
        <v>0</v>
      </c>
      <c r="H142" s="283">
        <f t="shared" si="45"/>
        <v>1</v>
      </c>
      <c r="I142" s="376">
        <f>IF($J126=0,0,1-(MAX(MIN(36, ($I132-MAX($K126,62))*12),0)*25/3600)-(MAX(($I132-MAX($K126,62))*12-36,0)*5/1200))</f>
        <v>0</v>
      </c>
      <c r="J142" s="540"/>
      <c r="K142" s="404"/>
      <c r="L142" s="403"/>
      <c r="M142" s="186"/>
    </row>
    <row r="143" spans="1:13" hidden="1" x14ac:dyDescent="0.25">
      <c r="A143">
        <f>PMADVANCED+IF(AND(SP_SSRIB,INDEX(SC_ShowRetireatee,1),INDEX(SC_ShowRetireatee,2)), VMONLINE+VMMACRO, 0)</f>
        <v>32</v>
      </c>
      <c r="B143" s="601"/>
      <c r="C143" s="538"/>
      <c r="D143" s="366" t="str">
        <f t="shared" si="36"/>
        <v/>
      </c>
      <c r="E143" s="353" t="b">
        <f>IF(SC_ViewMode=VMWIPED,FALSE,IF(SC_ViewMode=VMDEBUG,TRUE,AND(MOD(INT($A143/POWER(2,LOG(SC_ParameterMode,2))),2)&lt;&gt;0,MOD(INT($A143/POWER(2,LOG(SC_ViewMode,2))),2)&lt;&gt;0)))</f>
        <v>0</v>
      </c>
      <c r="F143" s="367">
        <f t="shared" si="24"/>
        <v>2</v>
      </c>
      <c r="G143" s="367">
        <f t="shared" si="44"/>
        <v>0</v>
      </c>
      <c r="H143" s="353">
        <f t="shared" si="45"/>
        <v>-1</v>
      </c>
      <c r="I143" s="376">
        <f>IF($J127=0,0,1-(MAX(MIN(36, ($I133-MAX($K127,62))*12),0)*25/3600)-(MAX(($I133-MAX($K127,62))*12-36,0)*5/1200))</f>
        <v>0</v>
      </c>
      <c r="J143" s="540"/>
      <c r="K143" s="404"/>
      <c r="L143" s="403"/>
      <c r="M143" s="186"/>
    </row>
    <row r="144" spans="1:13" hidden="1" x14ac:dyDescent="0.25">
      <c r="A144" s="337">
        <f>PMADVANCED+IF(AND(SP_SSRIB,INDEX(SC_ShowRetireatee,1),INDEX(SC_ShowRetireatee,2)), VMONLINE+VMMACRO, 0)</f>
        <v>32</v>
      </c>
      <c r="B144" s="601"/>
      <c r="C144" s="538" t="s">
        <v>874</v>
      </c>
      <c r="D144" s="369" t="str">
        <f t="shared" ref="D144:D145" si="49">INDEX(SP_Initials,F144)</f>
        <v/>
      </c>
      <c r="E144" s="283" t="b">
        <f>IF(SC_ViewMode=VMWIPED,FALSE,IF(SC_ViewMode=VMDEBUG,TRUE,AND(MOD(INT($A144/POWER(2,LOG(SC_ParameterMode,2))),2)&lt;&gt;0,MOD(INT($A144/POWER(2,LOG(SC_ViewMode,2))),2)&lt;&gt;0)))</f>
        <v>0</v>
      </c>
      <c r="F144" s="338">
        <f t="shared" si="24"/>
        <v>1</v>
      </c>
      <c r="G144" s="338">
        <f t="shared" si="44"/>
        <v>0</v>
      </c>
      <c r="H144" s="283">
        <f t="shared" si="45"/>
        <v>1</v>
      </c>
      <c r="I144" s="376">
        <f ca="1">IF($J126=0,0,(1-((MAX($I132-MAX($K126,INDEX(SC_SurvivingAge,$F144)),0)/($I132-60))*28.5%))*MAX(OFFSET($I140,$H144,0),82.5%))</f>
        <v>0</v>
      </c>
      <c r="J144" s="540"/>
      <c r="K144" s="404"/>
      <c r="L144" s="403"/>
    </row>
    <row r="145" spans="1:12" hidden="1" x14ac:dyDescent="0.25">
      <c r="A145" s="337">
        <f>PMADVANCED+IF(AND(SP_SSRIB,INDEX(SC_ShowRetireatee,1),INDEX(SC_ShowRetireatee,2)), VMONLINE+VMMACRO, 0)</f>
        <v>32</v>
      </c>
      <c r="B145" s="602"/>
      <c r="C145" s="539"/>
      <c r="D145" s="371" t="str">
        <f t="shared" si="49"/>
        <v/>
      </c>
      <c r="E145" s="373" t="b">
        <f>IF(SC_ViewMode=VMWIPED,FALSE,IF(SC_ViewMode=VMDEBUG,TRUE,AND(MOD(INT($A145/POWER(2,LOG(SC_ParameterMode,2))),2)&lt;&gt;0,MOD(INT($A145/POWER(2,LOG(SC_ViewMode,2))),2)&lt;&gt;0)))</f>
        <v>0</v>
      </c>
      <c r="F145" s="372">
        <f t="shared" si="24"/>
        <v>2</v>
      </c>
      <c r="G145" s="372">
        <f t="shared" si="44"/>
        <v>0</v>
      </c>
      <c r="H145" s="373">
        <f t="shared" si="45"/>
        <v>-1</v>
      </c>
      <c r="I145" s="376">
        <f ca="1">IF($J127=0,0,(1-((MAX($I133-MAX($K127,INDEX(SC_SurvivingAge,$F145)),0)/($I133-60))*28.5%))*MAX(OFFSET($I141,$H145,0),82.5%))</f>
        <v>0</v>
      </c>
      <c r="J145" s="541"/>
      <c r="K145" s="405"/>
      <c r="L145" s="406"/>
    </row>
    <row r="146" spans="1:12" x14ac:dyDescent="0.25">
      <c r="B146" s="361"/>
      <c r="C146" s="361"/>
      <c r="D146" s="361"/>
      <c r="E146" s="361"/>
      <c r="F146" s="361"/>
      <c r="G146" s="361"/>
      <c r="H146" s="361"/>
      <c r="I146" s="361"/>
      <c r="J146" s="361"/>
      <c r="K146" s="361"/>
      <c r="L146" s="361"/>
    </row>
  </sheetData>
  <sheetProtection sheet="1" objects="1" scenarios="1" autoFilter="0"/>
  <dataConsolidate/>
  <mergeCells count="150">
    <mergeCell ref="B124:B145"/>
    <mergeCell ref="I31:J31"/>
    <mergeCell ref="I32:J32"/>
    <mergeCell ref="I30:J30"/>
    <mergeCell ref="J58:J59"/>
    <mergeCell ref="C23:D23"/>
    <mergeCell ref="B30:B43"/>
    <mergeCell ref="C72:C73"/>
    <mergeCell ref="B88:B105"/>
    <mergeCell ref="B106:B123"/>
    <mergeCell ref="C58:C59"/>
    <mergeCell ref="C27:D27"/>
    <mergeCell ref="B62:B87"/>
    <mergeCell ref="C80:C81"/>
    <mergeCell ref="C39:D39"/>
    <mergeCell ref="C31:D31"/>
    <mergeCell ref="C40:D40"/>
    <mergeCell ref="C38:D38"/>
    <mergeCell ref="C36:D36"/>
    <mergeCell ref="C48:J48"/>
    <mergeCell ref="C30:D30"/>
    <mergeCell ref="C42:D42"/>
    <mergeCell ref="C32:D32"/>
    <mergeCell ref="C33:D33"/>
    <mergeCell ref="C2:J2"/>
    <mergeCell ref="C19:J19"/>
    <mergeCell ref="C4:D4"/>
    <mergeCell ref="C6:D6"/>
    <mergeCell ref="C20:D20"/>
    <mergeCell ref="C21:D21"/>
    <mergeCell ref="C22:D22"/>
    <mergeCell ref="C25:D25"/>
    <mergeCell ref="C26:D26"/>
    <mergeCell ref="C7:D7"/>
    <mergeCell ref="C10:D10"/>
    <mergeCell ref="C13:D13"/>
    <mergeCell ref="C11:D11"/>
    <mergeCell ref="C12:D12"/>
    <mergeCell ref="C15:D15"/>
    <mergeCell ref="C14:D14"/>
    <mergeCell ref="C9:D9"/>
    <mergeCell ref="I15:J15"/>
    <mergeCell ref="C5:D5"/>
    <mergeCell ref="C8:D8"/>
    <mergeCell ref="C3:D3"/>
    <mergeCell ref="C17:D17"/>
    <mergeCell ref="C16:D16"/>
    <mergeCell ref="C142:C143"/>
    <mergeCell ref="C102:C103"/>
    <mergeCell ref="C116:C117"/>
    <mergeCell ref="C130:C131"/>
    <mergeCell ref="C114:C115"/>
    <mergeCell ref="C106:C107"/>
    <mergeCell ref="C120:C121"/>
    <mergeCell ref="C104:C105"/>
    <mergeCell ref="C98:C99"/>
    <mergeCell ref="C138:C139"/>
    <mergeCell ref="C140:C141"/>
    <mergeCell ref="C124:C125"/>
    <mergeCell ref="J140:J141"/>
    <mergeCell ref="J98:J99"/>
    <mergeCell ref="J100:J101"/>
    <mergeCell ref="C118:C119"/>
    <mergeCell ref="J106:J107"/>
    <mergeCell ref="J108:J109"/>
    <mergeCell ref="C100:C101"/>
    <mergeCell ref="J102:J103"/>
    <mergeCell ref="C110:C111"/>
    <mergeCell ref="C112:C113"/>
    <mergeCell ref="C128:C129"/>
    <mergeCell ref="J128:J129"/>
    <mergeCell ref="J94:J95"/>
    <mergeCell ref="J80:J81"/>
    <mergeCell ref="C78:C79"/>
    <mergeCell ref="C76:C77"/>
    <mergeCell ref="C84:C85"/>
    <mergeCell ref="C74:C75"/>
    <mergeCell ref="J86:J87"/>
    <mergeCell ref="J92:J93"/>
    <mergeCell ref="J96:J97"/>
    <mergeCell ref="C88:C89"/>
    <mergeCell ref="C90:C91"/>
    <mergeCell ref="C92:C93"/>
    <mergeCell ref="C94:C95"/>
    <mergeCell ref="C96:C97"/>
    <mergeCell ref="C86:C87"/>
    <mergeCell ref="C82:C83"/>
    <mergeCell ref="J88:J89"/>
    <mergeCell ref="J74:J75"/>
    <mergeCell ref="J90:J91"/>
    <mergeCell ref="J64:J65"/>
    <mergeCell ref="J52:J53"/>
    <mergeCell ref="J54:J55"/>
    <mergeCell ref="J56:J57"/>
    <mergeCell ref="J62:J63"/>
    <mergeCell ref="I73:J73"/>
    <mergeCell ref="J82:J83"/>
    <mergeCell ref="J84:J85"/>
    <mergeCell ref="J68:J69"/>
    <mergeCell ref="J70:J71"/>
    <mergeCell ref="J76:J77"/>
    <mergeCell ref="J78:J79"/>
    <mergeCell ref="C70:C71"/>
    <mergeCell ref="C24:D24"/>
    <mergeCell ref="C56:C57"/>
    <mergeCell ref="J60:J61"/>
    <mergeCell ref="J66:J67"/>
    <mergeCell ref="C60:C61"/>
    <mergeCell ref="C64:C65"/>
    <mergeCell ref="I72:J72"/>
    <mergeCell ref="C28:D28"/>
    <mergeCell ref="C54:C55"/>
    <mergeCell ref="C29:D29"/>
    <mergeCell ref="C41:D41"/>
    <mergeCell ref="C68:C69"/>
    <mergeCell ref="C66:C67"/>
    <mergeCell ref="C62:C63"/>
    <mergeCell ref="C50:C51"/>
    <mergeCell ref="C52:C53"/>
    <mergeCell ref="C37:D37"/>
    <mergeCell ref="C45:D45"/>
    <mergeCell ref="C44:D44"/>
    <mergeCell ref="C46:D46"/>
    <mergeCell ref="C43:D43"/>
    <mergeCell ref="C34:D34"/>
    <mergeCell ref="C35:D35"/>
    <mergeCell ref="C144:C145"/>
    <mergeCell ref="J144:J145"/>
    <mergeCell ref="I29:J29"/>
    <mergeCell ref="I21:J21"/>
    <mergeCell ref="I22:J22"/>
    <mergeCell ref="J142:J143"/>
    <mergeCell ref="J114:J115"/>
    <mergeCell ref="J116:J117"/>
    <mergeCell ref="C126:C127"/>
    <mergeCell ref="C134:C135"/>
    <mergeCell ref="C136:C137"/>
    <mergeCell ref="J118:J119"/>
    <mergeCell ref="J120:J121"/>
    <mergeCell ref="J122:J123"/>
    <mergeCell ref="J136:J137"/>
    <mergeCell ref="C108:C109"/>
    <mergeCell ref="C122:C123"/>
    <mergeCell ref="C132:C133"/>
    <mergeCell ref="J138:J139"/>
    <mergeCell ref="J130:J131"/>
    <mergeCell ref="J104:J105"/>
    <mergeCell ref="J110:J111"/>
    <mergeCell ref="J112:J113"/>
    <mergeCell ref="J50:J51"/>
  </mergeCells>
  <conditionalFormatting sqref="I9 I60:I61 I27 I92:I105 I44:I45 I36:I41 I33 I110:I127 I14:I15 I64:I71">
    <cfRule type="expression" dxfId="159" priority="233" stopIfTrue="1">
      <formula>($M9&gt;=200)</formula>
    </cfRule>
    <cfRule type="expression" dxfId="158" priority="234">
      <formula>($M9&gt;=100)</formula>
    </cfRule>
  </conditionalFormatting>
  <conditionalFormatting sqref="N6:N9 N64:N65 N92:N105 N3:N4 N11:N12 N36:N41 N43:N61 N108:N143 N14:N33 N74:N87">
    <cfRule type="expression" dxfId="157" priority="223" stopIfTrue="1">
      <formula>($M3&gt;=200)</formula>
    </cfRule>
    <cfRule type="expression" dxfId="156" priority="224">
      <formula>($M3&gt;=100)</formula>
    </cfRule>
  </conditionalFormatting>
  <conditionalFormatting sqref="I4">
    <cfRule type="expression" dxfId="155" priority="207" stopIfTrue="1">
      <formula>($M4&gt;=200)</formula>
    </cfRule>
    <cfRule type="expression" dxfId="154" priority="208">
      <formula>($M4&gt;=100)</formula>
    </cfRule>
  </conditionalFormatting>
  <conditionalFormatting sqref="I11">
    <cfRule type="expression" dxfId="153" priority="205" stopIfTrue="1">
      <formula>($M11&gt;=200)</formula>
    </cfRule>
    <cfRule type="expression" dxfId="152" priority="206">
      <formula>($M11&gt;=100)</formula>
    </cfRule>
  </conditionalFormatting>
  <conditionalFormatting sqref="I25:I26">
    <cfRule type="expression" dxfId="151" priority="201" stopIfTrue="1">
      <formula>($M25&gt;=200)</formula>
    </cfRule>
    <cfRule type="expression" dxfId="150" priority="202">
      <formula>($M25&gt;=100)</formula>
    </cfRule>
  </conditionalFormatting>
  <conditionalFormatting sqref="I74:I87">
    <cfRule type="expression" dxfId="149" priority="193" stopIfTrue="1">
      <formula>($M74&gt;=200)</formula>
    </cfRule>
    <cfRule type="expression" dxfId="148" priority="194">
      <formula>($M74&gt;=100)</formula>
    </cfRule>
  </conditionalFormatting>
  <conditionalFormatting sqref="I28">
    <cfRule type="expression" dxfId="147" priority="199" stopIfTrue="1">
      <formula>($M28&gt;=200)</formula>
    </cfRule>
    <cfRule type="expression" dxfId="146" priority="200">
      <formula>($M28&gt;=100)</formula>
    </cfRule>
  </conditionalFormatting>
  <conditionalFormatting sqref="N66:N71">
    <cfRule type="expression" dxfId="145" priority="149" stopIfTrue="1">
      <formula>($M66&gt;=200)</formula>
    </cfRule>
    <cfRule type="expression" dxfId="144" priority="150">
      <formula>($M66&gt;=100)</formula>
    </cfRule>
  </conditionalFormatting>
  <conditionalFormatting sqref="N62:N63">
    <cfRule type="expression" dxfId="143" priority="146" stopIfTrue="1">
      <formula>($M62&gt;=200)</formula>
    </cfRule>
    <cfRule type="expression" dxfId="142" priority="147">
      <formula>($M62&gt;=100)</formula>
    </cfRule>
  </conditionalFormatting>
  <conditionalFormatting sqref="N88:N89">
    <cfRule type="expression" dxfId="141" priority="144" stopIfTrue="1">
      <formula>($M88&gt;=200)</formula>
    </cfRule>
    <cfRule type="expression" dxfId="140" priority="145">
      <formula>($M88&gt;=100)</formula>
    </cfRule>
  </conditionalFormatting>
  <conditionalFormatting sqref="N106:N107">
    <cfRule type="expression" dxfId="139" priority="142" stopIfTrue="1">
      <formula>($M106&gt;=200)</formula>
    </cfRule>
    <cfRule type="expression" dxfId="138" priority="143">
      <formula>($M106&gt;=100)</formula>
    </cfRule>
  </conditionalFormatting>
  <conditionalFormatting sqref="N5">
    <cfRule type="expression" dxfId="137" priority="136" stopIfTrue="1">
      <formula>($M5&gt;=200)</formula>
    </cfRule>
    <cfRule type="expression" dxfId="136" priority="137">
      <formula>($M5&gt;=100)</formula>
    </cfRule>
  </conditionalFormatting>
  <conditionalFormatting sqref="N10">
    <cfRule type="expression" dxfId="135" priority="131" stopIfTrue="1">
      <formula>($M10&gt;=200)</formula>
    </cfRule>
    <cfRule type="expression" dxfId="134" priority="132">
      <formula>($M10&gt;=100)</formula>
    </cfRule>
  </conditionalFormatting>
  <conditionalFormatting sqref="I10">
    <cfRule type="expression" dxfId="133" priority="129" stopIfTrue="1">
      <formula>($M10&gt;=200)</formula>
    </cfRule>
    <cfRule type="expression" dxfId="132" priority="130">
      <formula>($M10&gt;=100)</formula>
    </cfRule>
  </conditionalFormatting>
  <conditionalFormatting sqref="I46">
    <cfRule type="expression" dxfId="131" priority="121" stopIfTrue="1">
      <formula>($M46&gt;=200)</formula>
    </cfRule>
    <cfRule type="expression" dxfId="130" priority="122">
      <formula>($M46&gt;=100)</formula>
    </cfRule>
  </conditionalFormatting>
  <conditionalFormatting sqref="I90:I91">
    <cfRule type="expression" dxfId="129" priority="119" stopIfTrue="1">
      <formula>($M90&gt;=200)</formula>
    </cfRule>
    <cfRule type="expression" dxfId="128" priority="120">
      <formula>($M90&gt;=100)</formula>
    </cfRule>
  </conditionalFormatting>
  <conditionalFormatting sqref="N90:N91">
    <cfRule type="expression" dxfId="127" priority="117" stopIfTrue="1">
      <formula>($M90&gt;=200)</formula>
    </cfRule>
    <cfRule type="expression" dxfId="126" priority="118">
      <formula>($M90&gt;=100)</formula>
    </cfRule>
  </conditionalFormatting>
  <conditionalFormatting sqref="I108:I109">
    <cfRule type="expression" dxfId="125" priority="112" stopIfTrue="1">
      <formula>($M108&gt;=200)</formula>
    </cfRule>
    <cfRule type="expression" dxfId="124" priority="113">
      <formula>($M108&gt;=100)</formula>
    </cfRule>
  </conditionalFormatting>
  <conditionalFormatting sqref="N13">
    <cfRule type="expression" dxfId="123" priority="103" stopIfTrue="1">
      <formula>($M13&gt;=200)</formula>
    </cfRule>
    <cfRule type="expression" dxfId="122" priority="104">
      <formula>($M13&gt;=100)</formula>
    </cfRule>
  </conditionalFormatting>
  <conditionalFormatting sqref="I13">
    <cfRule type="expression" dxfId="121" priority="93" stopIfTrue="1">
      <formula>($M13&gt;=200)</formula>
    </cfRule>
    <cfRule type="expression" dxfId="120" priority="94">
      <formula>($M13&gt;=100)</formula>
    </cfRule>
  </conditionalFormatting>
  <conditionalFormatting sqref="I12">
    <cfRule type="expression" dxfId="119" priority="91" stopIfTrue="1">
      <formula>($M12&gt;=200)</formula>
    </cfRule>
    <cfRule type="expression" dxfId="118" priority="92">
      <formula>($M12&gt;=100)</formula>
    </cfRule>
  </conditionalFormatting>
  <conditionalFormatting sqref="I34">
    <cfRule type="expression" dxfId="117" priority="48" stopIfTrue="1">
      <formula>($M34&gt;=200)</formula>
    </cfRule>
    <cfRule type="expression" dxfId="116" priority="49">
      <formula>($M34&gt;=100)</formula>
    </cfRule>
  </conditionalFormatting>
  <conditionalFormatting sqref="N34">
    <cfRule type="expression" dxfId="115" priority="46" stopIfTrue="1">
      <formula>($M34&gt;=200)</formula>
    </cfRule>
    <cfRule type="expression" dxfId="114" priority="47">
      <formula>($M34&gt;=100)</formula>
    </cfRule>
  </conditionalFormatting>
  <conditionalFormatting sqref="I35">
    <cfRule type="expression" dxfId="113" priority="43" stopIfTrue="1">
      <formula>($M35&gt;=200)</formula>
    </cfRule>
    <cfRule type="expression" dxfId="112" priority="44">
      <formula>($M35&gt;=100)</formula>
    </cfRule>
  </conditionalFormatting>
  <conditionalFormatting sqref="N35">
    <cfRule type="expression" dxfId="111" priority="41" stopIfTrue="1">
      <formula>($M35&gt;=200)</formula>
    </cfRule>
    <cfRule type="expression" dxfId="110" priority="42">
      <formula>($M35&gt;=100)</formula>
    </cfRule>
  </conditionalFormatting>
  <conditionalFormatting sqref="N42">
    <cfRule type="expression" dxfId="109" priority="37" stopIfTrue="1">
      <formula>($M42&gt;=200)</formula>
    </cfRule>
    <cfRule type="expression" dxfId="108" priority="38">
      <formula>($M42&gt;=100)</formula>
    </cfRule>
  </conditionalFormatting>
  <conditionalFormatting sqref="I73">
    <cfRule type="expression" dxfId="107" priority="34" stopIfTrue="1">
      <formula>($M73&gt;=200)</formula>
    </cfRule>
    <cfRule type="expression" dxfId="106" priority="35">
      <formula>($M73&gt;=100)</formula>
    </cfRule>
  </conditionalFormatting>
  <conditionalFormatting sqref="N72:N73">
    <cfRule type="expression" dxfId="105" priority="31" stopIfTrue="1">
      <formula>($M72&gt;=200)</formula>
    </cfRule>
    <cfRule type="expression" dxfId="104" priority="32">
      <formula>($M72&gt;=100)</formula>
    </cfRule>
  </conditionalFormatting>
  <conditionalFormatting sqref="I72">
    <cfRule type="expression" dxfId="103" priority="29" stopIfTrue="1">
      <formula>($M72&gt;=200)</formula>
    </cfRule>
    <cfRule type="expression" dxfId="102" priority="30">
      <formula>($M72&gt;=100)</formula>
    </cfRule>
  </conditionalFormatting>
  <conditionalFormatting sqref="I31">
    <cfRule type="expression" dxfId="101" priority="25" stopIfTrue="1">
      <formula>($M31&gt;=200)</formula>
    </cfRule>
    <cfRule type="expression" dxfId="100" priority="26">
      <formula>($M31&gt;=100)</formula>
    </cfRule>
  </conditionalFormatting>
  <conditionalFormatting sqref="I32">
    <cfRule type="expression" dxfId="99" priority="23" stopIfTrue="1">
      <formula>($M32&gt;=200)</formula>
    </cfRule>
    <cfRule type="expression" dxfId="98" priority="24">
      <formula>($M32&gt;=100)</formula>
    </cfRule>
  </conditionalFormatting>
  <conditionalFormatting sqref="I30">
    <cfRule type="expression" dxfId="97" priority="21" stopIfTrue="1">
      <formula>($M30&gt;=200)</formula>
    </cfRule>
    <cfRule type="expression" dxfId="96" priority="22">
      <formula>($M30&gt;=100)</formula>
    </cfRule>
  </conditionalFormatting>
  <conditionalFormatting sqref="I29">
    <cfRule type="expression" dxfId="95" priority="19" stopIfTrue="1">
      <formula>($M29&gt;=200)</formula>
    </cfRule>
    <cfRule type="expression" dxfId="94" priority="20">
      <formula>($M29&gt;=100)</formula>
    </cfRule>
  </conditionalFormatting>
  <conditionalFormatting sqref="I5">
    <cfRule type="expression" dxfId="93" priority="6" stopIfTrue="1">
      <formula>($M5&gt;=200)</formula>
    </cfRule>
    <cfRule type="expression" dxfId="92" priority="7">
      <formula>($M5&gt;=100)</formula>
    </cfRule>
  </conditionalFormatting>
  <conditionalFormatting sqref="I16">
    <cfRule type="expression" dxfId="91" priority="2" stopIfTrue="1">
      <formula>($M16&gt;=200)</formula>
    </cfRule>
    <cfRule type="expression" dxfId="90" priority="3">
      <formula>($M16&gt;=100)</formula>
    </cfRule>
  </conditionalFormatting>
  <dataValidations count="7">
    <dataValidation type="date" allowBlank="1" showInputMessage="1" showErrorMessage="1" error="Enter a valid date in the year configured during setup.  Rerun setup to change the year." sqref="I4" xr:uid="{00000000-0002-0000-0100-000000000000}">
      <formula1>DATE(SP_CurrentYear,1,1)</formula1>
      <formula2>DATE(SP_CurrentYear,12,31)</formula2>
    </dataValidation>
    <dataValidation type="list" allowBlank="1" showInputMessage="1" showErrorMessage="1" sqref="I30" xr:uid="{00000000-0002-0000-0100-000001000000}">
      <formula1>"Life,Period Certain"</formula1>
    </dataValidation>
    <dataValidation type="list" allowBlank="1" showInputMessage="1" showErrorMessage="1" sqref="I37" xr:uid="{00000000-0002-0000-0100-000002000000}">
      <formula1>"TRUE,FALSE"</formula1>
    </dataValidation>
    <dataValidation type="list" allowBlank="1" showInputMessage="1" showErrorMessage="1" sqref="I31" xr:uid="{00000000-0002-0000-0100-000003000000}">
      <formula1>"Fixed,Variable,Indexed"</formula1>
    </dataValidation>
    <dataValidation type="list" allowBlank="1" showInputMessage="1" showErrorMessage="1" sqref="I38" xr:uid="{00000000-0002-0000-0100-000004000000}">
      <formula1>"0,10,20,30"</formula1>
    </dataValidation>
    <dataValidation type="list" allowBlank="1" showInputMessage="1" showErrorMessage="1" sqref="I32" xr:uid="{00000000-0002-0000-0100-000005000000}">
      <formula1>"True,False"</formula1>
    </dataValidation>
    <dataValidation type="list" allowBlank="1" showInputMessage="1" showErrorMessage="1" sqref="I72:I73" xr:uid="{00000000-0002-0000-0100-000006000000}">
      <formula1>"Lump sum,Annuity"</formula1>
    </dataValidation>
  </dataValidations>
  <hyperlinks>
    <hyperlink ref="I10" location="Main!I10" display="Main!I10" xr:uid="{00000000-0004-0000-0100-000001000000}"/>
    <hyperlink ref="C4:D4" r:id="rId1" location="CurrentDate" display="Current Date:" xr:uid="{00000000-0004-0000-0100-000002000000}"/>
    <hyperlink ref="C5:D5" r:id="rId2" location="CurrentDate" display="Current Date:" xr:uid="{00000000-0004-0000-0100-000003000000}"/>
    <hyperlink ref="C9:D9" r:id="rId3" location="RetirementDate" display="Retirement Date:" xr:uid="{00000000-0004-0000-0100-000004000000}"/>
    <hyperlink ref="C10:D10" r:id="rId4" location="RetirementDate" display="Retirement Date:" xr:uid="{00000000-0004-0000-0100-000005000000}"/>
    <hyperlink ref="C11:D11" r:id="rId5" location="DefaultWageInflation" display="Default Wage Inflation:" xr:uid="{00000000-0004-0000-0100-000006000000}"/>
    <hyperlink ref="C12:D12" r:id="rId6" location="DefaultConsumerPriceInflation" display="Default Consumer Price Inflation:" xr:uid="{00000000-0004-0000-0100-000007000000}"/>
    <hyperlink ref="C13:D13" r:id="rId7" location="DefaultAnnualReturnonStocks" display="Default Annual Return on Stocks:" xr:uid="{00000000-0004-0000-0100-000008000000}"/>
    <hyperlink ref="C21:D21" r:id="rId8" location="MaritalStatus" display="Marital Status:" xr:uid="{00000000-0004-0000-0100-000009000000}"/>
    <hyperlink ref="C22:D22" r:id="rId9" location="FilingStatus" display="Filing Status:" xr:uid="{00000000-0004-0000-0100-00000A000000}"/>
    <hyperlink ref="C23:D23" r:id="rId10" location="Initials" display="Initials (Yourself):" xr:uid="{00000000-0004-0000-0100-00000B000000}"/>
    <hyperlink ref="C24:D24" r:id="rId11" location="Initials" display="Initials (Spouse):" xr:uid="{00000000-0004-0000-0100-00000C000000}"/>
    <hyperlink ref="C25:D25" r:id="rId12" location="CoreAccountBalance" display="Core (Non-Retirement) Account Balance:" xr:uid="{00000000-0004-0000-0100-00000D000000}"/>
    <hyperlink ref="C26:D26" r:id="rId13" location="CoreAccountCostBasis" display="Cost Basis:" xr:uid="{00000000-0004-0000-0100-00000E000000}"/>
    <hyperlink ref="C27:D27" r:id="rId14" location="OtherAppreciatingAssets" display="Other Appreciating Assets:" xr:uid="{00000000-0004-0000-0100-00000F000000}"/>
    <hyperlink ref="C28:D28" r:id="rId15" location="AdditionalRetirementIncome" display="Additional Retirement Income:" xr:uid="{00000000-0004-0000-0100-000010000000}"/>
    <hyperlink ref="C29:D29" r:id="rId16" location="ApproximateStateTax" display="Approximate State Tax (Average):" xr:uid="{00000000-0004-0000-0100-000011000000}"/>
    <hyperlink ref="C44:D44" r:id="rId17" location="DebtLimit" display="Debt Limit:" xr:uid="{00000000-0004-0000-0100-000012000000}"/>
    <hyperlink ref="C45:D45" r:id="rId18" location="CurrentDebt" display="Current Debt:" xr:uid="{00000000-0004-0000-0100-000013000000}"/>
    <hyperlink ref="C46:D46" r:id="rId19" location="InterestRate" display="Interest Rate:" xr:uid="{00000000-0004-0000-0100-000014000000}"/>
    <hyperlink ref="C52:C53" r:id="rId20" location="BirthDate" display="Birth Date:" xr:uid="{00000000-0004-0000-0100-000015000000}"/>
    <hyperlink ref="C54:C55" r:id="rId21" location="StartWorkAge" display="Start Work Age:" xr:uid="{00000000-0004-0000-0100-000016000000}"/>
    <hyperlink ref="C56:C57" r:id="rId22" location="LifeExpectancy" display="Life Expectancy:" xr:uid="{00000000-0004-0000-0100-000017000000}"/>
    <hyperlink ref="C60:C61" r:id="rId23" location="Dependents" display="Dependents:" xr:uid="{00000000-0004-0000-0100-000018000000}"/>
    <hyperlink ref="C62:C63" r:id="rId24" location="EmployerIncome" display="Current Employer Income:" xr:uid="{00000000-0004-0000-0100-000019000000}"/>
    <hyperlink ref="C64:C65" r:id="rId25" location="DefaultAnnualIncrease" display="Default Annual Increase:" xr:uid="{00000000-0004-0000-0100-00001A000000}"/>
    <hyperlink ref="C66:C67" r:id="rId26" location="DBPensionStartWorkDate" display="Defined Benefit (DB) Pension Start Work Date:" xr:uid="{00000000-0004-0000-0100-00001B000000}"/>
    <hyperlink ref="C68:C69" r:id="rId27" location="DBPensionFinalAverageEarningsYearsUsed" display="DB Pension Final Average Earnings (FAE) Years Used:" xr:uid="{00000000-0004-0000-0100-00001C000000}"/>
    <hyperlink ref="C70:C71" r:id="rId28" location="DBPensionBenefitPercentage" display="DB Pension Benefit Percentage:" xr:uid="{00000000-0004-0000-0100-00001D000000}"/>
    <hyperlink ref="C74:C75" r:id="rId29" location="BeforeTaxContribution" display="Before-Tax Contribution (401(k)/403(b)):" xr:uid="{00000000-0004-0000-0100-00001E000000}"/>
    <hyperlink ref="C92:C93" r:id="rId30" location="BeforeTaxContribution" display="Before-Tax Contribution (SEP/SIMPLE/Solo 401(k)):" xr:uid="{00000000-0004-0000-0100-00001F000000}"/>
    <hyperlink ref="C110:C111" r:id="rId31" location="BeforeTaxContribution" display="Before-Tax Contribution (Traditional IRA):" xr:uid="{00000000-0004-0000-0100-000020000000}"/>
    <hyperlink ref="C94:C95" r:id="rId32" location="BeforeTaxBalance" display="Before-Tax Balance:" xr:uid="{00000000-0004-0000-0100-000021000000}"/>
    <hyperlink ref="C114:C115" r:id="rId33" location="BeforeTaxBalance" display="Before-Tax Balance:" xr:uid="{00000000-0004-0000-0100-000022000000}"/>
    <hyperlink ref="C112:C113" r:id="rId34" location="BeforeTaxContribution" display="Before-Tax Contribution (Spousal IRA):" xr:uid="{00000000-0004-0000-0100-000023000000}"/>
    <hyperlink ref="C78:C79" r:id="rId35" location="CompanyMatch" display="Company Match:" xr:uid="{00000000-0004-0000-0100-000024000000}"/>
    <hyperlink ref="C96:C97" r:id="rId36" location="CompanyMatch" display="Company Match:" xr:uid="{00000000-0004-0000-0100-000025000000}"/>
    <hyperlink ref="C80:C81" r:id="rId37" location="AfterTaxContribution" display="After-Tax Contribution (Roth 401(k)/403(b)):" xr:uid="{00000000-0004-0000-0100-000026000000}"/>
    <hyperlink ref="C98:C99" r:id="rId38" location="AfterTaxContribution" display="After-Tax Contribution (Roth Solo 401(k)):" xr:uid="{00000000-0004-0000-0100-000027000000}"/>
    <hyperlink ref="C116:C117" r:id="rId39" location="AfterTaxContribution" display="After-Tax Contribution (Roth IRA):" xr:uid="{00000000-0004-0000-0100-000028000000}"/>
    <hyperlink ref="C82:C83" r:id="rId40" location="AfterTaxBalance" display="After-Tax Balance:" xr:uid="{00000000-0004-0000-0100-000029000000}"/>
    <hyperlink ref="C100:C101" r:id="rId41" location="AfterTaxBalance" display="After-Tax Balance:" xr:uid="{00000000-0004-0000-0100-00002A000000}"/>
    <hyperlink ref="C118:C119" r:id="rId42" location="AfterTaxBalance" display="After-Tax Balance:" xr:uid="{00000000-0004-0000-0100-00002B000000}"/>
    <hyperlink ref="C84:C85" r:id="rId43" location="AfterTaxCostBasis" display="After-Tax Cost Basis:" xr:uid="{00000000-0004-0000-0100-00002C000000}"/>
    <hyperlink ref="C102:C103" r:id="rId44" location="AfterTaxCostBasis" display="After-Tax Cost Basis:" xr:uid="{00000000-0004-0000-0100-00002D000000}"/>
    <hyperlink ref="C120:C121" r:id="rId45" location="AfterTaxCostBasis" display="After-Tax Cost Basis:" xr:uid="{00000000-0004-0000-0100-00002E000000}"/>
    <hyperlink ref="C86:C87" r:id="rId46" location="QualifiedDistributionAge" display="Qualified Distribution Age:" xr:uid="{00000000-0004-0000-0100-00002F000000}"/>
    <hyperlink ref="C104:C105" r:id="rId47" location="QualifiedDistributionAge" display="Qualified Distribution Age:" xr:uid="{00000000-0004-0000-0100-000030000000}"/>
    <hyperlink ref="C122:C123" r:id="rId48" location="QualifiedDistributionAge" display="Qualified Distribution Age:" xr:uid="{00000000-0004-0000-0100-000031000000}"/>
    <hyperlink ref="C90:C91" r:id="rId49" location="DefaultAnnualIncrease" display="Default Annual Increase:" xr:uid="{00000000-0004-0000-0100-000032000000}"/>
    <hyperlink ref="C108:C109" r:id="rId50" location="DefaultAnnualIncrease" display="Default Annual Increase:" xr:uid="{00000000-0004-0000-0100-000033000000}"/>
    <hyperlink ref="C76:C77" r:id="rId51" location="BeforeTaxBalance" display="Before-Tax Balance:" xr:uid="{00000000-0004-0000-0100-000034000000}"/>
    <hyperlink ref="C88:C89" r:id="rId52" location="SelfEmploymentIncome" display="Current Self-Employment Income:" xr:uid="{00000000-0004-0000-0100-000035000000}"/>
    <hyperlink ref="C106:C107" r:id="rId53" location="PassiveIncome" display="Current Passive Income:" xr:uid="{00000000-0004-0000-0100-000036000000}"/>
    <hyperlink ref="C124:C125" r:id="rId54" location="PrimaryBenefitsFilingAge" display="Primary Benefits Filing Age:" xr:uid="{00000000-0004-0000-0100-000037000000}"/>
    <hyperlink ref="C126:C127" r:id="rId55" location="AuxiliaryBenefitsFilingAge" display="Auxiliary Benefits Filing Age:" xr:uid="{00000000-0004-0000-0100-000038000000}"/>
    <hyperlink ref="C15:D15" r:id="rId56" location="InvestmentStrategy" display="Investment Strategy:" xr:uid="{00000000-0004-0000-0100-000039000000}"/>
    <hyperlink ref="C14:D14" r:id="rId57" location="DefaultBondYield" display="Default Bond Yield:" xr:uid="{00000000-0004-0000-0100-00003A000000}"/>
    <hyperlink ref="C30:D30" r:id="rId58" location="AnnuityPaymentTerms" display="Payment Terms:" xr:uid="{00000000-0004-0000-0100-00003B000000}"/>
    <hyperlink ref="C31:D31" r:id="rId59" location="AnnuityPaymentRate" display="Payment Rate:" xr:uid="{00000000-0004-0000-0100-00003C000000}"/>
    <hyperlink ref="C32:D32" r:id="rId60" location="AnnuityInflationAdjusted" display="Inflation Adjusted:" xr:uid="{00000000-0004-0000-0100-00003D000000}"/>
    <hyperlink ref="C33:D33" r:id="rId61" location="AnnuityParticipationRate" display="Participation Rate:" xr:uid="{00000000-0004-0000-0100-00003E000000}"/>
    <hyperlink ref="C34:D34" r:id="rId62" location="AnnuityRateCeiling" display="Rate Ceiling:" xr:uid="{00000000-0004-0000-0100-00003F000000}"/>
    <hyperlink ref="C35:D35" r:id="rId63" location="AnnuityRateFloor" display="Rate Floor:" xr:uid="{00000000-0004-0000-0100-000040000000}"/>
    <hyperlink ref="C36:D36" r:id="rId64" location="AnnuitySpreadFee" display="Spread Fee:" xr:uid="{00000000-0004-0000-0100-000041000000}"/>
    <hyperlink ref="C37:D37" r:id="rId65" location="AnnuitySurvivorBenefit" display="Survivor Benefit:" xr:uid="{00000000-0004-0000-0100-000042000000}"/>
    <hyperlink ref="C38:D38" r:id="rId66" location="AnnuityGuaranteedTerm" display="Guaranteed Term:" xr:uid="{00000000-0004-0000-0100-000043000000}"/>
    <hyperlink ref="C39:D39" r:id="rId67" location="AnnuityAfterTaxContribution" display="After-Tax Contribution:" xr:uid="{00000000-0004-0000-0100-000044000000}"/>
    <hyperlink ref="C40:D40" r:id="rId68" location="AnnuityBalance" display="Balance:" xr:uid="{00000000-0004-0000-0100-000045000000}"/>
    <hyperlink ref="C41:D41" r:id="rId69" location="AnnuityCostBasis" display="Cost Basis:" xr:uid="{00000000-0004-0000-0100-000046000000}"/>
    <hyperlink ref="C72:C73" r:id="rId70" location="DBPensionPayoutOption" display="DB Pension Payout Option:" xr:uid="{00000000-0004-0000-0100-000047000000}"/>
    <hyperlink ref="I5" location="Main!I5" display="Main!I5" xr:uid="{00000000-0004-0000-0100-000000000000}"/>
  </hyperlinks>
  <pageMargins left="0.7" right="0.7" top="0.75" bottom="0.75" header="0.3" footer="0.3"/>
  <pageSetup orientation="portrait" horizontalDpi="4294967293" r:id="rId7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39" id="{7E562A13-8920-411C-A707-3537FDFFC5DB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M9</xm:sqref>
        </x14:conditionalFormatting>
        <x14:conditionalFormatting xmlns:xm="http://schemas.microsoft.com/office/excel/2006/main">
          <x14:cfRule type="iconSet" priority="232" id="{50775B61-7C60-4F62-A4EF-796DCC7A6CC2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M4:M5 M7:M8</xm:sqref>
        </x14:conditionalFormatting>
        <x14:conditionalFormatting xmlns:xm="http://schemas.microsoft.com/office/excel/2006/main">
          <x14:cfRule type="iconSet" priority="192" id="{CADD43A8-9826-475B-8E2A-64768CF047C5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M11</xm:sqref>
        </x14:conditionalFormatting>
        <x14:conditionalFormatting xmlns:xm="http://schemas.microsoft.com/office/excel/2006/main">
          <x14:cfRule type="iconSet" priority="190" id="{8962A759-6015-4857-93D8-844EE85B112D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M12</xm:sqref>
        </x14:conditionalFormatting>
        <x14:conditionalFormatting xmlns:xm="http://schemas.microsoft.com/office/excel/2006/main">
          <x14:cfRule type="iconSet" priority="189" id="{F5BD514B-5B7B-4CAB-B36F-A8451CD3C125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M46</xm:sqref>
        </x14:conditionalFormatting>
        <x14:conditionalFormatting xmlns:xm="http://schemas.microsoft.com/office/excel/2006/main">
          <x14:cfRule type="iconSet" priority="188" id="{E3CA8BA3-EF03-4674-AD21-4478AC205152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M29</xm:sqref>
        </x14:conditionalFormatting>
        <x14:conditionalFormatting xmlns:xm="http://schemas.microsoft.com/office/excel/2006/main">
          <x14:cfRule type="iconSet" priority="187" id="{34C9B433-CDB1-45DA-A00A-63DBC12FD4C8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M74:M75</xm:sqref>
        </x14:conditionalFormatting>
        <x14:conditionalFormatting xmlns:xm="http://schemas.microsoft.com/office/excel/2006/main">
          <x14:cfRule type="iconSet" priority="186" id="{ACEEABCB-6ADC-478B-861C-1C575F71529C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M78:M79</xm:sqref>
        </x14:conditionalFormatting>
        <x14:conditionalFormatting xmlns:xm="http://schemas.microsoft.com/office/excel/2006/main">
          <x14:cfRule type="iconSet" priority="185" id="{311C6094-EE07-4909-AD70-E5677797F394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M80:M81</xm:sqref>
        </x14:conditionalFormatting>
        <x14:conditionalFormatting xmlns:xm="http://schemas.microsoft.com/office/excel/2006/main">
          <x14:cfRule type="iconSet" priority="184" id="{69A92849-C16C-450F-8067-290A49639896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M92:M93</xm:sqref>
        </x14:conditionalFormatting>
        <x14:conditionalFormatting xmlns:xm="http://schemas.microsoft.com/office/excel/2006/main">
          <x14:cfRule type="iconSet" priority="183" id="{B46176DE-E6D8-4940-B717-C2E29FC09781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M96:M99</xm:sqref>
        </x14:conditionalFormatting>
        <x14:conditionalFormatting xmlns:xm="http://schemas.microsoft.com/office/excel/2006/main">
          <x14:cfRule type="iconSet" priority="182" id="{14B1B81D-19FD-4406-A0A9-8B2C63F4D15C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M66</xm:sqref>
        </x14:conditionalFormatting>
        <x14:conditionalFormatting xmlns:xm="http://schemas.microsoft.com/office/excel/2006/main">
          <x14:cfRule type="iconSet" priority="180" id="{9B70636F-A111-4A8F-BE98-CBEBFB400680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M68</xm:sqref>
        </x14:conditionalFormatting>
        <x14:conditionalFormatting xmlns:xm="http://schemas.microsoft.com/office/excel/2006/main">
          <x14:cfRule type="iconSet" priority="178" id="{3BFF57DE-5D51-425A-88DA-7BF92EDB0A62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M69</xm:sqref>
        </x14:conditionalFormatting>
        <x14:conditionalFormatting xmlns:xm="http://schemas.microsoft.com/office/excel/2006/main">
          <x14:cfRule type="iconSet" priority="177" id="{D9EDDD2E-DAF6-43FE-A869-FA5A3D5CD9EB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M70:M71</xm:sqref>
        </x14:conditionalFormatting>
        <x14:conditionalFormatting xmlns:xm="http://schemas.microsoft.com/office/excel/2006/main">
          <x14:cfRule type="iconSet" priority="176" id="{C57C3A94-25EE-4120-A085-F665F0DC1E91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M76</xm:sqref>
        </x14:conditionalFormatting>
        <x14:conditionalFormatting xmlns:xm="http://schemas.microsoft.com/office/excel/2006/main">
          <x14:cfRule type="iconSet" priority="175" id="{4E7A035B-DD90-419E-93F9-C74F45634971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M77</xm:sqref>
        </x14:conditionalFormatting>
        <x14:conditionalFormatting xmlns:xm="http://schemas.microsoft.com/office/excel/2006/main">
          <x14:cfRule type="iconSet" priority="174" id="{9F1EFC4B-216F-41A5-8566-9D117F3DBF88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M82 M86</xm:sqref>
        </x14:conditionalFormatting>
        <x14:conditionalFormatting xmlns:xm="http://schemas.microsoft.com/office/excel/2006/main">
          <x14:cfRule type="iconSet" priority="173" id="{6DF34DEC-23CB-4F5B-9AD4-153628164719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M83 M87</xm:sqref>
        </x14:conditionalFormatting>
        <x14:conditionalFormatting xmlns:xm="http://schemas.microsoft.com/office/excel/2006/main">
          <x14:cfRule type="iconSet" priority="172" id="{B7E5A7AF-31F4-4D5C-BBE0-D42B056648D4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M94:M95</xm:sqref>
        </x14:conditionalFormatting>
        <x14:conditionalFormatting xmlns:xm="http://schemas.microsoft.com/office/excel/2006/main">
          <x14:cfRule type="iconSet" priority="171" id="{8081270C-AA51-4D9E-996C-331E8753B237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M100:M105</xm:sqref>
        </x14:conditionalFormatting>
        <x14:conditionalFormatting xmlns:xm="http://schemas.microsoft.com/office/excel/2006/main">
          <x14:cfRule type="iconSet" priority="170" id="{CC11F45E-C24E-40C0-9570-8B413E0A2133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M110:M119 M122:M123</xm:sqref>
        </x14:conditionalFormatting>
        <x14:conditionalFormatting xmlns:xm="http://schemas.microsoft.com/office/excel/2006/main">
          <x14:cfRule type="iconSet" priority="169" id="{41B344DA-7264-4C99-991F-AD9673CCDE87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M108:M109 M64:M65</xm:sqref>
        </x14:conditionalFormatting>
        <x14:conditionalFormatting xmlns:xm="http://schemas.microsoft.com/office/excel/2006/main">
          <x14:cfRule type="iconSet" priority="168" id="{722E8E80-41EC-4472-851D-79871FECC6E3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M60:M61</xm:sqref>
        </x14:conditionalFormatting>
        <x14:conditionalFormatting xmlns:xm="http://schemas.microsoft.com/office/excel/2006/main">
          <x14:cfRule type="iconSet" priority="167" id="{5C525906-40F6-4A65-A891-91C161F25D64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M25:M27</xm:sqref>
        </x14:conditionalFormatting>
        <x14:conditionalFormatting xmlns:xm="http://schemas.microsoft.com/office/excel/2006/main">
          <x14:cfRule type="iconSet" priority="166" id="{7D14B976-798B-43AD-84E5-F764049BC382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M44:M45 M28</xm:sqref>
        </x14:conditionalFormatting>
        <x14:conditionalFormatting xmlns:xm="http://schemas.microsoft.com/office/excel/2006/main">
          <x14:cfRule type="iconSet" priority="165" id="{25ED9DDB-6F82-4EAE-99E4-F5FC55C171AA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M120:M121</xm:sqref>
        </x14:conditionalFormatting>
        <x14:conditionalFormatting xmlns:xm="http://schemas.microsoft.com/office/excel/2006/main">
          <x14:cfRule type="iconSet" priority="164" id="{C7E48526-E50C-4D65-B067-ADE80F556A1C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M84:M85</xm:sqref>
        </x14:conditionalFormatting>
        <x14:conditionalFormatting xmlns:xm="http://schemas.microsoft.com/office/excel/2006/main">
          <x14:cfRule type="iconSet" priority="163" id="{317A53F3-D52C-4AAE-B836-E1E15D996DA8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M124</xm:sqref>
        </x14:conditionalFormatting>
        <x14:conditionalFormatting xmlns:xm="http://schemas.microsoft.com/office/excel/2006/main">
          <x14:cfRule type="iconSet" priority="160" id="{27AD8840-A320-4EDF-8860-31B6A5EE4FA9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M126</xm:sqref>
        </x14:conditionalFormatting>
        <x14:conditionalFormatting xmlns:xm="http://schemas.microsoft.com/office/excel/2006/main">
          <x14:cfRule type="iconSet" priority="148" id="{D6117EEF-799A-4E1A-AB91-17D952721A9A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M67</xm:sqref>
        </x14:conditionalFormatting>
        <x14:conditionalFormatting xmlns:xm="http://schemas.microsoft.com/office/excel/2006/main">
          <x14:cfRule type="iconSet" priority="128" id="{E2B5E7E1-EC77-48A6-912D-7E2DEFC5A558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M10</xm:sqref>
        </x14:conditionalFormatting>
        <x14:conditionalFormatting xmlns:xm="http://schemas.microsoft.com/office/excel/2006/main">
          <x14:cfRule type="iconSet" priority="116" id="{A9FDFD25-F21F-476D-8DFF-1A931FD50E0C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M90:M91</xm:sqref>
        </x14:conditionalFormatting>
        <x14:conditionalFormatting xmlns:xm="http://schemas.microsoft.com/office/excel/2006/main">
          <x14:cfRule type="iconSet" priority="100" id="{3AD907AE-3F3E-486E-9390-A4A2ADA9CF82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M13</xm:sqref>
        </x14:conditionalFormatting>
        <x14:conditionalFormatting xmlns:xm="http://schemas.microsoft.com/office/excel/2006/main">
          <x14:cfRule type="iconSet" priority="95" id="{557287A6-0071-4087-8A99-1016360F7501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M43 M40:M41 M14 M17 M30:M32 M37</xm:sqref>
        </x14:conditionalFormatting>
        <x14:conditionalFormatting xmlns:xm="http://schemas.microsoft.com/office/excel/2006/main">
          <x14:cfRule type="iconSet" priority="56" id="{CDC801EA-0BCE-46D7-85E7-DB6D3A3ED29B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M36</xm:sqref>
        </x14:conditionalFormatting>
        <x14:conditionalFormatting xmlns:xm="http://schemas.microsoft.com/office/excel/2006/main">
          <x14:cfRule type="iconSet" priority="251" id="{31DCC72A-2453-4B6A-A9C6-E8BF7D651B2E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M43 M39:M41</xm:sqref>
        </x14:conditionalFormatting>
        <x14:conditionalFormatting xmlns:xm="http://schemas.microsoft.com/office/excel/2006/main">
          <x14:cfRule type="iconSet" priority="51" id="{FC425680-7299-4EA2-9038-D3A266B209C6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M38</xm:sqref>
        </x14:conditionalFormatting>
        <x14:conditionalFormatting xmlns:xm="http://schemas.microsoft.com/office/excel/2006/main">
          <x14:cfRule type="iconSet" priority="50" id="{9E65CE41-BD1F-416B-875B-861B82E62ED8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M33</xm:sqref>
        </x14:conditionalFormatting>
        <x14:conditionalFormatting xmlns:xm="http://schemas.microsoft.com/office/excel/2006/main">
          <x14:cfRule type="iconSet" priority="45" id="{D247665D-6614-4E0A-961D-C1F6B1A60226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M34</xm:sqref>
        </x14:conditionalFormatting>
        <x14:conditionalFormatting xmlns:xm="http://schemas.microsoft.com/office/excel/2006/main">
          <x14:cfRule type="iconSet" priority="40" id="{BECF26DB-C635-4725-ABDB-4A096F1D5052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M35</xm:sqref>
        </x14:conditionalFormatting>
        <x14:conditionalFormatting xmlns:xm="http://schemas.microsoft.com/office/excel/2006/main">
          <x14:cfRule type="iconSet" priority="36" id="{A7AEEDB4-E70D-4388-A942-488D30C18991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M42</xm:sqref>
        </x14:conditionalFormatting>
        <x14:conditionalFormatting xmlns:xm="http://schemas.microsoft.com/office/excel/2006/main">
          <x14:cfRule type="iconSet" priority="39" id="{DF027960-D964-4BD3-B36E-D87F30821392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M42</xm:sqref>
        </x14:conditionalFormatting>
        <x14:conditionalFormatting xmlns:xm="http://schemas.microsoft.com/office/excel/2006/main">
          <x14:cfRule type="iconSet" priority="33" id="{13DE4B6A-CE49-4F37-B4B2-CBCF512BABE7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M72:M73</xm:sqref>
        </x14:conditionalFormatting>
        <x14:conditionalFormatting xmlns:xm="http://schemas.microsoft.com/office/excel/2006/main">
          <x14:cfRule type="iconSet" priority="16" id="{5E650802-2F89-444F-A521-B3C9043F3942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M128:M129</xm:sqref>
        </x14:conditionalFormatting>
        <x14:conditionalFormatting xmlns:xm="http://schemas.microsoft.com/office/excel/2006/main">
          <x14:cfRule type="iconSet" priority="10" id="{8C428A30-0759-4337-8C37-86C44A050CAA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M127</xm:sqref>
        </x14:conditionalFormatting>
        <x14:conditionalFormatting xmlns:xm="http://schemas.microsoft.com/office/excel/2006/main">
          <x14:cfRule type="iconSet" priority="1" id="{230AE8A5-918B-4B15-AD8F-9F8A426B2437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M125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100-000007000000}">
          <x14:formula1>
            <xm:f>Lookup!$B$112:$B$119</xm:f>
          </x14:formula1>
          <xm:sqref>I15</xm:sqref>
        </x14:dataValidation>
        <x14:dataValidation type="list" allowBlank="1" showInputMessage="1" showErrorMessage="1" xr:uid="{00000000-0002-0000-0100-000008000000}">
          <x14:formula1>
            <xm:f>Lookup!$C$57:$C$108</xm:f>
          </x14:formula1>
          <xm:sqref>I29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3"/>
  <dimension ref="A1:X153"/>
  <sheetViews>
    <sheetView workbookViewId="0">
      <pane xSplit="3" ySplit="3" topLeftCell="D4" activePane="bottomRight" state="frozen"/>
      <selection activeCell="E17" sqref="E17"/>
      <selection pane="topRight" activeCell="E17" sqref="E17"/>
      <selection pane="bottomLeft" activeCell="E17" sqref="E17"/>
      <selection pane="bottomRight"/>
    </sheetView>
  </sheetViews>
  <sheetFormatPr defaultRowHeight="15" x14ac:dyDescent="0.25"/>
  <cols>
    <col min="1" max="1" width="9.140625" hidden="1" customWidth="1"/>
    <col min="2" max="2" width="5.85546875" hidden="1" customWidth="1"/>
    <col min="3" max="3" width="4.28515625" style="491" hidden="1" customWidth="1"/>
    <col min="4" max="15" width="8.5703125" hidden="1" customWidth="1"/>
    <col min="16" max="16" width="8.42578125" hidden="1" customWidth="1"/>
    <col min="17" max="18" width="7.5703125" hidden="1" customWidth="1"/>
    <col min="19" max="19" width="10.5703125" hidden="1" customWidth="1"/>
    <col min="20" max="20" width="7.5703125" hidden="1" customWidth="1"/>
    <col min="21" max="21" width="8.5703125" hidden="1" customWidth="1"/>
    <col min="22" max="22" width="7.140625" hidden="1" customWidth="1"/>
    <col min="23" max="23" width="2.85546875" hidden="1" customWidth="1"/>
    <col min="24" max="24" width="9.140625" hidden="1" customWidth="1"/>
  </cols>
  <sheetData>
    <row r="1" spans="1:24" hidden="1" x14ac:dyDescent="0.25">
      <c r="A1">
        <f>PMADVANCED+VMONLINE+VMMACRO</f>
        <v>38</v>
      </c>
      <c r="B1">
        <f>PMBASIC+PMADVANCED+VMONLINE+VMMACRO</f>
        <v>54</v>
      </c>
      <c r="C1" s="491">
        <f>PMBASIC+PMADVANCED+VMONLINE+VMMACRO</f>
        <v>54</v>
      </c>
      <c r="D1">
        <f>PMADVANCED+VMONLINE+VMMACRO</f>
        <v>38</v>
      </c>
      <c r="E1">
        <f>PMADVANCED+VMONLINE+VMMACRO</f>
        <v>38</v>
      </c>
      <c r="F1">
        <f>PMADVANCED+VMONLINE+VMMACRO</f>
        <v>38</v>
      </c>
      <c r="G1">
        <f>PMADVANCED+VMONLINE+VMMACRO</f>
        <v>38</v>
      </c>
      <c r="H1">
        <f t="shared" ref="H1:O1" si="0">PMADVANCED</f>
        <v>32</v>
      </c>
      <c r="I1">
        <f t="shared" si="0"/>
        <v>32</v>
      </c>
      <c r="J1">
        <f t="shared" si="0"/>
        <v>32</v>
      </c>
      <c r="K1">
        <f t="shared" si="0"/>
        <v>32</v>
      </c>
      <c r="L1">
        <f t="shared" si="0"/>
        <v>32</v>
      </c>
      <c r="M1">
        <f t="shared" si="0"/>
        <v>32</v>
      </c>
      <c r="N1">
        <f t="shared" si="0"/>
        <v>32</v>
      </c>
      <c r="O1">
        <f t="shared" si="0"/>
        <v>32</v>
      </c>
      <c r="P1">
        <f>PMADVANCED+VMONLINE+VMMACRO</f>
        <v>38</v>
      </c>
      <c r="Q1">
        <f>PMADVANCED</f>
        <v>32</v>
      </c>
      <c r="R1">
        <f>PMADVANCED</f>
        <v>32</v>
      </c>
      <c r="S1">
        <f t="shared" ref="S1:X1" si="1">PMBASIC+PMADVANCED+VMONLINE+VMMACRO</f>
        <v>54</v>
      </c>
      <c r="T1">
        <f t="shared" si="1"/>
        <v>54</v>
      </c>
      <c r="U1">
        <f t="shared" si="1"/>
        <v>54</v>
      </c>
      <c r="V1">
        <f t="shared" si="1"/>
        <v>54</v>
      </c>
      <c r="W1">
        <f t="shared" si="1"/>
        <v>54</v>
      </c>
      <c r="X1">
        <f t="shared" si="1"/>
        <v>54</v>
      </c>
    </row>
    <row r="2" spans="1:24" hidden="1" x14ac:dyDescent="0.25">
      <c r="A2">
        <f>PMBASIC+PMADVANCED+VMONLINE+VMMACRO</f>
        <v>54</v>
      </c>
      <c r="C2" s="490"/>
      <c r="D2" s="616" t="s">
        <v>33</v>
      </c>
      <c r="E2" s="614"/>
      <c r="F2" s="614"/>
      <c r="G2" s="614"/>
      <c r="H2" s="614"/>
      <c r="I2" s="614"/>
      <c r="J2" s="614"/>
      <c r="K2" s="614"/>
      <c r="L2" s="614"/>
      <c r="M2" s="614"/>
      <c r="N2" s="614"/>
      <c r="O2" s="614"/>
      <c r="P2" s="614"/>
      <c r="Q2" s="614"/>
      <c r="R2" s="614"/>
      <c r="S2" s="582" t="s">
        <v>683</v>
      </c>
      <c r="T2" s="614"/>
      <c r="U2" s="614"/>
      <c r="V2" s="615"/>
      <c r="W2" s="29"/>
    </row>
    <row r="3" spans="1:24" ht="45" hidden="1" x14ac:dyDescent="0.25">
      <c r="A3">
        <f>PMBASIC+PMADVANCED+VMONLINE+VMMACRO</f>
        <v>54</v>
      </c>
      <c r="B3" s="22" t="s">
        <v>0</v>
      </c>
      <c r="C3" s="492" t="s">
        <v>740</v>
      </c>
      <c r="D3" s="222" t="s">
        <v>793</v>
      </c>
      <c r="E3" s="222" t="s">
        <v>794</v>
      </c>
      <c r="F3" s="222" t="s">
        <v>841</v>
      </c>
      <c r="G3" s="222" t="s">
        <v>861</v>
      </c>
      <c r="H3" s="21" t="s">
        <v>746</v>
      </c>
      <c r="I3" s="21" t="s">
        <v>746</v>
      </c>
      <c r="J3" s="21" t="s">
        <v>746</v>
      </c>
      <c r="K3" s="21" t="s">
        <v>746</v>
      </c>
      <c r="L3" s="21" t="s">
        <v>751</v>
      </c>
      <c r="M3" s="21" t="s">
        <v>751</v>
      </c>
      <c r="N3" s="21" t="s">
        <v>751</v>
      </c>
      <c r="O3" s="21" t="s">
        <v>751</v>
      </c>
      <c r="P3" s="22" t="s">
        <v>842</v>
      </c>
      <c r="Q3" s="22" t="s">
        <v>57</v>
      </c>
      <c r="R3" s="22" t="s">
        <v>58</v>
      </c>
      <c r="S3" s="18" t="s">
        <v>69</v>
      </c>
      <c r="T3" s="17" t="s">
        <v>60</v>
      </c>
      <c r="U3" s="17" t="s">
        <v>61</v>
      </c>
      <c r="V3" s="25" t="s">
        <v>59</v>
      </c>
      <c r="W3" s="21"/>
    </row>
    <row r="4" spans="1:24" x14ac:dyDescent="0.25">
      <c r="B4" s="66">
        <f>SC_YearEpoch-1</f>
        <v>1953</v>
      </c>
      <c r="C4" s="227"/>
      <c r="D4" s="227"/>
      <c r="E4" s="227"/>
      <c r="F4" s="227"/>
      <c r="G4" s="227"/>
      <c r="H4" s="44"/>
      <c r="I4" s="44"/>
      <c r="J4" s="44"/>
      <c r="K4" s="44"/>
      <c r="L4" s="44"/>
      <c r="M4" s="44"/>
      <c r="N4" s="44"/>
      <c r="O4" s="44"/>
      <c r="P4" s="28"/>
      <c r="Q4" s="28"/>
      <c r="R4" s="28"/>
      <c r="S4" s="24"/>
      <c r="T4" s="28"/>
      <c r="U4" s="28"/>
      <c r="V4" s="27"/>
      <c r="W4" s="44"/>
    </row>
    <row r="5" spans="1:24" x14ac:dyDescent="0.25">
      <c r="B5" s="65">
        <f t="shared" ref="B5:B37" si="2">B4+1</f>
        <v>1954</v>
      </c>
      <c r="C5" s="76" t="s">
        <v>741</v>
      </c>
      <c r="D5" s="530"/>
      <c r="E5" s="267"/>
      <c r="F5" s="530"/>
      <c r="G5" s="530"/>
      <c r="H5" s="67">
        <f t="shared" ref="H5:H36" si="3">IF(IF(COLUMN()=COLUMN(D5),TRUE,ISBLANK(D5)),L5,D5)</f>
        <v>5.1999999999999998E-3</v>
      </c>
      <c r="I5" s="67"/>
      <c r="J5" s="67">
        <f t="shared" ref="J5:J36" si="4">IF(IF(COLUMN()=COLUMN(F5),TRUE,ISBLANK(F5)),N5,F5)</f>
        <v>0.52559999999999996</v>
      </c>
      <c r="K5" s="67">
        <f t="shared" ref="K5:K36" si="5">IF(IF(COLUMN()=COLUMN(G5),TRUE,ISBLANK(G5)),O5,G5)</f>
        <v>2.4799999999999999E-2</v>
      </c>
      <c r="L5" s="248">
        <v>5.1999999999999998E-3</v>
      </c>
      <c r="M5" s="249"/>
      <c r="N5" s="248">
        <v>0.52559999999999996</v>
      </c>
      <c r="O5" s="248">
        <v>2.4799999999999999E-2</v>
      </c>
      <c r="P5" s="67">
        <f t="shared" ref="P5:P36" si="6">IF(ROW()&lt;ROW(B5),-(1+PV($K6,10,$K5,1))+$K5,$K5)</f>
        <v>2.4799999999999999E-2</v>
      </c>
      <c r="Q5" s="68">
        <f>IF($B5=SC_VersionMaj,1,IF($B5&lt;SC_VersionMaj,Q6*($H5+1),1/(1/Q3*($H3+1))))</f>
        <v>18.38247994280227</v>
      </c>
      <c r="R5" s="68">
        <f>IF($B5=SC_VersionMaj,1,IF($B5&lt;SC_VersionMaj,R6*($I5+1),1/(1/R3*($I3+1))))</f>
        <v>7.2041651939653413</v>
      </c>
      <c r="S5" s="250">
        <v>3600</v>
      </c>
      <c r="T5" s="251"/>
      <c r="U5" s="251"/>
      <c r="V5" s="253"/>
      <c r="W5" s="187"/>
    </row>
    <row r="6" spans="1:24" x14ac:dyDescent="0.25">
      <c r="B6" s="65">
        <f t="shared" si="2"/>
        <v>1955</v>
      </c>
      <c r="C6" s="76" t="s">
        <v>741</v>
      </c>
      <c r="D6" s="530"/>
      <c r="E6" s="267"/>
      <c r="F6" s="530"/>
      <c r="G6" s="530"/>
      <c r="H6" s="67">
        <f t="shared" si="3"/>
        <v>4.6199999999999998E-2</v>
      </c>
      <c r="I6" s="67"/>
      <c r="J6" s="67">
        <f t="shared" si="4"/>
        <v>0.32600000000000001</v>
      </c>
      <c r="K6" s="67">
        <f t="shared" si="5"/>
        <v>2.6100000000000002E-2</v>
      </c>
      <c r="L6" s="248">
        <v>4.6199999999999998E-2</v>
      </c>
      <c r="M6" s="249"/>
      <c r="N6" s="248">
        <v>0.32600000000000001</v>
      </c>
      <c r="O6" s="248">
        <v>2.6100000000000002E-2</v>
      </c>
      <c r="P6" s="67">
        <f t="shared" si="6"/>
        <v>2.6100000000000002E-2</v>
      </c>
      <c r="Q6" s="68">
        <f t="shared" ref="Q6:Q37" si="7">IF($B6=SC_VersionMaj,1,IF($B6&lt;SC_VersionMaj,Q7*($H6+1),1/(1/Q5*($H5+1))))</f>
        <v>18.287385538004646</v>
      </c>
      <c r="R6" s="68">
        <f t="shared" ref="R6:R37" si="8">IF($B6=SC_VersionMaj,1,IF($B6&lt;SC_VersionMaj,R7*($I6+1),1/(1/R5*($I5+1))))</f>
        <v>7.2041651939653413</v>
      </c>
      <c r="S6" s="250">
        <v>4200</v>
      </c>
      <c r="T6" s="251"/>
      <c r="U6" s="251"/>
      <c r="V6" s="253"/>
      <c r="W6" s="187"/>
      <c r="X6" t="str">
        <f t="shared" ref="X6:X68" si="9">IFERROR(VLOOKUP(W6,IV_CodeTable,2,FALSE),"")</f>
        <v/>
      </c>
    </row>
    <row r="7" spans="1:24" x14ac:dyDescent="0.25">
      <c r="B7" s="65">
        <f t="shared" si="2"/>
        <v>1956</v>
      </c>
      <c r="C7" s="76" t="s">
        <v>741</v>
      </c>
      <c r="D7" s="530"/>
      <c r="E7" s="267"/>
      <c r="F7" s="530"/>
      <c r="G7" s="530"/>
      <c r="H7" s="67">
        <f t="shared" si="3"/>
        <v>6.9900000000000004E-2</v>
      </c>
      <c r="I7" s="67"/>
      <c r="J7" s="67">
        <f t="shared" si="4"/>
        <v>7.4399999999999994E-2</v>
      </c>
      <c r="K7" s="67">
        <f t="shared" si="5"/>
        <v>2.9000000000000001E-2</v>
      </c>
      <c r="L7" s="248">
        <v>6.9900000000000004E-2</v>
      </c>
      <c r="M7" s="249"/>
      <c r="N7" s="248">
        <v>7.4399999999999994E-2</v>
      </c>
      <c r="O7" s="248">
        <v>2.9000000000000001E-2</v>
      </c>
      <c r="P7" s="67">
        <f t="shared" si="6"/>
        <v>2.9000000000000001E-2</v>
      </c>
      <c r="Q7" s="68">
        <f t="shared" si="7"/>
        <v>17.479817948771405</v>
      </c>
      <c r="R7" s="68">
        <f t="shared" si="8"/>
        <v>7.2041651939653413</v>
      </c>
      <c r="S7" s="250">
        <v>4200</v>
      </c>
      <c r="T7" s="251"/>
      <c r="U7" s="251"/>
      <c r="V7" s="253"/>
      <c r="W7" s="187"/>
      <c r="X7" t="str">
        <f t="shared" si="9"/>
        <v/>
      </c>
    </row>
    <row r="8" spans="1:24" x14ac:dyDescent="0.25">
      <c r="B8" s="65">
        <f t="shared" si="2"/>
        <v>1957</v>
      </c>
      <c r="C8" s="76" t="s">
        <v>741</v>
      </c>
      <c r="D8" s="530"/>
      <c r="E8" s="267"/>
      <c r="F8" s="530"/>
      <c r="G8" s="530"/>
      <c r="H8" s="67">
        <f t="shared" si="3"/>
        <v>3.1E-2</v>
      </c>
      <c r="I8" s="67"/>
      <c r="J8" s="67">
        <f t="shared" si="4"/>
        <v>-0.1046</v>
      </c>
      <c r="K8" s="67">
        <f t="shared" si="5"/>
        <v>3.4599999999999999E-2</v>
      </c>
      <c r="L8" s="248">
        <v>3.1E-2</v>
      </c>
      <c r="M8" s="249"/>
      <c r="N8" s="248">
        <v>-0.1046</v>
      </c>
      <c r="O8" s="248">
        <v>3.4599999999999999E-2</v>
      </c>
      <c r="P8" s="67">
        <f t="shared" si="6"/>
        <v>3.4599999999999999E-2</v>
      </c>
      <c r="Q8" s="68">
        <f t="shared" si="7"/>
        <v>16.337805354492385</v>
      </c>
      <c r="R8" s="68">
        <f t="shared" si="8"/>
        <v>7.2041651939653413</v>
      </c>
      <c r="S8" s="250">
        <v>4200</v>
      </c>
      <c r="T8" s="251"/>
      <c r="U8" s="251"/>
      <c r="V8" s="253"/>
      <c r="W8" s="187"/>
      <c r="X8" t="str">
        <f t="shared" si="9"/>
        <v/>
      </c>
    </row>
    <row r="9" spans="1:24" x14ac:dyDescent="0.25">
      <c r="B9" s="65">
        <f t="shared" si="2"/>
        <v>1958</v>
      </c>
      <c r="C9" s="76" t="s">
        <v>741</v>
      </c>
      <c r="D9" s="530"/>
      <c r="E9" s="267"/>
      <c r="F9" s="530"/>
      <c r="G9" s="530"/>
      <c r="H9" s="67">
        <f t="shared" si="3"/>
        <v>8.8000000000000005E-3</v>
      </c>
      <c r="I9" s="67"/>
      <c r="J9" s="67">
        <f t="shared" si="4"/>
        <v>0.43719999999999998</v>
      </c>
      <c r="K9" s="67">
        <f t="shared" si="5"/>
        <v>3.09E-2</v>
      </c>
      <c r="L9" s="248">
        <v>8.8000000000000005E-3</v>
      </c>
      <c r="M9" s="249"/>
      <c r="N9" s="248">
        <v>0.43719999999999998</v>
      </c>
      <c r="O9" s="248">
        <v>3.09E-2</v>
      </c>
      <c r="P9" s="67">
        <f t="shared" si="6"/>
        <v>3.09E-2</v>
      </c>
      <c r="Q9" s="68">
        <f t="shared" si="7"/>
        <v>15.8465619345222</v>
      </c>
      <c r="R9" s="68">
        <f t="shared" si="8"/>
        <v>7.2041651939653413</v>
      </c>
      <c r="S9" s="250">
        <v>4200</v>
      </c>
      <c r="T9" s="251"/>
      <c r="U9" s="251"/>
      <c r="V9" s="253"/>
      <c r="W9" s="187"/>
      <c r="X9" t="str">
        <f t="shared" si="9"/>
        <v/>
      </c>
    </row>
    <row r="10" spans="1:24" x14ac:dyDescent="0.25">
      <c r="B10" s="65">
        <f t="shared" si="2"/>
        <v>1959</v>
      </c>
      <c r="C10" s="76" t="s">
        <v>741</v>
      </c>
      <c r="D10" s="530"/>
      <c r="E10" s="267"/>
      <c r="F10" s="530"/>
      <c r="G10" s="530"/>
      <c r="H10" s="67">
        <f t="shared" si="3"/>
        <v>4.9500000000000002E-2</v>
      </c>
      <c r="I10" s="67"/>
      <c r="J10" s="67">
        <f t="shared" si="4"/>
        <v>0.1206</v>
      </c>
      <c r="K10" s="67">
        <f t="shared" si="5"/>
        <v>4.02E-2</v>
      </c>
      <c r="L10" s="248">
        <v>4.9500000000000002E-2</v>
      </c>
      <c r="M10" s="249"/>
      <c r="N10" s="248">
        <v>0.1206</v>
      </c>
      <c r="O10" s="248">
        <v>4.02E-2</v>
      </c>
      <c r="P10" s="67">
        <f t="shared" si="6"/>
        <v>4.02E-2</v>
      </c>
      <c r="Q10" s="68">
        <f t="shared" si="7"/>
        <v>15.708328642468478</v>
      </c>
      <c r="R10" s="68">
        <f t="shared" si="8"/>
        <v>7.2041651939653413</v>
      </c>
      <c r="S10" s="250">
        <v>4800</v>
      </c>
      <c r="T10" s="251"/>
      <c r="U10" s="251"/>
      <c r="V10" s="253"/>
      <c r="W10" s="187"/>
      <c r="X10" t="str">
        <f t="shared" si="9"/>
        <v/>
      </c>
    </row>
    <row r="11" spans="1:24" x14ac:dyDescent="0.25">
      <c r="B11" s="65">
        <f t="shared" si="2"/>
        <v>1960</v>
      </c>
      <c r="C11" s="76" t="s">
        <v>741</v>
      </c>
      <c r="D11" s="530"/>
      <c r="E11" s="267"/>
      <c r="F11" s="530"/>
      <c r="G11" s="530"/>
      <c r="H11" s="67">
        <f t="shared" si="3"/>
        <v>3.9199999999999999E-2</v>
      </c>
      <c r="I11" s="67"/>
      <c r="J11" s="67">
        <f t="shared" si="4"/>
        <v>3.3999999999999998E-3</v>
      </c>
      <c r="K11" s="67">
        <f t="shared" si="5"/>
        <v>4.7199999999999999E-2</v>
      </c>
      <c r="L11" s="248">
        <v>3.9199999999999999E-2</v>
      </c>
      <c r="M11" s="249"/>
      <c r="N11" s="248">
        <v>3.3999999999999998E-3</v>
      </c>
      <c r="O11" s="248">
        <v>4.7199999999999999E-2</v>
      </c>
      <c r="P11" s="67">
        <f t="shared" si="6"/>
        <v>4.7199999999999999E-2</v>
      </c>
      <c r="Q11" s="68">
        <f t="shared" si="7"/>
        <v>14.967440345372536</v>
      </c>
      <c r="R11" s="68">
        <f t="shared" si="8"/>
        <v>7.2041651939653413</v>
      </c>
      <c r="S11" s="250">
        <v>4800</v>
      </c>
      <c r="T11" s="251"/>
      <c r="U11" s="251"/>
      <c r="V11" s="253"/>
      <c r="W11" s="187"/>
      <c r="X11" t="str">
        <f t="shared" si="9"/>
        <v/>
      </c>
    </row>
    <row r="12" spans="1:24" x14ac:dyDescent="0.25">
      <c r="B12" s="65">
        <f t="shared" si="2"/>
        <v>1961</v>
      </c>
      <c r="C12" s="76" t="s">
        <v>741</v>
      </c>
      <c r="D12" s="530"/>
      <c r="E12" s="267"/>
      <c r="F12" s="530"/>
      <c r="G12" s="530"/>
      <c r="H12" s="67">
        <f t="shared" si="3"/>
        <v>1.9900000000000001E-2</v>
      </c>
      <c r="I12" s="67"/>
      <c r="J12" s="67">
        <f t="shared" si="4"/>
        <v>0.26640000000000003</v>
      </c>
      <c r="K12" s="67">
        <f t="shared" si="5"/>
        <v>3.8399999999999997E-2</v>
      </c>
      <c r="L12" s="248">
        <v>1.9900000000000001E-2</v>
      </c>
      <c r="M12" s="249"/>
      <c r="N12" s="248">
        <v>0.26640000000000003</v>
      </c>
      <c r="O12" s="248">
        <v>3.8399999999999997E-2</v>
      </c>
      <c r="P12" s="67">
        <f t="shared" si="6"/>
        <v>3.8399999999999997E-2</v>
      </c>
      <c r="Q12" s="68">
        <f t="shared" si="7"/>
        <v>14.402848677225306</v>
      </c>
      <c r="R12" s="68">
        <f t="shared" si="8"/>
        <v>7.2041651939653413</v>
      </c>
      <c r="S12" s="250">
        <v>4800</v>
      </c>
      <c r="T12" s="251"/>
      <c r="U12" s="251"/>
      <c r="V12" s="253"/>
      <c r="W12" s="187"/>
      <c r="X12" t="str">
        <f t="shared" si="9"/>
        <v/>
      </c>
    </row>
    <row r="13" spans="1:24" x14ac:dyDescent="0.25">
      <c r="B13" s="65">
        <f t="shared" si="2"/>
        <v>1962</v>
      </c>
      <c r="C13" s="76" t="s">
        <v>741</v>
      </c>
      <c r="D13" s="530"/>
      <c r="E13" s="267"/>
      <c r="F13" s="530"/>
      <c r="G13" s="530"/>
      <c r="H13" s="67">
        <f t="shared" si="3"/>
        <v>5.0099999999999999E-2</v>
      </c>
      <c r="I13" s="67"/>
      <c r="J13" s="67">
        <f t="shared" si="4"/>
        <v>-8.8099999999999998E-2</v>
      </c>
      <c r="K13" s="67">
        <f t="shared" si="5"/>
        <v>4.0800000000000003E-2</v>
      </c>
      <c r="L13" s="248">
        <v>5.0099999999999999E-2</v>
      </c>
      <c r="M13" s="249"/>
      <c r="N13" s="248">
        <v>-8.8099999999999998E-2</v>
      </c>
      <c r="O13" s="248">
        <v>4.0800000000000003E-2</v>
      </c>
      <c r="P13" s="67">
        <f t="shared" si="6"/>
        <v>4.0800000000000003E-2</v>
      </c>
      <c r="Q13" s="68">
        <f t="shared" si="7"/>
        <v>14.121824372218164</v>
      </c>
      <c r="R13" s="68">
        <f t="shared" si="8"/>
        <v>7.2041651939653413</v>
      </c>
      <c r="S13" s="250">
        <v>4800</v>
      </c>
      <c r="T13" s="251"/>
      <c r="U13" s="251"/>
      <c r="V13" s="253"/>
      <c r="W13" s="187"/>
      <c r="X13" t="str">
        <f t="shared" si="9"/>
        <v/>
      </c>
    </row>
    <row r="14" spans="1:24" x14ac:dyDescent="0.25">
      <c r="B14" s="65">
        <f t="shared" si="2"/>
        <v>1963</v>
      </c>
      <c r="C14" s="76" t="s">
        <v>741</v>
      </c>
      <c r="D14" s="530"/>
      <c r="E14" s="267"/>
      <c r="F14" s="530"/>
      <c r="G14" s="530"/>
      <c r="H14" s="67">
        <f t="shared" si="3"/>
        <v>2.4500000000000001E-2</v>
      </c>
      <c r="I14" s="67"/>
      <c r="J14" s="67">
        <f t="shared" si="4"/>
        <v>0.2261</v>
      </c>
      <c r="K14" s="67">
        <f t="shared" si="5"/>
        <v>3.8300000000000001E-2</v>
      </c>
      <c r="L14" s="248">
        <v>2.4500000000000001E-2</v>
      </c>
      <c r="M14" s="249"/>
      <c r="N14" s="248">
        <v>0.2261</v>
      </c>
      <c r="O14" s="248">
        <v>3.8300000000000001E-2</v>
      </c>
      <c r="P14" s="67">
        <f t="shared" si="6"/>
        <v>3.8300000000000001E-2</v>
      </c>
      <c r="Q14" s="68">
        <f t="shared" si="7"/>
        <v>13.448075775848171</v>
      </c>
      <c r="R14" s="68">
        <f t="shared" si="8"/>
        <v>7.2041651939653413</v>
      </c>
      <c r="S14" s="250">
        <v>4800</v>
      </c>
      <c r="T14" s="251"/>
      <c r="U14" s="251"/>
      <c r="V14" s="253"/>
      <c r="W14" s="187"/>
      <c r="X14" t="str">
        <f t="shared" si="9"/>
        <v/>
      </c>
    </row>
    <row r="15" spans="1:24" x14ac:dyDescent="0.25">
      <c r="B15" s="65">
        <f t="shared" si="2"/>
        <v>1964</v>
      </c>
      <c r="C15" s="76" t="s">
        <v>741</v>
      </c>
      <c r="D15" s="530"/>
      <c r="E15" s="267"/>
      <c r="F15" s="530"/>
      <c r="G15" s="530"/>
      <c r="H15" s="67">
        <f t="shared" si="3"/>
        <v>4.0899999999999999E-2</v>
      </c>
      <c r="I15" s="67"/>
      <c r="J15" s="67">
        <f t="shared" si="4"/>
        <v>0.16420000000000001</v>
      </c>
      <c r="K15" s="67">
        <f t="shared" si="5"/>
        <v>4.1700000000000001E-2</v>
      </c>
      <c r="L15" s="248">
        <v>4.0899999999999999E-2</v>
      </c>
      <c r="M15" s="249"/>
      <c r="N15" s="248">
        <v>0.16420000000000001</v>
      </c>
      <c r="O15" s="248">
        <v>4.1700000000000001E-2</v>
      </c>
      <c r="P15" s="67">
        <f t="shared" si="6"/>
        <v>4.1700000000000001E-2</v>
      </c>
      <c r="Q15" s="68">
        <f t="shared" si="7"/>
        <v>13.126477087211489</v>
      </c>
      <c r="R15" s="68">
        <f t="shared" si="8"/>
        <v>7.2041651939653413</v>
      </c>
      <c r="S15" s="250">
        <v>4800</v>
      </c>
      <c r="T15" s="251"/>
      <c r="U15" s="251"/>
      <c r="V15" s="253"/>
      <c r="W15" s="187"/>
      <c r="X15" t="str">
        <f t="shared" si="9"/>
        <v/>
      </c>
    </row>
    <row r="16" spans="1:24" x14ac:dyDescent="0.25">
      <c r="B16" s="65">
        <f t="shared" si="2"/>
        <v>1965</v>
      </c>
      <c r="C16" s="76" t="s">
        <v>741</v>
      </c>
      <c r="D16" s="530"/>
      <c r="E16" s="267"/>
      <c r="F16" s="530"/>
      <c r="G16" s="530"/>
      <c r="H16" s="67">
        <f t="shared" si="3"/>
        <v>1.7999999999999999E-2</v>
      </c>
      <c r="I16" s="67"/>
      <c r="J16" s="67">
        <f t="shared" si="4"/>
        <v>0.124</v>
      </c>
      <c r="K16" s="67">
        <f t="shared" si="5"/>
        <v>4.19E-2</v>
      </c>
      <c r="L16" s="248">
        <v>1.7999999999999999E-2</v>
      </c>
      <c r="M16" s="249"/>
      <c r="N16" s="248">
        <v>0.124</v>
      </c>
      <c r="O16" s="248">
        <v>4.19E-2</v>
      </c>
      <c r="P16" s="67">
        <f t="shared" si="6"/>
        <v>4.19E-2</v>
      </c>
      <c r="Q16" s="68">
        <f t="shared" si="7"/>
        <v>12.610699478539235</v>
      </c>
      <c r="R16" s="68">
        <f t="shared" si="8"/>
        <v>7.2041651939653413</v>
      </c>
      <c r="S16" s="250">
        <v>4800</v>
      </c>
      <c r="T16" s="251"/>
      <c r="U16" s="251"/>
      <c r="V16" s="253"/>
      <c r="W16" s="187"/>
      <c r="X16" t="str">
        <f t="shared" si="9"/>
        <v/>
      </c>
    </row>
    <row r="17" spans="2:24" x14ac:dyDescent="0.25">
      <c r="B17" s="65">
        <f t="shared" si="2"/>
        <v>1966</v>
      </c>
      <c r="C17" s="76" t="s">
        <v>741</v>
      </c>
      <c r="D17" s="530"/>
      <c r="E17" s="267"/>
      <c r="F17" s="530"/>
      <c r="G17" s="530"/>
      <c r="H17" s="67">
        <f t="shared" si="3"/>
        <v>0.06</v>
      </c>
      <c r="I17" s="67"/>
      <c r="J17" s="67">
        <f t="shared" si="4"/>
        <v>-9.9699999999999997E-2</v>
      </c>
      <c r="K17" s="67">
        <f t="shared" si="5"/>
        <v>4.6100000000000002E-2</v>
      </c>
      <c r="L17" s="248">
        <v>0.06</v>
      </c>
      <c r="M17" s="249"/>
      <c r="N17" s="248">
        <v>-9.9699999999999997E-2</v>
      </c>
      <c r="O17" s="248">
        <v>4.6100000000000002E-2</v>
      </c>
      <c r="P17" s="67">
        <f t="shared" si="6"/>
        <v>4.6100000000000002E-2</v>
      </c>
      <c r="Q17" s="68">
        <f t="shared" si="7"/>
        <v>12.387720509370565</v>
      </c>
      <c r="R17" s="68">
        <f t="shared" si="8"/>
        <v>7.2041651939653413</v>
      </c>
      <c r="S17" s="250">
        <v>6600</v>
      </c>
      <c r="T17" s="251"/>
      <c r="U17" s="251"/>
      <c r="V17" s="253"/>
      <c r="W17" s="187"/>
      <c r="X17" t="str">
        <f t="shared" si="9"/>
        <v/>
      </c>
    </row>
    <row r="18" spans="2:24" x14ac:dyDescent="0.25">
      <c r="B18" s="65">
        <f t="shared" si="2"/>
        <v>1967</v>
      </c>
      <c r="C18" s="76" t="s">
        <v>741</v>
      </c>
      <c r="D18" s="530"/>
      <c r="E18" s="267"/>
      <c r="F18" s="530"/>
      <c r="G18" s="530"/>
      <c r="H18" s="67">
        <f t="shared" si="3"/>
        <v>5.57E-2</v>
      </c>
      <c r="I18" s="67"/>
      <c r="J18" s="67">
        <f t="shared" si="4"/>
        <v>0.23799999999999999</v>
      </c>
      <c r="K18" s="67">
        <f t="shared" si="5"/>
        <v>4.58E-2</v>
      </c>
      <c r="L18" s="248">
        <v>5.57E-2</v>
      </c>
      <c r="M18" s="249"/>
      <c r="N18" s="248">
        <v>0.23799999999999999</v>
      </c>
      <c r="O18" s="248">
        <v>4.58E-2</v>
      </c>
      <c r="P18" s="67">
        <f t="shared" si="6"/>
        <v>4.58E-2</v>
      </c>
      <c r="Q18" s="68">
        <f t="shared" si="7"/>
        <v>11.686528782425061</v>
      </c>
      <c r="R18" s="68">
        <f t="shared" si="8"/>
        <v>7.2041651939653413</v>
      </c>
      <c r="S18" s="250">
        <v>6600</v>
      </c>
      <c r="T18" s="251"/>
      <c r="U18" s="251"/>
      <c r="V18" s="253"/>
      <c r="W18" s="187"/>
      <c r="X18" t="str">
        <f t="shared" si="9"/>
        <v/>
      </c>
    </row>
    <row r="19" spans="2:24" x14ac:dyDescent="0.25">
      <c r="B19" s="65">
        <f t="shared" si="2"/>
        <v>1968</v>
      </c>
      <c r="C19" s="76" t="s">
        <v>741</v>
      </c>
      <c r="D19" s="530"/>
      <c r="E19" s="267"/>
      <c r="F19" s="530"/>
      <c r="G19" s="530"/>
      <c r="H19" s="67">
        <f t="shared" si="3"/>
        <v>6.8699999999999997E-2</v>
      </c>
      <c r="I19" s="67"/>
      <c r="J19" s="67">
        <f t="shared" si="4"/>
        <v>0.1081</v>
      </c>
      <c r="K19" s="67">
        <f t="shared" si="5"/>
        <v>5.5300000000000002E-2</v>
      </c>
      <c r="L19" s="248">
        <v>6.8699999999999997E-2</v>
      </c>
      <c r="M19" s="249"/>
      <c r="N19" s="248">
        <v>0.1081</v>
      </c>
      <c r="O19" s="248">
        <v>5.5300000000000002E-2</v>
      </c>
      <c r="P19" s="67">
        <f t="shared" si="6"/>
        <v>5.5300000000000002E-2</v>
      </c>
      <c r="Q19" s="68">
        <f t="shared" si="7"/>
        <v>11.069933487188653</v>
      </c>
      <c r="R19" s="68">
        <f t="shared" si="8"/>
        <v>7.2041651939653413</v>
      </c>
      <c r="S19" s="250">
        <v>7800</v>
      </c>
      <c r="T19" s="251"/>
      <c r="U19" s="251"/>
      <c r="V19" s="253"/>
      <c r="W19" s="187"/>
      <c r="X19" t="str">
        <f t="shared" si="9"/>
        <v/>
      </c>
    </row>
    <row r="20" spans="2:24" x14ac:dyDescent="0.25">
      <c r="B20" s="65">
        <f t="shared" si="2"/>
        <v>1969</v>
      </c>
      <c r="C20" s="76" t="s">
        <v>741</v>
      </c>
      <c r="D20" s="530"/>
      <c r="E20" s="267"/>
      <c r="F20" s="530"/>
      <c r="G20" s="530"/>
      <c r="H20" s="67">
        <f t="shared" si="3"/>
        <v>5.7799999999999997E-2</v>
      </c>
      <c r="I20" s="67"/>
      <c r="J20" s="67">
        <f t="shared" si="4"/>
        <v>-8.2400000000000001E-2</v>
      </c>
      <c r="K20" s="67">
        <f t="shared" si="5"/>
        <v>6.0400000000000002E-2</v>
      </c>
      <c r="L20" s="248">
        <v>5.7799999999999997E-2</v>
      </c>
      <c r="M20" s="249"/>
      <c r="N20" s="248">
        <v>-8.2400000000000001E-2</v>
      </c>
      <c r="O20" s="248">
        <v>6.0400000000000002E-2</v>
      </c>
      <c r="P20" s="67">
        <f t="shared" si="6"/>
        <v>6.0400000000000002E-2</v>
      </c>
      <c r="Q20" s="68">
        <f t="shared" si="7"/>
        <v>10.358317102263173</v>
      </c>
      <c r="R20" s="68">
        <f t="shared" si="8"/>
        <v>7.2041651939653413</v>
      </c>
      <c r="S20" s="250">
        <v>7800</v>
      </c>
      <c r="T20" s="251"/>
      <c r="U20" s="251"/>
      <c r="V20" s="253"/>
      <c r="W20" s="187"/>
      <c r="X20" t="str">
        <f t="shared" si="9"/>
        <v/>
      </c>
    </row>
    <row r="21" spans="2:24" x14ac:dyDescent="0.25">
      <c r="B21" s="65">
        <f t="shared" si="2"/>
        <v>1970</v>
      </c>
      <c r="C21" s="76" t="s">
        <v>741</v>
      </c>
      <c r="D21" s="530"/>
      <c r="E21" s="530"/>
      <c r="F21" s="530"/>
      <c r="G21" s="530"/>
      <c r="H21" s="67">
        <f t="shared" si="3"/>
        <v>4.9599999999999998E-2</v>
      </c>
      <c r="I21" s="67">
        <f t="shared" ref="I21:I52" si="10">IF(IF(COLUMN()=COLUMN(E21),TRUE,ISBLANK(E21)),M21,E21)</f>
        <v>5.7000000000000002E-2</v>
      </c>
      <c r="J21" s="67">
        <f t="shared" si="4"/>
        <v>3.56E-2</v>
      </c>
      <c r="K21" s="67">
        <f t="shared" si="5"/>
        <v>7.7899999999999997E-2</v>
      </c>
      <c r="L21" s="248">
        <v>4.9599999999999998E-2</v>
      </c>
      <c r="M21" s="248">
        <v>5.7000000000000002E-2</v>
      </c>
      <c r="N21" s="248">
        <v>3.56E-2</v>
      </c>
      <c r="O21" s="248">
        <v>7.7899999999999997E-2</v>
      </c>
      <c r="P21" s="67">
        <f t="shared" si="6"/>
        <v>7.7899999999999997E-2</v>
      </c>
      <c r="Q21" s="68">
        <f t="shared" si="7"/>
        <v>9.7923209512792333</v>
      </c>
      <c r="R21" s="68">
        <f t="shared" si="8"/>
        <v>7.2041651939653413</v>
      </c>
      <c r="S21" s="250">
        <v>7800</v>
      </c>
      <c r="T21" s="251"/>
      <c r="U21" s="251"/>
      <c r="V21" s="253"/>
      <c r="W21" s="187"/>
      <c r="X21" t="str">
        <f t="shared" si="9"/>
        <v/>
      </c>
    </row>
    <row r="22" spans="2:24" x14ac:dyDescent="0.25">
      <c r="B22" s="65">
        <f t="shared" si="2"/>
        <v>1971</v>
      </c>
      <c r="C22" s="76" t="s">
        <v>741</v>
      </c>
      <c r="D22" s="530"/>
      <c r="E22" s="530"/>
      <c r="F22" s="530"/>
      <c r="G22" s="530"/>
      <c r="H22" s="67">
        <f t="shared" si="3"/>
        <v>5.0200000000000002E-2</v>
      </c>
      <c r="I22" s="67">
        <f t="shared" si="10"/>
        <v>4.3999999999999997E-2</v>
      </c>
      <c r="J22" s="67">
        <f t="shared" si="4"/>
        <v>0.14219999999999999</v>
      </c>
      <c r="K22" s="67">
        <f t="shared" si="5"/>
        <v>6.2399999999999997E-2</v>
      </c>
      <c r="L22" s="248">
        <v>5.0200000000000002E-2</v>
      </c>
      <c r="M22" s="248">
        <v>4.3999999999999997E-2</v>
      </c>
      <c r="N22" s="248">
        <v>0.14219999999999999</v>
      </c>
      <c r="O22" s="248">
        <v>6.2399999999999997E-2</v>
      </c>
      <c r="P22" s="67">
        <f t="shared" si="6"/>
        <v>6.2399999999999997E-2</v>
      </c>
      <c r="Q22" s="68">
        <f t="shared" si="7"/>
        <v>9.3295740770571953</v>
      </c>
      <c r="R22" s="68">
        <f t="shared" si="8"/>
        <v>6.8156718958990936</v>
      </c>
      <c r="S22" s="250">
        <v>7800</v>
      </c>
      <c r="T22" s="251"/>
      <c r="U22" s="251"/>
      <c r="V22" s="253"/>
      <c r="W22" s="187"/>
      <c r="X22" t="str">
        <f t="shared" si="9"/>
        <v/>
      </c>
    </row>
    <row r="23" spans="2:24" x14ac:dyDescent="0.25">
      <c r="B23" s="65">
        <f t="shared" si="2"/>
        <v>1972</v>
      </c>
      <c r="C23" s="76" t="s">
        <v>741</v>
      </c>
      <c r="D23" s="530"/>
      <c r="E23" s="530"/>
      <c r="F23" s="530"/>
      <c r="G23" s="530"/>
      <c r="H23" s="67">
        <f t="shared" si="3"/>
        <v>9.8000000000000004E-2</v>
      </c>
      <c r="I23" s="67">
        <f t="shared" si="10"/>
        <v>3.4000000000000002E-2</v>
      </c>
      <c r="J23" s="67">
        <f t="shared" si="4"/>
        <v>0.18759999999999999</v>
      </c>
      <c r="K23" s="67">
        <f t="shared" si="5"/>
        <v>5.9499999999999997E-2</v>
      </c>
      <c r="L23" s="248">
        <v>9.8000000000000004E-2</v>
      </c>
      <c r="M23" s="248">
        <v>3.4000000000000002E-2</v>
      </c>
      <c r="N23" s="248">
        <v>0.18759999999999999</v>
      </c>
      <c r="O23" s="248">
        <v>5.9499999999999997E-2</v>
      </c>
      <c r="P23" s="67">
        <f t="shared" si="6"/>
        <v>5.9499999999999997E-2</v>
      </c>
      <c r="Q23" s="68">
        <f t="shared" si="7"/>
        <v>8.8836165273825891</v>
      </c>
      <c r="R23" s="68">
        <f t="shared" si="8"/>
        <v>6.5284213562251852</v>
      </c>
      <c r="S23" s="250">
        <v>9000</v>
      </c>
      <c r="T23" s="251"/>
      <c r="U23" s="251"/>
      <c r="V23" s="253"/>
      <c r="W23" s="187"/>
      <c r="X23" t="str">
        <f t="shared" si="9"/>
        <v/>
      </c>
    </row>
    <row r="24" spans="2:24" x14ac:dyDescent="0.25">
      <c r="B24" s="65">
        <f t="shared" si="2"/>
        <v>1973</v>
      </c>
      <c r="C24" s="76" t="s">
        <v>741</v>
      </c>
      <c r="D24" s="530"/>
      <c r="E24" s="530"/>
      <c r="F24" s="530"/>
      <c r="G24" s="530"/>
      <c r="H24" s="67">
        <f t="shared" si="3"/>
        <v>6.2600000000000003E-2</v>
      </c>
      <c r="I24" s="67">
        <f t="shared" si="10"/>
        <v>6.2E-2</v>
      </c>
      <c r="J24" s="67">
        <f t="shared" si="4"/>
        <v>-0.1431</v>
      </c>
      <c r="K24" s="67">
        <f t="shared" si="5"/>
        <v>6.4600000000000005E-2</v>
      </c>
      <c r="L24" s="248">
        <v>6.2600000000000003E-2</v>
      </c>
      <c r="M24" s="248">
        <v>6.2E-2</v>
      </c>
      <c r="N24" s="248">
        <v>-0.1431</v>
      </c>
      <c r="O24" s="248">
        <v>6.4600000000000005E-2</v>
      </c>
      <c r="P24" s="67">
        <f t="shared" si="6"/>
        <v>6.4600000000000005E-2</v>
      </c>
      <c r="Q24" s="68">
        <f t="shared" si="7"/>
        <v>8.0907254347746704</v>
      </c>
      <c r="R24" s="68">
        <f t="shared" si="8"/>
        <v>6.3137537294247439</v>
      </c>
      <c r="S24" s="250">
        <v>10800</v>
      </c>
      <c r="T24" s="252"/>
      <c r="U24" s="252"/>
      <c r="V24" s="253"/>
      <c r="W24" s="187"/>
      <c r="X24" t="str">
        <f t="shared" si="9"/>
        <v/>
      </c>
    </row>
    <row r="25" spans="2:24" x14ac:dyDescent="0.25">
      <c r="B25" s="65">
        <f t="shared" si="2"/>
        <v>1974</v>
      </c>
      <c r="C25" s="76" t="s">
        <v>741</v>
      </c>
      <c r="D25" s="530"/>
      <c r="E25" s="530"/>
      <c r="F25" s="530"/>
      <c r="G25" s="530"/>
      <c r="H25" s="67">
        <f t="shared" si="3"/>
        <v>5.9400000000000001E-2</v>
      </c>
      <c r="I25" s="67">
        <f t="shared" si="10"/>
        <v>0.11</v>
      </c>
      <c r="J25" s="67">
        <f t="shared" si="4"/>
        <v>-0.25900000000000001</v>
      </c>
      <c r="K25" s="67">
        <f t="shared" si="5"/>
        <v>6.9900000000000004E-2</v>
      </c>
      <c r="L25" s="248">
        <v>5.9400000000000001E-2</v>
      </c>
      <c r="M25" s="248">
        <v>0.11</v>
      </c>
      <c r="N25" s="248">
        <v>-0.25900000000000001</v>
      </c>
      <c r="O25" s="248">
        <v>6.9900000000000004E-2</v>
      </c>
      <c r="P25" s="67">
        <f t="shared" si="6"/>
        <v>6.9900000000000004E-2</v>
      </c>
      <c r="Q25" s="68">
        <f t="shared" si="7"/>
        <v>7.6140837895489089</v>
      </c>
      <c r="R25" s="68">
        <f t="shared" si="8"/>
        <v>5.9451541708330922</v>
      </c>
      <c r="S25" s="250">
        <v>13200</v>
      </c>
      <c r="T25" s="252"/>
      <c r="U25" s="252"/>
      <c r="V25" s="253"/>
      <c r="W25" s="187"/>
      <c r="X25" t="str">
        <f t="shared" si="9"/>
        <v/>
      </c>
    </row>
    <row r="26" spans="2:24" x14ac:dyDescent="0.25">
      <c r="B26" s="65">
        <f t="shared" si="2"/>
        <v>1975</v>
      </c>
      <c r="C26" s="76" t="s">
        <v>741</v>
      </c>
      <c r="D26" s="530"/>
      <c r="E26" s="530"/>
      <c r="F26" s="530"/>
      <c r="G26" s="530"/>
      <c r="H26" s="67">
        <f t="shared" si="3"/>
        <v>7.4700000000000003E-2</v>
      </c>
      <c r="I26" s="67">
        <f t="shared" si="10"/>
        <v>9.1600000000000001E-2</v>
      </c>
      <c r="J26" s="67">
        <f t="shared" si="4"/>
        <v>0.37</v>
      </c>
      <c r="K26" s="67">
        <f t="shared" si="5"/>
        <v>7.4999999999999997E-2</v>
      </c>
      <c r="L26" s="248">
        <v>7.4700000000000003E-2</v>
      </c>
      <c r="M26" s="248">
        <v>9.1600000000000001E-2</v>
      </c>
      <c r="N26" s="248">
        <v>0.37</v>
      </c>
      <c r="O26" s="248">
        <v>7.4999999999999997E-2</v>
      </c>
      <c r="P26" s="67">
        <f t="shared" si="6"/>
        <v>7.4999999999999997E-2</v>
      </c>
      <c r="Q26" s="68">
        <f t="shared" si="7"/>
        <v>7.1871661219075982</v>
      </c>
      <c r="R26" s="68">
        <f t="shared" si="8"/>
        <v>5.3559947484982811</v>
      </c>
      <c r="S26" s="250">
        <v>14100</v>
      </c>
      <c r="T26" s="251"/>
      <c r="U26" s="251"/>
      <c r="V26" s="255">
        <v>0.08</v>
      </c>
      <c r="W26" s="187"/>
      <c r="X26" t="str">
        <f t="shared" si="9"/>
        <v/>
      </c>
    </row>
    <row r="27" spans="2:24" x14ac:dyDescent="0.25">
      <c r="B27" s="65">
        <f t="shared" si="2"/>
        <v>1976</v>
      </c>
      <c r="C27" s="76" t="s">
        <v>741</v>
      </c>
      <c r="D27" s="530"/>
      <c r="E27" s="530"/>
      <c r="F27" s="530"/>
      <c r="G27" s="530"/>
      <c r="H27" s="67">
        <f t="shared" si="3"/>
        <v>6.9000000000000006E-2</v>
      </c>
      <c r="I27" s="67">
        <f t="shared" si="10"/>
        <v>5.7099999999999998E-2</v>
      </c>
      <c r="J27" s="67">
        <f t="shared" si="4"/>
        <v>0.23830000000000001</v>
      </c>
      <c r="K27" s="67">
        <f t="shared" si="5"/>
        <v>7.7399999999999997E-2</v>
      </c>
      <c r="L27" s="248">
        <v>6.9000000000000006E-2</v>
      </c>
      <c r="M27" s="248">
        <v>5.7099999999999998E-2</v>
      </c>
      <c r="N27" s="248">
        <v>0.23830000000000001</v>
      </c>
      <c r="O27" s="248">
        <v>7.7399999999999997E-2</v>
      </c>
      <c r="P27" s="67">
        <f t="shared" si="6"/>
        <v>7.7399999999999997E-2</v>
      </c>
      <c r="Q27" s="68">
        <f t="shared" si="7"/>
        <v>6.6876022349563584</v>
      </c>
      <c r="R27" s="68">
        <f t="shared" si="8"/>
        <v>4.9065543683567991</v>
      </c>
      <c r="S27" s="250">
        <v>15300</v>
      </c>
      <c r="T27" s="251"/>
      <c r="U27" s="251"/>
      <c r="V27" s="255">
        <v>6.4000000000000001E-2</v>
      </c>
      <c r="W27" s="187"/>
      <c r="X27" t="str">
        <f t="shared" si="9"/>
        <v/>
      </c>
    </row>
    <row r="28" spans="2:24" x14ac:dyDescent="0.25">
      <c r="B28" s="65">
        <f t="shared" si="2"/>
        <v>1977</v>
      </c>
      <c r="C28" s="76" t="s">
        <v>741</v>
      </c>
      <c r="D28" s="530"/>
      <c r="E28" s="530"/>
      <c r="F28" s="530"/>
      <c r="G28" s="530"/>
      <c r="H28" s="67">
        <f t="shared" si="3"/>
        <v>5.9900000000000002E-2</v>
      </c>
      <c r="I28" s="67">
        <f t="shared" si="10"/>
        <v>6.5000000000000002E-2</v>
      </c>
      <c r="J28" s="67">
        <f t="shared" si="4"/>
        <v>-6.9800000000000001E-2</v>
      </c>
      <c r="K28" s="67">
        <f t="shared" si="5"/>
        <v>7.2099999999999997E-2</v>
      </c>
      <c r="L28" s="248">
        <v>5.9900000000000002E-2</v>
      </c>
      <c r="M28" s="248">
        <v>6.5000000000000002E-2</v>
      </c>
      <c r="N28" s="248">
        <v>-6.9800000000000001E-2</v>
      </c>
      <c r="O28" s="248">
        <v>7.2099999999999997E-2</v>
      </c>
      <c r="P28" s="67">
        <f t="shared" si="6"/>
        <v>7.2099999999999997E-2</v>
      </c>
      <c r="Q28" s="68">
        <f t="shared" si="7"/>
        <v>6.2559422216617016</v>
      </c>
      <c r="R28" s="68">
        <f t="shared" si="8"/>
        <v>4.6415233831773719</v>
      </c>
      <c r="S28" s="250">
        <v>16500</v>
      </c>
      <c r="T28" s="251"/>
      <c r="U28" s="251"/>
      <c r="V28" s="255">
        <v>5.8999999999999997E-2</v>
      </c>
      <c r="W28" s="187"/>
      <c r="X28" t="str">
        <f t="shared" si="9"/>
        <v/>
      </c>
    </row>
    <row r="29" spans="2:24" x14ac:dyDescent="0.25">
      <c r="B29" s="65">
        <f t="shared" si="2"/>
        <v>1978</v>
      </c>
      <c r="C29" s="76" t="s">
        <v>741</v>
      </c>
      <c r="D29" s="530"/>
      <c r="E29" s="530"/>
      <c r="F29" s="530"/>
      <c r="G29" s="530"/>
      <c r="H29" s="67">
        <f t="shared" si="3"/>
        <v>7.9399999999999998E-2</v>
      </c>
      <c r="I29" s="67">
        <f t="shared" si="10"/>
        <v>7.5999999999999998E-2</v>
      </c>
      <c r="J29" s="67">
        <f t="shared" si="4"/>
        <v>6.5100000000000005E-2</v>
      </c>
      <c r="K29" s="67">
        <f t="shared" si="5"/>
        <v>7.9600000000000004E-2</v>
      </c>
      <c r="L29" s="248">
        <v>7.9399999999999998E-2</v>
      </c>
      <c r="M29" s="248">
        <v>7.5999999999999998E-2</v>
      </c>
      <c r="N29" s="248">
        <v>6.5100000000000005E-2</v>
      </c>
      <c r="O29" s="248">
        <v>7.9600000000000004E-2</v>
      </c>
      <c r="P29" s="67">
        <f t="shared" si="6"/>
        <v>7.9600000000000004E-2</v>
      </c>
      <c r="Q29" s="68">
        <f t="shared" si="7"/>
        <v>5.9023891137481845</v>
      </c>
      <c r="R29" s="68">
        <f t="shared" si="8"/>
        <v>4.358237918476406</v>
      </c>
      <c r="S29" s="250">
        <v>17700</v>
      </c>
      <c r="T29" s="251"/>
      <c r="U29" s="251"/>
      <c r="V29" s="255">
        <v>6.5000000000000002E-2</v>
      </c>
      <c r="W29" s="187"/>
      <c r="X29" t="str">
        <f t="shared" si="9"/>
        <v/>
      </c>
    </row>
    <row r="30" spans="2:24" x14ac:dyDescent="0.25">
      <c r="B30" s="65">
        <f t="shared" si="2"/>
        <v>1979</v>
      </c>
      <c r="C30" s="76" t="s">
        <v>741</v>
      </c>
      <c r="D30" s="530"/>
      <c r="E30" s="530"/>
      <c r="F30" s="530"/>
      <c r="G30" s="530"/>
      <c r="H30" s="67">
        <f t="shared" si="3"/>
        <v>8.7499999999999994E-2</v>
      </c>
      <c r="I30" s="67">
        <f t="shared" si="10"/>
        <v>0.1143</v>
      </c>
      <c r="J30" s="67">
        <f t="shared" si="4"/>
        <v>0.1852</v>
      </c>
      <c r="K30" s="67">
        <f t="shared" si="5"/>
        <v>9.0999999999999998E-2</v>
      </c>
      <c r="L30" s="248">
        <v>8.7499999999999994E-2</v>
      </c>
      <c r="M30" s="248">
        <v>0.1143</v>
      </c>
      <c r="N30" s="248">
        <v>0.1852</v>
      </c>
      <c r="O30" s="248">
        <v>9.0999999999999998E-2</v>
      </c>
      <c r="P30" s="67">
        <f t="shared" si="6"/>
        <v>9.0999999999999998E-2</v>
      </c>
      <c r="Q30" s="68">
        <f t="shared" si="7"/>
        <v>5.4682130014343011</v>
      </c>
      <c r="R30" s="68">
        <f t="shared" si="8"/>
        <v>4.0504069874316038</v>
      </c>
      <c r="S30" s="250">
        <v>22900</v>
      </c>
      <c r="T30" s="254">
        <v>180</v>
      </c>
      <c r="U30" s="254">
        <v>1085</v>
      </c>
      <c r="V30" s="255">
        <v>9.9000000000000005E-2</v>
      </c>
      <c r="W30" s="187"/>
      <c r="X30" t="str">
        <f t="shared" si="9"/>
        <v/>
      </c>
    </row>
    <row r="31" spans="2:24" x14ac:dyDescent="0.25">
      <c r="B31" s="65">
        <f t="shared" si="2"/>
        <v>1980</v>
      </c>
      <c r="C31" s="76" t="s">
        <v>741</v>
      </c>
      <c r="D31" s="530"/>
      <c r="E31" s="530"/>
      <c r="F31" s="530"/>
      <c r="G31" s="530"/>
      <c r="H31" s="67">
        <f t="shared" si="3"/>
        <v>9.01E-2</v>
      </c>
      <c r="I31" s="67">
        <f t="shared" si="10"/>
        <v>0.13489999999999999</v>
      </c>
      <c r="J31" s="67">
        <f t="shared" si="4"/>
        <v>0.31740000000000002</v>
      </c>
      <c r="K31" s="67">
        <f t="shared" si="5"/>
        <v>0.108</v>
      </c>
      <c r="L31" s="248">
        <v>9.01E-2</v>
      </c>
      <c r="M31" s="248">
        <v>0.13489999999999999</v>
      </c>
      <c r="N31" s="248">
        <v>0.31740000000000002</v>
      </c>
      <c r="O31" s="248">
        <v>0.108</v>
      </c>
      <c r="P31" s="67">
        <f t="shared" si="6"/>
        <v>0.108</v>
      </c>
      <c r="Q31" s="68">
        <f t="shared" si="7"/>
        <v>5.0282418403993576</v>
      </c>
      <c r="R31" s="68">
        <f t="shared" si="8"/>
        <v>3.6349340280280029</v>
      </c>
      <c r="S31" s="250">
        <v>25900</v>
      </c>
      <c r="T31" s="254">
        <v>194</v>
      </c>
      <c r="U31" s="254">
        <v>1171</v>
      </c>
      <c r="V31" s="255">
        <v>0.14299999999999999</v>
      </c>
      <c r="W31" s="187"/>
      <c r="X31" t="str">
        <f t="shared" si="9"/>
        <v/>
      </c>
    </row>
    <row r="32" spans="2:24" x14ac:dyDescent="0.25">
      <c r="B32" s="65">
        <f t="shared" si="2"/>
        <v>1981</v>
      </c>
      <c r="C32" s="76" t="s">
        <v>741</v>
      </c>
      <c r="D32" s="530"/>
      <c r="E32" s="530"/>
      <c r="F32" s="530"/>
      <c r="G32" s="530"/>
      <c r="H32" s="67">
        <f t="shared" si="3"/>
        <v>0.1007</v>
      </c>
      <c r="I32" s="67">
        <f t="shared" si="10"/>
        <v>0.10249999999999999</v>
      </c>
      <c r="J32" s="67">
        <f t="shared" si="4"/>
        <v>-4.7E-2</v>
      </c>
      <c r="K32" s="67">
        <f t="shared" si="5"/>
        <v>0.12570000000000001</v>
      </c>
      <c r="L32" s="248">
        <v>0.1007</v>
      </c>
      <c r="M32" s="248">
        <v>0.10249999999999999</v>
      </c>
      <c r="N32" s="248">
        <v>-4.7E-2</v>
      </c>
      <c r="O32" s="248">
        <v>0.12570000000000001</v>
      </c>
      <c r="P32" s="67">
        <f t="shared" si="6"/>
        <v>0.12570000000000001</v>
      </c>
      <c r="Q32" s="68">
        <f t="shared" si="7"/>
        <v>4.6126427303911175</v>
      </c>
      <c r="R32" s="68">
        <f t="shared" si="8"/>
        <v>3.2028672376667573</v>
      </c>
      <c r="S32" s="250">
        <v>29700</v>
      </c>
      <c r="T32" s="254">
        <v>211</v>
      </c>
      <c r="U32" s="254">
        <v>1274</v>
      </c>
      <c r="V32" s="255">
        <v>0.112</v>
      </c>
      <c r="W32" s="187"/>
      <c r="X32" t="str">
        <f t="shared" si="9"/>
        <v/>
      </c>
    </row>
    <row r="33" spans="2:24" x14ac:dyDescent="0.25">
      <c r="B33" s="65">
        <f t="shared" si="2"/>
        <v>1982</v>
      </c>
      <c r="C33" s="76" t="s">
        <v>741</v>
      </c>
      <c r="D33" s="530"/>
      <c r="E33" s="530"/>
      <c r="F33" s="530"/>
      <c r="G33" s="530"/>
      <c r="H33" s="67">
        <f t="shared" si="3"/>
        <v>5.5100000000000003E-2</v>
      </c>
      <c r="I33" s="67">
        <f t="shared" si="10"/>
        <v>5.9900000000000002E-2</v>
      </c>
      <c r="J33" s="67">
        <f t="shared" si="4"/>
        <v>0.20419999999999999</v>
      </c>
      <c r="K33" s="67">
        <f t="shared" si="5"/>
        <v>0.1459</v>
      </c>
      <c r="L33" s="248">
        <v>5.5100000000000003E-2</v>
      </c>
      <c r="M33" s="248">
        <v>5.9900000000000002E-2</v>
      </c>
      <c r="N33" s="248">
        <v>0.20419999999999999</v>
      </c>
      <c r="O33" s="248">
        <v>0.1459</v>
      </c>
      <c r="P33" s="67">
        <f t="shared" si="6"/>
        <v>0.1459</v>
      </c>
      <c r="Q33" s="68">
        <f t="shared" si="7"/>
        <v>4.1906447991197577</v>
      </c>
      <c r="R33" s="68">
        <f t="shared" si="8"/>
        <v>2.9050950001512539</v>
      </c>
      <c r="S33" s="250">
        <v>32400</v>
      </c>
      <c r="T33" s="254">
        <v>230</v>
      </c>
      <c r="U33" s="254">
        <v>1388</v>
      </c>
      <c r="V33" s="255">
        <v>7.3999999999999996E-2</v>
      </c>
      <c r="W33" s="187"/>
      <c r="X33" t="str">
        <f t="shared" si="9"/>
        <v/>
      </c>
    </row>
    <row r="34" spans="2:24" x14ac:dyDescent="0.25">
      <c r="B34" s="65">
        <f t="shared" si="2"/>
        <v>1983</v>
      </c>
      <c r="C34" s="76" t="s">
        <v>741</v>
      </c>
      <c r="D34" s="530"/>
      <c r="E34" s="530"/>
      <c r="F34" s="530"/>
      <c r="G34" s="530"/>
      <c r="H34" s="67">
        <f t="shared" si="3"/>
        <v>4.87E-2</v>
      </c>
      <c r="I34" s="67">
        <f t="shared" si="10"/>
        <v>3.04E-2</v>
      </c>
      <c r="J34" s="67">
        <f t="shared" si="4"/>
        <v>0.22339999999999999</v>
      </c>
      <c r="K34" s="67">
        <f t="shared" si="5"/>
        <v>0.1046</v>
      </c>
      <c r="L34" s="248">
        <v>4.87E-2</v>
      </c>
      <c r="M34" s="248">
        <v>3.04E-2</v>
      </c>
      <c r="N34" s="248">
        <v>0.22339999999999999</v>
      </c>
      <c r="O34" s="248">
        <v>0.1046</v>
      </c>
      <c r="P34" s="67">
        <f t="shared" si="6"/>
        <v>0.1046</v>
      </c>
      <c r="Q34" s="68">
        <f t="shared" si="7"/>
        <v>3.9717986912328294</v>
      </c>
      <c r="R34" s="68">
        <f t="shared" si="8"/>
        <v>2.7409142373348936</v>
      </c>
      <c r="S34" s="250">
        <v>35700</v>
      </c>
      <c r="T34" s="254">
        <v>254</v>
      </c>
      <c r="U34" s="254">
        <v>1528</v>
      </c>
      <c r="V34" s="255">
        <v>3.5000000000000003E-2</v>
      </c>
      <c r="W34" s="187"/>
      <c r="X34" t="str">
        <f t="shared" si="9"/>
        <v/>
      </c>
    </row>
    <row r="35" spans="2:24" x14ac:dyDescent="0.25">
      <c r="B35" s="65">
        <f t="shared" si="2"/>
        <v>1984</v>
      </c>
      <c r="C35" s="76" t="s">
        <v>741</v>
      </c>
      <c r="D35" s="530"/>
      <c r="E35" s="530"/>
      <c r="F35" s="530"/>
      <c r="G35" s="530"/>
      <c r="H35" s="67">
        <f t="shared" si="3"/>
        <v>5.8799999999999998E-2</v>
      </c>
      <c r="I35" s="67">
        <f t="shared" si="10"/>
        <v>3.4200000000000001E-2</v>
      </c>
      <c r="J35" s="67">
        <f t="shared" si="4"/>
        <v>6.1499999999999999E-2</v>
      </c>
      <c r="K35" s="67">
        <f t="shared" si="5"/>
        <v>0.1167</v>
      </c>
      <c r="L35" s="248">
        <v>5.8799999999999998E-2</v>
      </c>
      <c r="M35" s="248">
        <v>3.4200000000000001E-2</v>
      </c>
      <c r="N35" s="248">
        <v>6.1499999999999999E-2</v>
      </c>
      <c r="O35" s="248">
        <v>0.1167</v>
      </c>
      <c r="P35" s="67">
        <f t="shared" si="6"/>
        <v>0.1167</v>
      </c>
      <c r="Q35" s="68">
        <f t="shared" si="7"/>
        <v>3.7873545258251449</v>
      </c>
      <c r="R35" s="68">
        <f t="shared" si="8"/>
        <v>2.6600487551774976</v>
      </c>
      <c r="S35" s="250">
        <v>37800</v>
      </c>
      <c r="T35" s="254">
        <v>267</v>
      </c>
      <c r="U35" s="254">
        <v>1612</v>
      </c>
      <c r="V35" s="255">
        <v>3.5000000000000003E-2</v>
      </c>
      <c r="W35" s="187"/>
      <c r="X35" t="str">
        <f t="shared" si="9"/>
        <v/>
      </c>
    </row>
    <row r="36" spans="2:24" x14ac:dyDescent="0.25">
      <c r="B36" s="65">
        <f t="shared" si="2"/>
        <v>1985</v>
      </c>
      <c r="C36" s="76" t="s">
        <v>741</v>
      </c>
      <c r="D36" s="530"/>
      <c r="E36" s="530"/>
      <c r="F36" s="530"/>
      <c r="G36" s="530"/>
      <c r="H36" s="67">
        <f t="shared" si="3"/>
        <v>4.2599999999999999E-2</v>
      </c>
      <c r="I36" s="67">
        <f t="shared" si="10"/>
        <v>3.5400000000000001E-2</v>
      </c>
      <c r="J36" s="67">
        <f t="shared" si="4"/>
        <v>0.31240000000000001</v>
      </c>
      <c r="K36" s="67">
        <f t="shared" si="5"/>
        <v>0.1138</v>
      </c>
      <c r="L36" s="248">
        <v>4.2599999999999999E-2</v>
      </c>
      <c r="M36" s="248">
        <v>3.5400000000000001E-2</v>
      </c>
      <c r="N36" s="248">
        <v>0.31240000000000001</v>
      </c>
      <c r="O36" s="248">
        <v>0.1138</v>
      </c>
      <c r="P36" s="67">
        <f t="shared" si="6"/>
        <v>0.1138</v>
      </c>
      <c r="Q36" s="68">
        <f t="shared" si="7"/>
        <v>3.5770254305110929</v>
      </c>
      <c r="R36" s="68">
        <f t="shared" si="8"/>
        <v>2.5720834994947763</v>
      </c>
      <c r="S36" s="250">
        <v>39600</v>
      </c>
      <c r="T36" s="254">
        <v>280</v>
      </c>
      <c r="U36" s="254">
        <v>1691</v>
      </c>
      <c r="V36" s="255">
        <v>3.1E-2</v>
      </c>
      <c r="W36" s="187"/>
      <c r="X36" t="str">
        <f t="shared" si="9"/>
        <v/>
      </c>
    </row>
    <row r="37" spans="2:24" x14ac:dyDescent="0.25">
      <c r="B37" s="65">
        <f t="shared" si="2"/>
        <v>1986</v>
      </c>
      <c r="C37" s="76" t="s">
        <v>741</v>
      </c>
      <c r="D37" s="530"/>
      <c r="E37" s="530"/>
      <c r="F37" s="530"/>
      <c r="G37" s="530"/>
      <c r="H37" s="67">
        <f t="shared" ref="H37:H68" si="11">IF(IF(COLUMN()=COLUMN(D37),TRUE,ISBLANK(D37)),L37,D37)</f>
        <v>2.9700000000000001E-2</v>
      </c>
      <c r="I37" s="67">
        <f t="shared" si="10"/>
        <v>1.55E-2</v>
      </c>
      <c r="J37" s="67">
        <f t="shared" ref="J37:J68" si="12">IF(IF(COLUMN()=COLUMN(F37),TRUE,ISBLANK(F37)),N37,F37)</f>
        <v>0.18490000000000001</v>
      </c>
      <c r="K37" s="67">
        <f t="shared" ref="K37:K68" si="13">IF(IF(COLUMN()=COLUMN(G37),TRUE,ISBLANK(G37)),O37,G37)</f>
        <v>9.1899999999999996E-2</v>
      </c>
      <c r="L37" s="248">
        <v>2.9700000000000001E-2</v>
      </c>
      <c r="M37" s="248">
        <v>1.55E-2</v>
      </c>
      <c r="N37" s="248">
        <v>0.18490000000000001</v>
      </c>
      <c r="O37" s="248">
        <v>9.1899999999999996E-2</v>
      </c>
      <c r="P37" s="67">
        <f t="shared" ref="P37:P68" si="14">IF(ROW()&lt;ROW(B37),-(1+PV($K38,10,$K37,1))+$K37,$K37)</f>
        <v>9.1899999999999996E-2</v>
      </c>
      <c r="Q37" s="68">
        <f t="shared" si="7"/>
        <v>3.4308703534539546</v>
      </c>
      <c r="R37" s="68">
        <f t="shared" si="8"/>
        <v>2.4841447744782461</v>
      </c>
      <c r="S37" s="250">
        <v>42000</v>
      </c>
      <c r="T37" s="254">
        <v>297</v>
      </c>
      <c r="U37" s="254">
        <v>1790</v>
      </c>
      <c r="V37" s="255">
        <v>1.2999999999999999E-2</v>
      </c>
      <c r="W37" s="187"/>
      <c r="X37" t="str">
        <f t="shared" si="9"/>
        <v/>
      </c>
    </row>
    <row r="38" spans="2:24" x14ac:dyDescent="0.25">
      <c r="B38" s="65">
        <f t="shared" ref="B38:B69" si="15">B37+1</f>
        <v>1987</v>
      </c>
      <c r="C38" s="76" t="s">
        <v>741</v>
      </c>
      <c r="D38" s="530"/>
      <c r="E38" s="530"/>
      <c r="F38" s="530"/>
      <c r="G38" s="530"/>
      <c r="H38" s="67">
        <f t="shared" si="11"/>
        <v>6.3799999999999996E-2</v>
      </c>
      <c r="I38" s="67">
        <f t="shared" si="10"/>
        <v>3.5999999999999997E-2</v>
      </c>
      <c r="J38" s="67">
        <f t="shared" si="12"/>
        <v>5.8099999999999999E-2</v>
      </c>
      <c r="K38" s="67">
        <f t="shared" si="13"/>
        <v>7.0800000000000002E-2</v>
      </c>
      <c r="L38" s="248">
        <v>6.3799999999999996E-2</v>
      </c>
      <c r="M38" s="248">
        <v>3.5999999999999997E-2</v>
      </c>
      <c r="N38" s="248">
        <v>5.8099999999999999E-2</v>
      </c>
      <c r="O38" s="248">
        <v>7.0800000000000002E-2</v>
      </c>
      <c r="P38" s="67">
        <f t="shared" si="14"/>
        <v>7.0800000000000002E-2</v>
      </c>
      <c r="Q38" s="68">
        <f t="shared" ref="Q38:Q69" si="16">IF($B38=SC_VersionMaj,1,IF($B38&lt;SC_VersionMaj,Q39*($H38+1),1/(1/Q37*($H37+1))))</f>
        <v>3.3319125506982172</v>
      </c>
      <c r="R38" s="68">
        <f t="shared" ref="R38:R69" si="17">IF($B38=SC_VersionMaj,1,IF($B38&lt;SC_VersionMaj,R39*($I38+1),1/(1/R37*($I37+1))))</f>
        <v>2.4462282368077264</v>
      </c>
      <c r="S38" s="250">
        <v>43800</v>
      </c>
      <c r="T38" s="254">
        <v>310</v>
      </c>
      <c r="U38" s="254">
        <v>1866</v>
      </c>
      <c r="V38" s="255">
        <v>4.2000000000000003E-2</v>
      </c>
      <c r="W38" s="187"/>
      <c r="X38" t="str">
        <f t="shared" si="9"/>
        <v/>
      </c>
    </row>
    <row r="39" spans="2:24" x14ac:dyDescent="0.25">
      <c r="B39" s="65">
        <f t="shared" si="15"/>
        <v>1988</v>
      </c>
      <c r="C39" s="76" t="s">
        <v>741</v>
      </c>
      <c r="D39" s="530"/>
      <c r="E39" s="530"/>
      <c r="F39" s="530"/>
      <c r="G39" s="530"/>
      <c r="H39" s="67">
        <f t="shared" si="11"/>
        <v>4.9299999999999997E-2</v>
      </c>
      <c r="I39" s="67">
        <f t="shared" si="10"/>
        <v>3.9699999999999999E-2</v>
      </c>
      <c r="J39" s="67">
        <f t="shared" si="12"/>
        <v>0.16539999999999999</v>
      </c>
      <c r="K39" s="67">
        <f t="shared" si="13"/>
        <v>8.6699999999999999E-2</v>
      </c>
      <c r="L39" s="248">
        <v>4.9299999999999997E-2</v>
      </c>
      <c r="M39" s="248">
        <v>3.9699999999999999E-2</v>
      </c>
      <c r="N39" s="248">
        <v>0.16539999999999999</v>
      </c>
      <c r="O39" s="248">
        <v>8.6699999999999999E-2</v>
      </c>
      <c r="P39" s="67">
        <f t="shared" si="14"/>
        <v>8.6699999999999999E-2</v>
      </c>
      <c r="Q39" s="68">
        <f t="shared" si="16"/>
        <v>3.1320854960502134</v>
      </c>
      <c r="R39" s="68">
        <f t="shared" si="17"/>
        <v>2.3612241668028244</v>
      </c>
      <c r="S39" s="250">
        <v>45000</v>
      </c>
      <c r="T39" s="254">
        <v>319</v>
      </c>
      <c r="U39" s="254">
        <v>1922</v>
      </c>
      <c r="V39" s="255">
        <v>0.04</v>
      </c>
      <c r="W39" s="187"/>
      <c r="X39" t="str">
        <f t="shared" si="9"/>
        <v/>
      </c>
    </row>
    <row r="40" spans="2:24" x14ac:dyDescent="0.25">
      <c r="B40" s="65">
        <f t="shared" si="15"/>
        <v>1989</v>
      </c>
      <c r="C40" s="76" t="s">
        <v>741</v>
      </c>
      <c r="D40" s="530"/>
      <c r="E40" s="530"/>
      <c r="F40" s="530"/>
      <c r="G40" s="530"/>
      <c r="H40" s="67">
        <f t="shared" si="11"/>
        <v>3.9600000000000003E-2</v>
      </c>
      <c r="I40" s="67">
        <f t="shared" si="10"/>
        <v>4.82E-2</v>
      </c>
      <c r="J40" s="67">
        <f t="shared" si="12"/>
        <v>0.31480000000000002</v>
      </c>
      <c r="K40" s="67">
        <f t="shared" si="13"/>
        <v>9.0899999999999995E-2</v>
      </c>
      <c r="L40" s="248">
        <v>3.9600000000000003E-2</v>
      </c>
      <c r="M40" s="248">
        <v>4.82E-2</v>
      </c>
      <c r="N40" s="248">
        <v>0.31480000000000002</v>
      </c>
      <c r="O40" s="248">
        <v>9.0899999999999995E-2</v>
      </c>
      <c r="P40" s="67">
        <f t="shared" si="14"/>
        <v>9.0899999999999995E-2</v>
      </c>
      <c r="Q40" s="68">
        <f t="shared" si="16"/>
        <v>2.984928520013546</v>
      </c>
      <c r="R40" s="68">
        <f t="shared" si="17"/>
        <v>2.2710629670124307</v>
      </c>
      <c r="S40" s="250">
        <v>48000</v>
      </c>
      <c r="T40" s="254">
        <v>339</v>
      </c>
      <c r="U40" s="254">
        <v>2044</v>
      </c>
      <c r="V40" s="255">
        <v>4.7E-2</v>
      </c>
      <c r="W40" s="187"/>
      <c r="X40" t="str">
        <f t="shared" si="9"/>
        <v/>
      </c>
    </row>
    <row r="41" spans="2:24" x14ac:dyDescent="0.25">
      <c r="B41" s="65">
        <f t="shared" si="15"/>
        <v>1990</v>
      </c>
      <c r="C41" s="76" t="s">
        <v>741</v>
      </c>
      <c r="D41" s="530"/>
      <c r="E41" s="530"/>
      <c r="F41" s="530"/>
      <c r="G41" s="530"/>
      <c r="H41" s="67">
        <f t="shared" si="11"/>
        <v>4.6199999999999998E-2</v>
      </c>
      <c r="I41" s="67">
        <f t="shared" si="10"/>
        <v>5.2600000000000001E-2</v>
      </c>
      <c r="J41" s="67">
        <f t="shared" si="12"/>
        <v>-3.0599999999999999E-2</v>
      </c>
      <c r="K41" s="67">
        <f t="shared" si="13"/>
        <v>8.2100000000000006E-2</v>
      </c>
      <c r="L41" s="248">
        <v>4.6199999999999998E-2</v>
      </c>
      <c r="M41" s="248">
        <v>5.2600000000000001E-2</v>
      </c>
      <c r="N41" s="248">
        <v>-3.0599999999999999E-2</v>
      </c>
      <c r="O41" s="248">
        <v>8.2100000000000006E-2</v>
      </c>
      <c r="P41" s="67">
        <f t="shared" si="14"/>
        <v>8.2100000000000006E-2</v>
      </c>
      <c r="Q41" s="68">
        <f t="shared" si="16"/>
        <v>2.8712278953573929</v>
      </c>
      <c r="R41" s="68">
        <f t="shared" si="17"/>
        <v>2.1666313365888481</v>
      </c>
      <c r="S41" s="250">
        <v>51300</v>
      </c>
      <c r="T41" s="254">
        <v>356</v>
      </c>
      <c r="U41" s="254">
        <v>2145</v>
      </c>
      <c r="V41" s="255">
        <v>5.3999999999999999E-2</v>
      </c>
      <c r="W41" s="187"/>
      <c r="X41" t="str">
        <f t="shared" si="9"/>
        <v/>
      </c>
    </row>
    <row r="42" spans="2:24" x14ac:dyDescent="0.25">
      <c r="B42" s="65">
        <f t="shared" si="15"/>
        <v>1991</v>
      </c>
      <c r="C42" s="76" t="s">
        <v>741</v>
      </c>
      <c r="D42" s="530"/>
      <c r="E42" s="530"/>
      <c r="F42" s="530"/>
      <c r="G42" s="530"/>
      <c r="H42" s="67">
        <f t="shared" si="11"/>
        <v>3.73E-2</v>
      </c>
      <c r="I42" s="67">
        <f t="shared" si="10"/>
        <v>4.0500000000000001E-2</v>
      </c>
      <c r="J42" s="67">
        <f t="shared" si="12"/>
        <v>0.30230000000000001</v>
      </c>
      <c r="K42" s="67">
        <f t="shared" si="13"/>
        <v>8.09E-2</v>
      </c>
      <c r="L42" s="248">
        <v>3.73E-2</v>
      </c>
      <c r="M42" s="248">
        <v>4.0500000000000001E-2</v>
      </c>
      <c r="N42" s="248">
        <v>0.30230000000000001</v>
      </c>
      <c r="O42" s="248">
        <v>8.09E-2</v>
      </c>
      <c r="P42" s="67">
        <f t="shared" si="14"/>
        <v>8.09E-2</v>
      </c>
      <c r="Q42" s="68">
        <f t="shared" si="16"/>
        <v>2.7444349984299299</v>
      </c>
      <c r="R42" s="68">
        <f t="shared" si="17"/>
        <v>2.0583615206050241</v>
      </c>
      <c r="S42" s="250">
        <v>53400</v>
      </c>
      <c r="T42" s="254">
        <v>370</v>
      </c>
      <c r="U42" s="254">
        <v>2230</v>
      </c>
      <c r="V42" s="255">
        <v>3.6999999999999998E-2</v>
      </c>
      <c r="W42" s="187"/>
      <c r="X42" t="str">
        <f t="shared" si="9"/>
        <v/>
      </c>
    </row>
    <row r="43" spans="2:24" x14ac:dyDescent="0.25">
      <c r="B43" s="65">
        <f t="shared" si="15"/>
        <v>1992</v>
      </c>
      <c r="C43" s="76" t="s">
        <v>741</v>
      </c>
      <c r="D43" s="530"/>
      <c r="E43" s="530"/>
      <c r="F43" s="530"/>
      <c r="G43" s="530"/>
      <c r="H43" s="67">
        <f t="shared" si="11"/>
        <v>5.1499999999999997E-2</v>
      </c>
      <c r="I43" s="67">
        <f t="shared" si="10"/>
        <v>2.9100000000000001E-2</v>
      </c>
      <c r="J43" s="67">
        <f t="shared" si="12"/>
        <v>7.4899999999999994E-2</v>
      </c>
      <c r="K43" s="67">
        <f t="shared" si="13"/>
        <v>7.0300000000000001E-2</v>
      </c>
      <c r="L43" s="248">
        <v>5.1499999999999997E-2</v>
      </c>
      <c r="M43" s="248">
        <v>2.9100000000000001E-2</v>
      </c>
      <c r="N43" s="248">
        <v>7.4899999999999994E-2</v>
      </c>
      <c r="O43" s="248">
        <v>7.0300000000000001E-2</v>
      </c>
      <c r="P43" s="67">
        <f t="shared" si="14"/>
        <v>7.0300000000000001E-2</v>
      </c>
      <c r="Q43" s="68">
        <f t="shared" si="16"/>
        <v>2.6457485765255275</v>
      </c>
      <c r="R43" s="68">
        <f t="shared" si="17"/>
        <v>1.9782426915954101</v>
      </c>
      <c r="S43" s="250">
        <v>55500</v>
      </c>
      <c r="T43" s="254">
        <v>387</v>
      </c>
      <c r="U43" s="254">
        <v>2333</v>
      </c>
      <c r="V43" s="255">
        <v>0.03</v>
      </c>
      <c r="W43" s="187"/>
      <c r="X43" t="str">
        <f t="shared" si="9"/>
        <v/>
      </c>
    </row>
    <row r="44" spans="2:24" x14ac:dyDescent="0.25">
      <c r="B44" s="65">
        <f t="shared" si="15"/>
        <v>1993</v>
      </c>
      <c r="C44" s="76" t="s">
        <v>741</v>
      </c>
      <c r="D44" s="530"/>
      <c r="E44" s="530"/>
      <c r="F44" s="530"/>
      <c r="G44" s="530"/>
      <c r="H44" s="67">
        <f t="shared" si="11"/>
        <v>8.6E-3</v>
      </c>
      <c r="I44" s="67">
        <f t="shared" si="10"/>
        <v>2.8199999999999999E-2</v>
      </c>
      <c r="J44" s="67">
        <f t="shared" si="12"/>
        <v>9.9699999999999997E-2</v>
      </c>
      <c r="K44" s="67">
        <f t="shared" si="13"/>
        <v>6.6000000000000003E-2</v>
      </c>
      <c r="L44" s="248">
        <v>8.6E-3</v>
      </c>
      <c r="M44" s="248">
        <v>2.8199999999999999E-2</v>
      </c>
      <c r="N44" s="248">
        <v>9.9699999999999997E-2</v>
      </c>
      <c r="O44" s="248">
        <v>6.6000000000000003E-2</v>
      </c>
      <c r="P44" s="67">
        <f t="shared" si="14"/>
        <v>6.6000000000000003E-2</v>
      </c>
      <c r="Q44" s="68">
        <f t="shared" si="16"/>
        <v>2.5161660261773915</v>
      </c>
      <c r="R44" s="68">
        <f t="shared" si="17"/>
        <v>1.9223036552282677</v>
      </c>
      <c r="S44" s="250">
        <v>57600</v>
      </c>
      <c r="T44" s="254">
        <v>401</v>
      </c>
      <c r="U44" s="254">
        <v>2420</v>
      </c>
      <c r="V44" s="255">
        <v>2.5999999999999999E-2</v>
      </c>
      <c r="W44" s="187"/>
      <c r="X44" t="str">
        <f t="shared" si="9"/>
        <v/>
      </c>
    </row>
    <row r="45" spans="2:24" x14ac:dyDescent="0.25">
      <c r="B45" s="65">
        <f t="shared" si="15"/>
        <v>1994</v>
      </c>
      <c r="C45" s="76" t="s">
        <v>741</v>
      </c>
      <c r="D45" s="530"/>
      <c r="E45" s="530"/>
      <c r="F45" s="530"/>
      <c r="G45" s="530"/>
      <c r="H45" s="67">
        <f t="shared" si="11"/>
        <v>2.6800000000000001E-2</v>
      </c>
      <c r="I45" s="67">
        <f t="shared" si="10"/>
        <v>2.52E-2</v>
      </c>
      <c r="J45" s="67">
        <f t="shared" si="12"/>
        <v>1.3299999999999999E-2</v>
      </c>
      <c r="K45" s="67">
        <f t="shared" si="13"/>
        <v>5.7500000000000002E-2</v>
      </c>
      <c r="L45" s="248">
        <v>2.6800000000000001E-2</v>
      </c>
      <c r="M45" s="248">
        <v>2.52E-2</v>
      </c>
      <c r="N45" s="248">
        <v>1.3299999999999999E-2</v>
      </c>
      <c r="O45" s="248">
        <v>5.7500000000000002E-2</v>
      </c>
      <c r="P45" s="67">
        <f t="shared" si="14"/>
        <v>5.7500000000000002E-2</v>
      </c>
      <c r="Q45" s="68">
        <f t="shared" si="16"/>
        <v>2.4947115072153396</v>
      </c>
      <c r="R45" s="68">
        <f t="shared" si="17"/>
        <v>1.8695814581095775</v>
      </c>
      <c r="S45" s="250">
        <v>60600</v>
      </c>
      <c r="T45" s="254">
        <v>422</v>
      </c>
      <c r="U45" s="254">
        <v>2545</v>
      </c>
      <c r="V45" s="255">
        <v>2.8000000000000001E-2</v>
      </c>
      <c r="W45" s="187"/>
      <c r="X45" t="str">
        <f t="shared" si="9"/>
        <v/>
      </c>
    </row>
    <row r="46" spans="2:24" x14ac:dyDescent="0.25">
      <c r="B46" s="65">
        <f t="shared" si="15"/>
        <v>1995</v>
      </c>
      <c r="C46" s="76" t="s">
        <v>741</v>
      </c>
      <c r="D46" s="530"/>
      <c r="E46" s="530"/>
      <c r="F46" s="530"/>
      <c r="G46" s="530"/>
      <c r="H46" s="67">
        <f t="shared" si="11"/>
        <v>4.0099999999999997E-2</v>
      </c>
      <c r="I46" s="67">
        <f t="shared" si="10"/>
        <v>2.8299999999999999E-2</v>
      </c>
      <c r="J46" s="67">
        <f t="shared" si="12"/>
        <v>0.372</v>
      </c>
      <c r="K46" s="67">
        <f t="shared" si="13"/>
        <v>7.7799999999999994E-2</v>
      </c>
      <c r="L46" s="248">
        <v>4.0099999999999997E-2</v>
      </c>
      <c r="M46" s="248">
        <v>2.8299999999999999E-2</v>
      </c>
      <c r="N46" s="248">
        <v>0.372</v>
      </c>
      <c r="O46" s="248">
        <v>7.7799999999999994E-2</v>
      </c>
      <c r="P46" s="67">
        <f t="shared" si="14"/>
        <v>7.7799999999999994E-2</v>
      </c>
      <c r="Q46" s="68">
        <f t="shared" si="16"/>
        <v>2.4295982734859174</v>
      </c>
      <c r="R46" s="68">
        <f t="shared" si="17"/>
        <v>1.8236260808716132</v>
      </c>
      <c r="S46" s="250">
        <v>61200</v>
      </c>
      <c r="T46" s="254">
        <v>426</v>
      </c>
      <c r="U46" s="254">
        <v>2567</v>
      </c>
      <c r="V46" s="255">
        <v>2.5999999999999999E-2</v>
      </c>
      <c r="W46" s="187"/>
      <c r="X46" t="str">
        <f t="shared" si="9"/>
        <v/>
      </c>
    </row>
    <row r="47" spans="2:24" x14ac:dyDescent="0.25">
      <c r="B47" s="65">
        <f t="shared" si="15"/>
        <v>1996</v>
      </c>
      <c r="C47" s="76" t="s">
        <v>741</v>
      </c>
      <c r="D47" s="530"/>
      <c r="E47" s="530"/>
      <c r="F47" s="530"/>
      <c r="G47" s="530"/>
      <c r="H47" s="67">
        <f t="shared" si="11"/>
        <v>4.8899999999999999E-2</v>
      </c>
      <c r="I47" s="67">
        <f t="shared" si="10"/>
        <v>2.93E-2</v>
      </c>
      <c r="J47" s="67">
        <f t="shared" si="12"/>
        <v>0.2268</v>
      </c>
      <c r="K47" s="67">
        <f t="shared" si="13"/>
        <v>5.6500000000000002E-2</v>
      </c>
      <c r="L47" s="248">
        <v>4.8899999999999999E-2</v>
      </c>
      <c r="M47" s="248">
        <v>2.93E-2</v>
      </c>
      <c r="N47" s="248">
        <v>0.2268</v>
      </c>
      <c r="O47" s="248">
        <v>5.6500000000000002E-2</v>
      </c>
      <c r="P47" s="67">
        <f t="shared" si="14"/>
        <v>5.6500000000000002E-2</v>
      </c>
      <c r="Q47" s="68">
        <f t="shared" si="16"/>
        <v>2.335927577623226</v>
      </c>
      <c r="R47" s="68">
        <f t="shared" si="17"/>
        <v>1.7734377913756814</v>
      </c>
      <c r="S47" s="250">
        <v>62700</v>
      </c>
      <c r="T47" s="254">
        <v>437</v>
      </c>
      <c r="U47" s="254">
        <v>2635</v>
      </c>
      <c r="V47" s="255">
        <v>2.9000000000000001E-2</v>
      </c>
      <c r="W47" s="187"/>
      <c r="X47" t="str">
        <f t="shared" si="9"/>
        <v/>
      </c>
    </row>
    <row r="48" spans="2:24" x14ac:dyDescent="0.25">
      <c r="B48" s="65">
        <f t="shared" si="15"/>
        <v>1997</v>
      </c>
      <c r="C48" s="76" t="s">
        <v>741</v>
      </c>
      <c r="D48" s="530"/>
      <c r="E48" s="530"/>
      <c r="F48" s="530"/>
      <c r="G48" s="530"/>
      <c r="H48" s="67">
        <f t="shared" si="11"/>
        <v>5.8400000000000001E-2</v>
      </c>
      <c r="I48" s="67">
        <f t="shared" si="10"/>
        <v>2.2200000000000001E-2</v>
      </c>
      <c r="J48" s="67">
        <f t="shared" si="12"/>
        <v>0.33100000000000002</v>
      </c>
      <c r="K48" s="67">
        <f t="shared" si="13"/>
        <v>6.5799999999999997E-2</v>
      </c>
      <c r="L48" s="248">
        <v>5.8400000000000001E-2</v>
      </c>
      <c r="M48" s="248">
        <v>2.2200000000000001E-2</v>
      </c>
      <c r="N48" s="248">
        <v>0.33100000000000002</v>
      </c>
      <c r="O48" s="248">
        <v>6.5799999999999997E-2</v>
      </c>
      <c r="P48" s="67">
        <f t="shared" si="14"/>
        <v>6.5799999999999997E-2</v>
      </c>
      <c r="Q48" s="68">
        <f t="shared" si="16"/>
        <v>2.2270260059330975</v>
      </c>
      <c r="R48" s="68">
        <f t="shared" si="17"/>
        <v>1.7229552039013709</v>
      </c>
      <c r="S48" s="250">
        <v>65400</v>
      </c>
      <c r="T48" s="254">
        <v>455</v>
      </c>
      <c r="U48" s="254">
        <v>2741</v>
      </c>
      <c r="V48" s="255">
        <v>2.1000000000000001E-2</v>
      </c>
      <c r="W48" s="187"/>
      <c r="X48" t="str">
        <f t="shared" si="9"/>
        <v/>
      </c>
    </row>
    <row r="49" spans="2:24" x14ac:dyDescent="0.25">
      <c r="B49" s="65">
        <f t="shared" si="15"/>
        <v>1998</v>
      </c>
      <c r="C49" s="76" t="s">
        <v>741</v>
      </c>
      <c r="D49" s="530"/>
      <c r="E49" s="530"/>
      <c r="F49" s="530"/>
      <c r="G49" s="530"/>
      <c r="H49" s="67">
        <f t="shared" si="11"/>
        <v>5.2299999999999999E-2</v>
      </c>
      <c r="I49" s="67">
        <f t="shared" si="10"/>
        <v>1.3299999999999999E-2</v>
      </c>
      <c r="J49" s="67">
        <f t="shared" si="12"/>
        <v>0.28339999999999999</v>
      </c>
      <c r="K49" s="67">
        <f t="shared" si="13"/>
        <v>5.5399999999999998E-2</v>
      </c>
      <c r="L49" s="248">
        <v>5.2299999999999999E-2</v>
      </c>
      <c r="M49" s="248">
        <v>1.3299999999999999E-2</v>
      </c>
      <c r="N49" s="248">
        <v>0.28339999999999999</v>
      </c>
      <c r="O49" s="248">
        <v>5.5399999999999998E-2</v>
      </c>
      <c r="P49" s="67">
        <f t="shared" si="14"/>
        <v>5.5399999999999998E-2</v>
      </c>
      <c r="Q49" s="68">
        <f t="shared" si="16"/>
        <v>2.1041439965354285</v>
      </c>
      <c r="R49" s="68">
        <f t="shared" si="17"/>
        <v>1.6855362980839081</v>
      </c>
      <c r="S49" s="250">
        <v>68400</v>
      </c>
      <c r="T49" s="254">
        <v>477</v>
      </c>
      <c r="U49" s="254">
        <v>2875</v>
      </c>
      <c r="V49" s="255">
        <v>1.2999999999999999E-2</v>
      </c>
      <c r="W49" s="187"/>
      <c r="X49" t="str">
        <f t="shared" si="9"/>
        <v/>
      </c>
    </row>
    <row r="50" spans="2:24" x14ac:dyDescent="0.25">
      <c r="B50" s="65">
        <f t="shared" si="15"/>
        <v>1999</v>
      </c>
      <c r="C50" s="76" t="s">
        <v>741</v>
      </c>
      <c r="D50" s="530"/>
      <c r="E50" s="530"/>
      <c r="F50" s="530"/>
      <c r="G50" s="530"/>
      <c r="H50" s="67">
        <f t="shared" si="11"/>
        <v>5.57E-2</v>
      </c>
      <c r="I50" s="67">
        <f t="shared" si="10"/>
        <v>2.24E-2</v>
      </c>
      <c r="J50" s="67">
        <f t="shared" si="12"/>
        <v>0.2089</v>
      </c>
      <c r="K50" s="67">
        <f t="shared" si="13"/>
        <v>4.7199999999999999E-2</v>
      </c>
      <c r="L50" s="248">
        <v>5.57E-2</v>
      </c>
      <c r="M50" s="248">
        <v>2.24E-2</v>
      </c>
      <c r="N50" s="248">
        <v>0.2089</v>
      </c>
      <c r="O50" s="248">
        <v>4.7199999999999999E-2</v>
      </c>
      <c r="P50" s="67">
        <f t="shared" si="14"/>
        <v>4.7199999999999999E-2</v>
      </c>
      <c r="Q50" s="68">
        <f t="shared" si="16"/>
        <v>1.999566660206622</v>
      </c>
      <c r="R50" s="68">
        <f t="shared" si="17"/>
        <v>1.6634129064284102</v>
      </c>
      <c r="S50" s="250">
        <v>72600</v>
      </c>
      <c r="T50" s="254">
        <v>505</v>
      </c>
      <c r="U50" s="254">
        <v>3043</v>
      </c>
      <c r="V50" s="255">
        <v>2.5000000000000001E-2</v>
      </c>
      <c r="W50" s="187"/>
      <c r="X50" t="str">
        <f t="shared" si="9"/>
        <v/>
      </c>
    </row>
    <row r="51" spans="2:24" x14ac:dyDescent="0.25">
      <c r="B51" s="65">
        <f t="shared" si="15"/>
        <v>2000</v>
      </c>
      <c r="C51" s="76" t="s">
        <v>741</v>
      </c>
      <c r="D51" s="530"/>
      <c r="E51" s="530"/>
      <c r="F51" s="530"/>
      <c r="G51" s="530"/>
      <c r="H51" s="67">
        <f t="shared" si="11"/>
        <v>5.5300000000000002E-2</v>
      </c>
      <c r="I51" s="67">
        <f t="shared" si="10"/>
        <v>3.4700000000000002E-2</v>
      </c>
      <c r="J51" s="67">
        <f t="shared" si="12"/>
        <v>-9.0300000000000005E-2</v>
      </c>
      <c r="K51" s="67">
        <f t="shared" si="13"/>
        <v>6.6600000000000006E-2</v>
      </c>
      <c r="L51" s="248">
        <v>5.5300000000000002E-2</v>
      </c>
      <c r="M51" s="248">
        <v>3.4700000000000002E-2</v>
      </c>
      <c r="N51" s="248">
        <v>-9.0300000000000005E-2</v>
      </c>
      <c r="O51" s="248">
        <v>6.6600000000000006E-2</v>
      </c>
      <c r="P51" s="67">
        <f t="shared" si="14"/>
        <v>6.6600000000000006E-2</v>
      </c>
      <c r="Q51" s="68">
        <f t="shared" si="16"/>
        <v>1.8940671215370104</v>
      </c>
      <c r="R51" s="68">
        <f t="shared" si="17"/>
        <v>1.626968805192107</v>
      </c>
      <c r="S51" s="250">
        <v>76200</v>
      </c>
      <c r="T51" s="254">
        <v>531</v>
      </c>
      <c r="U51" s="254">
        <v>3202</v>
      </c>
      <c r="V51" s="255">
        <v>3.5000000000000003E-2</v>
      </c>
      <c r="W51" s="187"/>
      <c r="X51" t="str">
        <f t="shared" si="9"/>
        <v/>
      </c>
    </row>
    <row r="52" spans="2:24" x14ac:dyDescent="0.25">
      <c r="B52" s="65">
        <f t="shared" si="15"/>
        <v>2001</v>
      </c>
      <c r="C52" s="76" t="s">
        <v>741</v>
      </c>
      <c r="D52" s="530"/>
      <c r="E52" s="530"/>
      <c r="F52" s="530"/>
      <c r="G52" s="530"/>
      <c r="H52" s="67">
        <f t="shared" si="11"/>
        <v>2.3900000000000001E-2</v>
      </c>
      <c r="I52" s="67">
        <f t="shared" si="10"/>
        <v>2.7400000000000001E-2</v>
      </c>
      <c r="J52" s="67">
        <f t="shared" si="12"/>
        <v>-0.11849999999999999</v>
      </c>
      <c r="K52" s="67">
        <f t="shared" si="13"/>
        <v>5.16E-2</v>
      </c>
      <c r="L52" s="248">
        <v>2.3900000000000001E-2</v>
      </c>
      <c r="M52" s="248">
        <v>2.7400000000000001E-2</v>
      </c>
      <c r="N52" s="248">
        <v>-0.11849999999999999</v>
      </c>
      <c r="O52" s="248">
        <v>5.16E-2</v>
      </c>
      <c r="P52" s="67">
        <f t="shared" si="14"/>
        <v>5.16E-2</v>
      </c>
      <c r="Q52" s="68">
        <f t="shared" si="16"/>
        <v>1.7948139121927513</v>
      </c>
      <c r="R52" s="68">
        <f t="shared" si="17"/>
        <v>1.5724063063613676</v>
      </c>
      <c r="S52" s="250">
        <v>80400</v>
      </c>
      <c r="T52" s="254">
        <v>561</v>
      </c>
      <c r="U52" s="254">
        <v>3381</v>
      </c>
      <c r="V52" s="255">
        <v>2.5999999999999999E-2</v>
      </c>
      <c r="W52" s="187"/>
      <c r="X52" t="str">
        <f t="shared" si="9"/>
        <v/>
      </c>
    </row>
    <row r="53" spans="2:24" x14ac:dyDescent="0.25">
      <c r="B53" s="65">
        <f t="shared" si="15"/>
        <v>2002</v>
      </c>
      <c r="C53" s="76" t="s">
        <v>741</v>
      </c>
      <c r="D53" s="530"/>
      <c r="E53" s="530"/>
      <c r="F53" s="530"/>
      <c r="G53" s="530"/>
      <c r="H53" s="67">
        <f t="shared" si="11"/>
        <v>0.01</v>
      </c>
      <c r="I53" s="67">
        <f t="shared" ref="I53:I84" si="18">IF(IF(COLUMN()=COLUMN(E53),TRUE,ISBLANK(E53)),M53,E53)</f>
        <v>1.3599999999999999E-2</v>
      </c>
      <c r="J53" s="67">
        <f t="shared" si="12"/>
        <v>-0.21970000000000001</v>
      </c>
      <c r="K53" s="67">
        <f t="shared" si="13"/>
        <v>5.04E-2</v>
      </c>
      <c r="L53" s="248">
        <v>0.01</v>
      </c>
      <c r="M53" s="248">
        <v>1.3599999999999999E-2</v>
      </c>
      <c r="N53" s="248">
        <v>-0.21970000000000001</v>
      </c>
      <c r="O53" s="248">
        <v>5.04E-2</v>
      </c>
      <c r="P53" s="67">
        <f t="shared" si="14"/>
        <v>5.04E-2</v>
      </c>
      <c r="Q53" s="68">
        <f t="shared" si="16"/>
        <v>1.752919144635952</v>
      </c>
      <c r="R53" s="68">
        <f t="shared" si="17"/>
        <v>1.5304713902680236</v>
      </c>
      <c r="S53" s="250">
        <v>84900</v>
      </c>
      <c r="T53" s="254">
        <v>592</v>
      </c>
      <c r="U53" s="254">
        <v>3567</v>
      </c>
      <c r="V53" s="255">
        <v>1.4E-2</v>
      </c>
      <c r="W53" s="187"/>
      <c r="X53" t="str">
        <f t="shared" si="9"/>
        <v/>
      </c>
    </row>
    <row r="54" spans="2:24" x14ac:dyDescent="0.25">
      <c r="B54" s="65">
        <f t="shared" si="15"/>
        <v>2003</v>
      </c>
      <c r="C54" s="76" t="s">
        <v>741</v>
      </c>
      <c r="D54" s="530"/>
      <c r="E54" s="530"/>
      <c r="F54" s="530"/>
      <c r="G54" s="530"/>
      <c r="H54" s="67">
        <f t="shared" si="11"/>
        <v>2.4400000000000002E-2</v>
      </c>
      <c r="I54" s="67">
        <f t="shared" si="18"/>
        <v>2.24E-2</v>
      </c>
      <c r="J54" s="67">
        <f t="shared" si="12"/>
        <v>0.28360000000000002</v>
      </c>
      <c r="K54" s="67">
        <f t="shared" si="13"/>
        <v>4.0500000000000001E-2</v>
      </c>
      <c r="L54" s="248">
        <v>2.4400000000000002E-2</v>
      </c>
      <c r="M54" s="248">
        <v>2.24E-2</v>
      </c>
      <c r="N54" s="248">
        <v>0.28360000000000002</v>
      </c>
      <c r="O54" s="248">
        <v>4.0500000000000001E-2</v>
      </c>
      <c r="P54" s="67">
        <f t="shared" si="14"/>
        <v>4.0500000000000001E-2</v>
      </c>
      <c r="Q54" s="68">
        <f t="shared" si="16"/>
        <v>1.7355635095405466</v>
      </c>
      <c r="R54" s="68">
        <f t="shared" si="17"/>
        <v>1.5099362571705046</v>
      </c>
      <c r="S54" s="250">
        <v>87000</v>
      </c>
      <c r="T54" s="254">
        <v>606</v>
      </c>
      <c r="U54" s="254">
        <v>3653</v>
      </c>
      <c r="V54" s="255">
        <v>2.1000000000000001E-2</v>
      </c>
      <c r="W54" s="187"/>
      <c r="X54" t="str">
        <f t="shared" si="9"/>
        <v/>
      </c>
    </row>
    <row r="55" spans="2:24" x14ac:dyDescent="0.25">
      <c r="B55" s="65">
        <f t="shared" si="15"/>
        <v>2004</v>
      </c>
      <c r="C55" s="76" t="s">
        <v>741</v>
      </c>
      <c r="D55" s="530"/>
      <c r="E55" s="530"/>
      <c r="F55" s="530"/>
      <c r="G55" s="530"/>
      <c r="H55" s="67">
        <f t="shared" si="11"/>
        <v>4.65E-2</v>
      </c>
      <c r="I55" s="67">
        <f t="shared" si="18"/>
        <v>2.5999999999999999E-2</v>
      </c>
      <c r="J55" s="67">
        <f t="shared" si="12"/>
        <v>0.1074</v>
      </c>
      <c r="K55" s="67">
        <f t="shared" si="13"/>
        <v>4.1500000000000002E-2</v>
      </c>
      <c r="L55" s="248">
        <v>4.65E-2</v>
      </c>
      <c r="M55" s="248">
        <v>2.5999999999999999E-2</v>
      </c>
      <c r="N55" s="248">
        <v>0.1074</v>
      </c>
      <c r="O55" s="248">
        <v>4.1500000000000002E-2</v>
      </c>
      <c r="P55" s="67">
        <f t="shared" si="14"/>
        <v>4.1500000000000002E-2</v>
      </c>
      <c r="Q55" s="68">
        <f t="shared" si="16"/>
        <v>1.6942244333664063</v>
      </c>
      <c r="R55" s="68">
        <f t="shared" si="17"/>
        <v>1.4768547116299928</v>
      </c>
      <c r="S55" s="250">
        <v>87900</v>
      </c>
      <c r="T55" s="254">
        <v>612</v>
      </c>
      <c r="U55" s="254">
        <v>3689</v>
      </c>
      <c r="V55" s="255">
        <v>2.7E-2</v>
      </c>
      <c r="W55" s="187"/>
      <c r="X55" t="str">
        <f t="shared" si="9"/>
        <v/>
      </c>
    </row>
    <row r="56" spans="2:24" x14ac:dyDescent="0.25">
      <c r="B56" s="65">
        <f t="shared" si="15"/>
        <v>2005</v>
      </c>
      <c r="C56" s="76" t="s">
        <v>741</v>
      </c>
      <c r="D56" s="530"/>
      <c r="E56" s="530"/>
      <c r="F56" s="530"/>
      <c r="G56" s="530"/>
      <c r="H56" s="67">
        <f t="shared" si="11"/>
        <v>3.6600000000000001E-2</v>
      </c>
      <c r="I56" s="67">
        <f t="shared" si="18"/>
        <v>3.5200000000000002E-2</v>
      </c>
      <c r="J56" s="67">
        <f t="shared" si="12"/>
        <v>4.8300000000000003E-2</v>
      </c>
      <c r="K56" s="67">
        <f t="shared" si="13"/>
        <v>4.2200000000000001E-2</v>
      </c>
      <c r="L56" s="248">
        <v>3.6600000000000001E-2</v>
      </c>
      <c r="M56" s="248">
        <v>3.5200000000000002E-2</v>
      </c>
      <c r="N56" s="248">
        <v>4.8300000000000003E-2</v>
      </c>
      <c r="O56" s="248">
        <v>4.2200000000000001E-2</v>
      </c>
      <c r="P56" s="67">
        <f t="shared" si="14"/>
        <v>4.2200000000000001E-2</v>
      </c>
      <c r="Q56" s="68">
        <f t="shared" si="16"/>
        <v>1.6189435579229874</v>
      </c>
      <c r="R56" s="68">
        <f t="shared" si="17"/>
        <v>1.4394295434990183</v>
      </c>
      <c r="S56" s="250">
        <v>90000</v>
      </c>
      <c r="T56" s="254">
        <v>627</v>
      </c>
      <c r="U56" s="254">
        <v>3779</v>
      </c>
      <c r="V56" s="255">
        <v>4.1000000000000002E-2</v>
      </c>
      <c r="W56" s="187"/>
      <c r="X56" t="str">
        <f t="shared" si="9"/>
        <v/>
      </c>
    </row>
    <row r="57" spans="2:24" x14ac:dyDescent="0.25">
      <c r="B57" s="65">
        <f t="shared" si="15"/>
        <v>2006</v>
      </c>
      <c r="C57" s="76" t="s">
        <v>741</v>
      </c>
      <c r="D57" s="530"/>
      <c r="E57" s="530"/>
      <c r="F57" s="530"/>
      <c r="G57" s="530"/>
      <c r="H57" s="67">
        <f t="shared" si="11"/>
        <v>4.5999999999999999E-2</v>
      </c>
      <c r="I57" s="67">
        <f t="shared" si="18"/>
        <v>3.2300000000000002E-2</v>
      </c>
      <c r="J57" s="67">
        <f t="shared" si="12"/>
        <v>0.15609999999999999</v>
      </c>
      <c r="K57" s="67">
        <f t="shared" si="13"/>
        <v>4.4200000000000003E-2</v>
      </c>
      <c r="L57" s="248">
        <v>4.5999999999999999E-2</v>
      </c>
      <c r="M57" s="248">
        <v>3.2300000000000002E-2</v>
      </c>
      <c r="N57" s="248">
        <v>0.15609999999999999</v>
      </c>
      <c r="O57" s="248">
        <v>4.4200000000000003E-2</v>
      </c>
      <c r="P57" s="67">
        <f t="shared" si="14"/>
        <v>4.4200000000000003E-2</v>
      </c>
      <c r="Q57" s="68">
        <f t="shared" si="16"/>
        <v>1.5617823248340608</v>
      </c>
      <c r="R57" s="68">
        <f t="shared" si="17"/>
        <v>1.3904844894696855</v>
      </c>
      <c r="S57" s="250">
        <v>94200</v>
      </c>
      <c r="T57" s="254">
        <v>656</v>
      </c>
      <c r="U57" s="254">
        <v>3955</v>
      </c>
      <c r="V57" s="255">
        <v>3.3000000000000002E-2</v>
      </c>
      <c r="W57" s="187"/>
      <c r="X57" t="str">
        <f t="shared" si="9"/>
        <v/>
      </c>
    </row>
    <row r="58" spans="2:24" x14ac:dyDescent="0.25">
      <c r="B58" s="65">
        <f t="shared" si="15"/>
        <v>2007</v>
      </c>
      <c r="C58" s="76" t="s">
        <v>741</v>
      </c>
      <c r="D58" s="530"/>
      <c r="E58" s="530"/>
      <c r="F58" s="530"/>
      <c r="G58" s="530"/>
      <c r="H58" s="67">
        <f t="shared" si="11"/>
        <v>4.5400000000000003E-2</v>
      </c>
      <c r="I58" s="67">
        <f t="shared" si="18"/>
        <v>2.8500000000000001E-2</v>
      </c>
      <c r="J58" s="67">
        <f t="shared" si="12"/>
        <v>5.4800000000000001E-2</v>
      </c>
      <c r="K58" s="67">
        <f t="shared" si="13"/>
        <v>4.7600000000000003E-2</v>
      </c>
      <c r="L58" s="248">
        <v>4.5400000000000003E-2</v>
      </c>
      <c r="M58" s="248">
        <v>2.8500000000000001E-2</v>
      </c>
      <c r="N58" s="248">
        <v>5.4800000000000001E-2</v>
      </c>
      <c r="O58" s="248">
        <v>4.7600000000000003E-2</v>
      </c>
      <c r="P58" s="67">
        <f t="shared" si="14"/>
        <v>4.7600000000000003E-2</v>
      </c>
      <c r="Q58" s="68">
        <f t="shared" si="16"/>
        <v>1.4930997369350485</v>
      </c>
      <c r="R58" s="68">
        <f t="shared" si="17"/>
        <v>1.3469771282279235</v>
      </c>
      <c r="S58" s="250">
        <v>97500</v>
      </c>
      <c r="T58" s="254">
        <v>680</v>
      </c>
      <c r="U58" s="254">
        <v>4100</v>
      </c>
      <c r="V58" s="255">
        <v>2.3E-2</v>
      </c>
      <c r="W58" s="187"/>
      <c r="X58" t="str">
        <f t="shared" si="9"/>
        <v/>
      </c>
    </row>
    <row r="59" spans="2:24" x14ac:dyDescent="0.25">
      <c r="B59" s="65">
        <f t="shared" si="15"/>
        <v>2008</v>
      </c>
      <c r="C59" s="76" t="s">
        <v>741</v>
      </c>
      <c r="D59" s="530"/>
      <c r="E59" s="530"/>
      <c r="F59" s="530"/>
      <c r="G59" s="530"/>
      <c r="H59" s="67">
        <f t="shared" si="11"/>
        <v>2.3E-2</v>
      </c>
      <c r="I59" s="67">
        <f t="shared" si="18"/>
        <v>4.0899999999999999E-2</v>
      </c>
      <c r="J59" s="67">
        <f t="shared" si="12"/>
        <v>-0.36549999999999999</v>
      </c>
      <c r="K59" s="67">
        <f t="shared" si="13"/>
        <v>3.7400000000000003E-2</v>
      </c>
      <c r="L59" s="248">
        <v>2.3E-2</v>
      </c>
      <c r="M59" s="248">
        <v>4.0899999999999999E-2</v>
      </c>
      <c r="N59" s="248">
        <v>-0.36549999999999999</v>
      </c>
      <c r="O59" s="248">
        <v>3.7400000000000003E-2</v>
      </c>
      <c r="P59" s="67">
        <f t="shared" si="14"/>
        <v>3.7400000000000003E-2</v>
      </c>
      <c r="Q59" s="68">
        <f t="shared" si="16"/>
        <v>1.4282568748182976</v>
      </c>
      <c r="R59" s="68">
        <f t="shared" si="17"/>
        <v>1.3096520449469358</v>
      </c>
      <c r="S59" s="250">
        <v>102000</v>
      </c>
      <c r="T59" s="254">
        <v>711</v>
      </c>
      <c r="U59" s="254">
        <v>4288</v>
      </c>
      <c r="V59" s="255">
        <v>5.8000000000000003E-2</v>
      </c>
      <c r="W59" s="187"/>
      <c r="X59" t="str">
        <f t="shared" si="9"/>
        <v/>
      </c>
    </row>
    <row r="60" spans="2:24" x14ac:dyDescent="0.25">
      <c r="B60" s="65">
        <f t="shared" si="15"/>
        <v>2009</v>
      </c>
      <c r="C60" s="76" t="s">
        <v>741</v>
      </c>
      <c r="D60" s="530"/>
      <c r="E60" s="530"/>
      <c r="F60" s="530"/>
      <c r="G60" s="530"/>
      <c r="H60" s="67">
        <f t="shared" si="11"/>
        <v>-1.5100000000000001E-2</v>
      </c>
      <c r="I60" s="67">
        <f t="shared" si="18"/>
        <v>-6.7000000000000002E-3</v>
      </c>
      <c r="J60" s="67">
        <f t="shared" si="12"/>
        <v>0.25940000000000002</v>
      </c>
      <c r="K60" s="67">
        <f t="shared" si="13"/>
        <v>2.52E-2</v>
      </c>
      <c r="L60" s="248">
        <v>-1.5100000000000001E-2</v>
      </c>
      <c r="M60" s="248">
        <v>-6.7000000000000002E-3</v>
      </c>
      <c r="N60" s="248">
        <v>0.25940000000000002</v>
      </c>
      <c r="O60" s="248">
        <v>2.52E-2</v>
      </c>
      <c r="P60" s="67">
        <f t="shared" si="14"/>
        <v>2.52E-2</v>
      </c>
      <c r="Q60" s="68">
        <f t="shared" si="16"/>
        <v>1.3961455276816204</v>
      </c>
      <c r="R60" s="68">
        <f t="shared" si="17"/>
        <v>1.2581919924555056</v>
      </c>
      <c r="S60" s="250">
        <v>106800</v>
      </c>
      <c r="T60" s="254">
        <v>744</v>
      </c>
      <c r="U60" s="254">
        <v>4483</v>
      </c>
      <c r="V60" s="255">
        <v>0</v>
      </c>
      <c r="W60" s="187"/>
      <c r="X60" t="str">
        <f t="shared" si="9"/>
        <v/>
      </c>
    </row>
    <row r="61" spans="2:24" x14ac:dyDescent="0.25">
      <c r="B61" s="65">
        <f t="shared" si="15"/>
        <v>2010</v>
      </c>
      <c r="C61" s="76" t="s">
        <v>741</v>
      </c>
      <c r="D61" s="530"/>
      <c r="E61" s="530"/>
      <c r="F61" s="530"/>
      <c r="G61" s="530"/>
      <c r="H61" s="67">
        <f t="shared" si="11"/>
        <v>2.3599999999999999E-2</v>
      </c>
      <c r="I61" s="67">
        <f t="shared" si="18"/>
        <v>2.07E-2</v>
      </c>
      <c r="J61" s="67">
        <f t="shared" si="12"/>
        <v>0.1482</v>
      </c>
      <c r="K61" s="67">
        <f t="shared" si="13"/>
        <v>3.73E-2</v>
      </c>
      <c r="L61" s="248">
        <v>2.3599999999999999E-2</v>
      </c>
      <c r="M61" s="248">
        <v>2.07E-2</v>
      </c>
      <c r="N61" s="248">
        <v>0.1482</v>
      </c>
      <c r="O61" s="248">
        <v>3.73E-2</v>
      </c>
      <c r="P61" s="67">
        <f t="shared" si="14"/>
        <v>3.73E-2</v>
      </c>
      <c r="Q61" s="68">
        <f t="shared" si="16"/>
        <v>1.4175505408484317</v>
      </c>
      <c r="R61" s="68">
        <f t="shared" si="17"/>
        <v>1.2666787400135968</v>
      </c>
      <c r="S61" s="250">
        <v>106800</v>
      </c>
      <c r="T61" s="254">
        <v>761</v>
      </c>
      <c r="U61" s="254">
        <v>4586</v>
      </c>
      <c r="V61" s="255">
        <v>0</v>
      </c>
      <c r="W61" s="187"/>
      <c r="X61" t="str">
        <f t="shared" si="9"/>
        <v/>
      </c>
    </row>
    <row r="62" spans="2:24" x14ac:dyDescent="0.25">
      <c r="B62" s="65">
        <f t="shared" si="15"/>
        <v>2011</v>
      </c>
      <c r="C62" s="76" t="s">
        <v>741</v>
      </c>
      <c r="D62" s="530"/>
      <c r="E62" s="530"/>
      <c r="F62" s="530"/>
      <c r="G62" s="530"/>
      <c r="H62" s="67">
        <f t="shared" si="11"/>
        <v>3.1300000000000001E-2</v>
      </c>
      <c r="I62" s="67">
        <f t="shared" si="18"/>
        <v>3.56E-2</v>
      </c>
      <c r="J62" s="67">
        <f t="shared" si="12"/>
        <v>2.1000000000000001E-2</v>
      </c>
      <c r="K62" s="67">
        <f t="shared" si="13"/>
        <v>3.39E-2</v>
      </c>
      <c r="L62" s="248">
        <v>3.1300000000000001E-2</v>
      </c>
      <c r="M62" s="248">
        <v>3.56E-2</v>
      </c>
      <c r="N62" s="248">
        <v>2.1000000000000001E-2</v>
      </c>
      <c r="O62" s="248">
        <v>3.39E-2</v>
      </c>
      <c r="P62" s="67">
        <f t="shared" si="14"/>
        <v>3.39E-2</v>
      </c>
      <c r="Q62" s="68">
        <f t="shared" si="16"/>
        <v>1.384867663978538</v>
      </c>
      <c r="R62" s="68">
        <f t="shared" si="17"/>
        <v>1.2409902420041117</v>
      </c>
      <c r="S62" s="250">
        <v>106800</v>
      </c>
      <c r="T62" s="254">
        <v>749</v>
      </c>
      <c r="U62" s="254">
        <v>4517</v>
      </c>
      <c r="V62" s="255">
        <v>3.5999999999999997E-2</v>
      </c>
      <c r="W62" s="187"/>
      <c r="X62" t="str">
        <f t="shared" si="9"/>
        <v/>
      </c>
    </row>
    <row r="63" spans="2:24" x14ac:dyDescent="0.25">
      <c r="B63" s="65">
        <f t="shared" si="15"/>
        <v>2012</v>
      </c>
      <c r="C63" s="76" t="s">
        <v>741</v>
      </c>
      <c r="D63" s="530"/>
      <c r="E63" s="530"/>
      <c r="F63" s="530"/>
      <c r="G63" s="530"/>
      <c r="H63" s="67">
        <f t="shared" si="11"/>
        <v>3.1199999999999999E-2</v>
      </c>
      <c r="I63" s="67">
        <f t="shared" si="18"/>
        <v>2.1000000000000001E-2</v>
      </c>
      <c r="J63" s="67">
        <f t="shared" si="12"/>
        <v>0.15890000000000001</v>
      </c>
      <c r="K63" s="67">
        <f t="shared" si="13"/>
        <v>1.9699999999999999E-2</v>
      </c>
      <c r="L63" s="248">
        <v>3.1199999999999999E-2</v>
      </c>
      <c r="M63" s="248">
        <v>2.1000000000000001E-2</v>
      </c>
      <c r="N63" s="248">
        <v>0.15890000000000001</v>
      </c>
      <c r="O63" s="248">
        <v>1.9699999999999999E-2</v>
      </c>
      <c r="P63" s="67">
        <f t="shared" si="14"/>
        <v>1.9699999999999999E-2</v>
      </c>
      <c r="Q63" s="68">
        <f t="shared" si="16"/>
        <v>1.34283686994913</v>
      </c>
      <c r="R63" s="68">
        <f t="shared" si="17"/>
        <v>1.1983297045230896</v>
      </c>
      <c r="S63" s="250">
        <v>110100</v>
      </c>
      <c r="T63" s="254">
        <v>767</v>
      </c>
      <c r="U63" s="254">
        <v>4624</v>
      </c>
      <c r="V63" s="255">
        <v>1.7000000000000001E-2</v>
      </c>
      <c r="W63" s="187"/>
    </row>
    <row r="64" spans="2:24" x14ac:dyDescent="0.25">
      <c r="B64" s="65">
        <f t="shared" si="15"/>
        <v>2013</v>
      </c>
      <c r="C64" s="76" t="s">
        <v>741</v>
      </c>
      <c r="D64" s="530"/>
      <c r="E64" s="530"/>
      <c r="F64" s="530"/>
      <c r="G64" s="530"/>
      <c r="H64" s="67">
        <f t="shared" si="11"/>
        <v>1.2800000000000001E-2</v>
      </c>
      <c r="I64" s="67">
        <f t="shared" si="18"/>
        <v>1.37E-2</v>
      </c>
      <c r="J64" s="67">
        <f t="shared" si="12"/>
        <v>0.32150000000000001</v>
      </c>
      <c r="K64" s="67">
        <f t="shared" si="13"/>
        <v>1.9099999999999999E-2</v>
      </c>
      <c r="L64" s="248">
        <v>1.2800000000000001E-2</v>
      </c>
      <c r="M64" s="248">
        <v>1.37E-2</v>
      </c>
      <c r="N64" s="248">
        <v>0.32150000000000001</v>
      </c>
      <c r="O64" s="248">
        <v>1.9099999999999999E-2</v>
      </c>
      <c r="P64" s="67">
        <f t="shared" si="14"/>
        <v>1.9099999999999999E-2</v>
      </c>
      <c r="Q64" s="68">
        <f t="shared" si="16"/>
        <v>1.3022079809436871</v>
      </c>
      <c r="R64" s="68">
        <f t="shared" si="17"/>
        <v>1.1736823746553278</v>
      </c>
      <c r="S64" s="250">
        <v>113700</v>
      </c>
      <c r="T64" s="254">
        <v>791</v>
      </c>
      <c r="U64" s="254">
        <v>4768</v>
      </c>
      <c r="V64" s="255">
        <v>1.4999999999999999E-2</v>
      </c>
      <c r="W64" s="186"/>
    </row>
    <row r="65" spans="2:24" x14ac:dyDescent="0.25">
      <c r="B65" s="65">
        <f t="shared" si="15"/>
        <v>2014</v>
      </c>
      <c r="C65" s="76" t="s">
        <v>741</v>
      </c>
      <c r="D65" s="530"/>
      <c r="E65" s="530"/>
      <c r="F65" s="530"/>
      <c r="G65" s="530"/>
      <c r="H65" s="67">
        <f t="shared" si="11"/>
        <v>3.5499999999999997E-2</v>
      </c>
      <c r="I65" s="67">
        <f t="shared" si="18"/>
        <v>1.4999999999999999E-2</v>
      </c>
      <c r="J65" s="67">
        <f t="shared" si="12"/>
        <v>0.13519999999999999</v>
      </c>
      <c r="K65" s="67">
        <f t="shared" si="13"/>
        <v>2.86E-2</v>
      </c>
      <c r="L65" s="248">
        <v>3.5499999999999997E-2</v>
      </c>
      <c r="M65" s="248">
        <v>1.4999999999999999E-2</v>
      </c>
      <c r="N65" s="248">
        <v>0.13519999999999999</v>
      </c>
      <c r="O65" s="248">
        <v>2.86E-2</v>
      </c>
      <c r="P65" s="67">
        <f t="shared" si="14"/>
        <v>2.86E-2</v>
      </c>
      <c r="Q65" s="68">
        <f t="shared" si="16"/>
        <v>1.285750376129233</v>
      </c>
      <c r="R65" s="68">
        <f t="shared" si="17"/>
        <v>1.1578202374029078</v>
      </c>
      <c r="S65" s="250">
        <v>117000</v>
      </c>
      <c r="T65" s="254">
        <v>816</v>
      </c>
      <c r="U65" s="254">
        <v>4917</v>
      </c>
      <c r="V65" s="255">
        <v>1.7000000000000001E-2</v>
      </c>
      <c r="W65" s="186"/>
    </row>
    <row r="66" spans="2:24" x14ac:dyDescent="0.25">
      <c r="B66" s="65">
        <f t="shared" si="15"/>
        <v>2015</v>
      </c>
      <c r="C66" s="76" t="s">
        <v>741</v>
      </c>
      <c r="D66" s="530"/>
      <c r="E66" s="530"/>
      <c r="F66" s="530"/>
      <c r="G66" s="530"/>
      <c r="H66" s="67">
        <f t="shared" si="11"/>
        <v>3.4799999999999998E-2</v>
      </c>
      <c r="I66" s="67">
        <f t="shared" si="18"/>
        <v>-4.1000000000000003E-3</v>
      </c>
      <c r="J66" s="67">
        <f t="shared" si="12"/>
        <v>1.38E-2</v>
      </c>
      <c r="K66" s="67">
        <f t="shared" si="13"/>
        <v>1.8800000000000001E-2</v>
      </c>
      <c r="L66" s="248">
        <v>3.4799999999999998E-2</v>
      </c>
      <c r="M66" s="248">
        <v>-4.1000000000000003E-3</v>
      </c>
      <c r="N66" s="248">
        <v>1.38E-2</v>
      </c>
      <c r="O66" s="248">
        <v>1.8800000000000001E-2</v>
      </c>
      <c r="P66" s="67">
        <f t="shared" si="14"/>
        <v>1.8800000000000001E-2</v>
      </c>
      <c r="Q66" s="68">
        <f t="shared" si="16"/>
        <v>1.2416710537220985</v>
      </c>
      <c r="R66" s="68">
        <f t="shared" si="17"/>
        <v>1.1407095935004019</v>
      </c>
      <c r="S66" s="250">
        <v>118500</v>
      </c>
      <c r="T66" s="254">
        <v>826</v>
      </c>
      <c r="U66" s="254">
        <v>4980</v>
      </c>
      <c r="V66" s="255">
        <v>0</v>
      </c>
      <c r="W66" s="186"/>
      <c r="X66" t="str">
        <f t="shared" si="9"/>
        <v/>
      </c>
    </row>
    <row r="67" spans="2:24" x14ac:dyDescent="0.25">
      <c r="B67" s="65">
        <f t="shared" si="15"/>
        <v>2016</v>
      </c>
      <c r="C67" s="76" t="s">
        <v>741</v>
      </c>
      <c r="D67" s="530"/>
      <c r="E67" s="530"/>
      <c r="F67" s="530"/>
      <c r="G67" s="530"/>
      <c r="H67" s="67">
        <f t="shared" si="11"/>
        <v>1.1299999999999999E-2</v>
      </c>
      <c r="I67" s="67">
        <f t="shared" si="18"/>
        <v>9.7999999999999997E-3</v>
      </c>
      <c r="J67" s="67">
        <f t="shared" si="12"/>
        <v>0.1177</v>
      </c>
      <c r="K67" s="67">
        <f t="shared" si="13"/>
        <v>2.0899999999999998E-2</v>
      </c>
      <c r="L67" s="248">
        <v>1.1299999999999999E-2</v>
      </c>
      <c r="M67" s="248">
        <v>9.7999999999999997E-3</v>
      </c>
      <c r="N67" s="248">
        <v>0.1177</v>
      </c>
      <c r="O67" s="248">
        <v>2.0899999999999998E-2</v>
      </c>
      <c r="P67" s="67">
        <f t="shared" si="14"/>
        <v>2.0899999999999998E-2</v>
      </c>
      <c r="Q67" s="68">
        <f t="shared" si="16"/>
        <v>1.1999140449575749</v>
      </c>
      <c r="R67" s="68">
        <f t="shared" si="17"/>
        <v>1.1454057571045304</v>
      </c>
      <c r="S67" s="250">
        <v>118500</v>
      </c>
      <c r="T67" s="254">
        <v>856</v>
      </c>
      <c r="U67" s="254">
        <v>5157</v>
      </c>
      <c r="V67" s="255">
        <v>3.0000000000000001E-3</v>
      </c>
      <c r="W67" s="186"/>
      <c r="X67" t="str">
        <f t="shared" si="9"/>
        <v/>
      </c>
    </row>
    <row r="68" spans="2:24" x14ac:dyDescent="0.25">
      <c r="B68" s="65">
        <f t="shared" si="15"/>
        <v>2017</v>
      </c>
      <c r="C68" s="76" t="s">
        <v>741</v>
      </c>
      <c r="D68" s="530"/>
      <c r="E68" s="530"/>
      <c r="F68" s="530"/>
      <c r="G68" s="530"/>
      <c r="H68" s="67">
        <f t="shared" si="11"/>
        <v>3.4500000000000003E-2</v>
      </c>
      <c r="I68" s="67">
        <f t="shared" si="18"/>
        <v>2.1253780823322316E-2</v>
      </c>
      <c r="J68" s="67">
        <f t="shared" si="12"/>
        <v>0.21609999999999999</v>
      </c>
      <c r="K68" s="67">
        <f t="shared" si="13"/>
        <v>2.4299999999999999E-2</v>
      </c>
      <c r="L68" s="248">
        <v>3.4500000000000003E-2</v>
      </c>
      <c r="M68" s="248">
        <v>2.1253780823322316E-2</v>
      </c>
      <c r="N68" s="248">
        <v>0.21609999999999999</v>
      </c>
      <c r="O68" s="248">
        <v>2.4299999999999999E-2</v>
      </c>
      <c r="P68" s="67">
        <f t="shared" si="14"/>
        <v>2.4299999999999999E-2</v>
      </c>
      <c r="Q68" s="68">
        <f t="shared" si="16"/>
        <v>1.1865065212672548</v>
      </c>
      <c r="R68" s="68">
        <f t="shared" si="17"/>
        <v>1.1342897178694102</v>
      </c>
      <c r="S68" s="250">
        <v>127200</v>
      </c>
      <c r="T68" s="254">
        <v>885</v>
      </c>
      <c r="U68" s="254">
        <v>5336</v>
      </c>
      <c r="V68" s="255">
        <v>0.02</v>
      </c>
      <c r="W68" s="186"/>
      <c r="X68" t="str">
        <f t="shared" si="9"/>
        <v/>
      </c>
    </row>
    <row r="69" spans="2:24" x14ac:dyDescent="0.25">
      <c r="B69" s="65">
        <f t="shared" si="15"/>
        <v>2018</v>
      </c>
      <c r="C69" s="76" t="s">
        <v>741</v>
      </c>
      <c r="D69" s="530"/>
      <c r="E69" s="530"/>
      <c r="F69" s="530"/>
      <c r="G69" s="530"/>
      <c r="H69" s="67">
        <f t="shared" ref="H69:H100" si="19">IF(IF(COLUMN()=COLUMN(D69),TRUE,ISBLANK(D69)),L69,D69)</f>
        <v>3.6200000000000003E-2</v>
      </c>
      <c r="I69" s="67">
        <f t="shared" si="18"/>
        <v>2.5496651342182208E-2</v>
      </c>
      <c r="J69" s="67">
        <f t="shared" ref="J69:J100" si="20">IF(IF(COLUMN()=COLUMN(F69),TRUE,ISBLANK(F69)),N69,F69)</f>
        <v>-4.2299999999999997E-2</v>
      </c>
      <c r="K69" s="67">
        <f t="shared" ref="K69:K100" si="21">IF(IF(COLUMN()=COLUMN(G69),TRUE,ISBLANK(G69)),O69,G69)</f>
        <v>2.58E-2</v>
      </c>
      <c r="L69" s="248">
        <v>3.6200000000000003E-2</v>
      </c>
      <c r="M69" s="248">
        <v>2.5496651342182208E-2</v>
      </c>
      <c r="N69" s="248">
        <v>-4.2299999999999997E-2</v>
      </c>
      <c r="O69" s="248">
        <v>2.58E-2</v>
      </c>
      <c r="P69" s="67">
        <f t="shared" ref="P69:P100" si="22">IF(ROW()&lt;ROW(B69),-(1+PV($K70,10,$K69,1))+$K69,$K69)</f>
        <v>2.58E-2</v>
      </c>
      <c r="Q69" s="68">
        <f t="shared" si="16"/>
        <v>1.1469371882718751</v>
      </c>
      <c r="R69" s="68">
        <f t="shared" si="17"/>
        <v>1.1106834943171124</v>
      </c>
      <c r="S69" s="250">
        <v>128400</v>
      </c>
      <c r="T69" s="254">
        <v>895</v>
      </c>
      <c r="U69" s="254">
        <v>5397</v>
      </c>
      <c r="V69" s="255">
        <v>2.8000000000000001E-2</v>
      </c>
      <c r="W69" s="186"/>
      <c r="X69" t="str">
        <f t="shared" ref="X69:X132" si="23">IFERROR(VLOOKUP(W69,IV_CodeTable,2,FALSE),"")</f>
        <v/>
      </c>
    </row>
    <row r="70" spans="2:24" x14ac:dyDescent="0.25">
      <c r="B70" s="65">
        <f t="shared" ref="B70:B101" si="24">B69+1</f>
        <v>2019</v>
      </c>
      <c r="C70" s="76" t="s">
        <v>741</v>
      </c>
      <c r="D70" s="530"/>
      <c r="E70" s="530"/>
      <c r="F70" s="530"/>
      <c r="G70" s="530"/>
      <c r="H70" s="67">
        <f t="shared" si="19"/>
        <v>3.7499999999999999E-2</v>
      </c>
      <c r="I70" s="67">
        <f t="shared" si="18"/>
        <v>1.6626826462597888E-2</v>
      </c>
      <c r="J70" s="67">
        <f t="shared" si="20"/>
        <v>0.31219999999999998</v>
      </c>
      <c r="K70" s="67">
        <f t="shared" si="21"/>
        <v>2.7099999999999999E-2</v>
      </c>
      <c r="L70" s="248">
        <v>3.7499999999999999E-2</v>
      </c>
      <c r="M70" s="248">
        <v>1.6626826462597888E-2</v>
      </c>
      <c r="N70" s="248">
        <v>0.31219999999999998</v>
      </c>
      <c r="O70" s="248">
        <v>2.7099999999999999E-2</v>
      </c>
      <c r="P70" s="67">
        <f t="shared" si="22"/>
        <v>2.7099999999999999E-2</v>
      </c>
      <c r="Q70" s="68">
        <f t="shared" ref="Q70:Q101" si="25">IF($B70=SC_VersionMaj,1,IF($B70&lt;SC_VersionMaj,Q71*($H70+1),1/(1/Q69*($H69+1))))</f>
        <v>1.1068685468750001</v>
      </c>
      <c r="R70" s="68">
        <f t="shared" ref="R70:R101" si="26">IF($B70=SC_VersionMaj,1,IF($B70&lt;SC_VersionMaj,R71*($I70+1),1/(1/R69*($I69+1))))</f>
        <v>1.0830688650844804</v>
      </c>
      <c r="S70" s="250">
        <v>132900</v>
      </c>
      <c r="T70" s="254">
        <v>926</v>
      </c>
      <c r="U70" s="254">
        <v>5583</v>
      </c>
      <c r="V70" s="255">
        <v>1.6E-2</v>
      </c>
      <c r="W70" s="186"/>
      <c r="X70" t="str">
        <f t="shared" si="23"/>
        <v/>
      </c>
    </row>
    <row r="71" spans="2:24" x14ac:dyDescent="0.25">
      <c r="B71" s="65">
        <f t="shared" si="24"/>
        <v>2020</v>
      </c>
      <c r="C71" s="76" t="s">
        <v>741</v>
      </c>
      <c r="D71" s="530"/>
      <c r="E71" s="530"/>
      <c r="F71" s="530"/>
      <c r="G71" s="530"/>
      <c r="H71" s="67">
        <f t="shared" si="19"/>
        <v>2.8299999999999999E-2</v>
      </c>
      <c r="I71" s="67">
        <f t="shared" si="18"/>
        <v>1.214178523565328E-2</v>
      </c>
      <c r="J71" s="67">
        <f t="shared" si="20"/>
        <v>0.1802</v>
      </c>
      <c r="K71" s="67">
        <f t="shared" si="21"/>
        <v>1.7600000000000001E-2</v>
      </c>
      <c r="L71" s="248">
        <v>2.8299999999999999E-2</v>
      </c>
      <c r="M71" s="248">
        <v>1.214178523565328E-2</v>
      </c>
      <c r="N71" s="248">
        <v>0.1802</v>
      </c>
      <c r="O71" s="248">
        <v>1.7600000000000001E-2</v>
      </c>
      <c r="P71" s="67">
        <f t="shared" si="22"/>
        <v>1.7600000000000001E-2</v>
      </c>
      <c r="Q71" s="68">
        <f t="shared" si="25"/>
        <v>1.0668612500000001</v>
      </c>
      <c r="R71" s="68">
        <f t="shared" si="26"/>
        <v>1.0653553859611109</v>
      </c>
      <c r="S71" s="250">
        <v>137700</v>
      </c>
      <c r="T71" s="254">
        <v>960</v>
      </c>
      <c r="U71" s="254">
        <v>5785</v>
      </c>
      <c r="V71" s="255">
        <v>1.2999999999999999E-2</v>
      </c>
      <c r="W71" s="186">
        <f t="shared" ref="W71:W81" si="27">IF(OR(NOT(ISNUMBER($H71)),$H71&lt;-1,$H71&gt;1,NOT(ISNUMBER($I71)),$I71&lt;-1,$I71&gt;1,NOT(ISNUMBER($J71)),$J71&lt;-1,$J71&gt;1),201,IF(OR(NOT(ISNUMBER($K71)),$K71&lt;0,$K71&gt;1),201,0))</f>
        <v>0</v>
      </c>
      <c r="X71" t="str">
        <f t="shared" si="23"/>
        <v/>
      </c>
    </row>
    <row r="72" spans="2:24" x14ac:dyDescent="0.25">
      <c r="B72" s="65">
        <f t="shared" si="24"/>
        <v>2021</v>
      </c>
      <c r="C72" s="76" t="s">
        <v>741</v>
      </c>
      <c r="D72" s="469"/>
      <c r="E72" s="530"/>
      <c r="F72" s="530"/>
      <c r="G72" s="530"/>
      <c r="H72" s="67">
        <f t="shared" si="19"/>
        <v>3.7499999999999999E-2</v>
      </c>
      <c r="I72" s="67">
        <f t="shared" si="18"/>
        <v>5.257524341124608E-2</v>
      </c>
      <c r="J72" s="67">
        <f t="shared" si="20"/>
        <v>0.28470000000000001</v>
      </c>
      <c r="K72" s="67">
        <f t="shared" si="21"/>
        <v>1.0800000000000001E-2</v>
      </c>
      <c r="L72" s="67">
        <f t="shared" ref="L72:L95" si="28">SP_AWI</f>
        <v>3.7499999999999999E-2</v>
      </c>
      <c r="M72" s="248">
        <v>5.257524341124608E-2</v>
      </c>
      <c r="N72" s="248">
        <v>0.28470000000000001</v>
      </c>
      <c r="O72" s="248">
        <v>1.0800000000000001E-2</v>
      </c>
      <c r="P72" s="67">
        <f t="shared" si="22"/>
        <v>1.0800000000000001E-2</v>
      </c>
      <c r="Q72" s="68">
        <f t="shared" si="25"/>
        <v>1.0375000000000001</v>
      </c>
      <c r="R72" s="68">
        <f t="shared" si="26"/>
        <v>1.0525752434112461</v>
      </c>
      <c r="S72" s="250">
        <v>142800</v>
      </c>
      <c r="T72" s="254">
        <v>996</v>
      </c>
      <c r="U72" s="254">
        <v>6002</v>
      </c>
      <c r="V72" s="255">
        <v>5.8999999999999997E-2</v>
      </c>
      <c r="W72" s="186">
        <f t="shared" si="27"/>
        <v>0</v>
      </c>
      <c r="X72" t="str">
        <f t="shared" si="23"/>
        <v/>
      </c>
    </row>
    <row r="73" spans="2:24" x14ac:dyDescent="0.25">
      <c r="B73" s="65">
        <f t="shared" si="24"/>
        <v>2022</v>
      </c>
      <c r="C73" s="76" t="s">
        <v>741</v>
      </c>
      <c r="D73" s="469"/>
      <c r="E73" s="469"/>
      <c r="F73" s="469"/>
      <c r="G73" s="469"/>
      <c r="H73" s="67">
        <f t="shared" si="19"/>
        <v>3.7499999999999999E-2</v>
      </c>
      <c r="I73" s="67">
        <f t="shared" si="18"/>
        <v>3.2500000000000001E-2</v>
      </c>
      <c r="J73" s="67">
        <f t="shared" si="20"/>
        <v>7.0000000000000007E-2</v>
      </c>
      <c r="K73" s="67">
        <f t="shared" si="21"/>
        <v>1.7600000000000001E-2</v>
      </c>
      <c r="L73" s="67">
        <f t="shared" si="28"/>
        <v>3.7499999999999999E-2</v>
      </c>
      <c r="M73" s="67">
        <f t="shared" ref="M73:M97" si="29">SP_CPI</f>
        <v>3.2500000000000001E-2</v>
      </c>
      <c r="N73" s="67">
        <f t="shared" ref="N73:N98" si="30">SP_ARStocksDef</f>
        <v>7.0000000000000007E-2</v>
      </c>
      <c r="O73" s="248">
        <v>1.7600000000000001E-2</v>
      </c>
      <c r="P73" s="67">
        <f t="shared" si="22"/>
        <v>1.7600000000000001E-2</v>
      </c>
      <c r="Q73" s="68">
        <f t="shared" si="25"/>
        <v>1</v>
      </c>
      <c r="R73" s="68">
        <f t="shared" si="26"/>
        <v>1</v>
      </c>
      <c r="S73" s="250">
        <v>147000</v>
      </c>
      <c r="T73" s="254">
        <v>1024</v>
      </c>
      <c r="U73" s="254">
        <v>6172</v>
      </c>
      <c r="V73" s="74">
        <f t="shared" ref="V73:V102" si="31">MAX(I73,0)</f>
        <v>3.2500000000000001E-2</v>
      </c>
      <c r="W73" s="186">
        <f t="shared" si="27"/>
        <v>0</v>
      </c>
      <c r="X73" t="str">
        <f t="shared" si="23"/>
        <v/>
      </c>
    </row>
    <row r="74" spans="2:24" x14ac:dyDescent="0.25">
      <c r="B74" s="65">
        <f t="shared" si="24"/>
        <v>2023</v>
      </c>
      <c r="C74" s="76" t="s">
        <v>741</v>
      </c>
      <c r="D74" s="469"/>
      <c r="E74" s="469"/>
      <c r="F74" s="469"/>
      <c r="G74" s="469"/>
      <c r="H74" s="67">
        <f t="shared" si="19"/>
        <v>3.7499999999999999E-2</v>
      </c>
      <c r="I74" s="67">
        <f t="shared" si="18"/>
        <v>3.2500000000000001E-2</v>
      </c>
      <c r="J74" s="67">
        <f t="shared" si="20"/>
        <v>7.0000000000000007E-2</v>
      </c>
      <c r="K74" s="67">
        <f t="shared" si="21"/>
        <v>0.05</v>
      </c>
      <c r="L74" s="67">
        <f t="shared" si="28"/>
        <v>3.7499999999999999E-2</v>
      </c>
      <c r="M74" s="67">
        <f t="shared" si="29"/>
        <v>3.2500000000000001E-2</v>
      </c>
      <c r="N74" s="67">
        <f t="shared" si="30"/>
        <v>7.0000000000000007E-2</v>
      </c>
      <c r="O74" s="67">
        <f t="shared" ref="O74:O98" si="32">SP_BondYieldDef</f>
        <v>0.05</v>
      </c>
      <c r="P74" s="67">
        <f t="shared" si="22"/>
        <v>0.05</v>
      </c>
      <c r="Q74" s="68">
        <f t="shared" si="25"/>
        <v>0.96385542168674687</v>
      </c>
      <c r="R74" s="68">
        <f t="shared" si="26"/>
        <v>0.96852300242130751</v>
      </c>
      <c r="S74" s="75">
        <f t="shared" ref="S74:S99" si="33">CEILING($S$45*$Q$43/Q72, 300)</f>
        <v>154800</v>
      </c>
      <c r="T74" s="70">
        <f t="shared" ref="T74:T99" si="34">CEILING($T$45*$Q$43/Q72,1)</f>
        <v>1077</v>
      </c>
      <c r="U74" s="70">
        <f t="shared" ref="U74:U99" si="35">CEILING(U$45*$Q$43/$Q72,1)</f>
        <v>6491</v>
      </c>
      <c r="V74" s="74">
        <f t="shared" si="31"/>
        <v>3.2500000000000001E-2</v>
      </c>
      <c r="W74" s="186">
        <f t="shared" si="27"/>
        <v>0</v>
      </c>
      <c r="X74" t="str">
        <f t="shared" si="23"/>
        <v/>
      </c>
    </row>
    <row r="75" spans="2:24" x14ac:dyDescent="0.25">
      <c r="B75" s="65">
        <f t="shared" si="24"/>
        <v>2024</v>
      </c>
      <c r="C75" s="76" t="s">
        <v>741</v>
      </c>
      <c r="D75" s="469"/>
      <c r="E75" s="469"/>
      <c r="F75" s="469"/>
      <c r="G75" s="469"/>
      <c r="H75" s="67">
        <f t="shared" si="19"/>
        <v>3.7499999999999999E-2</v>
      </c>
      <c r="I75" s="67">
        <f t="shared" si="18"/>
        <v>3.2500000000000001E-2</v>
      </c>
      <c r="J75" s="67">
        <f t="shared" si="20"/>
        <v>7.0000000000000007E-2</v>
      </c>
      <c r="K75" s="67">
        <f t="shared" si="21"/>
        <v>0.05</v>
      </c>
      <c r="L75" s="67">
        <f t="shared" si="28"/>
        <v>3.7499999999999999E-2</v>
      </c>
      <c r="M75" s="67">
        <f t="shared" si="29"/>
        <v>3.2500000000000001E-2</v>
      </c>
      <c r="N75" s="67">
        <f t="shared" si="30"/>
        <v>7.0000000000000007E-2</v>
      </c>
      <c r="O75" s="67">
        <f t="shared" si="32"/>
        <v>0.05</v>
      </c>
      <c r="P75" s="67">
        <f t="shared" si="22"/>
        <v>0.05</v>
      </c>
      <c r="Q75" s="68">
        <f t="shared" si="25"/>
        <v>0.9290172739149366</v>
      </c>
      <c r="R75" s="68">
        <f t="shared" si="26"/>
        <v>0.93803680621918406</v>
      </c>
      <c r="S75" s="75">
        <f t="shared" si="33"/>
        <v>160500</v>
      </c>
      <c r="T75" s="70">
        <f t="shared" si="34"/>
        <v>1117</v>
      </c>
      <c r="U75" s="70">
        <f t="shared" si="35"/>
        <v>6734</v>
      </c>
      <c r="V75" s="74">
        <f t="shared" si="31"/>
        <v>3.2500000000000001E-2</v>
      </c>
      <c r="W75" s="186">
        <f t="shared" si="27"/>
        <v>0</v>
      </c>
      <c r="X75" t="str">
        <f t="shared" si="23"/>
        <v/>
      </c>
    </row>
    <row r="76" spans="2:24" x14ac:dyDescent="0.25">
      <c r="B76" s="65">
        <f t="shared" si="24"/>
        <v>2025</v>
      </c>
      <c r="C76" s="76" t="s">
        <v>741</v>
      </c>
      <c r="D76" s="469"/>
      <c r="E76" s="469"/>
      <c r="F76" s="469"/>
      <c r="G76" s="469"/>
      <c r="H76" s="67">
        <f t="shared" si="19"/>
        <v>3.7499999999999999E-2</v>
      </c>
      <c r="I76" s="67">
        <f t="shared" si="18"/>
        <v>3.2500000000000001E-2</v>
      </c>
      <c r="J76" s="67">
        <f t="shared" si="20"/>
        <v>7.0000000000000007E-2</v>
      </c>
      <c r="K76" s="67">
        <f t="shared" si="21"/>
        <v>0.05</v>
      </c>
      <c r="L76" s="67">
        <f t="shared" si="28"/>
        <v>3.7499999999999999E-2</v>
      </c>
      <c r="M76" s="67">
        <f t="shared" si="29"/>
        <v>3.2500000000000001E-2</v>
      </c>
      <c r="N76" s="67">
        <f t="shared" si="30"/>
        <v>7.0000000000000007E-2</v>
      </c>
      <c r="O76" s="67">
        <f t="shared" si="32"/>
        <v>0.05</v>
      </c>
      <c r="P76" s="67">
        <f t="shared" si="22"/>
        <v>0.05</v>
      </c>
      <c r="Q76" s="68">
        <f t="shared" si="25"/>
        <v>0.89543833630355341</v>
      </c>
      <c r="R76" s="68">
        <f t="shared" si="26"/>
        <v>0.90851022394109848</v>
      </c>
      <c r="S76" s="75">
        <f t="shared" si="33"/>
        <v>166500</v>
      </c>
      <c r="T76" s="70">
        <f t="shared" si="34"/>
        <v>1159</v>
      </c>
      <c r="U76" s="70">
        <f t="shared" si="35"/>
        <v>6986</v>
      </c>
      <c r="V76" s="74">
        <f t="shared" si="31"/>
        <v>3.2500000000000001E-2</v>
      </c>
      <c r="W76" s="186">
        <f t="shared" si="27"/>
        <v>0</v>
      </c>
      <c r="X76" t="str">
        <f t="shared" si="23"/>
        <v/>
      </c>
    </row>
    <row r="77" spans="2:24" x14ac:dyDescent="0.25">
      <c r="B77" s="65">
        <f t="shared" si="24"/>
        <v>2026</v>
      </c>
      <c r="C77" s="76" t="s">
        <v>741</v>
      </c>
      <c r="D77" s="469"/>
      <c r="E77" s="469"/>
      <c r="F77" s="469"/>
      <c r="G77" s="469"/>
      <c r="H77" s="67">
        <f t="shared" si="19"/>
        <v>3.7499999999999999E-2</v>
      </c>
      <c r="I77" s="67">
        <f t="shared" si="18"/>
        <v>3.2500000000000001E-2</v>
      </c>
      <c r="J77" s="67">
        <f t="shared" si="20"/>
        <v>7.0000000000000007E-2</v>
      </c>
      <c r="K77" s="67">
        <f t="shared" si="21"/>
        <v>0.05</v>
      </c>
      <c r="L77" s="67">
        <f t="shared" si="28"/>
        <v>3.7499999999999999E-2</v>
      </c>
      <c r="M77" s="67">
        <f t="shared" si="29"/>
        <v>3.2500000000000001E-2</v>
      </c>
      <c r="N77" s="67">
        <f t="shared" si="30"/>
        <v>7.0000000000000007E-2</v>
      </c>
      <c r="O77" s="67">
        <f t="shared" si="32"/>
        <v>0.05</v>
      </c>
      <c r="P77" s="67">
        <f t="shared" si="22"/>
        <v>0.05</v>
      </c>
      <c r="Q77" s="68">
        <f t="shared" si="25"/>
        <v>0.86307309523234055</v>
      </c>
      <c r="R77" s="68">
        <f t="shared" si="26"/>
        <v>0.87991304982188723</v>
      </c>
      <c r="S77" s="75">
        <f t="shared" si="33"/>
        <v>172800</v>
      </c>
      <c r="T77" s="70">
        <f t="shared" si="34"/>
        <v>1202</v>
      </c>
      <c r="U77" s="70">
        <f t="shared" si="35"/>
        <v>7248</v>
      </c>
      <c r="V77" s="74">
        <f t="shared" si="31"/>
        <v>3.2500000000000001E-2</v>
      </c>
      <c r="W77" s="186">
        <f t="shared" si="27"/>
        <v>0</v>
      </c>
      <c r="X77" t="str">
        <f t="shared" si="23"/>
        <v/>
      </c>
    </row>
    <row r="78" spans="2:24" x14ac:dyDescent="0.25">
      <c r="B78" s="65">
        <f t="shared" si="24"/>
        <v>2027</v>
      </c>
      <c r="C78" s="76" t="s">
        <v>741</v>
      </c>
      <c r="D78" s="469"/>
      <c r="E78" s="469"/>
      <c r="F78" s="469"/>
      <c r="G78" s="469"/>
      <c r="H78" s="67">
        <f t="shared" si="19"/>
        <v>3.7499999999999999E-2</v>
      </c>
      <c r="I78" s="67">
        <f t="shared" si="18"/>
        <v>3.2500000000000001E-2</v>
      </c>
      <c r="J78" s="67">
        <f t="shared" si="20"/>
        <v>7.0000000000000007E-2</v>
      </c>
      <c r="K78" s="67">
        <f t="shared" si="21"/>
        <v>0.05</v>
      </c>
      <c r="L78" s="67">
        <f t="shared" si="28"/>
        <v>3.7499999999999999E-2</v>
      </c>
      <c r="M78" s="67">
        <f t="shared" si="29"/>
        <v>3.2500000000000001E-2</v>
      </c>
      <c r="N78" s="67">
        <f t="shared" si="30"/>
        <v>7.0000000000000007E-2</v>
      </c>
      <c r="O78" s="67">
        <f t="shared" si="32"/>
        <v>0.05</v>
      </c>
      <c r="P78" s="67">
        <f t="shared" si="22"/>
        <v>0.05</v>
      </c>
      <c r="Q78" s="68">
        <f t="shared" si="25"/>
        <v>0.83187768215165347</v>
      </c>
      <c r="R78" s="68">
        <f t="shared" si="26"/>
        <v>0.85221602888318382</v>
      </c>
      <c r="S78" s="75">
        <f t="shared" si="33"/>
        <v>179100</v>
      </c>
      <c r="T78" s="70">
        <f t="shared" si="34"/>
        <v>1247</v>
      </c>
      <c r="U78" s="70">
        <f t="shared" si="35"/>
        <v>7520</v>
      </c>
      <c r="V78" s="74">
        <f t="shared" si="31"/>
        <v>3.2500000000000001E-2</v>
      </c>
      <c r="W78" s="186">
        <f t="shared" si="27"/>
        <v>0</v>
      </c>
      <c r="X78" t="str">
        <f t="shared" si="23"/>
        <v/>
      </c>
    </row>
    <row r="79" spans="2:24" x14ac:dyDescent="0.25">
      <c r="B79" s="65">
        <f t="shared" si="24"/>
        <v>2028</v>
      </c>
      <c r="C79" s="76" t="s">
        <v>741</v>
      </c>
      <c r="D79" s="469"/>
      <c r="E79" s="469"/>
      <c r="F79" s="469"/>
      <c r="G79" s="469"/>
      <c r="H79" s="67">
        <f t="shared" si="19"/>
        <v>3.7499999999999999E-2</v>
      </c>
      <c r="I79" s="67">
        <f t="shared" si="18"/>
        <v>3.2500000000000001E-2</v>
      </c>
      <c r="J79" s="67">
        <f t="shared" si="20"/>
        <v>7.0000000000000007E-2</v>
      </c>
      <c r="K79" s="67">
        <f t="shared" si="21"/>
        <v>0.05</v>
      </c>
      <c r="L79" s="67">
        <f t="shared" si="28"/>
        <v>3.7499999999999999E-2</v>
      </c>
      <c r="M79" s="67">
        <f t="shared" si="29"/>
        <v>3.2500000000000001E-2</v>
      </c>
      <c r="N79" s="67">
        <f t="shared" si="30"/>
        <v>7.0000000000000007E-2</v>
      </c>
      <c r="O79" s="67">
        <f t="shared" si="32"/>
        <v>0.05</v>
      </c>
      <c r="P79" s="67">
        <f t="shared" si="22"/>
        <v>0.05</v>
      </c>
      <c r="Q79" s="68">
        <f t="shared" si="25"/>
        <v>0.80180981412207553</v>
      </c>
      <c r="R79" s="68">
        <f t="shared" si="26"/>
        <v>0.82539082700550503</v>
      </c>
      <c r="S79" s="75">
        <f t="shared" si="33"/>
        <v>186000</v>
      </c>
      <c r="T79" s="70">
        <f t="shared" si="34"/>
        <v>1294</v>
      </c>
      <c r="U79" s="70">
        <f t="shared" si="35"/>
        <v>7802</v>
      </c>
      <c r="V79" s="74">
        <f t="shared" si="31"/>
        <v>3.2500000000000001E-2</v>
      </c>
      <c r="W79" s="186">
        <f t="shared" si="27"/>
        <v>0</v>
      </c>
      <c r="X79" t="str">
        <f t="shared" si="23"/>
        <v/>
      </c>
    </row>
    <row r="80" spans="2:24" x14ac:dyDescent="0.25">
      <c r="B80" s="65">
        <f t="shared" si="24"/>
        <v>2029</v>
      </c>
      <c r="C80" s="76" t="s">
        <v>741</v>
      </c>
      <c r="D80" s="469"/>
      <c r="E80" s="469"/>
      <c r="F80" s="469"/>
      <c r="G80" s="469"/>
      <c r="H80" s="67">
        <f t="shared" si="19"/>
        <v>3.7499999999999999E-2</v>
      </c>
      <c r="I80" s="67">
        <f t="shared" si="18"/>
        <v>3.2500000000000001E-2</v>
      </c>
      <c r="J80" s="67">
        <f t="shared" si="20"/>
        <v>7.0000000000000007E-2</v>
      </c>
      <c r="K80" s="67">
        <f t="shared" si="21"/>
        <v>0.05</v>
      </c>
      <c r="L80" s="67">
        <f t="shared" si="28"/>
        <v>3.7499999999999999E-2</v>
      </c>
      <c r="M80" s="67">
        <f t="shared" si="29"/>
        <v>3.2500000000000001E-2</v>
      </c>
      <c r="N80" s="67">
        <f t="shared" si="30"/>
        <v>7.0000000000000007E-2</v>
      </c>
      <c r="O80" s="67">
        <f t="shared" si="32"/>
        <v>0.05</v>
      </c>
      <c r="P80" s="67">
        <f t="shared" si="22"/>
        <v>0.05</v>
      </c>
      <c r="Q80" s="68">
        <f t="shared" si="25"/>
        <v>0.77282873650320538</v>
      </c>
      <c r="R80" s="68">
        <f t="shared" si="26"/>
        <v>0.79941000194237766</v>
      </c>
      <c r="S80" s="75">
        <f t="shared" si="33"/>
        <v>192900</v>
      </c>
      <c r="T80" s="70">
        <f t="shared" si="34"/>
        <v>1343</v>
      </c>
      <c r="U80" s="70">
        <f t="shared" si="35"/>
        <v>8095</v>
      </c>
      <c r="V80" s="74">
        <f t="shared" si="31"/>
        <v>3.2500000000000001E-2</v>
      </c>
      <c r="W80" s="186">
        <f t="shared" si="27"/>
        <v>0</v>
      </c>
      <c r="X80" t="str">
        <f t="shared" si="23"/>
        <v/>
      </c>
    </row>
    <row r="81" spans="2:24" x14ac:dyDescent="0.25">
      <c r="B81" s="65">
        <f t="shared" si="24"/>
        <v>2030</v>
      </c>
      <c r="C81" s="76" t="s">
        <v>741</v>
      </c>
      <c r="D81" s="469"/>
      <c r="E81" s="469"/>
      <c r="F81" s="469"/>
      <c r="G81" s="469"/>
      <c r="H81" s="67">
        <f t="shared" si="19"/>
        <v>3.7499999999999999E-2</v>
      </c>
      <c r="I81" s="67">
        <f t="shared" si="18"/>
        <v>3.2500000000000001E-2</v>
      </c>
      <c r="J81" s="67">
        <f t="shared" si="20"/>
        <v>7.0000000000000007E-2</v>
      </c>
      <c r="K81" s="67">
        <f t="shared" si="21"/>
        <v>0.05</v>
      </c>
      <c r="L81" s="67">
        <f t="shared" si="28"/>
        <v>3.7499999999999999E-2</v>
      </c>
      <c r="M81" s="67">
        <f t="shared" si="29"/>
        <v>3.2500000000000001E-2</v>
      </c>
      <c r="N81" s="67">
        <f t="shared" si="30"/>
        <v>7.0000000000000007E-2</v>
      </c>
      <c r="O81" s="67">
        <f t="shared" si="32"/>
        <v>0.05</v>
      </c>
      <c r="P81" s="67">
        <f t="shared" si="22"/>
        <v>0.05</v>
      </c>
      <c r="Q81" s="68">
        <f t="shared" si="25"/>
        <v>0.74489516771393283</v>
      </c>
      <c r="R81" s="68">
        <f t="shared" si="26"/>
        <v>0.77424697524685493</v>
      </c>
      <c r="S81" s="75">
        <f t="shared" si="33"/>
        <v>200100</v>
      </c>
      <c r="T81" s="70">
        <f t="shared" si="34"/>
        <v>1393</v>
      </c>
      <c r="U81" s="70">
        <f t="shared" si="35"/>
        <v>8398</v>
      </c>
      <c r="V81" s="74">
        <f t="shared" si="31"/>
        <v>3.2500000000000001E-2</v>
      </c>
      <c r="W81" s="186">
        <f t="shared" si="27"/>
        <v>0</v>
      </c>
      <c r="X81" t="str">
        <f t="shared" si="23"/>
        <v/>
      </c>
    </row>
    <row r="82" spans="2:24" x14ac:dyDescent="0.25">
      <c r="B82" s="65">
        <f t="shared" si="24"/>
        <v>2031</v>
      </c>
      <c r="C82" s="76" t="s">
        <v>741</v>
      </c>
      <c r="D82" s="469"/>
      <c r="E82" s="469"/>
      <c r="F82" s="469"/>
      <c r="G82" s="469"/>
      <c r="H82" s="67">
        <f t="shared" si="19"/>
        <v>3.7499999999999999E-2</v>
      </c>
      <c r="I82" s="67">
        <f t="shared" si="18"/>
        <v>3.2500000000000001E-2</v>
      </c>
      <c r="J82" s="67">
        <f t="shared" si="20"/>
        <v>7.0000000000000007E-2</v>
      </c>
      <c r="K82" s="67">
        <f t="shared" si="21"/>
        <v>0.05</v>
      </c>
      <c r="L82" s="67">
        <f t="shared" si="28"/>
        <v>3.7499999999999999E-2</v>
      </c>
      <c r="M82" s="67">
        <f t="shared" si="29"/>
        <v>3.2500000000000001E-2</v>
      </c>
      <c r="N82" s="67">
        <f t="shared" si="30"/>
        <v>7.0000000000000007E-2</v>
      </c>
      <c r="O82" s="67">
        <f t="shared" si="32"/>
        <v>0.05</v>
      </c>
      <c r="P82" s="67">
        <f t="shared" si="22"/>
        <v>0.05</v>
      </c>
      <c r="Q82" s="68">
        <f t="shared" si="25"/>
        <v>0.71797124598933271</v>
      </c>
      <c r="R82" s="68">
        <f t="shared" si="26"/>
        <v>0.74987600508169971</v>
      </c>
      <c r="S82" s="75">
        <f t="shared" si="33"/>
        <v>207600</v>
      </c>
      <c r="T82" s="70">
        <f t="shared" si="34"/>
        <v>1445</v>
      </c>
      <c r="U82" s="70">
        <f t="shared" si="35"/>
        <v>8713</v>
      </c>
      <c r="V82" s="74">
        <f t="shared" si="31"/>
        <v>3.2500000000000001E-2</v>
      </c>
      <c r="W82" s="186">
        <f>IF(OR(NOT(ISNUMBER($H82)),$H82&lt;-1,$H82&gt;1,NOT(ISNUMBER($I82)),$I82&lt;-1,$I82&gt;1,NOT(ISNUMBER($J82)),$J82&lt;-1,$J82&gt;1),201,IF(OR(NOT(ISNUMBER($K82)),$K82&lt;0,$K82&gt;1),201,0))</f>
        <v>0</v>
      </c>
      <c r="X82" t="str">
        <f t="shared" si="23"/>
        <v/>
      </c>
    </row>
    <row r="83" spans="2:24" x14ac:dyDescent="0.25">
      <c r="B83" s="65">
        <f t="shared" si="24"/>
        <v>2032</v>
      </c>
      <c r="C83" s="76" t="s">
        <v>741</v>
      </c>
      <c r="D83" s="469"/>
      <c r="E83" s="469"/>
      <c r="F83" s="469"/>
      <c r="G83" s="469"/>
      <c r="H83" s="67">
        <f t="shared" si="19"/>
        <v>3.7499999999999999E-2</v>
      </c>
      <c r="I83" s="67">
        <f t="shared" si="18"/>
        <v>3.2500000000000001E-2</v>
      </c>
      <c r="J83" s="67">
        <f t="shared" si="20"/>
        <v>7.0000000000000007E-2</v>
      </c>
      <c r="K83" s="67">
        <f t="shared" si="21"/>
        <v>0.05</v>
      </c>
      <c r="L83" s="67">
        <f t="shared" si="28"/>
        <v>3.7499999999999999E-2</v>
      </c>
      <c r="M83" s="67">
        <f t="shared" si="29"/>
        <v>3.2500000000000001E-2</v>
      </c>
      <c r="N83" s="67">
        <f t="shared" si="30"/>
        <v>7.0000000000000007E-2</v>
      </c>
      <c r="O83" s="67">
        <f t="shared" si="32"/>
        <v>0.05</v>
      </c>
      <c r="P83" s="67">
        <f t="shared" si="22"/>
        <v>0.05</v>
      </c>
      <c r="Q83" s="68">
        <f t="shared" si="25"/>
        <v>0.69202047806200739</v>
      </c>
      <c r="R83" s="68">
        <f t="shared" si="26"/>
        <v>0.72627215988542349</v>
      </c>
      <c r="S83" s="75">
        <f t="shared" si="33"/>
        <v>215400</v>
      </c>
      <c r="T83" s="70">
        <f t="shared" si="34"/>
        <v>1499</v>
      </c>
      <c r="U83" s="70">
        <f t="shared" si="35"/>
        <v>9040</v>
      </c>
      <c r="V83" s="74">
        <f t="shared" si="31"/>
        <v>3.2500000000000001E-2</v>
      </c>
      <c r="W83" s="186">
        <f t="shared" ref="W83:W151" si="36">IF(OR(NOT(ISNUMBER($H83)),$H83&lt;-1,$H83&gt;1,NOT(ISNUMBER($I83)),$I83&lt;-1,$I83&gt;1,NOT(ISNUMBER($J83)),$J83&lt;-1,$J83&gt;1),201,IF(OR(NOT(ISNUMBER($K83)),$K83&lt;0,$K83&gt;1),201,0))</f>
        <v>0</v>
      </c>
      <c r="X83" t="str">
        <f t="shared" si="23"/>
        <v/>
      </c>
    </row>
    <row r="84" spans="2:24" x14ac:dyDescent="0.25">
      <c r="B84" s="65">
        <f t="shared" si="24"/>
        <v>2033</v>
      </c>
      <c r="C84" s="76" t="s">
        <v>741</v>
      </c>
      <c r="D84" s="469"/>
      <c r="E84" s="469"/>
      <c r="F84" s="469"/>
      <c r="G84" s="469"/>
      <c r="H84" s="67">
        <f t="shared" si="19"/>
        <v>3.7499999999999999E-2</v>
      </c>
      <c r="I84" s="67">
        <f t="shared" si="18"/>
        <v>3.2500000000000001E-2</v>
      </c>
      <c r="J84" s="67">
        <f t="shared" si="20"/>
        <v>7.0000000000000007E-2</v>
      </c>
      <c r="K84" s="67">
        <f t="shared" si="21"/>
        <v>0.05</v>
      </c>
      <c r="L84" s="67">
        <f t="shared" si="28"/>
        <v>3.7499999999999999E-2</v>
      </c>
      <c r="M84" s="67">
        <f t="shared" si="29"/>
        <v>3.2500000000000001E-2</v>
      </c>
      <c r="N84" s="67">
        <f t="shared" si="30"/>
        <v>7.0000000000000007E-2</v>
      </c>
      <c r="O84" s="67">
        <f t="shared" si="32"/>
        <v>0.05</v>
      </c>
      <c r="P84" s="67">
        <f t="shared" si="22"/>
        <v>0.05</v>
      </c>
      <c r="Q84" s="68">
        <f t="shared" si="25"/>
        <v>0.66700768969832036</v>
      </c>
      <c r="R84" s="68">
        <f t="shared" si="26"/>
        <v>0.70341129286723825</v>
      </c>
      <c r="S84" s="75">
        <f t="shared" si="33"/>
        <v>223500</v>
      </c>
      <c r="T84" s="70">
        <f t="shared" si="34"/>
        <v>1556</v>
      </c>
      <c r="U84" s="70">
        <f t="shared" si="35"/>
        <v>9379</v>
      </c>
      <c r="V84" s="74">
        <f t="shared" si="31"/>
        <v>3.2500000000000001E-2</v>
      </c>
      <c r="W84" s="186">
        <f t="shared" si="36"/>
        <v>0</v>
      </c>
      <c r="X84" t="str">
        <f t="shared" si="23"/>
        <v/>
      </c>
    </row>
    <row r="85" spans="2:24" x14ac:dyDescent="0.25">
      <c r="B85" s="65">
        <f t="shared" si="24"/>
        <v>2034</v>
      </c>
      <c r="C85" s="76" t="s">
        <v>741</v>
      </c>
      <c r="D85" s="469"/>
      <c r="E85" s="469"/>
      <c r="F85" s="469"/>
      <c r="G85" s="469"/>
      <c r="H85" s="67">
        <f t="shared" si="19"/>
        <v>3.7499999999999999E-2</v>
      </c>
      <c r="I85" s="67">
        <f t="shared" ref="I85:I116" si="37">IF(IF(COLUMN()=COLUMN(E85),TRUE,ISBLANK(E85)),M85,E85)</f>
        <v>3.2500000000000001E-2</v>
      </c>
      <c r="J85" s="67">
        <f t="shared" si="20"/>
        <v>7.0000000000000007E-2</v>
      </c>
      <c r="K85" s="67">
        <f t="shared" si="21"/>
        <v>0.05</v>
      </c>
      <c r="L85" s="67">
        <f t="shared" si="28"/>
        <v>3.7499999999999999E-2</v>
      </c>
      <c r="M85" s="67">
        <f t="shared" si="29"/>
        <v>3.2500000000000001E-2</v>
      </c>
      <c r="N85" s="67">
        <f t="shared" si="30"/>
        <v>7.0000000000000007E-2</v>
      </c>
      <c r="O85" s="67">
        <f t="shared" si="32"/>
        <v>0.05</v>
      </c>
      <c r="P85" s="67">
        <f t="shared" si="22"/>
        <v>0.05</v>
      </c>
      <c r="Q85" s="68">
        <f t="shared" si="25"/>
        <v>0.64289897802247742</v>
      </c>
      <c r="R85" s="68">
        <f t="shared" si="26"/>
        <v>0.68127001730483117</v>
      </c>
      <c r="S85" s="75">
        <f t="shared" si="33"/>
        <v>231900</v>
      </c>
      <c r="T85" s="70">
        <f t="shared" si="34"/>
        <v>1614</v>
      </c>
      <c r="U85" s="70">
        <f t="shared" si="35"/>
        <v>9731</v>
      </c>
      <c r="V85" s="74">
        <f t="shared" si="31"/>
        <v>3.2500000000000001E-2</v>
      </c>
      <c r="W85" s="186">
        <f t="shared" si="36"/>
        <v>0</v>
      </c>
      <c r="X85" t="str">
        <f t="shared" si="23"/>
        <v/>
      </c>
    </row>
    <row r="86" spans="2:24" x14ac:dyDescent="0.25">
      <c r="B86" s="65">
        <f t="shared" si="24"/>
        <v>2035</v>
      </c>
      <c r="C86" s="76" t="s">
        <v>741</v>
      </c>
      <c r="D86" s="469"/>
      <c r="E86" s="469"/>
      <c r="F86" s="469"/>
      <c r="G86" s="469"/>
      <c r="H86" s="67">
        <f t="shared" si="19"/>
        <v>3.7499999999999999E-2</v>
      </c>
      <c r="I86" s="67">
        <f t="shared" si="37"/>
        <v>3.2500000000000001E-2</v>
      </c>
      <c r="J86" s="67">
        <f t="shared" si="20"/>
        <v>7.0000000000000007E-2</v>
      </c>
      <c r="K86" s="67">
        <f t="shared" si="21"/>
        <v>0.05</v>
      </c>
      <c r="L86" s="67">
        <f t="shared" si="28"/>
        <v>3.7499999999999999E-2</v>
      </c>
      <c r="M86" s="67">
        <f t="shared" si="29"/>
        <v>3.2500000000000001E-2</v>
      </c>
      <c r="N86" s="67">
        <f t="shared" si="30"/>
        <v>7.0000000000000007E-2</v>
      </c>
      <c r="O86" s="67">
        <f t="shared" si="32"/>
        <v>0.05</v>
      </c>
      <c r="P86" s="67">
        <f t="shared" si="22"/>
        <v>0.05</v>
      </c>
      <c r="Q86" s="68">
        <f t="shared" si="25"/>
        <v>0.61966166556383362</v>
      </c>
      <c r="R86" s="68">
        <f t="shared" si="26"/>
        <v>0.6598256826196911</v>
      </c>
      <c r="S86" s="75">
        <f t="shared" si="33"/>
        <v>240600</v>
      </c>
      <c r="T86" s="70">
        <f t="shared" si="34"/>
        <v>1674</v>
      </c>
      <c r="U86" s="70">
        <f t="shared" si="35"/>
        <v>10095</v>
      </c>
      <c r="V86" s="74">
        <f t="shared" si="31"/>
        <v>3.2500000000000001E-2</v>
      </c>
      <c r="W86" s="186">
        <f t="shared" si="36"/>
        <v>0</v>
      </c>
      <c r="X86" t="str">
        <f t="shared" si="23"/>
        <v/>
      </c>
    </row>
    <row r="87" spans="2:24" x14ac:dyDescent="0.25">
      <c r="B87" s="65">
        <f t="shared" si="24"/>
        <v>2036</v>
      </c>
      <c r="C87" s="76" t="s">
        <v>741</v>
      </c>
      <c r="D87" s="469"/>
      <c r="E87" s="469"/>
      <c r="F87" s="469"/>
      <c r="G87" s="469"/>
      <c r="H87" s="67">
        <f t="shared" si="19"/>
        <v>3.7499999999999999E-2</v>
      </c>
      <c r="I87" s="67">
        <f t="shared" si="37"/>
        <v>3.2500000000000001E-2</v>
      </c>
      <c r="J87" s="67">
        <f t="shared" si="20"/>
        <v>7.0000000000000007E-2</v>
      </c>
      <c r="K87" s="67">
        <f t="shared" si="21"/>
        <v>0.05</v>
      </c>
      <c r="L87" s="67">
        <f t="shared" si="28"/>
        <v>3.7499999999999999E-2</v>
      </c>
      <c r="M87" s="67">
        <f t="shared" si="29"/>
        <v>3.2500000000000001E-2</v>
      </c>
      <c r="N87" s="67">
        <f t="shared" si="30"/>
        <v>7.0000000000000007E-2</v>
      </c>
      <c r="O87" s="67">
        <f t="shared" si="32"/>
        <v>0.05</v>
      </c>
      <c r="P87" s="67">
        <f t="shared" si="22"/>
        <v>0.05</v>
      </c>
      <c r="Q87" s="68">
        <f t="shared" si="25"/>
        <v>0.59726425596514077</v>
      </c>
      <c r="R87" s="68">
        <f t="shared" si="26"/>
        <v>0.63905635120551196</v>
      </c>
      <c r="S87" s="75">
        <f t="shared" si="33"/>
        <v>249600</v>
      </c>
      <c r="T87" s="70">
        <f t="shared" si="34"/>
        <v>1737</v>
      </c>
      <c r="U87" s="70">
        <f t="shared" si="35"/>
        <v>10474</v>
      </c>
      <c r="V87" s="74">
        <f t="shared" si="31"/>
        <v>3.2500000000000001E-2</v>
      </c>
      <c r="W87" s="186">
        <f t="shared" si="36"/>
        <v>0</v>
      </c>
      <c r="X87" t="str">
        <f t="shared" si="23"/>
        <v/>
      </c>
    </row>
    <row r="88" spans="2:24" x14ac:dyDescent="0.25">
      <c r="B88" s="65">
        <f t="shared" si="24"/>
        <v>2037</v>
      </c>
      <c r="C88" s="76" t="s">
        <v>741</v>
      </c>
      <c r="D88" s="469"/>
      <c r="E88" s="469"/>
      <c r="F88" s="469"/>
      <c r="G88" s="469"/>
      <c r="H88" s="67">
        <f t="shared" si="19"/>
        <v>3.7499999999999999E-2</v>
      </c>
      <c r="I88" s="67">
        <f t="shared" si="37"/>
        <v>3.2500000000000001E-2</v>
      </c>
      <c r="J88" s="67">
        <f t="shared" si="20"/>
        <v>7.0000000000000007E-2</v>
      </c>
      <c r="K88" s="67">
        <f t="shared" si="21"/>
        <v>0.05</v>
      </c>
      <c r="L88" s="67">
        <f t="shared" si="28"/>
        <v>3.7499999999999999E-2</v>
      </c>
      <c r="M88" s="67">
        <f t="shared" si="29"/>
        <v>3.2500000000000001E-2</v>
      </c>
      <c r="N88" s="67">
        <f t="shared" si="30"/>
        <v>7.0000000000000007E-2</v>
      </c>
      <c r="O88" s="67">
        <f t="shared" si="32"/>
        <v>0.05</v>
      </c>
      <c r="P88" s="67">
        <f t="shared" si="22"/>
        <v>0.05</v>
      </c>
      <c r="Q88" s="68">
        <f t="shared" si="25"/>
        <v>0.57567639129170189</v>
      </c>
      <c r="R88" s="68">
        <f t="shared" si="26"/>
        <v>0.61894077598596808</v>
      </c>
      <c r="S88" s="75">
        <f t="shared" si="33"/>
        <v>258900</v>
      </c>
      <c r="T88" s="70">
        <f t="shared" si="34"/>
        <v>1802</v>
      </c>
      <c r="U88" s="70">
        <f t="shared" si="35"/>
        <v>10867</v>
      </c>
      <c r="V88" s="74">
        <f t="shared" si="31"/>
        <v>3.2500000000000001E-2</v>
      </c>
      <c r="W88" s="186">
        <f t="shared" si="36"/>
        <v>0</v>
      </c>
      <c r="X88" t="str">
        <f t="shared" si="23"/>
        <v/>
      </c>
    </row>
    <row r="89" spans="2:24" x14ac:dyDescent="0.25">
      <c r="B89" s="65">
        <f t="shared" si="24"/>
        <v>2038</v>
      </c>
      <c r="C89" s="76" t="s">
        <v>741</v>
      </c>
      <c r="D89" s="469"/>
      <c r="E89" s="469"/>
      <c r="F89" s="469"/>
      <c r="G89" s="469"/>
      <c r="H89" s="67">
        <f t="shared" si="19"/>
        <v>3.7499999999999999E-2</v>
      </c>
      <c r="I89" s="67">
        <f t="shared" si="37"/>
        <v>3.2500000000000001E-2</v>
      </c>
      <c r="J89" s="67">
        <f t="shared" si="20"/>
        <v>7.0000000000000007E-2</v>
      </c>
      <c r="K89" s="67">
        <f t="shared" si="21"/>
        <v>0.05</v>
      </c>
      <c r="L89" s="67">
        <f t="shared" si="28"/>
        <v>3.7499999999999999E-2</v>
      </c>
      <c r="M89" s="67">
        <f t="shared" si="29"/>
        <v>3.2500000000000001E-2</v>
      </c>
      <c r="N89" s="67">
        <f t="shared" si="30"/>
        <v>7.0000000000000007E-2</v>
      </c>
      <c r="O89" s="67">
        <f t="shared" si="32"/>
        <v>0.05</v>
      </c>
      <c r="P89" s="67">
        <f t="shared" si="22"/>
        <v>0.05</v>
      </c>
      <c r="Q89" s="68">
        <f t="shared" si="25"/>
        <v>0.5548688108835681</v>
      </c>
      <c r="R89" s="68">
        <f t="shared" si="26"/>
        <v>0.59945837867890361</v>
      </c>
      <c r="S89" s="75">
        <f t="shared" si="33"/>
        <v>268500</v>
      </c>
      <c r="T89" s="70">
        <f t="shared" si="34"/>
        <v>1870</v>
      </c>
      <c r="U89" s="70">
        <f t="shared" si="35"/>
        <v>11274</v>
      </c>
      <c r="V89" s="74">
        <f t="shared" si="31"/>
        <v>3.2500000000000001E-2</v>
      </c>
      <c r="W89" s="186">
        <f t="shared" si="36"/>
        <v>0</v>
      </c>
      <c r="X89" t="str">
        <f t="shared" si="23"/>
        <v/>
      </c>
    </row>
    <row r="90" spans="2:24" x14ac:dyDescent="0.25">
      <c r="B90" s="65">
        <f t="shared" si="24"/>
        <v>2039</v>
      </c>
      <c r="C90" s="76" t="s">
        <v>741</v>
      </c>
      <c r="D90" s="469"/>
      <c r="E90" s="469"/>
      <c r="F90" s="469"/>
      <c r="G90" s="469"/>
      <c r="H90" s="67">
        <f t="shared" si="19"/>
        <v>3.7499999999999999E-2</v>
      </c>
      <c r="I90" s="67">
        <f t="shared" si="37"/>
        <v>3.2500000000000001E-2</v>
      </c>
      <c r="J90" s="67">
        <f t="shared" si="20"/>
        <v>7.0000000000000007E-2</v>
      </c>
      <c r="K90" s="67">
        <f t="shared" si="21"/>
        <v>0.05</v>
      </c>
      <c r="L90" s="67">
        <f t="shared" si="28"/>
        <v>3.7499999999999999E-2</v>
      </c>
      <c r="M90" s="67">
        <f t="shared" si="29"/>
        <v>3.2500000000000001E-2</v>
      </c>
      <c r="N90" s="67">
        <f t="shared" si="30"/>
        <v>7.0000000000000007E-2</v>
      </c>
      <c r="O90" s="67">
        <f t="shared" si="32"/>
        <v>0.05</v>
      </c>
      <c r="P90" s="67">
        <f t="shared" si="22"/>
        <v>0.05</v>
      </c>
      <c r="Q90" s="68">
        <f t="shared" si="25"/>
        <v>0.53481331169500534</v>
      </c>
      <c r="R90" s="68">
        <f t="shared" si="26"/>
        <v>0.58058922874470087</v>
      </c>
      <c r="S90" s="75">
        <f t="shared" si="33"/>
        <v>278700</v>
      </c>
      <c r="T90" s="70">
        <f t="shared" si="34"/>
        <v>1940</v>
      </c>
      <c r="U90" s="70">
        <f t="shared" si="35"/>
        <v>11697</v>
      </c>
      <c r="V90" s="74">
        <f t="shared" si="31"/>
        <v>3.2500000000000001E-2</v>
      </c>
      <c r="W90" s="186">
        <f t="shared" si="36"/>
        <v>0</v>
      </c>
      <c r="X90" t="str">
        <f t="shared" si="23"/>
        <v/>
      </c>
    </row>
    <row r="91" spans="2:24" x14ac:dyDescent="0.25">
      <c r="B91" s="65">
        <f t="shared" si="24"/>
        <v>2040</v>
      </c>
      <c r="C91" s="76" t="s">
        <v>741</v>
      </c>
      <c r="D91" s="469"/>
      <c r="E91" s="469"/>
      <c r="F91" s="469"/>
      <c r="G91" s="469"/>
      <c r="H91" s="67">
        <f t="shared" si="19"/>
        <v>3.7499999999999999E-2</v>
      </c>
      <c r="I91" s="67">
        <f t="shared" si="37"/>
        <v>3.2500000000000001E-2</v>
      </c>
      <c r="J91" s="67">
        <f t="shared" si="20"/>
        <v>7.0000000000000007E-2</v>
      </c>
      <c r="K91" s="67">
        <f t="shared" si="21"/>
        <v>0.05</v>
      </c>
      <c r="L91" s="67">
        <f t="shared" si="28"/>
        <v>3.7499999999999999E-2</v>
      </c>
      <c r="M91" s="67">
        <f t="shared" si="29"/>
        <v>3.2500000000000001E-2</v>
      </c>
      <c r="N91" s="67">
        <f t="shared" si="30"/>
        <v>7.0000000000000007E-2</v>
      </c>
      <c r="O91" s="67">
        <f t="shared" si="32"/>
        <v>0.05</v>
      </c>
      <c r="P91" s="67">
        <f t="shared" si="22"/>
        <v>0.05</v>
      </c>
      <c r="Q91" s="68">
        <f t="shared" si="25"/>
        <v>0.51548271006747504</v>
      </c>
      <c r="R91" s="68">
        <f t="shared" si="26"/>
        <v>0.56231402299728894</v>
      </c>
      <c r="S91" s="75">
        <f t="shared" si="33"/>
        <v>289200</v>
      </c>
      <c r="T91" s="70">
        <f t="shared" si="34"/>
        <v>2013</v>
      </c>
      <c r="U91" s="70">
        <f t="shared" si="35"/>
        <v>12136</v>
      </c>
      <c r="V91" s="74">
        <f t="shared" si="31"/>
        <v>3.2500000000000001E-2</v>
      </c>
      <c r="W91" s="186">
        <f t="shared" si="36"/>
        <v>0</v>
      </c>
      <c r="X91" t="str">
        <f t="shared" si="23"/>
        <v/>
      </c>
    </row>
    <row r="92" spans="2:24" x14ac:dyDescent="0.25">
      <c r="B92" s="65">
        <f t="shared" si="24"/>
        <v>2041</v>
      </c>
      <c r="C92" s="76" t="s">
        <v>741</v>
      </c>
      <c r="D92" s="469"/>
      <c r="E92" s="469"/>
      <c r="F92" s="469"/>
      <c r="G92" s="469"/>
      <c r="H92" s="67">
        <f t="shared" si="19"/>
        <v>3.7499999999999999E-2</v>
      </c>
      <c r="I92" s="67">
        <f t="shared" si="37"/>
        <v>3.2500000000000001E-2</v>
      </c>
      <c r="J92" s="67">
        <f t="shared" si="20"/>
        <v>7.0000000000000007E-2</v>
      </c>
      <c r="K92" s="67">
        <f t="shared" si="21"/>
        <v>0.05</v>
      </c>
      <c r="L92" s="67">
        <f t="shared" si="28"/>
        <v>3.7499999999999999E-2</v>
      </c>
      <c r="M92" s="67">
        <f t="shared" si="29"/>
        <v>3.2500000000000001E-2</v>
      </c>
      <c r="N92" s="67">
        <f t="shared" si="30"/>
        <v>7.0000000000000007E-2</v>
      </c>
      <c r="O92" s="67">
        <f t="shared" si="32"/>
        <v>0.05</v>
      </c>
      <c r="P92" s="67">
        <f t="shared" si="22"/>
        <v>0.05</v>
      </c>
      <c r="Q92" s="68">
        <f t="shared" si="25"/>
        <v>0.49685080488431327</v>
      </c>
      <c r="R92" s="68">
        <f t="shared" si="26"/>
        <v>0.5446140658569385</v>
      </c>
      <c r="S92" s="75">
        <f t="shared" si="33"/>
        <v>300000</v>
      </c>
      <c r="T92" s="70">
        <f t="shared" si="34"/>
        <v>2088</v>
      </c>
      <c r="U92" s="70">
        <f t="shared" si="35"/>
        <v>12591</v>
      </c>
      <c r="V92" s="74">
        <f t="shared" si="31"/>
        <v>3.2500000000000001E-2</v>
      </c>
      <c r="W92" s="186">
        <f t="shared" si="36"/>
        <v>0</v>
      </c>
      <c r="X92" t="str">
        <f t="shared" si="23"/>
        <v/>
      </c>
    </row>
    <row r="93" spans="2:24" x14ac:dyDescent="0.25">
      <c r="B93" s="65">
        <f t="shared" si="24"/>
        <v>2042</v>
      </c>
      <c r="C93" s="76" t="s">
        <v>741</v>
      </c>
      <c r="D93" s="469"/>
      <c r="E93" s="469"/>
      <c r="F93" s="469"/>
      <c r="G93" s="469"/>
      <c r="H93" s="67">
        <f t="shared" si="19"/>
        <v>3.7499999999999999E-2</v>
      </c>
      <c r="I93" s="67">
        <f t="shared" si="37"/>
        <v>3.2500000000000001E-2</v>
      </c>
      <c r="J93" s="67">
        <f t="shared" si="20"/>
        <v>7.0000000000000007E-2</v>
      </c>
      <c r="K93" s="67">
        <f t="shared" si="21"/>
        <v>0.05</v>
      </c>
      <c r="L93" s="67">
        <f t="shared" si="28"/>
        <v>3.7499999999999999E-2</v>
      </c>
      <c r="M93" s="67">
        <f t="shared" si="29"/>
        <v>3.2500000000000001E-2</v>
      </c>
      <c r="N93" s="67">
        <f t="shared" si="30"/>
        <v>7.0000000000000007E-2</v>
      </c>
      <c r="O93" s="67">
        <f t="shared" si="32"/>
        <v>0.05</v>
      </c>
      <c r="P93" s="67">
        <f t="shared" si="22"/>
        <v>0.05</v>
      </c>
      <c r="Q93" s="68">
        <f t="shared" si="25"/>
        <v>0.47889234205716935</v>
      </c>
      <c r="R93" s="68">
        <f t="shared" si="26"/>
        <v>0.52747125022463781</v>
      </c>
      <c r="S93" s="75">
        <f t="shared" si="33"/>
        <v>311100</v>
      </c>
      <c r="T93" s="70">
        <f t="shared" si="34"/>
        <v>2166</v>
      </c>
      <c r="U93" s="70">
        <f t="shared" si="35"/>
        <v>13063</v>
      </c>
      <c r="V93" s="74">
        <f t="shared" si="31"/>
        <v>3.2500000000000001E-2</v>
      </c>
      <c r="W93" s="186">
        <f t="shared" si="36"/>
        <v>0</v>
      </c>
      <c r="X93" t="str">
        <f t="shared" si="23"/>
        <v/>
      </c>
    </row>
    <row r="94" spans="2:24" x14ac:dyDescent="0.25">
      <c r="B94" s="65">
        <f t="shared" si="24"/>
        <v>2043</v>
      </c>
      <c r="C94" s="76" t="s">
        <v>741</v>
      </c>
      <c r="D94" s="469"/>
      <c r="E94" s="469"/>
      <c r="F94" s="469"/>
      <c r="G94" s="469"/>
      <c r="H94" s="67">
        <f t="shared" si="19"/>
        <v>3.7499999999999999E-2</v>
      </c>
      <c r="I94" s="67">
        <f t="shared" si="37"/>
        <v>3.2500000000000001E-2</v>
      </c>
      <c r="J94" s="67">
        <f t="shared" si="20"/>
        <v>7.0000000000000007E-2</v>
      </c>
      <c r="K94" s="67">
        <f t="shared" si="21"/>
        <v>0.05</v>
      </c>
      <c r="L94" s="67">
        <f t="shared" si="28"/>
        <v>3.7499999999999999E-2</v>
      </c>
      <c r="M94" s="67">
        <f t="shared" si="29"/>
        <v>3.2500000000000001E-2</v>
      </c>
      <c r="N94" s="67">
        <f t="shared" si="30"/>
        <v>7.0000000000000007E-2</v>
      </c>
      <c r="O94" s="67">
        <f t="shared" si="32"/>
        <v>0.05</v>
      </c>
      <c r="P94" s="67">
        <f t="shared" si="22"/>
        <v>0.05</v>
      </c>
      <c r="Q94" s="68">
        <f t="shared" si="25"/>
        <v>0.46158298029606676</v>
      </c>
      <c r="R94" s="68">
        <f t="shared" si="26"/>
        <v>0.51086803895848698</v>
      </c>
      <c r="S94" s="75">
        <f t="shared" si="33"/>
        <v>322800</v>
      </c>
      <c r="T94" s="70">
        <f t="shared" si="34"/>
        <v>2248</v>
      </c>
      <c r="U94" s="70">
        <f t="shared" si="35"/>
        <v>13553</v>
      </c>
      <c r="V94" s="74">
        <f t="shared" si="31"/>
        <v>3.2500000000000001E-2</v>
      </c>
      <c r="W94" s="186">
        <f t="shared" si="36"/>
        <v>0</v>
      </c>
      <c r="X94" t="str">
        <f t="shared" si="23"/>
        <v/>
      </c>
    </row>
    <row r="95" spans="2:24" x14ac:dyDescent="0.25">
      <c r="B95" s="65">
        <f t="shared" si="24"/>
        <v>2044</v>
      </c>
      <c r="C95" s="76" t="s">
        <v>741</v>
      </c>
      <c r="D95" s="469"/>
      <c r="E95" s="469"/>
      <c r="F95" s="469"/>
      <c r="G95" s="469"/>
      <c r="H95" s="67">
        <f t="shared" si="19"/>
        <v>3.7499999999999999E-2</v>
      </c>
      <c r="I95" s="67">
        <f t="shared" si="37"/>
        <v>3.2500000000000001E-2</v>
      </c>
      <c r="J95" s="67">
        <f t="shared" si="20"/>
        <v>7.0000000000000007E-2</v>
      </c>
      <c r="K95" s="67">
        <f t="shared" si="21"/>
        <v>0.05</v>
      </c>
      <c r="L95" s="67">
        <f t="shared" si="28"/>
        <v>3.7499999999999999E-2</v>
      </c>
      <c r="M95" s="67">
        <f t="shared" si="29"/>
        <v>3.2500000000000001E-2</v>
      </c>
      <c r="N95" s="67">
        <f t="shared" si="30"/>
        <v>7.0000000000000007E-2</v>
      </c>
      <c r="O95" s="67">
        <f t="shared" si="32"/>
        <v>0.05</v>
      </c>
      <c r="P95" s="67">
        <f t="shared" si="22"/>
        <v>0.05</v>
      </c>
      <c r="Q95" s="68">
        <f t="shared" si="25"/>
        <v>0.44489925811669079</v>
      </c>
      <c r="R95" s="68">
        <f t="shared" si="26"/>
        <v>0.49478744693315935</v>
      </c>
      <c r="S95" s="75">
        <f t="shared" si="33"/>
        <v>334800</v>
      </c>
      <c r="T95" s="70">
        <f t="shared" si="34"/>
        <v>2332</v>
      </c>
      <c r="U95" s="70">
        <f t="shared" si="35"/>
        <v>14061</v>
      </c>
      <c r="V95" s="74">
        <f t="shared" si="31"/>
        <v>3.2500000000000001E-2</v>
      </c>
      <c r="W95" s="186">
        <f t="shared" si="36"/>
        <v>0</v>
      </c>
      <c r="X95" t="str">
        <f t="shared" si="23"/>
        <v/>
      </c>
    </row>
    <row r="96" spans="2:24" x14ac:dyDescent="0.25">
      <c r="B96" s="65">
        <f t="shared" si="24"/>
        <v>2045</v>
      </c>
      <c r="C96" s="76" t="s">
        <v>741</v>
      </c>
      <c r="D96" s="469"/>
      <c r="E96" s="469"/>
      <c r="F96" s="469"/>
      <c r="G96" s="469"/>
      <c r="H96" s="67">
        <f t="shared" si="19"/>
        <v>3.7499999999999999E-2</v>
      </c>
      <c r="I96" s="67">
        <f t="shared" si="37"/>
        <v>3.2500000000000001E-2</v>
      </c>
      <c r="J96" s="67">
        <f t="shared" si="20"/>
        <v>7.0000000000000007E-2</v>
      </c>
      <c r="K96" s="67">
        <f t="shared" si="21"/>
        <v>0.05</v>
      </c>
      <c r="L96" s="67">
        <f t="shared" ref="L96:L127" si="38">SP_AWI</f>
        <v>3.7499999999999999E-2</v>
      </c>
      <c r="M96" s="67">
        <f t="shared" si="29"/>
        <v>3.2500000000000001E-2</v>
      </c>
      <c r="N96" s="67">
        <f t="shared" si="30"/>
        <v>7.0000000000000007E-2</v>
      </c>
      <c r="O96" s="67">
        <f t="shared" si="32"/>
        <v>0.05</v>
      </c>
      <c r="P96" s="67">
        <f t="shared" si="22"/>
        <v>0.05</v>
      </c>
      <c r="Q96" s="68">
        <f t="shared" si="25"/>
        <v>0.42881856204018387</v>
      </c>
      <c r="R96" s="68">
        <f t="shared" si="26"/>
        <v>0.47921302366407681</v>
      </c>
      <c r="S96" s="75">
        <f t="shared" si="33"/>
        <v>347400</v>
      </c>
      <c r="T96" s="70">
        <f t="shared" si="34"/>
        <v>2419</v>
      </c>
      <c r="U96" s="70">
        <f t="shared" si="35"/>
        <v>14588</v>
      </c>
      <c r="V96" s="74">
        <f t="shared" si="31"/>
        <v>3.2500000000000001E-2</v>
      </c>
      <c r="W96" s="186">
        <f t="shared" si="36"/>
        <v>0</v>
      </c>
      <c r="X96" t="str">
        <f t="shared" si="23"/>
        <v/>
      </c>
    </row>
    <row r="97" spans="2:24" x14ac:dyDescent="0.25">
      <c r="B97" s="65">
        <f t="shared" si="24"/>
        <v>2046</v>
      </c>
      <c r="C97" s="76" t="s">
        <v>741</v>
      </c>
      <c r="D97" s="469"/>
      <c r="E97" s="469"/>
      <c r="F97" s="469"/>
      <c r="G97" s="469"/>
      <c r="H97" s="67">
        <f t="shared" si="19"/>
        <v>3.7499999999999999E-2</v>
      </c>
      <c r="I97" s="67">
        <f t="shared" si="37"/>
        <v>3.2500000000000001E-2</v>
      </c>
      <c r="J97" s="67">
        <f t="shared" si="20"/>
        <v>7.0000000000000007E-2</v>
      </c>
      <c r="K97" s="67">
        <f t="shared" si="21"/>
        <v>0.05</v>
      </c>
      <c r="L97" s="67">
        <f t="shared" si="38"/>
        <v>3.7499999999999999E-2</v>
      </c>
      <c r="M97" s="67">
        <f t="shared" si="29"/>
        <v>3.2500000000000001E-2</v>
      </c>
      <c r="N97" s="67">
        <f t="shared" si="30"/>
        <v>7.0000000000000007E-2</v>
      </c>
      <c r="O97" s="67">
        <f t="shared" si="32"/>
        <v>0.05</v>
      </c>
      <c r="P97" s="67">
        <f t="shared" si="22"/>
        <v>0.05</v>
      </c>
      <c r="Q97" s="68">
        <f t="shared" si="25"/>
        <v>0.41331909594234584</v>
      </c>
      <c r="R97" s="68">
        <f t="shared" si="26"/>
        <v>0.46412883647852476</v>
      </c>
      <c r="S97" s="75">
        <f t="shared" si="33"/>
        <v>360600</v>
      </c>
      <c r="T97" s="70">
        <f t="shared" si="34"/>
        <v>2510</v>
      </c>
      <c r="U97" s="70">
        <f t="shared" si="35"/>
        <v>15135</v>
      </c>
      <c r="V97" s="74">
        <f t="shared" si="31"/>
        <v>3.2500000000000001E-2</v>
      </c>
      <c r="W97" s="186">
        <f t="shared" si="36"/>
        <v>0</v>
      </c>
      <c r="X97" t="str">
        <f t="shared" si="23"/>
        <v/>
      </c>
    </row>
    <row r="98" spans="2:24" x14ac:dyDescent="0.25">
      <c r="B98" s="65">
        <f t="shared" si="24"/>
        <v>2047</v>
      </c>
      <c r="C98" s="76" t="s">
        <v>741</v>
      </c>
      <c r="D98" s="469"/>
      <c r="E98" s="469"/>
      <c r="F98" s="469"/>
      <c r="G98" s="469"/>
      <c r="H98" s="67">
        <f t="shared" si="19"/>
        <v>3.7499999999999999E-2</v>
      </c>
      <c r="I98" s="67">
        <f t="shared" si="37"/>
        <v>3.2500000000000001E-2</v>
      </c>
      <c r="J98" s="67">
        <f t="shared" si="20"/>
        <v>7.0000000000000007E-2</v>
      </c>
      <c r="K98" s="67">
        <f t="shared" si="21"/>
        <v>0.05</v>
      </c>
      <c r="L98" s="67">
        <f t="shared" si="38"/>
        <v>3.7499999999999999E-2</v>
      </c>
      <c r="M98" s="67">
        <f t="shared" ref="M98:M129" si="39">SP_CPI</f>
        <v>3.2500000000000001E-2</v>
      </c>
      <c r="N98" s="67">
        <f t="shared" si="30"/>
        <v>7.0000000000000007E-2</v>
      </c>
      <c r="O98" s="67">
        <f t="shared" si="32"/>
        <v>0.05</v>
      </c>
      <c r="P98" s="67">
        <f t="shared" si="22"/>
        <v>0.05</v>
      </c>
      <c r="Q98" s="68">
        <f t="shared" si="25"/>
        <v>0.39837985151069477</v>
      </c>
      <c r="R98" s="68">
        <f t="shared" si="26"/>
        <v>0.44951945421648892</v>
      </c>
      <c r="S98" s="75">
        <f t="shared" si="33"/>
        <v>374100</v>
      </c>
      <c r="T98" s="70">
        <f t="shared" si="34"/>
        <v>2604</v>
      </c>
      <c r="U98" s="70">
        <f t="shared" si="35"/>
        <v>15703</v>
      </c>
      <c r="V98" s="74">
        <f t="shared" si="31"/>
        <v>3.2500000000000001E-2</v>
      </c>
      <c r="W98" s="186">
        <f t="shared" si="36"/>
        <v>0</v>
      </c>
      <c r="X98" t="str">
        <f t="shared" si="23"/>
        <v/>
      </c>
    </row>
    <row r="99" spans="2:24" x14ac:dyDescent="0.25">
      <c r="B99" s="65">
        <f t="shared" si="24"/>
        <v>2048</v>
      </c>
      <c r="C99" s="76" t="s">
        <v>741</v>
      </c>
      <c r="D99" s="469"/>
      <c r="E99" s="469"/>
      <c r="F99" s="469"/>
      <c r="G99" s="469"/>
      <c r="H99" s="67">
        <f t="shared" si="19"/>
        <v>3.7499999999999999E-2</v>
      </c>
      <c r="I99" s="67">
        <f t="shared" si="37"/>
        <v>3.2500000000000001E-2</v>
      </c>
      <c r="J99" s="67">
        <f t="shared" si="20"/>
        <v>7.0000000000000007E-2</v>
      </c>
      <c r="K99" s="67">
        <f t="shared" si="21"/>
        <v>0.05</v>
      </c>
      <c r="L99" s="67">
        <f t="shared" si="38"/>
        <v>3.7499999999999999E-2</v>
      </c>
      <c r="M99" s="67">
        <f t="shared" si="39"/>
        <v>3.2500000000000001E-2</v>
      </c>
      <c r="N99" s="67">
        <f t="shared" ref="N99:N130" si="40">SP_ARStocksDef</f>
        <v>7.0000000000000007E-2</v>
      </c>
      <c r="O99" s="67">
        <f t="shared" ref="O99:O130" si="41">SP_BondYieldDef</f>
        <v>0.05</v>
      </c>
      <c r="P99" s="67">
        <f t="shared" si="22"/>
        <v>0.05</v>
      </c>
      <c r="Q99" s="68">
        <f t="shared" si="25"/>
        <v>0.38398057976934435</v>
      </c>
      <c r="R99" s="68">
        <f t="shared" si="26"/>
        <v>0.43536993144454134</v>
      </c>
      <c r="S99" s="75">
        <f t="shared" si="33"/>
        <v>388200</v>
      </c>
      <c r="T99" s="70">
        <f t="shared" si="34"/>
        <v>2702</v>
      </c>
      <c r="U99" s="70">
        <f t="shared" si="35"/>
        <v>16292</v>
      </c>
      <c r="V99" s="74">
        <f t="shared" si="31"/>
        <v>3.2500000000000001E-2</v>
      </c>
      <c r="W99" s="186">
        <f t="shared" si="36"/>
        <v>0</v>
      </c>
      <c r="X99" t="str">
        <f t="shared" si="23"/>
        <v/>
      </c>
    </row>
    <row r="100" spans="2:24" x14ac:dyDescent="0.25">
      <c r="B100" s="65">
        <f t="shared" si="24"/>
        <v>2049</v>
      </c>
      <c r="C100" s="76" t="s">
        <v>741</v>
      </c>
      <c r="D100" s="469"/>
      <c r="E100" s="469"/>
      <c r="F100" s="469"/>
      <c r="G100" s="469"/>
      <c r="H100" s="67">
        <f t="shared" si="19"/>
        <v>3.7499999999999999E-2</v>
      </c>
      <c r="I100" s="67">
        <f t="shared" si="37"/>
        <v>3.2500000000000001E-2</v>
      </c>
      <c r="J100" s="67">
        <f t="shared" si="20"/>
        <v>7.0000000000000007E-2</v>
      </c>
      <c r="K100" s="67">
        <f t="shared" si="21"/>
        <v>0.05</v>
      </c>
      <c r="L100" s="67">
        <f t="shared" si="38"/>
        <v>3.7499999999999999E-2</v>
      </c>
      <c r="M100" s="67">
        <f t="shared" si="39"/>
        <v>3.2500000000000001E-2</v>
      </c>
      <c r="N100" s="67">
        <f t="shared" si="40"/>
        <v>7.0000000000000007E-2</v>
      </c>
      <c r="O100" s="67">
        <f t="shared" si="41"/>
        <v>0.05</v>
      </c>
      <c r="P100" s="67">
        <f t="shared" si="22"/>
        <v>0.05</v>
      </c>
      <c r="Q100" s="68">
        <f t="shared" si="25"/>
        <v>0.37010176363310293</v>
      </c>
      <c r="R100" s="68">
        <f t="shared" si="26"/>
        <v>0.421665793166626</v>
      </c>
      <c r="S100" s="75">
        <f t="shared" ref="S100:S131" si="42">CEILING($S$45*$Q$43/Q98, 300)</f>
        <v>402600</v>
      </c>
      <c r="T100" s="70">
        <f t="shared" ref="T100:T131" si="43">CEILING($T$45*$Q$43/Q98,1)</f>
        <v>2803</v>
      </c>
      <c r="U100" s="70">
        <f t="shared" ref="U100:U131" si="44">CEILING(U$45*$Q$43/$Q98,1)</f>
        <v>16903</v>
      </c>
      <c r="V100" s="74">
        <f t="shared" si="31"/>
        <v>3.2500000000000001E-2</v>
      </c>
      <c r="W100" s="186">
        <f t="shared" si="36"/>
        <v>0</v>
      </c>
      <c r="X100" t="str">
        <f t="shared" si="23"/>
        <v/>
      </c>
    </row>
    <row r="101" spans="2:24" x14ac:dyDescent="0.25">
      <c r="B101" s="65">
        <f t="shared" si="24"/>
        <v>2050</v>
      </c>
      <c r="C101" s="76" t="s">
        <v>741</v>
      </c>
      <c r="D101" s="469"/>
      <c r="E101" s="469"/>
      <c r="F101" s="469"/>
      <c r="G101" s="469"/>
      <c r="H101" s="67">
        <f t="shared" ref="H101:H132" si="45">IF(IF(COLUMN()=COLUMN(D101),TRUE,ISBLANK(D101)),L101,D101)</f>
        <v>3.7499999999999999E-2</v>
      </c>
      <c r="I101" s="67">
        <f t="shared" si="37"/>
        <v>3.2500000000000001E-2</v>
      </c>
      <c r="J101" s="67">
        <f t="shared" ref="J101:J132" si="46">IF(IF(COLUMN()=COLUMN(F101),TRUE,ISBLANK(F101)),N101,F101)</f>
        <v>7.0000000000000007E-2</v>
      </c>
      <c r="K101" s="67">
        <f t="shared" ref="K101:K132" si="47">IF(IF(COLUMN()=COLUMN(G101),TRUE,ISBLANK(G101)),O101,G101)</f>
        <v>0.05</v>
      </c>
      <c r="L101" s="67">
        <f t="shared" si="38"/>
        <v>3.7499999999999999E-2</v>
      </c>
      <c r="M101" s="67">
        <f t="shared" si="39"/>
        <v>3.2500000000000001E-2</v>
      </c>
      <c r="N101" s="67">
        <f t="shared" si="40"/>
        <v>7.0000000000000007E-2</v>
      </c>
      <c r="O101" s="67">
        <f t="shared" si="41"/>
        <v>0.05</v>
      </c>
      <c r="P101" s="67">
        <f t="shared" ref="P101:P132" si="48">IF(ROW()&lt;ROW(B101),-(1+PV($K102,10,$K101,1))+$K101,$K101)</f>
        <v>0.05</v>
      </c>
      <c r="Q101" s="68">
        <f t="shared" si="25"/>
        <v>0.3567245914535932</v>
      </c>
      <c r="R101" s="68">
        <f t="shared" si="26"/>
        <v>0.40839302001610273</v>
      </c>
      <c r="S101" s="75">
        <f t="shared" si="42"/>
        <v>417600</v>
      </c>
      <c r="T101" s="70">
        <f t="shared" si="43"/>
        <v>2908</v>
      </c>
      <c r="U101" s="70">
        <f t="shared" si="44"/>
        <v>17536</v>
      </c>
      <c r="V101" s="74">
        <f t="shared" si="31"/>
        <v>3.2500000000000001E-2</v>
      </c>
      <c r="W101" s="186">
        <f t="shared" si="36"/>
        <v>0</v>
      </c>
      <c r="X101" t="str">
        <f t="shared" si="23"/>
        <v/>
      </c>
    </row>
    <row r="102" spans="2:24" x14ac:dyDescent="0.25">
      <c r="B102" s="65">
        <f t="shared" ref="B102:B133" si="49">B101+1</f>
        <v>2051</v>
      </c>
      <c r="C102" s="76" t="s">
        <v>741</v>
      </c>
      <c r="D102" s="469"/>
      <c r="E102" s="469"/>
      <c r="F102" s="469"/>
      <c r="G102" s="469"/>
      <c r="H102" s="67">
        <f t="shared" si="45"/>
        <v>3.7499999999999999E-2</v>
      </c>
      <c r="I102" s="67">
        <f t="shared" si="37"/>
        <v>3.2500000000000001E-2</v>
      </c>
      <c r="J102" s="67">
        <f t="shared" si="46"/>
        <v>7.0000000000000007E-2</v>
      </c>
      <c r="K102" s="67">
        <f t="shared" si="47"/>
        <v>0.05</v>
      </c>
      <c r="L102" s="67">
        <f t="shared" si="38"/>
        <v>3.7499999999999999E-2</v>
      </c>
      <c r="M102" s="67">
        <f t="shared" si="39"/>
        <v>3.2500000000000001E-2</v>
      </c>
      <c r="N102" s="67">
        <f t="shared" si="40"/>
        <v>7.0000000000000007E-2</v>
      </c>
      <c r="O102" s="67">
        <f t="shared" si="41"/>
        <v>0.05</v>
      </c>
      <c r="P102" s="67">
        <f t="shared" si="48"/>
        <v>0.05</v>
      </c>
      <c r="Q102" s="68">
        <f t="shared" ref="Q102:Q133" si="50">IF($B102=SC_VersionMaj,1,IF($B102&lt;SC_VersionMaj,Q103*($H102+1),1/(1/Q101*($H101+1))))</f>
        <v>0.34383093152153554</v>
      </c>
      <c r="R102" s="68">
        <f t="shared" ref="R102:R133" si="51">IF($B102=SC_VersionMaj,1,IF($B102&lt;SC_VersionMaj,R103*($I102+1),1/(1/R101*($I101+1))))</f>
        <v>0.39553803391390091</v>
      </c>
      <c r="S102" s="75">
        <f t="shared" si="42"/>
        <v>433500</v>
      </c>
      <c r="T102" s="70">
        <f t="shared" si="43"/>
        <v>3017</v>
      </c>
      <c r="U102" s="70">
        <f t="shared" si="44"/>
        <v>18194</v>
      </c>
      <c r="V102" s="74">
        <f t="shared" si="31"/>
        <v>3.2500000000000001E-2</v>
      </c>
      <c r="W102" s="186">
        <f t="shared" si="36"/>
        <v>0</v>
      </c>
      <c r="X102" t="str">
        <f t="shared" si="23"/>
        <v/>
      </c>
    </row>
    <row r="103" spans="2:24" x14ac:dyDescent="0.25">
      <c r="B103" s="65">
        <f t="shared" si="49"/>
        <v>2052</v>
      </c>
      <c r="C103" s="76" t="s">
        <v>741</v>
      </c>
      <c r="D103" s="469"/>
      <c r="E103" s="469"/>
      <c r="F103" s="469"/>
      <c r="G103" s="469"/>
      <c r="H103" s="67">
        <f t="shared" si="45"/>
        <v>3.7499999999999999E-2</v>
      </c>
      <c r="I103" s="67">
        <f t="shared" si="37"/>
        <v>3.2500000000000001E-2</v>
      </c>
      <c r="J103" s="67">
        <f t="shared" si="46"/>
        <v>7.0000000000000007E-2</v>
      </c>
      <c r="K103" s="67">
        <f t="shared" si="47"/>
        <v>0.05</v>
      </c>
      <c r="L103" s="67">
        <f t="shared" si="38"/>
        <v>3.7499999999999999E-2</v>
      </c>
      <c r="M103" s="67">
        <f t="shared" si="39"/>
        <v>3.2500000000000001E-2</v>
      </c>
      <c r="N103" s="67">
        <f t="shared" si="40"/>
        <v>7.0000000000000007E-2</v>
      </c>
      <c r="O103" s="67">
        <f t="shared" si="41"/>
        <v>0.05</v>
      </c>
      <c r="P103" s="67">
        <f t="shared" si="48"/>
        <v>0.05</v>
      </c>
      <c r="Q103" s="68">
        <f t="shared" si="50"/>
        <v>0.33140330749063668</v>
      </c>
      <c r="R103" s="68">
        <f t="shared" si="51"/>
        <v>0.38308768417811223</v>
      </c>
      <c r="S103" s="75">
        <f t="shared" si="42"/>
        <v>449700</v>
      </c>
      <c r="T103" s="70">
        <f t="shared" si="43"/>
        <v>3130</v>
      </c>
      <c r="U103" s="70">
        <f t="shared" si="44"/>
        <v>18876</v>
      </c>
      <c r="V103" s="74">
        <f t="shared" ref="V103:V134" si="52">MAX(I103,0)</f>
        <v>3.2500000000000001E-2</v>
      </c>
      <c r="W103" s="186">
        <f t="shared" si="36"/>
        <v>0</v>
      </c>
      <c r="X103" t="str">
        <f t="shared" si="23"/>
        <v/>
      </c>
    </row>
    <row r="104" spans="2:24" x14ac:dyDescent="0.25">
      <c r="B104" s="65">
        <f t="shared" si="49"/>
        <v>2053</v>
      </c>
      <c r="C104" s="76" t="s">
        <v>741</v>
      </c>
      <c r="D104" s="469"/>
      <c r="E104" s="469"/>
      <c r="F104" s="469"/>
      <c r="G104" s="469"/>
      <c r="H104" s="67">
        <f t="shared" si="45"/>
        <v>3.7499999999999999E-2</v>
      </c>
      <c r="I104" s="67">
        <f t="shared" si="37"/>
        <v>3.2500000000000001E-2</v>
      </c>
      <c r="J104" s="67">
        <f t="shared" si="46"/>
        <v>7.0000000000000007E-2</v>
      </c>
      <c r="K104" s="67">
        <f t="shared" si="47"/>
        <v>0.05</v>
      </c>
      <c r="L104" s="67">
        <f t="shared" si="38"/>
        <v>3.7499999999999999E-2</v>
      </c>
      <c r="M104" s="67">
        <f t="shared" si="39"/>
        <v>3.2500000000000001E-2</v>
      </c>
      <c r="N104" s="67">
        <f t="shared" si="40"/>
        <v>7.0000000000000007E-2</v>
      </c>
      <c r="O104" s="67">
        <f t="shared" si="41"/>
        <v>0.05</v>
      </c>
      <c r="P104" s="67">
        <f t="shared" si="48"/>
        <v>0.05</v>
      </c>
      <c r="Q104" s="68">
        <f t="shared" si="50"/>
        <v>0.31942487468977021</v>
      </c>
      <c r="R104" s="68">
        <f t="shared" si="51"/>
        <v>0.3710292340708109</v>
      </c>
      <c r="S104" s="75">
        <f t="shared" si="42"/>
        <v>466500</v>
      </c>
      <c r="T104" s="70">
        <f t="shared" si="43"/>
        <v>3248</v>
      </c>
      <c r="U104" s="70">
        <f t="shared" si="44"/>
        <v>19584</v>
      </c>
      <c r="V104" s="74">
        <f t="shared" si="52"/>
        <v>3.2500000000000001E-2</v>
      </c>
      <c r="W104" s="186">
        <f t="shared" si="36"/>
        <v>0</v>
      </c>
      <c r="X104" t="str">
        <f t="shared" si="23"/>
        <v/>
      </c>
    </row>
    <row r="105" spans="2:24" x14ac:dyDescent="0.25">
      <c r="B105" s="65">
        <f t="shared" si="49"/>
        <v>2054</v>
      </c>
      <c r="C105" s="76" t="s">
        <v>741</v>
      </c>
      <c r="D105" s="469"/>
      <c r="E105" s="469"/>
      <c r="F105" s="469"/>
      <c r="G105" s="469"/>
      <c r="H105" s="67">
        <f t="shared" si="45"/>
        <v>3.7499999999999999E-2</v>
      </c>
      <c r="I105" s="67">
        <f t="shared" si="37"/>
        <v>3.2500000000000001E-2</v>
      </c>
      <c r="J105" s="67">
        <f t="shared" si="46"/>
        <v>7.0000000000000007E-2</v>
      </c>
      <c r="K105" s="67">
        <f t="shared" si="47"/>
        <v>0.05</v>
      </c>
      <c r="L105" s="67">
        <f t="shared" si="38"/>
        <v>3.7499999999999999E-2</v>
      </c>
      <c r="M105" s="67">
        <f t="shared" si="39"/>
        <v>3.2500000000000001E-2</v>
      </c>
      <c r="N105" s="67">
        <f t="shared" si="40"/>
        <v>7.0000000000000007E-2</v>
      </c>
      <c r="O105" s="67">
        <f t="shared" si="41"/>
        <v>0.05</v>
      </c>
      <c r="P105" s="67">
        <f t="shared" si="48"/>
        <v>0.05</v>
      </c>
      <c r="Q105" s="68">
        <f t="shared" si="50"/>
        <v>0.30787939729134473</v>
      </c>
      <c r="R105" s="68">
        <f t="shared" si="51"/>
        <v>0.35935034776833985</v>
      </c>
      <c r="S105" s="75">
        <f t="shared" si="42"/>
        <v>483900</v>
      </c>
      <c r="T105" s="70">
        <f t="shared" si="43"/>
        <v>3370</v>
      </c>
      <c r="U105" s="70">
        <f t="shared" si="44"/>
        <v>20318</v>
      </c>
      <c r="V105" s="74">
        <f t="shared" si="52"/>
        <v>3.2500000000000001E-2</v>
      </c>
      <c r="W105" s="186">
        <f t="shared" si="36"/>
        <v>0</v>
      </c>
      <c r="X105" t="str">
        <f t="shared" si="23"/>
        <v/>
      </c>
    </row>
    <row r="106" spans="2:24" x14ac:dyDescent="0.25">
      <c r="B106" s="65">
        <f t="shared" si="49"/>
        <v>2055</v>
      </c>
      <c r="C106" s="76" t="s">
        <v>741</v>
      </c>
      <c r="D106" s="469"/>
      <c r="E106" s="469"/>
      <c r="F106" s="469"/>
      <c r="G106" s="469"/>
      <c r="H106" s="67">
        <f t="shared" si="45"/>
        <v>3.7499999999999999E-2</v>
      </c>
      <c r="I106" s="67">
        <f t="shared" si="37"/>
        <v>3.2500000000000001E-2</v>
      </c>
      <c r="J106" s="67">
        <f t="shared" si="46"/>
        <v>7.0000000000000007E-2</v>
      </c>
      <c r="K106" s="67">
        <f t="shared" si="47"/>
        <v>0.05</v>
      </c>
      <c r="L106" s="67">
        <f t="shared" si="38"/>
        <v>3.7499999999999999E-2</v>
      </c>
      <c r="M106" s="67">
        <f t="shared" si="39"/>
        <v>3.2500000000000001E-2</v>
      </c>
      <c r="N106" s="67">
        <f t="shared" si="40"/>
        <v>7.0000000000000007E-2</v>
      </c>
      <c r="O106" s="67">
        <f t="shared" si="41"/>
        <v>0.05</v>
      </c>
      <c r="P106" s="67">
        <f t="shared" si="48"/>
        <v>0.05</v>
      </c>
      <c r="Q106" s="68">
        <f t="shared" si="50"/>
        <v>0.29675122630491052</v>
      </c>
      <c r="R106" s="68">
        <f t="shared" si="51"/>
        <v>0.34803907774173354</v>
      </c>
      <c r="S106" s="75">
        <f t="shared" si="42"/>
        <v>502200</v>
      </c>
      <c r="T106" s="70">
        <f t="shared" si="43"/>
        <v>3496</v>
      </c>
      <c r="U106" s="70">
        <f t="shared" si="44"/>
        <v>21080</v>
      </c>
      <c r="V106" s="74">
        <f t="shared" si="52"/>
        <v>3.2500000000000001E-2</v>
      </c>
      <c r="W106" s="186">
        <f t="shared" si="36"/>
        <v>0</v>
      </c>
      <c r="X106" t="str">
        <f t="shared" si="23"/>
        <v/>
      </c>
    </row>
    <row r="107" spans="2:24" x14ac:dyDescent="0.25">
      <c r="B107" s="65">
        <f t="shared" si="49"/>
        <v>2056</v>
      </c>
      <c r="C107" s="76" t="s">
        <v>741</v>
      </c>
      <c r="D107" s="469"/>
      <c r="E107" s="469"/>
      <c r="F107" s="469"/>
      <c r="G107" s="469"/>
      <c r="H107" s="67">
        <f t="shared" si="45"/>
        <v>3.7499999999999999E-2</v>
      </c>
      <c r="I107" s="67">
        <f t="shared" si="37"/>
        <v>3.2500000000000001E-2</v>
      </c>
      <c r="J107" s="67">
        <f t="shared" si="46"/>
        <v>7.0000000000000007E-2</v>
      </c>
      <c r="K107" s="67">
        <f t="shared" si="47"/>
        <v>0.05</v>
      </c>
      <c r="L107" s="67">
        <f t="shared" si="38"/>
        <v>3.7499999999999999E-2</v>
      </c>
      <c r="M107" s="67">
        <f t="shared" si="39"/>
        <v>3.2500000000000001E-2</v>
      </c>
      <c r="N107" s="67">
        <f t="shared" si="40"/>
        <v>7.0000000000000007E-2</v>
      </c>
      <c r="O107" s="67">
        <f t="shared" si="41"/>
        <v>0.05</v>
      </c>
      <c r="P107" s="67">
        <f t="shared" si="48"/>
        <v>0.05</v>
      </c>
      <c r="Q107" s="68">
        <f t="shared" si="50"/>
        <v>0.28602527836617875</v>
      </c>
      <c r="R107" s="68">
        <f t="shared" si="51"/>
        <v>0.33708385253436662</v>
      </c>
      <c r="S107" s="75">
        <f t="shared" si="42"/>
        <v>520800</v>
      </c>
      <c r="T107" s="70">
        <f t="shared" si="43"/>
        <v>3627</v>
      </c>
      <c r="U107" s="70">
        <f t="shared" si="44"/>
        <v>21871</v>
      </c>
      <c r="V107" s="74">
        <f t="shared" si="52"/>
        <v>3.2500000000000001E-2</v>
      </c>
      <c r="W107" s="186">
        <f t="shared" si="36"/>
        <v>0</v>
      </c>
      <c r="X107" t="str">
        <f t="shared" si="23"/>
        <v/>
      </c>
    </row>
    <row r="108" spans="2:24" x14ac:dyDescent="0.25">
      <c r="B108" s="65">
        <f t="shared" si="49"/>
        <v>2057</v>
      </c>
      <c r="C108" s="76" t="s">
        <v>741</v>
      </c>
      <c r="D108" s="469"/>
      <c r="E108" s="469"/>
      <c r="F108" s="469"/>
      <c r="G108" s="469"/>
      <c r="H108" s="67">
        <f t="shared" si="45"/>
        <v>3.7499999999999999E-2</v>
      </c>
      <c r="I108" s="67">
        <f t="shared" si="37"/>
        <v>3.2500000000000001E-2</v>
      </c>
      <c r="J108" s="67">
        <f t="shared" si="46"/>
        <v>7.0000000000000007E-2</v>
      </c>
      <c r="K108" s="67">
        <f t="shared" si="47"/>
        <v>0.05</v>
      </c>
      <c r="L108" s="67">
        <f t="shared" si="38"/>
        <v>3.7499999999999999E-2</v>
      </c>
      <c r="M108" s="67">
        <f t="shared" si="39"/>
        <v>3.2500000000000001E-2</v>
      </c>
      <c r="N108" s="67">
        <f t="shared" si="40"/>
        <v>7.0000000000000007E-2</v>
      </c>
      <c r="O108" s="67">
        <f t="shared" si="41"/>
        <v>0.05</v>
      </c>
      <c r="P108" s="67">
        <f t="shared" si="48"/>
        <v>0.05</v>
      </c>
      <c r="Q108" s="68">
        <f t="shared" si="50"/>
        <v>0.2756870152927024</v>
      </c>
      <c r="R108" s="68">
        <f t="shared" si="51"/>
        <v>0.32647346492432605</v>
      </c>
      <c r="S108" s="75">
        <f t="shared" si="42"/>
        <v>540300</v>
      </c>
      <c r="T108" s="70">
        <f t="shared" si="43"/>
        <v>3763</v>
      </c>
      <c r="U108" s="70">
        <f t="shared" si="44"/>
        <v>22691</v>
      </c>
      <c r="V108" s="74">
        <f t="shared" si="52"/>
        <v>3.2500000000000001E-2</v>
      </c>
      <c r="W108" s="186">
        <f t="shared" si="36"/>
        <v>0</v>
      </c>
      <c r="X108" t="str">
        <f t="shared" si="23"/>
        <v/>
      </c>
    </row>
    <row r="109" spans="2:24" x14ac:dyDescent="0.25">
      <c r="B109" s="65">
        <f t="shared" si="49"/>
        <v>2058</v>
      </c>
      <c r="C109" s="76" t="s">
        <v>741</v>
      </c>
      <c r="D109" s="469"/>
      <c r="E109" s="469"/>
      <c r="F109" s="469"/>
      <c r="G109" s="469"/>
      <c r="H109" s="67">
        <f t="shared" si="45"/>
        <v>3.7499999999999999E-2</v>
      </c>
      <c r="I109" s="67">
        <f t="shared" si="37"/>
        <v>3.2500000000000001E-2</v>
      </c>
      <c r="J109" s="67">
        <f t="shared" si="46"/>
        <v>7.0000000000000007E-2</v>
      </c>
      <c r="K109" s="67">
        <f t="shared" si="47"/>
        <v>0.05</v>
      </c>
      <c r="L109" s="67">
        <f t="shared" si="38"/>
        <v>3.7499999999999999E-2</v>
      </c>
      <c r="M109" s="67">
        <f t="shared" si="39"/>
        <v>3.2500000000000001E-2</v>
      </c>
      <c r="N109" s="67">
        <f t="shared" si="40"/>
        <v>7.0000000000000007E-2</v>
      </c>
      <c r="O109" s="67">
        <f t="shared" si="41"/>
        <v>0.05</v>
      </c>
      <c r="P109" s="67">
        <f t="shared" si="48"/>
        <v>0.05</v>
      </c>
      <c r="Q109" s="68">
        <f t="shared" si="50"/>
        <v>0.26572242437850829</v>
      </c>
      <c r="R109" s="68">
        <f t="shared" si="51"/>
        <v>0.31619706045939572</v>
      </c>
      <c r="S109" s="75">
        <f t="shared" si="42"/>
        <v>560700</v>
      </c>
      <c r="T109" s="70">
        <f t="shared" si="43"/>
        <v>3904</v>
      </c>
      <c r="U109" s="70">
        <f t="shared" si="44"/>
        <v>23542</v>
      </c>
      <c r="V109" s="74">
        <f t="shared" si="52"/>
        <v>3.2500000000000001E-2</v>
      </c>
      <c r="W109" s="186">
        <f t="shared" si="36"/>
        <v>0</v>
      </c>
      <c r="X109" t="str">
        <f t="shared" si="23"/>
        <v/>
      </c>
    </row>
    <row r="110" spans="2:24" x14ac:dyDescent="0.25">
      <c r="B110" s="65">
        <f t="shared" si="49"/>
        <v>2059</v>
      </c>
      <c r="C110" s="76" t="s">
        <v>741</v>
      </c>
      <c r="D110" s="469"/>
      <c r="E110" s="469"/>
      <c r="F110" s="469"/>
      <c r="G110" s="469"/>
      <c r="H110" s="67">
        <f t="shared" si="45"/>
        <v>3.7499999999999999E-2</v>
      </c>
      <c r="I110" s="67">
        <f t="shared" si="37"/>
        <v>3.2500000000000001E-2</v>
      </c>
      <c r="J110" s="67">
        <f t="shared" si="46"/>
        <v>7.0000000000000007E-2</v>
      </c>
      <c r="K110" s="67">
        <f t="shared" si="47"/>
        <v>0.05</v>
      </c>
      <c r="L110" s="67">
        <f t="shared" si="38"/>
        <v>3.7499999999999999E-2</v>
      </c>
      <c r="M110" s="67">
        <f t="shared" si="39"/>
        <v>3.2500000000000001E-2</v>
      </c>
      <c r="N110" s="67">
        <f t="shared" si="40"/>
        <v>7.0000000000000007E-2</v>
      </c>
      <c r="O110" s="67">
        <f t="shared" si="41"/>
        <v>0.05</v>
      </c>
      <c r="P110" s="67">
        <f t="shared" si="48"/>
        <v>0.05</v>
      </c>
      <c r="Q110" s="68">
        <f t="shared" si="50"/>
        <v>0.25611799940097185</v>
      </c>
      <c r="R110" s="68">
        <f t="shared" si="51"/>
        <v>0.30624412635292564</v>
      </c>
      <c r="S110" s="75">
        <f t="shared" si="42"/>
        <v>581700</v>
      </c>
      <c r="T110" s="70">
        <f t="shared" si="43"/>
        <v>4050</v>
      </c>
      <c r="U110" s="70">
        <f t="shared" si="44"/>
        <v>24425</v>
      </c>
      <c r="V110" s="74">
        <f t="shared" si="52"/>
        <v>3.2500000000000001E-2</v>
      </c>
      <c r="W110" s="186">
        <f t="shared" si="36"/>
        <v>0</v>
      </c>
      <c r="X110" t="str">
        <f t="shared" si="23"/>
        <v/>
      </c>
    </row>
    <row r="111" spans="2:24" x14ac:dyDescent="0.25">
      <c r="B111" s="65">
        <f t="shared" si="49"/>
        <v>2060</v>
      </c>
      <c r="C111" s="76" t="s">
        <v>741</v>
      </c>
      <c r="D111" s="469"/>
      <c r="E111" s="469"/>
      <c r="F111" s="469"/>
      <c r="G111" s="469"/>
      <c r="H111" s="67">
        <f t="shared" si="45"/>
        <v>3.7499999999999999E-2</v>
      </c>
      <c r="I111" s="67">
        <f t="shared" si="37"/>
        <v>3.2500000000000001E-2</v>
      </c>
      <c r="J111" s="67">
        <f t="shared" si="46"/>
        <v>7.0000000000000007E-2</v>
      </c>
      <c r="K111" s="67">
        <f t="shared" si="47"/>
        <v>0.05</v>
      </c>
      <c r="L111" s="67">
        <f t="shared" si="38"/>
        <v>3.7499999999999999E-2</v>
      </c>
      <c r="M111" s="67">
        <f t="shared" si="39"/>
        <v>3.2500000000000001E-2</v>
      </c>
      <c r="N111" s="67">
        <f t="shared" si="40"/>
        <v>7.0000000000000007E-2</v>
      </c>
      <c r="O111" s="67">
        <f t="shared" si="41"/>
        <v>0.05</v>
      </c>
      <c r="P111" s="67">
        <f t="shared" si="48"/>
        <v>0.05</v>
      </c>
      <c r="Q111" s="68">
        <f t="shared" si="50"/>
        <v>0.24686072231418973</v>
      </c>
      <c r="R111" s="68">
        <f t="shared" si="51"/>
        <v>0.29660448072922579</v>
      </c>
      <c r="S111" s="75">
        <f t="shared" si="42"/>
        <v>603600</v>
      </c>
      <c r="T111" s="70">
        <f t="shared" si="43"/>
        <v>4202</v>
      </c>
      <c r="U111" s="70">
        <f t="shared" si="44"/>
        <v>25341</v>
      </c>
      <c r="V111" s="74">
        <f t="shared" si="52"/>
        <v>3.2500000000000001E-2</v>
      </c>
      <c r="W111" s="186">
        <f t="shared" si="36"/>
        <v>0</v>
      </c>
      <c r="X111" t="str">
        <f t="shared" si="23"/>
        <v/>
      </c>
    </row>
    <row r="112" spans="2:24" x14ac:dyDescent="0.25">
      <c r="B112" s="65">
        <f t="shared" si="49"/>
        <v>2061</v>
      </c>
      <c r="C112" s="76" t="s">
        <v>741</v>
      </c>
      <c r="D112" s="469"/>
      <c r="E112" s="469"/>
      <c r="F112" s="469"/>
      <c r="G112" s="469"/>
      <c r="H112" s="67">
        <f t="shared" si="45"/>
        <v>3.7499999999999999E-2</v>
      </c>
      <c r="I112" s="67">
        <f t="shared" si="37"/>
        <v>3.2500000000000001E-2</v>
      </c>
      <c r="J112" s="67">
        <f t="shared" si="46"/>
        <v>7.0000000000000007E-2</v>
      </c>
      <c r="K112" s="67">
        <f t="shared" si="47"/>
        <v>0.05</v>
      </c>
      <c r="L112" s="67">
        <f t="shared" si="38"/>
        <v>3.7499999999999999E-2</v>
      </c>
      <c r="M112" s="67">
        <f t="shared" si="39"/>
        <v>3.2500000000000001E-2</v>
      </c>
      <c r="N112" s="67">
        <f t="shared" si="40"/>
        <v>7.0000000000000007E-2</v>
      </c>
      <c r="O112" s="67">
        <f t="shared" si="41"/>
        <v>0.05</v>
      </c>
      <c r="P112" s="67">
        <f t="shared" si="48"/>
        <v>0.05</v>
      </c>
      <c r="Q112" s="68">
        <f t="shared" si="50"/>
        <v>0.23793804560403825</v>
      </c>
      <c r="R112" s="68">
        <f t="shared" si="51"/>
        <v>0.28726826220748264</v>
      </c>
      <c r="S112" s="75">
        <f t="shared" si="42"/>
        <v>626100</v>
      </c>
      <c r="T112" s="70">
        <f t="shared" si="43"/>
        <v>4360</v>
      </c>
      <c r="U112" s="70">
        <f t="shared" si="44"/>
        <v>26291</v>
      </c>
      <c r="V112" s="74">
        <f t="shared" si="52"/>
        <v>3.2500000000000001E-2</v>
      </c>
      <c r="W112" s="186">
        <f t="shared" si="36"/>
        <v>0</v>
      </c>
      <c r="X112" t="str">
        <f t="shared" si="23"/>
        <v/>
      </c>
    </row>
    <row r="113" spans="2:24" x14ac:dyDescent="0.25">
      <c r="B113" s="65">
        <f t="shared" si="49"/>
        <v>2062</v>
      </c>
      <c r="C113" s="76" t="s">
        <v>741</v>
      </c>
      <c r="D113" s="469"/>
      <c r="E113" s="469"/>
      <c r="F113" s="469"/>
      <c r="G113" s="469"/>
      <c r="H113" s="67">
        <f t="shared" si="45"/>
        <v>3.7499999999999999E-2</v>
      </c>
      <c r="I113" s="67">
        <f t="shared" si="37"/>
        <v>3.2500000000000001E-2</v>
      </c>
      <c r="J113" s="67">
        <f t="shared" si="46"/>
        <v>7.0000000000000007E-2</v>
      </c>
      <c r="K113" s="67">
        <f t="shared" si="47"/>
        <v>0.05</v>
      </c>
      <c r="L113" s="67">
        <f t="shared" si="38"/>
        <v>3.7499999999999999E-2</v>
      </c>
      <c r="M113" s="67">
        <f t="shared" si="39"/>
        <v>3.2500000000000001E-2</v>
      </c>
      <c r="N113" s="67">
        <f t="shared" si="40"/>
        <v>7.0000000000000007E-2</v>
      </c>
      <c r="O113" s="67">
        <f t="shared" si="41"/>
        <v>0.05</v>
      </c>
      <c r="P113" s="67">
        <f t="shared" si="48"/>
        <v>0.05</v>
      </c>
      <c r="Q113" s="68">
        <f t="shared" si="50"/>
        <v>0.22933787528100072</v>
      </c>
      <c r="R113" s="68">
        <f t="shared" si="51"/>
        <v>0.2782259198135425</v>
      </c>
      <c r="S113" s="75">
        <f t="shared" si="42"/>
        <v>649500</v>
      </c>
      <c r="T113" s="70">
        <f t="shared" si="43"/>
        <v>4523</v>
      </c>
      <c r="U113" s="70">
        <f t="shared" si="44"/>
        <v>27277</v>
      </c>
      <c r="V113" s="74">
        <f t="shared" si="52"/>
        <v>3.2500000000000001E-2</v>
      </c>
      <c r="W113" s="186">
        <f t="shared" si="36"/>
        <v>0</v>
      </c>
      <c r="X113" t="str">
        <f t="shared" si="23"/>
        <v/>
      </c>
    </row>
    <row r="114" spans="2:24" x14ac:dyDescent="0.25">
      <c r="B114" s="65">
        <f t="shared" si="49"/>
        <v>2063</v>
      </c>
      <c r="C114" s="76" t="s">
        <v>741</v>
      </c>
      <c r="D114" s="469"/>
      <c r="E114" s="469"/>
      <c r="F114" s="469"/>
      <c r="G114" s="469"/>
      <c r="H114" s="67">
        <f t="shared" si="45"/>
        <v>3.7499999999999999E-2</v>
      </c>
      <c r="I114" s="67">
        <f t="shared" si="37"/>
        <v>3.2500000000000001E-2</v>
      </c>
      <c r="J114" s="67">
        <f t="shared" si="46"/>
        <v>7.0000000000000007E-2</v>
      </c>
      <c r="K114" s="67">
        <f t="shared" si="47"/>
        <v>0.05</v>
      </c>
      <c r="L114" s="67">
        <f t="shared" si="38"/>
        <v>3.7499999999999999E-2</v>
      </c>
      <c r="M114" s="67">
        <f t="shared" si="39"/>
        <v>3.2500000000000001E-2</v>
      </c>
      <c r="N114" s="67">
        <f t="shared" si="40"/>
        <v>7.0000000000000007E-2</v>
      </c>
      <c r="O114" s="67">
        <f t="shared" si="41"/>
        <v>0.05</v>
      </c>
      <c r="P114" s="67">
        <f t="shared" si="48"/>
        <v>0.05</v>
      </c>
      <c r="Q114" s="68">
        <f t="shared" si="50"/>
        <v>0.22104855448771155</v>
      </c>
      <c r="R114" s="68">
        <f t="shared" si="51"/>
        <v>0.26946820320924214</v>
      </c>
      <c r="S114" s="75">
        <f t="shared" si="42"/>
        <v>674100</v>
      </c>
      <c r="T114" s="70">
        <f t="shared" si="43"/>
        <v>4693</v>
      </c>
      <c r="U114" s="70">
        <f t="shared" si="44"/>
        <v>28300</v>
      </c>
      <c r="V114" s="74">
        <f t="shared" si="52"/>
        <v>3.2500000000000001E-2</v>
      </c>
      <c r="W114" s="186">
        <f t="shared" si="36"/>
        <v>0</v>
      </c>
      <c r="X114" t="str">
        <f t="shared" si="23"/>
        <v/>
      </c>
    </row>
    <row r="115" spans="2:24" x14ac:dyDescent="0.25">
      <c r="B115" s="65">
        <f t="shared" si="49"/>
        <v>2064</v>
      </c>
      <c r="C115" s="76" t="s">
        <v>741</v>
      </c>
      <c r="D115" s="469"/>
      <c r="E115" s="469"/>
      <c r="F115" s="469"/>
      <c r="G115" s="469"/>
      <c r="H115" s="67">
        <f t="shared" si="45"/>
        <v>3.7499999999999999E-2</v>
      </c>
      <c r="I115" s="67">
        <f t="shared" si="37"/>
        <v>3.2500000000000001E-2</v>
      </c>
      <c r="J115" s="67">
        <f t="shared" si="46"/>
        <v>7.0000000000000007E-2</v>
      </c>
      <c r="K115" s="67">
        <f t="shared" si="47"/>
        <v>0.05</v>
      </c>
      <c r="L115" s="67">
        <f t="shared" si="38"/>
        <v>3.7499999999999999E-2</v>
      </c>
      <c r="M115" s="67">
        <f t="shared" si="39"/>
        <v>3.2500000000000001E-2</v>
      </c>
      <c r="N115" s="67">
        <f t="shared" si="40"/>
        <v>7.0000000000000007E-2</v>
      </c>
      <c r="O115" s="67">
        <f t="shared" si="41"/>
        <v>0.05</v>
      </c>
      <c r="P115" s="67">
        <f t="shared" si="48"/>
        <v>0.05</v>
      </c>
      <c r="Q115" s="68">
        <f t="shared" si="50"/>
        <v>0.21305884769899905</v>
      </c>
      <c r="R115" s="68">
        <f t="shared" si="51"/>
        <v>0.2609861532292902</v>
      </c>
      <c r="S115" s="75">
        <f t="shared" si="42"/>
        <v>699300</v>
      </c>
      <c r="T115" s="70">
        <f t="shared" si="43"/>
        <v>4869</v>
      </c>
      <c r="U115" s="70">
        <f t="shared" si="44"/>
        <v>29361</v>
      </c>
      <c r="V115" s="74">
        <f t="shared" si="52"/>
        <v>3.2500000000000001E-2</v>
      </c>
      <c r="W115" s="186">
        <f t="shared" si="36"/>
        <v>0</v>
      </c>
      <c r="X115" t="str">
        <f t="shared" si="23"/>
        <v/>
      </c>
    </row>
    <row r="116" spans="2:24" x14ac:dyDescent="0.25">
      <c r="B116" s="65">
        <f t="shared" si="49"/>
        <v>2065</v>
      </c>
      <c r="C116" s="76" t="s">
        <v>741</v>
      </c>
      <c r="D116" s="469"/>
      <c r="E116" s="469"/>
      <c r="F116" s="469"/>
      <c r="G116" s="469"/>
      <c r="H116" s="67">
        <f t="shared" si="45"/>
        <v>3.7499999999999999E-2</v>
      </c>
      <c r="I116" s="67">
        <f t="shared" si="37"/>
        <v>3.2500000000000001E-2</v>
      </c>
      <c r="J116" s="67">
        <f t="shared" si="46"/>
        <v>7.0000000000000007E-2</v>
      </c>
      <c r="K116" s="67">
        <f t="shared" si="47"/>
        <v>0.05</v>
      </c>
      <c r="L116" s="67">
        <f t="shared" si="38"/>
        <v>3.7499999999999999E-2</v>
      </c>
      <c r="M116" s="67">
        <f t="shared" si="39"/>
        <v>3.2500000000000001E-2</v>
      </c>
      <c r="N116" s="67">
        <f t="shared" si="40"/>
        <v>7.0000000000000007E-2</v>
      </c>
      <c r="O116" s="67">
        <f t="shared" si="41"/>
        <v>0.05</v>
      </c>
      <c r="P116" s="67">
        <f t="shared" si="48"/>
        <v>0.05</v>
      </c>
      <c r="Q116" s="68">
        <f t="shared" si="50"/>
        <v>0.20535792549301113</v>
      </c>
      <c r="R116" s="68">
        <f t="shared" si="51"/>
        <v>0.25277109271601955</v>
      </c>
      <c r="S116" s="75">
        <f t="shared" si="42"/>
        <v>725400</v>
      </c>
      <c r="T116" s="70">
        <f t="shared" si="43"/>
        <v>5051</v>
      </c>
      <c r="U116" s="70">
        <f t="shared" si="44"/>
        <v>30462</v>
      </c>
      <c r="V116" s="74">
        <f t="shared" si="52"/>
        <v>3.2500000000000001E-2</v>
      </c>
      <c r="W116" s="186">
        <f t="shared" si="36"/>
        <v>0</v>
      </c>
      <c r="X116" t="str">
        <f t="shared" si="23"/>
        <v/>
      </c>
    </row>
    <row r="117" spans="2:24" x14ac:dyDescent="0.25">
      <c r="B117" s="65">
        <f t="shared" si="49"/>
        <v>2066</v>
      </c>
      <c r="C117" s="76" t="s">
        <v>741</v>
      </c>
      <c r="D117" s="469"/>
      <c r="E117" s="469"/>
      <c r="F117" s="469"/>
      <c r="G117" s="469"/>
      <c r="H117" s="67">
        <f t="shared" si="45"/>
        <v>3.7499999999999999E-2</v>
      </c>
      <c r="I117" s="67">
        <f t="shared" ref="I117:I146" si="53">IF(IF(COLUMN()=COLUMN(E117),TRUE,ISBLANK(E117)),M117,E117)</f>
        <v>3.2500000000000001E-2</v>
      </c>
      <c r="J117" s="67">
        <f t="shared" si="46"/>
        <v>7.0000000000000007E-2</v>
      </c>
      <c r="K117" s="67">
        <f t="shared" si="47"/>
        <v>0.05</v>
      </c>
      <c r="L117" s="67">
        <f t="shared" si="38"/>
        <v>3.7499999999999999E-2</v>
      </c>
      <c r="M117" s="67">
        <f t="shared" si="39"/>
        <v>3.2500000000000001E-2</v>
      </c>
      <c r="N117" s="67">
        <f t="shared" si="40"/>
        <v>7.0000000000000007E-2</v>
      </c>
      <c r="O117" s="67">
        <f t="shared" si="41"/>
        <v>0.05</v>
      </c>
      <c r="P117" s="67">
        <f t="shared" si="48"/>
        <v>0.05</v>
      </c>
      <c r="Q117" s="68">
        <f t="shared" si="50"/>
        <v>0.1979353498727818</v>
      </c>
      <c r="R117" s="68">
        <f t="shared" si="51"/>
        <v>0.24481461764263396</v>
      </c>
      <c r="S117" s="75">
        <f t="shared" si="42"/>
        <v>752700</v>
      </c>
      <c r="T117" s="70">
        <f t="shared" si="43"/>
        <v>5241</v>
      </c>
      <c r="U117" s="70">
        <f t="shared" si="44"/>
        <v>31604</v>
      </c>
      <c r="V117" s="74">
        <f t="shared" si="52"/>
        <v>3.2500000000000001E-2</v>
      </c>
      <c r="W117" s="186">
        <f t="shared" si="36"/>
        <v>0</v>
      </c>
      <c r="X117" t="str">
        <f t="shared" si="23"/>
        <v/>
      </c>
    </row>
    <row r="118" spans="2:24" x14ac:dyDescent="0.25">
      <c r="B118" s="65">
        <f t="shared" si="49"/>
        <v>2067</v>
      </c>
      <c r="C118" s="76" t="s">
        <v>741</v>
      </c>
      <c r="D118" s="469"/>
      <c r="E118" s="469"/>
      <c r="F118" s="469"/>
      <c r="G118" s="469"/>
      <c r="H118" s="67">
        <f t="shared" si="45"/>
        <v>3.7499999999999999E-2</v>
      </c>
      <c r="I118" s="67">
        <f t="shared" si="53"/>
        <v>3.2500000000000001E-2</v>
      </c>
      <c r="J118" s="67">
        <f t="shared" si="46"/>
        <v>7.0000000000000007E-2</v>
      </c>
      <c r="K118" s="67">
        <f t="shared" si="47"/>
        <v>0.05</v>
      </c>
      <c r="L118" s="67">
        <f t="shared" si="38"/>
        <v>3.7499999999999999E-2</v>
      </c>
      <c r="M118" s="67">
        <f t="shared" si="39"/>
        <v>3.2500000000000001E-2</v>
      </c>
      <c r="N118" s="67">
        <f t="shared" si="40"/>
        <v>7.0000000000000007E-2</v>
      </c>
      <c r="O118" s="67">
        <f t="shared" si="41"/>
        <v>0.05</v>
      </c>
      <c r="P118" s="67">
        <f t="shared" si="48"/>
        <v>0.05</v>
      </c>
      <c r="Q118" s="68">
        <f t="shared" si="50"/>
        <v>0.19078106011834389</v>
      </c>
      <c r="R118" s="68">
        <f t="shared" si="51"/>
        <v>0.23710858851586822</v>
      </c>
      <c r="S118" s="75">
        <f t="shared" si="42"/>
        <v>780900</v>
      </c>
      <c r="T118" s="70">
        <f t="shared" si="43"/>
        <v>5437</v>
      </c>
      <c r="U118" s="70">
        <f t="shared" si="44"/>
        <v>32789</v>
      </c>
      <c r="V118" s="74">
        <f t="shared" si="52"/>
        <v>3.2500000000000001E-2</v>
      </c>
      <c r="W118" s="186">
        <f t="shared" si="36"/>
        <v>0</v>
      </c>
      <c r="X118" t="str">
        <f t="shared" si="23"/>
        <v/>
      </c>
    </row>
    <row r="119" spans="2:24" x14ac:dyDescent="0.25">
      <c r="B119" s="65">
        <f t="shared" si="49"/>
        <v>2068</v>
      </c>
      <c r="C119" s="76" t="s">
        <v>741</v>
      </c>
      <c r="D119" s="469"/>
      <c r="E119" s="469"/>
      <c r="F119" s="469"/>
      <c r="G119" s="469"/>
      <c r="H119" s="67">
        <f t="shared" si="45"/>
        <v>3.7499999999999999E-2</v>
      </c>
      <c r="I119" s="67">
        <f t="shared" si="53"/>
        <v>3.2500000000000001E-2</v>
      </c>
      <c r="J119" s="67">
        <f t="shared" si="46"/>
        <v>7.0000000000000007E-2</v>
      </c>
      <c r="K119" s="67">
        <f t="shared" si="47"/>
        <v>0.05</v>
      </c>
      <c r="L119" s="67">
        <f t="shared" si="38"/>
        <v>3.7499999999999999E-2</v>
      </c>
      <c r="M119" s="67">
        <f t="shared" si="39"/>
        <v>3.2500000000000001E-2</v>
      </c>
      <c r="N119" s="67">
        <f t="shared" si="40"/>
        <v>7.0000000000000007E-2</v>
      </c>
      <c r="O119" s="67">
        <f t="shared" si="41"/>
        <v>0.05</v>
      </c>
      <c r="P119" s="67">
        <f t="shared" si="48"/>
        <v>0.05</v>
      </c>
      <c r="Q119" s="68">
        <f t="shared" si="50"/>
        <v>0.18388535915021095</v>
      </c>
      <c r="R119" s="68">
        <f t="shared" si="51"/>
        <v>0.22964512204926707</v>
      </c>
      <c r="S119" s="75">
        <f t="shared" si="42"/>
        <v>810300</v>
      </c>
      <c r="T119" s="70">
        <f t="shared" si="43"/>
        <v>5641</v>
      </c>
      <c r="U119" s="70">
        <f t="shared" si="44"/>
        <v>34019</v>
      </c>
      <c r="V119" s="74">
        <f t="shared" si="52"/>
        <v>3.2500000000000001E-2</v>
      </c>
      <c r="W119" s="186">
        <f t="shared" si="36"/>
        <v>0</v>
      </c>
      <c r="X119" t="str">
        <f t="shared" si="23"/>
        <v/>
      </c>
    </row>
    <row r="120" spans="2:24" x14ac:dyDescent="0.25">
      <c r="B120" s="65">
        <f t="shared" si="49"/>
        <v>2069</v>
      </c>
      <c r="C120" s="76" t="s">
        <v>741</v>
      </c>
      <c r="D120" s="469"/>
      <c r="E120" s="469"/>
      <c r="F120" s="469"/>
      <c r="G120" s="469"/>
      <c r="H120" s="67">
        <f t="shared" si="45"/>
        <v>3.7499999999999999E-2</v>
      </c>
      <c r="I120" s="67">
        <f t="shared" si="53"/>
        <v>3.2500000000000001E-2</v>
      </c>
      <c r="J120" s="67">
        <f t="shared" si="46"/>
        <v>7.0000000000000007E-2</v>
      </c>
      <c r="K120" s="67">
        <f t="shared" si="47"/>
        <v>0.05</v>
      </c>
      <c r="L120" s="67">
        <f t="shared" si="38"/>
        <v>3.7499999999999999E-2</v>
      </c>
      <c r="M120" s="67">
        <f t="shared" si="39"/>
        <v>3.2500000000000001E-2</v>
      </c>
      <c r="N120" s="67">
        <f t="shared" si="40"/>
        <v>7.0000000000000007E-2</v>
      </c>
      <c r="O120" s="67">
        <f t="shared" si="41"/>
        <v>0.05</v>
      </c>
      <c r="P120" s="67">
        <f t="shared" si="48"/>
        <v>0.05</v>
      </c>
      <c r="Q120" s="68">
        <f t="shared" si="50"/>
        <v>0.1772389003857455</v>
      </c>
      <c r="R120" s="68">
        <f t="shared" si="51"/>
        <v>0.22241658309856374</v>
      </c>
      <c r="S120" s="75">
        <f t="shared" si="42"/>
        <v>840600</v>
      </c>
      <c r="T120" s="70">
        <f t="shared" si="43"/>
        <v>5853</v>
      </c>
      <c r="U120" s="70">
        <f t="shared" si="44"/>
        <v>35295</v>
      </c>
      <c r="V120" s="74">
        <f t="shared" si="52"/>
        <v>3.2500000000000001E-2</v>
      </c>
      <c r="W120" s="186">
        <f t="shared" si="36"/>
        <v>0</v>
      </c>
      <c r="X120" t="str">
        <f t="shared" si="23"/>
        <v/>
      </c>
    </row>
    <row r="121" spans="2:24" x14ac:dyDescent="0.25">
      <c r="B121" s="65">
        <f t="shared" si="49"/>
        <v>2070</v>
      </c>
      <c r="C121" s="76" t="s">
        <v>741</v>
      </c>
      <c r="D121" s="469"/>
      <c r="E121" s="469"/>
      <c r="F121" s="469"/>
      <c r="G121" s="469"/>
      <c r="H121" s="67">
        <f t="shared" si="45"/>
        <v>3.7499999999999999E-2</v>
      </c>
      <c r="I121" s="67">
        <f t="shared" si="53"/>
        <v>3.2500000000000001E-2</v>
      </c>
      <c r="J121" s="67">
        <f t="shared" si="46"/>
        <v>7.0000000000000007E-2</v>
      </c>
      <c r="K121" s="67">
        <f t="shared" si="47"/>
        <v>0.05</v>
      </c>
      <c r="L121" s="67">
        <f t="shared" si="38"/>
        <v>3.7499999999999999E-2</v>
      </c>
      <c r="M121" s="67">
        <f t="shared" si="39"/>
        <v>3.2500000000000001E-2</v>
      </c>
      <c r="N121" s="67">
        <f t="shared" si="40"/>
        <v>7.0000000000000007E-2</v>
      </c>
      <c r="O121" s="67">
        <f t="shared" si="41"/>
        <v>0.05</v>
      </c>
      <c r="P121" s="67">
        <f t="shared" si="48"/>
        <v>0.05</v>
      </c>
      <c r="Q121" s="68">
        <f t="shared" si="50"/>
        <v>0.17083267507059804</v>
      </c>
      <c r="R121" s="68">
        <f t="shared" si="51"/>
        <v>0.21541557685090923</v>
      </c>
      <c r="S121" s="75">
        <f t="shared" si="42"/>
        <v>872100</v>
      </c>
      <c r="T121" s="70">
        <f t="shared" si="43"/>
        <v>6072</v>
      </c>
      <c r="U121" s="70">
        <f t="shared" si="44"/>
        <v>36618</v>
      </c>
      <c r="V121" s="74">
        <f t="shared" si="52"/>
        <v>3.2500000000000001E-2</v>
      </c>
      <c r="W121" s="186">
        <f t="shared" si="36"/>
        <v>0</v>
      </c>
      <c r="X121" t="str">
        <f t="shared" si="23"/>
        <v/>
      </c>
    </row>
    <row r="122" spans="2:24" x14ac:dyDescent="0.25">
      <c r="B122" s="65">
        <f t="shared" si="49"/>
        <v>2071</v>
      </c>
      <c r="C122" s="76" t="s">
        <v>741</v>
      </c>
      <c r="D122" s="469"/>
      <c r="E122" s="469"/>
      <c r="F122" s="469"/>
      <c r="G122" s="469"/>
      <c r="H122" s="67">
        <f t="shared" si="45"/>
        <v>3.7499999999999999E-2</v>
      </c>
      <c r="I122" s="67">
        <f t="shared" si="53"/>
        <v>3.2500000000000001E-2</v>
      </c>
      <c r="J122" s="67">
        <f t="shared" si="46"/>
        <v>7.0000000000000007E-2</v>
      </c>
      <c r="K122" s="67">
        <f t="shared" si="47"/>
        <v>0.05</v>
      </c>
      <c r="L122" s="67">
        <f t="shared" si="38"/>
        <v>3.7499999999999999E-2</v>
      </c>
      <c r="M122" s="67">
        <f t="shared" si="39"/>
        <v>3.2500000000000001E-2</v>
      </c>
      <c r="N122" s="67">
        <f t="shared" si="40"/>
        <v>7.0000000000000007E-2</v>
      </c>
      <c r="O122" s="67">
        <f t="shared" si="41"/>
        <v>0.05</v>
      </c>
      <c r="P122" s="67">
        <f t="shared" si="48"/>
        <v>0.05</v>
      </c>
      <c r="Q122" s="68">
        <f t="shared" si="50"/>
        <v>0.16465800006804629</v>
      </c>
      <c r="R122" s="68">
        <f t="shared" si="51"/>
        <v>0.20863494125996052</v>
      </c>
      <c r="S122" s="75">
        <f t="shared" si="42"/>
        <v>904800</v>
      </c>
      <c r="T122" s="70">
        <f t="shared" si="43"/>
        <v>6300</v>
      </c>
      <c r="U122" s="70">
        <f t="shared" si="44"/>
        <v>37991</v>
      </c>
      <c r="V122" s="74">
        <f t="shared" si="52"/>
        <v>3.2500000000000001E-2</v>
      </c>
      <c r="W122" s="186">
        <f t="shared" si="36"/>
        <v>0</v>
      </c>
      <c r="X122" t="str">
        <f t="shared" si="23"/>
        <v/>
      </c>
    </row>
    <row r="123" spans="2:24" x14ac:dyDescent="0.25">
      <c r="B123" s="65">
        <f t="shared" si="49"/>
        <v>2072</v>
      </c>
      <c r="C123" s="76" t="s">
        <v>741</v>
      </c>
      <c r="D123" s="469"/>
      <c r="E123" s="469"/>
      <c r="F123" s="469"/>
      <c r="G123" s="469"/>
      <c r="H123" s="67">
        <f t="shared" si="45"/>
        <v>3.7499999999999999E-2</v>
      </c>
      <c r="I123" s="67">
        <f t="shared" si="53"/>
        <v>3.2500000000000001E-2</v>
      </c>
      <c r="J123" s="67">
        <f t="shared" si="46"/>
        <v>7.0000000000000007E-2</v>
      </c>
      <c r="K123" s="67">
        <f t="shared" si="47"/>
        <v>0.05</v>
      </c>
      <c r="L123" s="67">
        <f t="shared" si="38"/>
        <v>3.7499999999999999E-2</v>
      </c>
      <c r="M123" s="67">
        <f t="shared" si="39"/>
        <v>3.2500000000000001E-2</v>
      </c>
      <c r="N123" s="67">
        <f t="shared" si="40"/>
        <v>7.0000000000000007E-2</v>
      </c>
      <c r="O123" s="67">
        <f t="shared" si="41"/>
        <v>0.05</v>
      </c>
      <c r="P123" s="67">
        <f t="shared" si="48"/>
        <v>0.05</v>
      </c>
      <c r="Q123" s="68">
        <f t="shared" si="50"/>
        <v>0.15870650608968315</v>
      </c>
      <c r="R123" s="68">
        <f t="shared" si="51"/>
        <v>0.20206773971909009</v>
      </c>
      <c r="S123" s="75">
        <f t="shared" si="42"/>
        <v>938700</v>
      </c>
      <c r="T123" s="70">
        <f t="shared" si="43"/>
        <v>6536</v>
      </c>
      <c r="U123" s="70">
        <f t="shared" si="44"/>
        <v>39416</v>
      </c>
      <c r="V123" s="74">
        <f t="shared" si="52"/>
        <v>3.2500000000000001E-2</v>
      </c>
      <c r="W123" s="186">
        <f t="shared" si="36"/>
        <v>0</v>
      </c>
      <c r="X123" t="str">
        <f t="shared" si="23"/>
        <v/>
      </c>
    </row>
    <row r="124" spans="2:24" x14ac:dyDescent="0.25">
      <c r="B124" s="65">
        <f t="shared" si="49"/>
        <v>2073</v>
      </c>
      <c r="C124" s="76" t="s">
        <v>741</v>
      </c>
      <c r="D124" s="469"/>
      <c r="E124" s="469"/>
      <c r="F124" s="469"/>
      <c r="G124" s="469"/>
      <c r="H124" s="67">
        <f t="shared" si="45"/>
        <v>3.7499999999999999E-2</v>
      </c>
      <c r="I124" s="67">
        <f t="shared" si="53"/>
        <v>3.2500000000000001E-2</v>
      </c>
      <c r="J124" s="67">
        <f t="shared" si="46"/>
        <v>7.0000000000000007E-2</v>
      </c>
      <c r="K124" s="67">
        <f t="shared" si="47"/>
        <v>0.05</v>
      </c>
      <c r="L124" s="67">
        <f t="shared" si="38"/>
        <v>3.7499999999999999E-2</v>
      </c>
      <c r="M124" s="67">
        <f t="shared" si="39"/>
        <v>3.2500000000000001E-2</v>
      </c>
      <c r="N124" s="67">
        <f t="shared" si="40"/>
        <v>7.0000000000000007E-2</v>
      </c>
      <c r="O124" s="67">
        <f t="shared" si="41"/>
        <v>0.05</v>
      </c>
      <c r="P124" s="67">
        <f t="shared" si="48"/>
        <v>0.05</v>
      </c>
      <c r="Q124" s="68">
        <f t="shared" si="50"/>
        <v>0.15297012635150181</v>
      </c>
      <c r="R124" s="68">
        <f t="shared" si="51"/>
        <v>0.19570725396522043</v>
      </c>
      <c r="S124" s="75">
        <f t="shared" si="42"/>
        <v>973800</v>
      </c>
      <c r="T124" s="70">
        <f t="shared" si="43"/>
        <v>6781</v>
      </c>
      <c r="U124" s="70">
        <f t="shared" si="44"/>
        <v>40894</v>
      </c>
      <c r="V124" s="74">
        <f t="shared" si="52"/>
        <v>3.2500000000000001E-2</v>
      </c>
      <c r="W124" s="186">
        <f t="shared" si="36"/>
        <v>0</v>
      </c>
      <c r="X124" t="str">
        <f t="shared" si="23"/>
        <v/>
      </c>
    </row>
    <row r="125" spans="2:24" x14ac:dyDescent="0.25">
      <c r="B125" s="65">
        <f t="shared" si="49"/>
        <v>2074</v>
      </c>
      <c r="C125" s="76" t="s">
        <v>741</v>
      </c>
      <c r="D125" s="469"/>
      <c r="E125" s="469"/>
      <c r="F125" s="469"/>
      <c r="G125" s="469"/>
      <c r="H125" s="67">
        <f t="shared" si="45"/>
        <v>3.7499999999999999E-2</v>
      </c>
      <c r="I125" s="67">
        <f t="shared" si="53"/>
        <v>3.2500000000000001E-2</v>
      </c>
      <c r="J125" s="67">
        <f t="shared" si="46"/>
        <v>7.0000000000000007E-2</v>
      </c>
      <c r="K125" s="67">
        <f t="shared" si="47"/>
        <v>0.05</v>
      </c>
      <c r="L125" s="67">
        <f t="shared" si="38"/>
        <v>3.7499999999999999E-2</v>
      </c>
      <c r="M125" s="67">
        <f t="shared" si="39"/>
        <v>3.2500000000000001E-2</v>
      </c>
      <c r="N125" s="67">
        <f t="shared" si="40"/>
        <v>7.0000000000000007E-2</v>
      </c>
      <c r="O125" s="67">
        <f t="shared" si="41"/>
        <v>0.05</v>
      </c>
      <c r="P125" s="67">
        <f t="shared" si="48"/>
        <v>0.05</v>
      </c>
      <c r="Q125" s="68">
        <f t="shared" si="50"/>
        <v>0.14744108564000175</v>
      </c>
      <c r="R125" s="68">
        <f t="shared" si="51"/>
        <v>0.18954697720602465</v>
      </c>
      <c r="S125" s="75">
        <f t="shared" si="42"/>
        <v>1010400</v>
      </c>
      <c r="T125" s="70">
        <f t="shared" si="43"/>
        <v>7036</v>
      </c>
      <c r="U125" s="70">
        <f t="shared" si="44"/>
        <v>42427</v>
      </c>
      <c r="V125" s="74">
        <f t="shared" si="52"/>
        <v>3.2500000000000001E-2</v>
      </c>
      <c r="W125" s="186">
        <f t="shared" si="36"/>
        <v>0</v>
      </c>
      <c r="X125" t="str">
        <f t="shared" si="23"/>
        <v/>
      </c>
    </row>
    <row r="126" spans="2:24" x14ac:dyDescent="0.25">
      <c r="B126" s="65">
        <f t="shared" si="49"/>
        <v>2075</v>
      </c>
      <c r="C126" s="76" t="s">
        <v>741</v>
      </c>
      <c r="D126" s="469"/>
      <c r="E126" s="469"/>
      <c r="F126" s="469"/>
      <c r="G126" s="469"/>
      <c r="H126" s="67">
        <f t="shared" si="45"/>
        <v>3.7499999999999999E-2</v>
      </c>
      <c r="I126" s="67">
        <f t="shared" si="53"/>
        <v>3.2500000000000001E-2</v>
      </c>
      <c r="J126" s="67">
        <f t="shared" si="46"/>
        <v>7.0000000000000007E-2</v>
      </c>
      <c r="K126" s="67">
        <f t="shared" si="47"/>
        <v>0.05</v>
      </c>
      <c r="L126" s="67">
        <f t="shared" si="38"/>
        <v>3.7499999999999999E-2</v>
      </c>
      <c r="M126" s="67">
        <f t="shared" si="39"/>
        <v>3.2500000000000001E-2</v>
      </c>
      <c r="N126" s="67">
        <f t="shared" si="40"/>
        <v>7.0000000000000007E-2</v>
      </c>
      <c r="O126" s="67">
        <f t="shared" si="41"/>
        <v>0.05</v>
      </c>
      <c r="P126" s="67">
        <f t="shared" si="48"/>
        <v>0.05</v>
      </c>
      <c r="Q126" s="68">
        <f t="shared" si="50"/>
        <v>0.14211188977349568</v>
      </c>
      <c r="R126" s="68">
        <f t="shared" si="51"/>
        <v>0.18358060746346214</v>
      </c>
      <c r="S126" s="75">
        <f t="shared" si="42"/>
        <v>1048200</v>
      </c>
      <c r="T126" s="70">
        <f t="shared" si="43"/>
        <v>7299</v>
      </c>
      <c r="U126" s="70">
        <f t="shared" si="44"/>
        <v>44018</v>
      </c>
      <c r="V126" s="74">
        <f t="shared" si="52"/>
        <v>3.2500000000000001E-2</v>
      </c>
      <c r="W126" s="186">
        <f t="shared" si="36"/>
        <v>0</v>
      </c>
      <c r="X126" t="str">
        <f t="shared" si="23"/>
        <v/>
      </c>
    </row>
    <row r="127" spans="2:24" x14ac:dyDescent="0.25">
      <c r="B127" s="65">
        <f t="shared" si="49"/>
        <v>2076</v>
      </c>
      <c r="C127" s="76" t="s">
        <v>741</v>
      </c>
      <c r="D127" s="469"/>
      <c r="E127" s="469"/>
      <c r="F127" s="469"/>
      <c r="G127" s="469"/>
      <c r="H127" s="67">
        <f t="shared" si="45"/>
        <v>3.7499999999999999E-2</v>
      </c>
      <c r="I127" s="67">
        <f t="shared" si="53"/>
        <v>3.2500000000000001E-2</v>
      </c>
      <c r="J127" s="67">
        <f t="shared" si="46"/>
        <v>7.0000000000000007E-2</v>
      </c>
      <c r="K127" s="67">
        <f t="shared" si="47"/>
        <v>0.05</v>
      </c>
      <c r="L127" s="67">
        <f t="shared" si="38"/>
        <v>3.7499999999999999E-2</v>
      </c>
      <c r="M127" s="67">
        <f t="shared" si="39"/>
        <v>3.2500000000000001E-2</v>
      </c>
      <c r="N127" s="67">
        <f t="shared" si="40"/>
        <v>7.0000000000000007E-2</v>
      </c>
      <c r="O127" s="67">
        <f t="shared" si="41"/>
        <v>0.05</v>
      </c>
      <c r="P127" s="67">
        <f t="shared" si="48"/>
        <v>0.05</v>
      </c>
      <c r="Q127" s="68">
        <f t="shared" si="50"/>
        <v>0.13697531544433317</v>
      </c>
      <c r="R127" s="68">
        <f t="shared" si="51"/>
        <v>0.17780204112683984</v>
      </c>
      <c r="S127" s="75">
        <f t="shared" si="42"/>
        <v>1087500</v>
      </c>
      <c r="T127" s="70">
        <f t="shared" si="43"/>
        <v>7573</v>
      </c>
      <c r="U127" s="70">
        <f t="shared" si="44"/>
        <v>45669</v>
      </c>
      <c r="V127" s="74">
        <f t="shared" si="52"/>
        <v>3.2500000000000001E-2</v>
      </c>
      <c r="W127" s="186">
        <f t="shared" si="36"/>
        <v>0</v>
      </c>
      <c r="X127" t="str">
        <f t="shared" si="23"/>
        <v/>
      </c>
    </row>
    <row r="128" spans="2:24" x14ac:dyDescent="0.25">
      <c r="B128" s="65">
        <f t="shared" si="49"/>
        <v>2077</v>
      </c>
      <c r="C128" s="76" t="s">
        <v>741</v>
      </c>
      <c r="D128" s="469"/>
      <c r="E128" s="469"/>
      <c r="F128" s="469"/>
      <c r="G128" s="469"/>
      <c r="H128" s="67">
        <f t="shared" si="45"/>
        <v>3.7499999999999999E-2</v>
      </c>
      <c r="I128" s="67">
        <f t="shared" si="53"/>
        <v>3.2500000000000001E-2</v>
      </c>
      <c r="J128" s="67">
        <f t="shared" si="46"/>
        <v>7.0000000000000007E-2</v>
      </c>
      <c r="K128" s="67">
        <f t="shared" si="47"/>
        <v>0.05</v>
      </c>
      <c r="L128" s="67">
        <f t="shared" ref="L128:L152" si="54">SP_AWI</f>
        <v>3.7499999999999999E-2</v>
      </c>
      <c r="M128" s="67">
        <f t="shared" si="39"/>
        <v>3.2500000000000001E-2</v>
      </c>
      <c r="N128" s="67">
        <f t="shared" si="40"/>
        <v>7.0000000000000007E-2</v>
      </c>
      <c r="O128" s="67">
        <f t="shared" si="41"/>
        <v>0.05</v>
      </c>
      <c r="P128" s="67">
        <f t="shared" si="48"/>
        <v>0.05</v>
      </c>
      <c r="Q128" s="68">
        <f t="shared" si="50"/>
        <v>0.13202440042827293</v>
      </c>
      <c r="R128" s="68">
        <f t="shared" si="51"/>
        <v>0.17220536670880371</v>
      </c>
      <c r="S128" s="75">
        <f t="shared" si="42"/>
        <v>1128300</v>
      </c>
      <c r="T128" s="70">
        <f t="shared" si="43"/>
        <v>7857</v>
      </c>
      <c r="U128" s="70">
        <f t="shared" si="44"/>
        <v>47382</v>
      </c>
      <c r="V128" s="74">
        <f t="shared" si="52"/>
        <v>3.2500000000000001E-2</v>
      </c>
      <c r="W128" s="186">
        <f t="shared" si="36"/>
        <v>0</v>
      </c>
      <c r="X128" t="str">
        <f t="shared" si="23"/>
        <v/>
      </c>
    </row>
    <row r="129" spans="2:24" x14ac:dyDescent="0.25">
      <c r="B129" s="65">
        <f t="shared" si="49"/>
        <v>2078</v>
      </c>
      <c r="C129" s="76" t="s">
        <v>741</v>
      </c>
      <c r="D129" s="469"/>
      <c r="E129" s="469"/>
      <c r="F129" s="469"/>
      <c r="G129" s="469"/>
      <c r="H129" s="67">
        <f t="shared" si="45"/>
        <v>3.7499999999999999E-2</v>
      </c>
      <c r="I129" s="67">
        <f t="shared" si="53"/>
        <v>3.2500000000000001E-2</v>
      </c>
      <c r="J129" s="67">
        <f t="shared" si="46"/>
        <v>7.0000000000000007E-2</v>
      </c>
      <c r="K129" s="67">
        <f t="shared" si="47"/>
        <v>0.05</v>
      </c>
      <c r="L129" s="67">
        <f t="shared" si="54"/>
        <v>3.7499999999999999E-2</v>
      </c>
      <c r="M129" s="67">
        <f t="shared" si="39"/>
        <v>3.2500000000000001E-2</v>
      </c>
      <c r="N129" s="67">
        <f t="shared" si="40"/>
        <v>7.0000000000000007E-2</v>
      </c>
      <c r="O129" s="67">
        <f t="shared" si="41"/>
        <v>0.05</v>
      </c>
      <c r="P129" s="67">
        <f t="shared" si="48"/>
        <v>0.05</v>
      </c>
      <c r="Q129" s="68">
        <f t="shared" si="50"/>
        <v>0.12725243414773293</v>
      </c>
      <c r="R129" s="68">
        <f t="shared" si="51"/>
        <v>0.16678485879787283</v>
      </c>
      <c r="S129" s="75">
        <f t="shared" si="42"/>
        <v>1170600</v>
      </c>
      <c r="T129" s="70">
        <f t="shared" si="43"/>
        <v>8152</v>
      </c>
      <c r="U129" s="70">
        <f t="shared" si="44"/>
        <v>49158</v>
      </c>
      <c r="V129" s="74">
        <f t="shared" si="52"/>
        <v>3.2500000000000001E-2</v>
      </c>
      <c r="W129" s="186">
        <f t="shared" si="36"/>
        <v>0</v>
      </c>
      <c r="X129" t="str">
        <f t="shared" si="23"/>
        <v/>
      </c>
    </row>
    <row r="130" spans="2:24" x14ac:dyDescent="0.25">
      <c r="B130" s="65">
        <f t="shared" si="49"/>
        <v>2079</v>
      </c>
      <c r="C130" s="76" t="s">
        <v>741</v>
      </c>
      <c r="D130" s="469"/>
      <c r="E130" s="469"/>
      <c r="F130" s="469"/>
      <c r="G130" s="469"/>
      <c r="H130" s="67">
        <f t="shared" si="45"/>
        <v>3.7499999999999999E-2</v>
      </c>
      <c r="I130" s="67">
        <f t="shared" si="53"/>
        <v>3.2500000000000001E-2</v>
      </c>
      <c r="J130" s="67">
        <f t="shared" si="46"/>
        <v>7.0000000000000007E-2</v>
      </c>
      <c r="K130" s="67">
        <f t="shared" si="47"/>
        <v>0.05</v>
      </c>
      <c r="L130" s="67">
        <f t="shared" si="54"/>
        <v>3.7499999999999999E-2</v>
      </c>
      <c r="M130" s="67">
        <f t="shared" ref="M130:M152" si="55">SP_CPI</f>
        <v>3.2500000000000001E-2</v>
      </c>
      <c r="N130" s="67">
        <f t="shared" si="40"/>
        <v>7.0000000000000007E-2</v>
      </c>
      <c r="O130" s="67">
        <f t="shared" si="41"/>
        <v>0.05</v>
      </c>
      <c r="P130" s="67">
        <f t="shared" si="48"/>
        <v>0.05</v>
      </c>
      <c r="Q130" s="68">
        <f t="shared" si="50"/>
        <v>0.12265294857612812</v>
      </c>
      <c r="R130" s="68">
        <f t="shared" si="51"/>
        <v>0.16153497220132962</v>
      </c>
      <c r="S130" s="75">
        <f t="shared" si="42"/>
        <v>1214700</v>
      </c>
      <c r="T130" s="70">
        <f t="shared" si="43"/>
        <v>8457</v>
      </c>
      <c r="U130" s="70">
        <f t="shared" si="44"/>
        <v>51002</v>
      </c>
      <c r="V130" s="74">
        <f t="shared" si="52"/>
        <v>3.2500000000000001E-2</v>
      </c>
      <c r="W130" s="186">
        <f t="shared" si="36"/>
        <v>0</v>
      </c>
      <c r="X130" t="str">
        <f t="shared" si="23"/>
        <v/>
      </c>
    </row>
    <row r="131" spans="2:24" x14ac:dyDescent="0.25">
      <c r="B131" s="65">
        <f t="shared" si="49"/>
        <v>2080</v>
      </c>
      <c r="C131" s="76" t="s">
        <v>741</v>
      </c>
      <c r="D131" s="469"/>
      <c r="E131" s="469"/>
      <c r="F131" s="469"/>
      <c r="G131" s="469"/>
      <c r="H131" s="67">
        <f t="shared" si="45"/>
        <v>3.7499999999999999E-2</v>
      </c>
      <c r="I131" s="67">
        <f t="shared" si="53"/>
        <v>3.2500000000000001E-2</v>
      </c>
      <c r="J131" s="67">
        <f t="shared" si="46"/>
        <v>7.0000000000000007E-2</v>
      </c>
      <c r="K131" s="67">
        <f t="shared" si="47"/>
        <v>0.05</v>
      </c>
      <c r="L131" s="67">
        <f t="shared" si="54"/>
        <v>3.7499999999999999E-2</v>
      </c>
      <c r="M131" s="67">
        <f t="shared" si="55"/>
        <v>3.2500000000000001E-2</v>
      </c>
      <c r="N131" s="67">
        <f t="shared" ref="N131:N152" si="56">SP_ARStocksDef</f>
        <v>7.0000000000000007E-2</v>
      </c>
      <c r="O131" s="67">
        <f t="shared" ref="O131:O152" si="57">SP_BondYieldDef</f>
        <v>0.05</v>
      </c>
      <c r="P131" s="67">
        <f t="shared" si="48"/>
        <v>0.05</v>
      </c>
      <c r="Q131" s="68">
        <f t="shared" si="50"/>
        <v>0.11821970947096686</v>
      </c>
      <c r="R131" s="68">
        <f t="shared" si="51"/>
        <v>0.15645033627247421</v>
      </c>
      <c r="S131" s="75">
        <f t="shared" si="42"/>
        <v>1260000</v>
      </c>
      <c r="T131" s="70">
        <f t="shared" si="43"/>
        <v>8774</v>
      </c>
      <c r="U131" s="70">
        <f t="shared" si="44"/>
        <v>52914</v>
      </c>
      <c r="V131" s="74">
        <f t="shared" si="52"/>
        <v>3.2500000000000001E-2</v>
      </c>
      <c r="W131" s="186">
        <f t="shared" si="36"/>
        <v>0</v>
      </c>
      <c r="X131" t="str">
        <f t="shared" si="23"/>
        <v/>
      </c>
    </row>
    <row r="132" spans="2:24" x14ac:dyDescent="0.25">
      <c r="B132" s="65">
        <f t="shared" si="49"/>
        <v>2081</v>
      </c>
      <c r="C132" s="76" t="s">
        <v>741</v>
      </c>
      <c r="D132" s="469"/>
      <c r="E132" s="469"/>
      <c r="F132" s="469"/>
      <c r="G132" s="469"/>
      <c r="H132" s="67">
        <f t="shared" si="45"/>
        <v>3.7499999999999999E-2</v>
      </c>
      <c r="I132" s="67">
        <f t="shared" si="53"/>
        <v>3.2500000000000001E-2</v>
      </c>
      <c r="J132" s="67">
        <f t="shared" si="46"/>
        <v>7.0000000000000007E-2</v>
      </c>
      <c r="K132" s="67">
        <f t="shared" si="47"/>
        <v>0.05</v>
      </c>
      <c r="L132" s="67">
        <f t="shared" si="54"/>
        <v>3.7499999999999999E-2</v>
      </c>
      <c r="M132" s="67">
        <f t="shared" si="55"/>
        <v>3.2500000000000001E-2</v>
      </c>
      <c r="N132" s="67">
        <f t="shared" si="56"/>
        <v>7.0000000000000007E-2</v>
      </c>
      <c r="O132" s="67">
        <f t="shared" si="57"/>
        <v>0.05</v>
      </c>
      <c r="P132" s="67">
        <f t="shared" si="48"/>
        <v>0.05</v>
      </c>
      <c r="Q132" s="68">
        <f t="shared" si="50"/>
        <v>0.11394670792382347</v>
      </c>
      <c r="R132" s="68">
        <f t="shared" si="51"/>
        <v>0.15152574941643993</v>
      </c>
      <c r="S132" s="75">
        <f t="shared" ref="S132:S144" si="58">CEILING($S$45*$Q$43/Q130, 300)</f>
        <v>1307400</v>
      </c>
      <c r="T132" s="70">
        <f t="shared" ref="T132:T144" si="59">CEILING($T$45*$Q$43/Q130,1)</f>
        <v>9103</v>
      </c>
      <c r="U132" s="70">
        <f t="shared" ref="U132:U144" si="60">CEILING(U$45*$Q$43/$Q130,1)</f>
        <v>54899</v>
      </c>
      <c r="V132" s="74">
        <f t="shared" si="52"/>
        <v>3.2500000000000001E-2</v>
      </c>
      <c r="W132" s="186">
        <f t="shared" si="36"/>
        <v>0</v>
      </c>
      <c r="X132" t="str">
        <f t="shared" si="23"/>
        <v/>
      </c>
    </row>
    <row r="133" spans="2:24" x14ac:dyDescent="0.25">
      <c r="B133" s="65">
        <f t="shared" si="49"/>
        <v>2082</v>
      </c>
      <c r="C133" s="76" t="s">
        <v>741</v>
      </c>
      <c r="D133" s="469"/>
      <c r="E133" s="469"/>
      <c r="F133" s="469"/>
      <c r="G133" s="469"/>
      <c r="H133" s="67">
        <f t="shared" ref="H133:H146" si="61">IF(IF(COLUMN()=COLUMN(D133),TRUE,ISBLANK(D133)),L133,D133)</f>
        <v>3.7499999999999999E-2</v>
      </c>
      <c r="I133" s="67">
        <f t="shared" si="53"/>
        <v>3.2500000000000001E-2</v>
      </c>
      <c r="J133" s="67">
        <f t="shared" ref="J133:J146" si="62">IF(IF(COLUMN()=COLUMN(F133),TRUE,ISBLANK(F133)),N133,F133)</f>
        <v>7.0000000000000007E-2</v>
      </c>
      <c r="K133" s="67">
        <f t="shared" ref="K133:K146" si="63">IF(IF(COLUMN()=COLUMN(G133),TRUE,ISBLANK(G133)),O133,G133)</f>
        <v>0.05</v>
      </c>
      <c r="L133" s="67">
        <f t="shared" si="54"/>
        <v>3.7499999999999999E-2</v>
      </c>
      <c r="M133" s="67">
        <f t="shared" si="55"/>
        <v>3.2500000000000001E-2</v>
      </c>
      <c r="N133" s="67">
        <f t="shared" si="56"/>
        <v>7.0000000000000007E-2</v>
      </c>
      <c r="O133" s="67">
        <f t="shared" si="57"/>
        <v>0.05</v>
      </c>
      <c r="P133" s="67">
        <f t="shared" ref="P133:P146" si="64">IF(ROW()&lt;ROW(B133),-(1+PV($K134,10,$K133,1))+$K133,$K133)</f>
        <v>0.05</v>
      </c>
      <c r="Q133" s="68">
        <f t="shared" si="50"/>
        <v>0.10982815221573344</v>
      </c>
      <c r="R133" s="68">
        <f t="shared" si="51"/>
        <v>0.14675617376894909</v>
      </c>
      <c r="S133" s="75">
        <f t="shared" si="58"/>
        <v>1356300</v>
      </c>
      <c r="T133" s="70">
        <f t="shared" si="59"/>
        <v>9445</v>
      </c>
      <c r="U133" s="70">
        <f t="shared" si="60"/>
        <v>56957</v>
      </c>
      <c r="V133" s="74">
        <f t="shared" si="52"/>
        <v>3.2500000000000001E-2</v>
      </c>
      <c r="W133" s="186">
        <f t="shared" si="36"/>
        <v>0</v>
      </c>
      <c r="X133" t="str">
        <f t="shared" ref="X133:X146" si="65">IFERROR(VLOOKUP(W133,IV_CodeTable,2,FALSE),"")</f>
        <v/>
      </c>
    </row>
    <row r="134" spans="2:24" x14ac:dyDescent="0.25">
      <c r="B134" s="65">
        <f t="shared" ref="B134:B152" si="66">B133+1</f>
        <v>2083</v>
      </c>
      <c r="C134" s="76" t="s">
        <v>741</v>
      </c>
      <c r="D134" s="469"/>
      <c r="E134" s="469"/>
      <c r="F134" s="469"/>
      <c r="G134" s="469"/>
      <c r="H134" s="67">
        <f t="shared" si="61"/>
        <v>3.7499999999999999E-2</v>
      </c>
      <c r="I134" s="67">
        <f t="shared" si="53"/>
        <v>3.2500000000000001E-2</v>
      </c>
      <c r="J134" s="67">
        <f t="shared" si="62"/>
        <v>7.0000000000000007E-2</v>
      </c>
      <c r="K134" s="67">
        <f t="shared" si="63"/>
        <v>0.05</v>
      </c>
      <c r="L134" s="67">
        <f t="shared" si="54"/>
        <v>3.7499999999999999E-2</v>
      </c>
      <c r="M134" s="67">
        <f t="shared" si="55"/>
        <v>3.2500000000000001E-2</v>
      </c>
      <c r="N134" s="67">
        <f t="shared" si="56"/>
        <v>7.0000000000000007E-2</v>
      </c>
      <c r="O134" s="67">
        <f t="shared" si="57"/>
        <v>0.05</v>
      </c>
      <c r="P134" s="67">
        <f t="shared" si="64"/>
        <v>0.05</v>
      </c>
      <c r="Q134" s="68">
        <f t="shared" ref="Q134:Q146" si="67">IF($B134=SC_VersionMaj,1,IF($B134&lt;SC_VersionMaj,Q135*($H134+1),1/(1/Q133*($H133+1))))</f>
        <v>0.10585845996697199</v>
      </c>
      <c r="R134" s="68">
        <f t="shared" ref="R134:R146" si="68">IF($B134=SC_VersionMaj,1,IF($B134&lt;SC_VersionMaj,R135*($I134+1),1/(1/R133*($I133+1))))</f>
        <v>0.14213673004256572</v>
      </c>
      <c r="S134" s="75">
        <f t="shared" si="58"/>
        <v>1407300</v>
      </c>
      <c r="T134" s="70">
        <f t="shared" si="59"/>
        <v>9799</v>
      </c>
      <c r="U134" s="70">
        <f t="shared" si="60"/>
        <v>59093</v>
      </c>
      <c r="V134" s="74">
        <f t="shared" si="52"/>
        <v>3.2500000000000001E-2</v>
      </c>
      <c r="W134" s="186">
        <f t="shared" si="36"/>
        <v>0</v>
      </c>
      <c r="X134" t="str">
        <f t="shared" si="65"/>
        <v/>
      </c>
    </row>
    <row r="135" spans="2:24" x14ac:dyDescent="0.25">
      <c r="B135" s="65">
        <f t="shared" si="66"/>
        <v>2084</v>
      </c>
      <c r="C135" s="76" t="s">
        <v>741</v>
      </c>
      <c r="D135" s="469"/>
      <c r="E135" s="469"/>
      <c r="F135" s="469"/>
      <c r="G135" s="469"/>
      <c r="H135" s="67">
        <f t="shared" si="61"/>
        <v>3.7499999999999999E-2</v>
      </c>
      <c r="I135" s="67">
        <f t="shared" si="53"/>
        <v>3.2500000000000001E-2</v>
      </c>
      <c r="J135" s="67">
        <f t="shared" si="62"/>
        <v>7.0000000000000007E-2</v>
      </c>
      <c r="K135" s="67">
        <f t="shared" si="63"/>
        <v>0.05</v>
      </c>
      <c r="L135" s="67">
        <f t="shared" si="54"/>
        <v>3.7499999999999999E-2</v>
      </c>
      <c r="M135" s="67">
        <f t="shared" si="55"/>
        <v>3.2500000000000001E-2</v>
      </c>
      <c r="N135" s="67">
        <f t="shared" si="56"/>
        <v>7.0000000000000007E-2</v>
      </c>
      <c r="O135" s="67">
        <f t="shared" si="57"/>
        <v>0.05</v>
      </c>
      <c r="P135" s="67">
        <f t="shared" si="64"/>
        <v>0.05</v>
      </c>
      <c r="Q135" s="68">
        <f t="shared" si="67"/>
        <v>0.1020322505705754</v>
      </c>
      <c r="R135" s="68">
        <f t="shared" si="68"/>
        <v>0.1376626925351726</v>
      </c>
      <c r="S135" s="75">
        <f t="shared" si="58"/>
        <v>1460100</v>
      </c>
      <c r="T135" s="70">
        <f t="shared" si="59"/>
        <v>10166</v>
      </c>
      <c r="U135" s="70">
        <f t="shared" si="60"/>
        <v>61309</v>
      </c>
      <c r="V135" s="74">
        <f t="shared" ref="V135:V147" si="69">MAX(I135,0)</f>
        <v>3.2500000000000001E-2</v>
      </c>
      <c r="W135" s="186">
        <f t="shared" si="36"/>
        <v>0</v>
      </c>
      <c r="X135" t="str">
        <f t="shared" si="65"/>
        <v/>
      </c>
    </row>
    <row r="136" spans="2:24" x14ac:dyDescent="0.25">
      <c r="B136" s="65">
        <f t="shared" si="66"/>
        <v>2085</v>
      </c>
      <c r="C136" s="76" t="s">
        <v>741</v>
      </c>
      <c r="D136" s="469"/>
      <c r="E136" s="469"/>
      <c r="F136" s="469"/>
      <c r="G136" s="469"/>
      <c r="H136" s="67">
        <f t="shared" si="61"/>
        <v>3.7499999999999999E-2</v>
      </c>
      <c r="I136" s="67">
        <f t="shared" si="53"/>
        <v>3.2500000000000001E-2</v>
      </c>
      <c r="J136" s="67">
        <f t="shared" si="62"/>
        <v>7.0000000000000007E-2</v>
      </c>
      <c r="K136" s="67">
        <f t="shared" si="63"/>
        <v>0.05</v>
      </c>
      <c r="L136" s="67">
        <f t="shared" si="54"/>
        <v>3.7499999999999999E-2</v>
      </c>
      <c r="M136" s="67">
        <f t="shared" si="55"/>
        <v>3.2500000000000001E-2</v>
      </c>
      <c r="N136" s="67">
        <f t="shared" si="56"/>
        <v>7.0000000000000007E-2</v>
      </c>
      <c r="O136" s="67">
        <f t="shared" si="57"/>
        <v>0.05</v>
      </c>
      <c r="P136" s="67">
        <f t="shared" si="64"/>
        <v>0.05</v>
      </c>
      <c r="Q136" s="68">
        <f t="shared" si="67"/>
        <v>9.8344337899349779E-2</v>
      </c>
      <c r="R136" s="68">
        <f t="shared" si="68"/>
        <v>0.13332948429556668</v>
      </c>
      <c r="S136" s="75">
        <f t="shared" si="58"/>
        <v>1514700</v>
      </c>
      <c r="T136" s="70">
        <f t="shared" si="59"/>
        <v>10548</v>
      </c>
      <c r="U136" s="70">
        <f t="shared" si="60"/>
        <v>63608</v>
      </c>
      <c r="V136" s="74">
        <f t="shared" si="69"/>
        <v>3.2500000000000001E-2</v>
      </c>
      <c r="W136" s="186">
        <f t="shared" si="36"/>
        <v>0</v>
      </c>
      <c r="X136" t="str">
        <f t="shared" si="65"/>
        <v/>
      </c>
    </row>
    <row r="137" spans="2:24" x14ac:dyDescent="0.25">
      <c r="B137" s="65">
        <f t="shared" si="66"/>
        <v>2086</v>
      </c>
      <c r="C137" s="76" t="s">
        <v>741</v>
      </c>
      <c r="D137" s="469"/>
      <c r="E137" s="469"/>
      <c r="F137" s="469"/>
      <c r="G137" s="469"/>
      <c r="H137" s="67">
        <f t="shared" si="61"/>
        <v>3.7499999999999999E-2</v>
      </c>
      <c r="I137" s="67">
        <f t="shared" si="53"/>
        <v>3.2500000000000001E-2</v>
      </c>
      <c r="J137" s="67">
        <f t="shared" si="62"/>
        <v>7.0000000000000007E-2</v>
      </c>
      <c r="K137" s="67">
        <f t="shared" si="63"/>
        <v>0.05</v>
      </c>
      <c r="L137" s="67">
        <f t="shared" si="54"/>
        <v>3.7499999999999999E-2</v>
      </c>
      <c r="M137" s="67">
        <f t="shared" si="55"/>
        <v>3.2500000000000001E-2</v>
      </c>
      <c r="N137" s="67">
        <f t="shared" si="56"/>
        <v>7.0000000000000007E-2</v>
      </c>
      <c r="O137" s="67">
        <f t="shared" si="57"/>
        <v>0.05</v>
      </c>
      <c r="P137" s="67">
        <f t="shared" si="64"/>
        <v>0.05</v>
      </c>
      <c r="Q137" s="68">
        <f t="shared" si="67"/>
        <v>9.4789723276481691E-2</v>
      </c>
      <c r="R137" s="68">
        <f t="shared" si="68"/>
        <v>0.12913267244122681</v>
      </c>
      <c r="S137" s="75">
        <f t="shared" si="58"/>
        <v>1571400</v>
      </c>
      <c r="T137" s="70">
        <f t="shared" si="59"/>
        <v>10943</v>
      </c>
      <c r="U137" s="70">
        <f t="shared" si="60"/>
        <v>65994</v>
      </c>
      <c r="V137" s="74">
        <f t="shared" si="69"/>
        <v>3.2500000000000001E-2</v>
      </c>
      <c r="W137" s="186">
        <f t="shared" si="36"/>
        <v>0</v>
      </c>
      <c r="X137" t="str">
        <f t="shared" si="65"/>
        <v/>
      </c>
    </row>
    <row r="138" spans="2:24" x14ac:dyDescent="0.25">
      <c r="B138" s="65">
        <f t="shared" si="66"/>
        <v>2087</v>
      </c>
      <c r="C138" s="76" t="s">
        <v>741</v>
      </c>
      <c r="D138" s="469"/>
      <c r="E138" s="469"/>
      <c r="F138" s="469"/>
      <c r="G138" s="469"/>
      <c r="H138" s="67">
        <f t="shared" si="61"/>
        <v>3.7499999999999999E-2</v>
      </c>
      <c r="I138" s="67">
        <f t="shared" si="53"/>
        <v>3.2500000000000001E-2</v>
      </c>
      <c r="J138" s="67">
        <f t="shared" si="62"/>
        <v>7.0000000000000007E-2</v>
      </c>
      <c r="K138" s="67">
        <f t="shared" si="63"/>
        <v>0.05</v>
      </c>
      <c r="L138" s="67">
        <f t="shared" si="54"/>
        <v>3.7499999999999999E-2</v>
      </c>
      <c r="M138" s="67">
        <f t="shared" si="55"/>
        <v>3.2500000000000001E-2</v>
      </c>
      <c r="N138" s="67">
        <f t="shared" si="56"/>
        <v>7.0000000000000007E-2</v>
      </c>
      <c r="O138" s="67">
        <f t="shared" si="57"/>
        <v>0.05</v>
      </c>
      <c r="P138" s="67">
        <f t="shared" si="64"/>
        <v>0.05</v>
      </c>
      <c r="Q138" s="68">
        <f t="shared" si="67"/>
        <v>9.1363588700223319E-2</v>
      </c>
      <c r="R138" s="68">
        <f t="shared" si="68"/>
        <v>0.12506796362346423</v>
      </c>
      <c r="S138" s="75">
        <f t="shared" si="58"/>
        <v>1630500</v>
      </c>
      <c r="T138" s="70">
        <f t="shared" si="59"/>
        <v>11354</v>
      </c>
      <c r="U138" s="70">
        <f t="shared" si="60"/>
        <v>68468</v>
      </c>
      <c r="V138" s="74">
        <f t="shared" si="69"/>
        <v>3.2500000000000001E-2</v>
      </c>
      <c r="W138" s="186">
        <f t="shared" si="36"/>
        <v>0</v>
      </c>
      <c r="X138" t="str">
        <f t="shared" si="65"/>
        <v/>
      </c>
    </row>
    <row r="139" spans="2:24" x14ac:dyDescent="0.25">
      <c r="B139" s="65">
        <f t="shared" si="66"/>
        <v>2088</v>
      </c>
      <c r="C139" s="76" t="s">
        <v>741</v>
      </c>
      <c r="D139" s="469"/>
      <c r="E139" s="469"/>
      <c r="F139" s="469"/>
      <c r="G139" s="469"/>
      <c r="H139" s="67">
        <f t="shared" si="61"/>
        <v>3.7499999999999999E-2</v>
      </c>
      <c r="I139" s="67">
        <f t="shared" si="53"/>
        <v>3.2500000000000001E-2</v>
      </c>
      <c r="J139" s="67">
        <f t="shared" si="62"/>
        <v>7.0000000000000007E-2</v>
      </c>
      <c r="K139" s="67">
        <f t="shared" si="63"/>
        <v>0.05</v>
      </c>
      <c r="L139" s="67">
        <f t="shared" si="54"/>
        <v>3.7499999999999999E-2</v>
      </c>
      <c r="M139" s="67">
        <f t="shared" si="55"/>
        <v>3.2500000000000001E-2</v>
      </c>
      <c r="N139" s="67">
        <f t="shared" si="56"/>
        <v>7.0000000000000007E-2</v>
      </c>
      <c r="O139" s="67">
        <f t="shared" si="57"/>
        <v>0.05</v>
      </c>
      <c r="P139" s="67">
        <f t="shared" si="64"/>
        <v>0.05</v>
      </c>
      <c r="Q139" s="68">
        <f t="shared" si="67"/>
        <v>8.8061290313468252E-2</v>
      </c>
      <c r="R139" s="68">
        <f t="shared" si="68"/>
        <v>0.12113119963531643</v>
      </c>
      <c r="S139" s="75">
        <f t="shared" si="58"/>
        <v>1691700</v>
      </c>
      <c r="T139" s="70">
        <f t="shared" si="59"/>
        <v>11779</v>
      </c>
      <c r="U139" s="70">
        <f t="shared" si="60"/>
        <v>71036</v>
      </c>
      <c r="V139" s="74">
        <f t="shared" si="69"/>
        <v>3.2500000000000001E-2</v>
      </c>
      <c r="W139" s="186">
        <f t="shared" si="36"/>
        <v>0</v>
      </c>
      <c r="X139" t="str">
        <f t="shared" si="65"/>
        <v/>
      </c>
    </row>
    <row r="140" spans="2:24" x14ac:dyDescent="0.25">
      <c r="B140" s="65">
        <f t="shared" si="66"/>
        <v>2089</v>
      </c>
      <c r="C140" s="76" t="s">
        <v>741</v>
      </c>
      <c r="D140" s="469"/>
      <c r="E140" s="469"/>
      <c r="F140" s="469"/>
      <c r="G140" s="469"/>
      <c r="H140" s="67">
        <f t="shared" si="61"/>
        <v>3.7499999999999999E-2</v>
      </c>
      <c r="I140" s="67">
        <f t="shared" si="53"/>
        <v>3.2500000000000001E-2</v>
      </c>
      <c r="J140" s="67">
        <f t="shared" si="62"/>
        <v>7.0000000000000007E-2</v>
      </c>
      <c r="K140" s="67">
        <f t="shared" si="63"/>
        <v>0.05</v>
      </c>
      <c r="L140" s="67">
        <f t="shared" si="54"/>
        <v>3.7499999999999999E-2</v>
      </c>
      <c r="M140" s="67">
        <f t="shared" si="55"/>
        <v>3.2500000000000001E-2</v>
      </c>
      <c r="N140" s="67">
        <f t="shared" si="56"/>
        <v>7.0000000000000007E-2</v>
      </c>
      <c r="O140" s="67">
        <f t="shared" si="57"/>
        <v>0.05</v>
      </c>
      <c r="P140" s="67">
        <f t="shared" si="64"/>
        <v>0.05</v>
      </c>
      <c r="Q140" s="68">
        <f t="shared" si="67"/>
        <v>8.4878352109366964E-2</v>
      </c>
      <c r="R140" s="68">
        <f t="shared" si="68"/>
        <v>0.11731835315769147</v>
      </c>
      <c r="S140" s="75">
        <f t="shared" si="58"/>
        <v>1755000</v>
      </c>
      <c r="T140" s="70">
        <f t="shared" si="59"/>
        <v>12221</v>
      </c>
      <c r="U140" s="70">
        <f t="shared" si="60"/>
        <v>73700</v>
      </c>
      <c r="V140" s="74">
        <f t="shared" si="69"/>
        <v>3.2500000000000001E-2</v>
      </c>
      <c r="W140" s="186">
        <f t="shared" si="36"/>
        <v>0</v>
      </c>
      <c r="X140" t="str">
        <f t="shared" si="65"/>
        <v/>
      </c>
    </row>
    <row r="141" spans="2:24" x14ac:dyDescent="0.25">
      <c r="B141" s="65">
        <f t="shared" si="66"/>
        <v>2090</v>
      </c>
      <c r="C141" s="76" t="s">
        <v>741</v>
      </c>
      <c r="D141" s="469"/>
      <c r="E141" s="469"/>
      <c r="F141" s="469"/>
      <c r="G141" s="469"/>
      <c r="H141" s="67">
        <f t="shared" si="61"/>
        <v>3.7499999999999999E-2</v>
      </c>
      <c r="I141" s="67">
        <f t="shared" si="53"/>
        <v>3.2500000000000001E-2</v>
      </c>
      <c r="J141" s="67">
        <f t="shared" si="62"/>
        <v>7.0000000000000007E-2</v>
      </c>
      <c r="K141" s="67">
        <f t="shared" si="63"/>
        <v>0.05</v>
      </c>
      <c r="L141" s="67">
        <f t="shared" si="54"/>
        <v>3.7499999999999999E-2</v>
      </c>
      <c r="M141" s="67">
        <f t="shared" si="55"/>
        <v>3.2500000000000001E-2</v>
      </c>
      <c r="N141" s="67">
        <f t="shared" si="56"/>
        <v>7.0000000000000007E-2</v>
      </c>
      <c r="O141" s="67">
        <f t="shared" si="57"/>
        <v>0.05</v>
      </c>
      <c r="P141" s="67">
        <f t="shared" si="64"/>
        <v>0.05</v>
      </c>
      <c r="Q141" s="68">
        <f t="shared" si="67"/>
        <v>8.1810459864450069E-2</v>
      </c>
      <c r="R141" s="68">
        <f t="shared" si="68"/>
        <v>0.11362552363941063</v>
      </c>
      <c r="S141" s="75">
        <f t="shared" si="58"/>
        <v>1820700</v>
      </c>
      <c r="T141" s="70">
        <f t="shared" si="59"/>
        <v>12679</v>
      </c>
      <c r="U141" s="70">
        <f t="shared" si="60"/>
        <v>76463</v>
      </c>
      <c r="V141" s="74">
        <f t="shared" si="69"/>
        <v>3.2500000000000001E-2</v>
      </c>
      <c r="W141" s="186">
        <f t="shared" si="36"/>
        <v>0</v>
      </c>
      <c r="X141" t="str">
        <f t="shared" si="65"/>
        <v/>
      </c>
    </row>
    <row r="142" spans="2:24" x14ac:dyDescent="0.25">
      <c r="B142" s="65">
        <f t="shared" si="66"/>
        <v>2091</v>
      </c>
      <c r="C142" s="76" t="s">
        <v>741</v>
      </c>
      <c r="D142" s="469"/>
      <c r="E142" s="469"/>
      <c r="F142" s="469"/>
      <c r="G142" s="469"/>
      <c r="H142" s="67">
        <f t="shared" si="61"/>
        <v>3.7499999999999999E-2</v>
      </c>
      <c r="I142" s="67">
        <f t="shared" si="53"/>
        <v>3.2500000000000001E-2</v>
      </c>
      <c r="J142" s="67">
        <f t="shared" si="62"/>
        <v>7.0000000000000007E-2</v>
      </c>
      <c r="K142" s="67">
        <f t="shared" si="63"/>
        <v>0.05</v>
      </c>
      <c r="L142" s="67">
        <f t="shared" si="54"/>
        <v>3.7499999999999999E-2</v>
      </c>
      <c r="M142" s="67">
        <f t="shared" si="55"/>
        <v>3.2500000000000001E-2</v>
      </c>
      <c r="N142" s="67">
        <f t="shared" si="56"/>
        <v>7.0000000000000007E-2</v>
      </c>
      <c r="O142" s="67">
        <f t="shared" si="57"/>
        <v>0.05</v>
      </c>
      <c r="P142" s="67">
        <f t="shared" si="64"/>
        <v>0.05</v>
      </c>
      <c r="Q142" s="68">
        <f t="shared" si="67"/>
        <v>7.8853455291036198E-2</v>
      </c>
      <c r="R142" s="68">
        <f t="shared" si="68"/>
        <v>0.11004893330693523</v>
      </c>
      <c r="S142" s="75">
        <f t="shared" si="58"/>
        <v>1889100</v>
      </c>
      <c r="T142" s="70">
        <f t="shared" si="59"/>
        <v>13155</v>
      </c>
      <c r="U142" s="70">
        <f t="shared" si="60"/>
        <v>79331</v>
      </c>
      <c r="V142" s="74">
        <f t="shared" si="69"/>
        <v>3.2500000000000001E-2</v>
      </c>
      <c r="W142" s="186">
        <f t="shared" si="36"/>
        <v>0</v>
      </c>
      <c r="X142" t="str">
        <f t="shared" si="65"/>
        <v/>
      </c>
    </row>
    <row r="143" spans="2:24" x14ac:dyDescent="0.25">
      <c r="B143" s="65">
        <f t="shared" si="66"/>
        <v>2092</v>
      </c>
      <c r="C143" s="76" t="s">
        <v>741</v>
      </c>
      <c r="D143" s="469"/>
      <c r="E143" s="469"/>
      <c r="F143" s="469"/>
      <c r="G143" s="469"/>
      <c r="H143" s="67">
        <f t="shared" si="61"/>
        <v>3.7499999999999999E-2</v>
      </c>
      <c r="I143" s="67">
        <f t="shared" si="53"/>
        <v>3.2500000000000001E-2</v>
      </c>
      <c r="J143" s="67">
        <f t="shared" si="62"/>
        <v>7.0000000000000007E-2</v>
      </c>
      <c r="K143" s="67">
        <f t="shared" si="63"/>
        <v>0.05</v>
      </c>
      <c r="L143" s="67">
        <f t="shared" si="54"/>
        <v>3.7499999999999999E-2</v>
      </c>
      <c r="M143" s="67">
        <f t="shared" si="55"/>
        <v>3.2500000000000001E-2</v>
      </c>
      <c r="N143" s="67">
        <f t="shared" si="56"/>
        <v>7.0000000000000007E-2</v>
      </c>
      <c r="O143" s="67">
        <f t="shared" si="57"/>
        <v>0.05</v>
      </c>
      <c r="P143" s="67">
        <f t="shared" si="64"/>
        <v>0.05</v>
      </c>
      <c r="Q143" s="68">
        <f t="shared" si="67"/>
        <v>7.6003330400998742E-2</v>
      </c>
      <c r="R143" s="68">
        <f t="shared" si="68"/>
        <v>0.10658492329969514</v>
      </c>
      <c r="S143" s="75">
        <f t="shared" si="58"/>
        <v>1959900</v>
      </c>
      <c r="T143" s="70">
        <f t="shared" si="59"/>
        <v>13648</v>
      </c>
      <c r="U143" s="70">
        <f t="shared" si="60"/>
        <v>82306</v>
      </c>
      <c r="V143" s="74">
        <f t="shared" si="69"/>
        <v>3.2500000000000001E-2</v>
      </c>
      <c r="W143" s="186">
        <f t="shared" si="36"/>
        <v>0</v>
      </c>
      <c r="X143" t="str">
        <f t="shared" si="65"/>
        <v/>
      </c>
    </row>
    <row r="144" spans="2:24" x14ac:dyDescent="0.25">
      <c r="B144" s="65">
        <f t="shared" si="66"/>
        <v>2093</v>
      </c>
      <c r="C144" s="76" t="s">
        <v>741</v>
      </c>
      <c r="D144" s="469"/>
      <c r="E144" s="469"/>
      <c r="F144" s="469"/>
      <c r="G144" s="469"/>
      <c r="H144" s="67">
        <f t="shared" si="61"/>
        <v>3.7499999999999999E-2</v>
      </c>
      <c r="I144" s="67">
        <f t="shared" si="53"/>
        <v>3.2500000000000001E-2</v>
      </c>
      <c r="J144" s="67">
        <f t="shared" si="62"/>
        <v>7.0000000000000007E-2</v>
      </c>
      <c r="K144" s="67">
        <f t="shared" si="63"/>
        <v>0.05</v>
      </c>
      <c r="L144" s="67">
        <f t="shared" si="54"/>
        <v>3.7499999999999999E-2</v>
      </c>
      <c r="M144" s="67">
        <f t="shared" si="55"/>
        <v>3.2500000000000001E-2</v>
      </c>
      <c r="N144" s="67">
        <f t="shared" si="56"/>
        <v>7.0000000000000007E-2</v>
      </c>
      <c r="O144" s="67">
        <f t="shared" si="57"/>
        <v>0.05</v>
      </c>
      <c r="P144" s="67">
        <f t="shared" si="64"/>
        <v>0.05</v>
      </c>
      <c r="Q144" s="68">
        <f t="shared" si="67"/>
        <v>7.3256222073251789E-2</v>
      </c>
      <c r="R144" s="68">
        <f t="shared" si="68"/>
        <v>0.10322994992706552</v>
      </c>
      <c r="S144" s="75">
        <f t="shared" si="58"/>
        <v>2033400</v>
      </c>
      <c r="T144" s="70">
        <f t="shared" si="59"/>
        <v>14160</v>
      </c>
      <c r="U144" s="70">
        <f t="shared" si="60"/>
        <v>85392</v>
      </c>
      <c r="V144" s="74">
        <f t="shared" si="69"/>
        <v>3.2500000000000001E-2</v>
      </c>
      <c r="W144" s="186">
        <f t="shared" si="36"/>
        <v>0</v>
      </c>
      <c r="X144" t="str">
        <f t="shared" si="65"/>
        <v/>
      </c>
    </row>
    <row r="145" spans="1:24" x14ac:dyDescent="0.25">
      <c r="B145" s="65">
        <f t="shared" si="66"/>
        <v>2094</v>
      </c>
      <c r="C145" s="76" t="s">
        <v>741</v>
      </c>
      <c r="D145" s="469"/>
      <c r="E145" s="469"/>
      <c r="F145" s="469"/>
      <c r="G145" s="469"/>
      <c r="H145" s="67">
        <f t="shared" si="61"/>
        <v>3.7499999999999999E-2</v>
      </c>
      <c r="I145" s="67">
        <f t="shared" si="53"/>
        <v>3.2500000000000001E-2</v>
      </c>
      <c r="J145" s="67">
        <f t="shared" si="62"/>
        <v>7.0000000000000007E-2</v>
      </c>
      <c r="K145" s="67">
        <f t="shared" si="63"/>
        <v>0.05</v>
      </c>
      <c r="L145" s="67">
        <f t="shared" si="54"/>
        <v>3.7499999999999999E-2</v>
      </c>
      <c r="M145" s="67">
        <f t="shared" si="55"/>
        <v>3.2500000000000001E-2</v>
      </c>
      <c r="N145" s="67">
        <f t="shared" si="56"/>
        <v>7.0000000000000007E-2</v>
      </c>
      <c r="O145" s="67">
        <f t="shared" si="57"/>
        <v>0.05</v>
      </c>
      <c r="P145" s="67">
        <f t="shared" si="64"/>
        <v>0.05</v>
      </c>
      <c r="Q145" s="68">
        <f t="shared" si="67"/>
        <v>7.0608406817592076E-2</v>
      </c>
      <c r="R145" s="68">
        <f t="shared" si="68"/>
        <v>9.9980581043162736E-2</v>
      </c>
      <c r="S145" s="75">
        <f t="shared" ref="S145:S150" si="70">CEILING($S$45*$Q$43/Q142, 300)</f>
        <v>2033400</v>
      </c>
      <c r="T145" s="70">
        <f t="shared" ref="T145:T150" si="71">CEILING($T$45*$Q$43/Q142,1)</f>
        <v>14160</v>
      </c>
      <c r="U145" s="70">
        <f t="shared" ref="U145:U152" si="72">CEILING(U$45*$Q$43/$Q142,1)</f>
        <v>85392</v>
      </c>
      <c r="V145" s="74">
        <f t="shared" si="69"/>
        <v>3.2500000000000001E-2</v>
      </c>
      <c r="W145" s="186">
        <f t="shared" si="36"/>
        <v>0</v>
      </c>
      <c r="X145" t="str">
        <f t="shared" ref="X145" si="73">IFERROR(VLOOKUP(W145,IV_CodeTable,2,FALSE),"")</f>
        <v/>
      </c>
    </row>
    <row r="146" spans="1:24" x14ac:dyDescent="0.25">
      <c r="B146" s="65">
        <f t="shared" si="66"/>
        <v>2095</v>
      </c>
      <c r="C146" s="76" t="s">
        <v>741</v>
      </c>
      <c r="D146" s="469"/>
      <c r="E146" s="469"/>
      <c r="F146" s="469"/>
      <c r="G146" s="469"/>
      <c r="H146" s="67">
        <f t="shared" si="61"/>
        <v>3.7499999999999999E-2</v>
      </c>
      <c r="I146" s="67">
        <f t="shared" si="53"/>
        <v>3.2500000000000001E-2</v>
      </c>
      <c r="J146" s="67">
        <f t="shared" si="62"/>
        <v>7.0000000000000007E-2</v>
      </c>
      <c r="K146" s="67">
        <f t="shared" si="63"/>
        <v>0.05</v>
      </c>
      <c r="L146" s="67">
        <f t="shared" si="54"/>
        <v>3.7499999999999999E-2</v>
      </c>
      <c r="M146" s="67">
        <f t="shared" si="55"/>
        <v>3.2500000000000001E-2</v>
      </c>
      <c r="N146" s="67">
        <f t="shared" si="56"/>
        <v>7.0000000000000007E-2</v>
      </c>
      <c r="O146" s="67">
        <f t="shared" si="57"/>
        <v>0.05</v>
      </c>
      <c r="P146" s="67">
        <f t="shared" si="64"/>
        <v>0.05</v>
      </c>
      <c r="Q146" s="68">
        <f t="shared" si="67"/>
        <v>6.8056295727799587E-2</v>
      </c>
      <c r="R146" s="68">
        <f t="shared" si="68"/>
        <v>9.683349253575084E-2</v>
      </c>
      <c r="S146" s="75">
        <f t="shared" si="70"/>
        <v>2109600</v>
      </c>
      <c r="T146" s="70">
        <f t="shared" si="71"/>
        <v>14691</v>
      </c>
      <c r="U146" s="70">
        <f t="shared" si="72"/>
        <v>88594</v>
      </c>
      <c r="V146" s="74">
        <f t="shared" si="69"/>
        <v>3.2500000000000001E-2</v>
      </c>
      <c r="W146" s="186">
        <f t="shared" si="36"/>
        <v>0</v>
      </c>
      <c r="X146" t="str">
        <f t="shared" si="65"/>
        <v/>
      </c>
    </row>
    <row r="147" spans="1:24" x14ac:dyDescent="0.25">
      <c r="A147" s="311"/>
      <c r="B147" s="312">
        <f t="shared" si="66"/>
        <v>2096</v>
      </c>
      <c r="C147" s="76" t="s">
        <v>741</v>
      </c>
      <c r="D147" s="469"/>
      <c r="E147" s="469"/>
      <c r="F147" s="469"/>
      <c r="G147" s="469"/>
      <c r="H147" s="67">
        <f t="shared" ref="H147" si="74">IF(IF(COLUMN()=COLUMN(D147),TRUE,ISBLANK(D147)),L147,D147)</f>
        <v>3.7499999999999999E-2</v>
      </c>
      <c r="I147" s="67">
        <f t="shared" ref="I147" si="75">IF(IF(COLUMN()=COLUMN(E147),TRUE,ISBLANK(E147)),M147,E147)</f>
        <v>3.2500000000000001E-2</v>
      </c>
      <c r="J147" s="67">
        <f t="shared" ref="J147" si="76">IF(IF(COLUMN()=COLUMN(F147),TRUE,ISBLANK(F147)),N147,F147)</f>
        <v>7.0000000000000007E-2</v>
      </c>
      <c r="K147" s="67">
        <f t="shared" ref="K147" si="77">IF(IF(COLUMN()=COLUMN(G147),TRUE,ISBLANK(G147)),O147,G147)</f>
        <v>0.05</v>
      </c>
      <c r="L147" s="67">
        <f t="shared" si="54"/>
        <v>3.7499999999999999E-2</v>
      </c>
      <c r="M147" s="67">
        <f t="shared" si="55"/>
        <v>3.2500000000000001E-2</v>
      </c>
      <c r="N147" s="67">
        <f t="shared" si="56"/>
        <v>7.0000000000000007E-2</v>
      </c>
      <c r="O147" s="67">
        <f t="shared" si="57"/>
        <v>0.05</v>
      </c>
      <c r="P147" s="67">
        <f t="shared" ref="P147:P152" si="78">IF(ROW()&lt;ROW(B147),-(1+PV($K151,10,$K147,1))+$K147,$K147)</f>
        <v>0.05</v>
      </c>
      <c r="Q147" s="68">
        <f t="shared" ref="Q147:Q152" si="79">IF($B147=SC_VersionMaj,1,IF($B147&lt;SC_VersionMaj,Q151*($H147+1),1/(1/Q146*($H146+1))))</f>
        <v>6.5596429617156227E-2</v>
      </c>
      <c r="R147" s="68">
        <f t="shared" ref="R147:R152" si="80">IF($B147=SC_VersionMaj,1,IF($B147&lt;SC_VersionMaj,R151*($I147+1),1/(1/R146*($I146+1))))</f>
        <v>9.3785464925666667E-2</v>
      </c>
      <c r="S147" s="315">
        <f t="shared" si="70"/>
        <v>2188800</v>
      </c>
      <c r="T147" s="313">
        <f t="shared" si="71"/>
        <v>15242</v>
      </c>
      <c r="U147" s="313">
        <f t="shared" si="72"/>
        <v>91917</v>
      </c>
      <c r="V147" s="74">
        <f t="shared" si="69"/>
        <v>3.2500000000000001E-2</v>
      </c>
      <c r="W147" s="186">
        <f t="shared" si="36"/>
        <v>0</v>
      </c>
      <c r="X147" s="311" t="str">
        <f t="shared" ref="X147" si="81">IFERROR(VLOOKUP(W147,IV_CodeTable,2,FALSE),"")</f>
        <v/>
      </c>
    </row>
    <row r="148" spans="1:24" s="357" customFormat="1" x14ac:dyDescent="0.25">
      <c r="B148" s="358">
        <f t="shared" si="66"/>
        <v>2097</v>
      </c>
      <c r="C148" s="76" t="s">
        <v>741</v>
      </c>
      <c r="D148" s="469"/>
      <c r="E148" s="469"/>
      <c r="F148" s="469"/>
      <c r="G148" s="469"/>
      <c r="H148" s="67">
        <f t="shared" ref="H148" si="82">IF(IF(COLUMN()=COLUMN(D148),TRUE,ISBLANK(D148)),L148,D148)</f>
        <v>3.7499999999999999E-2</v>
      </c>
      <c r="I148" s="67">
        <f t="shared" ref="I148" si="83">IF(IF(COLUMN()=COLUMN(E148),TRUE,ISBLANK(E148)),M148,E148)</f>
        <v>3.2500000000000001E-2</v>
      </c>
      <c r="J148" s="67">
        <f t="shared" ref="J148" si="84">IF(IF(COLUMN()=COLUMN(F148),TRUE,ISBLANK(F148)),N148,F148)</f>
        <v>7.0000000000000007E-2</v>
      </c>
      <c r="K148" s="67">
        <f t="shared" ref="K148" si="85">IF(IF(COLUMN()=COLUMN(G148),TRUE,ISBLANK(G148)),O148,G148)</f>
        <v>0.05</v>
      </c>
      <c r="L148" s="67">
        <f t="shared" si="54"/>
        <v>3.7499999999999999E-2</v>
      </c>
      <c r="M148" s="67">
        <f t="shared" si="55"/>
        <v>3.2500000000000001E-2</v>
      </c>
      <c r="N148" s="67">
        <f t="shared" si="56"/>
        <v>7.0000000000000007E-2</v>
      </c>
      <c r="O148" s="67">
        <f t="shared" si="57"/>
        <v>0.05</v>
      </c>
      <c r="P148" s="67">
        <f t="shared" si="78"/>
        <v>0.05</v>
      </c>
      <c r="Q148" s="68">
        <f t="shared" si="79"/>
        <v>6.322547432978913E-2</v>
      </c>
      <c r="R148" s="68">
        <f t="shared" si="80"/>
        <v>9.0833380073284911E-2</v>
      </c>
      <c r="S148" s="359">
        <f t="shared" si="70"/>
        <v>2271000</v>
      </c>
      <c r="T148" s="360">
        <f t="shared" si="71"/>
        <v>15813</v>
      </c>
      <c r="U148" s="360">
        <f t="shared" si="72"/>
        <v>95364</v>
      </c>
      <c r="V148" s="74">
        <f t="shared" ref="V148" si="86">MAX(I148,0)</f>
        <v>3.2500000000000001E-2</v>
      </c>
      <c r="W148" s="186">
        <f t="shared" si="36"/>
        <v>0</v>
      </c>
      <c r="X148" s="357" t="str">
        <f t="shared" ref="X148" si="87">IFERROR(VLOOKUP(W148,IV_CodeTable,2,FALSE),"")</f>
        <v/>
      </c>
    </row>
    <row r="149" spans="1:24" s="357" customFormat="1" x14ac:dyDescent="0.25">
      <c r="B149" s="358">
        <f t="shared" si="66"/>
        <v>2098</v>
      </c>
      <c r="C149" s="76" t="s">
        <v>741</v>
      </c>
      <c r="D149" s="469"/>
      <c r="E149" s="469"/>
      <c r="F149" s="469"/>
      <c r="G149" s="469"/>
      <c r="H149" s="67">
        <f t="shared" ref="H149" si="88">IF(IF(COLUMN()=COLUMN(D149),TRUE,ISBLANK(D149)),L149,D149)</f>
        <v>3.7499999999999999E-2</v>
      </c>
      <c r="I149" s="67">
        <f t="shared" ref="I149" si="89">IF(IF(COLUMN()=COLUMN(E149),TRUE,ISBLANK(E149)),M149,E149)</f>
        <v>3.2500000000000001E-2</v>
      </c>
      <c r="J149" s="67">
        <f t="shared" ref="J149" si="90">IF(IF(COLUMN()=COLUMN(F149),TRUE,ISBLANK(F149)),N149,F149)</f>
        <v>7.0000000000000007E-2</v>
      </c>
      <c r="K149" s="67">
        <f t="shared" ref="K149" si="91">IF(IF(COLUMN()=COLUMN(G149),TRUE,ISBLANK(G149)),O149,G149)</f>
        <v>0.05</v>
      </c>
      <c r="L149" s="67">
        <f t="shared" si="54"/>
        <v>3.7499999999999999E-2</v>
      </c>
      <c r="M149" s="67">
        <f t="shared" si="55"/>
        <v>3.2500000000000001E-2</v>
      </c>
      <c r="N149" s="67">
        <f t="shared" si="56"/>
        <v>7.0000000000000007E-2</v>
      </c>
      <c r="O149" s="67">
        <f t="shared" si="57"/>
        <v>0.05</v>
      </c>
      <c r="P149" s="67">
        <f t="shared" si="78"/>
        <v>0.05</v>
      </c>
      <c r="Q149" s="68">
        <f t="shared" si="79"/>
        <v>6.0940216221483497E-2</v>
      </c>
      <c r="R149" s="68">
        <f t="shared" si="80"/>
        <v>8.797421798865368E-2</v>
      </c>
      <c r="S149" s="359">
        <f t="shared" si="70"/>
        <v>2355900</v>
      </c>
      <c r="T149" s="360">
        <f t="shared" si="71"/>
        <v>16406</v>
      </c>
      <c r="U149" s="360">
        <f t="shared" si="72"/>
        <v>98940</v>
      </c>
      <c r="V149" s="74">
        <f t="shared" ref="V149" si="92">MAX(I149,0)</f>
        <v>3.2500000000000001E-2</v>
      </c>
      <c r="W149" s="186">
        <f t="shared" si="36"/>
        <v>0</v>
      </c>
      <c r="X149" s="357" t="str">
        <f t="shared" ref="X149" si="93">IFERROR(VLOOKUP(W149,IV_CodeTable,2,FALSE),"")</f>
        <v/>
      </c>
    </row>
    <row r="150" spans="1:24" s="357" customFormat="1" x14ac:dyDescent="0.25">
      <c r="B150" s="358">
        <f t="shared" si="66"/>
        <v>2099</v>
      </c>
      <c r="C150" s="76" t="s">
        <v>741</v>
      </c>
      <c r="D150" s="469"/>
      <c r="E150" s="469"/>
      <c r="F150" s="469"/>
      <c r="G150" s="469"/>
      <c r="H150" s="67">
        <f t="shared" ref="H150" si="94">IF(IF(COLUMN()=COLUMN(D150),TRUE,ISBLANK(D150)),L150,D150)</f>
        <v>3.7499999999999999E-2</v>
      </c>
      <c r="I150" s="67">
        <f t="shared" ref="I150" si="95">IF(IF(COLUMN()=COLUMN(E150),TRUE,ISBLANK(E150)),M150,E150)</f>
        <v>3.2500000000000001E-2</v>
      </c>
      <c r="J150" s="67">
        <f t="shared" ref="J150" si="96">IF(IF(COLUMN()=COLUMN(F150),TRUE,ISBLANK(F150)),N150,F150)</f>
        <v>7.0000000000000007E-2</v>
      </c>
      <c r="K150" s="67">
        <f t="shared" ref="K150" si="97">IF(IF(COLUMN()=COLUMN(G150),TRUE,ISBLANK(G150)),O150,G150)</f>
        <v>0.05</v>
      </c>
      <c r="L150" s="67">
        <f t="shared" si="54"/>
        <v>3.7499999999999999E-2</v>
      </c>
      <c r="M150" s="67">
        <f t="shared" si="55"/>
        <v>3.2500000000000001E-2</v>
      </c>
      <c r="N150" s="67">
        <f t="shared" si="56"/>
        <v>7.0000000000000007E-2</v>
      </c>
      <c r="O150" s="67">
        <f t="shared" si="57"/>
        <v>0.05</v>
      </c>
      <c r="P150" s="67">
        <f t="shared" si="78"/>
        <v>0.05</v>
      </c>
      <c r="Q150" s="68">
        <f t="shared" si="79"/>
        <v>5.8737557803839512E-2</v>
      </c>
      <c r="R150" s="68">
        <f t="shared" si="80"/>
        <v>8.5205053742037462E-2</v>
      </c>
      <c r="S150" s="359">
        <f t="shared" si="70"/>
        <v>2444400</v>
      </c>
      <c r="T150" s="360">
        <f t="shared" si="71"/>
        <v>17021</v>
      </c>
      <c r="U150" s="360">
        <f t="shared" si="72"/>
        <v>102650</v>
      </c>
      <c r="V150" s="74">
        <f t="shared" ref="V150" si="98">MAX(I150,0)</f>
        <v>3.2500000000000001E-2</v>
      </c>
      <c r="W150" s="186">
        <f t="shared" si="36"/>
        <v>0</v>
      </c>
      <c r="X150" s="357" t="str">
        <f t="shared" ref="X150:X151" si="99">IFERROR(VLOOKUP(W150,IV_CodeTable,2,FALSE),"")</f>
        <v/>
      </c>
    </row>
    <row r="151" spans="1:24" x14ac:dyDescent="0.25">
      <c r="B151" s="411">
        <f t="shared" si="66"/>
        <v>2100</v>
      </c>
      <c r="C151" s="76" t="s">
        <v>741</v>
      </c>
      <c r="D151" s="469"/>
      <c r="E151" s="469"/>
      <c r="F151" s="469"/>
      <c r="G151" s="469"/>
      <c r="H151" s="67">
        <f t="shared" ref="H151" si="100">IF(IF(COLUMN()=COLUMN(D151),TRUE,ISBLANK(D151)),L151,D151)</f>
        <v>3.7499999999999999E-2</v>
      </c>
      <c r="I151" s="67">
        <f t="shared" ref="I151" si="101">IF(IF(COLUMN()=COLUMN(E151),TRUE,ISBLANK(E151)),M151,E151)</f>
        <v>3.2500000000000001E-2</v>
      </c>
      <c r="J151" s="67">
        <f t="shared" ref="J151" si="102">IF(IF(COLUMN()=COLUMN(F151),TRUE,ISBLANK(F151)),N151,F151)</f>
        <v>7.0000000000000007E-2</v>
      </c>
      <c r="K151" s="67">
        <f t="shared" ref="K151" si="103">IF(IF(COLUMN()=COLUMN(G151),TRUE,ISBLANK(G151)),O151,G151)</f>
        <v>0.05</v>
      </c>
      <c r="L151" s="67">
        <f t="shared" si="54"/>
        <v>3.7499999999999999E-2</v>
      </c>
      <c r="M151" s="67">
        <f t="shared" si="55"/>
        <v>3.2500000000000001E-2</v>
      </c>
      <c r="N151" s="67">
        <f t="shared" si="56"/>
        <v>7.0000000000000007E-2</v>
      </c>
      <c r="O151" s="67">
        <f t="shared" si="57"/>
        <v>0.05</v>
      </c>
      <c r="P151" s="67">
        <f t="shared" si="78"/>
        <v>0.05</v>
      </c>
      <c r="Q151" s="68">
        <f t="shared" si="79"/>
        <v>5.6614513545869397E-2</v>
      </c>
      <c r="R151" s="68">
        <f t="shared" si="80"/>
        <v>8.2523054471706977E-2</v>
      </c>
      <c r="S151" s="412">
        <f t="shared" ref="S151" si="104">CEILING($S$45*$Q$43/Q148, 300)</f>
        <v>2535900</v>
      </c>
      <c r="T151" s="413">
        <f t="shared" ref="T151" si="105">CEILING($T$45*$Q$43/Q148,1)</f>
        <v>17660</v>
      </c>
      <c r="U151" s="413">
        <f t="shared" si="72"/>
        <v>106499</v>
      </c>
      <c r="V151" s="74">
        <f t="shared" ref="V151" si="106">MAX(I151,0)</f>
        <v>3.2500000000000001E-2</v>
      </c>
      <c r="W151" s="186">
        <f t="shared" si="36"/>
        <v>0</v>
      </c>
      <c r="X151" s="410" t="str">
        <f t="shared" si="99"/>
        <v/>
      </c>
    </row>
    <row r="152" spans="1:24" x14ac:dyDescent="0.25">
      <c r="B152" s="533">
        <f t="shared" si="66"/>
        <v>2101</v>
      </c>
      <c r="C152" s="76" t="s">
        <v>741</v>
      </c>
      <c r="D152" s="469"/>
      <c r="E152" s="469"/>
      <c r="F152" s="469"/>
      <c r="G152" s="469"/>
      <c r="H152" s="67">
        <f t="shared" ref="H152" si="107">IF(IF(COLUMN()=COLUMN(D152),TRUE,ISBLANK(D152)),L152,D152)</f>
        <v>3.7499999999999999E-2</v>
      </c>
      <c r="I152" s="67">
        <f t="shared" ref="I152" si="108">IF(IF(COLUMN()=COLUMN(E152),TRUE,ISBLANK(E152)),M152,E152)</f>
        <v>3.2500000000000001E-2</v>
      </c>
      <c r="J152" s="67">
        <f t="shared" ref="J152" si="109">IF(IF(COLUMN()=COLUMN(F152),TRUE,ISBLANK(F152)),N152,F152)</f>
        <v>7.0000000000000007E-2</v>
      </c>
      <c r="K152" s="67">
        <f t="shared" ref="K152" si="110">IF(IF(COLUMN()=COLUMN(G152),TRUE,ISBLANK(G152)),O152,G152)</f>
        <v>0.05</v>
      </c>
      <c r="L152" s="67">
        <f t="shared" si="54"/>
        <v>3.7499999999999999E-2</v>
      </c>
      <c r="M152" s="67">
        <f t="shared" si="55"/>
        <v>3.2500000000000001E-2</v>
      </c>
      <c r="N152" s="67">
        <f t="shared" si="56"/>
        <v>7.0000000000000007E-2</v>
      </c>
      <c r="O152" s="67">
        <f t="shared" si="57"/>
        <v>0.05</v>
      </c>
      <c r="P152" s="67">
        <f t="shared" si="78"/>
        <v>0.05</v>
      </c>
      <c r="Q152" s="68">
        <f t="shared" si="79"/>
        <v>5.4568205827343993E-2</v>
      </c>
      <c r="R152" s="68">
        <f t="shared" si="80"/>
        <v>7.9925476485914748E-2</v>
      </c>
      <c r="S152" s="534">
        <f t="shared" ref="S152" si="111">CEILING($S$45*$Q$43/Q149, 300)</f>
        <v>2631000</v>
      </c>
      <c r="T152" s="535">
        <f t="shared" ref="T152" si="112">CEILING($T$45*$Q$43/Q149,1)</f>
        <v>18322</v>
      </c>
      <c r="U152" s="535">
        <f t="shared" si="72"/>
        <v>110493</v>
      </c>
      <c r="V152" s="74">
        <f t="shared" ref="V152" si="113">MAX(I152,0)</f>
        <v>3.2500000000000001E-2</v>
      </c>
    </row>
    <row r="153" spans="1:24" x14ac:dyDescent="0.25">
      <c r="D153" s="266"/>
      <c r="E153" s="266"/>
      <c r="F153" s="266"/>
      <c r="G153" s="266"/>
    </row>
  </sheetData>
  <sheetProtection sheet="1" objects="1" scenarios="1" autoFilter="0"/>
  <mergeCells count="2">
    <mergeCell ref="S2:V2"/>
    <mergeCell ref="D2:R2"/>
  </mergeCells>
  <conditionalFormatting sqref="X146 X5:X144">
    <cfRule type="expression" dxfId="89" priority="198" stopIfTrue="1">
      <formula>($W5&gt;=200)</formula>
    </cfRule>
    <cfRule type="expression" dxfId="88" priority="199">
      <formula>($W5&gt;=100)</formula>
    </cfRule>
  </conditionalFormatting>
  <conditionalFormatting sqref="X145">
    <cfRule type="expression" dxfId="87" priority="80" stopIfTrue="1">
      <formula>($W145&gt;=200)</formula>
    </cfRule>
    <cfRule type="expression" dxfId="86" priority="81">
      <formula>($W145&gt;=100)</formula>
    </cfRule>
  </conditionalFormatting>
  <conditionalFormatting sqref="D73:G146 D72">
    <cfRule type="expression" dxfId="85" priority="34" stopIfTrue="1">
      <formula>($W72&gt;=200)</formula>
    </cfRule>
    <cfRule type="expression" dxfId="84" priority="35">
      <formula>($W72&gt;=100)</formula>
    </cfRule>
  </conditionalFormatting>
  <conditionalFormatting sqref="X147">
    <cfRule type="expression" dxfId="83" priority="32" stopIfTrue="1">
      <formula>($W147&gt;=200)</formula>
    </cfRule>
    <cfRule type="expression" dxfId="82" priority="33">
      <formula>($W147&gt;=100)</formula>
    </cfRule>
  </conditionalFormatting>
  <conditionalFormatting sqref="D147:G147">
    <cfRule type="expression" dxfId="81" priority="28" stopIfTrue="1">
      <formula>($W147&gt;=200)</formula>
    </cfRule>
    <cfRule type="expression" dxfId="80" priority="29">
      <formula>($W147&gt;=100)</formula>
    </cfRule>
  </conditionalFormatting>
  <conditionalFormatting sqref="X148">
    <cfRule type="expression" dxfId="79" priority="26" stopIfTrue="1">
      <formula>($W148&gt;=200)</formula>
    </cfRule>
    <cfRule type="expression" dxfId="78" priority="27">
      <formula>($W148&gt;=100)</formula>
    </cfRule>
  </conditionalFormatting>
  <conditionalFormatting sqref="D148:G148">
    <cfRule type="expression" dxfId="77" priority="22" stopIfTrue="1">
      <formula>($W148&gt;=200)</formula>
    </cfRule>
    <cfRule type="expression" dxfId="76" priority="23">
      <formula>($W148&gt;=100)</formula>
    </cfRule>
  </conditionalFormatting>
  <conditionalFormatting sqref="X149">
    <cfRule type="expression" dxfId="75" priority="20" stopIfTrue="1">
      <formula>($W149&gt;=200)</formula>
    </cfRule>
    <cfRule type="expression" dxfId="74" priority="21">
      <formula>($W149&gt;=100)</formula>
    </cfRule>
  </conditionalFormatting>
  <conditionalFormatting sqref="D149:G149">
    <cfRule type="expression" dxfId="73" priority="16" stopIfTrue="1">
      <formula>($W149&gt;=200)</formula>
    </cfRule>
    <cfRule type="expression" dxfId="72" priority="17">
      <formula>($W149&gt;=100)</formula>
    </cfRule>
  </conditionalFormatting>
  <conditionalFormatting sqref="X150">
    <cfRule type="expression" dxfId="71" priority="14" stopIfTrue="1">
      <formula>($W150&gt;=200)</formula>
    </cfRule>
    <cfRule type="expression" dxfId="70" priority="15">
      <formula>($W150&gt;=100)</formula>
    </cfRule>
  </conditionalFormatting>
  <conditionalFormatting sqref="D150:G150">
    <cfRule type="expression" dxfId="69" priority="10" stopIfTrue="1">
      <formula>($W150&gt;=200)</formula>
    </cfRule>
    <cfRule type="expression" dxfId="68" priority="11">
      <formula>($W150&gt;=100)</formula>
    </cfRule>
  </conditionalFormatting>
  <conditionalFormatting sqref="D151:G151">
    <cfRule type="expression" dxfId="67" priority="7" stopIfTrue="1">
      <formula>($W151&gt;=200)</formula>
    </cfRule>
    <cfRule type="expression" dxfId="66" priority="8">
      <formula>($W151&gt;=100)</formula>
    </cfRule>
  </conditionalFormatting>
  <conditionalFormatting sqref="X151">
    <cfRule type="expression" dxfId="65" priority="4" stopIfTrue="1">
      <formula>($W151&gt;=200)</formula>
    </cfRule>
    <cfRule type="expression" dxfId="64" priority="5">
      <formula>($W151&gt;=100)</formula>
    </cfRule>
  </conditionalFormatting>
  <conditionalFormatting sqref="C6:C71 C73:C151 B5:B151">
    <cfRule type="expression" dxfId="63" priority="287">
      <formula>($B5=SP_CurrentYear)</formula>
    </cfRule>
  </conditionalFormatting>
  <conditionalFormatting sqref="D152:G152">
    <cfRule type="expression" dxfId="62" priority="1" stopIfTrue="1">
      <formula>($W152&gt;=200)</formula>
    </cfRule>
    <cfRule type="expression" dxfId="61" priority="2">
      <formula>($W152&gt;=100)</formula>
    </cfRule>
  </conditionalFormatting>
  <conditionalFormatting sqref="B152:C152">
    <cfRule type="expression" dxfId="60" priority="3">
      <formula>($B152=SP_CurrentYear)</formula>
    </cfRule>
  </conditionalFormatting>
  <hyperlinks>
    <hyperlink ref="D3" r:id="rId1" location="WageInflation" display="https://www.retireator.org/documentation/sp_reference/ - WageInflation" xr:uid="{00000000-0004-0000-0200-000000000000}"/>
    <hyperlink ref="E3" r:id="rId2" location="CPInflation" display="https://www.retireator.org/documentation/sp_reference/ - CPInflation" xr:uid="{00000000-0004-0000-0200-000001000000}"/>
    <hyperlink ref="F3" r:id="rId3" location="AnnualReturnStocks" display="https://www.retireator.org/documentation/sp_reference/ - AnnualReturnStocks" xr:uid="{00000000-0004-0000-0200-000002000000}"/>
    <hyperlink ref="G3" r:id="rId4" location="BondYield" display="https://www.retireator.org/documentation/sp_reference/ - BondYield" xr:uid="{00000000-0004-0000-0200-000003000000}"/>
  </hyperlinks>
  <pageMargins left="0.7" right="0.7" top="0.75" bottom="0.75" header="0.3" footer="0.3"/>
  <pageSetup orientation="portrait" horizontalDpi="4294967293" r:id="rId5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98" id="{26460DD5-71D6-409E-ADEF-CF3D1D7CBD05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W64:W146</xm:sqref>
        </x14:conditionalFormatting>
        <x14:conditionalFormatting xmlns:xm="http://schemas.microsoft.com/office/excel/2006/main">
          <x14:cfRule type="iconSet" priority="75" id="{923B100F-0903-4D54-8205-E4D0A46F4D1D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W145</xm:sqref>
        </x14:conditionalFormatting>
        <x14:conditionalFormatting xmlns:xm="http://schemas.microsoft.com/office/excel/2006/main">
          <x14:cfRule type="iconSet" priority="31" id="{46CB9062-051A-46B9-B250-D2E1B9E83D92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W147</xm:sqref>
        </x14:conditionalFormatting>
        <x14:conditionalFormatting xmlns:xm="http://schemas.microsoft.com/office/excel/2006/main">
          <x14:cfRule type="iconSet" priority="25" id="{F564B62F-09CF-4417-8D03-7802C3E43945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W148</xm:sqref>
        </x14:conditionalFormatting>
        <x14:conditionalFormatting xmlns:xm="http://schemas.microsoft.com/office/excel/2006/main">
          <x14:cfRule type="iconSet" priority="19" id="{511F12F3-9115-4BC7-A50E-7D6C009DBE80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W149</xm:sqref>
        </x14:conditionalFormatting>
        <x14:conditionalFormatting xmlns:xm="http://schemas.microsoft.com/office/excel/2006/main">
          <x14:cfRule type="iconSet" priority="13" id="{1636E077-B951-4537-812B-A76ADA73A4CE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W150</xm:sqref>
        </x14:conditionalFormatting>
        <x14:conditionalFormatting xmlns:xm="http://schemas.microsoft.com/office/excel/2006/main">
          <x14:cfRule type="iconSet" priority="6" id="{64A1CD22-F3D9-4FC2-A30F-F6A5008C9ABC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W151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/>
  <dimension ref="A1:AN1929"/>
  <sheetViews>
    <sheetView workbookViewId="0">
      <pane xSplit="11" ySplit="3" topLeftCell="L4" activePane="bottomRight" state="frozen"/>
      <selection activeCell="E17" sqref="E17"/>
      <selection pane="topRight" activeCell="E17" sqref="E17"/>
      <selection pane="bottomLeft" activeCell="E17" sqref="E17"/>
      <selection pane="bottomRight"/>
    </sheetView>
  </sheetViews>
  <sheetFormatPr defaultRowHeight="15" x14ac:dyDescent="0.25"/>
  <cols>
    <col min="1" max="1" width="9.140625" hidden="1" customWidth="1"/>
    <col min="2" max="2" width="5" hidden="1" customWidth="1"/>
    <col min="3" max="3" width="4.28515625" hidden="1" customWidth="1"/>
    <col min="4" max="4" width="6.5703125" hidden="1" customWidth="1"/>
    <col min="5" max="5" width="3.42578125" hidden="1" customWidth="1"/>
    <col min="6" max="6" width="4.42578125" hidden="1" customWidth="1"/>
    <col min="7" max="8" width="3.5703125" hidden="1" customWidth="1"/>
    <col min="9" max="9" width="6.7109375" style="333" hidden="1" customWidth="1"/>
    <col min="10" max="10" width="6.7109375" hidden="1" customWidth="1"/>
    <col min="11" max="11" width="5.28515625" hidden="1" customWidth="1"/>
    <col min="12" max="21" width="13.140625" hidden="1" customWidth="1"/>
    <col min="22" max="22" width="13.42578125" hidden="1" customWidth="1"/>
    <col min="23" max="23" width="13.140625" hidden="1" customWidth="1"/>
    <col min="24" max="24" width="13.42578125" hidden="1" customWidth="1"/>
    <col min="25" max="25" width="13.140625" hidden="1" customWidth="1"/>
    <col min="26" max="26" width="7.5703125" hidden="1" customWidth="1"/>
    <col min="27" max="27" width="9.5703125" hidden="1" customWidth="1"/>
    <col min="28" max="28" width="13.28515625" hidden="1" customWidth="1"/>
    <col min="29" max="29" width="7.5703125" hidden="1" customWidth="1"/>
    <col min="30" max="30" width="8.42578125" hidden="1" customWidth="1"/>
    <col min="31" max="33" width="13.28515625" hidden="1" customWidth="1"/>
    <col min="34" max="38" width="13.140625" hidden="1" customWidth="1"/>
    <col min="39" max="39" width="3" customWidth="1"/>
  </cols>
  <sheetData>
    <row r="1" spans="1:40" hidden="1" x14ac:dyDescent="0.25">
      <c r="A1">
        <f>PMBASIC+PMADVANCED+IF(OR(SP_EI,SP_SEI,SP_PIIRP), VMONLINE+VMMACRO, 0)</f>
        <v>48</v>
      </c>
      <c r="B1">
        <f>PMBASIC+PMADVANCED+VMONLINE+VMMACRO</f>
        <v>54</v>
      </c>
      <c r="C1">
        <f>PMBASIC+PMADVANCED+VMONLINE+VMMACRO</f>
        <v>54</v>
      </c>
      <c r="D1">
        <f>PMBASIC+PMADVANCED+IF(INDEX(SC_ShowRetireatee,2), VMONLINE+VMMACRO, 0)</f>
        <v>48</v>
      </c>
      <c r="E1">
        <f>PMBASIC+PMADVANCED</f>
        <v>48</v>
      </c>
      <c r="F1">
        <f>PMBASIC+PMADVANCED</f>
        <v>48</v>
      </c>
      <c r="G1">
        <f>PMBASIC+PMADVANCED</f>
        <v>48</v>
      </c>
      <c r="H1">
        <f>PMBASIC+PMADVANCED</f>
        <v>48</v>
      </c>
      <c r="I1" s="333">
        <f>PMBASIC+PMADVANCED+VMONLINE+VMMACRO</f>
        <v>54</v>
      </c>
      <c r="J1" s="333">
        <f>PMBASIC+PMADVANCED</f>
        <v>48</v>
      </c>
      <c r="K1">
        <f>PMBASIC+PMADVANCED</f>
        <v>48</v>
      </c>
      <c r="L1">
        <f>PMBASIC+PMADVANCED+IF(SP_EI, VMONLINE+VMMACRO, 0)</f>
        <v>48</v>
      </c>
      <c r="M1">
        <f>PMBASIC+PMADVANCED+IF(SP_SEI, VMONLINE+VMMACRO, 0)</f>
        <v>48</v>
      </c>
      <c r="N1">
        <f>PMBASIC+PMADVANCED+IF(SP_PIIRP, VMONLINE+VMMACRO, 0)</f>
        <v>48</v>
      </c>
      <c r="O1">
        <f>PMADVANCED+IF(OR(SP_EI,SP_SEI), VMONLINE+VMMACRO, 0)</f>
        <v>32</v>
      </c>
      <c r="P1">
        <f>PMBASIC+PMADVANCED</f>
        <v>48</v>
      </c>
      <c r="Q1">
        <f>PMBASIC+PMADVANCED</f>
        <v>48</v>
      </c>
      <c r="R1">
        <f>PMBASIC+PMADVANCED</f>
        <v>48</v>
      </c>
      <c r="S1">
        <f>PMADVANCED</f>
        <v>32</v>
      </c>
      <c r="T1">
        <f>PMBASIC+PMADVANCED</f>
        <v>48</v>
      </c>
      <c r="U1">
        <f>PMBASIC+PMADVANCED</f>
        <v>48</v>
      </c>
      <c r="V1" s="407">
        <f>PMBASIC+PMADVANCED+IF(SP_EI, VMONLINE+VMMACRO, 0)</f>
        <v>48</v>
      </c>
      <c r="W1">
        <f>PMBASIC+PMADVANCED+IF(SP_SEI, VMONLINE+VMMACRO, 0)</f>
        <v>48</v>
      </c>
      <c r="X1" s="390">
        <f>PMBASIC+PMADVANCED+IF(AND(SP_EI,SP_SSRIB), VMONLINE+VMMACRO, 0)</f>
        <v>48</v>
      </c>
      <c r="Y1" s="407">
        <f>PMBASIC+PMADVANCED+IF(AND(SP_SEI,SP_SSRIB), VMONLINE+VMMACRO, 0)</f>
        <v>48</v>
      </c>
      <c r="Z1">
        <f>PMBASIC+PMADVANCED</f>
        <v>48</v>
      </c>
      <c r="AA1" s="390">
        <f>PMADVANCED+IF(SP_SSRIB, VMONLINE+VMMACRO, 0)</f>
        <v>32</v>
      </c>
      <c r="AB1" s="390">
        <f>PMADVANCED+IF(SP_SSRIB, VMONLINE+VMMACRO, 0)</f>
        <v>32</v>
      </c>
      <c r="AC1">
        <f>PMBASIC+PMADVANCED</f>
        <v>48</v>
      </c>
      <c r="AD1">
        <f>PMADVANCED+IF(SP_EI, VMONLINE+VMMACRO, 0)</f>
        <v>32</v>
      </c>
      <c r="AE1">
        <f>PMADVANCED+IF(SP_EI, VMONLINE+VMMACRO, 0)</f>
        <v>32</v>
      </c>
      <c r="AF1">
        <f>PMBASIC+PMADVANCED+VMONLINE+VMMACRO</f>
        <v>54</v>
      </c>
      <c r="AG1">
        <f>PMBASIC+PMADVANCED+VMONLINE+VMMACRO</f>
        <v>54</v>
      </c>
      <c r="AH1" s="408">
        <f>PMADVANCED+IF(SP_EI, VMONLINE+VMMACRO, 0)</f>
        <v>32</v>
      </c>
      <c r="AI1" s="408">
        <f>PMADVANCED+IF(SP_EI, VMONLINE+VMMACRO, 0)</f>
        <v>32</v>
      </c>
      <c r="AJ1">
        <f>PMBASIC+PMADVANCED+VMONLINE+VMMACRO</f>
        <v>54</v>
      </c>
      <c r="AK1">
        <f>PMBASIC+PMADVANCED+VMONLINE+VMMACRO</f>
        <v>54</v>
      </c>
      <c r="AL1">
        <f>PMBASIC+PMADVANCED+VMONLINE+VMMACRO</f>
        <v>54</v>
      </c>
    </row>
    <row r="2" spans="1:40" ht="40.5" hidden="1" customHeight="1" x14ac:dyDescent="0.25">
      <c r="A2">
        <f>PMBASIC+PMADVANCED+VMONLINE+VMMACRO</f>
        <v>54</v>
      </c>
      <c r="L2" s="582" t="s">
        <v>20</v>
      </c>
      <c r="M2" s="614"/>
      <c r="N2" s="614"/>
      <c r="O2" s="614"/>
      <c r="P2" s="614"/>
      <c r="Q2" s="614"/>
      <c r="R2" s="614"/>
      <c r="S2" s="614"/>
      <c r="T2" s="614"/>
      <c r="U2" s="614"/>
      <c r="V2" s="614"/>
      <c r="W2" s="614"/>
      <c r="X2" s="614"/>
      <c r="Y2" s="614"/>
      <c r="Z2" s="614"/>
      <c r="AA2" s="614"/>
      <c r="AB2" s="614"/>
      <c r="AC2" s="615"/>
      <c r="AD2" s="624" t="s">
        <v>785</v>
      </c>
      <c r="AE2" s="624"/>
      <c r="AF2" s="624" t="s">
        <v>717</v>
      </c>
      <c r="AG2" s="625"/>
      <c r="AH2" s="582" t="s">
        <v>716</v>
      </c>
      <c r="AI2" s="614"/>
      <c r="AJ2" s="614"/>
      <c r="AK2" s="614"/>
      <c r="AL2" s="615"/>
    </row>
    <row r="3" spans="1:40" ht="45" hidden="1" x14ac:dyDescent="0.25">
      <c r="A3">
        <f>PMBASIC+PMADVANCED+VMONLINE+VMMACRO</f>
        <v>54</v>
      </c>
      <c r="B3" s="22" t="s">
        <v>0</v>
      </c>
      <c r="C3" s="47" t="s">
        <v>740</v>
      </c>
      <c r="D3" s="47" t="s">
        <v>690</v>
      </c>
      <c r="E3" s="22" t="s">
        <v>708</v>
      </c>
      <c r="F3" s="21" t="s">
        <v>743</v>
      </c>
      <c r="G3" s="22" t="s">
        <v>655</v>
      </c>
      <c r="H3" s="22" t="s">
        <v>656</v>
      </c>
      <c r="I3" s="22" t="s">
        <v>62</v>
      </c>
      <c r="J3" s="22" t="s">
        <v>1008</v>
      </c>
      <c r="K3" t="s">
        <v>63</v>
      </c>
      <c r="L3" s="223" t="s">
        <v>707</v>
      </c>
      <c r="M3" s="223" t="s">
        <v>28</v>
      </c>
      <c r="N3" s="223" t="s">
        <v>671</v>
      </c>
      <c r="O3" s="223" t="s">
        <v>691</v>
      </c>
      <c r="P3" s="49" t="s">
        <v>746</v>
      </c>
      <c r="Q3" s="49" t="s">
        <v>746</v>
      </c>
      <c r="R3" s="49" t="s">
        <v>746</v>
      </c>
      <c r="S3" s="49" t="s">
        <v>746</v>
      </c>
      <c r="T3" s="49" t="s">
        <v>747</v>
      </c>
      <c r="U3" s="49" t="s">
        <v>747</v>
      </c>
      <c r="V3" s="23" t="s">
        <v>684</v>
      </c>
      <c r="W3" s="49" t="s">
        <v>694</v>
      </c>
      <c r="X3" s="49" t="s">
        <v>685</v>
      </c>
      <c r="Y3" s="21" t="s">
        <v>695</v>
      </c>
      <c r="Z3" s="21" t="s">
        <v>686</v>
      </c>
      <c r="AA3" s="28" t="s">
        <v>687</v>
      </c>
      <c r="AB3" s="23" t="s">
        <v>688</v>
      </c>
      <c r="AC3" s="48" t="s">
        <v>689</v>
      </c>
      <c r="AD3" s="24" t="s">
        <v>6</v>
      </c>
      <c r="AE3" s="25" t="s">
        <v>915</v>
      </c>
      <c r="AF3" s="18" t="s">
        <v>727</v>
      </c>
      <c r="AG3" s="25" t="s">
        <v>726</v>
      </c>
      <c r="AH3" s="28" t="s">
        <v>913</v>
      </c>
      <c r="AI3" s="28" t="s">
        <v>914</v>
      </c>
      <c r="AJ3" s="28" t="s">
        <v>719</v>
      </c>
      <c r="AK3" s="22" t="s">
        <v>728</v>
      </c>
      <c r="AL3" s="36" t="s">
        <v>671</v>
      </c>
    </row>
    <row r="4" spans="1:40" ht="16.5" customHeight="1" x14ac:dyDescent="0.25">
      <c r="B4" s="66">
        <f>SC_YearEpoch-1</f>
        <v>1953</v>
      </c>
      <c r="C4" s="76"/>
      <c r="D4" s="146"/>
      <c r="E4" s="77"/>
      <c r="F4" s="77"/>
      <c r="G4" s="77"/>
      <c r="H4" s="76"/>
      <c r="I4" s="77"/>
      <c r="J4" s="77"/>
      <c r="K4" s="78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71"/>
      <c r="AD4" s="79"/>
      <c r="AE4" s="71"/>
      <c r="AF4" s="79"/>
      <c r="AG4" s="71"/>
      <c r="AH4" s="622"/>
      <c r="AI4" s="622"/>
      <c r="AJ4" s="619">
        <v>0</v>
      </c>
      <c r="AK4" s="622"/>
      <c r="AL4" s="620"/>
    </row>
    <row r="5" spans="1:40" ht="16.5" customHeight="1" x14ac:dyDescent="0.25">
      <c r="B5" s="66">
        <f>SC_YearEpoch-1</f>
        <v>1953</v>
      </c>
      <c r="C5" s="76"/>
      <c r="D5" s="146"/>
      <c r="E5" s="77"/>
      <c r="F5" s="77"/>
      <c r="G5" s="77"/>
      <c r="H5" s="76"/>
      <c r="I5" s="77"/>
      <c r="J5" s="77"/>
      <c r="K5" s="78"/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71"/>
      <c r="AD5" s="79"/>
      <c r="AE5" s="71"/>
      <c r="AF5" s="79"/>
      <c r="AG5" s="71"/>
      <c r="AH5" s="623"/>
      <c r="AI5" s="623"/>
      <c r="AJ5" s="619"/>
      <c r="AK5" s="623"/>
      <c r="AL5" s="621"/>
    </row>
    <row r="6" spans="1:40" x14ac:dyDescent="0.25">
      <c r="B6" s="65">
        <f>B4+1</f>
        <v>1954</v>
      </c>
      <c r="C6" s="76" t="s">
        <v>741</v>
      </c>
      <c r="D6" s="146" t="str">
        <f t="shared" ref="D6:D67" si="0">INDEX(SP_Initials,G6)</f>
        <v/>
      </c>
      <c r="E6" s="77">
        <f t="shared" ref="E6:E67" si="1">INDEX(SC_TaxIndex,$G6)</f>
        <v>0</v>
      </c>
      <c r="F6" s="77">
        <f t="shared" ref="F6:F69" si="2">MAX($J6+1-INDEX(SP_StartWorkAge,$G6),0)</f>
        <v>0</v>
      </c>
      <c r="G6" s="77">
        <f t="shared" ref="G6:G68" si="3">MOD(ROW(),2)+1</f>
        <v>1</v>
      </c>
      <c r="H6" s="76">
        <f t="shared" ref="H6:H69" si="4">MOD($G6,2)-($G6-1)</f>
        <v>1</v>
      </c>
      <c r="I6" s="76">
        <f t="shared" ref="I6:I67" si="5">IF(INDEX(SC_ShowRetireatee,$G6),IF($B6&lt;YEAR(INDEX(SP_BirthDate,$G6)),0,$B6-YEAR(INDEX(SP_BirthDate,$G6))),0)</f>
        <v>0</v>
      </c>
      <c r="J6" s="77">
        <f t="shared" ref="J6:J69" si="6">IF(INDEX(SC_ShowRetireatee,$G6),IF($B6&gt;(YEAR(INDEX(SP_BirthDate,$G6))+INDEX(SP_LifeExp,$G6)),0,$I6),0)</f>
        <v>0</v>
      </c>
      <c r="K6" s="78">
        <f t="shared" ref="K6:K67" ca="1" si="7">IF($B6&lt;SC_TargetRY,1,IF($B6=SC_TargetRY,-(1-YEARFRAC(SP_TargetRD,DATE($B6+1,1,1))),0))</f>
        <v>1</v>
      </c>
      <c r="L6" s="470"/>
      <c r="M6" s="470"/>
      <c r="N6" s="470"/>
      <c r="O6" s="470"/>
      <c r="P6" s="70">
        <f t="shared" ref="P6:P69" ca="1" si="8">IF(IF(COLUMN()=COLUMN(L6),TRUE,ISBLANK(L6)), IF(OR($F6=0,$K6=0),0,IF($B6=SP_CurrentYear, 0, IF($B6&gt;SP_CurrentYear, $P4*(1+INDEX(SP_EA_InflationWageRate, EAIDX-1)+INDEX(SP_IncomeEmployerAdj, $G6)), $P8/(1+INDEX(SP_EA_InflationWageRate, EAIDX)+INDEX(SP_IncomeEmployerAdj, $G6))))), L6)</f>
        <v>0</v>
      </c>
      <c r="Q6" s="70">
        <f t="shared" ref="Q6:Q69" ca="1" si="9">IF(IF(COLUMN()=COLUMN(M6),TRUE,ISBLANK(M6)), IF(OR($F6=0,$K6=0),0,IF($B6=SP_CurrentYear, 0, IF($B6&gt;SP_CurrentYear, $Q4*(1+INDEX(SP_EA_InflationWageRate, EAIDX-1)+INDEX(SP_IncomeSEAdj, $G6)), 0))), M6)</f>
        <v>0</v>
      </c>
      <c r="R6" s="70">
        <f t="shared" ref="R6:R69" ca="1" si="10">IF(IF(COLUMN()=COLUMN(N6),TRUE,ISBLANK(N6)), IF($B6=SP_CurrentYear, 0, IF($B6&gt;SP_CurrentYear, $R4*(1+INDEX(SP_EA_InflationWageRate, EAIDX-1)+INDEX(SP_IncomePassiveAdj, $G6)), 0)), N6)</f>
        <v>0</v>
      </c>
      <c r="S6" s="70">
        <f t="shared" ref="S6:S69" ca="1" si="11">IF(IF(COLUMN()=COLUMN(O6),TRUE,ISBLANK(O6)), IF($B6=SP_CurrentYear,(-INDEX(SC_ExpensesLivingPF,$G6,1)*ABS($K6)-INDEX(SC_ExpensesLivingPF,$G6,2)*(1-ABS($K6)))/INDEX(SC_EA_InflationCPIdx, EAIDX)*12, IF($B6&gt;SP_CurrentYear, $S4*(1+INDEX(SP_EA_InflationCPRate, EAIDX-1)), IF($P6=0, 0,$S8/(1+INDEX(SP_EA_InflationCPRate, EAIDX)))))*ABS($K6), O6)</f>
        <v>0</v>
      </c>
      <c r="T6" s="70">
        <f t="shared" ref="T6:T69" ca="1" si="12">P6*ABS($K6)</f>
        <v>0</v>
      </c>
      <c r="U6" s="70">
        <f t="shared" ref="U6:U69" ca="1" si="13">Q6*ABS($K6)</f>
        <v>0</v>
      </c>
      <c r="V6" s="70">
        <f t="shared" ref="V6:V69" ca="1" si="14">MAX(T6-ABS($S6)*ABS($K6), 0)</f>
        <v>0</v>
      </c>
      <c r="W6" s="70">
        <f t="shared" ref="W6:W69" ca="1" si="15">MAX(U6-MAX(ABS($S6)*ABS($K6)-P6, 0),0)</f>
        <v>0</v>
      </c>
      <c r="X6" s="70">
        <f t="shared" ref="X6:X69" si="16">IF($J6=0, 0, MAX(MIN(T6-ABS($S6)*ABS($K6), INDEX(SC_EA_SSWageBase, EAIDX)), 0))</f>
        <v>0</v>
      </c>
      <c r="Y6" s="70">
        <f t="shared" ref="Y6:Y69" si="17">IF($J6=0, 0, MIN(MAX(U6-MAX(ABS($S6)*ABS($K6)-P6, 0),0), INDEX(SC_EA_SSWageBase, EAIDX)-X6))</f>
        <v>0</v>
      </c>
      <c r="Z6" s="68">
        <f t="shared" ref="Z6:Z69" si="18">IF($J6=0,1,IF($B6&gt;=INDEX(SC_SSBaseYear,$G6),1,Z8*(INDEX(SP_EA_InflationWageRate, EAIDX+1)+1)))</f>
        <v>1</v>
      </c>
      <c r="AA6" s="84">
        <f t="shared" ref="AA6:AA69" si="19">IF($J6=0, 0, ROUNDDOWN(MIN((X6+Y6)*Z6,LT_SSMaxCredit*Z6)/(LT_SSOneCredit*Z6), 0))</f>
        <v>0</v>
      </c>
      <c r="AB6" s="488">
        <f t="array" ref="AB6">ROUNDDOWN(AVERAGE(IFERROR(LARGE((X5:X$6+Y5:Y$6)*Z5:Z$6*(G5:G$6=G6), SC_SSCalcYears),0))/(12*Z6),0)</f>
        <v>0</v>
      </c>
      <c r="AC6" s="69">
        <f t="shared" ref="AC6:AC69" si="20">IF($I6&gt;0, IF($B6&lt;=INDEX(SC_SSBaseYear,$G6)+2,Z6,1/(1/AC4*(INDEX(SC_EA_SSCOLA, EAIDX-1)+1))), 1)</f>
        <v>1</v>
      </c>
      <c r="AD6" s="85">
        <f t="shared" ref="AD6:AD69" si="21">IF(INDEX(SP_PensionSWD,$G6)="",0,IF(YEAR(INDEX(SP_PensionSWD,$G6))&gt;$B6,0,YEARFRAC(INDEX(SP_PensionSWD,$G6), MIN(DATE($B6+1,1,1),SP_TargetRD))))</f>
        <v>0</v>
      </c>
      <c r="AE6" s="140">
        <f t="shared" ref="AE6:AE69" ca="1" si="22">IF(AND(AD6&gt;0, $B6=SC_TargetRY, INDEX(SP_PensionFAE,$G6)&gt;0),SUMIF(OFFSET(G6,-MIN(INDEX(SP_PensionFAE,$G6),AD6)*2,0,MIN(INDEX(SP_PensionFAE,$G6),AD6)*2),$G6,OFFSET(P6,-MIN(INDEX(SP_PensionFAE,$G6),AD6)*2,0,MIN(INDEX(SP_PensionFAE,$G6),AD6)*2))/MIN(INDEX(SP_PensionFAE,$G6),AD6)*INDEX(SP_PensionPCT,$G6)*AD6,0)</f>
        <v>0</v>
      </c>
      <c r="AF6" s="75">
        <f t="shared" ref="AF6:AF69" ca="1" si="23">$T6+$U6</f>
        <v>0</v>
      </c>
      <c r="AG6" s="109">
        <f t="shared" ref="AG6:AG69" ca="1" si="24">$R6</f>
        <v>0</v>
      </c>
      <c r="AH6" s="617">
        <f>SUMIFS($AE6:$AE7,SP_PensionPayout,"Lump sum",$E6:$E7,"&lt;&gt;0")</f>
        <v>0</v>
      </c>
      <c r="AI6" s="617">
        <f>SUMIFS($AE6:$AE7,SP_PensionPayout,"Annuity",$E6:$E7,"&lt;&gt;0")</f>
        <v>0</v>
      </c>
      <c r="AJ6" s="617">
        <f>IF(ISBLANK(INDEX(SP_SSPBFA,1)),0,IF($J6&lt;&gt;INDEX(SP_SSPBFA,1),AJ4,SP_AdditionalRI/INDEX(SC_EA_InflationWageIdx,EAIDX)))</f>
        <v>0</v>
      </c>
      <c r="AK6" s="617">
        <f ca="1">SUMPRODUCT(AF6:AF7, --($E6:$E7&lt;&gt;0))</f>
        <v>0</v>
      </c>
      <c r="AL6" s="618">
        <f ca="1">SUMPRODUCT(AG6:AG7, --($E6:$E7&lt;&gt;0))+AJ6</f>
        <v>0</v>
      </c>
      <c r="AM6" s="186">
        <f t="shared" ref="AM6:AM69" ca="1" si="25">IFERROR(IF(OR(NOT(ISNUMBER($P6)),$P6&lt;0,NOT(ISNUMBER($Q6)),$Q6&lt;0,NOT(ISNUMBER($R6)),$R6&lt;0,NOT(ISNUMBER($S6)),$S6&lt;0),202,0),203)</f>
        <v>0</v>
      </c>
      <c r="AN6" t="str">
        <f t="shared" ref="AN6:AN69" ca="1" si="26">IFERROR(VLOOKUP(AM6,IV_CodeTable,2,FALSE),"")</f>
        <v/>
      </c>
    </row>
    <row r="7" spans="1:40" x14ac:dyDescent="0.25">
      <c r="B7" s="86">
        <f t="shared" ref="B7:B70" si="27">B5+1</f>
        <v>1954</v>
      </c>
      <c r="C7" s="80" t="s">
        <v>741</v>
      </c>
      <c r="D7" s="147" t="str">
        <f t="shared" si="0"/>
        <v/>
      </c>
      <c r="E7" s="81">
        <f t="shared" si="1"/>
        <v>0</v>
      </c>
      <c r="F7" s="82">
        <f t="shared" si="2"/>
        <v>0</v>
      </c>
      <c r="G7" s="81">
        <f t="shared" si="3"/>
        <v>2</v>
      </c>
      <c r="H7" s="82">
        <f t="shared" si="4"/>
        <v>-1</v>
      </c>
      <c r="I7" s="82">
        <f t="shared" si="5"/>
        <v>0</v>
      </c>
      <c r="J7" s="82">
        <f t="shared" si="6"/>
        <v>0</v>
      </c>
      <c r="K7" s="83">
        <f t="shared" ca="1" si="7"/>
        <v>1</v>
      </c>
      <c r="L7" s="470"/>
      <c r="M7" s="470"/>
      <c r="N7" s="470"/>
      <c r="O7" s="470"/>
      <c r="P7" s="107">
        <f t="shared" ca="1" si="8"/>
        <v>0</v>
      </c>
      <c r="Q7" s="107">
        <f t="shared" ca="1" si="9"/>
        <v>0</v>
      </c>
      <c r="R7" s="107">
        <f t="shared" ca="1" si="10"/>
        <v>0</v>
      </c>
      <c r="S7" s="107">
        <f t="shared" ca="1" si="11"/>
        <v>0</v>
      </c>
      <c r="T7" s="107">
        <f t="shared" ca="1" si="12"/>
        <v>0</v>
      </c>
      <c r="U7" s="107">
        <f t="shared" ca="1" si="13"/>
        <v>0</v>
      </c>
      <c r="V7" s="107">
        <f t="shared" ca="1" si="14"/>
        <v>0</v>
      </c>
      <c r="W7" s="107">
        <f t="shared" ca="1" si="15"/>
        <v>0</v>
      </c>
      <c r="X7" s="107">
        <f t="shared" si="16"/>
        <v>0</v>
      </c>
      <c r="Y7" s="107">
        <f t="shared" si="17"/>
        <v>0</v>
      </c>
      <c r="Z7" s="87">
        <f t="shared" si="18"/>
        <v>1</v>
      </c>
      <c r="AA7" s="88">
        <f t="shared" si="19"/>
        <v>0</v>
      </c>
      <c r="AB7" s="107">
        <f t="array" ref="AB7">ROUNDDOWN(AVERAGE(IFERROR(LARGE((X6:X$6+Y6:Y$6)*Z6:Z$6*(G6:G$6=G7), SC_SSCalcYears),0))/(12*Z7),0)</f>
        <v>0</v>
      </c>
      <c r="AC7" s="211">
        <f t="shared" si="20"/>
        <v>1</v>
      </c>
      <c r="AD7" s="89">
        <f t="shared" si="21"/>
        <v>0</v>
      </c>
      <c r="AE7" s="141">
        <f t="shared" ca="1" si="22"/>
        <v>0</v>
      </c>
      <c r="AF7" s="106">
        <f t="shared" ca="1" si="23"/>
        <v>0</v>
      </c>
      <c r="AG7" s="110">
        <f t="shared" ca="1" si="24"/>
        <v>0</v>
      </c>
      <c r="AH7" s="617"/>
      <c r="AI7" s="617"/>
      <c r="AJ7" s="617"/>
      <c r="AK7" s="617"/>
      <c r="AL7" s="618"/>
      <c r="AM7" s="186">
        <f t="shared" ca="1" si="25"/>
        <v>0</v>
      </c>
      <c r="AN7" t="str">
        <f t="shared" ca="1" si="26"/>
        <v/>
      </c>
    </row>
    <row r="8" spans="1:40" x14ac:dyDescent="0.25">
      <c r="B8" s="65">
        <f t="shared" si="27"/>
        <v>1955</v>
      </c>
      <c r="C8" s="76" t="s">
        <v>741</v>
      </c>
      <c r="D8" s="146" t="str">
        <f t="shared" si="0"/>
        <v/>
      </c>
      <c r="E8" s="77">
        <f t="shared" si="1"/>
        <v>0</v>
      </c>
      <c r="F8" s="77">
        <f t="shared" si="2"/>
        <v>0</v>
      </c>
      <c r="G8" s="77">
        <f t="shared" si="3"/>
        <v>1</v>
      </c>
      <c r="H8" s="76">
        <f t="shared" si="4"/>
        <v>1</v>
      </c>
      <c r="I8" s="76">
        <f t="shared" si="5"/>
        <v>0</v>
      </c>
      <c r="J8" s="77">
        <f t="shared" si="6"/>
        <v>0</v>
      </c>
      <c r="K8" s="78">
        <f t="shared" ca="1" si="7"/>
        <v>1</v>
      </c>
      <c r="L8" s="470"/>
      <c r="M8" s="470"/>
      <c r="N8" s="470"/>
      <c r="O8" s="470"/>
      <c r="P8" s="70">
        <f t="shared" ca="1" si="8"/>
        <v>0</v>
      </c>
      <c r="Q8" s="70">
        <f t="shared" ca="1" si="9"/>
        <v>0</v>
      </c>
      <c r="R8" s="70">
        <f t="shared" ca="1" si="10"/>
        <v>0</v>
      </c>
      <c r="S8" s="70">
        <f t="shared" ca="1" si="11"/>
        <v>0</v>
      </c>
      <c r="T8" s="70">
        <f t="shared" ca="1" si="12"/>
        <v>0</v>
      </c>
      <c r="U8" s="70">
        <f t="shared" ca="1" si="13"/>
        <v>0</v>
      </c>
      <c r="V8" s="70">
        <f t="shared" ca="1" si="14"/>
        <v>0</v>
      </c>
      <c r="W8" s="70">
        <f t="shared" ca="1" si="15"/>
        <v>0</v>
      </c>
      <c r="X8" s="70">
        <f t="shared" si="16"/>
        <v>0</v>
      </c>
      <c r="Y8" s="70">
        <f t="shared" si="17"/>
        <v>0</v>
      </c>
      <c r="Z8" s="68">
        <f t="shared" si="18"/>
        <v>1</v>
      </c>
      <c r="AA8" s="84">
        <f t="shared" si="19"/>
        <v>0</v>
      </c>
      <c r="AB8" s="488">
        <f t="array" ref="AB8">ROUNDDOWN(AVERAGE(IFERROR(LARGE((X$6:X7+Y$6:Y7)*Z$6:Z7*(G$6:G7=G8), SC_SSCalcYears),0))/(12*Z8),0)</f>
        <v>0</v>
      </c>
      <c r="AC8" s="69">
        <f t="shared" si="20"/>
        <v>1</v>
      </c>
      <c r="AD8" s="85">
        <f t="shared" si="21"/>
        <v>0</v>
      </c>
      <c r="AE8" s="140">
        <f t="shared" ca="1" si="22"/>
        <v>0</v>
      </c>
      <c r="AF8" s="75">
        <f t="shared" ca="1" si="23"/>
        <v>0</v>
      </c>
      <c r="AG8" s="109">
        <f t="shared" ca="1" si="24"/>
        <v>0</v>
      </c>
      <c r="AH8" s="617">
        <f>SUMIFS($AE8:$AE9,SP_PensionPayout,"Lump sum",$E8:$E9,"&lt;&gt;0")</f>
        <v>0</v>
      </c>
      <c r="AI8" s="617">
        <f>SUMIFS($AE8:$AE9,SP_PensionPayout,"Annuity",$E8:$E9,"&lt;&gt;0")</f>
        <v>0</v>
      </c>
      <c r="AJ8" s="617">
        <f>IF(ISBLANK(INDEX(SP_SSPBFA,1)),0,IF($J8&lt;&gt;INDEX(SP_SSPBFA,1),AJ6,SP_AdditionalRI/INDEX(SC_EA_InflationWageIdx,EAIDX)))</f>
        <v>0</v>
      </c>
      <c r="AK8" s="617">
        <f ca="1">SUMPRODUCT(AF8:AF9, --(G8:G9&lt;&gt;0))</f>
        <v>0</v>
      </c>
      <c r="AL8" s="618">
        <f ca="1">SUMPRODUCT(AG8:AG9, --(E8:E9&lt;&gt;0))+AJ8</f>
        <v>0</v>
      </c>
      <c r="AM8" s="186">
        <f t="shared" ca="1" si="25"/>
        <v>0</v>
      </c>
      <c r="AN8" t="str">
        <f t="shared" ca="1" si="26"/>
        <v/>
      </c>
    </row>
    <row r="9" spans="1:40" x14ac:dyDescent="0.25">
      <c r="B9" s="86">
        <f t="shared" si="27"/>
        <v>1955</v>
      </c>
      <c r="C9" s="80" t="s">
        <v>741</v>
      </c>
      <c r="D9" s="147" t="str">
        <f t="shared" si="0"/>
        <v/>
      </c>
      <c r="E9" s="81">
        <f t="shared" si="1"/>
        <v>0</v>
      </c>
      <c r="F9" s="82">
        <f t="shared" si="2"/>
        <v>0</v>
      </c>
      <c r="G9" s="81">
        <f t="shared" si="3"/>
        <v>2</v>
      </c>
      <c r="H9" s="82">
        <f t="shared" si="4"/>
        <v>-1</v>
      </c>
      <c r="I9" s="82">
        <f t="shared" si="5"/>
        <v>0</v>
      </c>
      <c r="J9" s="81">
        <f t="shared" si="6"/>
        <v>0</v>
      </c>
      <c r="K9" s="83">
        <f t="shared" ca="1" si="7"/>
        <v>1</v>
      </c>
      <c r="L9" s="470"/>
      <c r="M9" s="470"/>
      <c r="N9" s="470"/>
      <c r="O9" s="470"/>
      <c r="P9" s="107">
        <f t="shared" ca="1" si="8"/>
        <v>0</v>
      </c>
      <c r="Q9" s="107">
        <f t="shared" ca="1" si="9"/>
        <v>0</v>
      </c>
      <c r="R9" s="107">
        <f t="shared" ca="1" si="10"/>
        <v>0</v>
      </c>
      <c r="S9" s="107">
        <f t="shared" ca="1" si="11"/>
        <v>0</v>
      </c>
      <c r="T9" s="107">
        <f t="shared" ca="1" si="12"/>
        <v>0</v>
      </c>
      <c r="U9" s="107">
        <f t="shared" ca="1" si="13"/>
        <v>0</v>
      </c>
      <c r="V9" s="107">
        <f t="shared" ca="1" si="14"/>
        <v>0</v>
      </c>
      <c r="W9" s="107">
        <f t="shared" ca="1" si="15"/>
        <v>0</v>
      </c>
      <c r="X9" s="107">
        <f t="shared" si="16"/>
        <v>0</v>
      </c>
      <c r="Y9" s="107">
        <f t="shared" si="17"/>
        <v>0</v>
      </c>
      <c r="Z9" s="87">
        <f t="shared" si="18"/>
        <v>1</v>
      </c>
      <c r="AA9" s="88">
        <f t="shared" si="19"/>
        <v>0</v>
      </c>
      <c r="AB9" s="107">
        <f t="array" ref="AB9">ROUNDDOWN(AVERAGE(IFERROR(LARGE((X$6:X8+Y$6:Y8)*Z$6:Z8*(G$6:G8=G9), SC_SSCalcYears),0))/(12*Z9),0)</f>
        <v>0</v>
      </c>
      <c r="AC9" s="211">
        <f t="shared" si="20"/>
        <v>1</v>
      </c>
      <c r="AD9" s="89">
        <f t="shared" si="21"/>
        <v>0</v>
      </c>
      <c r="AE9" s="141">
        <f t="shared" ca="1" si="22"/>
        <v>0</v>
      </c>
      <c r="AF9" s="106">
        <f t="shared" ca="1" si="23"/>
        <v>0</v>
      </c>
      <c r="AG9" s="110">
        <f t="shared" ca="1" si="24"/>
        <v>0</v>
      </c>
      <c r="AH9" s="617"/>
      <c r="AI9" s="617"/>
      <c r="AJ9" s="617"/>
      <c r="AK9" s="617"/>
      <c r="AL9" s="618"/>
      <c r="AM9" s="186">
        <f t="shared" ca="1" si="25"/>
        <v>0</v>
      </c>
      <c r="AN9" t="str">
        <f t="shared" ca="1" si="26"/>
        <v/>
      </c>
    </row>
    <row r="10" spans="1:40" x14ac:dyDescent="0.25">
      <c r="B10" s="65">
        <f t="shared" si="27"/>
        <v>1956</v>
      </c>
      <c r="C10" s="76" t="s">
        <v>741</v>
      </c>
      <c r="D10" s="146" t="str">
        <f t="shared" si="0"/>
        <v/>
      </c>
      <c r="E10" s="77">
        <f t="shared" si="1"/>
        <v>0</v>
      </c>
      <c r="F10" s="77">
        <f t="shared" si="2"/>
        <v>0</v>
      </c>
      <c r="G10" s="77">
        <f t="shared" si="3"/>
        <v>1</v>
      </c>
      <c r="H10" s="76">
        <f t="shared" si="4"/>
        <v>1</v>
      </c>
      <c r="I10" s="76">
        <f t="shared" si="5"/>
        <v>0</v>
      </c>
      <c r="J10" s="77">
        <f t="shared" si="6"/>
        <v>0</v>
      </c>
      <c r="K10" s="78">
        <f t="shared" ca="1" si="7"/>
        <v>1</v>
      </c>
      <c r="L10" s="470"/>
      <c r="M10" s="470"/>
      <c r="N10" s="470"/>
      <c r="O10" s="470"/>
      <c r="P10" s="70">
        <f t="shared" ca="1" si="8"/>
        <v>0</v>
      </c>
      <c r="Q10" s="70">
        <f t="shared" ca="1" si="9"/>
        <v>0</v>
      </c>
      <c r="R10" s="70">
        <f t="shared" ca="1" si="10"/>
        <v>0</v>
      </c>
      <c r="S10" s="70">
        <f t="shared" ca="1" si="11"/>
        <v>0</v>
      </c>
      <c r="T10" s="70">
        <f t="shared" ca="1" si="12"/>
        <v>0</v>
      </c>
      <c r="U10" s="70">
        <f t="shared" ca="1" si="13"/>
        <v>0</v>
      </c>
      <c r="V10" s="70">
        <f t="shared" ca="1" si="14"/>
        <v>0</v>
      </c>
      <c r="W10" s="70">
        <f t="shared" ca="1" si="15"/>
        <v>0</v>
      </c>
      <c r="X10" s="70">
        <f t="shared" si="16"/>
        <v>0</v>
      </c>
      <c r="Y10" s="70">
        <f t="shared" si="17"/>
        <v>0</v>
      </c>
      <c r="Z10" s="68">
        <f t="shared" si="18"/>
        <v>1</v>
      </c>
      <c r="AA10" s="84">
        <f t="shared" si="19"/>
        <v>0</v>
      </c>
      <c r="AB10" s="488">
        <f t="array" ref="AB10">ROUNDDOWN(AVERAGE(IFERROR(LARGE((X$6:X9+Y$6:Y9)*Z$6:Z9*(G$6:G9=G10), SC_SSCalcYears),0))/(12*Z10),0)</f>
        <v>0</v>
      </c>
      <c r="AC10" s="69">
        <f t="shared" si="20"/>
        <v>1</v>
      </c>
      <c r="AD10" s="85">
        <f t="shared" si="21"/>
        <v>0</v>
      </c>
      <c r="AE10" s="140">
        <f t="shared" ca="1" si="22"/>
        <v>0</v>
      </c>
      <c r="AF10" s="75">
        <f t="shared" ca="1" si="23"/>
        <v>0</v>
      </c>
      <c r="AG10" s="109">
        <f t="shared" ca="1" si="24"/>
        <v>0</v>
      </c>
      <c r="AH10" s="617">
        <f>SUMIFS($AE10:$AE11,SP_PensionPayout,"Lump sum",$E10:$E11,"&lt;&gt;0")</f>
        <v>0</v>
      </c>
      <c r="AI10" s="617">
        <f>SUMIFS($AE10:$AE11,SP_PensionPayout,"Annuity",$E10:$E11,"&lt;&gt;0")</f>
        <v>0</v>
      </c>
      <c r="AJ10" s="617">
        <f>IF(ISBLANK(INDEX(SP_SSPBFA,1)),0,IF($J10&lt;&gt;INDEX(SP_SSPBFA,1),AJ8,SP_AdditionalRI/INDEX(SC_EA_InflationWageIdx,EAIDX)))</f>
        <v>0</v>
      </c>
      <c r="AK10" s="617">
        <f ca="1">SUMPRODUCT(AF10:AF11, --(G10:G11&lt;&gt;0))</f>
        <v>0</v>
      </c>
      <c r="AL10" s="618">
        <f ca="1">SUMPRODUCT(AG10:AG11, --(E10:E11&lt;&gt;0))+AJ10</f>
        <v>0</v>
      </c>
      <c r="AM10" s="186">
        <f t="shared" ca="1" si="25"/>
        <v>0</v>
      </c>
      <c r="AN10" t="str">
        <f t="shared" ca="1" si="26"/>
        <v/>
      </c>
    </row>
    <row r="11" spans="1:40" x14ac:dyDescent="0.25">
      <c r="B11" s="86">
        <f t="shared" si="27"/>
        <v>1956</v>
      </c>
      <c r="C11" s="80" t="s">
        <v>741</v>
      </c>
      <c r="D11" s="147" t="str">
        <f t="shared" si="0"/>
        <v/>
      </c>
      <c r="E11" s="81">
        <f t="shared" si="1"/>
        <v>0</v>
      </c>
      <c r="F11" s="82">
        <f t="shared" si="2"/>
        <v>0</v>
      </c>
      <c r="G11" s="81">
        <f t="shared" si="3"/>
        <v>2</v>
      </c>
      <c r="H11" s="82">
        <f t="shared" si="4"/>
        <v>-1</v>
      </c>
      <c r="I11" s="82">
        <f t="shared" si="5"/>
        <v>0</v>
      </c>
      <c r="J11" s="81">
        <f t="shared" si="6"/>
        <v>0</v>
      </c>
      <c r="K11" s="83">
        <f t="shared" ca="1" si="7"/>
        <v>1</v>
      </c>
      <c r="L11" s="470"/>
      <c r="M11" s="470"/>
      <c r="N11" s="470"/>
      <c r="O11" s="470"/>
      <c r="P11" s="107">
        <f t="shared" ca="1" si="8"/>
        <v>0</v>
      </c>
      <c r="Q11" s="107">
        <f t="shared" ca="1" si="9"/>
        <v>0</v>
      </c>
      <c r="R11" s="107">
        <f t="shared" ca="1" si="10"/>
        <v>0</v>
      </c>
      <c r="S11" s="107">
        <f t="shared" ca="1" si="11"/>
        <v>0</v>
      </c>
      <c r="T11" s="107">
        <f t="shared" ca="1" si="12"/>
        <v>0</v>
      </c>
      <c r="U11" s="107">
        <f t="shared" ca="1" si="13"/>
        <v>0</v>
      </c>
      <c r="V11" s="107">
        <f t="shared" ca="1" si="14"/>
        <v>0</v>
      </c>
      <c r="W11" s="107">
        <f t="shared" ca="1" si="15"/>
        <v>0</v>
      </c>
      <c r="X11" s="107">
        <f t="shared" si="16"/>
        <v>0</v>
      </c>
      <c r="Y11" s="107">
        <f t="shared" si="17"/>
        <v>0</v>
      </c>
      <c r="Z11" s="87">
        <f t="shared" si="18"/>
        <v>1</v>
      </c>
      <c r="AA11" s="88">
        <f t="shared" si="19"/>
        <v>0</v>
      </c>
      <c r="AB11" s="107">
        <f t="array" ref="AB11">ROUNDDOWN(AVERAGE(IFERROR(LARGE((X$6:X10+Y$6:Y10)*Z$6:Z10*(G$6:G10=G11), SC_SSCalcYears),0))/(12*Z11),0)</f>
        <v>0</v>
      </c>
      <c r="AC11" s="211">
        <f t="shared" si="20"/>
        <v>1</v>
      </c>
      <c r="AD11" s="89">
        <f t="shared" si="21"/>
        <v>0</v>
      </c>
      <c r="AE11" s="141">
        <f t="shared" ca="1" si="22"/>
        <v>0</v>
      </c>
      <c r="AF11" s="106">
        <f t="shared" ca="1" si="23"/>
        <v>0</v>
      </c>
      <c r="AG11" s="110">
        <f t="shared" ca="1" si="24"/>
        <v>0</v>
      </c>
      <c r="AH11" s="617"/>
      <c r="AI11" s="617"/>
      <c r="AJ11" s="617"/>
      <c r="AK11" s="617"/>
      <c r="AL11" s="618"/>
      <c r="AM11" s="186">
        <f t="shared" ca="1" si="25"/>
        <v>0</v>
      </c>
      <c r="AN11" t="str">
        <f t="shared" ca="1" si="26"/>
        <v/>
      </c>
    </row>
    <row r="12" spans="1:40" x14ac:dyDescent="0.25">
      <c r="B12" s="65">
        <f t="shared" si="27"/>
        <v>1957</v>
      </c>
      <c r="C12" s="76" t="s">
        <v>741</v>
      </c>
      <c r="D12" s="146" t="str">
        <f t="shared" si="0"/>
        <v/>
      </c>
      <c r="E12" s="77">
        <f t="shared" si="1"/>
        <v>0</v>
      </c>
      <c r="F12" s="77">
        <f t="shared" si="2"/>
        <v>0</v>
      </c>
      <c r="G12" s="77">
        <f t="shared" si="3"/>
        <v>1</v>
      </c>
      <c r="H12" s="76">
        <f t="shared" si="4"/>
        <v>1</v>
      </c>
      <c r="I12" s="76">
        <f t="shared" si="5"/>
        <v>0</v>
      </c>
      <c r="J12" s="77">
        <f t="shared" si="6"/>
        <v>0</v>
      </c>
      <c r="K12" s="78">
        <f t="shared" ca="1" si="7"/>
        <v>1</v>
      </c>
      <c r="L12" s="470"/>
      <c r="M12" s="470"/>
      <c r="N12" s="470"/>
      <c r="O12" s="470"/>
      <c r="P12" s="70">
        <f t="shared" ca="1" si="8"/>
        <v>0</v>
      </c>
      <c r="Q12" s="70">
        <f t="shared" ca="1" si="9"/>
        <v>0</v>
      </c>
      <c r="R12" s="70">
        <f t="shared" ca="1" si="10"/>
        <v>0</v>
      </c>
      <c r="S12" s="70">
        <f t="shared" ca="1" si="11"/>
        <v>0</v>
      </c>
      <c r="T12" s="70">
        <f t="shared" ca="1" si="12"/>
        <v>0</v>
      </c>
      <c r="U12" s="70">
        <f t="shared" ca="1" si="13"/>
        <v>0</v>
      </c>
      <c r="V12" s="70">
        <f t="shared" ca="1" si="14"/>
        <v>0</v>
      </c>
      <c r="W12" s="70">
        <f t="shared" ca="1" si="15"/>
        <v>0</v>
      </c>
      <c r="X12" s="70">
        <f t="shared" si="16"/>
        <v>0</v>
      </c>
      <c r="Y12" s="70">
        <f t="shared" si="17"/>
        <v>0</v>
      </c>
      <c r="Z12" s="68">
        <f t="shared" si="18"/>
        <v>1</v>
      </c>
      <c r="AA12" s="84">
        <f t="shared" si="19"/>
        <v>0</v>
      </c>
      <c r="AB12" s="488">
        <f t="array" ref="AB12">ROUNDDOWN(AVERAGE(IFERROR(LARGE((X$6:X11+Y$6:Y11)*Z$6:Z11*(G$6:G11=G12), SC_SSCalcYears),0))/(12*Z12),0)</f>
        <v>0</v>
      </c>
      <c r="AC12" s="69">
        <f t="shared" si="20"/>
        <v>1</v>
      </c>
      <c r="AD12" s="85">
        <f t="shared" si="21"/>
        <v>0</v>
      </c>
      <c r="AE12" s="140">
        <f t="shared" ca="1" si="22"/>
        <v>0</v>
      </c>
      <c r="AF12" s="75">
        <f t="shared" ca="1" si="23"/>
        <v>0</v>
      </c>
      <c r="AG12" s="109">
        <f t="shared" ca="1" si="24"/>
        <v>0</v>
      </c>
      <c r="AH12" s="617">
        <f>SUMIFS($AE12:$AE13,SP_PensionPayout,"Lump sum",$E12:$E13,"&lt;&gt;0")</f>
        <v>0</v>
      </c>
      <c r="AI12" s="617">
        <f>SUMIFS($AE12:$AE13,SP_PensionPayout,"Annuity",$E12:$E13,"&lt;&gt;0")</f>
        <v>0</v>
      </c>
      <c r="AJ12" s="617">
        <f>IF(ISBLANK(INDEX(SP_SSPBFA,1)),0,IF($J12&lt;&gt;INDEX(SP_SSPBFA,1),AJ10,SP_AdditionalRI/INDEX(SC_EA_InflationWageIdx,EAIDX)))</f>
        <v>0</v>
      </c>
      <c r="AK12" s="617">
        <f ca="1">SUMPRODUCT(AF12:AF13, --(G12:G13&lt;&gt;0))</f>
        <v>0</v>
      </c>
      <c r="AL12" s="618">
        <f ca="1">SUMPRODUCT(AG12:AG13, --(E12:E13&lt;&gt;0))+AJ12</f>
        <v>0</v>
      </c>
      <c r="AM12" s="186">
        <f t="shared" ca="1" si="25"/>
        <v>0</v>
      </c>
      <c r="AN12" t="str">
        <f t="shared" ca="1" si="26"/>
        <v/>
      </c>
    </row>
    <row r="13" spans="1:40" x14ac:dyDescent="0.25">
      <c r="B13" s="86">
        <f t="shared" si="27"/>
        <v>1957</v>
      </c>
      <c r="C13" s="80" t="s">
        <v>741</v>
      </c>
      <c r="D13" s="147" t="str">
        <f t="shared" si="0"/>
        <v/>
      </c>
      <c r="E13" s="81">
        <f t="shared" si="1"/>
        <v>0</v>
      </c>
      <c r="F13" s="82">
        <f t="shared" si="2"/>
        <v>0</v>
      </c>
      <c r="G13" s="81">
        <f t="shared" si="3"/>
        <v>2</v>
      </c>
      <c r="H13" s="82">
        <f t="shared" si="4"/>
        <v>-1</v>
      </c>
      <c r="I13" s="82">
        <f t="shared" si="5"/>
        <v>0</v>
      </c>
      <c r="J13" s="81">
        <f t="shared" si="6"/>
        <v>0</v>
      </c>
      <c r="K13" s="83">
        <f t="shared" ca="1" si="7"/>
        <v>1</v>
      </c>
      <c r="L13" s="470"/>
      <c r="M13" s="470"/>
      <c r="N13" s="470"/>
      <c r="O13" s="470"/>
      <c r="P13" s="107">
        <f t="shared" ca="1" si="8"/>
        <v>0</v>
      </c>
      <c r="Q13" s="107">
        <f t="shared" ca="1" si="9"/>
        <v>0</v>
      </c>
      <c r="R13" s="107">
        <f t="shared" ca="1" si="10"/>
        <v>0</v>
      </c>
      <c r="S13" s="107">
        <f t="shared" ca="1" si="11"/>
        <v>0</v>
      </c>
      <c r="T13" s="107">
        <f t="shared" ca="1" si="12"/>
        <v>0</v>
      </c>
      <c r="U13" s="107">
        <f t="shared" ca="1" si="13"/>
        <v>0</v>
      </c>
      <c r="V13" s="107">
        <f t="shared" ca="1" si="14"/>
        <v>0</v>
      </c>
      <c r="W13" s="107">
        <f t="shared" ca="1" si="15"/>
        <v>0</v>
      </c>
      <c r="X13" s="107">
        <f t="shared" si="16"/>
        <v>0</v>
      </c>
      <c r="Y13" s="107">
        <f t="shared" si="17"/>
        <v>0</v>
      </c>
      <c r="Z13" s="87">
        <f t="shared" si="18"/>
        <v>1</v>
      </c>
      <c r="AA13" s="88">
        <f t="shared" si="19"/>
        <v>0</v>
      </c>
      <c r="AB13" s="107">
        <f t="array" ref="AB13">ROUNDDOWN(AVERAGE(IFERROR(LARGE((X$6:X12+Y$6:Y12)*Z$6:Z12*(G$6:G12=G13), SC_SSCalcYears),0))/(12*Z13),0)</f>
        <v>0</v>
      </c>
      <c r="AC13" s="211">
        <f t="shared" si="20"/>
        <v>1</v>
      </c>
      <c r="AD13" s="89">
        <f t="shared" si="21"/>
        <v>0</v>
      </c>
      <c r="AE13" s="141">
        <f t="shared" ca="1" si="22"/>
        <v>0</v>
      </c>
      <c r="AF13" s="106">
        <f t="shared" ca="1" si="23"/>
        <v>0</v>
      </c>
      <c r="AG13" s="110">
        <f t="shared" ca="1" si="24"/>
        <v>0</v>
      </c>
      <c r="AH13" s="617"/>
      <c r="AI13" s="617"/>
      <c r="AJ13" s="617"/>
      <c r="AK13" s="617"/>
      <c r="AL13" s="618"/>
      <c r="AM13" s="186">
        <f t="shared" ca="1" si="25"/>
        <v>0</v>
      </c>
      <c r="AN13" t="str">
        <f t="shared" ca="1" si="26"/>
        <v/>
      </c>
    </row>
    <row r="14" spans="1:40" x14ac:dyDescent="0.25">
      <c r="B14" s="65">
        <f t="shared" si="27"/>
        <v>1958</v>
      </c>
      <c r="C14" s="76" t="s">
        <v>741</v>
      </c>
      <c r="D14" s="146" t="str">
        <f t="shared" si="0"/>
        <v/>
      </c>
      <c r="E14" s="77">
        <f t="shared" si="1"/>
        <v>0</v>
      </c>
      <c r="F14" s="77">
        <f t="shared" si="2"/>
        <v>0</v>
      </c>
      <c r="G14" s="77">
        <f t="shared" si="3"/>
        <v>1</v>
      </c>
      <c r="H14" s="76">
        <f t="shared" si="4"/>
        <v>1</v>
      </c>
      <c r="I14" s="76">
        <f t="shared" si="5"/>
        <v>0</v>
      </c>
      <c r="J14" s="77">
        <f t="shared" si="6"/>
        <v>0</v>
      </c>
      <c r="K14" s="78">
        <f t="shared" ca="1" si="7"/>
        <v>1</v>
      </c>
      <c r="L14" s="470"/>
      <c r="M14" s="470"/>
      <c r="N14" s="470"/>
      <c r="O14" s="470"/>
      <c r="P14" s="70">
        <f t="shared" ca="1" si="8"/>
        <v>0</v>
      </c>
      <c r="Q14" s="70">
        <f t="shared" ca="1" si="9"/>
        <v>0</v>
      </c>
      <c r="R14" s="70">
        <f t="shared" ca="1" si="10"/>
        <v>0</v>
      </c>
      <c r="S14" s="70">
        <f t="shared" ca="1" si="11"/>
        <v>0</v>
      </c>
      <c r="T14" s="70">
        <f t="shared" ca="1" si="12"/>
        <v>0</v>
      </c>
      <c r="U14" s="70">
        <f t="shared" ca="1" si="13"/>
        <v>0</v>
      </c>
      <c r="V14" s="70">
        <f t="shared" ca="1" si="14"/>
        <v>0</v>
      </c>
      <c r="W14" s="70">
        <f t="shared" ca="1" si="15"/>
        <v>0</v>
      </c>
      <c r="X14" s="70">
        <f t="shared" si="16"/>
        <v>0</v>
      </c>
      <c r="Y14" s="70">
        <f t="shared" si="17"/>
        <v>0</v>
      </c>
      <c r="Z14" s="68">
        <f t="shared" si="18"/>
        <v>1</v>
      </c>
      <c r="AA14" s="84">
        <f t="shared" si="19"/>
        <v>0</v>
      </c>
      <c r="AB14" s="488">
        <f t="array" ref="AB14">ROUNDDOWN(AVERAGE(IFERROR(LARGE((X$6:X13+Y$6:Y13)*Z$6:Z13*(G$6:G13=G14), SC_SSCalcYears),0))/(12*Z14),0)</f>
        <v>0</v>
      </c>
      <c r="AC14" s="69">
        <f t="shared" si="20"/>
        <v>1</v>
      </c>
      <c r="AD14" s="85">
        <f t="shared" si="21"/>
        <v>0</v>
      </c>
      <c r="AE14" s="140">
        <f t="shared" ca="1" si="22"/>
        <v>0</v>
      </c>
      <c r="AF14" s="75">
        <f t="shared" ca="1" si="23"/>
        <v>0</v>
      </c>
      <c r="AG14" s="109">
        <f t="shared" ca="1" si="24"/>
        <v>0</v>
      </c>
      <c r="AH14" s="617">
        <f>SUMIFS($AE14:$AE15,SP_PensionPayout,"Lump sum",$E14:$E15,"&lt;&gt;0")</f>
        <v>0</v>
      </c>
      <c r="AI14" s="617">
        <f>SUMIFS($AE14:$AE15,SP_PensionPayout,"Annuity",$E14:$E15,"&lt;&gt;0")</f>
        <v>0</v>
      </c>
      <c r="AJ14" s="617">
        <f>IF(ISBLANK(INDEX(SP_SSPBFA,1)),0,IF($J14&lt;&gt;INDEX(SP_SSPBFA,1),AJ12,SP_AdditionalRI/INDEX(SC_EA_InflationWageIdx,EAIDX)))</f>
        <v>0</v>
      </c>
      <c r="AK14" s="617">
        <f ca="1">SUMPRODUCT(AF14:AF15, --(G14:G15&lt;&gt;0))</f>
        <v>0</v>
      </c>
      <c r="AL14" s="618">
        <f ca="1">SUMPRODUCT(AG14:AG15, --(E14:E15&lt;&gt;0))+AJ14</f>
        <v>0</v>
      </c>
      <c r="AM14" s="186">
        <f t="shared" ca="1" si="25"/>
        <v>0</v>
      </c>
      <c r="AN14" t="str">
        <f t="shared" ca="1" si="26"/>
        <v/>
      </c>
    </row>
    <row r="15" spans="1:40" x14ac:dyDescent="0.25">
      <c r="B15" s="86">
        <f t="shared" si="27"/>
        <v>1958</v>
      </c>
      <c r="C15" s="80" t="s">
        <v>741</v>
      </c>
      <c r="D15" s="147" t="str">
        <f t="shared" si="0"/>
        <v/>
      </c>
      <c r="E15" s="81">
        <f t="shared" si="1"/>
        <v>0</v>
      </c>
      <c r="F15" s="82">
        <f t="shared" si="2"/>
        <v>0</v>
      </c>
      <c r="G15" s="81">
        <f t="shared" si="3"/>
        <v>2</v>
      </c>
      <c r="H15" s="82">
        <f t="shared" si="4"/>
        <v>-1</v>
      </c>
      <c r="I15" s="82">
        <f t="shared" si="5"/>
        <v>0</v>
      </c>
      <c r="J15" s="81">
        <f t="shared" si="6"/>
        <v>0</v>
      </c>
      <c r="K15" s="83">
        <f t="shared" ca="1" si="7"/>
        <v>1</v>
      </c>
      <c r="L15" s="470"/>
      <c r="M15" s="470"/>
      <c r="N15" s="470"/>
      <c r="O15" s="470"/>
      <c r="P15" s="107">
        <f t="shared" ca="1" si="8"/>
        <v>0</v>
      </c>
      <c r="Q15" s="107">
        <f t="shared" ca="1" si="9"/>
        <v>0</v>
      </c>
      <c r="R15" s="107">
        <f t="shared" ca="1" si="10"/>
        <v>0</v>
      </c>
      <c r="S15" s="107">
        <f t="shared" ca="1" si="11"/>
        <v>0</v>
      </c>
      <c r="T15" s="107">
        <f t="shared" ca="1" si="12"/>
        <v>0</v>
      </c>
      <c r="U15" s="107">
        <f t="shared" ca="1" si="13"/>
        <v>0</v>
      </c>
      <c r="V15" s="107">
        <f t="shared" ca="1" si="14"/>
        <v>0</v>
      </c>
      <c r="W15" s="107">
        <f t="shared" ca="1" si="15"/>
        <v>0</v>
      </c>
      <c r="X15" s="107">
        <f t="shared" si="16"/>
        <v>0</v>
      </c>
      <c r="Y15" s="107">
        <f t="shared" si="17"/>
        <v>0</v>
      </c>
      <c r="Z15" s="87">
        <f t="shared" si="18"/>
        <v>1</v>
      </c>
      <c r="AA15" s="88">
        <f t="shared" si="19"/>
        <v>0</v>
      </c>
      <c r="AB15" s="107">
        <f t="array" ref="AB15">ROUNDDOWN(AVERAGE(IFERROR(LARGE((X$6:X14+Y$6:Y14)*Z$6:Z14*(G$6:G14=G15), SC_SSCalcYears),0))/(12*Z15),0)</f>
        <v>0</v>
      </c>
      <c r="AC15" s="211">
        <f t="shared" si="20"/>
        <v>1</v>
      </c>
      <c r="AD15" s="89">
        <f t="shared" si="21"/>
        <v>0</v>
      </c>
      <c r="AE15" s="141">
        <f t="shared" ca="1" si="22"/>
        <v>0</v>
      </c>
      <c r="AF15" s="106">
        <f t="shared" ca="1" si="23"/>
        <v>0</v>
      </c>
      <c r="AG15" s="110">
        <f t="shared" ca="1" si="24"/>
        <v>0</v>
      </c>
      <c r="AH15" s="617"/>
      <c r="AI15" s="617"/>
      <c r="AJ15" s="617"/>
      <c r="AK15" s="617"/>
      <c r="AL15" s="618"/>
      <c r="AM15" s="186">
        <f t="shared" ca="1" si="25"/>
        <v>0</v>
      </c>
      <c r="AN15" t="str">
        <f t="shared" ca="1" si="26"/>
        <v/>
      </c>
    </row>
    <row r="16" spans="1:40" x14ac:dyDescent="0.25">
      <c r="B16" s="65">
        <f t="shared" si="27"/>
        <v>1959</v>
      </c>
      <c r="C16" s="76" t="s">
        <v>741</v>
      </c>
      <c r="D16" s="146" t="str">
        <f t="shared" si="0"/>
        <v/>
      </c>
      <c r="E16" s="77">
        <f t="shared" si="1"/>
        <v>0</v>
      </c>
      <c r="F16" s="77">
        <f t="shared" si="2"/>
        <v>0</v>
      </c>
      <c r="G16" s="77">
        <f t="shared" si="3"/>
        <v>1</v>
      </c>
      <c r="H16" s="76">
        <f t="shared" si="4"/>
        <v>1</v>
      </c>
      <c r="I16" s="76">
        <f t="shared" si="5"/>
        <v>0</v>
      </c>
      <c r="J16" s="77">
        <f t="shared" si="6"/>
        <v>0</v>
      </c>
      <c r="K16" s="78">
        <f t="shared" ca="1" si="7"/>
        <v>1</v>
      </c>
      <c r="L16" s="470"/>
      <c r="M16" s="470"/>
      <c r="N16" s="470"/>
      <c r="O16" s="470"/>
      <c r="P16" s="70">
        <f t="shared" ca="1" si="8"/>
        <v>0</v>
      </c>
      <c r="Q16" s="70">
        <f t="shared" ca="1" si="9"/>
        <v>0</v>
      </c>
      <c r="R16" s="70">
        <f t="shared" ca="1" si="10"/>
        <v>0</v>
      </c>
      <c r="S16" s="70">
        <f t="shared" ca="1" si="11"/>
        <v>0</v>
      </c>
      <c r="T16" s="70">
        <f t="shared" ca="1" si="12"/>
        <v>0</v>
      </c>
      <c r="U16" s="70">
        <f t="shared" ca="1" si="13"/>
        <v>0</v>
      </c>
      <c r="V16" s="70">
        <f t="shared" ca="1" si="14"/>
        <v>0</v>
      </c>
      <c r="W16" s="70">
        <f t="shared" ca="1" si="15"/>
        <v>0</v>
      </c>
      <c r="X16" s="70">
        <f t="shared" si="16"/>
        <v>0</v>
      </c>
      <c r="Y16" s="70">
        <f t="shared" si="17"/>
        <v>0</v>
      </c>
      <c r="Z16" s="68">
        <f t="shared" si="18"/>
        <v>1</v>
      </c>
      <c r="AA16" s="84">
        <f t="shared" si="19"/>
        <v>0</v>
      </c>
      <c r="AB16" s="488">
        <f t="array" ref="AB16">ROUNDDOWN(AVERAGE(IFERROR(LARGE((X$6:X15+Y$6:Y15)*Z$6:Z15*(G$6:G15=G16), SC_SSCalcYears),0))/(12*Z16),0)</f>
        <v>0</v>
      </c>
      <c r="AC16" s="69">
        <f t="shared" si="20"/>
        <v>1</v>
      </c>
      <c r="AD16" s="85">
        <f t="shared" si="21"/>
        <v>0</v>
      </c>
      <c r="AE16" s="140">
        <f t="shared" ca="1" si="22"/>
        <v>0</v>
      </c>
      <c r="AF16" s="75">
        <f t="shared" ca="1" si="23"/>
        <v>0</v>
      </c>
      <c r="AG16" s="109">
        <f t="shared" ca="1" si="24"/>
        <v>0</v>
      </c>
      <c r="AH16" s="617">
        <f>SUMIFS($AE16:$AE17,SP_PensionPayout,"Lump sum",$E16:$E17,"&lt;&gt;0")</f>
        <v>0</v>
      </c>
      <c r="AI16" s="617">
        <f>SUMIFS($AE16:$AE17,SP_PensionPayout,"Annuity",$E16:$E17,"&lt;&gt;0")</f>
        <v>0</v>
      </c>
      <c r="AJ16" s="617">
        <f>IF(ISBLANK(INDEX(SP_SSPBFA,1)),0,IF($J16&lt;&gt;INDEX(SP_SSPBFA,1),AJ14,SP_AdditionalRI/INDEX(SC_EA_InflationWageIdx,EAIDX)))</f>
        <v>0</v>
      </c>
      <c r="AK16" s="617">
        <f ca="1">SUMPRODUCT(AF16:AF17, --(G16:G17&lt;&gt;0))</f>
        <v>0</v>
      </c>
      <c r="AL16" s="618">
        <f ca="1">SUMPRODUCT(AG16:AG17, --(E16:E17&lt;&gt;0))+AJ16</f>
        <v>0</v>
      </c>
      <c r="AM16" s="186">
        <f t="shared" ca="1" si="25"/>
        <v>0</v>
      </c>
      <c r="AN16" t="str">
        <f t="shared" ca="1" si="26"/>
        <v/>
      </c>
    </row>
    <row r="17" spans="2:40" x14ac:dyDescent="0.25">
      <c r="B17" s="86">
        <f t="shared" si="27"/>
        <v>1959</v>
      </c>
      <c r="C17" s="80" t="s">
        <v>741</v>
      </c>
      <c r="D17" s="147" t="str">
        <f t="shared" si="0"/>
        <v/>
      </c>
      <c r="E17" s="81">
        <f t="shared" si="1"/>
        <v>0</v>
      </c>
      <c r="F17" s="82">
        <f t="shared" si="2"/>
        <v>0</v>
      </c>
      <c r="G17" s="81">
        <f t="shared" si="3"/>
        <v>2</v>
      </c>
      <c r="H17" s="82">
        <f t="shared" si="4"/>
        <v>-1</v>
      </c>
      <c r="I17" s="82">
        <f t="shared" si="5"/>
        <v>0</v>
      </c>
      <c r="J17" s="81">
        <f t="shared" si="6"/>
        <v>0</v>
      </c>
      <c r="K17" s="83">
        <f t="shared" ca="1" si="7"/>
        <v>1</v>
      </c>
      <c r="L17" s="470"/>
      <c r="M17" s="470"/>
      <c r="N17" s="470"/>
      <c r="O17" s="470"/>
      <c r="P17" s="107">
        <f t="shared" ca="1" si="8"/>
        <v>0</v>
      </c>
      <c r="Q17" s="107">
        <f t="shared" ca="1" si="9"/>
        <v>0</v>
      </c>
      <c r="R17" s="107">
        <f t="shared" ca="1" si="10"/>
        <v>0</v>
      </c>
      <c r="S17" s="107">
        <f t="shared" ca="1" si="11"/>
        <v>0</v>
      </c>
      <c r="T17" s="107">
        <f t="shared" ca="1" si="12"/>
        <v>0</v>
      </c>
      <c r="U17" s="107">
        <f t="shared" ca="1" si="13"/>
        <v>0</v>
      </c>
      <c r="V17" s="107">
        <f t="shared" ca="1" si="14"/>
        <v>0</v>
      </c>
      <c r="W17" s="107">
        <f t="shared" ca="1" si="15"/>
        <v>0</v>
      </c>
      <c r="X17" s="107">
        <f t="shared" si="16"/>
        <v>0</v>
      </c>
      <c r="Y17" s="107">
        <f t="shared" si="17"/>
        <v>0</v>
      </c>
      <c r="Z17" s="87">
        <f t="shared" si="18"/>
        <v>1</v>
      </c>
      <c r="AA17" s="88">
        <f t="shared" si="19"/>
        <v>0</v>
      </c>
      <c r="AB17" s="107">
        <f t="array" ref="AB17">ROUNDDOWN(AVERAGE(IFERROR(LARGE((X$6:X16+Y$6:Y16)*Z$6:Z16*(G$6:G16=G17), SC_SSCalcYears),0))/(12*Z17),0)</f>
        <v>0</v>
      </c>
      <c r="AC17" s="211">
        <f t="shared" si="20"/>
        <v>1</v>
      </c>
      <c r="AD17" s="89">
        <f t="shared" si="21"/>
        <v>0</v>
      </c>
      <c r="AE17" s="141">
        <f t="shared" ca="1" si="22"/>
        <v>0</v>
      </c>
      <c r="AF17" s="106">
        <f t="shared" ca="1" si="23"/>
        <v>0</v>
      </c>
      <c r="AG17" s="110">
        <f t="shared" ca="1" si="24"/>
        <v>0</v>
      </c>
      <c r="AH17" s="617"/>
      <c r="AI17" s="617"/>
      <c r="AJ17" s="617"/>
      <c r="AK17" s="617"/>
      <c r="AL17" s="618"/>
      <c r="AM17" s="186">
        <f t="shared" ca="1" si="25"/>
        <v>0</v>
      </c>
      <c r="AN17" t="str">
        <f t="shared" ca="1" si="26"/>
        <v/>
      </c>
    </row>
    <row r="18" spans="2:40" x14ac:dyDescent="0.25">
      <c r="B18" s="65">
        <f t="shared" si="27"/>
        <v>1960</v>
      </c>
      <c r="C18" s="76" t="s">
        <v>741</v>
      </c>
      <c r="D18" s="146" t="str">
        <f t="shared" si="0"/>
        <v/>
      </c>
      <c r="E18" s="77">
        <f t="shared" si="1"/>
        <v>0</v>
      </c>
      <c r="F18" s="77">
        <f t="shared" si="2"/>
        <v>0</v>
      </c>
      <c r="G18" s="77">
        <f t="shared" si="3"/>
        <v>1</v>
      </c>
      <c r="H18" s="76">
        <f t="shared" si="4"/>
        <v>1</v>
      </c>
      <c r="I18" s="76">
        <f t="shared" si="5"/>
        <v>0</v>
      </c>
      <c r="J18" s="77">
        <f t="shared" si="6"/>
        <v>0</v>
      </c>
      <c r="K18" s="78">
        <f t="shared" ca="1" si="7"/>
        <v>1</v>
      </c>
      <c r="L18" s="470"/>
      <c r="M18" s="470"/>
      <c r="N18" s="470"/>
      <c r="O18" s="470"/>
      <c r="P18" s="70">
        <f t="shared" ca="1" si="8"/>
        <v>0</v>
      </c>
      <c r="Q18" s="70">
        <f t="shared" ca="1" si="9"/>
        <v>0</v>
      </c>
      <c r="R18" s="70">
        <f t="shared" ca="1" si="10"/>
        <v>0</v>
      </c>
      <c r="S18" s="70">
        <f t="shared" ca="1" si="11"/>
        <v>0</v>
      </c>
      <c r="T18" s="70">
        <f t="shared" ca="1" si="12"/>
        <v>0</v>
      </c>
      <c r="U18" s="70">
        <f t="shared" ca="1" si="13"/>
        <v>0</v>
      </c>
      <c r="V18" s="70">
        <f t="shared" ca="1" si="14"/>
        <v>0</v>
      </c>
      <c r="W18" s="70">
        <f t="shared" ca="1" si="15"/>
        <v>0</v>
      </c>
      <c r="X18" s="70">
        <f t="shared" si="16"/>
        <v>0</v>
      </c>
      <c r="Y18" s="70">
        <f t="shared" si="17"/>
        <v>0</v>
      </c>
      <c r="Z18" s="68">
        <f t="shared" si="18"/>
        <v>1</v>
      </c>
      <c r="AA18" s="84">
        <f t="shared" si="19"/>
        <v>0</v>
      </c>
      <c r="AB18" s="488">
        <f t="array" ref="AB18">ROUNDDOWN(AVERAGE(IFERROR(LARGE((X$6:X17+Y$6:Y17)*Z$6:Z17*(G$6:G17=G18), SC_SSCalcYears),0))/(12*Z18),0)</f>
        <v>0</v>
      </c>
      <c r="AC18" s="69">
        <f t="shared" si="20"/>
        <v>1</v>
      </c>
      <c r="AD18" s="85">
        <f t="shared" si="21"/>
        <v>0</v>
      </c>
      <c r="AE18" s="140">
        <f t="shared" ca="1" si="22"/>
        <v>0</v>
      </c>
      <c r="AF18" s="75">
        <f t="shared" ca="1" si="23"/>
        <v>0</v>
      </c>
      <c r="AG18" s="109">
        <f t="shared" ca="1" si="24"/>
        <v>0</v>
      </c>
      <c r="AH18" s="617">
        <f>SUMIFS($AE18:$AE19,SP_PensionPayout,"Lump sum",$E18:$E19,"&lt;&gt;0")</f>
        <v>0</v>
      </c>
      <c r="AI18" s="617">
        <f>SUMIFS($AE18:$AE19,SP_PensionPayout,"Annuity",$E18:$E19,"&lt;&gt;0")</f>
        <v>0</v>
      </c>
      <c r="AJ18" s="617">
        <f>IF(ISBLANK(INDEX(SP_SSPBFA,1)),0,IF($J18&lt;&gt;INDEX(SP_SSPBFA,1),AJ16,SP_AdditionalRI/INDEX(SC_EA_InflationWageIdx,EAIDX)))</f>
        <v>0</v>
      </c>
      <c r="AK18" s="617">
        <f ca="1">SUMPRODUCT(AF18:AF19, --(G18:G19&lt;&gt;0))</f>
        <v>0</v>
      </c>
      <c r="AL18" s="618">
        <f ca="1">SUMPRODUCT(AG18:AG19, --(E18:E19&lt;&gt;0))+AJ18</f>
        <v>0</v>
      </c>
      <c r="AM18" s="186">
        <f t="shared" ca="1" si="25"/>
        <v>0</v>
      </c>
      <c r="AN18" t="str">
        <f t="shared" ca="1" si="26"/>
        <v/>
      </c>
    </row>
    <row r="19" spans="2:40" x14ac:dyDescent="0.25">
      <c r="B19" s="86">
        <f t="shared" si="27"/>
        <v>1960</v>
      </c>
      <c r="C19" s="80" t="s">
        <v>741</v>
      </c>
      <c r="D19" s="147" t="str">
        <f t="shared" si="0"/>
        <v/>
      </c>
      <c r="E19" s="81">
        <f t="shared" si="1"/>
        <v>0</v>
      </c>
      <c r="F19" s="82">
        <f t="shared" si="2"/>
        <v>0</v>
      </c>
      <c r="G19" s="81">
        <f t="shared" si="3"/>
        <v>2</v>
      </c>
      <c r="H19" s="82">
        <f t="shared" si="4"/>
        <v>-1</v>
      </c>
      <c r="I19" s="82">
        <f t="shared" si="5"/>
        <v>0</v>
      </c>
      <c r="J19" s="81">
        <f t="shared" si="6"/>
        <v>0</v>
      </c>
      <c r="K19" s="83">
        <f t="shared" ca="1" si="7"/>
        <v>1</v>
      </c>
      <c r="L19" s="470"/>
      <c r="M19" s="470"/>
      <c r="N19" s="470"/>
      <c r="O19" s="470"/>
      <c r="P19" s="107">
        <f t="shared" ca="1" si="8"/>
        <v>0</v>
      </c>
      <c r="Q19" s="107">
        <f t="shared" ca="1" si="9"/>
        <v>0</v>
      </c>
      <c r="R19" s="107">
        <f t="shared" ca="1" si="10"/>
        <v>0</v>
      </c>
      <c r="S19" s="107">
        <f t="shared" ca="1" si="11"/>
        <v>0</v>
      </c>
      <c r="T19" s="107">
        <f t="shared" ca="1" si="12"/>
        <v>0</v>
      </c>
      <c r="U19" s="107">
        <f t="shared" ca="1" si="13"/>
        <v>0</v>
      </c>
      <c r="V19" s="107">
        <f t="shared" ca="1" si="14"/>
        <v>0</v>
      </c>
      <c r="W19" s="107">
        <f t="shared" ca="1" si="15"/>
        <v>0</v>
      </c>
      <c r="X19" s="107">
        <f t="shared" si="16"/>
        <v>0</v>
      </c>
      <c r="Y19" s="107">
        <f t="shared" si="17"/>
        <v>0</v>
      </c>
      <c r="Z19" s="87">
        <f t="shared" si="18"/>
        <v>1</v>
      </c>
      <c r="AA19" s="88">
        <f t="shared" si="19"/>
        <v>0</v>
      </c>
      <c r="AB19" s="107">
        <f t="array" ref="AB19">ROUNDDOWN(AVERAGE(IFERROR(LARGE((X$6:X18+Y$6:Y18)*Z$6:Z18*(G$6:G18=G19), SC_SSCalcYears),0))/(12*Z19),0)</f>
        <v>0</v>
      </c>
      <c r="AC19" s="211">
        <f t="shared" si="20"/>
        <v>1</v>
      </c>
      <c r="AD19" s="89">
        <f t="shared" si="21"/>
        <v>0</v>
      </c>
      <c r="AE19" s="141">
        <f t="shared" ca="1" si="22"/>
        <v>0</v>
      </c>
      <c r="AF19" s="106">
        <f t="shared" ca="1" si="23"/>
        <v>0</v>
      </c>
      <c r="AG19" s="110">
        <f t="shared" ca="1" si="24"/>
        <v>0</v>
      </c>
      <c r="AH19" s="617"/>
      <c r="AI19" s="617"/>
      <c r="AJ19" s="617"/>
      <c r="AK19" s="617"/>
      <c r="AL19" s="618"/>
      <c r="AM19" s="186">
        <f t="shared" ca="1" si="25"/>
        <v>0</v>
      </c>
      <c r="AN19" t="str">
        <f t="shared" ca="1" si="26"/>
        <v/>
      </c>
    </row>
    <row r="20" spans="2:40" x14ac:dyDescent="0.25">
      <c r="B20" s="65">
        <f t="shared" si="27"/>
        <v>1961</v>
      </c>
      <c r="C20" s="76" t="s">
        <v>741</v>
      </c>
      <c r="D20" s="146" t="str">
        <f t="shared" si="0"/>
        <v/>
      </c>
      <c r="E20" s="77">
        <f t="shared" si="1"/>
        <v>0</v>
      </c>
      <c r="F20" s="77">
        <f t="shared" si="2"/>
        <v>0</v>
      </c>
      <c r="G20" s="77">
        <f t="shared" si="3"/>
        <v>1</v>
      </c>
      <c r="H20" s="76">
        <f t="shared" si="4"/>
        <v>1</v>
      </c>
      <c r="I20" s="76">
        <f t="shared" si="5"/>
        <v>0</v>
      </c>
      <c r="J20" s="77">
        <f t="shared" si="6"/>
        <v>0</v>
      </c>
      <c r="K20" s="78">
        <f t="shared" ca="1" si="7"/>
        <v>1</v>
      </c>
      <c r="L20" s="470"/>
      <c r="M20" s="470"/>
      <c r="N20" s="470"/>
      <c r="O20" s="470"/>
      <c r="P20" s="70">
        <f t="shared" ca="1" si="8"/>
        <v>0</v>
      </c>
      <c r="Q20" s="70">
        <f t="shared" ca="1" si="9"/>
        <v>0</v>
      </c>
      <c r="R20" s="70">
        <f t="shared" ca="1" si="10"/>
        <v>0</v>
      </c>
      <c r="S20" s="70">
        <f t="shared" ca="1" si="11"/>
        <v>0</v>
      </c>
      <c r="T20" s="70">
        <f t="shared" ca="1" si="12"/>
        <v>0</v>
      </c>
      <c r="U20" s="70">
        <f t="shared" ca="1" si="13"/>
        <v>0</v>
      </c>
      <c r="V20" s="70">
        <f t="shared" ca="1" si="14"/>
        <v>0</v>
      </c>
      <c r="W20" s="70">
        <f t="shared" ca="1" si="15"/>
        <v>0</v>
      </c>
      <c r="X20" s="70">
        <f t="shared" si="16"/>
        <v>0</v>
      </c>
      <c r="Y20" s="70">
        <f t="shared" si="17"/>
        <v>0</v>
      </c>
      <c r="Z20" s="68">
        <f t="shared" si="18"/>
        <v>1</v>
      </c>
      <c r="AA20" s="84">
        <f t="shared" si="19"/>
        <v>0</v>
      </c>
      <c r="AB20" s="488">
        <f t="array" ref="AB20">ROUNDDOWN(AVERAGE(IFERROR(LARGE((X$6:X19+Y$6:Y19)*Z$6:Z19*(G$6:G19=G20), SC_SSCalcYears),0))/(12*Z20),0)</f>
        <v>0</v>
      </c>
      <c r="AC20" s="69">
        <f t="shared" si="20"/>
        <v>1</v>
      </c>
      <c r="AD20" s="85">
        <f t="shared" si="21"/>
        <v>0</v>
      </c>
      <c r="AE20" s="140">
        <f t="shared" ca="1" si="22"/>
        <v>0</v>
      </c>
      <c r="AF20" s="75">
        <f t="shared" ca="1" si="23"/>
        <v>0</v>
      </c>
      <c r="AG20" s="109">
        <f t="shared" ca="1" si="24"/>
        <v>0</v>
      </c>
      <c r="AH20" s="617">
        <f>SUMIFS($AE20:$AE21,SP_PensionPayout,"Lump sum",$E20:$E21,"&lt;&gt;0")</f>
        <v>0</v>
      </c>
      <c r="AI20" s="617">
        <f>SUMIFS($AE20:$AE21,SP_PensionPayout,"Annuity",$E20:$E21,"&lt;&gt;0")</f>
        <v>0</v>
      </c>
      <c r="AJ20" s="617">
        <f>IF(ISBLANK(INDEX(SP_SSPBFA,1)),0,IF($J20&lt;&gt;INDEX(SP_SSPBFA,1),AJ18,SP_AdditionalRI/INDEX(SC_EA_InflationWageIdx,EAIDX)))</f>
        <v>0</v>
      </c>
      <c r="AK20" s="617">
        <f ca="1">SUMPRODUCT(AF20:AF21, --(G20:G21&lt;&gt;0))</f>
        <v>0</v>
      </c>
      <c r="AL20" s="618">
        <f ca="1">SUMPRODUCT(AG20:AG21, --(E20:E21&lt;&gt;0))+AJ20</f>
        <v>0</v>
      </c>
      <c r="AM20" s="186">
        <f t="shared" ca="1" si="25"/>
        <v>0</v>
      </c>
      <c r="AN20" t="str">
        <f t="shared" ca="1" si="26"/>
        <v/>
      </c>
    </row>
    <row r="21" spans="2:40" x14ac:dyDescent="0.25">
      <c r="B21" s="86">
        <f t="shared" si="27"/>
        <v>1961</v>
      </c>
      <c r="C21" s="80" t="s">
        <v>741</v>
      </c>
      <c r="D21" s="147" t="str">
        <f t="shared" si="0"/>
        <v/>
      </c>
      <c r="E21" s="81">
        <f t="shared" si="1"/>
        <v>0</v>
      </c>
      <c r="F21" s="82">
        <f t="shared" si="2"/>
        <v>0</v>
      </c>
      <c r="G21" s="81">
        <f t="shared" si="3"/>
        <v>2</v>
      </c>
      <c r="H21" s="82">
        <f t="shared" si="4"/>
        <v>-1</v>
      </c>
      <c r="I21" s="82">
        <f t="shared" si="5"/>
        <v>0</v>
      </c>
      <c r="J21" s="81">
        <f t="shared" si="6"/>
        <v>0</v>
      </c>
      <c r="K21" s="83">
        <f t="shared" ca="1" si="7"/>
        <v>1</v>
      </c>
      <c r="L21" s="470"/>
      <c r="M21" s="470"/>
      <c r="N21" s="470"/>
      <c r="O21" s="470"/>
      <c r="P21" s="107">
        <f t="shared" ca="1" si="8"/>
        <v>0</v>
      </c>
      <c r="Q21" s="107">
        <f t="shared" ca="1" si="9"/>
        <v>0</v>
      </c>
      <c r="R21" s="107">
        <f t="shared" ca="1" si="10"/>
        <v>0</v>
      </c>
      <c r="S21" s="107">
        <f t="shared" ca="1" si="11"/>
        <v>0</v>
      </c>
      <c r="T21" s="107">
        <f t="shared" ca="1" si="12"/>
        <v>0</v>
      </c>
      <c r="U21" s="107">
        <f t="shared" ca="1" si="13"/>
        <v>0</v>
      </c>
      <c r="V21" s="107">
        <f t="shared" ca="1" si="14"/>
        <v>0</v>
      </c>
      <c r="W21" s="107">
        <f t="shared" ca="1" si="15"/>
        <v>0</v>
      </c>
      <c r="X21" s="107">
        <f t="shared" si="16"/>
        <v>0</v>
      </c>
      <c r="Y21" s="107">
        <f t="shared" si="17"/>
        <v>0</v>
      </c>
      <c r="Z21" s="87">
        <f t="shared" si="18"/>
        <v>1</v>
      </c>
      <c r="AA21" s="88">
        <f t="shared" si="19"/>
        <v>0</v>
      </c>
      <c r="AB21" s="107">
        <f t="array" ref="AB21">ROUNDDOWN(AVERAGE(IFERROR(LARGE((X$6:X20+Y$6:Y20)*Z$6:Z20*(G$6:G20=G21), SC_SSCalcYears),0))/(12*Z21),0)</f>
        <v>0</v>
      </c>
      <c r="AC21" s="211">
        <f t="shared" si="20"/>
        <v>1</v>
      </c>
      <c r="AD21" s="89">
        <f t="shared" si="21"/>
        <v>0</v>
      </c>
      <c r="AE21" s="141">
        <f t="shared" ca="1" si="22"/>
        <v>0</v>
      </c>
      <c r="AF21" s="106">
        <f t="shared" ca="1" si="23"/>
        <v>0</v>
      </c>
      <c r="AG21" s="110">
        <f t="shared" ca="1" si="24"/>
        <v>0</v>
      </c>
      <c r="AH21" s="617"/>
      <c r="AI21" s="617"/>
      <c r="AJ21" s="617"/>
      <c r="AK21" s="617"/>
      <c r="AL21" s="618"/>
      <c r="AM21" s="186">
        <f t="shared" ca="1" si="25"/>
        <v>0</v>
      </c>
      <c r="AN21" t="str">
        <f t="shared" ca="1" si="26"/>
        <v/>
      </c>
    </row>
    <row r="22" spans="2:40" x14ac:dyDescent="0.25">
      <c r="B22" s="65">
        <f t="shared" si="27"/>
        <v>1962</v>
      </c>
      <c r="C22" s="76" t="s">
        <v>741</v>
      </c>
      <c r="D22" s="146" t="str">
        <f t="shared" si="0"/>
        <v/>
      </c>
      <c r="E22" s="77">
        <f t="shared" si="1"/>
        <v>0</v>
      </c>
      <c r="F22" s="77">
        <f t="shared" si="2"/>
        <v>0</v>
      </c>
      <c r="G22" s="77">
        <f t="shared" si="3"/>
        <v>1</v>
      </c>
      <c r="H22" s="76">
        <f t="shared" si="4"/>
        <v>1</v>
      </c>
      <c r="I22" s="76">
        <f t="shared" si="5"/>
        <v>0</v>
      </c>
      <c r="J22" s="77">
        <f t="shared" si="6"/>
        <v>0</v>
      </c>
      <c r="K22" s="78">
        <f t="shared" ca="1" si="7"/>
        <v>1</v>
      </c>
      <c r="L22" s="470"/>
      <c r="M22" s="470"/>
      <c r="N22" s="470"/>
      <c r="O22" s="470"/>
      <c r="P22" s="70">
        <f t="shared" ca="1" si="8"/>
        <v>0</v>
      </c>
      <c r="Q22" s="70">
        <f t="shared" ca="1" si="9"/>
        <v>0</v>
      </c>
      <c r="R22" s="70">
        <f t="shared" ca="1" si="10"/>
        <v>0</v>
      </c>
      <c r="S22" s="70">
        <f t="shared" ca="1" si="11"/>
        <v>0</v>
      </c>
      <c r="T22" s="70">
        <f t="shared" ca="1" si="12"/>
        <v>0</v>
      </c>
      <c r="U22" s="70">
        <f t="shared" ca="1" si="13"/>
        <v>0</v>
      </c>
      <c r="V22" s="70">
        <f t="shared" ca="1" si="14"/>
        <v>0</v>
      </c>
      <c r="W22" s="70">
        <f t="shared" ca="1" si="15"/>
        <v>0</v>
      </c>
      <c r="X22" s="70">
        <f t="shared" si="16"/>
        <v>0</v>
      </c>
      <c r="Y22" s="70">
        <f t="shared" si="17"/>
        <v>0</v>
      </c>
      <c r="Z22" s="68">
        <f t="shared" si="18"/>
        <v>1</v>
      </c>
      <c r="AA22" s="84">
        <f t="shared" si="19"/>
        <v>0</v>
      </c>
      <c r="AB22" s="488">
        <f t="array" ref="AB22">ROUNDDOWN(AVERAGE(IFERROR(LARGE((X$6:X21+Y$6:Y21)*Z$6:Z21*(G$6:G21=G22), SC_SSCalcYears),0))/(12*Z22),0)</f>
        <v>0</v>
      </c>
      <c r="AC22" s="69">
        <f t="shared" si="20"/>
        <v>1</v>
      </c>
      <c r="AD22" s="85">
        <f t="shared" si="21"/>
        <v>0</v>
      </c>
      <c r="AE22" s="140">
        <f t="shared" ca="1" si="22"/>
        <v>0</v>
      </c>
      <c r="AF22" s="75">
        <f t="shared" ca="1" si="23"/>
        <v>0</v>
      </c>
      <c r="AG22" s="109">
        <f t="shared" ca="1" si="24"/>
        <v>0</v>
      </c>
      <c r="AH22" s="617">
        <f>SUMIFS($AE22:$AE23,SP_PensionPayout,"Lump sum",$E22:$E23,"&lt;&gt;0")</f>
        <v>0</v>
      </c>
      <c r="AI22" s="617">
        <f>SUMIFS($AE22:$AE23,SP_PensionPayout,"Annuity",$E22:$E23,"&lt;&gt;0")</f>
        <v>0</v>
      </c>
      <c r="AJ22" s="617">
        <f>IF(ISBLANK(INDEX(SP_SSPBFA,1)),0,IF($J22&lt;&gt;INDEX(SP_SSPBFA,1),AJ20,SP_AdditionalRI/INDEX(SC_EA_InflationWageIdx,EAIDX)))</f>
        <v>0</v>
      </c>
      <c r="AK22" s="617">
        <f ca="1">SUMPRODUCT(AF22:AF23, --(G22:G23&lt;&gt;0))</f>
        <v>0</v>
      </c>
      <c r="AL22" s="618">
        <f ca="1">SUMPRODUCT(AG22:AG23, --(E22:E23&lt;&gt;0))+AJ22</f>
        <v>0</v>
      </c>
      <c r="AM22" s="186">
        <f t="shared" ca="1" si="25"/>
        <v>0</v>
      </c>
      <c r="AN22" t="str">
        <f t="shared" ca="1" si="26"/>
        <v/>
      </c>
    </row>
    <row r="23" spans="2:40" x14ac:dyDescent="0.25">
      <c r="B23" s="86">
        <f t="shared" si="27"/>
        <v>1962</v>
      </c>
      <c r="C23" s="80" t="s">
        <v>741</v>
      </c>
      <c r="D23" s="147" t="str">
        <f t="shared" si="0"/>
        <v/>
      </c>
      <c r="E23" s="81">
        <f t="shared" si="1"/>
        <v>0</v>
      </c>
      <c r="F23" s="82">
        <f t="shared" si="2"/>
        <v>0</v>
      </c>
      <c r="G23" s="81">
        <f t="shared" si="3"/>
        <v>2</v>
      </c>
      <c r="H23" s="82">
        <f t="shared" si="4"/>
        <v>-1</v>
      </c>
      <c r="I23" s="82">
        <f t="shared" si="5"/>
        <v>0</v>
      </c>
      <c r="J23" s="81">
        <f t="shared" si="6"/>
        <v>0</v>
      </c>
      <c r="K23" s="83">
        <f t="shared" ca="1" si="7"/>
        <v>1</v>
      </c>
      <c r="L23" s="470"/>
      <c r="M23" s="470"/>
      <c r="N23" s="470"/>
      <c r="O23" s="470"/>
      <c r="P23" s="107">
        <f t="shared" ca="1" si="8"/>
        <v>0</v>
      </c>
      <c r="Q23" s="107">
        <f t="shared" ca="1" si="9"/>
        <v>0</v>
      </c>
      <c r="R23" s="107">
        <f t="shared" ca="1" si="10"/>
        <v>0</v>
      </c>
      <c r="S23" s="107">
        <f t="shared" ca="1" si="11"/>
        <v>0</v>
      </c>
      <c r="T23" s="107">
        <f t="shared" ca="1" si="12"/>
        <v>0</v>
      </c>
      <c r="U23" s="107">
        <f t="shared" ca="1" si="13"/>
        <v>0</v>
      </c>
      <c r="V23" s="107">
        <f t="shared" ca="1" si="14"/>
        <v>0</v>
      </c>
      <c r="W23" s="107">
        <f t="shared" ca="1" si="15"/>
        <v>0</v>
      </c>
      <c r="X23" s="107">
        <f t="shared" si="16"/>
        <v>0</v>
      </c>
      <c r="Y23" s="107">
        <f t="shared" si="17"/>
        <v>0</v>
      </c>
      <c r="Z23" s="87">
        <f t="shared" si="18"/>
        <v>1</v>
      </c>
      <c r="AA23" s="88">
        <f t="shared" si="19"/>
        <v>0</v>
      </c>
      <c r="AB23" s="107">
        <f t="array" ref="AB23">ROUNDDOWN(AVERAGE(IFERROR(LARGE((X$6:X22+Y$6:Y22)*Z$6:Z22*(G$6:G22=G23), SC_SSCalcYears),0))/(12*Z23),0)</f>
        <v>0</v>
      </c>
      <c r="AC23" s="211">
        <f t="shared" si="20"/>
        <v>1</v>
      </c>
      <c r="AD23" s="89">
        <f t="shared" si="21"/>
        <v>0</v>
      </c>
      <c r="AE23" s="141">
        <f t="shared" ca="1" si="22"/>
        <v>0</v>
      </c>
      <c r="AF23" s="106">
        <f t="shared" ca="1" si="23"/>
        <v>0</v>
      </c>
      <c r="AG23" s="110">
        <f t="shared" ca="1" si="24"/>
        <v>0</v>
      </c>
      <c r="AH23" s="617"/>
      <c r="AI23" s="617"/>
      <c r="AJ23" s="617"/>
      <c r="AK23" s="617"/>
      <c r="AL23" s="618"/>
      <c r="AM23" s="186">
        <f t="shared" ca="1" si="25"/>
        <v>0</v>
      </c>
      <c r="AN23" t="str">
        <f t="shared" ca="1" si="26"/>
        <v/>
      </c>
    </row>
    <row r="24" spans="2:40" x14ac:dyDescent="0.25">
      <c r="B24" s="65">
        <f t="shared" si="27"/>
        <v>1963</v>
      </c>
      <c r="C24" s="76" t="s">
        <v>741</v>
      </c>
      <c r="D24" s="146" t="str">
        <f t="shared" si="0"/>
        <v/>
      </c>
      <c r="E24" s="77">
        <f t="shared" si="1"/>
        <v>0</v>
      </c>
      <c r="F24" s="77">
        <f t="shared" si="2"/>
        <v>0</v>
      </c>
      <c r="G24" s="77">
        <f t="shared" si="3"/>
        <v>1</v>
      </c>
      <c r="H24" s="76">
        <f t="shared" si="4"/>
        <v>1</v>
      </c>
      <c r="I24" s="76">
        <f t="shared" si="5"/>
        <v>0</v>
      </c>
      <c r="J24" s="77">
        <f t="shared" si="6"/>
        <v>0</v>
      </c>
      <c r="K24" s="78">
        <f t="shared" ca="1" si="7"/>
        <v>1</v>
      </c>
      <c r="L24" s="470"/>
      <c r="M24" s="470"/>
      <c r="N24" s="470"/>
      <c r="O24" s="470"/>
      <c r="P24" s="70">
        <f t="shared" ca="1" si="8"/>
        <v>0</v>
      </c>
      <c r="Q24" s="70">
        <f t="shared" ca="1" si="9"/>
        <v>0</v>
      </c>
      <c r="R24" s="70">
        <f t="shared" ca="1" si="10"/>
        <v>0</v>
      </c>
      <c r="S24" s="70">
        <f t="shared" ca="1" si="11"/>
        <v>0</v>
      </c>
      <c r="T24" s="70">
        <f t="shared" ca="1" si="12"/>
        <v>0</v>
      </c>
      <c r="U24" s="70">
        <f t="shared" ca="1" si="13"/>
        <v>0</v>
      </c>
      <c r="V24" s="70">
        <f t="shared" ca="1" si="14"/>
        <v>0</v>
      </c>
      <c r="W24" s="70">
        <f t="shared" ca="1" si="15"/>
        <v>0</v>
      </c>
      <c r="X24" s="70">
        <f t="shared" si="16"/>
        <v>0</v>
      </c>
      <c r="Y24" s="70">
        <f t="shared" si="17"/>
        <v>0</v>
      </c>
      <c r="Z24" s="68">
        <f t="shared" si="18"/>
        <v>1</v>
      </c>
      <c r="AA24" s="84">
        <f t="shared" si="19"/>
        <v>0</v>
      </c>
      <c r="AB24" s="488">
        <f t="array" ref="AB24">ROUNDDOWN(AVERAGE(IFERROR(LARGE((X$6:X23+Y$6:Y23)*Z$6:Z23*(G$6:G23=G24), SC_SSCalcYears),0))/(12*Z24),0)</f>
        <v>0</v>
      </c>
      <c r="AC24" s="69">
        <f t="shared" si="20"/>
        <v>1</v>
      </c>
      <c r="AD24" s="85">
        <f t="shared" si="21"/>
        <v>0</v>
      </c>
      <c r="AE24" s="140">
        <f t="shared" ca="1" si="22"/>
        <v>0</v>
      </c>
      <c r="AF24" s="75">
        <f t="shared" ca="1" si="23"/>
        <v>0</v>
      </c>
      <c r="AG24" s="109">
        <f t="shared" ca="1" si="24"/>
        <v>0</v>
      </c>
      <c r="AH24" s="617">
        <f>SUMIFS($AE24:$AE25,SP_PensionPayout,"Lump sum",$E24:$E25,"&lt;&gt;0")</f>
        <v>0</v>
      </c>
      <c r="AI24" s="617">
        <f>SUMIFS($AE24:$AE25,SP_PensionPayout,"Annuity",$E24:$E25,"&lt;&gt;0")</f>
        <v>0</v>
      </c>
      <c r="AJ24" s="617">
        <f>IF(ISBLANK(INDEX(SP_SSPBFA,1)),0,IF($J24&lt;&gt;INDEX(SP_SSPBFA,1),AJ22,SP_AdditionalRI/INDEX(SC_EA_InflationWageIdx,EAIDX)))</f>
        <v>0</v>
      </c>
      <c r="AK24" s="617">
        <f ca="1">SUMPRODUCT(AF24:AF25, --(G24:G25&lt;&gt;0))</f>
        <v>0</v>
      </c>
      <c r="AL24" s="618">
        <f ca="1">SUMPRODUCT(AG24:AG25, --(E24:E25&lt;&gt;0))+AJ24</f>
        <v>0</v>
      </c>
      <c r="AM24" s="186">
        <f t="shared" ca="1" si="25"/>
        <v>0</v>
      </c>
      <c r="AN24" t="str">
        <f t="shared" ca="1" si="26"/>
        <v/>
      </c>
    </row>
    <row r="25" spans="2:40" x14ac:dyDescent="0.25">
      <c r="B25" s="86">
        <f t="shared" si="27"/>
        <v>1963</v>
      </c>
      <c r="C25" s="80" t="s">
        <v>741</v>
      </c>
      <c r="D25" s="147" t="str">
        <f t="shared" si="0"/>
        <v/>
      </c>
      <c r="E25" s="81">
        <f t="shared" si="1"/>
        <v>0</v>
      </c>
      <c r="F25" s="82">
        <f t="shared" si="2"/>
        <v>0</v>
      </c>
      <c r="G25" s="81">
        <f t="shared" si="3"/>
        <v>2</v>
      </c>
      <c r="H25" s="82">
        <f t="shared" si="4"/>
        <v>-1</v>
      </c>
      <c r="I25" s="82">
        <f t="shared" si="5"/>
        <v>0</v>
      </c>
      <c r="J25" s="81">
        <f t="shared" si="6"/>
        <v>0</v>
      </c>
      <c r="K25" s="83">
        <f t="shared" ca="1" si="7"/>
        <v>1</v>
      </c>
      <c r="L25" s="470"/>
      <c r="M25" s="470"/>
      <c r="N25" s="470"/>
      <c r="O25" s="470"/>
      <c r="P25" s="107">
        <f t="shared" ca="1" si="8"/>
        <v>0</v>
      </c>
      <c r="Q25" s="107">
        <f t="shared" ca="1" si="9"/>
        <v>0</v>
      </c>
      <c r="R25" s="107">
        <f t="shared" ca="1" si="10"/>
        <v>0</v>
      </c>
      <c r="S25" s="107">
        <f t="shared" ca="1" si="11"/>
        <v>0</v>
      </c>
      <c r="T25" s="107">
        <f t="shared" ca="1" si="12"/>
        <v>0</v>
      </c>
      <c r="U25" s="107">
        <f t="shared" ca="1" si="13"/>
        <v>0</v>
      </c>
      <c r="V25" s="107">
        <f t="shared" ca="1" si="14"/>
        <v>0</v>
      </c>
      <c r="W25" s="107">
        <f t="shared" ca="1" si="15"/>
        <v>0</v>
      </c>
      <c r="X25" s="107">
        <f t="shared" si="16"/>
        <v>0</v>
      </c>
      <c r="Y25" s="107">
        <f t="shared" si="17"/>
        <v>0</v>
      </c>
      <c r="Z25" s="87">
        <f t="shared" si="18"/>
        <v>1</v>
      </c>
      <c r="AA25" s="88">
        <f t="shared" si="19"/>
        <v>0</v>
      </c>
      <c r="AB25" s="107">
        <f t="array" ref="AB25">ROUNDDOWN(AVERAGE(IFERROR(LARGE((X$6:X24+Y$6:Y24)*Z$6:Z24*(G$6:G24=G25), SC_SSCalcYears),0))/(12*Z25),0)</f>
        <v>0</v>
      </c>
      <c r="AC25" s="211">
        <f t="shared" si="20"/>
        <v>1</v>
      </c>
      <c r="AD25" s="89">
        <f t="shared" si="21"/>
        <v>0</v>
      </c>
      <c r="AE25" s="141">
        <f t="shared" ca="1" si="22"/>
        <v>0</v>
      </c>
      <c r="AF25" s="106">
        <f t="shared" ca="1" si="23"/>
        <v>0</v>
      </c>
      <c r="AG25" s="110">
        <f t="shared" ca="1" si="24"/>
        <v>0</v>
      </c>
      <c r="AH25" s="617"/>
      <c r="AI25" s="617"/>
      <c r="AJ25" s="617"/>
      <c r="AK25" s="617"/>
      <c r="AL25" s="618"/>
      <c r="AM25" s="186">
        <f t="shared" ca="1" si="25"/>
        <v>0</v>
      </c>
      <c r="AN25" t="str">
        <f t="shared" ca="1" si="26"/>
        <v/>
      </c>
    </row>
    <row r="26" spans="2:40" x14ac:dyDescent="0.25">
      <c r="B26" s="65">
        <f t="shared" si="27"/>
        <v>1964</v>
      </c>
      <c r="C26" s="76" t="s">
        <v>741</v>
      </c>
      <c r="D26" s="146" t="str">
        <f t="shared" si="0"/>
        <v/>
      </c>
      <c r="E26" s="77">
        <f t="shared" si="1"/>
        <v>0</v>
      </c>
      <c r="F26" s="77">
        <f t="shared" si="2"/>
        <v>0</v>
      </c>
      <c r="G26" s="77">
        <f t="shared" si="3"/>
        <v>1</v>
      </c>
      <c r="H26" s="76">
        <f t="shared" si="4"/>
        <v>1</v>
      </c>
      <c r="I26" s="76">
        <f t="shared" si="5"/>
        <v>0</v>
      </c>
      <c r="J26" s="77">
        <f t="shared" si="6"/>
        <v>0</v>
      </c>
      <c r="K26" s="78">
        <f t="shared" ca="1" si="7"/>
        <v>1</v>
      </c>
      <c r="L26" s="470"/>
      <c r="M26" s="470"/>
      <c r="N26" s="470"/>
      <c r="O26" s="470"/>
      <c r="P26" s="70">
        <f t="shared" ca="1" si="8"/>
        <v>0</v>
      </c>
      <c r="Q26" s="70">
        <f t="shared" ca="1" si="9"/>
        <v>0</v>
      </c>
      <c r="R26" s="70">
        <f t="shared" ca="1" si="10"/>
        <v>0</v>
      </c>
      <c r="S26" s="70">
        <f t="shared" ca="1" si="11"/>
        <v>0</v>
      </c>
      <c r="T26" s="70">
        <f t="shared" ca="1" si="12"/>
        <v>0</v>
      </c>
      <c r="U26" s="70">
        <f t="shared" ca="1" si="13"/>
        <v>0</v>
      </c>
      <c r="V26" s="70">
        <f t="shared" ca="1" si="14"/>
        <v>0</v>
      </c>
      <c r="W26" s="70">
        <f t="shared" ca="1" si="15"/>
        <v>0</v>
      </c>
      <c r="X26" s="70">
        <f t="shared" si="16"/>
        <v>0</v>
      </c>
      <c r="Y26" s="70">
        <f t="shared" si="17"/>
        <v>0</v>
      </c>
      <c r="Z26" s="68">
        <f t="shared" si="18"/>
        <v>1</v>
      </c>
      <c r="AA26" s="84">
        <f t="shared" si="19"/>
        <v>0</v>
      </c>
      <c r="AB26" s="488">
        <f t="array" ref="AB26">ROUNDDOWN(AVERAGE(IFERROR(LARGE((X$6:X25+Y$6:Y25)*Z$6:Z25*(G$6:G25=G26), SC_SSCalcYears),0))/(12*Z26),0)</f>
        <v>0</v>
      </c>
      <c r="AC26" s="69">
        <f t="shared" si="20"/>
        <v>1</v>
      </c>
      <c r="AD26" s="85">
        <f t="shared" si="21"/>
        <v>0</v>
      </c>
      <c r="AE26" s="140">
        <f t="shared" ca="1" si="22"/>
        <v>0</v>
      </c>
      <c r="AF26" s="75">
        <f t="shared" ca="1" si="23"/>
        <v>0</v>
      </c>
      <c r="AG26" s="109">
        <f t="shared" ca="1" si="24"/>
        <v>0</v>
      </c>
      <c r="AH26" s="617">
        <f>SUMIFS($AE26:$AE27,SP_PensionPayout,"Lump sum",$E26:$E27,"&lt;&gt;0")</f>
        <v>0</v>
      </c>
      <c r="AI26" s="617">
        <f>SUMIFS($AE26:$AE27,SP_PensionPayout,"Annuity",$E26:$E27,"&lt;&gt;0")</f>
        <v>0</v>
      </c>
      <c r="AJ26" s="617">
        <f>IF(ISBLANK(INDEX(SP_SSPBFA,1)),0,IF($J26&lt;&gt;INDEX(SP_SSPBFA,1),AJ24,SP_AdditionalRI/INDEX(SC_EA_InflationWageIdx,EAIDX)))</f>
        <v>0</v>
      </c>
      <c r="AK26" s="617">
        <f ca="1">SUMPRODUCT(AF26:AF27, --(G26:G27&lt;&gt;0))</f>
        <v>0</v>
      </c>
      <c r="AL26" s="618">
        <f ca="1">SUMPRODUCT(AG26:AG27, --(E26:E27&lt;&gt;0))+AJ26</f>
        <v>0</v>
      </c>
      <c r="AM26" s="186">
        <f t="shared" ca="1" si="25"/>
        <v>0</v>
      </c>
      <c r="AN26" t="str">
        <f t="shared" ca="1" si="26"/>
        <v/>
      </c>
    </row>
    <row r="27" spans="2:40" x14ac:dyDescent="0.25">
      <c r="B27" s="86">
        <f t="shared" si="27"/>
        <v>1964</v>
      </c>
      <c r="C27" s="80" t="s">
        <v>741</v>
      </c>
      <c r="D27" s="147" t="str">
        <f t="shared" si="0"/>
        <v/>
      </c>
      <c r="E27" s="81">
        <f t="shared" si="1"/>
        <v>0</v>
      </c>
      <c r="F27" s="82">
        <f t="shared" si="2"/>
        <v>0</v>
      </c>
      <c r="G27" s="81">
        <f t="shared" si="3"/>
        <v>2</v>
      </c>
      <c r="H27" s="82">
        <f t="shared" si="4"/>
        <v>-1</v>
      </c>
      <c r="I27" s="82">
        <f t="shared" si="5"/>
        <v>0</v>
      </c>
      <c r="J27" s="81">
        <f t="shared" si="6"/>
        <v>0</v>
      </c>
      <c r="K27" s="83">
        <f t="shared" ca="1" si="7"/>
        <v>1</v>
      </c>
      <c r="L27" s="470"/>
      <c r="M27" s="470"/>
      <c r="N27" s="470"/>
      <c r="O27" s="470"/>
      <c r="P27" s="107">
        <f t="shared" ca="1" si="8"/>
        <v>0</v>
      </c>
      <c r="Q27" s="107">
        <f t="shared" ca="1" si="9"/>
        <v>0</v>
      </c>
      <c r="R27" s="107">
        <f t="shared" ca="1" si="10"/>
        <v>0</v>
      </c>
      <c r="S27" s="107">
        <f t="shared" ca="1" si="11"/>
        <v>0</v>
      </c>
      <c r="T27" s="107">
        <f t="shared" ca="1" si="12"/>
        <v>0</v>
      </c>
      <c r="U27" s="107">
        <f t="shared" ca="1" si="13"/>
        <v>0</v>
      </c>
      <c r="V27" s="107">
        <f t="shared" ca="1" si="14"/>
        <v>0</v>
      </c>
      <c r="W27" s="107">
        <f t="shared" ca="1" si="15"/>
        <v>0</v>
      </c>
      <c r="X27" s="107">
        <f t="shared" si="16"/>
        <v>0</v>
      </c>
      <c r="Y27" s="107">
        <f t="shared" si="17"/>
        <v>0</v>
      </c>
      <c r="Z27" s="87">
        <f t="shared" si="18"/>
        <v>1</v>
      </c>
      <c r="AA27" s="88">
        <f t="shared" si="19"/>
        <v>0</v>
      </c>
      <c r="AB27" s="107">
        <f t="array" ref="AB27">ROUNDDOWN(AVERAGE(IFERROR(LARGE((X$6:X26+Y$6:Y26)*Z$6:Z26*(G$6:G26=G27), SC_SSCalcYears),0))/(12*Z27),0)</f>
        <v>0</v>
      </c>
      <c r="AC27" s="211">
        <f t="shared" si="20"/>
        <v>1</v>
      </c>
      <c r="AD27" s="89">
        <f t="shared" si="21"/>
        <v>0</v>
      </c>
      <c r="AE27" s="141">
        <f t="shared" ca="1" si="22"/>
        <v>0</v>
      </c>
      <c r="AF27" s="106">
        <f t="shared" ca="1" si="23"/>
        <v>0</v>
      </c>
      <c r="AG27" s="110">
        <f t="shared" ca="1" si="24"/>
        <v>0</v>
      </c>
      <c r="AH27" s="617"/>
      <c r="AI27" s="617"/>
      <c r="AJ27" s="617"/>
      <c r="AK27" s="617"/>
      <c r="AL27" s="618"/>
      <c r="AM27" s="186">
        <f t="shared" ca="1" si="25"/>
        <v>0</v>
      </c>
      <c r="AN27" t="str">
        <f t="shared" ca="1" si="26"/>
        <v/>
      </c>
    </row>
    <row r="28" spans="2:40" x14ac:dyDescent="0.25">
      <c r="B28" s="65">
        <f t="shared" si="27"/>
        <v>1965</v>
      </c>
      <c r="C28" s="76" t="s">
        <v>741</v>
      </c>
      <c r="D28" s="146" t="str">
        <f t="shared" si="0"/>
        <v/>
      </c>
      <c r="E28" s="77">
        <f t="shared" si="1"/>
        <v>0</v>
      </c>
      <c r="F28" s="77">
        <f t="shared" si="2"/>
        <v>0</v>
      </c>
      <c r="G28" s="77">
        <f t="shared" si="3"/>
        <v>1</v>
      </c>
      <c r="H28" s="76">
        <f t="shared" si="4"/>
        <v>1</v>
      </c>
      <c r="I28" s="76">
        <f t="shared" si="5"/>
        <v>0</v>
      </c>
      <c r="J28" s="77">
        <f t="shared" si="6"/>
        <v>0</v>
      </c>
      <c r="K28" s="78">
        <f t="shared" ca="1" si="7"/>
        <v>1</v>
      </c>
      <c r="L28" s="470"/>
      <c r="M28" s="470"/>
      <c r="N28" s="470"/>
      <c r="O28" s="470"/>
      <c r="P28" s="70">
        <f t="shared" ca="1" si="8"/>
        <v>0</v>
      </c>
      <c r="Q28" s="70">
        <f t="shared" ca="1" si="9"/>
        <v>0</v>
      </c>
      <c r="R28" s="70">
        <f t="shared" ca="1" si="10"/>
        <v>0</v>
      </c>
      <c r="S28" s="70">
        <f t="shared" ca="1" si="11"/>
        <v>0</v>
      </c>
      <c r="T28" s="70">
        <f t="shared" ca="1" si="12"/>
        <v>0</v>
      </c>
      <c r="U28" s="70">
        <f t="shared" ca="1" si="13"/>
        <v>0</v>
      </c>
      <c r="V28" s="70">
        <f t="shared" ca="1" si="14"/>
        <v>0</v>
      </c>
      <c r="W28" s="70">
        <f t="shared" ca="1" si="15"/>
        <v>0</v>
      </c>
      <c r="X28" s="70">
        <f t="shared" si="16"/>
        <v>0</v>
      </c>
      <c r="Y28" s="70">
        <f t="shared" si="17"/>
        <v>0</v>
      </c>
      <c r="Z28" s="68">
        <f t="shared" si="18"/>
        <v>1</v>
      </c>
      <c r="AA28" s="84">
        <f t="shared" si="19"/>
        <v>0</v>
      </c>
      <c r="AB28" s="488">
        <f t="array" ref="AB28">ROUNDDOWN(AVERAGE(IFERROR(LARGE((X$6:X27+Y$6:Y27)*Z$6:Z27*(G$6:G27=G28), SC_SSCalcYears),0))/(12*Z28),0)</f>
        <v>0</v>
      </c>
      <c r="AC28" s="69">
        <f t="shared" si="20"/>
        <v>1</v>
      </c>
      <c r="AD28" s="85">
        <f t="shared" si="21"/>
        <v>0</v>
      </c>
      <c r="AE28" s="140">
        <f t="shared" ca="1" si="22"/>
        <v>0</v>
      </c>
      <c r="AF28" s="75">
        <f t="shared" ca="1" si="23"/>
        <v>0</v>
      </c>
      <c r="AG28" s="109">
        <f t="shared" ca="1" si="24"/>
        <v>0</v>
      </c>
      <c r="AH28" s="617">
        <f>SUMIFS($AE28:$AE29,SP_PensionPayout,"Lump sum",$E28:$E29,"&lt;&gt;0")</f>
        <v>0</v>
      </c>
      <c r="AI28" s="617">
        <f>SUMIFS($AE28:$AE29,SP_PensionPayout,"Annuity",$E28:$E29,"&lt;&gt;0")</f>
        <v>0</v>
      </c>
      <c r="AJ28" s="617">
        <f>IF(ISBLANK(INDEX(SP_SSPBFA,1)),0,IF($J28&lt;&gt;INDEX(SP_SSPBFA,1),AJ26,SP_AdditionalRI/INDEX(SC_EA_InflationWageIdx,EAIDX)))</f>
        <v>0</v>
      </c>
      <c r="AK28" s="617">
        <f ca="1">SUMPRODUCT(AF28:AF29, --(G28:G29&lt;&gt;0))</f>
        <v>0</v>
      </c>
      <c r="AL28" s="618">
        <f ca="1">SUMPRODUCT(AG28:AG29, --(E28:E29&lt;&gt;0))+AJ28</f>
        <v>0</v>
      </c>
      <c r="AM28" s="186">
        <f t="shared" ca="1" si="25"/>
        <v>0</v>
      </c>
      <c r="AN28" t="str">
        <f t="shared" ca="1" si="26"/>
        <v/>
      </c>
    </row>
    <row r="29" spans="2:40" x14ac:dyDescent="0.25">
      <c r="B29" s="86">
        <f t="shared" si="27"/>
        <v>1965</v>
      </c>
      <c r="C29" s="80" t="s">
        <v>741</v>
      </c>
      <c r="D29" s="147" t="str">
        <f t="shared" si="0"/>
        <v/>
      </c>
      <c r="E29" s="81">
        <f t="shared" si="1"/>
        <v>0</v>
      </c>
      <c r="F29" s="82">
        <f t="shared" si="2"/>
        <v>0</v>
      </c>
      <c r="G29" s="81">
        <f t="shared" si="3"/>
        <v>2</v>
      </c>
      <c r="H29" s="82">
        <f t="shared" si="4"/>
        <v>-1</v>
      </c>
      <c r="I29" s="82">
        <f t="shared" si="5"/>
        <v>0</v>
      </c>
      <c r="J29" s="81">
        <f t="shared" si="6"/>
        <v>0</v>
      </c>
      <c r="K29" s="83">
        <f t="shared" ca="1" si="7"/>
        <v>1</v>
      </c>
      <c r="L29" s="470"/>
      <c r="M29" s="470"/>
      <c r="N29" s="470"/>
      <c r="O29" s="470"/>
      <c r="P29" s="107">
        <f t="shared" ca="1" si="8"/>
        <v>0</v>
      </c>
      <c r="Q29" s="107">
        <f t="shared" ca="1" si="9"/>
        <v>0</v>
      </c>
      <c r="R29" s="107">
        <f t="shared" ca="1" si="10"/>
        <v>0</v>
      </c>
      <c r="S29" s="107">
        <f t="shared" ca="1" si="11"/>
        <v>0</v>
      </c>
      <c r="T29" s="107">
        <f t="shared" ca="1" si="12"/>
        <v>0</v>
      </c>
      <c r="U29" s="107">
        <f t="shared" ca="1" si="13"/>
        <v>0</v>
      </c>
      <c r="V29" s="107">
        <f t="shared" ca="1" si="14"/>
        <v>0</v>
      </c>
      <c r="W29" s="107">
        <f t="shared" ca="1" si="15"/>
        <v>0</v>
      </c>
      <c r="X29" s="107">
        <f t="shared" si="16"/>
        <v>0</v>
      </c>
      <c r="Y29" s="107">
        <f t="shared" si="17"/>
        <v>0</v>
      </c>
      <c r="Z29" s="87">
        <f t="shared" si="18"/>
        <v>1</v>
      </c>
      <c r="AA29" s="88">
        <f t="shared" si="19"/>
        <v>0</v>
      </c>
      <c r="AB29" s="107">
        <f t="array" ref="AB29">ROUNDDOWN(AVERAGE(IFERROR(LARGE((X$6:X28+Y$6:Y28)*Z$6:Z28*(G$6:G28=G29), SC_SSCalcYears),0))/(12*Z29),0)</f>
        <v>0</v>
      </c>
      <c r="AC29" s="211">
        <f t="shared" si="20"/>
        <v>1</v>
      </c>
      <c r="AD29" s="89">
        <f t="shared" si="21"/>
        <v>0</v>
      </c>
      <c r="AE29" s="141">
        <f t="shared" ca="1" si="22"/>
        <v>0</v>
      </c>
      <c r="AF29" s="106">
        <f t="shared" ca="1" si="23"/>
        <v>0</v>
      </c>
      <c r="AG29" s="110">
        <f t="shared" ca="1" si="24"/>
        <v>0</v>
      </c>
      <c r="AH29" s="617"/>
      <c r="AI29" s="617"/>
      <c r="AJ29" s="617"/>
      <c r="AK29" s="617"/>
      <c r="AL29" s="618"/>
      <c r="AM29" s="186">
        <f t="shared" ca="1" si="25"/>
        <v>0</v>
      </c>
      <c r="AN29" t="str">
        <f t="shared" ca="1" si="26"/>
        <v/>
      </c>
    </row>
    <row r="30" spans="2:40" x14ac:dyDescent="0.25">
      <c r="B30" s="65">
        <f t="shared" si="27"/>
        <v>1966</v>
      </c>
      <c r="C30" s="76" t="s">
        <v>741</v>
      </c>
      <c r="D30" s="146" t="str">
        <f t="shared" si="0"/>
        <v/>
      </c>
      <c r="E30" s="77">
        <f t="shared" si="1"/>
        <v>0</v>
      </c>
      <c r="F30" s="77">
        <f t="shared" si="2"/>
        <v>0</v>
      </c>
      <c r="G30" s="77">
        <f t="shared" si="3"/>
        <v>1</v>
      </c>
      <c r="H30" s="76">
        <f t="shared" si="4"/>
        <v>1</v>
      </c>
      <c r="I30" s="76">
        <f t="shared" si="5"/>
        <v>0</v>
      </c>
      <c r="J30" s="77">
        <f t="shared" si="6"/>
        <v>0</v>
      </c>
      <c r="K30" s="78">
        <f t="shared" ca="1" si="7"/>
        <v>1</v>
      </c>
      <c r="L30" s="470"/>
      <c r="M30" s="470"/>
      <c r="N30" s="470"/>
      <c r="O30" s="470"/>
      <c r="P30" s="70">
        <f t="shared" ca="1" si="8"/>
        <v>0</v>
      </c>
      <c r="Q30" s="70">
        <f t="shared" ca="1" si="9"/>
        <v>0</v>
      </c>
      <c r="R30" s="70">
        <f t="shared" ca="1" si="10"/>
        <v>0</v>
      </c>
      <c r="S30" s="70">
        <f t="shared" ca="1" si="11"/>
        <v>0</v>
      </c>
      <c r="T30" s="70">
        <f t="shared" ca="1" si="12"/>
        <v>0</v>
      </c>
      <c r="U30" s="70">
        <f t="shared" ca="1" si="13"/>
        <v>0</v>
      </c>
      <c r="V30" s="70">
        <f t="shared" ca="1" si="14"/>
        <v>0</v>
      </c>
      <c r="W30" s="70">
        <f t="shared" ca="1" si="15"/>
        <v>0</v>
      </c>
      <c r="X30" s="70">
        <f t="shared" si="16"/>
        <v>0</v>
      </c>
      <c r="Y30" s="70">
        <f t="shared" si="17"/>
        <v>0</v>
      </c>
      <c r="Z30" s="68">
        <f t="shared" si="18"/>
        <v>1</v>
      </c>
      <c r="AA30" s="84">
        <f t="shared" si="19"/>
        <v>0</v>
      </c>
      <c r="AB30" s="488">
        <f t="array" ref="AB30">ROUNDDOWN(AVERAGE(IFERROR(LARGE((X$6:X29+Y$6:Y29)*Z$6:Z29*(G$6:G29=G30), SC_SSCalcYears),0))/(12*Z30),0)</f>
        <v>0</v>
      </c>
      <c r="AC30" s="69">
        <f t="shared" si="20"/>
        <v>1</v>
      </c>
      <c r="AD30" s="85">
        <f t="shared" si="21"/>
        <v>0</v>
      </c>
      <c r="AE30" s="140">
        <f t="shared" ca="1" si="22"/>
        <v>0</v>
      </c>
      <c r="AF30" s="75">
        <f t="shared" ca="1" si="23"/>
        <v>0</v>
      </c>
      <c r="AG30" s="109">
        <f t="shared" ca="1" si="24"/>
        <v>0</v>
      </c>
      <c r="AH30" s="617">
        <f>SUMIFS($AE30:$AE31,SP_PensionPayout,"Lump sum",$E30:$E31,"&lt;&gt;0")</f>
        <v>0</v>
      </c>
      <c r="AI30" s="617">
        <f>SUMIFS($AE30:$AE31,SP_PensionPayout,"Annuity",$E30:$E31,"&lt;&gt;0")</f>
        <v>0</v>
      </c>
      <c r="AJ30" s="617">
        <f>IF(ISBLANK(INDEX(SP_SSPBFA,1)),0,IF($J30&lt;&gt;INDEX(SP_SSPBFA,1),AJ28,SP_AdditionalRI/INDEX(SC_EA_InflationWageIdx,EAIDX)))</f>
        <v>0</v>
      </c>
      <c r="AK30" s="617">
        <f ca="1">SUMPRODUCT(AF30:AF31, --(G30:G31&lt;&gt;0))</f>
        <v>0</v>
      </c>
      <c r="AL30" s="618">
        <f ca="1">SUMPRODUCT(AG30:AG31, --(E30:E31&lt;&gt;0))+AJ30</f>
        <v>0</v>
      </c>
      <c r="AM30" s="186">
        <f t="shared" ca="1" si="25"/>
        <v>0</v>
      </c>
      <c r="AN30" t="str">
        <f t="shared" ca="1" si="26"/>
        <v/>
      </c>
    </row>
    <row r="31" spans="2:40" x14ac:dyDescent="0.25">
      <c r="B31" s="86">
        <f t="shared" si="27"/>
        <v>1966</v>
      </c>
      <c r="C31" s="80" t="s">
        <v>741</v>
      </c>
      <c r="D31" s="147" t="str">
        <f t="shared" si="0"/>
        <v/>
      </c>
      <c r="E31" s="81">
        <f t="shared" si="1"/>
        <v>0</v>
      </c>
      <c r="F31" s="82">
        <f t="shared" si="2"/>
        <v>0</v>
      </c>
      <c r="G31" s="81">
        <f t="shared" si="3"/>
        <v>2</v>
      </c>
      <c r="H31" s="82">
        <f t="shared" si="4"/>
        <v>-1</v>
      </c>
      <c r="I31" s="82">
        <f t="shared" si="5"/>
        <v>0</v>
      </c>
      <c r="J31" s="81">
        <f t="shared" si="6"/>
        <v>0</v>
      </c>
      <c r="K31" s="83">
        <f t="shared" ca="1" si="7"/>
        <v>1</v>
      </c>
      <c r="L31" s="470"/>
      <c r="M31" s="470"/>
      <c r="N31" s="470"/>
      <c r="O31" s="470"/>
      <c r="P31" s="107">
        <f t="shared" ca="1" si="8"/>
        <v>0</v>
      </c>
      <c r="Q31" s="107">
        <f t="shared" ca="1" si="9"/>
        <v>0</v>
      </c>
      <c r="R31" s="107">
        <f t="shared" ca="1" si="10"/>
        <v>0</v>
      </c>
      <c r="S31" s="107">
        <f t="shared" ca="1" si="11"/>
        <v>0</v>
      </c>
      <c r="T31" s="107">
        <f t="shared" ca="1" si="12"/>
        <v>0</v>
      </c>
      <c r="U31" s="107">
        <f t="shared" ca="1" si="13"/>
        <v>0</v>
      </c>
      <c r="V31" s="107">
        <f t="shared" ca="1" si="14"/>
        <v>0</v>
      </c>
      <c r="W31" s="107">
        <f t="shared" ca="1" si="15"/>
        <v>0</v>
      </c>
      <c r="X31" s="107">
        <f t="shared" si="16"/>
        <v>0</v>
      </c>
      <c r="Y31" s="107">
        <f t="shared" si="17"/>
        <v>0</v>
      </c>
      <c r="Z31" s="87">
        <f t="shared" si="18"/>
        <v>1</v>
      </c>
      <c r="AA31" s="88">
        <f t="shared" si="19"/>
        <v>0</v>
      </c>
      <c r="AB31" s="107">
        <f t="array" ref="AB31">ROUNDDOWN(AVERAGE(IFERROR(LARGE((X$6:X30+Y$6:Y30)*Z$6:Z30*(G$6:G30=G31), SC_SSCalcYears),0))/(12*Z31),0)</f>
        <v>0</v>
      </c>
      <c r="AC31" s="211">
        <f t="shared" si="20"/>
        <v>1</v>
      </c>
      <c r="AD31" s="89">
        <f t="shared" si="21"/>
        <v>0</v>
      </c>
      <c r="AE31" s="141">
        <f t="shared" ca="1" si="22"/>
        <v>0</v>
      </c>
      <c r="AF31" s="106">
        <f t="shared" ca="1" si="23"/>
        <v>0</v>
      </c>
      <c r="AG31" s="110">
        <f t="shared" ca="1" si="24"/>
        <v>0</v>
      </c>
      <c r="AH31" s="617"/>
      <c r="AI31" s="617"/>
      <c r="AJ31" s="617"/>
      <c r="AK31" s="617"/>
      <c r="AL31" s="618"/>
      <c r="AM31" s="186">
        <f t="shared" ca="1" si="25"/>
        <v>0</v>
      </c>
      <c r="AN31" t="str">
        <f t="shared" ca="1" si="26"/>
        <v/>
      </c>
    </row>
    <row r="32" spans="2:40" x14ac:dyDescent="0.25">
      <c r="B32" s="65">
        <f t="shared" si="27"/>
        <v>1967</v>
      </c>
      <c r="C32" s="76" t="s">
        <v>741</v>
      </c>
      <c r="D32" s="146" t="str">
        <f t="shared" si="0"/>
        <v/>
      </c>
      <c r="E32" s="77">
        <f t="shared" si="1"/>
        <v>0</v>
      </c>
      <c r="F32" s="77">
        <f t="shared" si="2"/>
        <v>0</v>
      </c>
      <c r="G32" s="77">
        <f t="shared" si="3"/>
        <v>1</v>
      </c>
      <c r="H32" s="76">
        <f t="shared" si="4"/>
        <v>1</v>
      </c>
      <c r="I32" s="76">
        <f t="shared" si="5"/>
        <v>0</v>
      </c>
      <c r="J32" s="77">
        <f t="shared" si="6"/>
        <v>0</v>
      </c>
      <c r="K32" s="78">
        <f t="shared" ca="1" si="7"/>
        <v>1</v>
      </c>
      <c r="L32" s="470"/>
      <c r="M32" s="470"/>
      <c r="N32" s="470"/>
      <c r="O32" s="470"/>
      <c r="P32" s="70">
        <f t="shared" ca="1" si="8"/>
        <v>0</v>
      </c>
      <c r="Q32" s="70">
        <f t="shared" ca="1" si="9"/>
        <v>0</v>
      </c>
      <c r="R32" s="70">
        <f t="shared" ca="1" si="10"/>
        <v>0</v>
      </c>
      <c r="S32" s="70">
        <f t="shared" ca="1" si="11"/>
        <v>0</v>
      </c>
      <c r="T32" s="70">
        <f t="shared" ca="1" si="12"/>
        <v>0</v>
      </c>
      <c r="U32" s="70">
        <f t="shared" ca="1" si="13"/>
        <v>0</v>
      </c>
      <c r="V32" s="70">
        <f t="shared" ca="1" si="14"/>
        <v>0</v>
      </c>
      <c r="W32" s="70">
        <f t="shared" ca="1" si="15"/>
        <v>0</v>
      </c>
      <c r="X32" s="70">
        <f t="shared" si="16"/>
        <v>0</v>
      </c>
      <c r="Y32" s="70">
        <f t="shared" si="17"/>
        <v>0</v>
      </c>
      <c r="Z32" s="68">
        <f t="shared" si="18"/>
        <v>1</v>
      </c>
      <c r="AA32" s="84">
        <f t="shared" si="19"/>
        <v>0</v>
      </c>
      <c r="AB32" s="488">
        <f t="array" ref="AB32">ROUNDDOWN(AVERAGE(IFERROR(LARGE((X$6:X31+Y$6:Y31)*Z$6:Z31*(G$6:G31=G32), SC_SSCalcYears),0))/(12*Z32),0)</f>
        <v>0</v>
      </c>
      <c r="AC32" s="69">
        <f t="shared" si="20"/>
        <v>1</v>
      </c>
      <c r="AD32" s="85">
        <f t="shared" si="21"/>
        <v>0</v>
      </c>
      <c r="AE32" s="140">
        <f t="shared" ca="1" si="22"/>
        <v>0</v>
      </c>
      <c r="AF32" s="75">
        <f t="shared" ca="1" si="23"/>
        <v>0</v>
      </c>
      <c r="AG32" s="109">
        <f t="shared" ca="1" si="24"/>
        <v>0</v>
      </c>
      <c r="AH32" s="617">
        <f>SUMIFS($AE32:$AE33,SP_PensionPayout,"Lump sum",$E32:$E33,"&lt;&gt;0")</f>
        <v>0</v>
      </c>
      <c r="AI32" s="617">
        <f>SUMIFS($AE32:$AE33,SP_PensionPayout,"Annuity",$E32:$E33,"&lt;&gt;0")</f>
        <v>0</v>
      </c>
      <c r="AJ32" s="617">
        <f>IF(ISBLANK(INDEX(SP_SSPBFA,1)),0,IF($J32&lt;&gt;INDEX(SP_SSPBFA,1),AJ30,SP_AdditionalRI/INDEX(SC_EA_InflationWageIdx,EAIDX)))</f>
        <v>0</v>
      </c>
      <c r="AK32" s="617">
        <f ca="1">SUMPRODUCT(AF32:AF33, --(G32:G33&lt;&gt;0))</f>
        <v>0</v>
      </c>
      <c r="AL32" s="618">
        <f ca="1">SUMPRODUCT(AG32:AG33, --(E32:E33&lt;&gt;0))+AJ32</f>
        <v>0</v>
      </c>
      <c r="AM32" s="186">
        <f t="shared" ca="1" si="25"/>
        <v>0</v>
      </c>
      <c r="AN32" t="str">
        <f t="shared" ca="1" si="26"/>
        <v/>
      </c>
    </row>
    <row r="33" spans="2:40" x14ac:dyDescent="0.25">
      <c r="B33" s="86">
        <f t="shared" si="27"/>
        <v>1967</v>
      </c>
      <c r="C33" s="80" t="s">
        <v>741</v>
      </c>
      <c r="D33" s="147" t="str">
        <f t="shared" si="0"/>
        <v/>
      </c>
      <c r="E33" s="81">
        <f t="shared" si="1"/>
        <v>0</v>
      </c>
      <c r="F33" s="82">
        <f t="shared" si="2"/>
        <v>0</v>
      </c>
      <c r="G33" s="81">
        <f t="shared" si="3"/>
        <v>2</v>
      </c>
      <c r="H33" s="82">
        <f t="shared" si="4"/>
        <v>-1</v>
      </c>
      <c r="I33" s="82">
        <f t="shared" si="5"/>
        <v>0</v>
      </c>
      <c r="J33" s="81">
        <f t="shared" si="6"/>
        <v>0</v>
      </c>
      <c r="K33" s="83">
        <f t="shared" ca="1" si="7"/>
        <v>1</v>
      </c>
      <c r="L33" s="470"/>
      <c r="M33" s="470"/>
      <c r="N33" s="470"/>
      <c r="O33" s="470"/>
      <c r="P33" s="107">
        <f t="shared" ca="1" si="8"/>
        <v>0</v>
      </c>
      <c r="Q33" s="107">
        <f t="shared" ca="1" si="9"/>
        <v>0</v>
      </c>
      <c r="R33" s="107">
        <f t="shared" ca="1" si="10"/>
        <v>0</v>
      </c>
      <c r="S33" s="107">
        <f t="shared" ca="1" si="11"/>
        <v>0</v>
      </c>
      <c r="T33" s="107">
        <f t="shared" ca="1" si="12"/>
        <v>0</v>
      </c>
      <c r="U33" s="107">
        <f t="shared" ca="1" si="13"/>
        <v>0</v>
      </c>
      <c r="V33" s="107">
        <f t="shared" ca="1" si="14"/>
        <v>0</v>
      </c>
      <c r="W33" s="107">
        <f t="shared" ca="1" si="15"/>
        <v>0</v>
      </c>
      <c r="X33" s="107">
        <f t="shared" si="16"/>
        <v>0</v>
      </c>
      <c r="Y33" s="107">
        <f t="shared" si="17"/>
        <v>0</v>
      </c>
      <c r="Z33" s="87">
        <f t="shared" si="18"/>
        <v>1</v>
      </c>
      <c r="AA33" s="88">
        <f t="shared" si="19"/>
        <v>0</v>
      </c>
      <c r="AB33" s="107">
        <f t="array" ref="AB33">ROUNDDOWN(AVERAGE(IFERROR(LARGE((X$6:X32+Y$6:Y32)*Z$6:Z32*(G$6:G32=G33), SC_SSCalcYears),0))/(12*Z33),0)</f>
        <v>0</v>
      </c>
      <c r="AC33" s="211">
        <f t="shared" si="20"/>
        <v>1</v>
      </c>
      <c r="AD33" s="89">
        <f t="shared" si="21"/>
        <v>0</v>
      </c>
      <c r="AE33" s="141">
        <f t="shared" ca="1" si="22"/>
        <v>0</v>
      </c>
      <c r="AF33" s="106">
        <f t="shared" ca="1" si="23"/>
        <v>0</v>
      </c>
      <c r="AG33" s="110">
        <f t="shared" ca="1" si="24"/>
        <v>0</v>
      </c>
      <c r="AH33" s="617"/>
      <c r="AI33" s="617"/>
      <c r="AJ33" s="617"/>
      <c r="AK33" s="617"/>
      <c r="AL33" s="618"/>
      <c r="AM33" s="186">
        <f t="shared" ca="1" si="25"/>
        <v>0</v>
      </c>
      <c r="AN33" t="str">
        <f t="shared" ca="1" si="26"/>
        <v/>
      </c>
    </row>
    <row r="34" spans="2:40" x14ac:dyDescent="0.25">
      <c r="B34" s="65">
        <f t="shared" si="27"/>
        <v>1968</v>
      </c>
      <c r="C34" s="76" t="s">
        <v>741</v>
      </c>
      <c r="D34" s="146" t="str">
        <f t="shared" si="0"/>
        <v/>
      </c>
      <c r="E34" s="77">
        <f t="shared" si="1"/>
        <v>0</v>
      </c>
      <c r="F34" s="77">
        <f t="shared" si="2"/>
        <v>0</v>
      </c>
      <c r="G34" s="77">
        <f t="shared" si="3"/>
        <v>1</v>
      </c>
      <c r="H34" s="76">
        <f t="shared" si="4"/>
        <v>1</v>
      </c>
      <c r="I34" s="76">
        <f t="shared" si="5"/>
        <v>0</v>
      </c>
      <c r="J34" s="77">
        <f t="shared" si="6"/>
        <v>0</v>
      </c>
      <c r="K34" s="78">
        <f t="shared" ca="1" si="7"/>
        <v>1</v>
      </c>
      <c r="L34" s="470"/>
      <c r="M34" s="470"/>
      <c r="N34" s="470"/>
      <c r="O34" s="470"/>
      <c r="P34" s="70">
        <f t="shared" ca="1" si="8"/>
        <v>0</v>
      </c>
      <c r="Q34" s="70">
        <f t="shared" ca="1" si="9"/>
        <v>0</v>
      </c>
      <c r="R34" s="70">
        <f t="shared" ca="1" si="10"/>
        <v>0</v>
      </c>
      <c r="S34" s="70">
        <f t="shared" ca="1" si="11"/>
        <v>0</v>
      </c>
      <c r="T34" s="70">
        <f t="shared" ca="1" si="12"/>
        <v>0</v>
      </c>
      <c r="U34" s="70">
        <f t="shared" ca="1" si="13"/>
        <v>0</v>
      </c>
      <c r="V34" s="70">
        <f t="shared" ca="1" si="14"/>
        <v>0</v>
      </c>
      <c r="W34" s="70">
        <f t="shared" ca="1" si="15"/>
        <v>0</v>
      </c>
      <c r="X34" s="70">
        <f t="shared" si="16"/>
        <v>0</v>
      </c>
      <c r="Y34" s="70">
        <f t="shared" si="17"/>
        <v>0</v>
      </c>
      <c r="Z34" s="68">
        <f t="shared" si="18"/>
        <v>1</v>
      </c>
      <c r="AA34" s="84">
        <f t="shared" si="19"/>
        <v>0</v>
      </c>
      <c r="AB34" s="488">
        <f t="array" ref="AB34">ROUNDDOWN(AVERAGE(IFERROR(LARGE((X$6:X33+Y$6:Y33)*Z$6:Z33*(G$6:G33=G34), SC_SSCalcYears),0))/(12*Z34),0)</f>
        <v>0</v>
      </c>
      <c r="AC34" s="69">
        <f t="shared" si="20"/>
        <v>1</v>
      </c>
      <c r="AD34" s="85">
        <f t="shared" si="21"/>
        <v>0</v>
      </c>
      <c r="AE34" s="140">
        <f t="shared" ca="1" si="22"/>
        <v>0</v>
      </c>
      <c r="AF34" s="75">
        <f t="shared" ca="1" si="23"/>
        <v>0</v>
      </c>
      <c r="AG34" s="109">
        <f t="shared" ca="1" si="24"/>
        <v>0</v>
      </c>
      <c r="AH34" s="617">
        <f>SUMIFS($AE34:$AE35,SP_PensionPayout,"Lump sum",$E34:$E35,"&lt;&gt;0")</f>
        <v>0</v>
      </c>
      <c r="AI34" s="617">
        <f>SUMIFS($AE34:$AE35,SP_PensionPayout,"Annuity",$E34:$E35,"&lt;&gt;0")</f>
        <v>0</v>
      </c>
      <c r="AJ34" s="617">
        <f>IF(ISBLANK(INDEX(SP_SSPBFA,1)),0,IF($J34&lt;&gt;INDEX(SP_SSPBFA,1),AJ32,SP_AdditionalRI/INDEX(SC_EA_InflationWageIdx,EAIDX)))</f>
        <v>0</v>
      </c>
      <c r="AK34" s="617">
        <f ca="1">SUMPRODUCT(AF34:AF35, --(G34:G35&lt;&gt;0))</f>
        <v>0</v>
      </c>
      <c r="AL34" s="618">
        <f ca="1">SUMPRODUCT(AG34:AG35, --(E34:E35&lt;&gt;0))+AJ34</f>
        <v>0</v>
      </c>
      <c r="AM34" s="186">
        <f t="shared" ca="1" si="25"/>
        <v>0</v>
      </c>
      <c r="AN34" t="str">
        <f t="shared" ca="1" si="26"/>
        <v/>
      </c>
    </row>
    <row r="35" spans="2:40" x14ac:dyDescent="0.25">
      <c r="B35" s="86">
        <f t="shared" si="27"/>
        <v>1968</v>
      </c>
      <c r="C35" s="80" t="s">
        <v>741</v>
      </c>
      <c r="D35" s="147" t="str">
        <f t="shared" si="0"/>
        <v/>
      </c>
      <c r="E35" s="81">
        <f t="shared" si="1"/>
        <v>0</v>
      </c>
      <c r="F35" s="82">
        <f t="shared" si="2"/>
        <v>0</v>
      </c>
      <c r="G35" s="81">
        <f t="shared" si="3"/>
        <v>2</v>
      </c>
      <c r="H35" s="82">
        <f t="shared" si="4"/>
        <v>-1</v>
      </c>
      <c r="I35" s="82">
        <f t="shared" si="5"/>
        <v>0</v>
      </c>
      <c r="J35" s="81">
        <f t="shared" si="6"/>
        <v>0</v>
      </c>
      <c r="K35" s="83">
        <f t="shared" ca="1" si="7"/>
        <v>1</v>
      </c>
      <c r="L35" s="470"/>
      <c r="M35" s="470"/>
      <c r="N35" s="470"/>
      <c r="O35" s="470"/>
      <c r="P35" s="107">
        <f t="shared" ca="1" si="8"/>
        <v>0</v>
      </c>
      <c r="Q35" s="107">
        <f t="shared" ca="1" si="9"/>
        <v>0</v>
      </c>
      <c r="R35" s="107">
        <f t="shared" ca="1" si="10"/>
        <v>0</v>
      </c>
      <c r="S35" s="107">
        <f t="shared" ca="1" si="11"/>
        <v>0</v>
      </c>
      <c r="T35" s="107">
        <f t="shared" ca="1" si="12"/>
        <v>0</v>
      </c>
      <c r="U35" s="107">
        <f t="shared" ca="1" si="13"/>
        <v>0</v>
      </c>
      <c r="V35" s="107">
        <f t="shared" ca="1" si="14"/>
        <v>0</v>
      </c>
      <c r="W35" s="107">
        <f t="shared" ca="1" si="15"/>
        <v>0</v>
      </c>
      <c r="X35" s="107">
        <f t="shared" si="16"/>
        <v>0</v>
      </c>
      <c r="Y35" s="107">
        <f t="shared" si="17"/>
        <v>0</v>
      </c>
      <c r="Z35" s="87">
        <f t="shared" si="18"/>
        <v>1</v>
      </c>
      <c r="AA35" s="88">
        <f t="shared" si="19"/>
        <v>0</v>
      </c>
      <c r="AB35" s="107">
        <f t="array" ref="AB35">ROUNDDOWN(AVERAGE(IFERROR(LARGE((X$6:X34+Y$6:Y34)*Z$6:Z34*(G$6:G34=G35), SC_SSCalcYears),0))/(12*Z35),0)</f>
        <v>0</v>
      </c>
      <c r="AC35" s="211">
        <f t="shared" si="20"/>
        <v>1</v>
      </c>
      <c r="AD35" s="89">
        <f t="shared" si="21"/>
        <v>0</v>
      </c>
      <c r="AE35" s="141">
        <f t="shared" ca="1" si="22"/>
        <v>0</v>
      </c>
      <c r="AF35" s="106">
        <f t="shared" ca="1" si="23"/>
        <v>0</v>
      </c>
      <c r="AG35" s="110">
        <f t="shared" ca="1" si="24"/>
        <v>0</v>
      </c>
      <c r="AH35" s="617"/>
      <c r="AI35" s="617"/>
      <c r="AJ35" s="617"/>
      <c r="AK35" s="617"/>
      <c r="AL35" s="618"/>
      <c r="AM35" s="186">
        <f t="shared" ca="1" si="25"/>
        <v>0</v>
      </c>
      <c r="AN35" t="str">
        <f t="shared" ca="1" si="26"/>
        <v/>
      </c>
    </row>
    <row r="36" spans="2:40" x14ac:dyDescent="0.25">
      <c r="B36" s="65">
        <f t="shared" si="27"/>
        <v>1969</v>
      </c>
      <c r="C36" s="76" t="s">
        <v>741</v>
      </c>
      <c r="D36" s="146" t="str">
        <f t="shared" si="0"/>
        <v/>
      </c>
      <c r="E36" s="77">
        <f t="shared" si="1"/>
        <v>0</v>
      </c>
      <c r="F36" s="77">
        <f t="shared" si="2"/>
        <v>0</v>
      </c>
      <c r="G36" s="77">
        <f t="shared" si="3"/>
        <v>1</v>
      </c>
      <c r="H36" s="76">
        <f t="shared" si="4"/>
        <v>1</v>
      </c>
      <c r="I36" s="76">
        <f t="shared" si="5"/>
        <v>0</v>
      </c>
      <c r="J36" s="77">
        <f t="shared" si="6"/>
        <v>0</v>
      </c>
      <c r="K36" s="78">
        <f t="shared" ca="1" si="7"/>
        <v>1</v>
      </c>
      <c r="L36" s="470"/>
      <c r="M36" s="470"/>
      <c r="N36" s="470"/>
      <c r="O36" s="470"/>
      <c r="P36" s="70">
        <f t="shared" ca="1" si="8"/>
        <v>0</v>
      </c>
      <c r="Q36" s="70">
        <f t="shared" ca="1" si="9"/>
        <v>0</v>
      </c>
      <c r="R36" s="70">
        <f t="shared" ca="1" si="10"/>
        <v>0</v>
      </c>
      <c r="S36" s="70">
        <f t="shared" ca="1" si="11"/>
        <v>0</v>
      </c>
      <c r="T36" s="70">
        <f t="shared" ca="1" si="12"/>
        <v>0</v>
      </c>
      <c r="U36" s="70">
        <f t="shared" ca="1" si="13"/>
        <v>0</v>
      </c>
      <c r="V36" s="70">
        <f t="shared" ca="1" si="14"/>
        <v>0</v>
      </c>
      <c r="W36" s="70">
        <f t="shared" ca="1" si="15"/>
        <v>0</v>
      </c>
      <c r="X36" s="70">
        <f t="shared" si="16"/>
        <v>0</v>
      </c>
      <c r="Y36" s="70">
        <f t="shared" si="17"/>
        <v>0</v>
      </c>
      <c r="Z36" s="68">
        <f t="shared" si="18"/>
        <v>1</v>
      </c>
      <c r="AA36" s="84">
        <f t="shared" si="19"/>
        <v>0</v>
      </c>
      <c r="AB36" s="488">
        <f t="array" ref="AB36">ROUNDDOWN(AVERAGE(IFERROR(LARGE((X$6:X35+Y$6:Y35)*Z$6:Z35*(G$6:G35=G36), SC_SSCalcYears),0))/(12*Z36),0)</f>
        <v>0</v>
      </c>
      <c r="AC36" s="69">
        <f t="shared" si="20"/>
        <v>1</v>
      </c>
      <c r="AD36" s="85">
        <f t="shared" si="21"/>
        <v>0</v>
      </c>
      <c r="AE36" s="140">
        <f t="shared" ca="1" si="22"/>
        <v>0</v>
      </c>
      <c r="AF36" s="75">
        <f t="shared" ca="1" si="23"/>
        <v>0</v>
      </c>
      <c r="AG36" s="109">
        <f t="shared" ca="1" si="24"/>
        <v>0</v>
      </c>
      <c r="AH36" s="617">
        <f>SUMIFS($AE36:$AE37,SP_PensionPayout,"Lump sum",$E36:$E37,"&lt;&gt;0")</f>
        <v>0</v>
      </c>
      <c r="AI36" s="617">
        <f>SUMIFS($AE36:$AE37,SP_PensionPayout,"Annuity",$E36:$E37,"&lt;&gt;0")</f>
        <v>0</v>
      </c>
      <c r="AJ36" s="617">
        <f>IF(ISBLANK(INDEX(SP_SSPBFA,1)),0,IF($J36&lt;&gt;INDEX(SP_SSPBFA,1),AJ34,SP_AdditionalRI/INDEX(SC_EA_InflationWageIdx,EAIDX)))</f>
        <v>0</v>
      </c>
      <c r="AK36" s="617">
        <f ca="1">SUMPRODUCT(AF36:AF37, --(G36:G37&lt;&gt;0))</f>
        <v>0</v>
      </c>
      <c r="AL36" s="618">
        <f ca="1">SUMPRODUCT(AG36:AG37, --(E36:E37&lt;&gt;0))+AJ36</f>
        <v>0</v>
      </c>
      <c r="AM36" s="186">
        <f t="shared" ca="1" si="25"/>
        <v>0</v>
      </c>
      <c r="AN36" t="str">
        <f t="shared" ca="1" si="26"/>
        <v/>
      </c>
    </row>
    <row r="37" spans="2:40" x14ac:dyDescent="0.25">
      <c r="B37" s="86">
        <f t="shared" si="27"/>
        <v>1969</v>
      </c>
      <c r="C37" s="80" t="s">
        <v>741</v>
      </c>
      <c r="D37" s="147" t="str">
        <f t="shared" si="0"/>
        <v/>
      </c>
      <c r="E37" s="81">
        <f t="shared" si="1"/>
        <v>0</v>
      </c>
      <c r="F37" s="82">
        <f t="shared" si="2"/>
        <v>0</v>
      </c>
      <c r="G37" s="81">
        <f t="shared" si="3"/>
        <v>2</v>
      </c>
      <c r="H37" s="82">
        <f t="shared" si="4"/>
        <v>-1</v>
      </c>
      <c r="I37" s="82">
        <f t="shared" si="5"/>
        <v>0</v>
      </c>
      <c r="J37" s="81">
        <f t="shared" si="6"/>
        <v>0</v>
      </c>
      <c r="K37" s="83">
        <f t="shared" ca="1" si="7"/>
        <v>1</v>
      </c>
      <c r="L37" s="470"/>
      <c r="M37" s="470"/>
      <c r="N37" s="470"/>
      <c r="O37" s="470"/>
      <c r="P37" s="107">
        <f t="shared" ca="1" si="8"/>
        <v>0</v>
      </c>
      <c r="Q37" s="107">
        <f t="shared" ca="1" si="9"/>
        <v>0</v>
      </c>
      <c r="R37" s="107">
        <f t="shared" ca="1" si="10"/>
        <v>0</v>
      </c>
      <c r="S37" s="107">
        <f t="shared" ca="1" si="11"/>
        <v>0</v>
      </c>
      <c r="T37" s="107">
        <f t="shared" ca="1" si="12"/>
        <v>0</v>
      </c>
      <c r="U37" s="107">
        <f t="shared" ca="1" si="13"/>
        <v>0</v>
      </c>
      <c r="V37" s="107">
        <f t="shared" ca="1" si="14"/>
        <v>0</v>
      </c>
      <c r="W37" s="107">
        <f t="shared" ca="1" si="15"/>
        <v>0</v>
      </c>
      <c r="X37" s="107">
        <f t="shared" si="16"/>
        <v>0</v>
      </c>
      <c r="Y37" s="107">
        <f t="shared" si="17"/>
        <v>0</v>
      </c>
      <c r="Z37" s="87">
        <f t="shared" si="18"/>
        <v>1</v>
      </c>
      <c r="AA37" s="88">
        <f t="shared" si="19"/>
        <v>0</v>
      </c>
      <c r="AB37" s="107">
        <f t="array" ref="AB37">ROUNDDOWN(AVERAGE(IFERROR(LARGE((X$6:X36+Y$6:Y36)*Z$6:Z36*(G$6:G36=G37), SC_SSCalcYears),0))/(12*Z37),0)</f>
        <v>0</v>
      </c>
      <c r="AC37" s="211">
        <f t="shared" si="20"/>
        <v>1</v>
      </c>
      <c r="AD37" s="89">
        <f t="shared" si="21"/>
        <v>0</v>
      </c>
      <c r="AE37" s="141">
        <f t="shared" ca="1" si="22"/>
        <v>0</v>
      </c>
      <c r="AF37" s="106">
        <f t="shared" ca="1" si="23"/>
        <v>0</v>
      </c>
      <c r="AG37" s="110">
        <f t="shared" ca="1" si="24"/>
        <v>0</v>
      </c>
      <c r="AH37" s="617"/>
      <c r="AI37" s="617"/>
      <c r="AJ37" s="617"/>
      <c r="AK37" s="617"/>
      <c r="AL37" s="618"/>
      <c r="AM37" s="186">
        <f t="shared" ca="1" si="25"/>
        <v>0</v>
      </c>
      <c r="AN37" t="str">
        <f t="shared" ca="1" si="26"/>
        <v/>
      </c>
    </row>
    <row r="38" spans="2:40" x14ac:dyDescent="0.25">
      <c r="B38" s="65">
        <f t="shared" si="27"/>
        <v>1970</v>
      </c>
      <c r="C38" s="76" t="s">
        <v>741</v>
      </c>
      <c r="D38" s="146" t="str">
        <f t="shared" si="0"/>
        <v/>
      </c>
      <c r="E38" s="77">
        <f t="shared" si="1"/>
        <v>0</v>
      </c>
      <c r="F38" s="77">
        <f t="shared" si="2"/>
        <v>0</v>
      </c>
      <c r="G38" s="77">
        <f t="shared" si="3"/>
        <v>1</v>
      </c>
      <c r="H38" s="76">
        <f t="shared" si="4"/>
        <v>1</v>
      </c>
      <c r="I38" s="76">
        <f t="shared" si="5"/>
        <v>0</v>
      </c>
      <c r="J38" s="77">
        <f t="shared" si="6"/>
        <v>0</v>
      </c>
      <c r="K38" s="78">
        <f t="shared" ca="1" si="7"/>
        <v>1</v>
      </c>
      <c r="L38" s="470"/>
      <c r="M38" s="470"/>
      <c r="N38" s="470"/>
      <c r="O38" s="470"/>
      <c r="P38" s="70">
        <f t="shared" ca="1" si="8"/>
        <v>0</v>
      </c>
      <c r="Q38" s="70">
        <f t="shared" ca="1" si="9"/>
        <v>0</v>
      </c>
      <c r="R38" s="70">
        <f t="shared" ca="1" si="10"/>
        <v>0</v>
      </c>
      <c r="S38" s="70">
        <f t="shared" ca="1" si="11"/>
        <v>0</v>
      </c>
      <c r="T38" s="70">
        <f t="shared" ca="1" si="12"/>
        <v>0</v>
      </c>
      <c r="U38" s="70">
        <f t="shared" ca="1" si="13"/>
        <v>0</v>
      </c>
      <c r="V38" s="70">
        <f t="shared" ca="1" si="14"/>
        <v>0</v>
      </c>
      <c r="W38" s="70">
        <f t="shared" ca="1" si="15"/>
        <v>0</v>
      </c>
      <c r="X38" s="70">
        <f t="shared" si="16"/>
        <v>0</v>
      </c>
      <c r="Y38" s="70">
        <f t="shared" si="17"/>
        <v>0</v>
      </c>
      <c r="Z38" s="68">
        <f t="shared" si="18"/>
        <v>1</v>
      </c>
      <c r="AA38" s="84">
        <f t="shared" si="19"/>
        <v>0</v>
      </c>
      <c r="AB38" s="488">
        <f t="array" ref="AB38">ROUNDDOWN(AVERAGE(IFERROR(LARGE((X$6:X37+Y$6:Y37)*Z$6:Z37*(G$6:G37=G38), SC_SSCalcYears),0))/(12*Z38),0)</f>
        <v>0</v>
      </c>
      <c r="AC38" s="69">
        <f t="shared" si="20"/>
        <v>1</v>
      </c>
      <c r="AD38" s="85">
        <f t="shared" si="21"/>
        <v>0</v>
      </c>
      <c r="AE38" s="140">
        <f t="shared" ca="1" si="22"/>
        <v>0</v>
      </c>
      <c r="AF38" s="75">
        <f t="shared" ca="1" si="23"/>
        <v>0</v>
      </c>
      <c r="AG38" s="109">
        <f t="shared" ca="1" si="24"/>
        <v>0</v>
      </c>
      <c r="AH38" s="617">
        <f>SUMIFS($AE38:$AE39,SP_PensionPayout,"Lump sum",$E38:$E39,"&lt;&gt;0")</f>
        <v>0</v>
      </c>
      <c r="AI38" s="617">
        <f>SUMIFS($AE38:$AE39,SP_PensionPayout,"Annuity",$E38:$E39,"&lt;&gt;0")</f>
        <v>0</v>
      </c>
      <c r="AJ38" s="617">
        <f>IF(ISBLANK(INDEX(SP_SSPBFA,1)),0,IF($J38&lt;&gt;INDEX(SP_SSPBFA,1),AJ36,SP_AdditionalRI/INDEX(SC_EA_InflationWageIdx,EAIDX)))</f>
        <v>0</v>
      </c>
      <c r="AK38" s="617">
        <f ca="1">SUMPRODUCT(AF38:AF39, --(G38:G39&lt;&gt;0))</f>
        <v>0</v>
      </c>
      <c r="AL38" s="618">
        <f ca="1">SUMPRODUCT(AG38:AG39, --(E38:E39&lt;&gt;0))+AJ38</f>
        <v>0</v>
      </c>
      <c r="AM38" s="186">
        <f t="shared" ca="1" si="25"/>
        <v>0</v>
      </c>
      <c r="AN38" t="str">
        <f t="shared" ca="1" si="26"/>
        <v/>
      </c>
    </row>
    <row r="39" spans="2:40" x14ac:dyDescent="0.25">
      <c r="B39" s="86">
        <f t="shared" si="27"/>
        <v>1970</v>
      </c>
      <c r="C39" s="80" t="s">
        <v>741</v>
      </c>
      <c r="D39" s="147" t="str">
        <f t="shared" si="0"/>
        <v/>
      </c>
      <c r="E39" s="81">
        <f t="shared" si="1"/>
        <v>0</v>
      </c>
      <c r="F39" s="82">
        <f t="shared" si="2"/>
        <v>0</v>
      </c>
      <c r="G39" s="81">
        <f t="shared" si="3"/>
        <v>2</v>
      </c>
      <c r="H39" s="82">
        <f t="shared" si="4"/>
        <v>-1</v>
      </c>
      <c r="I39" s="82">
        <f t="shared" si="5"/>
        <v>0</v>
      </c>
      <c r="J39" s="81">
        <f t="shared" si="6"/>
        <v>0</v>
      </c>
      <c r="K39" s="83">
        <f t="shared" ca="1" si="7"/>
        <v>1</v>
      </c>
      <c r="L39" s="470"/>
      <c r="M39" s="470"/>
      <c r="N39" s="470"/>
      <c r="O39" s="470"/>
      <c r="P39" s="107">
        <f t="shared" ca="1" si="8"/>
        <v>0</v>
      </c>
      <c r="Q39" s="107">
        <f t="shared" ca="1" si="9"/>
        <v>0</v>
      </c>
      <c r="R39" s="107">
        <f t="shared" ca="1" si="10"/>
        <v>0</v>
      </c>
      <c r="S39" s="107">
        <f t="shared" ca="1" si="11"/>
        <v>0</v>
      </c>
      <c r="T39" s="107">
        <f t="shared" ca="1" si="12"/>
        <v>0</v>
      </c>
      <c r="U39" s="107">
        <f t="shared" ca="1" si="13"/>
        <v>0</v>
      </c>
      <c r="V39" s="107">
        <f t="shared" ca="1" si="14"/>
        <v>0</v>
      </c>
      <c r="W39" s="107">
        <f t="shared" ca="1" si="15"/>
        <v>0</v>
      </c>
      <c r="X39" s="107">
        <f t="shared" si="16"/>
        <v>0</v>
      </c>
      <c r="Y39" s="107">
        <f t="shared" si="17"/>
        <v>0</v>
      </c>
      <c r="Z39" s="87">
        <f t="shared" si="18"/>
        <v>1</v>
      </c>
      <c r="AA39" s="88">
        <f t="shared" si="19"/>
        <v>0</v>
      </c>
      <c r="AB39" s="107">
        <f t="array" ref="AB39">ROUNDDOWN(AVERAGE(IFERROR(LARGE((X$6:X38+Y$6:Y38)*Z$6:Z38*(G$6:G38=G39), SC_SSCalcYears),0))/(12*Z39),0)</f>
        <v>0</v>
      </c>
      <c r="AC39" s="211">
        <f t="shared" si="20"/>
        <v>1</v>
      </c>
      <c r="AD39" s="89">
        <f t="shared" si="21"/>
        <v>0</v>
      </c>
      <c r="AE39" s="141">
        <f t="shared" ca="1" si="22"/>
        <v>0</v>
      </c>
      <c r="AF39" s="106">
        <f t="shared" ca="1" si="23"/>
        <v>0</v>
      </c>
      <c r="AG39" s="110">
        <f t="shared" ca="1" si="24"/>
        <v>0</v>
      </c>
      <c r="AH39" s="617"/>
      <c r="AI39" s="617"/>
      <c r="AJ39" s="617"/>
      <c r="AK39" s="617"/>
      <c r="AL39" s="618"/>
      <c r="AM39" s="186">
        <f t="shared" ca="1" si="25"/>
        <v>0</v>
      </c>
      <c r="AN39" t="str">
        <f t="shared" ca="1" si="26"/>
        <v/>
      </c>
    </row>
    <row r="40" spans="2:40" x14ac:dyDescent="0.25">
      <c r="B40" s="65">
        <f t="shared" si="27"/>
        <v>1971</v>
      </c>
      <c r="C40" s="76" t="s">
        <v>741</v>
      </c>
      <c r="D40" s="146" t="str">
        <f t="shared" si="0"/>
        <v/>
      </c>
      <c r="E40" s="77">
        <f t="shared" si="1"/>
        <v>0</v>
      </c>
      <c r="F40" s="77">
        <f t="shared" si="2"/>
        <v>0</v>
      </c>
      <c r="G40" s="77">
        <f t="shared" si="3"/>
        <v>1</v>
      </c>
      <c r="H40" s="76">
        <f t="shared" si="4"/>
        <v>1</v>
      </c>
      <c r="I40" s="76">
        <f t="shared" si="5"/>
        <v>0</v>
      </c>
      <c r="J40" s="77">
        <f t="shared" si="6"/>
        <v>0</v>
      </c>
      <c r="K40" s="78">
        <f t="shared" ca="1" si="7"/>
        <v>1</v>
      </c>
      <c r="L40" s="470"/>
      <c r="M40" s="470"/>
      <c r="N40" s="470"/>
      <c r="O40" s="470"/>
      <c r="P40" s="70">
        <f t="shared" ca="1" si="8"/>
        <v>0</v>
      </c>
      <c r="Q40" s="70">
        <f t="shared" ca="1" si="9"/>
        <v>0</v>
      </c>
      <c r="R40" s="70">
        <f t="shared" ca="1" si="10"/>
        <v>0</v>
      </c>
      <c r="S40" s="70">
        <f t="shared" ca="1" si="11"/>
        <v>0</v>
      </c>
      <c r="T40" s="70">
        <f t="shared" ca="1" si="12"/>
        <v>0</v>
      </c>
      <c r="U40" s="70">
        <f t="shared" ca="1" si="13"/>
        <v>0</v>
      </c>
      <c r="V40" s="70">
        <f t="shared" ca="1" si="14"/>
        <v>0</v>
      </c>
      <c r="W40" s="70">
        <f t="shared" ca="1" si="15"/>
        <v>0</v>
      </c>
      <c r="X40" s="70">
        <f t="shared" si="16"/>
        <v>0</v>
      </c>
      <c r="Y40" s="70">
        <f t="shared" si="17"/>
        <v>0</v>
      </c>
      <c r="Z40" s="68">
        <f t="shared" si="18"/>
        <v>1</v>
      </c>
      <c r="AA40" s="84">
        <f t="shared" si="19"/>
        <v>0</v>
      </c>
      <c r="AB40" s="488">
        <f t="array" ref="AB40">ROUNDDOWN(AVERAGE(IFERROR(LARGE((X$6:X39+Y$6:Y39)*Z$6:Z39*(G$6:G39=G40), SC_SSCalcYears),0))/(12*Z40),0)</f>
        <v>0</v>
      </c>
      <c r="AC40" s="69">
        <f t="shared" si="20"/>
        <v>1</v>
      </c>
      <c r="AD40" s="85">
        <f t="shared" si="21"/>
        <v>0</v>
      </c>
      <c r="AE40" s="140">
        <f t="shared" ca="1" si="22"/>
        <v>0</v>
      </c>
      <c r="AF40" s="75">
        <f t="shared" ca="1" si="23"/>
        <v>0</v>
      </c>
      <c r="AG40" s="109">
        <f t="shared" ca="1" si="24"/>
        <v>0</v>
      </c>
      <c r="AH40" s="617">
        <f>SUMIFS($AE40:$AE41,SP_PensionPayout,"Lump sum",$E40:$E41,"&lt;&gt;0")</f>
        <v>0</v>
      </c>
      <c r="AI40" s="617">
        <f>SUMIFS($AE40:$AE41,SP_PensionPayout,"Annuity",$E40:$E41,"&lt;&gt;0")</f>
        <v>0</v>
      </c>
      <c r="AJ40" s="617">
        <f>IF(ISBLANK(INDEX(SP_SSPBFA,1)),0,IF($J40&lt;&gt;INDEX(SP_SSPBFA,1),AJ38,SP_AdditionalRI/INDEX(SC_EA_InflationWageIdx,EAIDX)))</f>
        <v>0</v>
      </c>
      <c r="AK40" s="617">
        <f ca="1">SUMPRODUCT(AF40:AF41, --(G40:G41&lt;&gt;0))</f>
        <v>0</v>
      </c>
      <c r="AL40" s="618">
        <f ca="1">SUMPRODUCT(AG40:AG41, --(E40:E41&lt;&gt;0))+AJ40</f>
        <v>0</v>
      </c>
      <c r="AM40" s="186">
        <f t="shared" ca="1" si="25"/>
        <v>0</v>
      </c>
      <c r="AN40" t="str">
        <f t="shared" ca="1" si="26"/>
        <v/>
      </c>
    </row>
    <row r="41" spans="2:40" x14ac:dyDescent="0.25">
      <c r="B41" s="86">
        <f t="shared" si="27"/>
        <v>1971</v>
      </c>
      <c r="C41" s="80" t="s">
        <v>741</v>
      </c>
      <c r="D41" s="147" t="str">
        <f t="shared" si="0"/>
        <v/>
      </c>
      <c r="E41" s="81">
        <f t="shared" si="1"/>
        <v>0</v>
      </c>
      <c r="F41" s="82">
        <f t="shared" si="2"/>
        <v>0</v>
      </c>
      <c r="G41" s="81">
        <f t="shared" si="3"/>
        <v>2</v>
      </c>
      <c r="H41" s="82">
        <f t="shared" si="4"/>
        <v>-1</v>
      </c>
      <c r="I41" s="82">
        <f t="shared" si="5"/>
        <v>0</v>
      </c>
      <c r="J41" s="81">
        <f t="shared" si="6"/>
        <v>0</v>
      </c>
      <c r="K41" s="83">
        <f t="shared" ca="1" si="7"/>
        <v>1</v>
      </c>
      <c r="L41" s="470"/>
      <c r="M41" s="470"/>
      <c r="N41" s="470"/>
      <c r="O41" s="470"/>
      <c r="P41" s="107">
        <f t="shared" ca="1" si="8"/>
        <v>0</v>
      </c>
      <c r="Q41" s="107">
        <f t="shared" ca="1" si="9"/>
        <v>0</v>
      </c>
      <c r="R41" s="107">
        <f t="shared" ca="1" si="10"/>
        <v>0</v>
      </c>
      <c r="S41" s="107">
        <f t="shared" ca="1" si="11"/>
        <v>0</v>
      </c>
      <c r="T41" s="107">
        <f t="shared" ca="1" si="12"/>
        <v>0</v>
      </c>
      <c r="U41" s="107">
        <f t="shared" ca="1" si="13"/>
        <v>0</v>
      </c>
      <c r="V41" s="107">
        <f t="shared" ca="1" si="14"/>
        <v>0</v>
      </c>
      <c r="W41" s="107">
        <f t="shared" ca="1" si="15"/>
        <v>0</v>
      </c>
      <c r="X41" s="107">
        <f t="shared" si="16"/>
        <v>0</v>
      </c>
      <c r="Y41" s="107">
        <f t="shared" si="17"/>
        <v>0</v>
      </c>
      <c r="Z41" s="87">
        <f t="shared" si="18"/>
        <v>1</v>
      </c>
      <c r="AA41" s="88">
        <f t="shared" si="19"/>
        <v>0</v>
      </c>
      <c r="AB41" s="107">
        <f t="array" ref="AB41">ROUNDDOWN(AVERAGE(IFERROR(LARGE((X$6:X40+Y$6:Y40)*Z$6:Z40*(G$6:G40=G41), SC_SSCalcYears),0))/(12*Z41),0)</f>
        <v>0</v>
      </c>
      <c r="AC41" s="211">
        <f t="shared" si="20"/>
        <v>1</v>
      </c>
      <c r="AD41" s="89">
        <f t="shared" si="21"/>
        <v>0</v>
      </c>
      <c r="AE41" s="141">
        <f t="shared" ca="1" si="22"/>
        <v>0</v>
      </c>
      <c r="AF41" s="106">
        <f t="shared" ca="1" si="23"/>
        <v>0</v>
      </c>
      <c r="AG41" s="110">
        <f t="shared" ca="1" si="24"/>
        <v>0</v>
      </c>
      <c r="AH41" s="617"/>
      <c r="AI41" s="617"/>
      <c r="AJ41" s="617"/>
      <c r="AK41" s="617"/>
      <c r="AL41" s="618"/>
      <c r="AM41" s="186">
        <f t="shared" ca="1" si="25"/>
        <v>0</v>
      </c>
      <c r="AN41" t="str">
        <f t="shared" ca="1" si="26"/>
        <v/>
      </c>
    </row>
    <row r="42" spans="2:40" x14ac:dyDescent="0.25">
      <c r="B42" s="65">
        <f t="shared" si="27"/>
        <v>1972</v>
      </c>
      <c r="C42" s="76" t="s">
        <v>741</v>
      </c>
      <c r="D42" s="146" t="str">
        <f t="shared" si="0"/>
        <v/>
      </c>
      <c r="E42" s="77">
        <f t="shared" si="1"/>
        <v>0</v>
      </c>
      <c r="F42" s="77">
        <f t="shared" si="2"/>
        <v>0</v>
      </c>
      <c r="G42" s="77">
        <f t="shared" si="3"/>
        <v>1</v>
      </c>
      <c r="H42" s="76">
        <f t="shared" si="4"/>
        <v>1</v>
      </c>
      <c r="I42" s="76">
        <f t="shared" si="5"/>
        <v>0</v>
      </c>
      <c r="J42" s="77">
        <f t="shared" si="6"/>
        <v>0</v>
      </c>
      <c r="K42" s="78">
        <f t="shared" ca="1" si="7"/>
        <v>1</v>
      </c>
      <c r="L42" s="470"/>
      <c r="M42" s="470"/>
      <c r="N42" s="470"/>
      <c r="O42" s="470"/>
      <c r="P42" s="70">
        <f t="shared" ca="1" si="8"/>
        <v>0</v>
      </c>
      <c r="Q42" s="70">
        <f t="shared" ca="1" si="9"/>
        <v>0</v>
      </c>
      <c r="R42" s="70">
        <f t="shared" ca="1" si="10"/>
        <v>0</v>
      </c>
      <c r="S42" s="70">
        <f t="shared" ca="1" si="11"/>
        <v>0</v>
      </c>
      <c r="T42" s="70">
        <f t="shared" ca="1" si="12"/>
        <v>0</v>
      </c>
      <c r="U42" s="70">
        <f t="shared" ca="1" si="13"/>
        <v>0</v>
      </c>
      <c r="V42" s="70">
        <f t="shared" ca="1" si="14"/>
        <v>0</v>
      </c>
      <c r="W42" s="70">
        <f t="shared" ca="1" si="15"/>
        <v>0</v>
      </c>
      <c r="X42" s="70">
        <f t="shared" si="16"/>
        <v>0</v>
      </c>
      <c r="Y42" s="70">
        <f t="shared" si="17"/>
        <v>0</v>
      </c>
      <c r="Z42" s="68">
        <f t="shared" si="18"/>
        <v>1</v>
      </c>
      <c r="AA42" s="84">
        <f t="shared" si="19"/>
        <v>0</v>
      </c>
      <c r="AB42" s="488">
        <f t="array" ref="AB42">ROUNDDOWN(AVERAGE(IFERROR(LARGE((X$6:X41+Y$6:Y41)*Z$6:Z41*(G$6:G41=G42), SC_SSCalcYears),0))/(12*Z42),0)</f>
        <v>0</v>
      </c>
      <c r="AC42" s="69">
        <f t="shared" si="20"/>
        <v>1</v>
      </c>
      <c r="AD42" s="85">
        <f t="shared" si="21"/>
        <v>0</v>
      </c>
      <c r="AE42" s="140">
        <f t="shared" ca="1" si="22"/>
        <v>0</v>
      </c>
      <c r="AF42" s="75">
        <f t="shared" ca="1" si="23"/>
        <v>0</v>
      </c>
      <c r="AG42" s="109">
        <f t="shared" ca="1" si="24"/>
        <v>0</v>
      </c>
      <c r="AH42" s="617">
        <f>SUMIFS($AE42:$AE43,SP_PensionPayout,"Lump sum",$E42:$E43,"&lt;&gt;0")</f>
        <v>0</v>
      </c>
      <c r="AI42" s="617">
        <f>SUMIFS($AE42:$AE43,SP_PensionPayout,"Annuity",$E42:$E43,"&lt;&gt;0")</f>
        <v>0</v>
      </c>
      <c r="AJ42" s="617">
        <f>IF(ISBLANK(INDEX(SP_SSPBFA,1)),0,IF($J42&lt;&gt;INDEX(SP_SSPBFA,1),AJ40,SP_AdditionalRI/INDEX(SC_EA_InflationWageIdx,EAIDX)))</f>
        <v>0</v>
      </c>
      <c r="AK42" s="617">
        <f ca="1">SUMPRODUCT(AF42:AF43, --(G42:G43&lt;&gt;0))</f>
        <v>0</v>
      </c>
      <c r="AL42" s="618">
        <f ca="1">SUMPRODUCT(AG42:AG43, --(E42:E43&lt;&gt;0))+AJ42</f>
        <v>0</v>
      </c>
      <c r="AM42" s="186">
        <f t="shared" ca="1" si="25"/>
        <v>0</v>
      </c>
      <c r="AN42" t="str">
        <f t="shared" ca="1" si="26"/>
        <v/>
      </c>
    </row>
    <row r="43" spans="2:40" x14ac:dyDescent="0.25">
      <c r="B43" s="86">
        <f t="shared" si="27"/>
        <v>1972</v>
      </c>
      <c r="C43" s="80" t="s">
        <v>741</v>
      </c>
      <c r="D43" s="147" t="str">
        <f t="shared" si="0"/>
        <v/>
      </c>
      <c r="E43" s="81">
        <f t="shared" si="1"/>
        <v>0</v>
      </c>
      <c r="F43" s="82">
        <f t="shared" si="2"/>
        <v>0</v>
      </c>
      <c r="G43" s="81">
        <f t="shared" si="3"/>
        <v>2</v>
      </c>
      <c r="H43" s="82">
        <f t="shared" si="4"/>
        <v>-1</v>
      </c>
      <c r="I43" s="82">
        <f t="shared" si="5"/>
        <v>0</v>
      </c>
      <c r="J43" s="81">
        <f t="shared" si="6"/>
        <v>0</v>
      </c>
      <c r="K43" s="83">
        <f t="shared" ca="1" si="7"/>
        <v>1</v>
      </c>
      <c r="L43" s="470"/>
      <c r="M43" s="470"/>
      <c r="N43" s="470"/>
      <c r="O43" s="470"/>
      <c r="P43" s="107">
        <f t="shared" ca="1" si="8"/>
        <v>0</v>
      </c>
      <c r="Q43" s="107">
        <f t="shared" ca="1" si="9"/>
        <v>0</v>
      </c>
      <c r="R43" s="107">
        <f t="shared" ca="1" si="10"/>
        <v>0</v>
      </c>
      <c r="S43" s="107">
        <f t="shared" ca="1" si="11"/>
        <v>0</v>
      </c>
      <c r="T43" s="107">
        <f t="shared" ca="1" si="12"/>
        <v>0</v>
      </c>
      <c r="U43" s="107">
        <f t="shared" ca="1" si="13"/>
        <v>0</v>
      </c>
      <c r="V43" s="107">
        <f t="shared" ca="1" si="14"/>
        <v>0</v>
      </c>
      <c r="W43" s="107">
        <f t="shared" ca="1" si="15"/>
        <v>0</v>
      </c>
      <c r="X43" s="107">
        <f t="shared" si="16"/>
        <v>0</v>
      </c>
      <c r="Y43" s="107">
        <f t="shared" si="17"/>
        <v>0</v>
      </c>
      <c r="Z43" s="87">
        <f t="shared" si="18"/>
        <v>1</v>
      </c>
      <c r="AA43" s="88">
        <f t="shared" si="19"/>
        <v>0</v>
      </c>
      <c r="AB43" s="107">
        <f t="array" ref="AB43">ROUNDDOWN(AVERAGE(IFERROR(LARGE((X$6:X42+Y$6:Y42)*Z$6:Z42*(G$6:G42=G43), SC_SSCalcYears),0))/(12*Z43),0)</f>
        <v>0</v>
      </c>
      <c r="AC43" s="211">
        <f t="shared" si="20"/>
        <v>1</v>
      </c>
      <c r="AD43" s="89">
        <f t="shared" si="21"/>
        <v>0</v>
      </c>
      <c r="AE43" s="141">
        <f t="shared" ca="1" si="22"/>
        <v>0</v>
      </c>
      <c r="AF43" s="106">
        <f t="shared" ca="1" si="23"/>
        <v>0</v>
      </c>
      <c r="AG43" s="110">
        <f t="shared" ca="1" si="24"/>
        <v>0</v>
      </c>
      <c r="AH43" s="617"/>
      <c r="AI43" s="617"/>
      <c r="AJ43" s="617"/>
      <c r="AK43" s="617"/>
      <c r="AL43" s="618"/>
      <c r="AM43" s="186">
        <f t="shared" ca="1" si="25"/>
        <v>0</v>
      </c>
      <c r="AN43" t="str">
        <f t="shared" ca="1" si="26"/>
        <v/>
      </c>
    </row>
    <row r="44" spans="2:40" x14ac:dyDescent="0.25">
      <c r="B44" s="65">
        <f t="shared" si="27"/>
        <v>1973</v>
      </c>
      <c r="C44" s="76" t="s">
        <v>741</v>
      </c>
      <c r="D44" s="146" t="str">
        <f t="shared" si="0"/>
        <v/>
      </c>
      <c r="E44" s="77">
        <f t="shared" si="1"/>
        <v>0</v>
      </c>
      <c r="F44" s="77">
        <f t="shared" si="2"/>
        <v>0</v>
      </c>
      <c r="G44" s="77">
        <f t="shared" si="3"/>
        <v>1</v>
      </c>
      <c r="H44" s="76">
        <f t="shared" si="4"/>
        <v>1</v>
      </c>
      <c r="I44" s="76">
        <f t="shared" si="5"/>
        <v>0</v>
      </c>
      <c r="J44" s="77">
        <f t="shared" si="6"/>
        <v>0</v>
      </c>
      <c r="K44" s="78">
        <f t="shared" ca="1" si="7"/>
        <v>1</v>
      </c>
      <c r="L44" s="470"/>
      <c r="M44" s="470"/>
      <c r="N44" s="470"/>
      <c r="O44" s="470"/>
      <c r="P44" s="70">
        <f t="shared" ca="1" si="8"/>
        <v>0</v>
      </c>
      <c r="Q44" s="70">
        <f t="shared" ca="1" si="9"/>
        <v>0</v>
      </c>
      <c r="R44" s="70">
        <f t="shared" ca="1" si="10"/>
        <v>0</v>
      </c>
      <c r="S44" s="70">
        <f t="shared" ca="1" si="11"/>
        <v>0</v>
      </c>
      <c r="T44" s="70">
        <f t="shared" ca="1" si="12"/>
        <v>0</v>
      </c>
      <c r="U44" s="70">
        <f t="shared" ca="1" si="13"/>
        <v>0</v>
      </c>
      <c r="V44" s="70">
        <f t="shared" ca="1" si="14"/>
        <v>0</v>
      </c>
      <c r="W44" s="70">
        <f t="shared" ca="1" si="15"/>
        <v>0</v>
      </c>
      <c r="X44" s="70">
        <f t="shared" si="16"/>
        <v>0</v>
      </c>
      <c r="Y44" s="70">
        <f t="shared" si="17"/>
        <v>0</v>
      </c>
      <c r="Z44" s="68">
        <f t="shared" si="18"/>
        <v>1</v>
      </c>
      <c r="AA44" s="84">
        <f t="shared" si="19"/>
        <v>0</v>
      </c>
      <c r="AB44" s="488">
        <f t="array" ref="AB44">ROUNDDOWN(AVERAGE(IFERROR(LARGE((X$6:X43+Y$6:Y43)*Z$6:Z43*(G$6:G43=G44), SC_SSCalcYears),0))/(12*Z44),0)</f>
        <v>0</v>
      </c>
      <c r="AC44" s="69">
        <f t="shared" si="20"/>
        <v>1</v>
      </c>
      <c r="AD44" s="85">
        <f t="shared" si="21"/>
        <v>0</v>
      </c>
      <c r="AE44" s="140">
        <f t="shared" ca="1" si="22"/>
        <v>0</v>
      </c>
      <c r="AF44" s="75">
        <f t="shared" ca="1" si="23"/>
        <v>0</v>
      </c>
      <c r="AG44" s="109">
        <f t="shared" ca="1" si="24"/>
        <v>0</v>
      </c>
      <c r="AH44" s="617">
        <f>SUMIFS($AE44:$AE45,SP_PensionPayout,"Lump sum",$E44:$E45,"&lt;&gt;0")</f>
        <v>0</v>
      </c>
      <c r="AI44" s="617">
        <f>SUMIFS($AE44:$AE45,SP_PensionPayout,"Annuity",$E44:$E45,"&lt;&gt;0")</f>
        <v>0</v>
      </c>
      <c r="AJ44" s="617">
        <f>IF(ISBLANK(INDEX(SP_SSPBFA,1)),0,IF($J44&lt;&gt;INDEX(SP_SSPBFA,1),AJ42,SP_AdditionalRI/INDEX(SC_EA_InflationWageIdx,EAIDX)))</f>
        <v>0</v>
      </c>
      <c r="AK44" s="617">
        <f ca="1">SUMPRODUCT(AF44:AF45, --(G44:G45&lt;&gt;0))</f>
        <v>0</v>
      </c>
      <c r="AL44" s="618">
        <f ca="1">SUMPRODUCT(AG44:AG45, --(E44:E45&lt;&gt;0))+AJ44</f>
        <v>0</v>
      </c>
      <c r="AM44" s="186">
        <f t="shared" ca="1" si="25"/>
        <v>0</v>
      </c>
      <c r="AN44" t="str">
        <f t="shared" ca="1" si="26"/>
        <v/>
      </c>
    </row>
    <row r="45" spans="2:40" x14ac:dyDescent="0.25">
      <c r="B45" s="86">
        <f t="shared" si="27"/>
        <v>1973</v>
      </c>
      <c r="C45" s="80" t="s">
        <v>741</v>
      </c>
      <c r="D45" s="147" t="str">
        <f t="shared" si="0"/>
        <v/>
      </c>
      <c r="E45" s="81">
        <f t="shared" si="1"/>
        <v>0</v>
      </c>
      <c r="F45" s="82">
        <f t="shared" si="2"/>
        <v>0</v>
      </c>
      <c r="G45" s="81">
        <f t="shared" si="3"/>
        <v>2</v>
      </c>
      <c r="H45" s="82">
        <f t="shared" si="4"/>
        <v>-1</v>
      </c>
      <c r="I45" s="82">
        <f t="shared" si="5"/>
        <v>0</v>
      </c>
      <c r="J45" s="81">
        <f t="shared" si="6"/>
        <v>0</v>
      </c>
      <c r="K45" s="83">
        <f t="shared" ca="1" si="7"/>
        <v>1</v>
      </c>
      <c r="L45" s="470"/>
      <c r="M45" s="470"/>
      <c r="N45" s="470"/>
      <c r="O45" s="470"/>
      <c r="P45" s="107">
        <f t="shared" ca="1" si="8"/>
        <v>0</v>
      </c>
      <c r="Q45" s="107">
        <f t="shared" ca="1" si="9"/>
        <v>0</v>
      </c>
      <c r="R45" s="107">
        <f t="shared" ca="1" si="10"/>
        <v>0</v>
      </c>
      <c r="S45" s="107">
        <f t="shared" ca="1" si="11"/>
        <v>0</v>
      </c>
      <c r="T45" s="107">
        <f t="shared" ca="1" si="12"/>
        <v>0</v>
      </c>
      <c r="U45" s="107">
        <f t="shared" ca="1" si="13"/>
        <v>0</v>
      </c>
      <c r="V45" s="107">
        <f t="shared" ca="1" si="14"/>
        <v>0</v>
      </c>
      <c r="W45" s="107">
        <f t="shared" ca="1" si="15"/>
        <v>0</v>
      </c>
      <c r="X45" s="107">
        <f t="shared" si="16"/>
        <v>0</v>
      </c>
      <c r="Y45" s="107">
        <f t="shared" si="17"/>
        <v>0</v>
      </c>
      <c r="Z45" s="87">
        <f t="shared" si="18"/>
        <v>1</v>
      </c>
      <c r="AA45" s="88">
        <f t="shared" si="19"/>
        <v>0</v>
      </c>
      <c r="AB45" s="107">
        <f t="array" ref="AB45">ROUNDDOWN(AVERAGE(IFERROR(LARGE((X$6:X44+Y$6:Y44)*Z$6:Z44*(G$6:G44=G45), SC_SSCalcYears),0))/(12*Z45),0)</f>
        <v>0</v>
      </c>
      <c r="AC45" s="211">
        <f t="shared" si="20"/>
        <v>1</v>
      </c>
      <c r="AD45" s="89">
        <f t="shared" si="21"/>
        <v>0</v>
      </c>
      <c r="AE45" s="141">
        <f t="shared" ca="1" si="22"/>
        <v>0</v>
      </c>
      <c r="AF45" s="106">
        <f t="shared" ca="1" si="23"/>
        <v>0</v>
      </c>
      <c r="AG45" s="110">
        <f t="shared" ca="1" si="24"/>
        <v>0</v>
      </c>
      <c r="AH45" s="617"/>
      <c r="AI45" s="617"/>
      <c r="AJ45" s="617"/>
      <c r="AK45" s="617"/>
      <c r="AL45" s="618"/>
      <c r="AM45" s="186">
        <f t="shared" ca="1" si="25"/>
        <v>0</v>
      </c>
      <c r="AN45" t="str">
        <f t="shared" ca="1" si="26"/>
        <v/>
      </c>
    </row>
    <row r="46" spans="2:40" x14ac:dyDescent="0.25">
      <c r="B46" s="65">
        <f t="shared" si="27"/>
        <v>1974</v>
      </c>
      <c r="C46" s="76" t="s">
        <v>741</v>
      </c>
      <c r="D46" s="146" t="str">
        <f t="shared" si="0"/>
        <v/>
      </c>
      <c r="E46" s="77">
        <f t="shared" si="1"/>
        <v>0</v>
      </c>
      <c r="F46" s="77">
        <f t="shared" si="2"/>
        <v>0</v>
      </c>
      <c r="G46" s="77">
        <f t="shared" si="3"/>
        <v>1</v>
      </c>
      <c r="H46" s="76">
        <f t="shared" si="4"/>
        <v>1</v>
      </c>
      <c r="I46" s="76">
        <f t="shared" si="5"/>
        <v>0</v>
      </c>
      <c r="J46" s="77">
        <f t="shared" si="6"/>
        <v>0</v>
      </c>
      <c r="K46" s="78">
        <f t="shared" ca="1" si="7"/>
        <v>1</v>
      </c>
      <c r="L46" s="470"/>
      <c r="M46" s="470"/>
      <c r="N46" s="470"/>
      <c r="O46" s="470"/>
      <c r="P46" s="70">
        <f t="shared" ca="1" si="8"/>
        <v>0</v>
      </c>
      <c r="Q46" s="70">
        <f t="shared" ca="1" si="9"/>
        <v>0</v>
      </c>
      <c r="R46" s="70">
        <f t="shared" ca="1" si="10"/>
        <v>0</v>
      </c>
      <c r="S46" s="70">
        <f t="shared" ca="1" si="11"/>
        <v>0</v>
      </c>
      <c r="T46" s="70">
        <f t="shared" ca="1" si="12"/>
        <v>0</v>
      </c>
      <c r="U46" s="70">
        <f t="shared" ca="1" si="13"/>
        <v>0</v>
      </c>
      <c r="V46" s="70">
        <f t="shared" ca="1" si="14"/>
        <v>0</v>
      </c>
      <c r="W46" s="70">
        <f t="shared" ca="1" si="15"/>
        <v>0</v>
      </c>
      <c r="X46" s="70">
        <f t="shared" si="16"/>
        <v>0</v>
      </c>
      <c r="Y46" s="70">
        <f t="shared" si="17"/>
        <v>0</v>
      </c>
      <c r="Z46" s="68">
        <f t="shared" si="18"/>
        <v>1</v>
      </c>
      <c r="AA46" s="84">
        <f t="shared" si="19"/>
        <v>0</v>
      </c>
      <c r="AB46" s="488">
        <f t="array" ref="AB46">ROUNDDOWN(AVERAGE(IFERROR(LARGE((X$6:X45+Y$6:Y45)*Z$6:Z45*(G$6:G45=G46), SC_SSCalcYears),0))/(12*Z46),0)</f>
        <v>0</v>
      </c>
      <c r="AC46" s="69">
        <f t="shared" si="20"/>
        <v>1</v>
      </c>
      <c r="AD46" s="85">
        <f t="shared" si="21"/>
        <v>0</v>
      </c>
      <c r="AE46" s="140">
        <f t="shared" ca="1" si="22"/>
        <v>0</v>
      </c>
      <c r="AF46" s="75">
        <f t="shared" ca="1" si="23"/>
        <v>0</v>
      </c>
      <c r="AG46" s="109">
        <f t="shared" ca="1" si="24"/>
        <v>0</v>
      </c>
      <c r="AH46" s="617">
        <f>SUMIFS($AE46:$AE47,SP_PensionPayout,"Lump sum",$E46:$E47,"&lt;&gt;0")</f>
        <v>0</v>
      </c>
      <c r="AI46" s="617">
        <f>SUMIFS($AE46:$AE47,SP_PensionPayout,"Annuity",$E46:$E47,"&lt;&gt;0")</f>
        <v>0</v>
      </c>
      <c r="AJ46" s="617">
        <f>IF(ISBLANK(INDEX(SP_SSPBFA,1)),0,IF($J46&lt;&gt;INDEX(SP_SSPBFA,1),AJ44,SP_AdditionalRI/INDEX(SC_EA_InflationWageIdx,EAIDX)))</f>
        <v>0</v>
      </c>
      <c r="AK46" s="617">
        <f ca="1">SUMPRODUCT(AF46:AF47, --(G46:G47&lt;&gt;0))</f>
        <v>0</v>
      </c>
      <c r="AL46" s="618">
        <f ca="1">SUMPRODUCT(AG46:AG47, --(E46:E47&lt;&gt;0))+AJ46</f>
        <v>0</v>
      </c>
      <c r="AM46" s="186">
        <f t="shared" ca="1" si="25"/>
        <v>0</v>
      </c>
      <c r="AN46" t="str">
        <f t="shared" ca="1" si="26"/>
        <v/>
      </c>
    </row>
    <row r="47" spans="2:40" x14ac:dyDescent="0.25">
      <c r="B47" s="86">
        <f t="shared" si="27"/>
        <v>1974</v>
      </c>
      <c r="C47" s="80" t="s">
        <v>741</v>
      </c>
      <c r="D47" s="147" t="str">
        <f t="shared" si="0"/>
        <v/>
      </c>
      <c r="E47" s="81">
        <f t="shared" si="1"/>
        <v>0</v>
      </c>
      <c r="F47" s="82">
        <f t="shared" si="2"/>
        <v>0</v>
      </c>
      <c r="G47" s="81">
        <f t="shared" si="3"/>
        <v>2</v>
      </c>
      <c r="H47" s="82">
        <f t="shared" si="4"/>
        <v>-1</v>
      </c>
      <c r="I47" s="82">
        <f t="shared" si="5"/>
        <v>0</v>
      </c>
      <c r="J47" s="81">
        <f t="shared" si="6"/>
        <v>0</v>
      </c>
      <c r="K47" s="83">
        <f t="shared" ca="1" si="7"/>
        <v>1</v>
      </c>
      <c r="L47" s="470"/>
      <c r="M47" s="470"/>
      <c r="N47" s="470"/>
      <c r="O47" s="470"/>
      <c r="P47" s="107">
        <f t="shared" ca="1" si="8"/>
        <v>0</v>
      </c>
      <c r="Q47" s="107">
        <f t="shared" ca="1" si="9"/>
        <v>0</v>
      </c>
      <c r="R47" s="107">
        <f t="shared" ca="1" si="10"/>
        <v>0</v>
      </c>
      <c r="S47" s="107">
        <f t="shared" ca="1" si="11"/>
        <v>0</v>
      </c>
      <c r="T47" s="107">
        <f t="shared" ca="1" si="12"/>
        <v>0</v>
      </c>
      <c r="U47" s="107">
        <f t="shared" ca="1" si="13"/>
        <v>0</v>
      </c>
      <c r="V47" s="107">
        <f t="shared" ca="1" si="14"/>
        <v>0</v>
      </c>
      <c r="W47" s="107">
        <f t="shared" ca="1" si="15"/>
        <v>0</v>
      </c>
      <c r="X47" s="107">
        <f t="shared" si="16"/>
        <v>0</v>
      </c>
      <c r="Y47" s="107">
        <f t="shared" si="17"/>
        <v>0</v>
      </c>
      <c r="Z47" s="87">
        <f t="shared" si="18"/>
        <v>1</v>
      </c>
      <c r="AA47" s="88">
        <f t="shared" si="19"/>
        <v>0</v>
      </c>
      <c r="AB47" s="107">
        <f t="array" ref="AB47">ROUNDDOWN(AVERAGE(IFERROR(LARGE((X$6:X46+Y$6:Y46)*Z$6:Z46*(G$6:G46=G47), SC_SSCalcYears),0))/(12*Z47),0)</f>
        <v>0</v>
      </c>
      <c r="AC47" s="211">
        <f t="shared" si="20"/>
        <v>1</v>
      </c>
      <c r="AD47" s="89">
        <f t="shared" si="21"/>
        <v>0</v>
      </c>
      <c r="AE47" s="141">
        <f t="shared" ca="1" si="22"/>
        <v>0</v>
      </c>
      <c r="AF47" s="106">
        <f t="shared" ca="1" si="23"/>
        <v>0</v>
      </c>
      <c r="AG47" s="110">
        <f t="shared" ca="1" si="24"/>
        <v>0</v>
      </c>
      <c r="AH47" s="617"/>
      <c r="AI47" s="617"/>
      <c r="AJ47" s="617"/>
      <c r="AK47" s="617"/>
      <c r="AL47" s="618"/>
      <c r="AM47" s="186">
        <f t="shared" ca="1" si="25"/>
        <v>0</v>
      </c>
      <c r="AN47" t="str">
        <f t="shared" ca="1" si="26"/>
        <v/>
      </c>
    </row>
    <row r="48" spans="2:40" x14ac:dyDescent="0.25">
      <c r="B48" s="65">
        <f t="shared" si="27"/>
        <v>1975</v>
      </c>
      <c r="C48" s="76" t="s">
        <v>741</v>
      </c>
      <c r="D48" s="146" t="str">
        <f t="shared" si="0"/>
        <v/>
      </c>
      <c r="E48" s="77">
        <f t="shared" si="1"/>
        <v>0</v>
      </c>
      <c r="F48" s="77">
        <f t="shared" si="2"/>
        <v>0</v>
      </c>
      <c r="G48" s="77">
        <f t="shared" si="3"/>
        <v>1</v>
      </c>
      <c r="H48" s="76">
        <f t="shared" si="4"/>
        <v>1</v>
      </c>
      <c r="I48" s="76">
        <f t="shared" si="5"/>
        <v>0</v>
      </c>
      <c r="J48" s="77">
        <f t="shared" si="6"/>
        <v>0</v>
      </c>
      <c r="K48" s="78">
        <f t="shared" ca="1" si="7"/>
        <v>1</v>
      </c>
      <c r="L48" s="470"/>
      <c r="M48" s="470"/>
      <c r="N48" s="470"/>
      <c r="O48" s="470"/>
      <c r="P48" s="70">
        <f t="shared" ca="1" si="8"/>
        <v>0</v>
      </c>
      <c r="Q48" s="70">
        <f t="shared" ca="1" si="9"/>
        <v>0</v>
      </c>
      <c r="R48" s="70">
        <f t="shared" ca="1" si="10"/>
        <v>0</v>
      </c>
      <c r="S48" s="70">
        <f t="shared" ca="1" si="11"/>
        <v>0</v>
      </c>
      <c r="T48" s="70">
        <f t="shared" ca="1" si="12"/>
        <v>0</v>
      </c>
      <c r="U48" s="70">
        <f t="shared" ca="1" si="13"/>
        <v>0</v>
      </c>
      <c r="V48" s="70">
        <f t="shared" ca="1" si="14"/>
        <v>0</v>
      </c>
      <c r="W48" s="70">
        <f t="shared" ca="1" si="15"/>
        <v>0</v>
      </c>
      <c r="X48" s="70">
        <f t="shared" si="16"/>
        <v>0</v>
      </c>
      <c r="Y48" s="70">
        <f t="shared" si="17"/>
        <v>0</v>
      </c>
      <c r="Z48" s="68">
        <f t="shared" si="18"/>
        <v>1</v>
      </c>
      <c r="AA48" s="84">
        <f t="shared" si="19"/>
        <v>0</v>
      </c>
      <c r="AB48" s="488">
        <f t="array" ref="AB48">ROUNDDOWN(AVERAGE(IFERROR(LARGE((X$6:X47+Y$6:Y47)*Z$6:Z47*(G$6:G47=G48), SC_SSCalcYears),0))/(12*Z48),0)</f>
        <v>0</v>
      </c>
      <c r="AC48" s="69">
        <f t="shared" si="20"/>
        <v>1</v>
      </c>
      <c r="AD48" s="85">
        <f t="shared" si="21"/>
        <v>0</v>
      </c>
      <c r="AE48" s="140">
        <f t="shared" ca="1" si="22"/>
        <v>0</v>
      </c>
      <c r="AF48" s="75">
        <f t="shared" ca="1" si="23"/>
        <v>0</v>
      </c>
      <c r="AG48" s="109">
        <f t="shared" ca="1" si="24"/>
        <v>0</v>
      </c>
      <c r="AH48" s="617">
        <f>SUMIFS($AE48:$AE49,SP_PensionPayout,"Lump sum",$E48:$E49,"&lt;&gt;0")</f>
        <v>0</v>
      </c>
      <c r="AI48" s="617">
        <f>SUMIFS($AE48:$AE49,SP_PensionPayout,"Annuity",$E48:$E49,"&lt;&gt;0")</f>
        <v>0</v>
      </c>
      <c r="AJ48" s="617">
        <f>IF(ISBLANK(INDEX(SP_SSPBFA,1)),0,IF($J48&lt;&gt;INDEX(SP_SSPBFA,1),AJ46,SP_AdditionalRI/INDEX(SC_EA_InflationWageIdx,EAIDX)))</f>
        <v>0</v>
      </c>
      <c r="AK48" s="617">
        <f ca="1">SUMPRODUCT(AF48:AF49, --(G48:G49&lt;&gt;0))</f>
        <v>0</v>
      </c>
      <c r="AL48" s="618">
        <f ca="1">SUMPRODUCT(AG48:AG49, --(E48:E49&lt;&gt;0))+AJ48</f>
        <v>0</v>
      </c>
      <c r="AM48" s="186">
        <f t="shared" ca="1" si="25"/>
        <v>0</v>
      </c>
      <c r="AN48" t="str">
        <f t="shared" ca="1" si="26"/>
        <v/>
      </c>
    </row>
    <row r="49" spans="2:40" x14ac:dyDescent="0.25">
      <c r="B49" s="86">
        <f t="shared" si="27"/>
        <v>1975</v>
      </c>
      <c r="C49" s="80" t="s">
        <v>741</v>
      </c>
      <c r="D49" s="147" t="str">
        <f t="shared" si="0"/>
        <v/>
      </c>
      <c r="E49" s="81">
        <f t="shared" si="1"/>
        <v>0</v>
      </c>
      <c r="F49" s="82">
        <f t="shared" si="2"/>
        <v>0</v>
      </c>
      <c r="G49" s="81">
        <f t="shared" si="3"/>
        <v>2</v>
      </c>
      <c r="H49" s="82">
        <f t="shared" si="4"/>
        <v>-1</v>
      </c>
      <c r="I49" s="82">
        <f t="shared" si="5"/>
        <v>0</v>
      </c>
      <c r="J49" s="81">
        <f t="shared" si="6"/>
        <v>0</v>
      </c>
      <c r="K49" s="83">
        <f t="shared" ca="1" si="7"/>
        <v>1</v>
      </c>
      <c r="L49" s="470"/>
      <c r="M49" s="470"/>
      <c r="N49" s="470"/>
      <c r="O49" s="470"/>
      <c r="P49" s="107">
        <f t="shared" ca="1" si="8"/>
        <v>0</v>
      </c>
      <c r="Q49" s="107">
        <f t="shared" ca="1" si="9"/>
        <v>0</v>
      </c>
      <c r="R49" s="107">
        <f t="shared" ca="1" si="10"/>
        <v>0</v>
      </c>
      <c r="S49" s="107">
        <f t="shared" ca="1" si="11"/>
        <v>0</v>
      </c>
      <c r="T49" s="107">
        <f t="shared" ca="1" si="12"/>
        <v>0</v>
      </c>
      <c r="U49" s="107">
        <f t="shared" ca="1" si="13"/>
        <v>0</v>
      </c>
      <c r="V49" s="107">
        <f t="shared" ca="1" si="14"/>
        <v>0</v>
      </c>
      <c r="W49" s="107">
        <f t="shared" ca="1" si="15"/>
        <v>0</v>
      </c>
      <c r="X49" s="107">
        <f t="shared" si="16"/>
        <v>0</v>
      </c>
      <c r="Y49" s="107">
        <f t="shared" si="17"/>
        <v>0</v>
      </c>
      <c r="Z49" s="87">
        <f t="shared" si="18"/>
        <v>1</v>
      </c>
      <c r="AA49" s="88">
        <f t="shared" si="19"/>
        <v>0</v>
      </c>
      <c r="AB49" s="107">
        <f t="array" ref="AB49">ROUNDDOWN(AVERAGE(IFERROR(LARGE((X$6:X48+Y$6:Y48)*Z$6:Z48*(G$6:G48=G49), SC_SSCalcYears),0))/(12*Z49),0)</f>
        <v>0</v>
      </c>
      <c r="AC49" s="211">
        <f t="shared" si="20"/>
        <v>1</v>
      </c>
      <c r="AD49" s="89">
        <f t="shared" si="21"/>
        <v>0</v>
      </c>
      <c r="AE49" s="141">
        <f t="shared" ca="1" si="22"/>
        <v>0</v>
      </c>
      <c r="AF49" s="106">
        <f t="shared" ca="1" si="23"/>
        <v>0</v>
      </c>
      <c r="AG49" s="110">
        <f t="shared" ca="1" si="24"/>
        <v>0</v>
      </c>
      <c r="AH49" s="617"/>
      <c r="AI49" s="617"/>
      <c r="AJ49" s="617"/>
      <c r="AK49" s="617"/>
      <c r="AL49" s="618"/>
      <c r="AM49" s="186">
        <f t="shared" ca="1" si="25"/>
        <v>0</v>
      </c>
      <c r="AN49" t="str">
        <f t="shared" ca="1" si="26"/>
        <v/>
      </c>
    </row>
    <row r="50" spans="2:40" x14ac:dyDescent="0.25">
      <c r="B50" s="65">
        <f t="shared" si="27"/>
        <v>1976</v>
      </c>
      <c r="C50" s="76" t="s">
        <v>741</v>
      </c>
      <c r="D50" s="146" t="str">
        <f t="shared" si="0"/>
        <v/>
      </c>
      <c r="E50" s="77">
        <f t="shared" si="1"/>
        <v>0</v>
      </c>
      <c r="F50" s="77">
        <f t="shared" si="2"/>
        <v>0</v>
      </c>
      <c r="G50" s="77">
        <f t="shared" si="3"/>
        <v>1</v>
      </c>
      <c r="H50" s="76">
        <f t="shared" si="4"/>
        <v>1</v>
      </c>
      <c r="I50" s="76">
        <f t="shared" si="5"/>
        <v>0</v>
      </c>
      <c r="J50" s="77">
        <f t="shared" si="6"/>
        <v>0</v>
      </c>
      <c r="K50" s="78">
        <f t="shared" ca="1" si="7"/>
        <v>1</v>
      </c>
      <c r="L50" s="470"/>
      <c r="M50" s="470"/>
      <c r="N50" s="470"/>
      <c r="O50" s="470"/>
      <c r="P50" s="70">
        <f t="shared" ca="1" si="8"/>
        <v>0</v>
      </c>
      <c r="Q50" s="70">
        <f t="shared" ca="1" si="9"/>
        <v>0</v>
      </c>
      <c r="R50" s="70">
        <f t="shared" ca="1" si="10"/>
        <v>0</v>
      </c>
      <c r="S50" s="70">
        <f t="shared" ca="1" si="11"/>
        <v>0</v>
      </c>
      <c r="T50" s="70">
        <f t="shared" ca="1" si="12"/>
        <v>0</v>
      </c>
      <c r="U50" s="70">
        <f t="shared" ca="1" si="13"/>
        <v>0</v>
      </c>
      <c r="V50" s="70">
        <f t="shared" ca="1" si="14"/>
        <v>0</v>
      </c>
      <c r="W50" s="70">
        <f t="shared" ca="1" si="15"/>
        <v>0</v>
      </c>
      <c r="X50" s="70">
        <f t="shared" si="16"/>
        <v>0</v>
      </c>
      <c r="Y50" s="70">
        <f t="shared" si="17"/>
        <v>0</v>
      </c>
      <c r="Z50" s="68">
        <f t="shared" si="18"/>
        <v>1</v>
      </c>
      <c r="AA50" s="84">
        <f t="shared" si="19"/>
        <v>0</v>
      </c>
      <c r="AB50" s="488">
        <f t="array" ref="AB50">ROUNDDOWN(AVERAGE(IFERROR(LARGE((X$6:X49+Y$6:Y49)*Z$6:Z49*(G$6:G49=G50), SC_SSCalcYears),0))/(12*Z50),0)</f>
        <v>0</v>
      </c>
      <c r="AC50" s="69">
        <f t="shared" si="20"/>
        <v>1</v>
      </c>
      <c r="AD50" s="85">
        <f t="shared" si="21"/>
        <v>0</v>
      </c>
      <c r="AE50" s="140">
        <f t="shared" ca="1" si="22"/>
        <v>0</v>
      </c>
      <c r="AF50" s="75">
        <f t="shared" ca="1" si="23"/>
        <v>0</v>
      </c>
      <c r="AG50" s="109">
        <f t="shared" ca="1" si="24"/>
        <v>0</v>
      </c>
      <c r="AH50" s="617">
        <f>SUMIFS($AE50:$AE51,SP_PensionPayout,"Lump sum",$E50:$E51,"&lt;&gt;0")</f>
        <v>0</v>
      </c>
      <c r="AI50" s="617">
        <f>SUMIFS($AE50:$AE51,SP_PensionPayout,"Annuity",$E50:$E51,"&lt;&gt;0")</f>
        <v>0</v>
      </c>
      <c r="AJ50" s="617">
        <f>IF(ISBLANK(INDEX(SP_SSPBFA,1)),0,IF($J50&lt;&gt;INDEX(SP_SSPBFA,1),AJ48,SP_AdditionalRI/INDEX(SC_EA_InflationWageIdx,EAIDX)))</f>
        <v>0</v>
      </c>
      <c r="AK50" s="617">
        <f ca="1">SUMPRODUCT(AF50:AF51, --(G50:G51&lt;&gt;0))</f>
        <v>0</v>
      </c>
      <c r="AL50" s="618">
        <f ca="1">SUMPRODUCT(AG50:AG51, --(E50:E51&lt;&gt;0))+AJ50</f>
        <v>0</v>
      </c>
      <c r="AM50" s="186">
        <f t="shared" ca="1" si="25"/>
        <v>0</v>
      </c>
      <c r="AN50" t="str">
        <f t="shared" ca="1" si="26"/>
        <v/>
      </c>
    </row>
    <row r="51" spans="2:40" x14ac:dyDescent="0.25">
      <c r="B51" s="86">
        <f t="shared" si="27"/>
        <v>1976</v>
      </c>
      <c r="C51" s="80" t="s">
        <v>741</v>
      </c>
      <c r="D51" s="147" t="str">
        <f t="shared" si="0"/>
        <v/>
      </c>
      <c r="E51" s="81">
        <f t="shared" si="1"/>
        <v>0</v>
      </c>
      <c r="F51" s="82">
        <f t="shared" si="2"/>
        <v>0</v>
      </c>
      <c r="G51" s="81">
        <f t="shared" si="3"/>
        <v>2</v>
      </c>
      <c r="H51" s="82">
        <f t="shared" si="4"/>
        <v>-1</v>
      </c>
      <c r="I51" s="82">
        <f t="shared" si="5"/>
        <v>0</v>
      </c>
      <c r="J51" s="81">
        <f t="shared" si="6"/>
        <v>0</v>
      </c>
      <c r="K51" s="83">
        <f t="shared" ca="1" si="7"/>
        <v>1</v>
      </c>
      <c r="L51" s="470"/>
      <c r="M51" s="470"/>
      <c r="N51" s="470"/>
      <c r="O51" s="470"/>
      <c r="P51" s="107">
        <f t="shared" ca="1" si="8"/>
        <v>0</v>
      </c>
      <c r="Q51" s="107">
        <f t="shared" ca="1" si="9"/>
        <v>0</v>
      </c>
      <c r="R51" s="107">
        <f t="shared" ca="1" si="10"/>
        <v>0</v>
      </c>
      <c r="S51" s="107">
        <f t="shared" ca="1" si="11"/>
        <v>0</v>
      </c>
      <c r="T51" s="107">
        <f t="shared" ca="1" si="12"/>
        <v>0</v>
      </c>
      <c r="U51" s="107">
        <f t="shared" ca="1" si="13"/>
        <v>0</v>
      </c>
      <c r="V51" s="107">
        <f t="shared" ca="1" si="14"/>
        <v>0</v>
      </c>
      <c r="W51" s="107">
        <f t="shared" ca="1" si="15"/>
        <v>0</v>
      </c>
      <c r="X51" s="107">
        <f t="shared" si="16"/>
        <v>0</v>
      </c>
      <c r="Y51" s="107">
        <f t="shared" si="17"/>
        <v>0</v>
      </c>
      <c r="Z51" s="87">
        <f t="shared" si="18"/>
        <v>1</v>
      </c>
      <c r="AA51" s="88">
        <f t="shared" si="19"/>
        <v>0</v>
      </c>
      <c r="AB51" s="107">
        <f t="array" ref="AB51">ROUNDDOWN(AVERAGE(IFERROR(LARGE((X$6:X50+Y$6:Y50)*Z$6:Z50*(G$6:G50=G51), SC_SSCalcYears),0))/(12*Z51),0)</f>
        <v>0</v>
      </c>
      <c r="AC51" s="211">
        <f t="shared" si="20"/>
        <v>1</v>
      </c>
      <c r="AD51" s="89">
        <f t="shared" si="21"/>
        <v>0</v>
      </c>
      <c r="AE51" s="141">
        <f t="shared" ca="1" si="22"/>
        <v>0</v>
      </c>
      <c r="AF51" s="106">
        <f t="shared" ca="1" si="23"/>
        <v>0</v>
      </c>
      <c r="AG51" s="110">
        <f t="shared" ca="1" si="24"/>
        <v>0</v>
      </c>
      <c r="AH51" s="617"/>
      <c r="AI51" s="617"/>
      <c r="AJ51" s="617"/>
      <c r="AK51" s="617"/>
      <c r="AL51" s="618"/>
      <c r="AM51" s="186">
        <f t="shared" ca="1" si="25"/>
        <v>0</v>
      </c>
      <c r="AN51" t="str">
        <f t="shared" ca="1" si="26"/>
        <v/>
      </c>
    </row>
    <row r="52" spans="2:40" x14ac:dyDescent="0.25">
      <c r="B52" s="65">
        <f t="shared" si="27"/>
        <v>1977</v>
      </c>
      <c r="C52" s="76" t="s">
        <v>741</v>
      </c>
      <c r="D52" s="146" t="str">
        <f t="shared" si="0"/>
        <v/>
      </c>
      <c r="E52" s="77">
        <f t="shared" si="1"/>
        <v>0</v>
      </c>
      <c r="F52" s="77">
        <f t="shared" si="2"/>
        <v>0</v>
      </c>
      <c r="G52" s="77">
        <f t="shared" si="3"/>
        <v>1</v>
      </c>
      <c r="H52" s="76">
        <f t="shared" si="4"/>
        <v>1</v>
      </c>
      <c r="I52" s="76">
        <f t="shared" si="5"/>
        <v>0</v>
      </c>
      <c r="J52" s="77">
        <f t="shared" si="6"/>
        <v>0</v>
      </c>
      <c r="K52" s="78">
        <f t="shared" ca="1" si="7"/>
        <v>1</v>
      </c>
      <c r="L52" s="470"/>
      <c r="M52" s="470"/>
      <c r="N52" s="470"/>
      <c r="O52" s="470"/>
      <c r="P52" s="70">
        <f t="shared" ca="1" si="8"/>
        <v>0</v>
      </c>
      <c r="Q52" s="70">
        <f t="shared" ca="1" si="9"/>
        <v>0</v>
      </c>
      <c r="R52" s="70">
        <f t="shared" ca="1" si="10"/>
        <v>0</v>
      </c>
      <c r="S52" s="70">
        <f t="shared" ca="1" si="11"/>
        <v>0</v>
      </c>
      <c r="T52" s="70">
        <f t="shared" ca="1" si="12"/>
        <v>0</v>
      </c>
      <c r="U52" s="70">
        <f t="shared" ca="1" si="13"/>
        <v>0</v>
      </c>
      <c r="V52" s="70">
        <f t="shared" ca="1" si="14"/>
        <v>0</v>
      </c>
      <c r="W52" s="70">
        <f t="shared" ca="1" si="15"/>
        <v>0</v>
      </c>
      <c r="X52" s="70">
        <f t="shared" si="16"/>
        <v>0</v>
      </c>
      <c r="Y52" s="70">
        <f t="shared" si="17"/>
        <v>0</v>
      </c>
      <c r="Z52" s="68">
        <f t="shared" si="18"/>
        <v>1</v>
      </c>
      <c r="AA52" s="84">
        <f t="shared" si="19"/>
        <v>0</v>
      </c>
      <c r="AB52" s="488">
        <f t="array" ref="AB52">ROUNDDOWN(AVERAGE(IFERROR(LARGE((X$6:X51+Y$6:Y51)*Z$6:Z51*(G$6:G51=G52), SC_SSCalcYears),0))/(12*Z52),0)</f>
        <v>0</v>
      </c>
      <c r="AC52" s="69">
        <f t="shared" si="20"/>
        <v>1</v>
      </c>
      <c r="AD52" s="85">
        <f t="shared" si="21"/>
        <v>0</v>
      </c>
      <c r="AE52" s="140">
        <f t="shared" ca="1" si="22"/>
        <v>0</v>
      </c>
      <c r="AF52" s="75">
        <f t="shared" ca="1" si="23"/>
        <v>0</v>
      </c>
      <c r="AG52" s="109">
        <f t="shared" ca="1" si="24"/>
        <v>0</v>
      </c>
      <c r="AH52" s="617">
        <f>SUMIFS($AE52:$AE53,SP_PensionPayout,"Lump sum",$E52:$E53,"&lt;&gt;0")</f>
        <v>0</v>
      </c>
      <c r="AI52" s="617">
        <f>SUMIFS($AE52:$AE53,SP_PensionPayout,"Annuity",$E52:$E53,"&lt;&gt;0")</f>
        <v>0</v>
      </c>
      <c r="AJ52" s="617">
        <f>IF(ISBLANK(INDEX(SP_SSPBFA,1)),0,IF($J52&lt;&gt;INDEX(SP_SSPBFA,1),AJ50,SP_AdditionalRI/INDEX(SC_EA_InflationWageIdx,EAIDX)))</f>
        <v>0</v>
      </c>
      <c r="AK52" s="617">
        <f ca="1">SUMPRODUCT(AF52:AF53, --(G52:G53&lt;&gt;0))</f>
        <v>0</v>
      </c>
      <c r="AL52" s="618">
        <f ca="1">SUMPRODUCT(AG52:AG53, --(E52:E53&lt;&gt;0))+AJ52</f>
        <v>0</v>
      </c>
      <c r="AM52" s="186">
        <f t="shared" ca="1" si="25"/>
        <v>0</v>
      </c>
      <c r="AN52" t="str">
        <f t="shared" ca="1" si="26"/>
        <v/>
      </c>
    </row>
    <row r="53" spans="2:40" x14ac:dyDescent="0.25">
      <c r="B53" s="86">
        <f t="shared" si="27"/>
        <v>1977</v>
      </c>
      <c r="C53" s="80" t="s">
        <v>741</v>
      </c>
      <c r="D53" s="147" t="str">
        <f t="shared" si="0"/>
        <v/>
      </c>
      <c r="E53" s="81">
        <f t="shared" si="1"/>
        <v>0</v>
      </c>
      <c r="F53" s="82">
        <f t="shared" si="2"/>
        <v>0</v>
      </c>
      <c r="G53" s="81">
        <f t="shared" si="3"/>
        <v>2</v>
      </c>
      <c r="H53" s="82">
        <f t="shared" si="4"/>
        <v>-1</v>
      </c>
      <c r="I53" s="82">
        <f t="shared" si="5"/>
        <v>0</v>
      </c>
      <c r="J53" s="81">
        <f t="shared" si="6"/>
        <v>0</v>
      </c>
      <c r="K53" s="83">
        <f t="shared" ca="1" si="7"/>
        <v>1</v>
      </c>
      <c r="L53" s="470"/>
      <c r="M53" s="470"/>
      <c r="N53" s="470"/>
      <c r="O53" s="470"/>
      <c r="P53" s="107">
        <f t="shared" ca="1" si="8"/>
        <v>0</v>
      </c>
      <c r="Q53" s="107">
        <f t="shared" ca="1" si="9"/>
        <v>0</v>
      </c>
      <c r="R53" s="107">
        <f t="shared" ca="1" si="10"/>
        <v>0</v>
      </c>
      <c r="S53" s="107">
        <f t="shared" ca="1" si="11"/>
        <v>0</v>
      </c>
      <c r="T53" s="107">
        <f t="shared" ca="1" si="12"/>
        <v>0</v>
      </c>
      <c r="U53" s="107">
        <f t="shared" ca="1" si="13"/>
        <v>0</v>
      </c>
      <c r="V53" s="107">
        <f t="shared" ca="1" si="14"/>
        <v>0</v>
      </c>
      <c r="W53" s="107">
        <f t="shared" ca="1" si="15"/>
        <v>0</v>
      </c>
      <c r="X53" s="107">
        <f t="shared" si="16"/>
        <v>0</v>
      </c>
      <c r="Y53" s="107">
        <f t="shared" si="17"/>
        <v>0</v>
      </c>
      <c r="Z53" s="87">
        <f t="shared" si="18"/>
        <v>1</v>
      </c>
      <c r="AA53" s="88">
        <f t="shared" si="19"/>
        <v>0</v>
      </c>
      <c r="AB53" s="107">
        <f t="array" ref="AB53">ROUNDDOWN(AVERAGE(IFERROR(LARGE((X$6:X52+Y$6:Y52)*Z$6:Z52*(G$6:G52=G53), SC_SSCalcYears),0))/(12*Z53),0)</f>
        <v>0</v>
      </c>
      <c r="AC53" s="211">
        <f t="shared" si="20"/>
        <v>1</v>
      </c>
      <c r="AD53" s="89">
        <f t="shared" si="21"/>
        <v>0</v>
      </c>
      <c r="AE53" s="141">
        <f t="shared" ca="1" si="22"/>
        <v>0</v>
      </c>
      <c r="AF53" s="106">
        <f t="shared" ca="1" si="23"/>
        <v>0</v>
      </c>
      <c r="AG53" s="110">
        <f t="shared" ca="1" si="24"/>
        <v>0</v>
      </c>
      <c r="AH53" s="617"/>
      <c r="AI53" s="617"/>
      <c r="AJ53" s="617"/>
      <c r="AK53" s="617"/>
      <c r="AL53" s="618"/>
      <c r="AM53" s="186">
        <f t="shared" ca="1" si="25"/>
        <v>0</v>
      </c>
      <c r="AN53" t="str">
        <f t="shared" ca="1" si="26"/>
        <v/>
      </c>
    </row>
    <row r="54" spans="2:40" x14ac:dyDescent="0.25">
      <c r="B54" s="65">
        <f t="shared" si="27"/>
        <v>1978</v>
      </c>
      <c r="C54" s="76" t="s">
        <v>741</v>
      </c>
      <c r="D54" s="146" t="str">
        <f t="shared" si="0"/>
        <v/>
      </c>
      <c r="E54" s="77">
        <f t="shared" si="1"/>
        <v>0</v>
      </c>
      <c r="F54" s="77">
        <f t="shared" si="2"/>
        <v>0</v>
      </c>
      <c r="G54" s="77">
        <f t="shared" si="3"/>
        <v>1</v>
      </c>
      <c r="H54" s="76">
        <f t="shared" si="4"/>
        <v>1</v>
      </c>
      <c r="I54" s="76">
        <f t="shared" si="5"/>
        <v>0</v>
      </c>
      <c r="J54" s="77">
        <f t="shared" si="6"/>
        <v>0</v>
      </c>
      <c r="K54" s="78">
        <f t="shared" ca="1" si="7"/>
        <v>1</v>
      </c>
      <c r="L54" s="470"/>
      <c r="M54" s="470"/>
      <c r="N54" s="470"/>
      <c r="O54" s="470"/>
      <c r="P54" s="70">
        <f t="shared" ca="1" si="8"/>
        <v>0</v>
      </c>
      <c r="Q54" s="70">
        <f t="shared" ca="1" si="9"/>
        <v>0</v>
      </c>
      <c r="R54" s="70">
        <f t="shared" ca="1" si="10"/>
        <v>0</v>
      </c>
      <c r="S54" s="70">
        <f t="shared" ca="1" si="11"/>
        <v>0</v>
      </c>
      <c r="T54" s="70">
        <f t="shared" ca="1" si="12"/>
        <v>0</v>
      </c>
      <c r="U54" s="70">
        <f t="shared" ca="1" si="13"/>
        <v>0</v>
      </c>
      <c r="V54" s="70">
        <f t="shared" ca="1" si="14"/>
        <v>0</v>
      </c>
      <c r="W54" s="70">
        <f t="shared" ca="1" si="15"/>
        <v>0</v>
      </c>
      <c r="X54" s="70">
        <f t="shared" si="16"/>
        <v>0</v>
      </c>
      <c r="Y54" s="70">
        <f t="shared" si="17"/>
        <v>0</v>
      </c>
      <c r="Z54" s="68">
        <f t="shared" si="18"/>
        <v>1</v>
      </c>
      <c r="AA54" s="84">
        <f t="shared" si="19"/>
        <v>0</v>
      </c>
      <c r="AB54" s="488">
        <f t="array" ref="AB54">ROUNDDOWN(AVERAGE(IFERROR(LARGE((X$6:X53+Y$6:Y53)*Z$6:Z53*(G$6:G53=G54), SC_SSCalcYears),0))/(12*Z54),0)</f>
        <v>0</v>
      </c>
      <c r="AC54" s="69">
        <f t="shared" si="20"/>
        <v>1</v>
      </c>
      <c r="AD54" s="85">
        <f t="shared" si="21"/>
        <v>0</v>
      </c>
      <c r="AE54" s="140">
        <f t="shared" ca="1" si="22"/>
        <v>0</v>
      </c>
      <c r="AF54" s="75">
        <f t="shared" ca="1" si="23"/>
        <v>0</v>
      </c>
      <c r="AG54" s="109">
        <f t="shared" ca="1" si="24"/>
        <v>0</v>
      </c>
      <c r="AH54" s="617">
        <f>SUMIFS($AE54:$AE55,SP_PensionPayout,"Lump sum",$E54:$E55,"&lt;&gt;0")</f>
        <v>0</v>
      </c>
      <c r="AI54" s="617">
        <f>SUMIFS($AE54:$AE55,SP_PensionPayout,"Annuity",$E54:$E55,"&lt;&gt;0")</f>
        <v>0</v>
      </c>
      <c r="AJ54" s="617">
        <f>IF(ISBLANK(INDEX(SP_SSPBFA,1)),0,IF($J54&lt;&gt;INDEX(SP_SSPBFA,1),AJ52,SP_AdditionalRI/INDEX(SC_EA_InflationWageIdx,EAIDX)))</f>
        <v>0</v>
      </c>
      <c r="AK54" s="617">
        <f ca="1">SUMPRODUCT(AF54:AF55, --(G54:G55&lt;&gt;0))</f>
        <v>0</v>
      </c>
      <c r="AL54" s="618">
        <f ca="1">SUMPRODUCT(AG54:AG55, --(E54:E55&lt;&gt;0))+AJ54</f>
        <v>0</v>
      </c>
      <c r="AM54" s="186">
        <f t="shared" ca="1" si="25"/>
        <v>0</v>
      </c>
      <c r="AN54" t="str">
        <f t="shared" ca="1" si="26"/>
        <v/>
      </c>
    </row>
    <row r="55" spans="2:40" x14ac:dyDescent="0.25">
      <c r="B55" s="86">
        <f t="shared" si="27"/>
        <v>1978</v>
      </c>
      <c r="C55" s="80" t="s">
        <v>741</v>
      </c>
      <c r="D55" s="147" t="str">
        <f t="shared" si="0"/>
        <v/>
      </c>
      <c r="E55" s="81">
        <f t="shared" si="1"/>
        <v>0</v>
      </c>
      <c r="F55" s="82">
        <f t="shared" si="2"/>
        <v>0</v>
      </c>
      <c r="G55" s="81">
        <f t="shared" si="3"/>
        <v>2</v>
      </c>
      <c r="H55" s="82">
        <f t="shared" si="4"/>
        <v>-1</v>
      </c>
      <c r="I55" s="82">
        <f t="shared" si="5"/>
        <v>0</v>
      </c>
      <c r="J55" s="81">
        <f t="shared" si="6"/>
        <v>0</v>
      </c>
      <c r="K55" s="83">
        <f t="shared" ca="1" si="7"/>
        <v>1</v>
      </c>
      <c r="L55" s="470"/>
      <c r="M55" s="470"/>
      <c r="N55" s="470"/>
      <c r="O55" s="470"/>
      <c r="P55" s="107">
        <f t="shared" ca="1" si="8"/>
        <v>0</v>
      </c>
      <c r="Q55" s="107">
        <f t="shared" ca="1" si="9"/>
        <v>0</v>
      </c>
      <c r="R55" s="107">
        <f t="shared" ca="1" si="10"/>
        <v>0</v>
      </c>
      <c r="S55" s="107">
        <f t="shared" ca="1" si="11"/>
        <v>0</v>
      </c>
      <c r="T55" s="107">
        <f t="shared" ca="1" si="12"/>
        <v>0</v>
      </c>
      <c r="U55" s="107">
        <f t="shared" ca="1" si="13"/>
        <v>0</v>
      </c>
      <c r="V55" s="107">
        <f t="shared" ca="1" si="14"/>
        <v>0</v>
      </c>
      <c r="W55" s="107">
        <f t="shared" ca="1" si="15"/>
        <v>0</v>
      </c>
      <c r="X55" s="107">
        <f t="shared" si="16"/>
        <v>0</v>
      </c>
      <c r="Y55" s="107">
        <f t="shared" si="17"/>
        <v>0</v>
      </c>
      <c r="Z55" s="87">
        <f t="shared" si="18"/>
        <v>1</v>
      </c>
      <c r="AA55" s="88">
        <f t="shared" si="19"/>
        <v>0</v>
      </c>
      <c r="AB55" s="107">
        <f t="array" ref="AB55">ROUNDDOWN(AVERAGE(IFERROR(LARGE((X$6:X54+Y$6:Y54)*Z$6:Z54*(G$6:G54=G55), SC_SSCalcYears),0))/(12*Z55),0)</f>
        <v>0</v>
      </c>
      <c r="AC55" s="211">
        <f t="shared" si="20"/>
        <v>1</v>
      </c>
      <c r="AD55" s="89">
        <f t="shared" si="21"/>
        <v>0</v>
      </c>
      <c r="AE55" s="141">
        <f t="shared" ca="1" si="22"/>
        <v>0</v>
      </c>
      <c r="AF55" s="106">
        <f t="shared" ca="1" si="23"/>
        <v>0</v>
      </c>
      <c r="AG55" s="110">
        <f t="shared" ca="1" si="24"/>
        <v>0</v>
      </c>
      <c r="AH55" s="617"/>
      <c r="AI55" s="617"/>
      <c r="AJ55" s="617"/>
      <c r="AK55" s="617"/>
      <c r="AL55" s="618"/>
      <c r="AM55" s="186">
        <f t="shared" ca="1" si="25"/>
        <v>0</v>
      </c>
      <c r="AN55" t="str">
        <f t="shared" ca="1" si="26"/>
        <v/>
      </c>
    </row>
    <row r="56" spans="2:40" x14ac:dyDescent="0.25">
      <c r="B56" s="65">
        <f t="shared" si="27"/>
        <v>1979</v>
      </c>
      <c r="C56" s="76" t="s">
        <v>741</v>
      </c>
      <c r="D56" s="146" t="str">
        <f t="shared" si="0"/>
        <v/>
      </c>
      <c r="E56" s="77">
        <f t="shared" si="1"/>
        <v>0</v>
      </c>
      <c r="F56" s="77">
        <f t="shared" si="2"/>
        <v>0</v>
      </c>
      <c r="G56" s="77">
        <f t="shared" si="3"/>
        <v>1</v>
      </c>
      <c r="H56" s="76">
        <f t="shared" si="4"/>
        <v>1</v>
      </c>
      <c r="I56" s="76">
        <f t="shared" si="5"/>
        <v>0</v>
      </c>
      <c r="J56" s="77">
        <f t="shared" si="6"/>
        <v>0</v>
      </c>
      <c r="K56" s="78">
        <f t="shared" ca="1" si="7"/>
        <v>1</v>
      </c>
      <c r="L56" s="470"/>
      <c r="M56" s="470"/>
      <c r="N56" s="470"/>
      <c r="O56" s="470"/>
      <c r="P56" s="70">
        <f t="shared" ca="1" si="8"/>
        <v>0</v>
      </c>
      <c r="Q56" s="70">
        <f t="shared" ca="1" si="9"/>
        <v>0</v>
      </c>
      <c r="R56" s="70">
        <f t="shared" ca="1" si="10"/>
        <v>0</v>
      </c>
      <c r="S56" s="70">
        <f t="shared" ca="1" si="11"/>
        <v>0</v>
      </c>
      <c r="T56" s="70">
        <f t="shared" ca="1" si="12"/>
        <v>0</v>
      </c>
      <c r="U56" s="70">
        <f t="shared" ca="1" si="13"/>
        <v>0</v>
      </c>
      <c r="V56" s="70">
        <f t="shared" ca="1" si="14"/>
        <v>0</v>
      </c>
      <c r="W56" s="70">
        <f t="shared" ca="1" si="15"/>
        <v>0</v>
      </c>
      <c r="X56" s="70">
        <f t="shared" si="16"/>
        <v>0</v>
      </c>
      <c r="Y56" s="70">
        <f t="shared" si="17"/>
        <v>0</v>
      </c>
      <c r="Z56" s="68">
        <f t="shared" si="18"/>
        <v>1</v>
      </c>
      <c r="AA56" s="84">
        <f t="shared" si="19"/>
        <v>0</v>
      </c>
      <c r="AB56" s="488">
        <f t="array" ref="AB56">ROUNDDOWN(AVERAGE(IFERROR(LARGE((X$6:X55+Y$6:Y55)*Z$6:Z55*(G$6:G55=G56), SC_SSCalcYears),0))/(12*Z56),0)</f>
        <v>0</v>
      </c>
      <c r="AC56" s="69">
        <f t="shared" si="20"/>
        <v>1</v>
      </c>
      <c r="AD56" s="85">
        <f t="shared" si="21"/>
        <v>0</v>
      </c>
      <c r="AE56" s="140">
        <f t="shared" ca="1" si="22"/>
        <v>0</v>
      </c>
      <c r="AF56" s="75">
        <f t="shared" ca="1" si="23"/>
        <v>0</v>
      </c>
      <c r="AG56" s="109">
        <f t="shared" ca="1" si="24"/>
        <v>0</v>
      </c>
      <c r="AH56" s="617">
        <f>SUMIFS($AE56:$AE57,SP_PensionPayout,"Lump sum",$E56:$E57,"&lt;&gt;0")</f>
        <v>0</v>
      </c>
      <c r="AI56" s="617">
        <f>SUMIFS($AE56:$AE57,SP_PensionPayout,"Annuity",$E56:$E57,"&lt;&gt;0")</f>
        <v>0</v>
      </c>
      <c r="AJ56" s="617">
        <f>IF(ISBLANK(INDEX(SP_SSPBFA,1)),0,IF($J56&lt;&gt;INDEX(SP_SSPBFA,1),AJ54,SP_AdditionalRI/INDEX(SC_EA_InflationWageIdx,EAIDX)))</f>
        <v>0</v>
      </c>
      <c r="AK56" s="617">
        <f ca="1">SUMPRODUCT(AF56:AF57, --(G56:G57&lt;&gt;0))</f>
        <v>0</v>
      </c>
      <c r="AL56" s="618">
        <f ca="1">SUMPRODUCT(AG56:AG57, --(E56:E57&lt;&gt;0))+AJ56</f>
        <v>0</v>
      </c>
      <c r="AM56" s="186">
        <f t="shared" ca="1" si="25"/>
        <v>0</v>
      </c>
      <c r="AN56" t="str">
        <f t="shared" ca="1" si="26"/>
        <v/>
      </c>
    </row>
    <row r="57" spans="2:40" x14ac:dyDescent="0.25">
      <c r="B57" s="86">
        <f t="shared" si="27"/>
        <v>1979</v>
      </c>
      <c r="C57" s="80" t="s">
        <v>741</v>
      </c>
      <c r="D57" s="147" t="str">
        <f t="shared" si="0"/>
        <v/>
      </c>
      <c r="E57" s="81">
        <f t="shared" si="1"/>
        <v>0</v>
      </c>
      <c r="F57" s="82">
        <f t="shared" si="2"/>
        <v>0</v>
      </c>
      <c r="G57" s="81">
        <f t="shared" si="3"/>
        <v>2</v>
      </c>
      <c r="H57" s="82">
        <f t="shared" si="4"/>
        <v>-1</v>
      </c>
      <c r="I57" s="82">
        <f t="shared" si="5"/>
        <v>0</v>
      </c>
      <c r="J57" s="81">
        <f t="shared" si="6"/>
        <v>0</v>
      </c>
      <c r="K57" s="83">
        <f t="shared" ca="1" si="7"/>
        <v>1</v>
      </c>
      <c r="L57" s="470"/>
      <c r="M57" s="470"/>
      <c r="N57" s="470"/>
      <c r="O57" s="470"/>
      <c r="P57" s="107">
        <f t="shared" ca="1" si="8"/>
        <v>0</v>
      </c>
      <c r="Q57" s="107">
        <f t="shared" ca="1" si="9"/>
        <v>0</v>
      </c>
      <c r="R57" s="107">
        <f t="shared" ca="1" si="10"/>
        <v>0</v>
      </c>
      <c r="S57" s="107">
        <f t="shared" ca="1" si="11"/>
        <v>0</v>
      </c>
      <c r="T57" s="107">
        <f t="shared" ca="1" si="12"/>
        <v>0</v>
      </c>
      <c r="U57" s="107">
        <f t="shared" ca="1" si="13"/>
        <v>0</v>
      </c>
      <c r="V57" s="107">
        <f t="shared" ca="1" si="14"/>
        <v>0</v>
      </c>
      <c r="W57" s="107">
        <f t="shared" ca="1" si="15"/>
        <v>0</v>
      </c>
      <c r="X57" s="107">
        <f t="shared" si="16"/>
        <v>0</v>
      </c>
      <c r="Y57" s="107">
        <f t="shared" si="17"/>
        <v>0</v>
      </c>
      <c r="Z57" s="87">
        <f t="shared" si="18"/>
        <v>1</v>
      </c>
      <c r="AA57" s="88">
        <f t="shared" si="19"/>
        <v>0</v>
      </c>
      <c r="AB57" s="107">
        <f t="array" ref="AB57">ROUNDDOWN(AVERAGE(IFERROR(LARGE((X$6:X56+Y$6:Y56)*Z$6:Z56*(G$6:G56=G57), SC_SSCalcYears),0))/(12*Z57),0)</f>
        <v>0</v>
      </c>
      <c r="AC57" s="211">
        <f t="shared" si="20"/>
        <v>1</v>
      </c>
      <c r="AD57" s="89">
        <f t="shared" si="21"/>
        <v>0</v>
      </c>
      <c r="AE57" s="141">
        <f t="shared" ca="1" si="22"/>
        <v>0</v>
      </c>
      <c r="AF57" s="106">
        <f t="shared" ca="1" si="23"/>
        <v>0</v>
      </c>
      <c r="AG57" s="110">
        <f t="shared" ca="1" si="24"/>
        <v>0</v>
      </c>
      <c r="AH57" s="617"/>
      <c r="AI57" s="617"/>
      <c r="AJ57" s="617"/>
      <c r="AK57" s="617"/>
      <c r="AL57" s="618"/>
      <c r="AM57" s="186">
        <f t="shared" ca="1" si="25"/>
        <v>0</v>
      </c>
      <c r="AN57" t="str">
        <f t="shared" ca="1" si="26"/>
        <v/>
      </c>
    </row>
    <row r="58" spans="2:40" x14ac:dyDescent="0.25">
      <c r="B58" s="65">
        <f t="shared" si="27"/>
        <v>1980</v>
      </c>
      <c r="C58" s="76" t="s">
        <v>741</v>
      </c>
      <c r="D58" s="146" t="str">
        <f t="shared" si="0"/>
        <v/>
      </c>
      <c r="E58" s="77">
        <f t="shared" si="1"/>
        <v>0</v>
      </c>
      <c r="F58" s="77">
        <f t="shared" si="2"/>
        <v>0</v>
      </c>
      <c r="G58" s="77">
        <f t="shared" si="3"/>
        <v>1</v>
      </c>
      <c r="H58" s="76">
        <f t="shared" si="4"/>
        <v>1</v>
      </c>
      <c r="I58" s="76">
        <f t="shared" si="5"/>
        <v>0</v>
      </c>
      <c r="J58" s="77">
        <f t="shared" si="6"/>
        <v>0</v>
      </c>
      <c r="K58" s="78">
        <f t="shared" ca="1" si="7"/>
        <v>1</v>
      </c>
      <c r="L58" s="470"/>
      <c r="M58" s="470"/>
      <c r="N58" s="470"/>
      <c r="O58" s="470"/>
      <c r="P58" s="70">
        <f t="shared" ca="1" si="8"/>
        <v>0</v>
      </c>
      <c r="Q58" s="70">
        <f t="shared" ca="1" si="9"/>
        <v>0</v>
      </c>
      <c r="R58" s="70">
        <f t="shared" ca="1" si="10"/>
        <v>0</v>
      </c>
      <c r="S58" s="70">
        <f t="shared" ca="1" si="11"/>
        <v>0</v>
      </c>
      <c r="T58" s="70">
        <f t="shared" ca="1" si="12"/>
        <v>0</v>
      </c>
      <c r="U58" s="70">
        <f t="shared" ca="1" si="13"/>
        <v>0</v>
      </c>
      <c r="V58" s="70">
        <f t="shared" ca="1" si="14"/>
        <v>0</v>
      </c>
      <c r="W58" s="70">
        <f t="shared" ca="1" si="15"/>
        <v>0</v>
      </c>
      <c r="X58" s="70">
        <f t="shared" si="16"/>
        <v>0</v>
      </c>
      <c r="Y58" s="70">
        <f t="shared" si="17"/>
        <v>0</v>
      </c>
      <c r="Z58" s="68">
        <f t="shared" si="18"/>
        <v>1</v>
      </c>
      <c r="AA58" s="84">
        <f t="shared" si="19"/>
        <v>0</v>
      </c>
      <c r="AB58" s="488">
        <f t="array" ref="AB58">ROUNDDOWN(AVERAGE(IFERROR(LARGE((X$6:X57+Y$6:Y57)*Z$6:Z57*(G$6:G57=G58), SC_SSCalcYears),0))/(12*Z58),0)</f>
        <v>0</v>
      </c>
      <c r="AC58" s="69">
        <f t="shared" si="20"/>
        <v>1</v>
      </c>
      <c r="AD58" s="85">
        <f t="shared" si="21"/>
        <v>0</v>
      </c>
      <c r="AE58" s="140">
        <f t="shared" ca="1" si="22"/>
        <v>0</v>
      </c>
      <c r="AF58" s="75">
        <f t="shared" ca="1" si="23"/>
        <v>0</v>
      </c>
      <c r="AG58" s="109">
        <f t="shared" ca="1" si="24"/>
        <v>0</v>
      </c>
      <c r="AH58" s="617">
        <f>SUMIFS($AE58:$AE59,SP_PensionPayout,"Lump sum",$E58:$E59,"&lt;&gt;0")</f>
        <v>0</v>
      </c>
      <c r="AI58" s="617">
        <f>SUMIFS($AE58:$AE59,SP_PensionPayout,"Annuity",$E58:$E59,"&lt;&gt;0")</f>
        <v>0</v>
      </c>
      <c r="AJ58" s="617">
        <f>IF(ISBLANK(INDEX(SP_SSPBFA,1)),0,IF($J58&lt;&gt;INDEX(SP_SSPBFA,1),AJ56,SP_AdditionalRI/INDEX(SC_EA_InflationWageIdx,EAIDX)))</f>
        <v>0</v>
      </c>
      <c r="AK58" s="617">
        <f ca="1">SUMPRODUCT(AF58:AF59, --(G58:G59&lt;&gt;0))</f>
        <v>0</v>
      </c>
      <c r="AL58" s="618">
        <f ca="1">SUMPRODUCT(AG58:AG59, --(E58:E59&lt;&gt;0))+AJ58</f>
        <v>0</v>
      </c>
      <c r="AM58" s="186">
        <f t="shared" ca="1" si="25"/>
        <v>0</v>
      </c>
      <c r="AN58" t="str">
        <f t="shared" ca="1" si="26"/>
        <v/>
      </c>
    </row>
    <row r="59" spans="2:40" x14ac:dyDescent="0.25">
      <c r="B59" s="86">
        <f t="shared" si="27"/>
        <v>1980</v>
      </c>
      <c r="C59" s="80" t="s">
        <v>741</v>
      </c>
      <c r="D59" s="147" t="str">
        <f t="shared" si="0"/>
        <v/>
      </c>
      <c r="E59" s="81">
        <f t="shared" si="1"/>
        <v>0</v>
      </c>
      <c r="F59" s="82">
        <f t="shared" si="2"/>
        <v>0</v>
      </c>
      <c r="G59" s="81">
        <f t="shared" si="3"/>
        <v>2</v>
      </c>
      <c r="H59" s="82">
        <f t="shared" si="4"/>
        <v>-1</v>
      </c>
      <c r="I59" s="82">
        <f t="shared" si="5"/>
        <v>0</v>
      </c>
      <c r="J59" s="81">
        <f t="shared" si="6"/>
        <v>0</v>
      </c>
      <c r="K59" s="83">
        <f t="shared" ca="1" si="7"/>
        <v>1</v>
      </c>
      <c r="L59" s="470"/>
      <c r="M59" s="470"/>
      <c r="N59" s="470"/>
      <c r="O59" s="470"/>
      <c r="P59" s="107">
        <f t="shared" ca="1" si="8"/>
        <v>0</v>
      </c>
      <c r="Q59" s="107">
        <f t="shared" ca="1" si="9"/>
        <v>0</v>
      </c>
      <c r="R59" s="107">
        <f t="shared" ca="1" si="10"/>
        <v>0</v>
      </c>
      <c r="S59" s="107">
        <f t="shared" ca="1" si="11"/>
        <v>0</v>
      </c>
      <c r="T59" s="107">
        <f t="shared" ca="1" si="12"/>
        <v>0</v>
      </c>
      <c r="U59" s="107">
        <f t="shared" ca="1" si="13"/>
        <v>0</v>
      </c>
      <c r="V59" s="107">
        <f t="shared" ca="1" si="14"/>
        <v>0</v>
      </c>
      <c r="W59" s="107">
        <f t="shared" ca="1" si="15"/>
        <v>0</v>
      </c>
      <c r="X59" s="107">
        <f t="shared" si="16"/>
        <v>0</v>
      </c>
      <c r="Y59" s="107">
        <f t="shared" si="17"/>
        <v>0</v>
      </c>
      <c r="Z59" s="87">
        <f t="shared" si="18"/>
        <v>1</v>
      </c>
      <c r="AA59" s="88">
        <f t="shared" si="19"/>
        <v>0</v>
      </c>
      <c r="AB59" s="107">
        <f t="array" ref="AB59">ROUNDDOWN(AVERAGE(IFERROR(LARGE((X$6:X58+Y$6:Y58)*Z$6:Z58*(G$6:G58=G59), SC_SSCalcYears),0))/(12*Z59),0)</f>
        <v>0</v>
      </c>
      <c r="AC59" s="211">
        <f t="shared" si="20"/>
        <v>1</v>
      </c>
      <c r="AD59" s="89">
        <f t="shared" si="21"/>
        <v>0</v>
      </c>
      <c r="AE59" s="141">
        <f t="shared" ca="1" si="22"/>
        <v>0</v>
      </c>
      <c r="AF59" s="106">
        <f t="shared" ca="1" si="23"/>
        <v>0</v>
      </c>
      <c r="AG59" s="110">
        <f t="shared" ca="1" si="24"/>
        <v>0</v>
      </c>
      <c r="AH59" s="617"/>
      <c r="AI59" s="617"/>
      <c r="AJ59" s="617"/>
      <c r="AK59" s="617"/>
      <c r="AL59" s="618"/>
      <c r="AM59" s="186">
        <f t="shared" ca="1" si="25"/>
        <v>0</v>
      </c>
      <c r="AN59" t="str">
        <f t="shared" ca="1" si="26"/>
        <v/>
      </c>
    </row>
    <row r="60" spans="2:40" x14ac:dyDescent="0.25">
      <c r="B60" s="65">
        <f t="shared" si="27"/>
        <v>1981</v>
      </c>
      <c r="C60" s="76" t="s">
        <v>741</v>
      </c>
      <c r="D60" s="146" t="str">
        <f t="shared" si="0"/>
        <v/>
      </c>
      <c r="E60" s="77">
        <f t="shared" si="1"/>
        <v>0</v>
      </c>
      <c r="F60" s="77">
        <f t="shared" si="2"/>
        <v>0</v>
      </c>
      <c r="G60" s="77">
        <f t="shared" si="3"/>
        <v>1</v>
      </c>
      <c r="H60" s="76">
        <f t="shared" si="4"/>
        <v>1</v>
      </c>
      <c r="I60" s="76">
        <f t="shared" si="5"/>
        <v>0</v>
      </c>
      <c r="J60" s="77">
        <f t="shared" si="6"/>
        <v>0</v>
      </c>
      <c r="K60" s="78">
        <f t="shared" ca="1" si="7"/>
        <v>1</v>
      </c>
      <c r="L60" s="470"/>
      <c r="M60" s="470"/>
      <c r="N60" s="470"/>
      <c r="O60" s="470"/>
      <c r="P60" s="70">
        <f t="shared" ca="1" si="8"/>
        <v>0</v>
      </c>
      <c r="Q60" s="70">
        <f t="shared" ca="1" si="9"/>
        <v>0</v>
      </c>
      <c r="R60" s="70">
        <f t="shared" ca="1" si="10"/>
        <v>0</v>
      </c>
      <c r="S60" s="70">
        <f t="shared" ca="1" si="11"/>
        <v>0</v>
      </c>
      <c r="T60" s="70">
        <f t="shared" ca="1" si="12"/>
        <v>0</v>
      </c>
      <c r="U60" s="70">
        <f t="shared" ca="1" si="13"/>
        <v>0</v>
      </c>
      <c r="V60" s="70">
        <f t="shared" ca="1" si="14"/>
        <v>0</v>
      </c>
      <c r="W60" s="70">
        <f t="shared" ca="1" si="15"/>
        <v>0</v>
      </c>
      <c r="X60" s="70">
        <f t="shared" si="16"/>
        <v>0</v>
      </c>
      <c r="Y60" s="70">
        <f t="shared" si="17"/>
        <v>0</v>
      </c>
      <c r="Z60" s="68">
        <f t="shared" si="18"/>
        <v>1</v>
      </c>
      <c r="AA60" s="84">
        <f t="shared" si="19"/>
        <v>0</v>
      </c>
      <c r="AB60" s="488">
        <f t="array" ref="AB60">ROUNDDOWN(AVERAGE(IFERROR(LARGE((X$6:X59+Y$6:Y59)*Z$6:Z59*(G$6:G59=G60), SC_SSCalcYears),0))/(12*Z60),0)</f>
        <v>0</v>
      </c>
      <c r="AC60" s="69">
        <f t="shared" si="20"/>
        <v>1</v>
      </c>
      <c r="AD60" s="85">
        <f t="shared" si="21"/>
        <v>0</v>
      </c>
      <c r="AE60" s="140">
        <f t="shared" ca="1" si="22"/>
        <v>0</v>
      </c>
      <c r="AF60" s="75">
        <f t="shared" ca="1" si="23"/>
        <v>0</v>
      </c>
      <c r="AG60" s="109">
        <f t="shared" ca="1" si="24"/>
        <v>0</v>
      </c>
      <c r="AH60" s="617">
        <f>SUMIFS($AE60:$AE61,SP_PensionPayout,"Lump sum",$E60:$E61,"&lt;&gt;0")</f>
        <v>0</v>
      </c>
      <c r="AI60" s="617">
        <f>SUMIFS($AE60:$AE61,SP_PensionPayout,"Annuity",$E60:$E61,"&lt;&gt;0")</f>
        <v>0</v>
      </c>
      <c r="AJ60" s="617">
        <f>IF(ISBLANK(INDEX(SP_SSPBFA,1)),0,IF($J60&lt;&gt;INDEX(SP_SSPBFA,1),AJ58,SP_AdditionalRI/INDEX(SC_EA_InflationWageIdx,EAIDX)))</f>
        <v>0</v>
      </c>
      <c r="AK60" s="617">
        <f ca="1">SUMPRODUCT(AF60:AF61, --(G60:G61&lt;&gt;0))</f>
        <v>0</v>
      </c>
      <c r="AL60" s="618">
        <f ca="1">SUMPRODUCT(AG60:AG61, --(E60:E61&lt;&gt;0))+AJ60</f>
        <v>0</v>
      </c>
      <c r="AM60" s="186">
        <f t="shared" ca="1" si="25"/>
        <v>0</v>
      </c>
      <c r="AN60" t="str">
        <f t="shared" ca="1" si="26"/>
        <v/>
      </c>
    </row>
    <row r="61" spans="2:40" x14ac:dyDescent="0.25">
      <c r="B61" s="86">
        <f t="shared" si="27"/>
        <v>1981</v>
      </c>
      <c r="C61" s="80" t="s">
        <v>741</v>
      </c>
      <c r="D61" s="147" t="str">
        <f t="shared" si="0"/>
        <v/>
      </c>
      <c r="E61" s="81">
        <f t="shared" si="1"/>
        <v>0</v>
      </c>
      <c r="F61" s="82">
        <f t="shared" si="2"/>
        <v>0</v>
      </c>
      <c r="G61" s="81">
        <f t="shared" si="3"/>
        <v>2</v>
      </c>
      <c r="H61" s="82">
        <f t="shared" si="4"/>
        <v>-1</v>
      </c>
      <c r="I61" s="82">
        <f t="shared" si="5"/>
        <v>0</v>
      </c>
      <c r="J61" s="81">
        <f t="shared" si="6"/>
        <v>0</v>
      </c>
      <c r="K61" s="83">
        <f t="shared" ca="1" si="7"/>
        <v>1</v>
      </c>
      <c r="L61" s="470"/>
      <c r="M61" s="470"/>
      <c r="N61" s="470"/>
      <c r="O61" s="470"/>
      <c r="P61" s="107">
        <f t="shared" ca="1" si="8"/>
        <v>0</v>
      </c>
      <c r="Q61" s="107">
        <f t="shared" ca="1" si="9"/>
        <v>0</v>
      </c>
      <c r="R61" s="107">
        <f t="shared" ca="1" si="10"/>
        <v>0</v>
      </c>
      <c r="S61" s="107">
        <f t="shared" ca="1" si="11"/>
        <v>0</v>
      </c>
      <c r="T61" s="107">
        <f t="shared" ca="1" si="12"/>
        <v>0</v>
      </c>
      <c r="U61" s="107">
        <f t="shared" ca="1" si="13"/>
        <v>0</v>
      </c>
      <c r="V61" s="107">
        <f t="shared" ca="1" si="14"/>
        <v>0</v>
      </c>
      <c r="W61" s="107">
        <f t="shared" ca="1" si="15"/>
        <v>0</v>
      </c>
      <c r="X61" s="107">
        <f t="shared" si="16"/>
        <v>0</v>
      </c>
      <c r="Y61" s="107">
        <f t="shared" si="17"/>
        <v>0</v>
      </c>
      <c r="Z61" s="87">
        <f t="shared" si="18"/>
        <v>1</v>
      </c>
      <c r="AA61" s="88">
        <f t="shared" si="19"/>
        <v>0</v>
      </c>
      <c r="AB61" s="107">
        <f t="array" ref="AB61">ROUNDDOWN(AVERAGE(IFERROR(LARGE((X$6:X60+Y$6:Y60)*Z$6:Z60*(G$6:G60=G61), SC_SSCalcYears),0))/(12*Z61),0)</f>
        <v>0</v>
      </c>
      <c r="AC61" s="211">
        <f t="shared" si="20"/>
        <v>1</v>
      </c>
      <c r="AD61" s="89">
        <f t="shared" si="21"/>
        <v>0</v>
      </c>
      <c r="AE61" s="141">
        <f t="shared" ca="1" si="22"/>
        <v>0</v>
      </c>
      <c r="AF61" s="106">
        <f t="shared" ca="1" si="23"/>
        <v>0</v>
      </c>
      <c r="AG61" s="110">
        <f t="shared" ca="1" si="24"/>
        <v>0</v>
      </c>
      <c r="AH61" s="617"/>
      <c r="AI61" s="617"/>
      <c r="AJ61" s="617"/>
      <c r="AK61" s="617"/>
      <c r="AL61" s="618"/>
      <c r="AM61" s="186">
        <f t="shared" ca="1" si="25"/>
        <v>0</v>
      </c>
      <c r="AN61" t="str">
        <f t="shared" ca="1" si="26"/>
        <v/>
      </c>
    </row>
    <row r="62" spans="2:40" x14ac:dyDescent="0.25">
      <c r="B62" s="65">
        <f t="shared" si="27"/>
        <v>1982</v>
      </c>
      <c r="C62" s="76" t="s">
        <v>741</v>
      </c>
      <c r="D62" s="146" t="str">
        <f t="shared" si="0"/>
        <v/>
      </c>
      <c r="E62" s="77">
        <f t="shared" si="1"/>
        <v>0</v>
      </c>
      <c r="F62" s="77">
        <f t="shared" si="2"/>
        <v>0</v>
      </c>
      <c r="G62" s="77">
        <f t="shared" si="3"/>
        <v>1</v>
      </c>
      <c r="H62" s="76">
        <f t="shared" si="4"/>
        <v>1</v>
      </c>
      <c r="I62" s="76">
        <f t="shared" si="5"/>
        <v>0</v>
      </c>
      <c r="J62" s="77">
        <f t="shared" si="6"/>
        <v>0</v>
      </c>
      <c r="K62" s="78">
        <f t="shared" ca="1" si="7"/>
        <v>1</v>
      </c>
      <c r="L62" s="470"/>
      <c r="M62" s="470"/>
      <c r="N62" s="470"/>
      <c r="O62" s="470"/>
      <c r="P62" s="70">
        <f t="shared" ca="1" si="8"/>
        <v>0</v>
      </c>
      <c r="Q62" s="70">
        <f t="shared" ca="1" si="9"/>
        <v>0</v>
      </c>
      <c r="R62" s="70">
        <f t="shared" ca="1" si="10"/>
        <v>0</v>
      </c>
      <c r="S62" s="70">
        <f t="shared" ca="1" si="11"/>
        <v>0</v>
      </c>
      <c r="T62" s="70">
        <f t="shared" ca="1" si="12"/>
        <v>0</v>
      </c>
      <c r="U62" s="70">
        <f t="shared" ca="1" si="13"/>
        <v>0</v>
      </c>
      <c r="V62" s="70">
        <f t="shared" ca="1" si="14"/>
        <v>0</v>
      </c>
      <c r="W62" s="70">
        <f t="shared" ca="1" si="15"/>
        <v>0</v>
      </c>
      <c r="X62" s="70">
        <f t="shared" si="16"/>
        <v>0</v>
      </c>
      <c r="Y62" s="70">
        <f t="shared" si="17"/>
        <v>0</v>
      </c>
      <c r="Z62" s="68">
        <f t="shared" si="18"/>
        <v>1</v>
      </c>
      <c r="AA62" s="84">
        <f t="shared" si="19"/>
        <v>0</v>
      </c>
      <c r="AB62" s="488">
        <f t="array" ref="AB62">ROUNDDOWN(AVERAGE(IFERROR(LARGE((X$6:X61+Y$6:Y61)*Z$6:Z61*(G$6:G61=G62), SC_SSCalcYears),0))/(12*Z62),0)</f>
        <v>0</v>
      </c>
      <c r="AC62" s="69">
        <f t="shared" si="20"/>
        <v>1</v>
      </c>
      <c r="AD62" s="85">
        <f t="shared" si="21"/>
        <v>0</v>
      </c>
      <c r="AE62" s="140">
        <f t="shared" ca="1" si="22"/>
        <v>0</v>
      </c>
      <c r="AF62" s="75">
        <f t="shared" ca="1" si="23"/>
        <v>0</v>
      </c>
      <c r="AG62" s="109">
        <f t="shared" ca="1" si="24"/>
        <v>0</v>
      </c>
      <c r="AH62" s="617">
        <f>SUMIFS($AE62:$AE63,SP_PensionPayout,"Lump sum",$E62:$E63,"&lt;&gt;0")</f>
        <v>0</v>
      </c>
      <c r="AI62" s="617">
        <f>SUMIFS($AE62:$AE63,SP_PensionPayout,"Annuity",$E62:$E63,"&lt;&gt;0")</f>
        <v>0</v>
      </c>
      <c r="AJ62" s="617">
        <f>IF(ISBLANK(INDEX(SP_SSPBFA,1)),0,IF($J62&lt;&gt;INDEX(SP_SSPBFA,1),AJ60,SP_AdditionalRI/INDEX(SC_EA_InflationWageIdx,EAIDX)))</f>
        <v>0</v>
      </c>
      <c r="AK62" s="617">
        <f ca="1">SUMPRODUCT(AF62:AF63, --(G62:G63&lt;&gt;0))</f>
        <v>0</v>
      </c>
      <c r="AL62" s="618">
        <f ca="1">SUMPRODUCT(AG62:AG63, --(E62:E63&lt;&gt;0))+AJ62</f>
        <v>0</v>
      </c>
      <c r="AM62" s="186">
        <f t="shared" ca="1" si="25"/>
        <v>0</v>
      </c>
      <c r="AN62" t="str">
        <f t="shared" ca="1" si="26"/>
        <v/>
      </c>
    </row>
    <row r="63" spans="2:40" x14ac:dyDescent="0.25">
      <c r="B63" s="86">
        <f t="shared" si="27"/>
        <v>1982</v>
      </c>
      <c r="C63" s="80" t="s">
        <v>741</v>
      </c>
      <c r="D63" s="147" t="str">
        <f t="shared" si="0"/>
        <v/>
      </c>
      <c r="E63" s="81">
        <f t="shared" si="1"/>
        <v>0</v>
      </c>
      <c r="F63" s="82">
        <f t="shared" si="2"/>
        <v>0</v>
      </c>
      <c r="G63" s="81">
        <f t="shared" si="3"/>
        <v>2</v>
      </c>
      <c r="H63" s="82">
        <f t="shared" si="4"/>
        <v>-1</v>
      </c>
      <c r="I63" s="82">
        <f t="shared" si="5"/>
        <v>0</v>
      </c>
      <c r="J63" s="81">
        <f t="shared" si="6"/>
        <v>0</v>
      </c>
      <c r="K63" s="83">
        <f t="shared" ca="1" si="7"/>
        <v>1</v>
      </c>
      <c r="L63" s="470"/>
      <c r="M63" s="470"/>
      <c r="N63" s="470"/>
      <c r="O63" s="470"/>
      <c r="P63" s="107">
        <f t="shared" ca="1" si="8"/>
        <v>0</v>
      </c>
      <c r="Q63" s="107">
        <f t="shared" ca="1" si="9"/>
        <v>0</v>
      </c>
      <c r="R63" s="107">
        <f t="shared" ca="1" si="10"/>
        <v>0</v>
      </c>
      <c r="S63" s="107">
        <f t="shared" ca="1" si="11"/>
        <v>0</v>
      </c>
      <c r="T63" s="107">
        <f t="shared" ca="1" si="12"/>
        <v>0</v>
      </c>
      <c r="U63" s="107">
        <f t="shared" ca="1" si="13"/>
        <v>0</v>
      </c>
      <c r="V63" s="107">
        <f t="shared" ca="1" si="14"/>
        <v>0</v>
      </c>
      <c r="W63" s="107">
        <f t="shared" ca="1" si="15"/>
        <v>0</v>
      </c>
      <c r="X63" s="107">
        <f t="shared" si="16"/>
        <v>0</v>
      </c>
      <c r="Y63" s="107">
        <f t="shared" si="17"/>
        <v>0</v>
      </c>
      <c r="Z63" s="87">
        <f t="shared" si="18"/>
        <v>1</v>
      </c>
      <c r="AA63" s="88">
        <f t="shared" si="19"/>
        <v>0</v>
      </c>
      <c r="AB63" s="107">
        <f t="array" ref="AB63">ROUNDDOWN(AVERAGE(IFERROR(LARGE((X$6:X62+Y$6:Y62)*Z$6:Z62*(G$6:G62=G63), SC_SSCalcYears),0))/(12*Z63),0)</f>
        <v>0</v>
      </c>
      <c r="AC63" s="211">
        <f t="shared" si="20"/>
        <v>1</v>
      </c>
      <c r="AD63" s="89">
        <f t="shared" si="21"/>
        <v>0</v>
      </c>
      <c r="AE63" s="141">
        <f t="shared" ca="1" si="22"/>
        <v>0</v>
      </c>
      <c r="AF63" s="106">
        <f t="shared" ca="1" si="23"/>
        <v>0</v>
      </c>
      <c r="AG63" s="110">
        <f t="shared" ca="1" si="24"/>
        <v>0</v>
      </c>
      <c r="AH63" s="617"/>
      <c r="AI63" s="617"/>
      <c r="AJ63" s="617"/>
      <c r="AK63" s="617"/>
      <c r="AL63" s="618"/>
      <c r="AM63" s="186">
        <f t="shared" ca="1" si="25"/>
        <v>0</v>
      </c>
      <c r="AN63" t="str">
        <f t="shared" ca="1" si="26"/>
        <v/>
      </c>
    </row>
    <row r="64" spans="2:40" x14ac:dyDescent="0.25">
      <c r="B64" s="65">
        <f t="shared" si="27"/>
        <v>1983</v>
      </c>
      <c r="C64" s="76" t="s">
        <v>741</v>
      </c>
      <c r="D64" s="146" t="str">
        <f t="shared" si="0"/>
        <v/>
      </c>
      <c r="E64" s="77">
        <f t="shared" si="1"/>
        <v>0</v>
      </c>
      <c r="F64" s="77">
        <f t="shared" si="2"/>
        <v>0</v>
      </c>
      <c r="G64" s="77">
        <f t="shared" si="3"/>
        <v>1</v>
      </c>
      <c r="H64" s="76">
        <f t="shared" si="4"/>
        <v>1</v>
      </c>
      <c r="I64" s="76">
        <f t="shared" si="5"/>
        <v>0</v>
      </c>
      <c r="J64" s="77">
        <f t="shared" si="6"/>
        <v>0</v>
      </c>
      <c r="K64" s="78">
        <f t="shared" ca="1" si="7"/>
        <v>1</v>
      </c>
      <c r="L64" s="470"/>
      <c r="M64" s="470"/>
      <c r="N64" s="470"/>
      <c r="O64" s="470"/>
      <c r="P64" s="70">
        <f t="shared" ca="1" si="8"/>
        <v>0</v>
      </c>
      <c r="Q64" s="70">
        <f t="shared" ca="1" si="9"/>
        <v>0</v>
      </c>
      <c r="R64" s="70">
        <f t="shared" ca="1" si="10"/>
        <v>0</v>
      </c>
      <c r="S64" s="70">
        <f t="shared" ca="1" si="11"/>
        <v>0</v>
      </c>
      <c r="T64" s="70">
        <f t="shared" ca="1" si="12"/>
        <v>0</v>
      </c>
      <c r="U64" s="70">
        <f t="shared" ca="1" si="13"/>
        <v>0</v>
      </c>
      <c r="V64" s="70">
        <f t="shared" ca="1" si="14"/>
        <v>0</v>
      </c>
      <c r="W64" s="70">
        <f t="shared" ca="1" si="15"/>
        <v>0</v>
      </c>
      <c r="X64" s="70">
        <f t="shared" si="16"/>
        <v>0</v>
      </c>
      <c r="Y64" s="70">
        <f t="shared" si="17"/>
        <v>0</v>
      </c>
      <c r="Z64" s="68">
        <f t="shared" si="18"/>
        <v>1</v>
      </c>
      <c r="AA64" s="84">
        <f t="shared" si="19"/>
        <v>0</v>
      </c>
      <c r="AB64" s="488">
        <f t="array" ref="AB64">ROUNDDOWN(AVERAGE(IFERROR(LARGE((X$6:X63+Y$6:Y63)*Z$6:Z63*(G$6:G63=G64), SC_SSCalcYears),0))/(12*Z64),0)</f>
        <v>0</v>
      </c>
      <c r="AC64" s="69">
        <f t="shared" si="20"/>
        <v>1</v>
      </c>
      <c r="AD64" s="85">
        <f t="shared" si="21"/>
        <v>0</v>
      </c>
      <c r="AE64" s="140">
        <f t="shared" ca="1" si="22"/>
        <v>0</v>
      </c>
      <c r="AF64" s="75">
        <f t="shared" ca="1" si="23"/>
        <v>0</v>
      </c>
      <c r="AG64" s="109">
        <f t="shared" ca="1" si="24"/>
        <v>0</v>
      </c>
      <c r="AH64" s="617">
        <f>SUMIFS($AE64:$AE65,SP_PensionPayout,"Lump sum",$E64:$E65,"&lt;&gt;0")</f>
        <v>0</v>
      </c>
      <c r="AI64" s="617">
        <f>SUMIFS($AE64:$AE65,SP_PensionPayout,"Annuity",$E64:$E65,"&lt;&gt;0")</f>
        <v>0</v>
      </c>
      <c r="AJ64" s="617">
        <f>IF(ISBLANK(INDEX(SP_SSPBFA,1)),0,IF($J64&lt;&gt;INDEX(SP_SSPBFA,1),AJ62,SP_AdditionalRI/INDEX(SC_EA_InflationWageIdx,EAIDX)))</f>
        <v>0</v>
      </c>
      <c r="AK64" s="617">
        <f ca="1">SUMPRODUCT(AF64:AF65, --(G64:G65&lt;&gt;0))</f>
        <v>0</v>
      </c>
      <c r="AL64" s="618">
        <f ca="1">SUMPRODUCT(AG64:AG65, --(E64:E65&lt;&gt;0))+AJ64</f>
        <v>0</v>
      </c>
      <c r="AM64" s="186">
        <f t="shared" ca="1" si="25"/>
        <v>0</v>
      </c>
      <c r="AN64" t="str">
        <f t="shared" ca="1" si="26"/>
        <v/>
      </c>
    </row>
    <row r="65" spans="2:40" x14ac:dyDescent="0.25">
      <c r="B65" s="86">
        <f t="shared" si="27"/>
        <v>1983</v>
      </c>
      <c r="C65" s="80" t="s">
        <v>741</v>
      </c>
      <c r="D65" s="147" t="str">
        <f t="shared" si="0"/>
        <v/>
      </c>
      <c r="E65" s="81">
        <f t="shared" si="1"/>
        <v>0</v>
      </c>
      <c r="F65" s="82">
        <f t="shared" si="2"/>
        <v>0</v>
      </c>
      <c r="G65" s="81">
        <f t="shared" si="3"/>
        <v>2</v>
      </c>
      <c r="H65" s="82">
        <f t="shared" si="4"/>
        <v>-1</v>
      </c>
      <c r="I65" s="82">
        <f t="shared" si="5"/>
        <v>0</v>
      </c>
      <c r="J65" s="81">
        <f t="shared" si="6"/>
        <v>0</v>
      </c>
      <c r="K65" s="83">
        <f t="shared" ca="1" si="7"/>
        <v>1</v>
      </c>
      <c r="L65" s="470"/>
      <c r="M65" s="470"/>
      <c r="N65" s="470"/>
      <c r="O65" s="470"/>
      <c r="P65" s="107">
        <f t="shared" ca="1" si="8"/>
        <v>0</v>
      </c>
      <c r="Q65" s="107">
        <f t="shared" ca="1" si="9"/>
        <v>0</v>
      </c>
      <c r="R65" s="107">
        <f t="shared" ca="1" si="10"/>
        <v>0</v>
      </c>
      <c r="S65" s="107">
        <f t="shared" ca="1" si="11"/>
        <v>0</v>
      </c>
      <c r="T65" s="107">
        <f t="shared" ca="1" si="12"/>
        <v>0</v>
      </c>
      <c r="U65" s="107">
        <f t="shared" ca="1" si="13"/>
        <v>0</v>
      </c>
      <c r="V65" s="107">
        <f t="shared" ca="1" si="14"/>
        <v>0</v>
      </c>
      <c r="W65" s="107">
        <f t="shared" ca="1" si="15"/>
        <v>0</v>
      </c>
      <c r="X65" s="107">
        <f t="shared" si="16"/>
        <v>0</v>
      </c>
      <c r="Y65" s="107">
        <f t="shared" si="17"/>
        <v>0</v>
      </c>
      <c r="Z65" s="87">
        <f t="shared" si="18"/>
        <v>1</v>
      </c>
      <c r="AA65" s="88">
        <f t="shared" si="19"/>
        <v>0</v>
      </c>
      <c r="AB65" s="107">
        <f t="array" ref="AB65">ROUNDDOWN(AVERAGE(IFERROR(LARGE((X$6:X64+Y$6:Y64)*Z$6:Z64*(G$6:G64=G65), SC_SSCalcYears),0))/(12*Z65),0)</f>
        <v>0</v>
      </c>
      <c r="AC65" s="211">
        <f t="shared" si="20"/>
        <v>1</v>
      </c>
      <c r="AD65" s="89">
        <f t="shared" si="21"/>
        <v>0</v>
      </c>
      <c r="AE65" s="141">
        <f t="shared" ca="1" si="22"/>
        <v>0</v>
      </c>
      <c r="AF65" s="106">
        <f t="shared" ca="1" si="23"/>
        <v>0</v>
      </c>
      <c r="AG65" s="110">
        <f t="shared" ca="1" si="24"/>
        <v>0</v>
      </c>
      <c r="AH65" s="617"/>
      <c r="AI65" s="617"/>
      <c r="AJ65" s="617"/>
      <c r="AK65" s="617"/>
      <c r="AL65" s="618"/>
      <c r="AM65" s="186">
        <f t="shared" ca="1" si="25"/>
        <v>0</v>
      </c>
      <c r="AN65" t="str">
        <f t="shared" ca="1" si="26"/>
        <v/>
      </c>
    </row>
    <row r="66" spans="2:40" x14ac:dyDescent="0.25">
      <c r="B66" s="65">
        <f t="shared" si="27"/>
        <v>1984</v>
      </c>
      <c r="C66" s="76" t="s">
        <v>741</v>
      </c>
      <c r="D66" s="146" t="str">
        <f t="shared" si="0"/>
        <v/>
      </c>
      <c r="E66" s="77">
        <f t="shared" si="1"/>
        <v>0</v>
      </c>
      <c r="F66" s="77">
        <f t="shared" si="2"/>
        <v>0</v>
      </c>
      <c r="G66" s="77">
        <f t="shared" si="3"/>
        <v>1</v>
      </c>
      <c r="H66" s="76">
        <f t="shared" si="4"/>
        <v>1</v>
      </c>
      <c r="I66" s="76">
        <f t="shared" si="5"/>
        <v>0</v>
      </c>
      <c r="J66" s="77">
        <f t="shared" si="6"/>
        <v>0</v>
      </c>
      <c r="K66" s="78">
        <f t="shared" ca="1" si="7"/>
        <v>1</v>
      </c>
      <c r="L66" s="470"/>
      <c r="M66" s="470"/>
      <c r="N66" s="470"/>
      <c r="O66" s="470"/>
      <c r="P66" s="70">
        <f t="shared" ca="1" si="8"/>
        <v>0</v>
      </c>
      <c r="Q66" s="70">
        <f t="shared" ca="1" si="9"/>
        <v>0</v>
      </c>
      <c r="R66" s="70">
        <f t="shared" ca="1" si="10"/>
        <v>0</v>
      </c>
      <c r="S66" s="70">
        <f t="shared" ca="1" si="11"/>
        <v>0</v>
      </c>
      <c r="T66" s="70">
        <f t="shared" ca="1" si="12"/>
        <v>0</v>
      </c>
      <c r="U66" s="70">
        <f t="shared" ca="1" si="13"/>
        <v>0</v>
      </c>
      <c r="V66" s="70">
        <f t="shared" ca="1" si="14"/>
        <v>0</v>
      </c>
      <c r="W66" s="70">
        <f t="shared" ca="1" si="15"/>
        <v>0</v>
      </c>
      <c r="X66" s="70">
        <f t="shared" si="16"/>
        <v>0</v>
      </c>
      <c r="Y66" s="70">
        <f t="shared" si="17"/>
        <v>0</v>
      </c>
      <c r="Z66" s="68">
        <f t="shared" si="18"/>
        <v>1</v>
      </c>
      <c r="AA66" s="84">
        <f t="shared" si="19"/>
        <v>0</v>
      </c>
      <c r="AB66" s="488">
        <f t="array" ref="AB66">ROUNDDOWN(AVERAGE(IFERROR(LARGE((X$6:X65+Y$6:Y65)*Z$6:Z65*(G$6:G65=G66), SC_SSCalcYears),0))/(12*Z66),0)</f>
        <v>0</v>
      </c>
      <c r="AC66" s="69">
        <f t="shared" si="20"/>
        <v>1</v>
      </c>
      <c r="AD66" s="85">
        <f t="shared" si="21"/>
        <v>0</v>
      </c>
      <c r="AE66" s="140">
        <f t="shared" ca="1" si="22"/>
        <v>0</v>
      </c>
      <c r="AF66" s="75">
        <f t="shared" ca="1" si="23"/>
        <v>0</v>
      </c>
      <c r="AG66" s="109">
        <f t="shared" ca="1" si="24"/>
        <v>0</v>
      </c>
      <c r="AH66" s="617">
        <f>SUMIFS($AE66:$AE67,SP_PensionPayout,"Lump sum",$E66:$E67,"&lt;&gt;0")</f>
        <v>0</v>
      </c>
      <c r="AI66" s="617">
        <f>SUMIFS($AE66:$AE67,SP_PensionPayout,"Annuity",$E66:$E67,"&lt;&gt;0")</f>
        <v>0</v>
      </c>
      <c r="AJ66" s="617">
        <f>IF(ISBLANK(INDEX(SP_SSPBFA,1)),0,IF($J66&lt;&gt;INDEX(SP_SSPBFA,1),AJ64,SP_AdditionalRI/INDEX(SC_EA_InflationWageIdx,EAIDX)))</f>
        <v>0</v>
      </c>
      <c r="AK66" s="617">
        <f ca="1">SUMPRODUCT(AF66:AF67, --(G66:G67&lt;&gt;0))</f>
        <v>0</v>
      </c>
      <c r="AL66" s="618">
        <f ca="1">SUMPRODUCT(AG66:AG67, --(E66:E67&lt;&gt;0))+AJ66</f>
        <v>0</v>
      </c>
      <c r="AM66" s="186">
        <f t="shared" ca="1" si="25"/>
        <v>0</v>
      </c>
      <c r="AN66" t="str">
        <f t="shared" ca="1" si="26"/>
        <v/>
      </c>
    </row>
    <row r="67" spans="2:40" x14ac:dyDescent="0.25">
      <c r="B67" s="86">
        <f t="shared" si="27"/>
        <v>1984</v>
      </c>
      <c r="C67" s="80" t="s">
        <v>741</v>
      </c>
      <c r="D67" s="147" t="str">
        <f t="shared" si="0"/>
        <v/>
      </c>
      <c r="E67" s="81">
        <f t="shared" si="1"/>
        <v>0</v>
      </c>
      <c r="F67" s="82">
        <f t="shared" si="2"/>
        <v>0</v>
      </c>
      <c r="G67" s="81">
        <f t="shared" si="3"/>
        <v>2</v>
      </c>
      <c r="H67" s="82">
        <f t="shared" si="4"/>
        <v>-1</v>
      </c>
      <c r="I67" s="82">
        <f t="shared" si="5"/>
        <v>0</v>
      </c>
      <c r="J67" s="81">
        <f t="shared" si="6"/>
        <v>0</v>
      </c>
      <c r="K67" s="83">
        <f t="shared" ca="1" si="7"/>
        <v>1</v>
      </c>
      <c r="L67" s="470"/>
      <c r="M67" s="470"/>
      <c r="N67" s="470"/>
      <c r="O67" s="470"/>
      <c r="P67" s="107">
        <f t="shared" ca="1" si="8"/>
        <v>0</v>
      </c>
      <c r="Q67" s="107">
        <f t="shared" ca="1" si="9"/>
        <v>0</v>
      </c>
      <c r="R67" s="107">
        <f t="shared" ca="1" si="10"/>
        <v>0</v>
      </c>
      <c r="S67" s="107">
        <f t="shared" ca="1" si="11"/>
        <v>0</v>
      </c>
      <c r="T67" s="107">
        <f t="shared" ca="1" si="12"/>
        <v>0</v>
      </c>
      <c r="U67" s="107">
        <f t="shared" ca="1" si="13"/>
        <v>0</v>
      </c>
      <c r="V67" s="107">
        <f t="shared" ca="1" si="14"/>
        <v>0</v>
      </c>
      <c r="W67" s="107">
        <f t="shared" ca="1" si="15"/>
        <v>0</v>
      </c>
      <c r="X67" s="107">
        <f t="shared" si="16"/>
        <v>0</v>
      </c>
      <c r="Y67" s="107">
        <f t="shared" si="17"/>
        <v>0</v>
      </c>
      <c r="Z67" s="87">
        <f t="shared" si="18"/>
        <v>1</v>
      </c>
      <c r="AA67" s="88">
        <f t="shared" si="19"/>
        <v>0</v>
      </c>
      <c r="AB67" s="107">
        <f t="array" ref="AB67">ROUNDDOWN(AVERAGE(IFERROR(LARGE((X$6:X66+Y$6:Y66)*Z$6:Z66*(G$6:G66=G67), SC_SSCalcYears),0))/(12*Z67),0)</f>
        <v>0</v>
      </c>
      <c r="AC67" s="211">
        <f t="shared" si="20"/>
        <v>1</v>
      </c>
      <c r="AD67" s="89">
        <f t="shared" si="21"/>
        <v>0</v>
      </c>
      <c r="AE67" s="141">
        <f t="shared" ca="1" si="22"/>
        <v>0</v>
      </c>
      <c r="AF67" s="106">
        <f t="shared" ca="1" si="23"/>
        <v>0</v>
      </c>
      <c r="AG67" s="110">
        <f t="shared" ca="1" si="24"/>
        <v>0</v>
      </c>
      <c r="AH67" s="617"/>
      <c r="AI67" s="617"/>
      <c r="AJ67" s="617"/>
      <c r="AK67" s="617"/>
      <c r="AL67" s="618"/>
      <c r="AM67" s="186">
        <f t="shared" ca="1" si="25"/>
        <v>0</v>
      </c>
      <c r="AN67" t="str">
        <f t="shared" ca="1" si="26"/>
        <v/>
      </c>
    </row>
    <row r="68" spans="2:40" x14ac:dyDescent="0.25">
      <c r="B68" s="65">
        <f t="shared" si="27"/>
        <v>1985</v>
      </c>
      <c r="C68" s="76" t="s">
        <v>741</v>
      </c>
      <c r="D68" s="146" t="str">
        <f t="shared" ref="D68:D131" si="28">INDEX(SP_Initials,G68)</f>
        <v/>
      </c>
      <c r="E68" s="77">
        <f t="shared" ref="E68:E131" si="29">INDEX(SC_TaxIndex,$G68)</f>
        <v>0</v>
      </c>
      <c r="F68" s="77">
        <f t="shared" si="2"/>
        <v>0</v>
      </c>
      <c r="G68" s="77">
        <f t="shared" si="3"/>
        <v>1</v>
      </c>
      <c r="H68" s="76">
        <f t="shared" si="4"/>
        <v>1</v>
      </c>
      <c r="I68" s="76">
        <f t="shared" ref="I68:I131" si="30">IF(INDEX(SC_ShowRetireatee,$G68),IF($B68&lt;YEAR(INDEX(SP_BirthDate,$G68)),0,$B68-YEAR(INDEX(SP_BirthDate,$G68))),0)</f>
        <v>0</v>
      </c>
      <c r="J68" s="77">
        <f t="shared" si="6"/>
        <v>0</v>
      </c>
      <c r="K68" s="78">
        <f t="shared" ref="K68:K131" ca="1" si="31">IF($B68&lt;SC_TargetRY,1,IF($B68=SC_TargetRY,-(1-YEARFRAC(SP_TargetRD,DATE($B68+1,1,1))),0))</f>
        <v>1</v>
      </c>
      <c r="L68" s="470"/>
      <c r="M68" s="470"/>
      <c r="N68" s="470"/>
      <c r="O68" s="470"/>
      <c r="P68" s="70">
        <f t="shared" ca="1" si="8"/>
        <v>0</v>
      </c>
      <c r="Q68" s="70">
        <f t="shared" ca="1" si="9"/>
        <v>0</v>
      </c>
      <c r="R68" s="70">
        <f t="shared" ca="1" si="10"/>
        <v>0</v>
      </c>
      <c r="S68" s="70">
        <f t="shared" ca="1" si="11"/>
        <v>0</v>
      </c>
      <c r="T68" s="70">
        <f t="shared" ca="1" si="12"/>
        <v>0</v>
      </c>
      <c r="U68" s="70">
        <f t="shared" ca="1" si="13"/>
        <v>0</v>
      </c>
      <c r="V68" s="70">
        <f t="shared" ca="1" si="14"/>
        <v>0</v>
      </c>
      <c r="W68" s="70">
        <f t="shared" ca="1" si="15"/>
        <v>0</v>
      </c>
      <c r="X68" s="70">
        <f t="shared" si="16"/>
        <v>0</v>
      </c>
      <c r="Y68" s="70">
        <f t="shared" si="17"/>
        <v>0</v>
      </c>
      <c r="Z68" s="68">
        <f t="shared" si="18"/>
        <v>1</v>
      </c>
      <c r="AA68" s="84">
        <f t="shared" si="19"/>
        <v>0</v>
      </c>
      <c r="AB68" s="488">
        <f t="array" ref="AB68">ROUNDDOWN(AVERAGE(IFERROR(LARGE((X$6:X67+Y$6:Y67)*Z$6:Z67*(G$6:G67=G68), SC_SSCalcYears),0))/(12*Z68),0)</f>
        <v>0</v>
      </c>
      <c r="AC68" s="69">
        <f t="shared" si="20"/>
        <v>1</v>
      </c>
      <c r="AD68" s="85">
        <f t="shared" si="21"/>
        <v>0</v>
      </c>
      <c r="AE68" s="140">
        <f t="shared" ca="1" si="22"/>
        <v>0</v>
      </c>
      <c r="AF68" s="75">
        <f t="shared" ca="1" si="23"/>
        <v>0</v>
      </c>
      <c r="AG68" s="109">
        <f t="shared" ca="1" si="24"/>
        <v>0</v>
      </c>
      <c r="AH68" s="617">
        <f>SUMIFS($AE68:$AE69,SP_PensionPayout,"Lump sum",$E68:$E69,"&lt;&gt;0")</f>
        <v>0</v>
      </c>
      <c r="AI68" s="617">
        <f>SUMIFS($AE68:$AE69,SP_PensionPayout,"Annuity",$E68:$E69,"&lt;&gt;0")</f>
        <v>0</v>
      </c>
      <c r="AJ68" s="617">
        <f>IF(ISBLANK(INDEX(SP_SSPBFA,1)),0,IF($J68&lt;&gt;INDEX(SP_SSPBFA,1),AJ66,SP_AdditionalRI/INDEX(SC_EA_InflationWageIdx,EAIDX)))</f>
        <v>0</v>
      </c>
      <c r="AK68" s="617">
        <f ca="1">SUMPRODUCT(AF68:AF69, --(G68:G69&lt;&gt;0))</f>
        <v>0</v>
      </c>
      <c r="AL68" s="618">
        <f ca="1">SUMPRODUCT(AG68:AG69, --(E68:E69&lt;&gt;0))+AJ68</f>
        <v>0</v>
      </c>
      <c r="AM68" s="186">
        <f t="shared" ca="1" si="25"/>
        <v>0</v>
      </c>
      <c r="AN68" t="str">
        <f t="shared" ca="1" si="26"/>
        <v/>
      </c>
    </row>
    <row r="69" spans="2:40" x14ac:dyDescent="0.25">
      <c r="B69" s="86">
        <f t="shared" si="27"/>
        <v>1985</v>
      </c>
      <c r="C69" s="80" t="s">
        <v>741</v>
      </c>
      <c r="D69" s="147" t="str">
        <f t="shared" si="28"/>
        <v/>
      </c>
      <c r="E69" s="81">
        <f t="shared" si="29"/>
        <v>0</v>
      </c>
      <c r="F69" s="82">
        <f t="shared" si="2"/>
        <v>0</v>
      </c>
      <c r="G69" s="81">
        <f t="shared" ref="G69:G132" si="32">MOD(ROW(),2)+1</f>
        <v>2</v>
      </c>
      <c r="H69" s="82">
        <f t="shared" si="4"/>
        <v>-1</v>
      </c>
      <c r="I69" s="82">
        <f t="shared" si="30"/>
        <v>0</v>
      </c>
      <c r="J69" s="81">
        <f t="shared" si="6"/>
        <v>0</v>
      </c>
      <c r="K69" s="83">
        <f t="shared" ca="1" si="31"/>
        <v>1</v>
      </c>
      <c r="L69" s="470"/>
      <c r="M69" s="470"/>
      <c r="N69" s="470"/>
      <c r="O69" s="470"/>
      <c r="P69" s="107">
        <f t="shared" ca="1" si="8"/>
        <v>0</v>
      </c>
      <c r="Q69" s="107">
        <f t="shared" ca="1" si="9"/>
        <v>0</v>
      </c>
      <c r="R69" s="107">
        <f t="shared" ca="1" si="10"/>
        <v>0</v>
      </c>
      <c r="S69" s="107">
        <f t="shared" ca="1" si="11"/>
        <v>0</v>
      </c>
      <c r="T69" s="107">
        <f t="shared" ca="1" si="12"/>
        <v>0</v>
      </c>
      <c r="U69" s="107">
        <f t="shared" ca="1" si="13"/>
        <v>0</v>
      </c>
      <c r="V69" s="107">
        <f t="shared" ca="1" si="14"/>
        <v>0</v>
      </c>
      <c r="W69" s="107">
        <f t="shared" ca="1" si="15"/>
        <v>0</v>
      </c>
      <c r="X69" s="107">
        <f t="shared" si="16"/>
        <v>0</v>
      </c>
      <c r="Y69" s="107">
        <f t="shared" si="17"/>
        <v>0</v>
      </c>
      <c r="Z69" s="87">
        <f t="shared" si="18"/>
        <v>1</v>
      </c>
      <c r="AA69" s="88">
        <f t="shared" si="19"/>
        <v>0</v>
      </c>
      <c r="AB69" s="107">
        <f t="array" ref="AB69">ROUNDDOWN(AVERAGE(IFERROR(LARGE((X$6:X68+Y$6:Y68)*Z$6:Z68*(G$6:G68=G69), SC_SSCalcYears),0))/(12*Z69),0)</f>
        <v>0</v>
      </c>
      <c r="AC69" s="211">
        <f t="shared" si="20"/>
        <v>1</v>
      </c>
      <c r="AD69" s="89">
        <f t="shared" si="21"/>
        <v>0</v>
      </c>
      <c r="AE69" s="141">
        <f t="shared" ca="1" si="22"/>
        <v>0</v>
      </c>
      <c r="AF69" s="106">
        <f t="shared" ca="1" si="23"/>
        <v>0</v>
      </c>
      <c r="AG69" s="110">
        <f t="shared" ca="1" si="24"/>
        <v>0</v>
      </c>
      <c r="AH69" s="617"/>
      <c r="AI69" s="617"/>
      <c r="AJ69" s="617"/>
      <c r="AK69" s="617"/>
      <c r="AL69" s="618"/>
      <c r="AM69" s="186">
        <f t="shared" ca="1" si="25"/>
        <v>0</v>
      </c>
      <c r="AN69" t="str">
        <f t="shared" ca="1" si="26"/>
        <v/>
      </c>
    </row>
    <row r="70" spans="2:40" x14ac:dyDescent="0.25">
      <c r="B70" s="65">
        <f t="shared" si="27"/>
        <v>1986</v>
      </c>
      <c r="C70" s="76" t="s">
        <v>741</v>
      </c>
      <c r="D70" s="146" t="str">
        <f t="shared" si="28"/>
        <v/>
      </c>
      <c r="E70" s="77">
        <f t="shared" si="29"/>
        <v>0</v>
      </c>
      <c r="F70" s="77">
        <f t="shared" ref="F70:F133" si="33">MAX($J70+1-INDEX(SP_StartWorkAge,$G70),0)</f>
        <v>0</v>
      </c>
      <c r="G70" s="77">
        <f t="shared" si="32"/>
        <v>1</v>
      </c>
      <c r="H70" s="76">
        <f t="shared" ref="H70:H133" si="34">MOD($G70,2)-($G70-1)</f>
        <v>1</v>
      </c>
      <c r="I70" s="76">
        <f t="shared" si="30"/>
        <v>0</v>
      </c>
      <c r="J70" s="77">
        <f t="shared" ref="J70:J133" si="35">IF(INDEX(SC_ShowRetireatee,$G70),IF($B70&gt;(YEAR(INDEX(SP_BirthDate,$G70))+INDEX(SP_LifeExp,$G70)),0,$I70),0)</f>
        <v>0</v>
      </c>
      <c r="K70" s="78">
        <f t="shared" ca="1" si="31"/>
        <v>1</v>
      </c>
      <c r="L70" s="470"/>
      <c r="M70" s="470"/>
      <c r="N70" s="470"/>
      <c r="O70" s="470"/>
      <c r="P70" s="70">
        <f t="shared" ref="P70:P133" ca="1" si="36">IF(IF(COLUMN()=COLUMN(L70),TRUE,ISBLANK(L70)), IF(OR($F70=0,$K70=0),0,IF($B70=SP_CurrentYear, 0, IF($B70&gt;SP_CurrentYear, $P68*(1+INDEX(SP_EA_InflationWageRate, EAIDX-1)+INDEX(SP_IncomeEmployerAdj, $G70)), $P72/(1+INDEX(SP_EA_InflationWageRate, EAIDX)+INDEX(SP_IncomeEmployerAdj, $G70))))), L70)</f>
        <v>0</v>
      </c>
      <c r="Q70" s="70">
        <f t="shared" ref="Q70:Q133" ca="1" si="37">IF(IF(COLUMN()=COLUMN(M70),TRUE,ISBLANK(M70)), IF(OR($F70=0,$K70=0),0,IF($B70=SP_CurrentYear, 0, IF($B70&gt;SP_CurrentYear, $Q68*(1+INDEX(SP_EA_InflationWageRate, EAIDX-1)+INDEX(SP_IncomeSEAdj, $G70)), 0))), M70)</f>
        <v>0</v>
      </c>
      <c r="R70" s="70">
        <f t="shared" ref="R70:R133" ca="1" si="38">IF(IF(COLUMN()=COLUMN(N70),TRUE,ISBLANK(N70)), IF($B70=SP_CurrentYear, 0, IF($B70&gt;SP_CurrentYear, $R68*(1+INDEX(SP_EA_InflationWageRate, EAIDX-1)+INDEX(SP_IncomePassiveAdj, $G70)), 0)), N70)</f>
        <v>0</v>
      </c>
      <c r="S70" s="70">
        <f t="shared" ref="S70:S133" ca="1" si="39">IF(IF(COLUMN()=COLUMN(O70),TRUE,ISBLANK(O70)), IF($B70=SP_CurrentYear,(-INDEX(SC_ExpensesLivingPF,$G70,1)*ABS($K70)-INDEX(SC_ExpensesLivingPF,$G70,2)*(1-ABS($K70)))/INDEX(SC_EA_InflationCPIdx, EAIDX)*12, IF($B70&gt;SP_CurrentYear, $S68*(1+INDEX(SP_EA_InflationCPRate, EAIDX-1)), IF($P70=0, 0,$S72/(1+INDEX(SP_EA_InflationCPRate, EAIDX)))))*ABS($K70), O70)</f>
        <v>0</v>
      </c>
      <c r="T70" s="70">
        <f t="shared" ref="T70:T133" ca="1" si="40">P70*ABS($K70)</f>
        <v>0</v>
      </c>
      <c r="U70" s="70">
        <f t="shared" ref="U70:U133" ca="1" si="41">Q70*ABS($K70)</f>
        <v>0</v>
      </c>
      <c r="V70" s="70">
        <f t="shared" ref="V70:V133" ca="1" si="42">MAX(T70-ABS($S70)*ABS($K70), 0)</f>
        <v>0</v>
      </c>
      <c r="W70" s="70">
        <f t="shared" ref="W70:W133" ca="1" si="43">MAX(U70-MAX(ABS($S70)*ABS($K70)-P70, 0),0)</f>
        <v>0</v>
      </c>
      <c r="X70" s="70">
        <f t="shared" ref="X70:X133" si="44">IF($J70=0, 0, MAX(MIN(T70-ABS($S70)*ABS($K70), INDEX(SC_EA_SSWageBase, EAIDX)), 0))</f>
        <v>0</v>
      </c>
      <c r="Y70" s="70">
        <f t="shared" ref="Y70:Y133" si="45">IF($J70=0, 0, MIN(MAX(U70-MAX(ABS($S70)*ABS($K70)-P70, 0),0), INDEX(SC_EA_SSWageBase, EAIDX)-X70))</f>
        <v>0</v>
      </c>
      <c r="Z70" s="68">
        <f t="shared" ref="Z70:Z133" si="46">IF($J70=0,1,IF($B70&gt;=INDEX(SC_SSBaseYear,$G70),1,Z72*(INDEX(SP_EA_InflationWageRate, EAIDX+1)+1)))</f>
        <v>1</v>
      </c>
      <c r="AA70" s="84">
        <f t="shared" ref="AA70:AA133" si="47">IF($J70=0, 0, ROUNDDOWN(MIN((X70+Y70)*Z70,LT_SSMaxCredit*Z70)/(LT_SSOneCredit*Z70), 0))</f>
        <v>0</v>
      </c>
      <c r="AB70" s="488">
        <f t="array" ref="AB70">ROUNDDOWN(AVERAGE(IFERROR(LARGE((X$6:X69+Y$6:Y69)*Z$6:Z69*(G$6:G69=G70), SC_SSCalcYears),0))/(12*Z70),0)</f>
        <v>0</v>
      </c>
      <c r="AC70" s="69">
        <f t="shared" ref="AC70:AC133" si="48">IF($I70&gt;0, IF($B70&lt;=INDEX(SC_SSBaseYear,$G70)+2,Z70,1/(1/AC68*(INDEX(SC_EA_SSCOLA, EAIDX-1)+1))), 1)</f>
        <v>1</v>
      </c>
      <c r="AD70" s="85">
        <f t="shared" ref="AD70:AD133" si="49">IF(INDEX(SP_PensionSWD,$G70)="",0,IF(YEAR(INDEX(SP_PensionSWD,$G70))&gt;$B70,0,YEARFRAC(INDEX(SP_PensionSWD,$G70), MIN(DATE($B70+1,1,1),SP_TargetRD))))</f>
        <v>0</v>
      </c>
      <c r="AE70" s="140">
        <f t="shared" ref="AE70:AE133" ca="1" si="50">IF(AND(AD70&gt;0, $B70=SC_TargetRY, INDEX(SP_PensionFAE,$G70)&gt;0),SUMIF(OFFSET(G70,-MIN(INDEX(SP_PensionFAE,$G70),AD70)*2,0,MIN(INDEX(SP_PensionFAE,$G70),AD70)*2),$G70,OFFSET(P70,-MIN(INDEX(SP_PensionFAE,$G70),AD70)*2,0,MIN(INDEX(SP_PensionFAE,$G70),AD70)*2))/MIN(INDEX(SP_PensionFAE,$G70),AD70)*INDEX(SP_PensionPCT,$G70)*AD70,0)</f>
        <v>0</v>
      </c>
      <c r="AF70" s="75">
        <f t="shared" ref="AF70:AF133" ca="1" si="51">$T70+$U70</f>
        <v>0</v>
      </c>
      <c r="AG70" s="109">
        <f t="shared" ref="AG70:AG133" ca="1" si="52">$R70</f>
        <v>0</v>
      </c>
      <c r="AH70" s="617">
        <f>SUMIFS($AE70:$AE71,SP_PensionPayout,"Lump sum",$E70:$E71,"&lt;&gt;0")</f>
        <v>0</v>
      </c>
      <c r="AI70" s="617">
        <f>SUMIFS($AE70:$AE71,SP_PensionPayout,"Annuity",$E70:$E71,"&lt;&gt;0")</f>
        <v>0</v>
      </c>
      <c r="AJ70" s="617">
        <f>IF(ISBLANK(INDEX(SP_SSPBFA,1)),0,IF($J70&lt;&gt;INDEX(SP_SSPBFA,1),AJ68,SP_AdditionalRI/INDEX(SC_EA_InflationWageIdx,EAIDX)))</f>
        <v>0</v>
      </c>
      <c r="AK70" s="617">
        <f ca="1">SUMPRODUCT(AF70:AF71, --(G70:G71&lt;&gt;0))</f>
        <v>0</v>
      </c>
      <c r="AL70" s="618">
        <f ca="1">SUMPRODUCT(AG70:AG71, --(E70:E71&lt;&gt;0))+AJ70</f>
        <v>0</v>
      </c>
      <c r="AM70" s="186">
        <f t="shared" ref="AM70:AM133" ca="1" si="53">IFERROR(IF(OR(NOT(ISNUMBER($P70)),$P70&lt;0,NOT(ISNUMBER($Q70)),$Q70&lt;0,NOT(ISNUMBER($R70)),$R70&lt;0,NOT(ISNUMBER($S70)),$S70&lt;0),202,0),203)</f>
        <v>0</v>
      </c>
      <c r="AN70" t="str">
        <f t="shared" ref="AN70:AN133" ca="1" si="54">IFERROR(VLOOKUP(AM70,IV_CodeTable,2,FALSE),"")</f>
        <v/>
      </c>
    </row>
    <row r="71" spans="2:40" x14ac:dyDescent="0.25">
      <c r="B71" s="86">
        <f t="shared" ref="B71:B134" si="55">B69+1</f>
        <v>1986</v>
      </c>
      <c r="C71" s="80" t="s">
        <v>741</v>
      </c>
      <c r="D71" s="147" t="str">
        <f t="shared" si="28"/>
        <v/>
      </c>
      <c r="E71" s="81">
        <f t="shared" si="29"/>
        <v>0</v>
      </c>
      <c r="F71" s="82">
        <f t="shared" si="33"/>
        <v>0</v>
      </c>
      <c r="G71" s="81">
        <f t="shared" si="32"/>
        <v>2</v>
      </c>
      <c r="H71" s="82">
        <f t="shared" si="34"/>
        <v>-1</v>
      </c>
      <c r="I71" s="82">
        <f t="shared" si="30"/>
        <v>0</v>
      </c>
      <c r="J71" s="81">
        <f t="shared" si="35"/>
        <v>0</v>
      </c>
      <c r="K71" s="83">
        <f t="shared" ca="1" si="31"/>
        <v>1</v>
      </c>
      <c r="L71" s="470"/>
      <c r="M71" s="470"/>
      <c r="N71" s="470"/>
      <c r="O71" s="470"/>
      <c r="P71" s="107">
        <f t="shared" ca="1" si="36"/>
        <v>0</v>
      </c>
      <c r="Q71" s="107">
        <f t="shared" ca="1" si="37"/>
        <v>0</v>
      </c>
      <c r="R71" s="107">
        <f t="shared" ca="1" si="38"/>
        <v>0</v>
      </c>
      <c r="S71" s="107">
        <f t="shared" ca="1" si="39"/>
        <v>0</v>
      </c>
      <c r="T71" s="107">
        <f t="shared" ca="1" si="40"/>
        <v>0</v>
      </c>
      <c r="U71" s="107">
        <f t="shared" ca="1" si="41"/>
        <v>0</v>
      </c>
      <c r="V71" s="107">
        <f t="shared" ca="1" si="42"/>
        <v>0</v>
      </c>
      <c r="W71" s="107">
        <f t="shared" ca="1" si="43"/>
        <v>0</v>
      </c>
      <c r="X71" s="107">
        <f t="shared" si="44"/>
        <v>0</v>
      </c>
      <c r="Y71" s="107">
        <f t="shared" si="45"/>
        <v>0</v>
      </c>
      <c r="Z71" s="87">
        <f t="shared" si="46"/>
        <v>1</v>
      </c>
      <c r="AA71" s="88">
        <f t="shared" si="47"/>
        <v>0</v>
      </c>
      <c r="AB71" s="107">
        <f t="array" ref="AB71">ROUNDDOWN(AVERAGE(IFERROR(LARGE((X$6:X70+Y$6:Y70)*Z$6:Z70*(G$6:G70=G71), SC_SSCalcYears),0))/(12*Z71),0)</f>
        <v>0</v>
      </c>
      <c r="AC71" s="211">
        <f t="shared" si="48"/>
        <v>1</v>
      </c>
      <c r="AD71" s="89">
        <f t="shared" si="49"/>
        <v>0</v>
      </c>
      <c r="AE71" s="141">
        <f t="shared" ca="1" si="50"/>
        <v>0</v>
      </c>
      <c r="AF71" s="106">
        <f t="shared" ca="1" si="51"/>
        <v>0</v>
      </c>
      <c r="AG71" s="110">
        <f t="shared" ca="1" si="52"/>
        <v>0</v>
      </c>
      <c r="AH71" s="617"/>
      <c r="AI71" s="617"/>
      <c r="AJ71" s="617"/>
      <c r="AK71" s="617"/>
      <c r="AL71" s="618"/>
      <c r="AM71" s="186">
        <f t="shared" ca="1" si="53"/>
        <v>0</v>
      </c>
      <c r="AN71" t="str">
        <f t="shared" ca="1" si="54"/>
        <v/>
      </c>
    </row>
    <row r="72" spans="2:40" x14ac:dyDescent="0.25">
      <c r="B72" s="65">
        <f t="shared" si="55"/>
        <v>1987</v>
      </c>
      <c r="C72" s="76" t="s">
        <v>741</v>
      </c>
      <c r="D72" s="146" t="str">
        <f t="shared" si="28"/>
        <v/>
      </c>
      <c r="E72" s="77">
        <f t="shared" si="29"/>
        <v>0</v>
      </c>
      <c r="F72" s="77">
        <f t="shared" si="33"/>
        <v>0</v>
      </c>
      <c r="G72" s="77">
        <f t="shared" si="32"/>
        <v>1</v>
      </c>
      <c r="H72" s="76">
        <f t="shared" si="34"/>
        <v>1</v>
      </c>
      <c r="I72" s="76">
        <f t="shared" si="30"/>
        <v>0</v>
      </c>
      <c r="J72" s="77">
        <f t="shared" si="35"/>
        <v>0</v>
      </c>
      <c r="K72" s="78">
        <f t="shared" ca="1" si="31"/>
        <v>1</v>
      </c>
      <c r="L72" s="470"/>
      <c r="M72" s="470"/>
      <c r="N72" s="470"/>
      <c r="O72" s="470"/>
      <c r="P72" s="70">
        <f t="shared" ca="1" si="36"/>
        <v>0</v>
      </c>
      <c r="Q72" s="70">
        <f t="shared" ca="1" si="37"/>
        <v>0</v>
      </c>
      <c r="R72" s="70">
        <f t="shared" ca="1" si="38"/>
        <v>0</v>
      </c>
      <c r="S72" s="70">
        <f t="shared" ca="1" si="39"/>
        <v>0</v>
      </c>
      <c r="T72" s="70">
        <f t="shared" ca="1" si="40"/>
        <v>0</v>
      </c>
      <c r="U72" s="70">
        <f t="shared" ca="1" si="41"/>
        <v>0</v>
      </c>
      <c r="V72" s="70">
        <f t="shared" ca="1" si="42"/>
        <v>0</v>
      </c>
      <c r="W72" s="70">
        <f t="shared" ca="1" si="43"/>
        <v>0</v>
      </c>
      <c r="X72" s="70">
        <f t="shared" si="44"/>
        <v>0</v>
      </c>
      <c r="Y72" s="70">
        <f t="shared" si="45"/>
        <v>0</v>
      </c>
      <c r="Z72" s="68">
        <f t="shared" si="46"/>
        <v>1</v>
      </c>
      <c r="AA72" s="84">
        <f t="shared" si="47"/>
        <v>0</v>
      </c>
      <c r="AB72" s="488">
        <f t="array" ref="AB72">ROUNDDOWN(AVERAGE(IFERROR(LARGE((X$6:X71+Y$6:Y71)*Z$6:Z71*(G$6:G71=G72), SC_SSCalcYears),0))/(12*Z72),0)</f>
        <v>0</v>
      </c>
      <c r="AC72" s="69">
        <f t="shared" si="48"/>
        <v>1</v>
      </c>
      <c r="AD72" s="85">
        <f t="shared" si="49"/>
        <v>0</v>
      </c>
      <c r="AE72" s="140">
        <f t="shared" ca="1" si="50"/>
        <v>0</v>
      </c>
      <c r="AF72" s="75">
        <f t="shared" ca="1" si="51"/>
        <v>0</v>
      </c>
      <c r="AG72" s="109">
        <f t="shared" ca="1" si="52"/>
        <v>0</v>
      </c>
      <c r="AH72" s="617">
        <f>SUMIFS($AE72:$AE73,SP_PensionPayout,"Lump sum",$E72:$E73,"&lt;&gt;0")</f>
        <v>0</v>
      </c>
      <c r="AI72" s="617">
        <f>SUMIFS($AE72:$AE73,SP_PensionPayout,"Annuity",$E72:$E73,"&lt;&gt;0")</f>
        <v>0</v>
      </c>
      <c r="AJ72" s="617">
        <f>IF(ISBLANK(INDEX(SP_SSPBFA,1)),0,IF($J72&lt;&gt;INDEX(SP_SSPBFA,1),AJ70,SP_AdditionalRI/INDEX(SC_EA_InflationWageIdx,EAIDX)))</f>
        <v>0</v>
      </c>
      <c r="AK72" s="617">
        <f ca="1">SUMPRODUCT(AF72:AF73, --(G72:G73&lt;&gt;0))</f>
        <v>0</v>
      </c>
      <c r="AL72" s="618">
        <f ca="1">SUMPRODUCT(AG72:AG73, --(E72:E73&lt;&gt;0))+AJ72</f>
        <v>0</v>
      </c>
      <c r="AM72" s="186">
        <f t="shared" ca="1" si="53"/>
        <v>0</v>
      </c>
      <c r="AN72" t="str">
        <f t="shared" ca="1" si="54"/>
        <v/>
      </c>
    </row>
    <row r="73" spans="2:40" x14ac:dyDescent="0.25">
      <c r="B73" s="86">
        <f t="shared" si="55"/>
        <v>1987</v>
      </c>
      <c r="C73" s="80" t="s">
        <v>741</v>
      </c>
      <c r="D73" s="147" t="str">
        <f t="shared" si="28"/>
        <v/>
      </c>
      <c r="E73" s="81">
        <f t="shared" si="29"/>
        <v>0</v>
      </c>
      <c r="F73" s="82">
        <f t="shared" si="33"/>
        <v>0</v>
      </c>
      <c r="G73" s="81">
        <f t="shared" si="32"/>
        <v>2</v>
      </c>
      <c r="H73" s="82">
        <f t="shared" si="34"/>
        <v>-1</v>
      </c>
      <c r="I73" s="82">
        <f t="shared" si="30"/>
        <v>0</v>
      </c>
      <c r="J73" s="81">
        <f t="shared" si="35"/>
        <v>0</v>
      </c>
      <c r="K73" s="83">
        <f t="shared" ca="1" si="31"/>
        <v>1</v>
      </c>
      <c r="L73" s="470"/>
      <c r="M73" s="470"/>
      <c r="N73" s="470"/>
      <c r="O73" s="470"/>
      <c r="P73" s="107">
        <f t="shared" ca="1" si="36"/>
        <v>0</v>
      </c>
      <c r="Q73" s="107">
        <f t="shared" ca="1" si="37"/>
        <v>0</v>
      </c>
      <c r="R73" s="107">
        <f t="shared" ca="1" si="38"/>
        <v>0</v>
      </c>
      <c r="S73" s="107">
        <f t="shared" ca="1" si="39"/>
        <v>0</v>
      </c>
      <c r="T73" s="107">
        <f t="shared" ca="1" si="40"/>
        <v>0</v>
      </c>
      <c r="U73" s="107">
        <f t="shared" ca="1" si="41"/>
        <v>0</v>
      </c>
      <c r="V73" s="107">
        <f t="shared" ca="1" si="42"/>
        <v>0</v>
      </c>
      <c r="W73" s="107">
        <f t="shared" ca="1" si="43"/>
        <v>0</v>
      </c>
      <c r="X73" s="107">
        <f t="shared" si="44"/>
        <v>0</v>
      </c>
      <c r="Y73" s="107">
        <f t="shared" si="45"/>
        <v>0</v>
      </c>
      <c r="Z73" s="87">
        <f t="shared" si="46"/>
        <v>1</v>
      </c>
      <c r="AA73" s="88">
        <f t="shared" si="47"/>
        <v>0</v>
      </c>
      <c r="AB73" s="107">
        <f t="array" ref="AB73">ROUNDDOWN(AVERAGE(IFERROR(LARGE((X$6:X72+Y$6:Y72)*Z$6:Z72*(G$6:G72=G73), SC_SSCalcYears),0))/(12*Z73),0)</f>
        <v>0</v>
      </c>
      <c r="AC73" s="211">
        <f t="shared" si="48"/>
        <v>1</v>
      </c>
      <c r="AD73" s="89">
        <f t="shared" si="49"/>
        <v>0</v>
      </c>
      <c r="AE73" s="141">
        <f t="shared" ca="1" si="50"/>
        <v>0</v>
      </c>
      <c r="AF73" s="106">
        <f t="shared" ca="1" si="51"/>
        <v>0</v>
      </c>
      <c r="AG73" s="110">
        <f t="shared" ca="1" si="52"/>
        <v>0</v>
      </c>
      <c r="AH73" s="617"/>
      <c r="AI73" s="617"/>
      <c r="AJ73" s="617"/>
      <c r="AK73" s="617"/>
      <c r="AL73" s="618"/>
      <c r="AM73" s="186">
        <f t="shared" ca="1" si="53"/>
        <v>0</v>
      </c>
      <c r="AN73" t="str">
        <f t="shared" ca="1" si="54"/>
        <v/>
      </c>
    </row>
    <row r="74" spans="2:40" x14ac:dyDescent="0.25">
      <c r="B74" s="65">
        <f t="shared" si="55"/>
        <v>1988</v>
      </c>
      <c r="C74" s="76" t="s">
        <v>741</v>
      </c>
      <c r="D74" s="146" t="str">
        <f t="shared" si="28"/>
        <v/>
      </c>
      <c r="E74" s="77">
        <f t="shared" si="29"/>
        <v>0</v>
      </c>
      <c r="F74" s="77">
        <f t="shared" si="33"/>
        <v>0</v>
      </c>
      <c r="G74" s="77">
        <f t="shared" si="32"/>
        <v>1</v>
      </c>
      <c r="H74" s="76">
        <f t="shared" si="34"/>
        <v>1</v>
      </c>
      <c r="I74" s="76">
        <f t="shared" si="30"/>
        <v>0</v>
      </c>
      <c r="J74" s="77">
        <f t="shared" si="35"/>
        <v>0</v>
      </c>
      <c r="K74" s="78">
        <f t="shared" ca="1" si="31"/>
        <v>1</v>
      </c>
      <c r="L74" s="470"/>
      <c r="M74" s="470"/>
      <c r="N74" s="470"/>
      <c r="O74" s="470"/>
      <c r="P74" s="70">
        <f t="shared" ca="1" si="36"/>
        <v>0</v>
      </c>
      <c r="Q74" s="70">
        <f t="shared" ca="1" si="37"/>
        <v>0</v>
      </c>
      <c r="R74" s="70">
        <f t="shared" ca="1" si="38"/>
        <v>0</v>
      </c>
      <c r="S74" s="70">
        <f t="shared" ca="1" si="39"/>
        <v>0</v>
      </c>
      <c r="T74" s="70">
        <f t="shared" ca="1" si="40"/>
        <v>0</v>
      </c>
      <c r="U74" s="70">
        <f t="shared" ca="1" si="41"/>
        <v>0</v>
      </c>
      <c r="V74" s="70">
        <f t="shared" ca="1" si="42"/>
        <v>0</v>
      </c>
      <c r="W74" s="70">
        <f t="shared" ca="1" si="43"/>
        <v>0</v>
      </c>
      <c r="X74" s="70">
        <f t="shared" si="44"/>
        <v>0</v>
      </c>
      <c r="Y74" s="70">
        <f t="shared" si="45"/>
        <v>0</v>
      </c>
      <c r="Z74" s="68">
        <f t="shared" si="46"/>
        <v>1</v>
      </c>
      <c r="AA74" s="84">
        <f t="shared" si="47"/>
        <v>0</v>
      </c>
      <c r="AB74" s="488">
        <f t="array" ref="AB74">ROUNDDOWN(AVERAGE(IFERROR(LARGE((X$6:X73+Y$6:Y73)*Z$6:Z73*(G$6:G73=G74), SC_SSCalcYears),0))/(12*Z74),0)</f>
        <v>0</v>
      </c>
      <c r="AC74" s="69">
        <f t="shared" si="48"/>
        <v>1</v>
      </c>
      <c r="AD74" s="85">
        <f t="shared" si="49"/>
        <v>0</v>
      </c>
      <c r="AE74" s="140">
        <f t="shared" ca="1" si="50"/>
        <v>0</v>
      </c>
      <c r="AF74" s="75">
        <f t="shared" ca="1" si="51"/>
        <v>0</v>
      </c>
      <c r="AG74" s="109">
        <f t="shared" ca="1" si="52"/>
        <v>0</v>
      </c>
      <c r="AH74" s="617">
        <f>SUMIFS($AE74:$AE75,SP_PensionPayout,"Lump sum",$E74:$E75,"&lt;&gt;0")</f>
        <v>0</v>
      </c>
      <c r="AI74" s="617">
        <f>SUMIFS($AE74:$AE75,SP_PensionPayout,"Annuity",$E74:$E75,"&lt;&gt;0")</f>
        <v>0</v>
      </c>
      <c r="AJ74" s="617">
        <f>IF(ISBLANK(INDEX(SP_SSPBFA,1)),0,IF($J74&lt;&gt;INDEX(SP_SSPBFA,1),AJ72,SP_AdditionalRI/INDEX(SC_EA_InflationWageIdx,EAIDX)))</f>
        <v>0</v>
      </c>
      <c r="AK74" s="617">
        <f ca="1">SUMPRODUCT(AF74:AF75, --(G74:G75&lt;&gt;0))</f>
        <v>0</v>
      </c>
      <c r="AL74" s="618">
        <f ca="1">SUMPRODUCT(AG74:AG75, --(E74:E75&lt;&gt;0))+AJ74</f>
        <v>0</v>
      </c>
      <c r="AM74" s="186">
        <f t="shared" ca="1" si="53"/>
        <v>0</v>
      </c>
      <c r="AN74" t="str">
        <f t="shared" ca="1" si="54"/>
        <v/>
      </c>
    </row>
    <row r="75" spans="2:40" x14ac:dyDescent="0.25">
      <c r="B75" s="86">
        <f t="shared" si="55"/>
        <v>1988</v>
      </c>
      <c r="C75" s="80" t="s">
        <v>741</v>
      </c>
      <c r="D75" s="147" t="str">
        <f t="shared" si="28"/>
        <v/>
      </c>
      <c r="E75" s="81">
        <f t="shared" si="29"/>
        <v>0</v>
      </c>
      <c r="F75" s="82">
        <f t="shared" si="33"/>
        <v>0</v>
      </c>
      <c r="G75" s="81">
        <f t="shared" si="32"/>
        <v>2</v>
      </c>
      <c r="H75" s="82">
        <f t="shared" si="34"/>
        <v>-1</v>
      </c>
      <c r="I75" s="82">
        <f t="shared" si="30"/>
        <v>0</v>
      </c>
      <c r="J75" s="81">
        <f t="shared" si="35"/>
        <v>0</v>
      </c>
      <c r="K75" s="83">
        <f t="shared" ca="1" si="31"/>
        <v>1</v>
      </c>
      <c r="L75" s="470"/>
      <c r="M75" s="470"/>
      <c r="N75" s="470"/>
      <c r="O75" s="470"/>
      <c r="P75" s="107">
        <f t="shared" ca="1" si="36"/>
        <v>0</v>
      </c>
      <c r="Q75" s="107">
        <f t="shared" ca="1" si="37"/>
        <v>0</v>
      </c>
      <c r="R75" s="107">
        <f t="shared" ca="1" si="38"/>
        <v>0</v>
      </c>
      <c r="S75" s="107">
        <f t="shared" ca="1" si="39"/>
        <v>0</v>
      </c>
      <c r="T75" s="107">
        <f t="shared" ca="1" si="40"/>
        <v>0</v>
      </c>
      <c r="U75" s="107">
        <f t="shared" ca="1" si="41"/>
        <v>0</v>
      </c>
      <c r="V75" s="107">
        <f t="shared" ca="1" si="42"/>
        <v>0</v>
      </c>
      <c r="W75" s="107">
        <f t="shared" ca="1" si="43"/>
        <v>0</v>
      </c>
      <c r="X75" s="107">
        <f t="shared" si="44"/>
        <v>0</v>
      </c>
      <c r="Y75" s="107">
        <f t="shared" si="45"/>
        <v>0</v>
      </c>
      <c r="Z75" s="87">
        <f t="shared" si="46"/>
        <v>1</v>
      </c>
      <c r="AA75" s="88">
        <f t="shared" si="47"/>
        <v>0</v>
      </c>
      <c r="AB75" s="107">
        <f t="array" ref="AB75">ROUNDDOWN(AVERAGE(IFERROR(LARGE((X$6:X74+Y$6:Y74)*Z$6:Z74*(G$6:G74=G75), SC_SSCalcYears),0))/(12*Z75),0)</f>
        <v>0</v>
      </c>
      <c r="AC75" s="211">
        <f t="shared" si="48"/>
        <v>1</v>
      </c>
      <c r="AD75" s="89">
        <f t="shared" si="49"/>
        <v>0</v>
      </c>
      <c r="AE75" s="141">
        <f t="shared" ca="1" si="50"/>
        <v>0</v>
      </c>
      <c r="AF75" s="106">
        <f t="shared" ca="1" si="51"/>
        <v>0</v>
      </c>
      <c r="AG75" s="110">
        <f t="shared" ca="1" si="52"/>
        <v>0</v>
      </c>
      <c r="AH75" s="617"/>
      <c r="AI75" s="617"/>
      <c r="AJ75" s="617"/>
      <c r="AK75" s="617"/>
      <c r="AL75" s="618"/>
      <c r="AM75" s="186">
        <f t="shared" ca="1" si="53"/>
        <v>0</v>
      </c>
      <c r="AN75" t="str">
        <f t="shared" ca="1" si="54"/>
        <v/>
      </c>
    </row>
    <row r="76" spans="2:40" x14ac:dyDescent="0.25">
      <c r="B76" s="65">
        <f t="shared" si="55"/>
        <v>1989</v>
      </c>
      <c r="C76" s="76" t="s">
        <v>741</v>
      </c>
      <c r="D76" s="146" t="str">
        <f t="shared" si="28"/>
        <v/>
      </c>
      <c r="E76" s="77">
        <f t="shared" si="29"/>
        <v>0</v>
      </c>
      <c r="F76" s="77">
        <f t="shared" si="33"/>
        <v>0</v>
      </c>
      <c r="G76" s="77">
        <f t="shared" si="32"/>
        <v>1</v>
      </c>
      <c r="H76" s="76">
        <f t="shared" si="34"/>
        <v>1</v>
      </c>
      <c r="I76" s="76">
        <f t="shared" si="30"/>
        <v>0</v>
      </c>
      <c r="J76" s="77">
        <f t="shared" si="35"/>
        <v>0</v>
      </c>
      <c r="K76" s="78">
        <f t="shared" ca="1" si="31"/>
        <v>1</v>
      </c>
      <c r="L76" s="470"/>
      <c r="M76" s="470"/>
      <c r="N76" s="470"/>
      <c r="O76" s="470"/>
      <c r="P76" s="70">
        <f t="shared" ca="1" si="36"/>
        <v>0</v>
      </c>
      <c r="Q76" s="70">
        <f t="shared" ca="1" si="37"/>
        <v>0</v>
      </c>
      <c r="R76" s="70">
        <f t="shared" ca="1" si="38"/>
        <v>0</v>
      </c>
      <c r="S76" s="70">
        <f t="shared" ca="1" si="39"/>
        <v>0</v>
      </c>
      <c r="T76" s="70">
        <f t="shared" ca="1" si="40"/>
        <v>0</v>
      </c>
      <c r="U76" s="70">
        <f t="shared" ca="1" si="41"/>
        <v>0</v>
      </c>
      <c r="V76" s="70">
        <f t="shared" ca="1" si="42"/>
        <v>0</v>
      </c>
      <c r="W76" s="70">
        <f t="shared" ca="1" si="43"/>
        <v>0</v>
      </c>
      <c r="X76" s="70">
        <f t="shared" si="44"/>
        <v>0</v>
      </c>
      <c r="Y76" s="70">
        <f t="shared" si="45"/>
        <v>0</v>
      </c>
      <c r="Z76" s="68">
        <f t="shared" si="46"/>
        <v>1</v>
      </c>
      <c r="AA76" s="84">
        <f t="shared" si="47"/>
        <v>0</v>
      </c>
      <c r="AB76" s="488">
        <f t="array" ref="AB76">ROUNDDOWN(AVERAGE(IFERROR(LARGE((X$6:X75+Y$6:Y75)*Z$6:Z75*(G$6:G75=G76), SC_SSCalcYears),0))/(12*Z76),0)</f>
        <v>0</v>
      </c>
      <c r="AC76" s="69">
        <f t="shared" si="48"/>
        <v>1</v>
      </c>
      <c r="AD76" s="85">
        <f t="shared" si="49"/>
        <v>0</v>
      </c>
      <c r="AE76" s="140">
        <f t="shared" ca="1" si="50"/>
        <v>0</v>
      </c>
      <c r="AF76" s="75">
        <f t="shared" ca="1" si="51"/>
        <v>0</v>
      </c>
      <c r="AG76" s="109">
        <f t="shared" ca="1" si="52"/>
        <v>0</v>
      </c>
      <c r="AH76" s="617">
        <f>SUMIFS($AE76:$AE77,SP_PensionPayout,"Lump sum",$E76:$E77,"&lt;&gt;0")</f>
        <v>0</v>
      </c>
      <c r="AI76" s="617">
        <f>SUMIFS($AE76:$AE77,SP_PensionPayout,"Annuity",$E76:$E77,"&lt;&gt;0")</f>
        <v>0</v>
      </c>
      <c r="AJ76" s="617">
        <f>IF(ISBLANK(INDEX(SP_SSPBFA,1)),0,IF($J76&lt;&gt;INDEX(SP_SSPBFA,1),AJ74,SP_AdditionalRI/INDEX(SC_EA_InflationWageIdx,EAIDX)))</f>
        <v>0</v>
      </c>
      <c r="AK76" s="617">
        <f ca="1">SUMPRODUCT(AF76:AF77, --(G76:G77&lt;&gt;0))</f>
        <v>0</v>
      </c>
      <c r="AL76" s="618">
        <f ca="1">SUMPRODUCT(AG76:AG77, --(E76:E77&lt;&gt;0))+AJ76</f>
        <v>0</v>
      </c>
      <c r="AM76" s="186">
        <f t="shared" ca="1" si="53"/>
        <v>0</v>
      </c>
      <c r="AN76" t="str">
        <f t="shared" ca="1" si="54"/>
        <v/>
      </c>
    </row>
    <row r="77" spans="2:40" x14ac:dyDescent="0.25">
      <c r="B77" s="86">
        <f t="shared" si="55"/>
        <v>1989</v>
      </c>
      <c r="C77" s="80" t="s">
        <v>741</v>
      </c>
      <c r="D77" s="147" t="str">
        <f t="shared" si="28"/>
        <v/>
      </c>
      <c r="E77" s="81">
        <f t="shared" si="29"/>
        <v>0</v>
      </c>
      <c r="F77" s="82">
        <f t="shared" si="33"/>
        <v>0</v>
      </c>
      <c r="G77" s="81">
        <f t="shared" si="32"/>
        <v>2</v>
      </c>
      <c r="H77" s="82">
        <f t="shared" si="34"/>
        <v>-1</v>
      </c>
      <c r="I77" s="82">
        <f t="shared" si="30"/>
        <v>0</v>
      </c>
      <c r="J77" s="81">
        <f t="shared" si="35"/>
        <v>0</v>
      </c>
      <c r="K77" s="83">
        <f t="shared" ca="1" si="31"/>
        <v>1</v>
      </c>
      <c r="L77" s="470"/>
      <c r="M77" s="470"/>
      <c r="N77" s="470"/>
      <c r="O77" s="470"/>
      <c r="P77" s="107">
        <f t="shared" ca="1" si="36"/>
        <v>0</v>
      </c>
      <c r="Q77" s="107">
        <f t="shared" ca="1" si="37"/>
        <v>0</v>
      </c>
      <c r="R77" s="107">
        <f t="shared" ca="1" si="38"/>
        <v>0</v>
      </c>
      <c r="S77" s="107">
        <f t="shared" ca="1" si="39"/>
        <v>0</v>
      </c>
      <c r="T77" s="107">
        <f t="shared" ca="1" si="40"/>
        <v>0</v>
      </c>
      <c r="U77" s="107">
        <f t="shared" ca="1" si="41"/>
        <v>0</v>
      </c>
      <c r="V77" s="107">
        <f t="shared" ca="1" si="42"/>
        <v>0</v>
      </c>
      <c r="W77" s="107">
        <f t="shared" ca="1" si="43"/>
        <v>0</v>
      </c>
      <c r="X77" s="107">
        <f t="shared" si="44"/>
        <v>0</v>
      </c>
      <c r="Y77" s="107">
        <f t="shared" si="45"/>
        <v>0</v>
      </c>
      <c r="Z77" s="87">
        <f t="shared" si="46"/>
        <v>1</v>
      </c>
      <c r="AA77" s="88">
        <f t="shared" si="47"/>
        <v>0</v>
      </c>
      <c r="AB77" s="107">
        <f t="array" ref="AB77">ROUNDDOWN(AVERAGE(IFERROR(LARGE((X$6:X76+Y$6:Y76)*Z$6:Z76*(G$6:G76=G77), SC_SSCalcYears),0))/(12*Z77),0)</f>
        <v>0</v>
      </c>
      <c r="AC77" s="211">
        <f t="shared" si="48"/>
        <v>1</v>
      </c>
      <c r="AD77" s="89">
        <f t="shared" si="49"/>
        <v>0</v>
      </c>
      <c r="AE77" s="141">
        <f t="shared" ca="1" si="50"/>
        <v>0</v>
      </c>
      <c r="AF77" s="106">
        <f t="shared" ca="1" si="51"/>
        <v>0</v>
      </c>
      <c r="AG77" s="110">
        <f t="shared" ca="1" si="52"/>
        <v>0</v>
      </c>
      <c r="AH77" s="617"/>
      <c r="AI77" s="617"/>
      <c r="AJ77" s="617"/>
      <c r="AK77" s="617"/>
      <c r="AL77" s="618"/>
      <c r="AM77" s="186">
        <f t="shared" ca="1" si="53"/>
        <v>0</v>
      </c>
      <c r="AN77" t="str">
        <f t="shared" ca="1" si="54"/>
        <v/>
      </c>
    </row>
    <row r="78" spans="2:40" x14ac:dyDescent="0.25">
      <c r="B78" s="65">
        <f t="shared" si="55"/>
        <v>1990</v>
      </c>
      <c r="C78" s="76" t="s">
        <v>741</v>
      </c>
      <c r="D78" s="146" t="str">
        <f t="shared" si="28"/>
        <v/>
      </c>
      <c r="E78" s="77">
        <f t="shared" si="29"/>
        <v>0</v>
      </c>
      <c r="F78" s="77">
        <f t="shared" si="33"/>
        <v>0</v>
      </c>
      <c r="G78" s="77">
        <f t="shared" si="32"/>
        <v>1</v>
      </c>
      <c r="H78" s="76">
        <f t="shared" si="34"/>
        <v>1</v>
      </c>
      <c r="I78" s="76">
        <f t="shared" si="30"/>
        <v>0</v>
      </c>
      <c r="J78" s="77">
        <f t="shared" si="35"/>
        <v>0</v>
      </c>
      <c r="K78" s="78">
        <f t="shared" ca="1" si="31"/>
        <v>1</v>
      </c>
      <c r="L78" s="470"/>
      <c r="M78" s="470"/>
      <c r="N78" s="470"/>
      <c r="O78" s="470"/>
      <c r="P78" s="70">
        <f t="shared" ca="1" si="36"/>
        <v>0</v>
      </c>
      <c r="Q78" s="70">
        <f t="shared" ca="1" si="37"/>
        <v>0</v>
      </c>
      <c r="R78" s="70">
        <f t="shared" ca="1" si="38"/>
        <v>0</v>
      </c>
      <c r="S78" s="70">
        <f t="shared" ca="1" si="39"/>
        <v>0</v>
      </c>
      <c r="T78" s="70">
        <f t="shared" ca="1" si="40"/>
        <v>0</v>
      </c>
      <c r="U78" s="70">
        <f t="shared" ca="1" si="41"/>
        <v>0</v>
      </c>
      <c r="V78" s="70">
        <f t="shared" ca="1" si="42"/>
        <v>0</v>
      </c>
      <c r="W78" s="70">
        <f t="shared" ca="1" si="43"/>
        <v>0</v>
      </c>
      <c r="X78" s="70">
        <f t="shared" si="44"/>
        <v>0</v>
      </c>
      <c r="Y78" s="70">
        <f t="shared" si="45"/>
        <v>0</v>
      </c>
      <c r="Z78" s="68">
        <f t="shared" si="46"/>
        <v>1</v>
      </c>
      <c r="AA78" s="84">
        <f t="shared" si="47"/>
        <v>0</v>
      </c>
      <c r="AB78" s="488">
        <f t="array" ref="AB78">ROUNDDOWN(AVERAGE(IFERROR(LARGE((X$6:X77+Y$6:Y77)*Z$6:Z77*(G$6:G77=G78), SC_SSCalcYears),0))/(12*Z78),0)</f>
        <v>0</v>
      </c>
      <c r="AC78" s="69">
        <f t="shared" si="48"/>
        <v>1</v>
      </c>
      <c r="AD78" s="85">
        <f t="shared" si="49"/>
        <v>0</v>
      </c>
      <c r="AE78" s="140">
        <f t="shared" ca="1" si="50"/>
        <v>0</v>
      </c>
      <c r="AF78" s="75">
        <f t="shared" ca="1" si="51"/>
        <v>0</v>
      </c>
      <c r="AG78" s="109">
        <f t="shared" ca="1" si="52"/>
        <v>0</v>
      </c>
      <c r="AH78" s="617">
        <f>SUMIFS($AE78:$AE79,SP_PensionPayout,"Lump sum",$E78:$E79,"&lt;&gt;0")</f>
        <v>0</v>
      </c>
      <c r="AI78" s="617">
        <f>SUMIFS($AE78:$AE79,SP_PensionPayout,"Annuity",$E78:$E79,"&lt;&gt;0")</f>
        <v>0</v>
      </c>
      <c r="AJ78" s="617">
        <f>IF(ISBLANK(INDEX(SP_SSPBFA,1)),0,IF($J78&lt;&gt;INDEX(SP_SSPBFA,1),AJ76,SP_AdditionalRI/INDEX(SC_EA_InflationWageIdx,EAIDX)))</f>
        <v>0</v>
      </c>
      <c r="AK78" s="617">
        <f ca="1">SUMPRODUCT(AF78:AF79, --(G78:G79&lt;&gt;0))</f>
        <v>0</v>
      </c>
      <c r="AL78" s="618">
        <f ca="1">SUMPRODUCT(AG78:AG79, --(E78:E79&lt;&gt;0))+AJ78</f>
        <v>0</v>
      </c>
      <c r="AM78" s="186">
        <f t="shared" ca="1" si="53"/>
        <v>0</v>
      </c>
      <c r="AN78" t="str">
        <f t="shared" ca="1" si="54"/>
        <v/>
      </c>
    </row>
    <row r="79" spans="2:40" x14ac:dyDescent="0.25">
      <c r="B79" s="86">
        <f t="shared" si="55"/>
        <v>1990</v>
      </c>
      <c r="C79" s="80" t="s">
        <v>741</v>
      </c>
      <c r="D79" s="147" t="str">
        <f t="shared" si="28"/>
        <v/>
      </c>
      <c r="E79" s="81">
        <f t="shared" si="29"/>
        <v>0</v>
      </c>
      <c r="F79" s="82">
        <f t="shared" si="33"/>
        <v>0</v>
      </c>
      <c r="G79" s="81">
        <f t="shared" si="32"/>
        <v>2</v>
      </c>
      <c r="H79" s="82">
        <f t="shared" si="34"/>
        <v>-1</v>
      </c>
      <c r="I79" s="82">
        <f t="shared" si="30"/>
        <v>0</v>
      </c>
      <c r="J79" s="81">
        <f t="shared" si="35"/>
        <v>0</v>
      </c>
      <c r="K79" s="83">
        <f t="shared" ca="1" si="31"/>
        <v>1</v>
      </c>
      <c r="L79" s="470"/>
      <c r="M79" s="470"/>
      <c r="N79" s="470"/>
      <c r="O79" s="470"/>
      <c r="P79" s="107">
        <f t="shared" ca="1" si="36"/>
        <v>0</v>
      </c>
      <c r="Q79" s="107">
        <f t="shared" ca="1" si="37"/>
        <v>0</v>
      </c>
      <c r="R79" s="107">
        <f t="shared" ca="1" si="38"/>
        <v>0</v>
      </c>
      <c r="S79" s="107">
        <f t="shared" ca="1" si="39"/>
        <v>0</v>
      </c>
      <c r="T79" s="107">
        <f t="shared" ca="1" si="40"/>
        <v>0</v>
      </c>
      <c r="U79" s="107">
        <f t="shared" ca="1" si="41"/>
        <v>0</v>
      </c>
      <c r="V79" s="107">
        <f t="shared" ca="1" si="42"/>
        <v>0</v>
      </c>
      <c r="W79" s="107">
        <f t="shared" ca="1" si="43"/>
        <v>0</v>
      </c>
      <c r="X79" s="107">
        <f t="shared" si="44"/>
        <v>0</v>
      </c>
      <c r="Y79" s="107">
        <f t="shared" si="45"/>
        <v>0</v>
      </c>
      <c r="Z79" s="87">
        <f t="shared" si="46"/>
        <v>1</v>
      </c>
      <c r="AA79" s="88">
        <f t="shared" si="47"/>
        <v>0</v>
      </c>
      <c r="AB79" s="107">
        <f t="array" ref="AB79">ROUNDDOWN(AVERAGE(IFERROR(LARGE((X$6:X78+Y$6:Y78)*Z$6:Z78*(G$6:G78=G79), SC_SSCalcYears),0))/(12*Z79),0)</f>
        <v>0</v>
      </c>
      <c r="AC79" s="211">
        <f t="shared" si="48"/>
        <v>1</v>
      </c>
      <c r="AD79" s="89">
        <f t="shared" si="49"/>
        <v>0</v>
      </c>
      <c r="AE79" s="141">
        <f t="shared" ca="1" si="50"/>
        <v>0</v>
      </c>
      <c r="AF79" s="106">
        <f t="shared" ca="1" si="51"/>
        <v>0</v>
      </c>
      <c r="AG79" s="110">
        <f t="shared" ca="1" si="52"/>
        <v>0</v>
      </c>
      <c r="AH79" s="617"/>
      <c r="AI79" s="617"/>
      <c r="AJ79" s="617"/>
      <c r="AK79" s="617"/>
      <c r="AL79" s="618"/>
      <c r="AM79" s="186">
        <f t="shared" ca="1" si="53"/>
        <v>0</v>
      </c>
      <c r="AN79" t="str">
        <f t="shared" ca="1" si="54"/>
        <v/>
      </c>
    </row>
    <row r="80" spans="2:40" x14ac:dyDescent="0.25">
      <c r="B80" s="65">
        <f t="shared" si="55"/>
        <v>1991</v>
      </c>
      <c r="C80" s="76" t="s">
        <v>741</v>
      </c>
      <c r="D80" s="146" t="str">
        <f t="shared" si="28"/>
        <v/>
      </c>
      <c r="E80" s="77">
        <f t="shared" si="29"/>
        <v>0</v>
      </c>
      <c r="F80" s="77">
        <f t="shared" si="33"/>
        <v>0</v>
      </c>
      <c r="G80" s="77">
        <f t="shared" si="32"/>
        <v>1</v>
      </c>
      <c r="H80" s="76">
        <f t="shared" si="34"/>
        <v>1</v>
      </c>
      <c r="I80" s="76">
        <f t="shared" si="30"/>
        <v>0</v>
      </c>
      <c r="J80" s="77">
        <f t="shared" si="35"/>
        <v>0</v>
      </c>
      <c r="K80" s="78">
        <f t="shared" ca="1" si="31"/>
        <v>1</v>
      </c>
      <c r="L80" s="470"/>
      <c r="M80" s="470"/>
      <c r="N80" s="470"/>
      <c r="O80" s="470"/>
      <c r="P80" s="70">
        <f t="shared" ca="1" si="36"/>
        <v>0</v>
      </c>
      <c r="Q80" s="70">
        <f t="shared" ca="1" si="37"/>
        <v>0</v>
      </c>
      <c r="R80" s="70">
        <f t="shared" ca="1" si="38"/>
        <v>0</v>
      </c>
      <c r="S80" s="70">
        <f t="shared" ca="1" si="39"/>
        <v>0</v>
      </c>
      <c r="T80" s="70">
        <f t="shared" ca="1" si="40"/>
        <v>0</v>
      </c>
      <c r="U80" s="70">
        <f t="shared" ca="1" si="41"/>
        <v>0</v>
      </c>
      <c r="V80" s="70">
        <f t="shared" ca="1" si="42"/>
        <v>0</v>
      </c>
      <c r="W80" s="70">
        <f t="shared" ca="1" si="43"/>
        <v>0</v>
      </c>
      <c r="X80" s="70">
        <f t="shared" si="44"/>
        <v>0</v>
      </c>
      <c r="Y80" s="70">
        <f t="shared" si="45"/>
        <v>0</v>
      </c>
      <c r="Z80" s="68">
        <f t="shared" si="46"/>
        <v>1</v>
      </c>
      <c r="AA80" s="84">
        <f t="shared" si="47"/>
        <v>0</v>
      </c>
      <c r="AB80" s="488">
        <f t="array" ref="AB80">ROUNDDOWN(AVERAGE(IFERROR(LARGE((X$6:X79+Y$6:Y79)*Z$6:Z79*(G$6:G79=G80), SC_SSCalcYears),0))/(12*Z80),0)</f>
        <v>0</v>
      </c>
      <c r="AC80" s="69">
        <f t="shared" si="48"/>
        <v>1</v>
      </c>
      <c r="AD80" s="85">
        <f t="shared" si="49"/>
        <v>0</v>
      </c>
      <c r="AE80" s="140">
        <f t="shared" ca="1" si="50"/>
        <v>0</v>
      </c>
      <c r="AF80" s="75">
        <f t="shared" ca="1" si="51"/>
        <v>0</v>
      </c>
      <c r="AG80" s="109">
        <f t="shared" ca="1" si="52"/>
        <v>0</v>
      </c>
      <c r="AH80" s="617">
        <f>SUMIFS($AE80:$AE81,SP_PensionPayout,"Lump sum",$E80:$E81,"&lt;&gt;0")</f>
        <v>0</v>
      </c>
      <c r="AI80" s="617">
        <f>SUMIFS($AE80:$AE81,SP_PensionPayout,"Annuity",$E80:$E81,"&lt;&gt;0")</f>
        <v>0</v>
      </c>
      <c r="AJ80" s="617">
        <f>IF(ISBLANK(INDEX(SP_SSPBFA,1)),0,IF($J80&lt;&gt;INDEX(SP_SSPBFA,1),AJ78,SP_AdditionalRI/INDEX(SC_EA_InflationWageIdx,EAIDX)))</f>
        <v>0</v>
      </c>
      <c r="AK80" s="617">
        <f ca="1">SUMPRODUCT(AF80:AF81, --(G80:G81&lt;&gt;0))</f>
        <v>0</v>
      </c>
      <c r="AL80" s="618">
        <f ca="1">SUMPRODUCT(AG80:AG81, --(E80:E81&lt;&gt;0))+AJ80</f>
        <v>0</v>
      </c>
      <c r="AM80" s="186">
        <f t="shared" ca="1" si="53"/>
        <v>0</v>
      </c>
      <c r="AN80" t="str">
        <f t="shared" ca="1" si="54"/>
        <v/>
      </c>
    </row>
    <row r="81" spans="2:40" x14ac:dyDescent="0.25">
      <c r="B81" s="86">
        <f t="shared" si="55"/>
        <v>1991</v>
      </c>
      <c r="C81" s="80" t="s">
        <v>741</v>
      </c>
      <c r="D81" s="147" t="str">
        <f t="shared" si="28"/>
        <v/>
      </c>
      <c r="E81" s="81">
        <f t="shared" si="29"/>
        <v>0</v>
      </c>
      <c r="F81" s="82">
        <f t="shared" si="33"/>
        <v>0</v>
      </c>
      <c r="G81" s="81">
        <f t="shared" si="32"/>
        <v>2</v>
      </c>
      <c r="H81" s="82">
        <f t="shared" si="34"/>
        <v>-1</v>
      </c>
      <c r="I81" s="82">
        <f t="shared" si="30"/>
        <v>0</v>
      </c>
      <c r="J81" s="81">
        <f t="shared" si="35"/>
        <v>0</v>
      </c>
      <c r="K81" s="83">
        <f t="shared" ca="1" si="31"/>
        <v>1</v>
      </c>
      <c r="L81" s="470"/>
      <c r="M81" s="470"/>
      <c r="N81" s="470"/>
      <c r="O81" s="470"/>
      <c r="P81" s="107">
        <f t="shared" ca="1" si="36"/>
        <v>0</v>
      </c>
      <c r="Q81" s="107">
        <f t="shared" ca="1" si="37"/>
        <v>0</v>
      </c>
      <c r="R81" s="107">
        <f t="shared" ca="1" si="38"/>
        <v>0</v>
      </c>
      <c r="S81" s="107">
        <f t="shared" ca="1" si="39"/>
        <v>0</v>
      </c>
      <c r="T81" s="107">
        <f t="shared" ca="1" si="40"/>
        <v>0</v>
      </c>
      <c r="U81" s="107">
        <f t="shared" ca="1" si="41"/>
        <v>0</v>
      </c>
      <c r="V81" s="107">
        <f t="shared" ca="1" si="42"/>
        <v>0</v>
      </c>
      <c r="W81" s="107">
        <f t="shared" ca="1" si="43"/>
        <v>0</v>
      </c>
      <c r="X81" s="107">
        <f t="shared" si="44"/>
        <v>0</v>
      </c>
      <c r="Y81" s="107">
        <f t="shared" si="45"/>
        <v>0</v>
      </c>
      <c r="Z81" s="87">
        <f t="shared" si="46"/>
        <v>1</v>
      </c>
      <c r="AA81" s="88">
        <f t="shared" si="47"/>
        <v>0</v>
      </c>
      <c r="AB81" s="107">
        <f t="array" ref="AB81">ROUNDDOWN(AVERAGE(IFERROR(LARGE((X$6:X80+Y$6:Y80)*Z$6:Z80*(G$6:G80=G81), SC_SSCalcYears),0))/(12*Z81),0)</f>
        <v>0</v>
      </c>
      <c r="AC81" s="211">
        <f t="shared" si="48"/>
        <v>1</v>
      </c>
      <c r="AD81" s="89">
        <f t="shared" si="49"/>
        <v>0</v>
      </c>
      <c r="AE81" s="141">
        <f t="shared" ca="1" si="50"/>
        <v>0</v>
      </c>
      <c r="AF81" s="106">
        <f t="shared" ca="1" si="51"/>
        <v>0</v>
      </c>
      <c r="AG81" s="110">
        <f t="shared" ca="1" si="52"/>
        <v>0</v>
      </c>
      <c r="AH81" s="617"/>
      <c r="AI81" s="617"/>
      <c r="AJ81" s="617"/>
      <c r="AK81" s="617"/>
      <c r="AL81" s="618"/>
      <c r="AM81" s="186">
        <f t="shared" ca="1" si="53"/>
        <v>0</v>
      </c>
      <c r="AN81" t="str">
        <f t="shared" ca="1" si="54"/>
        <v/>
      </c>
    </row>
    <row r="82" spans="2:40" x14ac:dyDescent="0.25">
      <c r="B82" s="65">
        <f t="shared" si="55"/>
        <v>1992</v>
      </c>
      <c r="C82" s="76" t="s">
        <v>741</v>
      </c>
      <c r="D82" s="146" t="str">
        <f t="shared" si="28"/>
        <v/>
      </c>
      <c r="E82" s="77">
        <f t="shared" si="29"/>
        <v>0</v>
      </c>
      <c r="F82" s="77">
        <f t="shared" si="33"/>
        <v>0</v>
      </c>
      <c r="G82" s="77">
        <f t="shared" si="32"/>
        <v>1</v>
      </c>
      <c r="H82" s="76">
        <f t="shared" si="34"/>
        <v>1</v>
      </c>
      <c r="I82" s="76">
        <f t="shared" si="30"/>
        <v>0</v>
      </c>
      <c r="J82" s="77">
        <f t="shared" si="35"/>
        <v>0</v>
      </c>
      <c r="K82" s="78">
        <f t="shared" ca="1" si="31"/>
        <v>1</v>
      </c>
      <c r="L82" s="470"/>
      <c r="M82" s="470"/>
      <c r="N82" s="470"/>
      <c r="O82" s="470"/>
      <c r="P82" s="70">
        <f t="shared" ca="1" si="36"/>
        <v>0</v>
      </c>
      <c r="Q82" s="70">
        <f t="shared" ca="1" si="37"/>
        <v>0</v>
      </c>
      <c r="R82" s="70">
        <f t="shared" ca="1" si="38"/>
        <v>0</v>
      </c>
      <c r="S82" s="70">
        <f t="shared" ca="1" si="39"/>
        <v>0</v>
      </c>
      <c r="T82" s="70">
        <f t="shared" ca="1" si="40"/>
        <v>0</v>
      </c>
      <c r="U82" s="70">
        <f t="shared" ca="1" si="41"/>
        <v>0</v>
      </c>
      <c r="V82" s="70">
        <f t="shared" ca="1" si="42"/>
        <v>0</v>
      </c>
      <c r="W82" s="70">
        <f t="shared" ca="1" si="43"/>
        <v>0</v>
      </c>
      <c r="X82" s="70">
        <f t="shared" si="44"/>
        <v>0</v>
      </c>
      <c r="Y82" s="70">
        <f t="shared" si="45"/>
        <v>0</v>
      </c>
      <c r="Z82" s="68">
        <f t="shared" si="46"/>
        <v>1</v>
      </c>
      <c r="AA82" s="84">
        <f t="shared" si="47"/>
        <v>0</v>
      </c>
      <c r="AB82" s="488">
        <f t="array" ref="AB82">ROUNDDOWN(AVERAGE(IFERROR(LARGE((X$6:X81+Y$6:Y81)*Z$6:Z81*(G$6:G81=G82), SC_SSCalcYears),0))/(12*Z82),0)</f>
        <v>0</v>
      </c>
      <c r="AC82" s="69">
        <f t="shared" si="48"/>
        <v>1</v>
      </c>
      <c r="AD82" s="85">
        <f t="shared" si="49"/>
        <v>0</v>
      </c>
      <c r="AE82" s="140">
        <f t="shared" ca="1" si="50"/>
        <v>0</v>
      </c>
      <c r="AF82" s="75">
        <f t="shared" ca="1" si="51"/>
        <v>0</v>
      </c>
      <c r="AG82" s="109">
        <f t="shared" ca="1" si="52"/>
        <v>0</v>
      </c>
      <c r="AH82" s="617">
        <f>SUMIFS($AE82:$AE83,SP_PensionPayout,"Lump sum",$E82:$E83,"&lt;&gt;0")</f>
        <v>0</v>
      </c>
      <c r="AI82" s="617">
        <f>SUMIFS($AE82:$AE83,SP_PensionPayout,"Annuity",$E82:$E83,"&lt;&gt;0")</f>
        <v>0</v>
      </c>
      <c r="AJ82" s="617">
        <f>IF(ISBLANK(INDEX(SP_SSPBFA,1)),0,IF($J82&lt;&gt;INDEX(SP_SSPBFA,1),AJ80,SP_AdditionalRI/INDEX(SC_EA_InflationWageIdx,EAIDX)))</f>
        <v>0</v>
      </c>
      <c r="AK82" s="617">
        <f ca="1">SUMPRODUCT(AF82:AF83, --(G82:G83&lt;&gt;0))</f>
        <v>0</v>
      </c>
      <c r="AL82" s="618">
        <f ca="1">SUMPRODUCT(AG82:AG83, --(E82:E83&lt;&gt;0))+AJ82</f>
        <v>0</v>
      </c>
      <c r="AM82" s="186">
        <f t="shared" ca="1" si="53"/>
        <v>0</v>
      </c>
      <c r="AN82" t="str">
        <f t="shared" ca="1" si="54"/>
        <v/>
      </c>
    </row>
    <row r="83" spans="2:40" x14ac:dyDescent="0.25">
      <c r="B83" s="86">
        <f t="shared" si="55"/>
        <v>1992</v>
      </c>
      <c r="C83" s="80" t="s">
        <v>741</v>
      </c>
      <c r="D83" s="147" t="str">
        <f t="shared" si="28"/>
        <v/>
      </c>
      <c r="E83" s="81">
        <f t="shared" si="29"/>
        <v>0</v>
      </c>
      <c r="F83" s="82">
        <f t="shared" si="33"/>
        <v>0</v>
      </c>
      <c r="G83" s="81">
        <f t="shared" si="32"/>
        <v>2</v>
      </c>
      <c r="H83" s="82">
        <f t="shared" si="34"/>
        <v>-1</v>
      </c>
      <c r="I83" s="82">
        <f t="shared" si="30"/>
        <v>0</v>
      </c>
      <c r="J83" s="81">
        <f t="shared" si="35"/>
        <v>0</v>
      </c>
      <c r="K83" s="83">
        <f t="shared" ca="1" si="31"/>
        <v>1</v>
      </c>
      <c r="L83" s="470"/>
      <c r="M83" s="470"/>
      <c r="N83" s="470"/>
      <c r="O83" s="470"/>
      <c r="P83" s="107">
        <f t="shared" ca="1" si="36"/>
        <v>0</v>
      </c>
      <c r="Q83" s="107">
        <f t="shared" ca="1" si="37"/>
        <v>0</v>
      </c>
      <c r="R83" s="107">
        <f t="shared" ca="1" si="38"/>
        <v>0</v>
      </c>
      <c r="S83" s="107">
        <f t="shared" ca="1" si="39"/>
        <v>0</v>
      </c>
      <c r="T83" s="107">
        <f t="shared" ca="1" si="40"/>
        <v>0</v>
      </c>
      <c r="U83" s="107">
        <f t="shared" ca="1" si="41"/>
        <v>0</v>
      </c>
      <c r="V83" s="107">
        <f t="shared" ca="1" si="42"/>
        <v>0</v>
      </c>
      <c r="W83" s="107">
        <f t="shared" ca="1" si="43"/>
        <v>0</v>
      </c>
      <c r="X83" s="107">
        <f t="shared" si="44"/>
        <v>0</v>
      </c>
      <c r="Y83" s="107">
        <f t="shared" si="45"/>
        <v>0</v>
      </c>
      <c r="Z83" s="87">
        <f t="shared" si="46"/>
        <v>1</v>
      </c>
      <c r="AA83" s="88">
        <f t="shared" si="47"/>
        <v>0</v>
      </c>
      <c r="AB83" s="107">
        <f t="array" ref="AB83">ROUNDDOWN(AVERAGE(IFERROR(LARGE((X$6:X82+Y$6:Y82)*Z$6:Z82*(G$6:G82=G83), SC_SSCalcYears),0))/(12*Z83),0)</f>
        <v>0</v>
      </c>
      <c r="AC83" s="211">
        <f t="shared" si="48"/>
        <v>1</v>
      </c>
      <c r="AD83" s="89">
        <f t="shared" si="49"/>
        <v>0</v>
      </c>
      <c r="AE83" s="141">
        <f t="shared" ca="1" si="50"/>
        <v>0</v>
      </c>
      <c r="AF83" s="106">
        <f t="shared" ca="1" si="51"/>
        <v>0</v>
      </c>
      <c r="AG83" s="110">
        <f t="shared" ca="1" si="52"/>
        <v>0</v>
      </c>
      <c r="AH83" s="617"/>
      <c r="AI83" s="617"/>
      <c r="AJ83" s="617"/>
      <c r="AK83" s="617"/>
      <c r="AL83" s="618"/>
      <c r="AM83" s="186">
        <f t="shared" ca="1" si="53"/>
        <v>0</v>
      </c>
      <c r="AN83" t="str">
        <f t="shared" ca="1" si="54"/>
        <v/>
      </c>
    </row>
    <row r="84" spans="2:40" x14ac:dyDescent="0.25">
      <c r="B84" s="65">
        <f t="shared" si="55"/>
        <v>1993</v>
      </c>
      <c r="C84" s="76" t="s">
        <v>741</v>
      </c>
      <c r="D84" s="146" t="str">
        <f t="shared" si="28"/>
        <v/>
      </c>
      <c r="E84" s="77">
        <f t="shared" si="29"/>
        <v>0</v>
      </c>
      <c r="F84" s="77">
        <f t="shared" si="33"/>
        <v>0</v>
      </c>
      <c r="G84" s="77">
        <f t="shared" si="32"/>
        <v>1</v>
      </c>
      <c r="H84" s="76">
        <f t="shared" si="34"/>
        <v>1</v>
      </c>
      <c r="I84" s="76">
        <f t="shared" si="30"/>
        <v>0</v>
      </c>
      <c r="J84" s="77">
        <f t="shared" si="35"/>
        <v>0</v>
      </c>
      <c r="K84" s="78">
        <f t="shared" ca="1" si="31"/>
        <v>1</v>
      </c>
      <c r="L84" s="470"/>
      <c r="M84" s="470"/>
      <c r="N84" s="470"/>
      <c r="O84" s="470"/>
      <c r="P84" s="70">
        <f t="shared" ca="1" si="36"/>
        <v>0</v>
      </c>
      <c r="Q84" s="70">
        <f t="shared" ca="1" si="37"/>
        <v>0</v>
      </c>
      <c r="R84" s="70">
        <f t="shared" ca="1" si="38"/>
        <v>0</v>
      </c>
      <c r="S84" s="70">
        <f t="shared" ca="1" si="39"/>
        <v>0</v>
      </c>
      <c r="T84" s="70">
        <f t="shared" ca="1" si="40"/>
        <v>0</v>
      </c>
      <c r="U84" s="70">
        <f t="shared" ca="1" si="41"/>
        <v>0</v>
      </c>
      <c r="V84" s="70">
        <f t="shared" ca="1" si="42"/>
        <v>0</v>
      </c>
      <c r="W84" s="70">
        <f t="shared" ca="1" si="43"/>
        <v>0</v>
      </c>
      <c r="X84" s="70">
        <f t="shared" si="44"/>
        <v>0</v>
      </c>
      <c r="Y84" s="70">
        <f t="shared" si="45"/>
        <v>0</v>
      </c>
      <c r="Z84" s="68">
        <f t="shared" si="46"/>
        <v>1</v>
      </c>
      <c r="AA84" s="84">
        <f t="shared" si="47"/>
        <v>0</v>
      </c>
      <c r="AB84" s="488">
        <f t="array" ref="AB84">ROUNDDOWN(AVERAGE(IFERROR(LARGE((X$6:X83+Y$6:Y83)*Z$6:Z83*(G$6:G83=G84), SC_SSCalcYears),0))/(12*Z84),0)</f>
        <v>0</v>
      </c>
      <c r="AC84" s="69">
        <f t="shared" si="48"/>
        <v>1</v>
      </c>
      <c r="AD84" s="85">
        <f t="shared" si="49"/>
        <v>0</v>
      </c>
      <c r="AE84" s="140">
        <f t="shared" ca="1" si="50"/>
        <v>0</v>
      </c>
      <c r="AF84" s="75">
        <f t="shared" ca="1" si="51"/>
        <v>0</v>
      </c>
      <c r="AG84" s="109">
        <f t="shared" ca="1" si="52"/>
        <v>0</v>
      </c>
      <c r="AH84" s="617">
        <f>SUMIFS($AE84:$AE85,SP_PensionPayout,"Lump sum",$E84:$E85,"&lt;&gt;0")</f>
        <v>0</v>
      </c>
      <c r="AI84" s="617">
        <f>SUMIFS($AE84:$AE85,SP_PensionPayout,"Annuity",$E84:$E85,"&lt;&gt;0")</f>
        <v>0</v>
      </c>
      <c r="AJ84" s="617">
        <f>IF(ISBLANK(INDEX(SP_SSPBFA,1)),0,IF($J84&lt;&gt;INDEX(SP_SSPBFA,1),AJ82,SP_AdditionalRI/INDEX(SC_EA_InflationWageIdx,EAIDX)))</f>
        <v>0</v>
      </c>
      <c r="AK84" s="617">
        <f ca="1">SUMPRODUCT(AF84:AF85, --(G84:G85&lt;&gt;0))</f>
        <v>0</v>
      </c>
      <c r="AL84" s="618">
        <f ca="1">SUMPRODUCT(AG84:AG85, --(E84:E85&lt;&gt;0))+AJ84</f>
        <v>0</v>
      </c>
      <c r="AM84" s="186">
        <f t="shared" ca="1" si="53"/>
        <v>0</v>
      </c>
      <c r="AN84" t="str">
        <f t="shared" ca="1" si="54"/>
        <v/>
      </c>
    </row>
    <row r="85" spans="2:40" x14ac:dyDescent="0.25">
      <c r="B85" s="86">
        <f t="shared" si="55"/>
        <v>1993</v>
      </c>
      <c r="C85" s="80" t="s">
        <v>741</v>
      </c>
      <c r="D85" s="147" t="str">
        <f t="shared" si="28"/>
        <v/>
      </c>
      <c r="E85" s="81">
        <f t="shared" si="29"/>
        <v>0</v>
      </c>
      <c r="F85" s="82">
        <f t="shared" si="33"/>
        <v>0</v>
      </c>
      <c r="G85" s="81">
        <f t="shared" si="32"/>
        <v>2</v>
      </c>
      <c r="H85" s="82">
        <f t="shared" si="34"/>
        <v>-1</v>
      </c>
      <c r="I85" s="82">
        <f t="shared" si="30"/>
        <v>0</v>
      </c>
      <c r="J85" s="81">
        <f t="shared" si="35"/>
        <v>0</v>
      </c>
      <c r="K85" s="83">
        <f t="shared" ca="1" si="31"/>
        <v>1</v>
      </c>
      <c r="L85" s="470"/>
      <c r="M85" s="470"/>
      <c r="N85" s="470"/>
      <c r="O85" s="470"/>
      <c r="P85" s="107">
        <f t="shared" ca="1" si="36"/>
        <v>0</v>
      </c>
      <c r="Q85" s="107">
        <f t="shared" ca="1" si="37"/>
        <v>0</v>
      </c>
      <c r="R85" s="107">
        <f t="shared" ca="1" si="38"/>
        <v>0</v>
      </c>
      <c r="S85" s="107">
        <f t="shared" ca="1" si="39"/>
        <v>0</v>
      </c>
      <c r="T85" s="107">
        <f t="shared" ca="1" si="40"/>
        <v>0</v>
      </c>
      <c r="U85" s="107">
        <f t="shared" ca="1" si="41"/>
        <v>0</v>
      </c>
      <c r="V85" s="107">
        <f t="shared" ca="1" si="42"/>
        <v>0</v>
      </c>
      <c r="W85" s="107">
        <f t="shared" ca="1" si="43"/>
        <v>0</v>
      </c>
      <c r="X85" s="107">
        <f t="shared" si="44"/>
        <v>0</v>
      </c>
      <c r="Y85" s="107">
        <f t="shared" si="45"/>
        <v>0</v>
      </c>
      <c r="Z85" s="87">
        <f t="shared" si="46"/>
        <v>1</v>
      </c>
      <c r="AA85" s="88">
        <f t="shared" si="47"/>
        <v>0</v>
      </c>
      <c r="AB85" s="107">
        <f t="array" ref="AB85">ROUNDDOWN(AVERAGE(IFERROR(LARGE((X$6:X84+Y$6:Y84)*Z$6:Z84*(G$6:G84=G85), SC_SSCalcYears),0))/(12*Z85),0)</f>
        <v>0</v>
      </c>
      <c r="AC85" s="211">
        <f t="shared" si="48"/>
        <v>1</v>
      </c>
      <c r="AD85" s="89">
        <f t="shared" si="49"/>
        <v>0</v>
      </c>
      <c r="AE85" s="141">
        <f t="shared" ca="1" si="50"/>
        <v>0</v>
      </c>
      <c r="AF85" s="106">
        <f t="shared" ca="1" si="51"/>
        <v>0</v>
      </c>
      <c r="AG85" s="110">
        <f t="shared" ca="1" si="52"/>
        <v>0</v>
      </c>
      <c r="AH85" s="617"/>
      <c r="AI85" s="617"/>
      <c r="AJ85" s="617"/>
      <c r="AK85" s="617"/>
      <c r="AL85" s="618"/>
      <c r="AM85" s="186">
        <f t="shared" ca="1" si="53"/>
        <v>0</v>
      </c>
      <c r="AN85" t="str">
        <f t="shared" ca="1" si="54"/>
        <v/>
      </c>
    </row>
    <row r="86" spans="2:40" x14ac:dyDescent="0.25">
      <c r="B86" s="65">
        <f t="shared" si="55"/>
        <v>1994</v>
      </c>
      <c r="C86" s="76" t="s">
        <v>741</v>
      </c>
      <c r="D86" s="146" t="str">
        <f t="shared" si="28"/>
        <v/>
      </c>
      <c r="E86" s="77">
        <f t="shared" si="29"/>
        <v>0</v>
      </c>
      <c r="F86" s="77">
        <f t="shared" si="33"/>
        <v>0</v>
      </c>
      <c r="G86" s="77">
        <f t="shared" si="32"/>
        <v>1</v>
      </c>
      <c r="H86" s="76">
        <f t="shared" si="34"/>
        <v>1</v>
      </c>
      <c r="I86" s="76">
        <f t="shared" si="30"/>
        <v>0</v>
      </c>
      <c r="J86" s="77">
        <f t="shared" si="35"/>
        <v>0</v>
      </c>
      <c r="K86" s="78">
        <f t="shared" ca="1" si="31"/>
        <v>1</v>
      </c>
      <c r="L86" s="470"/>
      <c r="M86" s="470"/>
      <c r="N86" s="470"/>
      <c r="O86" s="470"/>
      <c r="P86" s="70">
        <f t="shared" ca="1" si="36"/>
        <v>0</v>
      </c>
      <c r="Q86" s="70">
        <f t="shared" ca="1" si="37"/>
        <v>0</v>
      </c>
      <c r="R86" s="70">
        <f t="shared" ca="1" si="38"/>
        <v>0</v>
      </c>
      <c r="S86" s="70">
        <f t="shared" ca="1" si="39"/>
        <v>0</v>
      </c>
      <c r="T86" s="70">
        <f t="shared" ca="1" si="40"/>
        <v>0</v>
      </c>
      <c r="U86" s="70">
        <f t="shared" ca="1" si="41"/>
        <v>0</v>
      </c>
      <c r="V86" s="70">
        <f t="shared" ca="1" si="42"/>
        <v>0</v>
      </c>
      <c r="W86" s="70">
        <f t="shared" ca="1" si="43"/>
        <v>0</v>
      </c>
      <c r="X86" s="70">
        <f t="shared" si="44"/>
        <v>0</v>
      </c>
      <c r="Y86" s="70">
        <f t="shared" si="45"/>
        <v>0</v>
      </c>
      <c r="Z86" s="68">
        <f t="shared" si="46"/>
        <v>1</v>
      </c>
      <c r="AA86" s="84">
        <f t="shared" si="47"/>
        <v>0</v>
      </c>
      <c r="AB86" s="488">
        <f t="array" ref="AB86">ROUNDDOWN(AVERAGE(IFERROR(LARGE((X$6:X85+Y$6:Y85)*Z$6:Z85*(G$6:G85=G86), SC_SSCalcYears),0))/(12*Z86),0)</f>
        <v>0</v>
      </c>
      <c r="AC86" s="69">
        <f t="shared" si="48"/>
        <v>1</v>
      </c>
      <c r="AD86" s="85">
        <f t="shared" si="49"/>
        <v>0</v>
      </c>
      <c r="AE86" s="140">
        <f t="shared" ca="1" si="50"/>
        <v>0</v>
      </c>
      <c r="AF86" s="75">
        <f t="shared" ca="1" si="51"/>
        <v>0</v>
      </c>
      <c r="AG86" s="109">
        <f t="shared" ca="1" si="52"/>
        <v>0</v>
      </c>
      <c r="AH86" s="617">
        <f>SUMIFS($AE86:$AE87,SP_PensionPayout,"Lump sum",$E86:$E87,"&lt;&gt;0")</f>
        <v>0</v>
      </c>
      <c r="AI86" s="617">
        <f>SUMIFS($AE86:$AE87,SP_PensionPayout,"Annuity",$E86:$E87,"&lt;&gt;0")</f>
        <v>0</v>
      </c>
      <c r="AJ86" s="617">
        <f>IF(ISBLANK(INDEX(SP_SSPBFA,1)),0,IF($J86&lt;&gt;INDEX(SP_SSPBFA,1),AJ84,SP_AdditionalRI/INDEX(SC_EA_InflationWageIdx,EAIDX)))</f>
        <v>0</v>
      </c>
      <c r="AK86" s="617">
        <f ca="1">SUMPRODUCT(AF86:AF87, --(G86:G87&lt;&gt;0))</f>
        <v>0</v>
      </c>
      <c r="AL86" s="618">
        <f ca="1">SUMPRODUCT(AG86:AG87, --(E86:E87&lt;&gt;0))+AJ86</f>
        <v>0</v>
      </c>
      <c r="AM86" s="186">
        <f t="shared" ca="1" si="53"/>
        <v>0</v>
      </c>
      <c r="AN86" t="str">
        <f t="shared" ca="1" si="54"/>
        <v/>
      </c>
    </row>
    <row r="87" spans="2:40" x14ac:dyDescent="0.25">
      <c r="B87" s="86">
        <f t="shared" si="55"/>
        <v>1994</v>
      </c>
      <c r="C87" s="80" t="s">
        <v>741</v>
      </c>
      <c r="D87" s="147" t="str">
        <f t="shared" si="28"/>
        <v/>
      </c>
      <c r="E87" s="81">
        <f t="shared" si="29"/>
        <v>0</v>
      </c>
      <c r="F87" s="82">
        <f t="shared" si="33"/>
        <v>0</v>
      </c>
      <c r="G87" s="81">
        <f t="shared" si="32"/>
        <v>2</v>
      </c>
      <c r="H87" s="82">
        <f t="shared" si="34"/>
        <v>-1</v>
      </c>
      <c r="I87" s="82">
        <f t="shared" si="30"/>
        <v>0</v>
      </c>
      <c r="J87" s="81">
        <f t="shared" si="35"/>
        <v>0</v>
      </c>
      <c r="K87" s="83">
        <f t="shared" ca="1" si="31"/>
        <v>1</v>
      </c>
      <c r="L87" s="470"/>
      <c r="M87" s="470"/>
      <c r="N87" s="470"/>
      <c r="O87" s="470"/>
      <c r="P87" s="107">
        <f t="shared" ca="1" si="36"/>
        <v>0</v>
      </c>
      <c r="Q87" s="107">
        <f t="shared" ca="1" si="37"/>
        <v>0</v>
      </c>
      <c r="R87" s="107">
        <f t="shared" ca="1" si="38"/>
        <v>0</v>
      </c>
      <c r="S87" s="107">
        <f t="shared" ca="1" si="39"/>
        <v>0</v>
      </c>
      <c r="T87" s="107">
        <f t="shared" ca="1" si="40"/>
        <v>0</v>
      </c>
      <c r="U87" s="107">
        <f t="shared" ca="1" si="41"/>
        <v>0</v>
      </c>
      <c r="V87" s="107">
        <f t="shared" ca="1" si="42"/>
        <v>0</v>
      </c>
      <c r="W87" s="107">
        <f t="shared" ca="1" si="43"/>
        <v>0</v>
      </c>
      <c r="X87" s="107">
        <f t="shared" si="44"/>
        <v>0</v>
      </c>
      <c r="Y87" s="107">
        <f t="shared" si="45"/>
        <v>0</v>
      </c>
      <c r="Z87" s="87">
        <f t="shared" si="46"/>
        <v>1</v>
      </c>
      <c r="AA87" s="88">
        <f t="shared" si="47"/>
        <v>0</v>
      </c>
      <c r="AB87" s="107">
        <f t="array" ref="AB87">ROUNDDOWN(AVERAGE(IFERROR(LARGE((X$6:X86+Y$6:Y86)*Z$6:Z86*(G$6:G86=G87), SC_SSCalcYears),0))/(12*Z87),0)</f>
        <v>0</v>
      </c>
      <c r="AC87" s="211">
        <f t="shared" si="48"/>
        <v>1</v>
      </c>
      <c r="AD87" s="89">
        <f t="shared" si="49"/>
        <v>0</v>
      </c>
      <c r="AE87" s="141">
        <f t="shared" ca="1" si="50"/>
        <v>0</v>
      </c>
      <c r="AF87" s="106">
        <f t="shared" ca="1" si="51"/>
        <v>0</v>
      </c>
      <c r="AG87" s="110">
        <f t="shared" ca="1" si="52"/>
        <v>0</v>
      </c>
      <c r="AH87" s="617"/>
      <c r="AI87" s="617"/>
      <c r="AJ87" s="617"/>
      <c r="AK87" s="617"/>
      <c r="AL87" s="618"/>
      <c r="AM87" s="186">
        <f t="shared" ca="1" si="53"/>
        <v>0</v>
      </c>
      <c r="AN87" t="str">
        <f t="shared" ca="1" si="54"/>
        <v/>
      </c>
    </row>
    <row r="88" spans="2:40" x14ac:dyDescent="0.25">
      <c r="B88" s="65">
        <f t="shared" si="55"/>
        <v>1995</v>
      </c>
      <c r="C88" s="76" t="s">
        <v>741</v>
      </c>
      <c r="D88" s="146" t="str">
        <f t="shared" si="28"/>
        <v/>
      </c>
      <c r="E88" s="77">
        <f t="shared" si="29"/>
        <v>0</v>
      </c>
      <c r="F88" s="77">
        <f t="shared" si="33"/>
        <v>0</v>
      </c>
      <c r="G88" s="77">
        <f t="shared" si="32"/>
        <v>1</v>
      </c>
      <c r="H88" s="76">
        <f t="shared" si="34"/>
        <v>1</v>
      </c>
      <c r="I88" s="76">
        <f t="shared" si="30"/>
        <v>0</v>
      </c>
      <c r="J88" s="77">
        <f t="shared" si="35"/>
        <v>0</v>
      </c>
      <c r="K88" s="78">
        <f t="shared" ca="1" si="31"/>
        <v>1</v>
      </c>
      <c r="L88" s="470"/>
      <c r="M88" s="470"/>
      <c r="N88" s="470"/>
      <c r="O88" s="470"/>
      <c r="P88" s="70">
        <f t="shared" ca="1" si="36"/>
        <v>0</v>
      </c>
      <c r="Q88" s="70">
        <f t="shared" ca="1" si="37"/>
        <v>0</v>
      </c>
      <c r="R88" s="70">
        <f t="shared" ca="1" si="38"/>
        <v>0</v>
      </c>
      <c r="S88" s="70">
        <f t="shared" ca="1" si="39"/>
        <v>0</v>
      </c>
      <c r="T88" s="70">
        <f t="shared" ca="1" si="40"/>
        <v>0</v>
      </c>
      <c r="U88" s="70">
        <f t="shared" ca="1" si="41"/>
        <v>0</v>
      </c>
      <c r="V88" s="70">
        <f t="shared" ca="1" si="42"/>
        <v>0</v>
      </c>
      <c r="W88" s="70">
        <f t="shared" ca="1" si="43"/>
        <v>0</v>
      </c>
      <c r="X88" s="70">
        <f t="shared" si="44"/>
        <v>0</v>
      </c>
      <c r="Y88" s="70">
        <f t="shared" si="45"/>
        <v>0</v>
      </c>
      <c r="Z88" s="68">
        <f t="shared" si="46"/>
        <v>1</v>
      </c>
      <c r="AA88" s="84">
        <f t="shared" si="47"/>
        <v>0</v>
      </c>
      <c r="AB88" s="488">
        <f t="array" ref="AB88">ROUNDDOWN(AVERAGE(IFERROR(LARGE((X$6:X87+Y$6:Y87)*Z$6:Z87*(G$6:G87=G88), SC_SSCalcYears),0))/(12*Z88),0)</f>
        <v>0</v>
      </c>
      <c r="AC88" s="69">
        <f t="shared" si="48"/>
        <v>1</v>
      </c>
      <c r="AD88" s="85">
        <f t="shared" si="49"/>
        <v>0</v>
      </c>
      <c r="AE88" s="140">
        <f t="shared" ca="1" si="50"/>
        <v>0</v>
      </c>
      <c r="AF88" s="75">
        <f t="shared" ca="1" si="51"/>
        <v>0</v>
      </c>
      <c r="AG88" s="109">
        <f t="shared" ca="1" si="52"/>
        <v>0</v>
      </c>
      <c r="AH88" s="617">
        <f>SUMIFS($AE88:$AE89,SP_PensionPayout,"Lump sum",$E88:$E89,"&lt;&gt;0")</f>
        <v>0</v>
      </c>
      <c r="AI88" s="617">
        <f>SUMIFS($AE88:$AE89,SP_PensionPayout,"Annuity",$E88:$E89,"&lt;&gt;0")</f>
        <v>0</v>
      </c>
      <c r="AJ88" s="617">
        <f>IF(ISBLANK(INDEX(SP_SSPBFA,1)),0,IF($J88&lt;&gt;INDEX(SP_SSPBFA,1),AJ86,SP_AdditionalRI/INDEX(SC_EA_InflationWageIdx,EAIDX)))</f>
        <v>0</v>
      </c>
      <c r="AK88" s="617">
        <f ca="1">SUMPRODUCT(AF88:AF89, --(G88:G89&lt;&gt;0))</f>
        <v>0</v>
      </c>
      <c r="AL88" s="618">
        <f ca="1">SUMPRODUCT(AG88:AG89, --(E88:E89&lt;&gt;0))+AJ88</f>
        <v>0</v>
      </c>
      <c r="AM88" s="186">
        <f t="shared" ca="1" si="53"/>
        <v>0</v>
      </c>
      <c r="AN88" t="str">
        <f t="shared" ca="1" si="54"/>
        <v/>
      </c>
    </row>
    <row r="89" spans="2:40" x14ac:dyDescent="0.25">
      <c r="B89" s="86">
        <f t="shared" si="55"/>
        <v>1995</v>
      </c>
      <c r="C89" s="80" t="s">
        <v>741</v>
      </c>
      <c r="D89" s="147" t="str">
        <f t="shared" si="28"/>
        <v/>
      </c>
      <c r="E89" s="81">
        <f t="shared" si="29"/>
        <v>0</v>
      </c>
      <c r="F89" s="82">
        <f t="shared" si="33"/>
        <v>0</v>
      </c>
      <c r="G89" s="81">
        <f t="shared" si="32"/>
        <v>2</v>
      </c>
      <c r="H89" s="82">
        <f t="shared" si="34"/>
        <v>-1</v>
      </c>
      <c r="I89" s="82">
        <f t="shared" si="30"/>
        <v>0</v>
      </c>
      <c r="J89" s="81">
        <f t="shared" si="35"/>
        <v>0</v>
      </c>
      <c r="K89" s="83">
        <f t="shared" ca="1" si="31"/>
        <v>1</v>
      </c>
      <c r="L89" s="470"/>
      <c r="M89" s="470"/>
      <c r="N89" s="470"/>
      <c r="O89" s="470"/>
      <c r="P89" s="107">
        <f t="shared" ca="1" si="36"/>
        <v>0</v>
      </c>
      <c r="Q89" s="107">
        <f t="shared" ca="1" si="37"/>
        <v>0</v>
      </c>
      <c r="R89" s="107">
        <f t="shared" ca="1" si="38"/>
        <v>0</v>
      </c>
      <c r="S89" s="107">
        <f t="shared" ca="1" si="39"/>
        <v>0</v>
      </c>
      <c r="T89" s="107">
        <f t="shared" ca="1" si="40"/>
        <v>0</v>
      </c>
      <c r="U89" s="107">
        <f t="shared" ca="1" si="41"/>
        <v>0</v>
      </c>
      <c r="V89" s="107">
        <f t="shared" ca="1" si="42"/>
        <v>0</v>
      </c>
      <c r="W89" s="107">
        <f t="shared" ca="1" si="43"/>
        <v>0</v>
      </c>
      <c r="X89" s="107">
        <f t="shared" si="44"/>
        <v>0</v>
      </c>
      <c r="Y89" s="107">
        <f t="shared" si="45"/>
        <v>0</v>
      </c>
      <c r="Z89" s="87">
        <f t="shared" si="46"/>
        <v>1</v>
      </c>
      <c r="AA89" s="88">
        <f t="shared" si="47"/>
        <v>0</v>
      </c>
      <c r="AB89" s="107">
        <f t="array" ref="AB89">ROUNDDOWN(AVERAGE(IFERROR(LARGE((X$6:X88+Y$6:Y88)*Z$6:Z88*(G$6:G88=G89), SC_SSCalcYears),0))/(12*Z89),0)</f>
        <v>0</v>
      </c>
      <c r="AC89" s="211">
        <f t="shared" si="48"/>
        <v>1</v>
      </c>
      <c r="AD89" s="89">
        <f t="shared" si="49"/>
        <v>0</v>
      </c>
      <c r="AE89" s="141">
        <f t="shared" ca="1" si="50"/>
        <v>0</v>
      </c>
      <c r="AF89" s="106">
        <f t="shared" ca="1" si="51"/>
        <v>0</v>
      </c>
      <c r="AG89" s="110">
        <f t="shared" ca="1" si="52"/>
        <v>0</v>
      </c>
      <c r="AH89" s="617"/>
      <c r="AI89" s="617"/>
      <c r="AJ89" s="617"/>
      <c r="AK89" s="617"/>
      <c r="AL89" s="618"/>
      <c r="AM89" s="186">
        <f t="shared" ca="1" si="53"/>
        <v>0</v>
      </c>
      <c r="AN89" t="str">
        <f t="shared" ca="1" si="54"/>
        <v/>
      </c>
    </row>
    <row r="90" spans="2:40" x14ac:dyDescent="0.25">
      <c r="B90" s="65">
        <f t="shared" si="55"/>
        <v>1996</v>
      </c>
      <c r="C90" s="76" t="s">
        <v>741</v>
      </c>
      <c r="D90" s="146" t="str">
        <f t="shared" si="28"/>
        <v/>
      </c>
      <c r="E90" s="77">
        <f t="shared" si="29"/>
        <v>0</v>
      </c>
      <c r="F90" s="77">
        <f t="shared" si="33"/>
        <v>0</v>
      </c>
      <c r="G90" s="77">
        <f t="shared" si="32"/>
        <v>1</v>
      </c>
      <c r="H90" s="76">
        <f t="shared" si="34"/>
        <v>1</v>
      </c>
      <c r="I90" s="76">
        <f t="shared" si="30"/>
        <v>0</v>
      </c>
      <c r="J90" s="77">
        <f t="shared" si="35"/>
        <v>0</v>
      </c>
      <c r="K90" s="78">
        <f t="shared" ca="1" si="31"/>
        <v>1</v>
      </c>
      <c r="L90" s="470"/>
      <c r="M90" s="470"/>
      <c r="N90" s="470"/>
      <c r="O90" s="470"/>
      <c r="P90" s="70">
        <f t="shared" ca="1" si="36"/>
        <v>0</v>
      </c>
      <c r="Q90" s="70">
        <f t="shared" ca="1" si="37"/>
        <v>0</v>
      </c>
      <c r="R90" s="70">
        <f t="shared" ca="1" si="38"/>
        <v>0</v>
      </c>
      <c r="S90" s="70">
        <f t="shared" ca="1" si="39"/>
        <v>0</v>
      </c>
      <c r="T90" s="70">
        <f t="shared" ca="1" si="40"/>
        <v>0</v>
      </c>
      <c r="U90" s="70">
        <f t="shared" ca="1" si="41"/>
        <v>0</v>
      </c>
      <c r="V90" s="70">
        <f t="shared" ca="1" si="42"/>
        <v>0</v>
      </c>
      <c r="W90" s="70">
        <f t="shared" ca="1" si="43"/>
        <v>0</v>
      </c>
      <c r="X90" s="70">
        <f t="shared" si="44"/>
        <v>0</v>
      </c>
      <c r="Y90" s="70">
        <f t="shared" si="45"/>
        <v>0</v>
      </c>
      <c r="Z90" s="68">
        <f t="shared" si="46"/>
        <v>1</v>
      </c>
      <c r="AA90" s="84">
        <f t="shared" si="47"/>
        <v>0</v>
      </c>
      <c r="AB90" s="488">
        <f t="array" ref="AB90">ROUNDDOWN(AVERAGE(IFERROR(LARGE((X$6:X89+Y$6:Y89)*Z$6:Z89*(G$6:G89=G90), SC_SSCalcYears),0))/(12*Z90),0)</f>
        <v>0</v>
      </c>
      <c r="AC90" s="69">
        <f t="shared" si="48"/>
        <v>1</v>
      </c>
      <c r="AD90" s="85">
        <f t="shared" si="49"/>
        <v>0</v>
      </c>
      <c r="AE90" s="140">
        <f t="shared" ca="1" si="50"/>
        <v>0</v>
      </c>
      <c r="AF90" s="75">
        <f t="shared" ca="1" si="51"/>
        <v>0</v>
      </c>
      <c r="AG90" s="109">
        <f t="shared" ca="1" si="52"/>
        <v>0</v>
      </c>
      <c r="AH90" s="617">
        <f>SUMIFS($AE90:$AE91,SP_PensionPayout,"Lump sum",$E90:$E91,"&lt;&gt;0")</f>
        <v>0</v>
      </c>
      <c r="AI90" s="617">
        <f>SUMIFS($AE90:$AE91,SP_PensionPayout,"Annuity",$E90:$E91,"&lt;&gt;0")</f>
        <v>0</v>
      </c>
      <c r="AJ90" s="617">
        <f>IF(ISBLANK(INDEX(SP_SSPBFA,1)),0,IF($J90&lt;&gt;INDEX(SP_SSPBFA,1),AJ88,SP_AdditionalRI/INDEX(SC_EA_InflationWageIdx,EAIDX)))</f>
        <v>0</v>
      </c>
      <c r="AK90" s="617">
        <f ca="1">SUMPRODUCT(AF90:AF91, --(G90:G91&lt;&gt;0))</f>
        <v>0</v>
      </c>
      <c r="AL90" s="618">
        <f ca="1">SUMPRODUCT(AG90:AG91, --(E90:E91&lt;&gt;0))+AJ90</f>
        <v>0</v>
      </c>
      <c r="AM90" s="186">
        <f t="shared" ca="1" si="53"/>
        <v>0</v>
      </c>
      <c r="AN90" t="str">
        <f t="shared" ca="1" si="54"/>
        <v/>
      </c>
    </row>
    <row r="91" spans="2:40" x14ac:dyDescent="0.25">
      <c r="B91" s="86">
        <f t="shared" si="55"/>
        <v>1996</v>
      </c>
      <c r="C91" s="80" t="s">
        <v>741</v>
      </c>
      <c r="D91" s="147" t="str">
        <f t="shared" si="28"/>
        <v/>
      </c>
      <c r="E91" s="81">
        <f t="shared" si="29"/>
        <v>0</v>
      </c>
      <c r="F91" s="82">
        <f t="shared" si="33"/>
        <v>0</v>
      </c>
      <c r="G91" s="81">
        <f t="shared" si="32"/>
        <v>2</v>
      </c>
      <c r="H91" s="82">
        <f t="shared" si="34"/>
        <v>-1</v>
      </c>
      <c r="I91" s="82">
        <f t="shared" si="30"/>
        <v>0</v>
      </c>
      <c r="J91" s="81">
        <f t="shared" si="35"/>
        <v>0</v>
      </c>
      <c r="K91" s="83">
        <f t="shared" ca="1" si="31"/>
        <v>1</v>
      </c>
      <c r="L91" s="470"/>
      <c r="M91" s="470"/>
      <c r="N91" s="470"/>
      <c r="O91" s="470"/>
      <c r="P91" s="107">
        <f t="shared" ca="1" si="36"/>
        <v>0</v>
      </c>
      <c r="Q91" s="107">
        <f t="shared" ca="1" si="37"/>
        <v>0</v>
      </c>
      <c r="R91" s="107">
        <f t="shared" ca="1" si="38"/>
        <v>0</v>
      </c>
      <c r="S91" s="107">
        <f t="shared" ca="1" si="39"/>
        <v>0</v>
      </c>
      <c r="T91" s="107">
        <f t="shared" ca="1" si="40"/>
        <v>0</v>
      </c>
      <c r="U91" s="107">
        <f t="shared" ca="1" si="41"/>
        <v>0</v>
      </c>
      <c r="V91" s="107">
        <f t="shared" ca="1" si="42"/>
        <v>0</v>
      </c>
      <c r="W91" s="107">
        <f t="shared" ca="1" si="43"/>
        <v>0</v>
      </c>
      <c r="X91" s="107">
        <f t="shared" si="44"/>
        <v>0</v>
      </c>
      <c r="Y91" s="107">
        <f t="shared" si="45"/>
        <v>0</v>
      </c>
      <c r="Z91" s="87">
        <f t="shared" si="46"/>
        <v>1</v>
      </c>
      <c r="AA91" s="88">
        <f t="shared" si="47"/>
        <v>0</v>
      </c>
      <c r="AB91" s="107">
        <f t="array" ref="AB91">ROUNDDOWN(AVERAGE(IFERROR(LARGE((X$6:X90+Y$6:Y90)*Z$6:Z90*(G$6:G90=G91), SC_SSCalcYears),0))/(12*Z91),0)</f>
        <v>0</v>
      </c>
      <c r="AC91" s="211">
        <f t="shared" si="48"/>
        <v>1</v>
      </c>
      <c r="AD91" s="89">
        <f t="shared" si="49"/>
        <v>0</v>
      </c>
      <c r="AE91" s="141">
        <f t="shared" ca="1" si="50"/>
        <v>0</v>
      </c>
      <c r="AF91" s="106">
        <f t="shared" ca="1" si="51"/>
        <v>0</v>
      </c>
      <c r="AG91" s="110">
        <f t="shared" ca="1" si="52"/>
        <v>0</v>
      </c>
      <c r="AH91" s="617"/>
      <c r="AI91" s="617"/>
      <c r="AJ91" s="617"/>
      <c r="AK91" s="617"/>
      <c r="AL91" s="618"/>
      <c r="AM91" s="186">
        <f t="shared" ca="1" si="53"/>
        <v>0</v>
      </c>
      <c r="AN91" t="str">
        <f t="shared" ca="1" si="54"/>
        <v/>
      </c>
    </row>
    <row r="92" spans="2:40" x14ac:dyDescent="0.25">
      <c r="B92" s="65">
        <f t="shared" si="55"/>
        <v>1997</v>
      </c>
      <c r="C92" s="76" t="s">
        <v>741</v>
      </c>
      <c r="D92" s="146" t="str">
        <f t="shared" si="28"/>
        <v/>
      </c>
      <c r="E92" s="77">
        <f t="shared" si="29"/>
        <v>0</v>
      </c>
      <c r="F92" s="77">
        <f t="shared" si="33"/>
        <v>0</v>
      </c>
      <c r="G92" s="77">
        <f t="shared" si="32"/>
        <v>1</v>
      </c>
      <c r="H92" s="76">
        <f t="shared" si="34"/>
        <v>1</v>
      </c>
      <c r="I92" s="76">
        <f t="shared" si="30"/>
        <v>0</v>
      </c>
      <c r="J92" s="77">
        <f t="shared" si="35"/>
        <v>0</v>
      </c>
      <c r="K92" s="78">
        <f t="shared" ca="1" si="31"/>
        <v>1</v>
      </c>
      <c r="L92" s="470"/>
      <c r="M92" s="470"/>
      <c r="N92" s="470"/>
      <c r="O92" s="470"/>
      <c r="P92" s="70">
        <f t="shared" ca="1" si="36"/>
        <v>0</v>
      </c>
      <c r="Q92" s="70">
        <f t="shared" ca="1" si="37"/>
        <v>0</v>
      </c>
      <c r="R92" s="70">
        <f t="shared" ca="1" si="38"/>
        <v>0</v>
      </c>
      <c r="S92" s="70">
        <f t="shared" ca="1" si="39"/>
        <v>0</v>
      </c>
      <c r="T92" s="70">
        <f t="shared" ca="1" si="40"/>
        <v>0</v>
      </c>
      <c r="U92" s="70">
        <f t="shared" ca="1" si="41"/>
        <v>0</v>
      </c>
      <c r="V92" s="70">
        <f t="shared" ca="1" si="42"/>
        <v>0</v>
      </c>
      <c r="W92" s="70">
        <f t="shared" ca="1" si="43"/>
        <v>0</v>
      </c>
      <c r="X92" s="70">
        <f t="shared" si="44"/>
        <v>0</v>
      </c>
      <c r="Y92" s="70">
        <f t="shared" si="45"/>
        <v>0</v>
      </c>
      <c r="Z92" s="68">
        <f t="shared" si="46"/>
        <v>1</v>
      </c>
      <c r="AA92" s="84">
        <f t="shared" si="47"/>
        <v>0</v>
      </c>
      <c r="AB92" s="488">
        <f t="array" ref="AB92">ROUNDDOWN(AVERAGE(IFERROR(LARGE((X$6:X91+Y$6:Y91)*Z$6:Z91*(G$6:G91=G92), SC_SSCalcYears),0))/(12*Z92),0)</f>
        <v>0</v>
      </c>
      <c r="AC92" s="69">
        <f t="shared" si="48"/>
        <v>1</v>
      </c>
      <c r="AD92" s="85">
        <f t="shared" si="49"/>
        <v>0</v>
      </c>
      <c r="AE92" s="140">
        <f t="shared" ca="1" si="50"/>
        <v>0</v>
      </c>
      <c r="AF92" s="75">
        <f t="shared" ca="1" si="51"/>
        <v>0</v>
      </c>
      <c r="AG92" s="109">
        <f t="shared" ca="1" si="52"/>
        <v>0</v>
      </c>
      <c r="AH92" s="617">
        <f>SUMIFS($AE92:$AE93,SP_PensionPayout,"Lump sum",$E92:$E93,"&lt;&gt;0")</f>
        <v>0</v>
      </c>
      <c r="AI92" s="617">
        <f>SUMIFS($AE92:$AE93,SP_PensionPayout,"Annuity",$E92:$E93,"&lt;&gt;0")</f>
        <v>0</v>
      </c>
      <c r="AJ92" s="617">
        <f>IF(ISBLANK(INDEX(SP_SSPBFA,1)),0,IF($J92&lt;&gt;INDEX(SP_SSPBFA,1),AJ90,SP_AdditionalRI/INDEX(SC_EA_InflationWageIdx,EAIDX)))</f>
        <v>0</v>
      </c>
      <c r="AK92" s="617">
        <f ca="1">SUMPRODUCT(AF92:AF93, --(G92:G93&lt;&gt;0))</f>
        <v>0</v>
      </c>
      <c r="AL92" s="618">
        <f ca="1">SUMPRODUCT(AG92:AG93, --(E92:E93&lt;&gt;0))+AJ92</f>
        <v>0</v>
      </c>
      <c r="AM92" s="186">
        <f t="shared" ca="1" si="53"/>
        <v>0</v>
      </c>
      <c r="AN92" t="str">
        <f t="shared" ca="1" si="54"/>
        <v/>
      </c>
    </row>
    <row r="93" spans="2:40" x14ac:dyDescent="0.25">
      <c r="B93" s="86">
        <f t="shared" si="55"/>
        <v>1997</v>
      </c>
      <c r="C93" s="80" t="s">
        <v>741</v>
      </c>
      <c r="D93" s="147" t="str">
        <f t="shared" si="28"/>
        <v/>
      </c>
      <c r="E93" s="81">
        <f t="shared" si="29"/>
        <v>0</v>
      </c>
      <c r="F93" s="82">
        <f t="shared" si="33"/>
        <v>0</v>
      </c>
      <c r="G93" s="81">
        <f t="shared" si="32"/>
        <v>2</v>
      </c>
      <c r="H93" s="82">
        <f t="shared" si="34"/>
        <v>-1</v>
      </c>
      <c r="I93" s="82">
        <f t="shared" si="30"/>
        <v>0</v>
      </c>
      <c r="J93" s="81">
        <f t="shared" si="35"/>
        <v>0</v>
      </c>
      <c r="K93" s="83">
        <f t="shared" ca="1" si="31"/>
        <v>1</v>
      </c>
      <c r="L93" s="470"/>
      <c r="M93" s="470"/>
      <c r="N93" s="470"/>
      <c r="O93" s="470"/>
      <c r="P93" s="107">
        <f t="shared" ca="1" si="36"/>
        <v>0</v>
      </c>
      <c r="Q93" s="107">
        <f t="shared" ca="1" si="37"/>
        <v>0</v>
      </c>
      <c r="R93" s="107">
        <f t="shared" ca="1" si="38"/>
        <v>0</v>
      </c>
      <c r="S93" s="107">
        <f t="shared" ca="1" si="39"/>
        <v>0</v>
      </c>
      <c r="T93" s="107">
        <f t="shared" ca="1" si="40"/>
        <v>0</v>
      </c>
      <c r="U93" s="107">
        <f t="shared" ca="1" si="41"/>
        <v>0</v>
      </c>
      <c r="V93" s="107">
        <f t="shared" ca="1" si="42"/>
        <v>0</v>
      </c>
      <c r="W93" s="107">
        <f t="shared" ca="1" si="43"/>
        <v>0</v>
      </c>
      <c r="X93" s="107">
        <f t="shared" si="44"/>
        <v>0</v>
      </c>
      <c r="Y93" s="107">
        <f t="shared" si="45"/>
        <v>0</v>
      </c>
      <c r="Z93" s="87">
        <f t="shared" si="46"/>
        <v>1</v>
      </c>
      <c r="AA93" s="88">
        <f t="shared" si="47"/>
        <v>0</v>
      </c>
      <c r="AB93" s="107">
        <f t="array" ref="AB93">ROUNDDOWN(AVERAGE(IFERROR(LARGE((X$6:X92+Y$6:Y92)*Z$6:Z92*(G$6:G92=G93), SC_SSCalcYears),0))/(12*Z93),0)</f>
        <v>0</v>
      </c>
      <c r="AC93" s="211">
        <f t="shared" si="48"/>
        <v>1</v>
      </c>
      <c r="AD93" s="89">
        <f t="shared" si="49"/>
        <v>0</v>
      </c>
      <c r="AE93" s="141">
        <f t="shared" ca="1" si="50"/>
        <v>0</v>
      </c>
      <c r="AF93" s="106">
        <f t="shared" ca="1" si="51"/>
        <v>0</v>
      </c>
      <c r="AG93" s="110">
        <f t="shared" ca="1" si="52"/>
        <v>0</v>
      </c>
      <c r="AH93" s="617"/>
      <c r="AI93" s="617"/>
      <c r="AJ93" s="617"/>
      <c r="AK93" s="617"/>
      <c r="AL93" s="618"/>
      <c r="AM93" s="186">
        <f t="shared" ca="1" si="53"/>
        <v>0</v>
      </c>
      <c r="AN93" t="str">
        <f t="shared" ca="1" si="54"/>
        <v/>
      </c>
    </row>
    <row r="94" spans="2:40" x14ac:dyDescent="0.25">
      <c r="B94" s="65">
        <f t="shared" si="55"/>
        <v>1998</v>
      </c>
      <c r="C94" s="76" t="s">
        <v>741</v>
      </c>
      <c r="D94" s="146" t="str">
        <f t="shared" si="28"/>
        <v/>
      </c>
      <c r="E94" s="77">
        <f t="shared" si="29"/>
        <v>0</v>
      </c>
      <c r="F94" s="77">
        <f t="shared" si="33"/>
        <v>0</v>
      </c>
      <c r="G94" s="77">
        <f t="shared" si="32"/>
        <v>1</v>
      </c>
      <c r="H94" s="76">
        <f t="shared" si="34"/>
        <v>1</v>
      </c>
      <c r="I94" s="76">
        <f t="shared" si="30"/>
        <v>0</v>
      </c>
      <c r="J94" s="77">
        <f t="shared" si="35"/>
        <v>0</v>
      </c>
      <c r="K94" s="78">
        <f t="shared" ca="1" si="31"/>
        <v>1</v>
      </c>
      <c r="L94" s="470"/>
      <c r="M94" s="470"/>
      <c r="N94" s="470"/>
      <c r="O94" s="470"/>
      <c r="P94" s="70">
        <f t="shared" ca="1" si="36"/>
        <v>0</v>
      </c>
      <c r="Q94" s="70">
        <f t="shared" ca="1" si="37"/>
        <v>0</v>
      </c>
      <c r="R94" s="70">
        <f t="shared" ca="1" si="38"/>
        <v>0</v>
      </c>
      <c r="S94" s="70">
        <f t="shared" ca="1" si="39"/>
        <v>0</v>
      </c>
      <c r="T94" s="70">
        <f t="shared" ca="1" si="40"/>
        <v>0</v>
      </c>
      <c r="U94" s="70">
        <f t="shared" ca="1" si="41"/>
        <v>0</v>
      </c>
      <c r="V94" s="70">
        <f t="shared" ca="1" si="42"/>
        <v>0</v>
      </c>
      <c r="W94" s="70">
        <f t="shared" ca="1" si="43"/>
        <v>0</v>
      </c>
      <c r="X94" s="70">
        <f t="shared" si="44"/>
        <v>0</v>
      </c>
      <c r="Y94" s="70">
        <f t="shared" si="45"/>
        <v>0</v>
      </c>
      <c r="Z94" s="68">
        <f t="shared" si="46"/>
        <v>1</v>
      </c>
      <c r="AA94" s="84">
        <f t="shared" si="47"/>
        <v>0</v>
      </c>
      <c r="AB94" s="488">
        <f t="array" ref="AB94">ROUNDDOWN(AVERAGE(IFERROR(LARGE((X$6:X93+Y$6:Y93)*Z$6:Z93*(G$6:G93=G94), SC_SSCalcYears),0))/(12*Z94),0)</f>
        <v>0</v>
      </c>
      <c r="AC94" s="69">
        <f t="shared" si="48"/>
        <v>1</v>
      </c>
      <c r="AD94" s="85">
        <f t="shared" si="49"/>
        <v>0</v>
      </c>
      <c r="AE94" s="140">
        <f t="shared" ca="1" si="50"/>
        <v>0</v>
      </c>
      <c r="AF94" s="75">
        <f t="shared" ca="1" si="51"/>
        <v>0</v>
      </c>
      <c r="AG94" s="109">
        <f t="shared" ca="1" si="52"/>
        <v>0</v>
      </c>
      <c r="AH94" s="617">
        <f>SUMIFS($AE94:$AE95,SP_PensionPayout,"Lump sum",$E94:$E95,"&lt;&gt;0")</f>
        <v>0</v>
      </c>
      <c r="AI94" s="617">
        <f>SUMIFS($AE94:$AE95,SP_PensionPayout,"Annuity",$E94:$E95,"&lt;&gt;0")</f>
        <v>0</v>
      </c>
      <c r="AJ94" s="617">
        <f>IF(ISBLANK(INDEX(SP_SSPBFA,1)),0,IF($J94&lt;&gt;INDEX(SP_SSPBFA,1),AJ92,SP_AdditionalRI/INDEX(SC_EA_InflationWageIdx,EAIDX)))</f>
        <v>0</v>
      </c>
      <c r="AK94" s="617">
        <f ca="1">SUMPRODUCT(AF94:AF95, --(G94:G95&lt;&gt;0))</f>
        <v>0</v>
      </c>
      <c r="AL94" s="618">
        <f ca="1">SUMPRODUCT(AG94:AG95, --(E94:E95&lt;&gt;0))+AJ94</f>
        <v>0</v>
      </c>
      <c r="AM94" s="186">
        <f t="shared" ca="1" si="53"/>
        <v>0</v>
      </c>
      <c r="AN94" t="str">
        <f t="shared" ca="1" si="54"/>
        <v/>
      </c>
    </row>
    <row r="95" spans="2:40" x14ac:dyDescent="0.25">
      <c r="B95" s="86">
        <f t="shared" si="55"/>
        <v>1998</v>
      </c>
      <c r="C95" s="80" t="s">
        <v>741</v>
      </c>
      <c r="D95" s="147" t="str">
        <f t="shared" si="28"/>
        <v/>
      </c>
      <c r="E95" s="81">
        <f t="shared" si="29"/>
        <v>0</v>
      </c>
      <c r="F95" s="82">
        <f t="shared" si="33"/>
        <v>0</v>
      </c>
      <c r="G95" s="81">
        <f t="shared" si="32"/>
        <v>2</v>
      </c>
      <c r="H95" s="82">
        <f t="shared" si="34"/>
        <v>-1</v>
      </c>
      <c r="I95" s="82">
        <f t="shared" si="30"/>
        <v>0</v>
      </c>
      <c r="J95" s="81">
        <f t="shared" si="35"/>
        <v>0</v>
      </c>
      <c r="K95" s="83">
        <f t="shared" ca="1" si="31"/>
        <v>1</v>
      </c>
      <c r="L95" s="470"/>
      <c r="M95" s="470"/>
      <c r="N95" s="470"/>
      <c r="O95" s="470"/>
      <c r="P95" s="107">
        <f t="shared" ca="1" si="36"/>
        <v>0</v>
      </c>
      <c r="Q95" s="107">
        <f t="shared" ca="1" si="37"/>
        <v>0</v>
      </c>
      <c r="R95" s="107">
        <f t="shared" ca="1" si="38"/>
        <v>0</v>
      </c>
      <c r="S95" s="107">
        <f t="shared" ca="1" si="39"/>
        <v>0</v>
      </c>
      <c r="T95" s="107">
        <f t="shared" ca="1" si="40"/>
        <v>0</v>
      </c>
      <c r="U95" s="107">
        <f t="shared" ca="1" si="41"/>
        <v>0</v>
      </c>
      <c r="V95" s="107">
        <f t="shared" ca="1" si="42"/>
        <v>0</v>
      </c>
      <c r="W95" s="107">
        <f t="shared" ca="1" si="43"/>
        <v>0</v>
      </c>
      <c r="X95" s="107">
        <f t="shared" si="44"/>
        <v>0</v>
      </c>
      <c r="Y95" s="107">
        <f t="shared" si="45"/>
        <v>0</v>
      </c>
      <c r="Z95" s="87">
        <f t="shared" si="46"/>
        <v>1</v>
      </c>
      <c r="AA95" s="88">
        <f t="shared" si="47"/>
        <v>0</v>
      </c>
      <c r="AB95" s="107">
        <f t="array" ref="AB95">ROUNDDOWN(AVERAGE(IFERROR(LARGE((X$6:X94+Y$6:Y94)*Z$6:Z94*(G$6:G94=G95), SC_SSCalcYears),0))/(12*Z95),0)</f>
        <v>0</v>
      </c>
      <c r="AC95" s="211">
        <f t="shared" si="48"/>
        <v>1</v>
      </c>
      <c r="AD95" s="89">
        <f t="shared" si="49"/>
        <v>0</v>
      </c>
      <c r="AE95" s="141">
        <f t="shared" ca="1" si="50"/>
        <v>0</v>
      </c>
      <c r="AF95" s="106">
        <f t="shared" ca="1" si="51"/>
        <v>0</v>
      </c>
      <c r="AG95" s="110">
        <f t="shared" ca="1" si="52"/>
        <v>0</v>
      </c>
      <c r="AH95" s="617"/>
      <c r="AI95" s="617"/>
      <c r="AJ95" s="617"/>
      <c r="AK95" s="617"/>
      <c r="AL95" s="618"/>
      <c r="AM95" s="186">
        <f t="shared" ca="1" si="53"/>
        <v>0</v>
      </c>
      <c r="AN95" t="str">
        <f t="shared" ca="1" si="54"/>
        <v/>
      </c>
    </row>
    <row r="96" spans="2:40" x14ac:dyDescent="0.25">
      <c r="B96" s="65">
        <f t="shared" si="55"/>
        <v>1999</v>
      </c>
      <c r="C96" s="76" t="s">
        <v>741</v>
      </c>
      <c r="D96" s="146" t="str">
        <f t="shared" si="28"/>
        <v/>
      </c>
      <c r="E96" s="77">
        <f t="shared" si="29"/>
        <v>0</v>
      </c>
      <c r="F96" s="77">
        <f t="shared" si="33"/>
        <v>0</v>
      </c>
      <c r="G96" s="77">
        <f t="shared" si="32"/>
        <v>1</v>
      </c>
      <c r="H96" s="76">
        <f t="shared" si="34"/>
        <v>1</v>
      </c>
      <c r="I96" s="76">
        <f t="shared" si="30"/>
        <v>0</v>
      </c>
      <c r="J96" s="77">
        <f t="shared" si="35"/>
        <v>0</v>
      </c>
      <c r="K96" s="78">
        <f t="shared" ca="1" si="31"/>
        <v>1</v>
      </c>
      <c r="L96" s="470"/>
      <c r="M96" s="470"/>
      <c r="N96" s="470"/>
      <c r="O96" s="470"/>
      <c r="P96" s="70">
        <f t="shared" ca="1" si="36"/>
        <v>0</v>
      </c>
      <c r="Q96" s="70">
        <f t="shared" ca="1" si="37"/>
        <v>0</v>
      </c>
      <c r="R96" s="70">
        <f t="shared" ca="1" si="38"/>
        <v>0</v>
      </c>
      <c r="S96" s="70">
        <f t="shared" ca="1" si="39"/>
        <v>0</v>
      </c>
      <c r="T96" s="70">
        <f t="shared" ca="1" si="40"/>
        <v>0</v>
      </c>
      <c r="U96" s="70">
        <f t="shared" ca="1" si="41"/>
        <v>0</v>
      </c>
      <c r="V96" s="70">
        <f t="shared" ca="1" si="42"/>
        <v>0</v>
      </c>
      <c r="W96" s="70">
        <f t="shared" ca="1" si="43"/>
        <v>0</v>
      </c>
      <c r="X96" s="70">
        <f t="shared" si="44"/>
        <v>0</v>
      </c>
      <c r="Y96" s="70">
        <f t="shared" si="45"/>
        <v>0</v>
      </c>
      <c r="Z96" s="68">
        <f t="shared" si="46"/>
        <v>1</v>
      </c>
      <c r="AA96" s="84">
        <f t="shared" si="47"/>
        <v>0</v>
      </c>
      <c r="AB96" s="488">
        <f t="array" ref="AB96">ROUNDDOWN(AVERAGE(IFERROR(LARGE((X$6:X95+Y$6:Y95)*Z$6:Z95*(G$6:G95=G96), SC_SSCalcYears),0))/(12*Z96),0)</f>
        <v>0</v>
      </c>
      <c r="AC96" s="69">
        <f t="shared" si="48"/>
        <v>1</v>
      </c>
      <c r="AD96" s="85">
        <f t="shared" si="49"/>
        <v>0</v>
      </c>
      <c r="AE96" s="140">
        <f t="shared" ca="1" si="50"/>
        <v>0</v>
      </c>
      <c r="AF96" s="75">
        <f t="shared" ca="1" si="51"/>
        <v>0</v>
      </c>
      <c r="AG96" s="109">
        <f t="shared" ca="1" si="52"/>
        <v>0</v>
      </c>
      <c r="AH96" s="617">
        <f>SUMIFS($AE96:$AE97,SP_PensionPayout,"Lump sum",$E96:$E97,"&lt;&gt;0")</f>
        <v>0</v>
      </c>
      <c r="AI96" s="617">
        <f>SUMIFS($AE96:$AE97,SP_PensionPayout,"Annuity",$E96:$E97,"&lt;&gt;0")</f>
        <v>0</v>
      </c>
      <c r="AJ96" s="617">
        <f>IF(ISBLANK(INDEX(SP_SSPBFA,1)),0,IF($J96&lt;&gt;INDEX(SP_SSPBFA,1),AJ94,SP_AdditionalRI/INDEX(SC_EA_InflationWageIdx,EAIDX)))</f>
        <v>0</v>
      </c>
      <c r="AK96" s="617">
        <f ca="1">SUMPRODUCT(AF96:AF97, --(G96:G97&lt;&gt;0))</f>
        <v>0</v>
      </c>
      <c r="AL96" s="618">
        <f ca="1">SUMPRODUCT(AG96:AG97, --(E96:E97&lt;&gt;0))+AJ96</f>
        <v>0</v>
      </c>
      <c r="AM96" s="186">
        <f t="shared" ca="1" si="53"/>
        <v>0</v>
      </c>
      <c r="AN96" t="str">
        <f t="shared" ca="1" si="54"/>
        <v/>
      </c>
    </row>
    <row r="97" spans="2:40" x14ac:dyDescent="0.25">
      <c r="B97" s="86">
        <f t="shared" si="55"/>
        <v>1999</v>
      </c>
      <c r="C97" s="80" t="s">
        <v>741</v>
      </c>
      <c r="D97" s="147" t="str">
        <f t="shared" si="28"/>
        <v/>
      </c>
      <c r="E97" s="81">
        <f t="shared" si="29"/>
        <v>0</v>
      </c>
      <c r="F97" s="82">
        <f t="shared" si="33"/>
        <v>0</v>
      </c>
      <c r="G97" s="81">
        <f t="shared" si="32"/>
        <v>2</v>
      </c>
      <c r="H97" s="82">
        <f t="shared" si="34"/>
        <v>-1</v>
      </c>
      <c r="I97" s="82">
        <f t="shared" si="30"/>
        <v>0</v>
      </c>
      <c r="J97" s="81">
        <f t="shared" si="35"/>
        <v>0</v>
      </c>
      <c r="K97" s="83">
        <f t="shared" ca="1" si="31"/>
        <v>1</v>
      </c>
      <c r="L97" s="470"/>
      <c r="M97" s="470"/>
      <c r="N97" s="470"/>
      <c r="O97" s="470"/>
      <c r="P97" s="107">
        <f t="shared" ca="1" si="36"/>
        <v>0</v>
      </c>
      <c r="Q97" s="107">
        <f t="shared" ca="1" si="37"/>
        <v>0</v>
      </c>
      <c r="R97" s="107">
        <f t="shared" ca="1" si="38"/>
        <v>0</v>
      </c>
      <c r="S97" s="107">
        <f t="shared" ca="1" si="39"/>
        <v>0</v>
      </c>
      <c r="T97" s="107">
        <f t="shared" ca="1" si="40"/>
        <v>0</v>
      </c>
      <c r="U97" s="107">
        <f t="shared" ca="1" si="41"/>
        <v>0</v>
      </c>
      <c r="V97" s="107">
        <f t="shared" ca="1" si="42"/>
        <v>0</v>
      </c>
      <c r="W97" s="107">
        <f t="shared" ca="1" si="43"/>
        <v>0</v>
      </c>
      <c r="X97" s="107">
        <f t="shared" si="44"/>
        <v>0</v>
      </c>
      <c r="Y97" s="107">
        <f t="shared" si="45"/>
        <v>0</v>
      </c>
      <c r="Z97" s="87">
        <f t="shared" si="46"/>
        <v>1</v>
      </c>
      <c r="AA97" s="88">
        <f t="shared" si="47"/>
        <v>0</v>
      </c>
      <c r="AB97" s="107">
        <f t="array" ref="AB97">ROUNDDOWN(AVERAGE(IFERROR(LARGE((X$6:X96+Y$6:Y96)*Z$6:Z96*(G$6:G96=G97), SC_SSCalcYears),0))/(12*Z97),0)</f>
        <v>0</v>
      </c>
      <c r="AC97" s="211">
        <f t="shared" si="48"/>
        <v>1</v>
      </c>
      <c r="AD97" s="89">
        <f t="shared" si="49"/>
        <v>0</v>
      </c>
      <c r="AE97" s="141">
        <f t="shared" ca="1" si="50"/>
        <v>0</v>
      </c>
      <c r="AF97" s="106">
        <f t="shared" ca="1" si="51"/>
        <v>0</v>
      </c>
      <c r="AG97" s="110">
        <f t="shared" ca="1" si="52"/>
        <v>0</v>
      </c>
      <c r="AH97" s="617"/>
      <c r="AI97" s="617"/>
      <c r="AJ97" s="617"/>
      <c r="AK97" s="617"/>
      <c r="AL97" s="618"/>
      <c r="AM97" s="186">
        <f t="shared" ca="1" si="53"/>
        <v>0</v>
      </c>
      <c r="AN97" t="str">
        <f t="shared" ca="1" si="54"/>
        <v/>
      </c>
    </row>
    <row r="98" spans="2:40" x14ac:dyDescent="0.25">
      <c r="B98" s="65">
        <f t="shared" si="55"/>
        <v>2000</v>
      </c>
      <c r="C98" s="76" t="s">
        <v>741</v>
      </c>
      <c r="D98" s="146" t="str">
        <f t="shared" si="28"/>
        <v/>
      </c>
      <c r="E98" s="77">
        <f t="shared" si="29"/>
        <v>0</v>
      </c>
      <c r="F98" s="77">
        <f t="shared" si="33"/>
        <v>0</v>
      </c>
      <c r="G98" s="77">
        <f t="shared" si="32"/>
        <v>1</v>
      </c>
      <c r="H98" s="76">
        <f t="shared" si="34"/>
        <v>1</v>
      </c>
      <c r="I98" s="76">
        <f t="shared" si="30"/>
        <v>0</v>
      </c>
      <c r="J98" s="77">
        <f t="shared" si="35"/>
        <v>0</v>
      </c>
      <c r="K98" s="78">
        <f t="shared" ca="1" si="31"/>
        <v>1</v>
      </c>
      <c r="L98" s="470"/>
      <c r="M98" s="470"/>
      <c r="N98" s="470"/>
      <c r="O98" s="470"/>
      <c r="P98" s="70">
        <f t="shared" ca="1" si="36"/>
        <v>0</v>
      </c>
      <c r="Q98" s="70">
        <f t="shared" ca="1" si="37"/>
        <v>0</v>
      </c>
      <c r="R98" s="70">
        <f t="shared" ca="1" si="38"/>
        <v>0</v>
      </c>
      <c r="S98" s="70">
        <f t="shared" ca="1" si="39"/>
        <v>0</v>
      </c>
      <c r="T98" s="70">
        <f t="shared" ca="1" si="40"/>
        <v>0</v>
      </c>
      <c r="U98" s="70">
        <f t="shared" ca="1" si="41"/>
        <v>0</v>
      </c>
      <c r="V98" s="70">
        <f t="shared" ca="1" si="42"/>
        <v>0</v>
      </c>
      <c r="W98" s="70">
        <f t="shared" ca="1" si="43"/>
        <v>0</v>
      </c>
      <c r="X98" s="70">
        <f t="shared" si="44"/>
        <v>0</v>
      </c>
      <c r="Y98" s="70">
        <f t="shared" si="45"/>
        <v>0</v>
      </c>
      <c r="Z98" s="68">
        <f t="shared" si="46"/>
        <v>1</v>
      </c>
      <c r="AA98" s="84">
        <f t="shared" si="47"/>
        <v>0</v>
      </c>
      <c r="AB98" s="488">
        <f t="array" ref="AB98">ROUNDDOWN(AVERAGE(IFERROR(LARGE((X$6:X97+Y$6:Y97)*Z$6:Z97*(G$6:G97=G98), SC_SSCalcYears),0))/(12*Z98),0)</f>
        <v>0</v>
      </c>
      <c r="AC98" s="69">
        <f t="shared" si="48"/>
        <v>1</v>
      </c>
      <c r="AD98" s="85">
        <f t="shared" si="49"/>
        <v>0</v>
      </c>
      <c r="AE98" s="140">
        <f t="shared" ca="1" si="50"/>
        <v>0</v>
      </c>
      <c r="AF98" s="75">
        <f t="shared" ca="1" si="51"/>
        <v>0</v>
      </c>
      <c r="AG98" s="109">
        <f t="shared" ca="1" si="52"/>
        <v>0</v>
      </c>
      <c r="AH98" s="617">
        <f>SUMIFS($AE98:$AE99,SP_PensionPayout,"Lump sum",$E98:$E99,"&lt;&gt;0")</f>
        <v>0</v>
      </c>
      <c r="AI98" s="617">
        <f>SUMIFS($AE98:$AE99,SP_PensionPayout,"Annuity",$E98:$E99,"&lt;&gt;0")</f>
        <v>0</v>
      </c>
      <c r="AJ98" s="617">
        <f>IF(ISBLANK(INDEX(SP_SSPBFA,1)),0,IF($J98&lt;&gt;INDEX(SP_SSPBFA,1),AJ96,SP_AdditionalRI/INDEX(SC_EA_InflationWageIdx,EAIDX)))</f>
        <v>0</v>
      </c>
      <c r="AK98" s="617">
        <f ca="1">SUMPRODUCT(AF98:AF99, --(G98:G99&lt;&gt;0))</f>
        <v>0</v>
      </c>
      <c r="AL98" s="618">
        <f ca="1">SUMPRODUCT(AG98:AG99, --(E98:E99&lt;&gt;0))+AJ98</f>
        <v>0</v>
      </c>
      <c r="AM98" s="186">
        <f t="shared" ca="1" si="53"/>
        <v>0</v>
      </c>
      <c r="AN98" t="str">
        <f t="shared" ca="1" si="54"/>
        <v/>
      </c>
    </row>
    <row r="99" spans="2:40" x14ac:dyDescent="0.25">
      <c r="B99" s="86">
        <f t="shared" si="55"/>
        <v>2000</v>
      </c>
      <c r="C99" s="80" t="s">
        <v>741</v>
      </c>
      <c r="D99" s="147" t="str">
        <f t="shared" si="28"/>
        <v/>
      </c>
      <c r="E99" s="81">
        <f t="shared" si="29"/>
        <v>0</v>
      </c>
      <c r="F99" s="82">
        <f t="shared" si="33"/>
        <v>0</v>
      </c>
      <c r="G99" s="81">
        <f t="shared" si="32"/>
        <v>2</v>
      </c>
      <c r="H99" s="82">
        <f t="shared" si="34"/>
        <v>-1</v>
      </c>
      <c r="I99" s="82">
        <f t="shared" si="30"/>
        <v>0</v>
      </c>
      <c r="J99" s="81">
        <f t="shared" si="35"/>
        <v>0</v>
      </c>
      <c r="K99" s="83">
        <f t="shared" ca="1" si="31"/>
        <v>1</v>
      </c>
      <c r="L99" s="470"/>
      <c r="M99" s="470"/>
      <c r="N99" s="470"/>
      <c r="O99" s="470"/>
      <c r="P99" s="107">
        <f t="shared" ca="1" si="36"/>
        <v>0</v>
      </c>
      <c r="Q99" s="107">
        <f t="shared" ca="1" si="37"/>
        <v>0</v>
      </c>
      <c r="R99" s="107">
        <f t="shared" ca="1" si="38"/>
        <v>0</v>
      </c>
      <c r="S99" s="107">
        <f t="shared" ca="1" si="39"/>
        <v>0</v>
      </c>
      <c r="T99" s="107">
        <f t="shared" ca="1" si="40"/>
        <v>0</v>
      </c>
      <c r="U99" s="107">
        <f t="shared" ca="1" si="41"/>
        <v>0</v>
      </c>
      <c r="V99" s="107">
        <f t="shared" ca="1" si="42"/>
        <v>0</v>
      </c>
      <c r="W99" s="107">
        <f t="shared" ca="1" si="43"/>
        <v>0</v>
      </c>
      <c r="X99" s="107">
        <f t="shared" si="44"/>
        <v>0</v>
      </c>
      <c r="Y99" s="107">
        <f t="shared" si="45"/>
        <v>0</v>
      </c>
      <c r="Z99" s="87">
        <f t="shared" si="46"/>
        <v>1</v>
      </c>
      <c r="AA99" s="88">
        <f t="shared" si="47"/>
        <v>0</v>
      </c>
      <c r="AB99" s="107">
        <f t="array" ref="AB99">ROUNDDOWN(AVERAGE(IFERROR(LARGE((X$6:X98+Y$6:Y98)*Z$6:Z98*(G$6:G98=G99), SC_SSCalcYears),0))/(12*Z99),0)</f>
        <v>0</v>
      </c>
      <c r="AC99" s="211">
        <f t="shared" si="48"/>
        <v>1</v>
      </c>
      <c r="AD99" s="89">
        <f t="shared" si="49"/>
        <v>0</v>
      </c>
      <c r="AE99" s="141">
        <f t="shared" ca="1" si="50"/>
        <v>0</v>
      </c>
      <c r="AF99" s="106">
        <f t="shared" ca="1" si="51"/>
        <v>0</v>
      </c>
      <c r="AG99" s="110">
        <f t="shared" ca="1" si="52"/>
        <v>0</v>
      </c>
      <c r="AH99" s="617"/>
      <c r="AI99" s="617"/>
      <c r="AJ99" s="617"/>
      <c r="AK99" s="617"/>
      <c r="AL99" s="618"/>
      <c r="AM99" s="186">
        <f t="shared" ca="1" si="53"/>
        <v>0</v>
      </c>
      <c r="AN99" t="str">
        <f t="shared" ca="1" si="54"/>
        <v/>
      </c>
    </row>
    <row r="100" spans="2:40" x14ac:dyDescent="0.25">
      <c r="B100" s="65">
        <f t="shared" si="55"/>
        <v>2001</v>
      </c>
      <c r="C100" s="76" t="s">
        <v>741</v>
      </c>
      <c r="D100" s="146" t="str">
        <f t="shared" si="28"/>
        <v/>
      </c>
      <c r="E100" s="77">
        <f t="shared" si="29"/>
        <v>0</v>
      </c>
      <c r="F100" s="77">
        <f t="shared" si="33"/>
        <v>0</v>
      </c>
      <c r="G100" s="77">
        <f t="shared" si="32"/>
        <v>1</v>
      </c>
      <c r="H100" s="76">
        <f t="shared" si="34"/>
        <v>1</v>
      </c>
      <c r="I100" s="76">
        <f t="shared" si="30"/>
        <v>0</v>
      </c>
      <c r="J100" s="77">
        <f t="shared" si="35"/>
        <v>0</v>
      </c>
      <c r="K100" s="78">
        <f t="shared" ca="1" si="31"/>
        <v>1</v>
      </c>
      <c r="L100" s="470"/>
      <c r="M100" s="470"/>
      <c r="N100" s="470"/>
      <c r="O100" s="470"/>
      <c r="P100" s="70">
        <f t="shared" ca="1" si="36"/>
        <v>0</v>
      </c>
      <c r="Q100" s="70">
        <f t="shared" ca="1" si="37"/>
        <v>0</v>
      </c>
      <c r="R100" s="70">
        <f t="shared" ca="1" si="38"/>
        <v>0</v>
      </c>
      <c r="S100" s="70">
        <f t="shared" ca="1" si="39"/>
        <v>0</v>
      </c>
      <c r="T100" s="70">
        <f t="shared" ca="1" si="40"/>
        <v>0</v>
      </c>
      <c r="U100" s="70">
        <f t="shared" ca="1" si="41"/>
        <v>0</v>
      </c>
      <c r="V100" s="70">
        <f t="shared" ca="1" si="42"/>
        <v>0</v>
      </c>
      <c r="W100" s="70">
        <f t="shared" ca="1" si="43"/>
        <v>0</v>
      </c>
      <c r="X100" s="70">
        <f t="shared" si="44"/>
        <v>0</v>
      </c>
      <c r="Y100" s="70">
        <f t="shared" si="45"/>
        <v>0</v>
      </c>
      <c r="Z100" s="68">
        <f t="shared" si="46"/>
        <v>1</v>
      </c>
      <c r="AA100" s="84">
        <f t="shared" si="47"/>
        <v>0</v>
      </c>
      <c r="AB100" s="488">
        <f t="array" ref="AB100">ROUNDDOWN(AVERAGE(IFERROR(LARGE((X$6:X99+Y$6:Y99)*Z$6:Z99*(G$6:G99=G100), SC_SSCalcYears),0))/(12*Z100),0)</f>
        <v>0</v>
      </c>
      <c r="AC100" s="69">
        <f t="shared" si="48"/>
        <v>1</v>
      </c>
      <c r="AD100" s="85">
        <f t="shared" si="49"/>
        <v>0</v>
      </c>
      <c r="AE100" s="140">
        <f t="shared" ca="1" si="50"/>
        <v>0</v>
      </c>
      <c r="AF100" s="75">
        <f t="shared" ca="1" si="51"/>
        <v>0</v>
      </c>
      <c r="AG100" s="109">
        <f t="shared" ca="1" si="52"/>
        <v>0</v>
      </c>
      <c r="AH100" s="617">
        <f>SUMIFS($AE100:$AE101,SP_PensionPayout,"Lump sum",$E100:$E101,"&lt;&gt;0")</f>
        <v>0</v>
      </c>
      <c r="AI100" s="617">
        <f>SUMIFS($AE100:$AE101,SP_PensionPayout,"Annuity",$E100:$E101,"&lt;&gt;0")</f>
        <v>0</v>
      </c>
      <c r="AJ100" s="617">
        <f>IF(ISBLANK(INDEX(SP_SSPBFA,1)),0,IF($J100&lt;&gt;INDEX(SP_SSPBFA,1),AJ98,SP_AdditionalRI/INDEX(SC_EA_InflationWageIdx,EAIDX)))</f>
        <v>0</v>
      </c>
      <c r="AK100" s="617">
        <f ca="1">SUMPRODUCT(AF100:AF101, --(G100:G101&lt;&gt;0))</f>
        <v>0</v>
      </c>
      <c r="AL100" s="618">
        <f ca="1">SUMPRODUCT(AG100:AG101, --(E100:E101&lt;&gt;0))+AJ100</f>
        <v>0</v>
      </c>
      <c r="AM100" s="186">
        <f t="shared" ca="1" si="53"/>
        <v>0</v>
      </c>
      <c r="AN100" t="str">
        <f t="shared" ca="1" si="54"/>
        <v/>
      </c>
    </row>
    <row r="101" spans="2:40" x14ac:dyDescent="0.25">
      <c r="B101" s="86">
        <f t="shared" si="55"/>
        <v>2001</v>
      </c>
      <c r="C101" s="80" t="s">
        <v>741</v>
      </c>
      <c r="D101" s="147" t="str">
        <f t="shared" si="28"/>
        <v/>
      </c>
      <c r="E101" s="81">
        <f t="shared" si="29"/>
        <v>0</v>
      </c>
      <c r="F101" s="82">
        <f t="shared" si="33"/>
        <v>0</v>
      </c>
      <c r="G101" s="81">
        <f t="shared" si="32"/>
        <v>2</v>
      </c>
      <c r="H101" s="82">
        <f t="shared" si="34"/>
        <v>-1</v>
      </c>
      <c r="I101" s="82">
        <f t="shared" si="30"/>
        <v>0</v>
      </c>
      <c r="J101" s="81">
        <f t="shared" si="35"/>
        <v>0</v>
      </c>
      <c r="K101" s="83">
        <f t="shared" ca="1" si="31"/>
        <v>1</v>
      </c>
      <c r="L101" s="470"/>
      <c r="M101" s="470"/>
      <c r="N101" s="470"/>
      <c r="O101" s="470"/>
      <c r="P101" s="107">
        <f t="shared" ca="1" si="36"/>
        <v>0</v>
      </c>
      <c r="Q101" s="107">
        <f t="shared" ca="1" si="37"/>
        <v>0</v>
      </c>
      <c r="R101" s="107">
        <f t="shared" ca="1" si="38"/>
        <v>0</v>
      </c>
      <c r="S101" s="107">
        <f t="shared" ca="1" si="39"/>
        <v>0</v>
      </c>
      <c r="T101" s="107">
        <f t="shared" ca="1" si="40"/>
        <v>0</v>
      </c>
      <c r="U101" s="107">
        <f t="shared" ca="1" si="41"/>
        <v>0</v>
      </c>
      <c r="V101" s="107">
        <f t="shared" ca="1" si="42"/>
        <v>0</v>
      </c>
      <c r="W101" s="107">
        <f t="shared" ca="1" si="43"/>
        <v>0</v>
      </c>
      <c r="X101" s="107">
        <f t="shared" si="44"/>
        <v>0</v>
      </c>
      <c r="Y101" s="107">
        <f t="shared" si="45"/>
        <v>0</v>
      </c>
      <c r="Z101" s="87">
        <f t="shared" si="46"/>
        <v>1</v>
      </c>
      <c r="AA101" s="88">
        <f t="shared" si="47"/>
        <v>0</v>
      </c>
      <c r="AB101" s="107">
        <f t="array" ref="AB101">ROUNDDOWN(AVERAGE(IFERROR(LARGE((X$6:X100+Y$6:Y100)*Z$6:Z100*(G$6:G100=G101), SC_SSCalcYears),0))/(12*Z101),0)</f>
        <v>0</v>
      </c>
      <c r="AC101" s="211">
        <f t="shared" si="48"/>
        <v>1</v>
      </c>
      <c r="AD101" s="89">
        <f t="shared" si="49"/>
        <v>0</v>
      </c>
      <c r="AE101" s="141">
        <f t="shared" ca="1" si="50"/>
        <v>0</v>
      </c>
      <c r="AF101" s="106">
        <f t="shared" ca="1" si="51"/>
        <v>0</v>
      </c>
      <c r="AG101" s="110">
        <f t="shared" ca="1" si="52"/>
        <v>0</v>
      </c>
      <c r="AH101" s="617"/>
      <c r="AI101" s="617"/>
      <c r="AJ101" s="617"/>
      <c r="AK101" s="617"/>
      <c r="AL101" s="618"/>
      <c r="AM101" s="186">
        <f t="shared" ca="1" si="53"/>
        <v>0</v>
      </c>
      <c r="AN101" t="str">
        <f t="shared" ca="1" si="54"/>
        <v/>
      </c>
    </row>
    <row r="102" spans="2:40" x14ac:dyDescent="0.25">
      <c r="B102" s="65">
        <f t="shared" si="55"/>
        <v>2002</v>
      </c>
      <c r="C102" s="76" t="s">
        <v>741</v>
      </c>
      <c r="D102" s="146" t="str">
        <f t="shared" si="28"/>
        <v/>
      </c>
      <c r="E102" s="77">
        <f t="shared" si="29"/>
        <v>0</v>
      </c>
      <c r="F102" s="77">
        <f t="shared" si="33"/>
        <v>0</v>
      </c>
      <c r="G102" s="77">
        <f t="shared" si="32"/>
        <v>1</v>
      </c>
      <c r="H102" s="76">
        <f t="shared" si="34"/>
        <v>1</v>
      </c>
      <c r="I102" s="76">
        <f t="shared" si="30"/>
        <v>0</v>
      </c>
      <c r="J102" s="77">
        <f t="shared" si="35"/>
        <v>0</v>
      </c>
      <c r="K102" s="78">
        <f t="shared" ca="1" si="31"/>
        <v>1</v>
      </c>
      <c r="L102" s="470"/>
      <c r="M102" s="470"/>
      <c r="N102" s="470"/>
      <c r="O102" s="470"/>
      <c r="P102" s="70">
        <f t="shared" ca="1" si="36"/>
        <v>0</v>
      </c>
      <c r="Q102" s="70">
        <f t="shared" ca="1" si="37"/>
        <v>0</v>
      </c>
      <c r="R102" s="70">
        <f t="shared" ca="1" si="38"/>
        <v>0</v>
      </c>
      <c r="S102" s="70">
        <f t="shared" ca="1" si="39"/>
        <v>0</v>
      </c>
      <c r="T102" s="70">
        <f t="shared" ca="1" si="40"/>
        <v>0</v>
      </c>
      <c r="U102" s="70">
        <f t="shared" ca="1" si="41"/>
        <v>0</v>
      </c>
      <c r="V102" s="70">
        <f t="shared" ca="1" si="42"/>
        <v>0</v>
      </c>
      <c r="W102" s="70">
        <f t="shared" ca="1" si="43"/>
        <v>0</v>
      </c>
      <c r="X102" s="70">
        <f t="shared" si="44"/>
        <v>0</v>
      </c>
      <c r="Y102" s="70">
        <f t="shared" si="45"/>
        <v>0</v>
      </c>
      <c r="Z102" s="68">
        <f t="shared" si="46"/>
        <v>1</v>
      </c>
      <c r="AA102" s="84">
        <f t="shared" si="47"/>
        <v>0</v>
      </c>
      <c r="AB102" s="488">
        <f t="array" ref="AB102">ROUNDDOWN(AVERAGE(IFERROR(LARGE((X$6:X101+Y$6:Y101)*Z$6:Z101*(G$6:G101=G102), SC_SSCalcYears),0))/(12*Z102),0)</f>
        <v>0</v>
      </c>
      <c r="AC102" s="69">
        <f t="shared" si="48"/>
        <v>1</v>
      </c>
      <c r="AD102" s="85">
        <f t="shared" si="49"/>
        <v>0</v>
      </c>
      <c r="AE102" s="140">
        <f t="shared" ca="1" si="50"/>
        <v>0</v>
      </c>
      <c r="AF102" s="75">
        <f t="shared" ca="1" si="51"/>
        <v>0</v>
      </c>
      <c r="AG102" s="109">
        <f t="shared" ca="1" si="52"/>
        <v>0</v>
      </c>
      <c r="AH102" s="617">
        <f>SUMIFS($AE102:$AE103,SP_PensionPayout,"Lump sum",$E102:$E103,"&lt;&gt;0")</f>
        <v>0</v>
      </c>
      <c r="AI102" s="617">
        <f>SUMIFS($AE102:$AE103,SP_PensionPayout,"Annuity",$E102:$E103,"&lt;&gt;0")</f>
        <v>0</v>
      </c>
      <c r="AJ102" s="617">
        <f>IF(ISBLANK(INDEX(SP_SSPBFA,1)),0,IF($J102&lt;&gt;INDEX(SP_SSPBFA,1),AJ100,SP_AdditionalRI/INDEX(SC_EA_InflationWageIdx,EAIDX)))</f>
        <v>0</v>
      </c>
      <c r="AK102" s="617">
        <f ca="1">SUMPRODUCT(AF102:AF103, --(G102:G103&lt;&gt;0))</f>
        <v>0</v>
      </c>
      <c r="AL102" s="618">
        <f ca="1">SUMPRODUCT(AG102:AG103, --(E102:E103&lt;&gt;0))+AJ102</f>
        <v>0</v>
      </c>
      <c r="AM102" s="186">
        <f t="shared" ca="1" si="53"/>
        <v>0</v>
      </c>
      <c r="AN102" t="str">
        <f t="shared" ca="1" si="54"/>
        <v/>
      </c>
    </row>
    <row r="103" spans="2:40" x14ac:dyDescent="0.25">
      <c r="B103" s="86">
        <f t="shared" si="55"/>
        <v>2002</v>
      </c>
      <c r="C103" s="80" t="s">
        <v>741</v>
      </c>
      <c r="D103" s="147" t="str">
        <f t="shared" si="28"/>
        <v/>
      </c>
      <c r="E103" s="81">
        <f t="shared" si="29"/>
        <v>0</v>
      </c>
      <c r="F103" s="82">
        <f t="shared" si="33"/>
        <v>0</v>
      </c>
      <c r="G103" s="81">
        <f t="shared" si="32"/>
        <v>2</v>
      </c>
      <c r="H103" s="82">
        <f t="shared" si="34"/>
        <v>-1</v>
      </c>
      <c r="I103" s="82">
        <f t="shared" si="30"/>
        <v>0</v>
      </c>
      <c r="J103" s="81">
        <f t="shared" si="35"/>
        <v>0</v>
      </c>
      <c r="K103" s="83">
        <f t="shared" ca="1" si="31"/>
        <v>1</v>
      </c>
      <c r="L103" s="470"/>
      <c r="M103" s="470"/>
      <c r="N103" s="470"/>
      <c r="O103" s="470"/>
      <c r="P103" s="107">
        <f t="shared" ca="1" si="36"/>
        <v>0</v>
      </c>
      <c r="Q103" s="107">
        <f t="shared" ca="1" si="37"/>
        <v>0</v>
      </c>
      <c r="R103" s="107">
        <f t="shared" ca="1" si="38"/>
        <v>0</v>
      </c>
      <c r="S103" s="107">
        <f t="shared" ca="1" si="39"/>
        <v>0</v>
      </c>
      <c r="T103" s="107">
        <f t="shared" ca="1" si="40"/>
        <v>0</v>
      </c>
      <c r="U103" s="107">
        <f t="shared" ca="1" si="41"/>
        <v>0</v>
      </c>
      <c r="V103" s="107">
        <f t="shared" ca="1" si="42"/>
        <v>0</v>
      </c>
      <c r="W103" s="107">
        <f t="shared" ca="1" si="43"/>
        <v>0</v>
      </c>
      <c r="X103" s="107">
        <f t="shared" si="44"/>
        <v>0</v>
      </c>
      <c r="Y103" s="107">
        <f t="shared" si="45"/>
        <v>0</v>
      </c>
      <c r="Z103" s="87">
        <f t="shared" si="46"/>
        <v>1</v>
      </c>
      <c r="AA103" s="88">
        <f t="shared" si="47"/>
        <v>0</v>
      </c>
      <c r="AB103" s="107">
        <f t="array" ref="AB103">ROUNDDOWN(AVERAGE(IFERROR(LARGE((X$6:X102+Y$6:Y102)*Z$6:Z102*(G$6:G102=G103), SC_SSCalcYears),0))/(12*Z103),0)</f>
        <v>0</v>
      </c>
      <c r="AC103" s="211">
        <f t="shared" si="48"/>
        <v>1</v>
      </c>
      <c r="AD103" s="89">
        <f t="shared" si="49"/>
        <v>0</v>
      </c>
      <c r="AE103" s="141">
        <f t="shared" ca="1" si="50"/>
        <v>0</v>
      </c>
      <c r="AF103" s="106">
        <f t="shared" ca="1" si="51"/>
        <v>0</v>
      </c>
      <c r="AG103" s="110">
        <f t="shared" ca="1" si="52"/>
        <v>0</v>
      </c>
      <c r="AH103" s="617"/>
      <c r="AI103" s="617"/>
      <c r="AJ103" s="617"/>
      <c r="AK103" s="617"/>
      <c r="AL103" s="618"/>
      <c r="AM103" s="186">
        <f t="shared" ca="1" si="53"/>
        <v>0</v>
      </c>
      <c r="AN103" t="str">
        <f t="shared" ca="1" si="54"/>
        <v/>
      </c>
    </row>
    <row r="104" spans="2:40" x14ac:dyDescent="0.25">
      <c r="B104" s="65">
        <f t="shared" si="55"/>
        <v>2003</v>
      </c>
      <c r="C104" s="76" t="s">
        <v>741</v>
      </c>
      <c r="D104" s="146" t="str">
        <f t="shared" si="28"/>
        <v/>
      </c>
      <c r="E104" s="77">
        <f t="shared" si="29"/>
        <v>0</v>
      </c>
      <c r="F104" s="77">
        <f t="shared" si="33"/>
        <v>0</v>
      </c>
      <c r="G104" s="77">
        <f t="shared" si="32"/>
        <v>1</v>
      </c>
      <c r="H104" s="76">
        <f t="shared" si="34"/>
        <v>1</v>
      </c>
      <c r="I104" s="76">
        <f t="shared" si="30"/>
        <v>0</v>
      </c>
      <c r="J104" s="77">
        <f t="shared" si="35"/>
        <v>0</v>
      </c>
      <c r="K104" s="78">
        <f t="shared" ca="1" si="31"/>
        <v>1</v>
      </c>
      <c r="L104" s="470"/>
      <c r="M104" s="470"/>
      <c r="N104" s="470"/>
      <c r="O104" s="470"/>
      <c r="P104" s="70">
        <f t="shared" ca="1" si="36"/>
        <v>0</v>
      </c>
      <c r="Q104" s="70">
        <f t="shared" ca="1" si="37"/>
        <v>0</v>
      </c>
      <c r="R104" s="70">
        <f t="shared" ca="1" si="38"/>
        <v>0</v>
      </c>
      <c r="S104" s="70">
        <f t="shared" ca="1" si="39"/>
        <v>0</v>
      </c>
      <c r="T104" s="70">
        <f t="shared" ca="1" si="40"/>
        <v>0</v>
      </c>
      <c r="U104" s="70">
        <f t="shared" ca="1" si="41"/>
        <v>0</v>
      </c>
      <c r="V104" s="70">
        <f t="shared" ca="1" si="42"/>
        <v>0</v>
      </c>
      <c r="W104" s="70">
        <f t="shared" ca="1" si="43"/>
        <v>0</v>
      </c>
      <c r="X104" s="70">
        <f t="shared" si="44"/>
        <v>0</v>
      </c>
      <c r="Y104" s="70">
        <f t="shared" si="45"/>
        <v>0</v>
      </c>
      <c r="Z104" s="68">
        <f t="shared" si="46"/>
        <v>1</v>
      </c>
      <c r="AA104" s="84">
        <f t="shared" si="47"/>
        <v>0</v>
      </c>
      <c r="AB104" s="488">
        <f t="array" ref="AB104">ROUNDDOWN(AVERAGE(IFERROR(LARGE((X$6:X103+Y$6:Y103)*Z$6:Z103*(G$6:G103=G104), SC_SSCalcYears),0))/(12*Z104),0)</f>
        <v>0</v>
      </c>
      <c r="AC104" s="69">
        <f t="shared" si="48"/>
        <v>1</v>
      </c>
      <c r="AD104" s="85">
        <f t="shared" si="49"/>
        <v>0</v>
      </c>
      <c r="AE104" s="140">
        <f t="shared" ca="1" si="50"/>
        <v>0</v>
      </c>
      <c r="AF104" s="75">
        <f t="shared" ca="1" si="51"/>
        <v>0</v>
      </c>
      <c r="AG104" s="109">
        <f t="shared" ca="1" si="52"/>
        <v>0</v>
      </c>
      <c r="AH104" s="617">
        <f>SUMIFS($AE104:$AE105,SP_PensionPayout,"Lump sum",$E104:$E105,"&lt;&gt;0")</f>
        <v>0</v>
      </c>
      <c r="AI104" s="617">
        <f>SUMIFS($AE104:$AE105,SP_PensionPayout,"Annuity",$E104:$E105,"&lt;&gt;0")</f>
        <v>0</v>
      </c>
      <c r="AJ104" s="617">
        <f>IF(ISBLANK(INDEX(SP_SSPBFA,1)),0,IF($J104&lt;&gt;INDEX(SP_SSPBFA,1),AJ102,SP_AdditionalRI/INDEX(SC_EA_InflationWageIdx,EAIDX)))</f>
        <v>0</v>
      </c>
      <c r="AK104" s="617">
        <f ca="1">SUMPRODUCT(AF104:AF105, --(G104:G105&lt;&gt;0))</f>
        <v>0</v>
      </c>
      <c r="AL104" s="618">
        <f ca="1">SUMPRODUCT(AG104:AG105, --(E104:E105&lt;&gt;0))+AJ104</f>
        <v>0</v>
      </c>
      <c r="AM104" s="186">
        <f t="shared" ca="1" si="53"/>
        <v>0</v>
      </c>
      <c r="AN104" t="str">
        <f t="shared" ca="1" si="54"/>
        <v/>
      </c>
    </row>
    <row r="105" spans="2:40" x14ac:dyDescent="0.25">
      <c r="B105" s="86">
        <f t="shared" si="55"/>
        <v>2003</v>
      </c>
      <c r="C105" s="80" t="s">
        <v>741</v>
      </c>
      <c r="D105" s="147" t="str">
        <f t="shared" si="28"/>
        <v/>
      </c>
      <c r="E105" s="81">
        <f t="shared" si="29"/>
        <v>0</v>
      </c>
      <c r="F105" s="82">
        <f t="shared" si="33"/>
        <v>0</v>
      </c>
      <c r="G105" s="81">
        <f t="shared" si="32"/>
        <v>2</v>
      </c>
      <c r="H105" s="82">
        <f t="shared" si="34"/>
        <v>-1</v>
      </c>
      <c r="I105" s="82">
        <f t="shared" si="30"/>
        <v>0</v>
      </c>
      <c r="J105" s="81">
        <f t="shared" si="35"/>
        <v>0</v>
      </c>
      <c r="K105" s="83">
        <f t="shared" ca="1" si="31"/>
        <v>1</v>
      </c>
      <c r="L105" s="470"/>
      <c r="M105" s="470"/>
      <c r="N105" s="470"/>
      <c r="O105" s="470"/>
      <c r="P105" s="107">
        <f t="shared" ca="1" si="36"/>
        <v>0</v>
      </c>
      <c r="Q105" s="107">
        <f t="shared" ca="1" si="37"/>
        <v>0</v>
      </c>
      <c r="R105" s="107">
        <f t="shared" ca="1" si="38"/>
        <v>0</v>
      </c>
      <c r="S105" s="107">
        <f t="shared" ca="1" si="39"/>
        <v>0</v>
      </c>
      <c r="T105" s="107">
        <f t="shared" ca="1" si="40"/>
        <v>0</v>
      </c>
      <c r="U105" s="107">
        <f t="shared" ca="1" si="41"/>
        <v>0</v>
      </c>
      <c r="V105" s="107">
        <f t="shared" ca="1" si="42"/>
        <v>0</v>
      </c>
      <c r="W105" s="107">
        <f t="shared" ca="1" si="43"/>
        <v>0</v>
      </c>
      <c r="X105" s="107">
        <f t="shared" si="44"/>
        <v>0</v>
      </c>
      <c r="Y105" s="107">
        <f t="shared" si="45"/>
        <v>0</v>
      </c>
      <c r="Z105" s="87">
        <f t="shared" si="46"/>
        <v>1</v>
      </c>
      <c r="AA105" s="88">
        <f t="shared" si="47"/>
        <v>0</v>
      </c>
      <c r="AB105" s="107">
        <f t="array" ref="AB105">ROUNDDOWN(AVERAGE(IFERROR(LARGE((X$6:X104+Y$6:Y104)*Z$6:Z104*(G$6:G104=G105), SC_SSCalcYears),0))/(12*Z105),0)</f>
        <v>0</v>
      </c>
      <c r="AC105" s="211">
        <f t="shared" si="48"/>
        <v>1</v>
      </c>
      <c r="AD105" s="89">
        <f t="shared" si="49"/>
        <v>0</v>
      </c>
      <c r="AE105" s="141">
        <f t="shared" ca="1" si="50"/>
        <v>0</v>
      </c>
      <c r="AF105" s="106">
        <f t="shared" ca="1" si="51"/>
        <v>0</v>
      </c>
      <c r="AG105" s="110">
        <f t="shared" ca="1" si="52"/>
        <v>0</v>
      </c>
      <c r="AH105" s="617"/>
      <c r="AI105" s="617"/>
      <c r="AJ105" s="617"/>
      <c r="AK105" s="617"/>
      <c r="AL105" s="618"/>
      <c r="AM105" s="186">
        <f t="shared" ca="1" si="53"/>
        <v>0</v>
      </c>
      <c r="AN105" t="str">
        <f t="shared" ca="1" si="54"/>
        <v/>
      </c>
    </row>
    <row r="106" spans="2:40" x14ac:dyDescent="0.25">
      <c r="B106" s="65">
        <f t="shared" si="55"/>
        <v>2004</v>
      </c>
      <c r="C106" s="76" t="s">
        <v>741</v>
      </c>
      <c r="D106" s="146" t="str">
        <f t="shared" si="28"/>
        <v/>
      </c>
      <c r="E106" s="77">
        <f t="shared" si="29"/>
        <v>0</v>
      </c>
      <c r="F106" s="77">
        <f t="shared" si="33"/>
        <v>0</v>
      </c>
      <c r="G106" s="77">
        <f t="shared" si="32"/>
        <v>1</v>
      </c>
      <c r="H106" s="76">
        <f t="shared" si="34"/>
        <v>1</v>
      </c>
      <c r="I106" s="76">
        <f t="shared" si="30"/>
        <v>0</v>
      </c>
      <c r="J106" s="77">
        <f t="shared" si="35"/>
        <v>0</v>
      </c>
      <c r="K106" s="78">
        <f t="shared" ca="1" si="31"/>
        <v>1</v>
      </c>
      <c r="L106" s="470"/>
      <c r="M106" s="470"/>
      <c r="N106" s="470"/>
      <c r="O106" s="470"/>
      <c r="P106" s="70">
        <f t="shared" ca="1" si="36"/>
        <v>0</v>
      </c>
      <c r="Q106" s="70">
        <f t="shared" ca="1" si="37"/>
        <v>0</v>
      </c>
      <c r="R106" s="70">
        <f t="shared" ca="1" si="38"/>
        <v>0</v>
      </c>
      <c r="S106" s="70">
        <f t="shared" ca="1" si="39"/>
        <v>0</v>
      </c>
      <c r="T106" s="70">
        <f t="shared" ca="1" si="40"/>
        <v>0</v>
      </c>
      <c r="U106" s="70">
        <f t="shared" ca="1" si="41"/>
        <v>0</v>
      </c>
      <c r="V106" s="70">
        <f t="shared" ca="1" si="42"/>
        <v>0</v>
      </c>
      <c r="W106" s="70">
        <f t="shared" ca="1" si="43"/>
        <v>0</v>
      </c>
      <c r="X106" s="70">
        <f t="shared" si="44"/>
        <v>0</v>
      </c>
      <c r="Y106" s="70">
        <f t="shared" si="45"/>
        <v>0</v>
      </c>
      <c r="Z106" s="68">
        <f t="shared" si="46"/>
        <v>1</v>
      </c>
      <c r="AA106" s="84">
        <f t="shared" si="47"/>
        <v>0</v>
      </c>
      <c r="AB106" s="488">
        <f t="array" ref="AB106">ROUNDDOWN(AVERAGE(IFERROR(LARGE((X$6:X105+Y$6:Y105)*Z$6:Z105*(G$6:G105=G106), SC_SSCalcYears),0))/(12*Z106),0)</f>
        <v>0</v>
      </c>
      <c r="AC106" s="69">
        <f t="shared" si="48"/>
        <v>1</v>
      </c>
      <c r="AD106" s="85">
        <f t="shared" si="49"/>
        <v>0</v>
      </c>
      <c r="AE106" s="140">
        <f t="shared" ca="1" si="50"/>
        <v>0</v>
      </c>
      <c r="AF106" s="75">
        <f t="shared" ca="1" si="51"/>
        <v>0</v>
      </c>
      <c r="AG106" s="109">
        <f t="shared" ca="1" si="52"/>
        <v>0</v>
      </c>
      <c r="AH106" s="617">
        <f>SUMIFS($AE106:$AE107,SP_PensionPayout,"Lump sum",$E106:$E107,"&lt;&gt;0")</f>
        <v>0</v>
      </c>
      <c r="AI106" s="617">
        <f>SUMIFS($AE106:$AE107,SP_PensionPayout,"Annuity",$E106:$E107,"&lt;&gt;0")</f>
        <v>0</v>
      </c>
      <c r="AJ106" s="617">
        <f>IF(ISBLANK(INDEX(SP_SSPBFA,1)),0,IF($J106&lt;&gt;INDEX(SP_SSPBFA,1),AJ104,SP_AdditionalRI/INDEX(SC_EA_InflationWageIdx,EAIDX)))</f>
        <v>0</v>
      </c>
      <c r="AK106" s="617">
        <f ca="1">SUMPRODUCT(AF106:AF107, --(G106:G107&lt;&gt;0))</f>
        <v>0</v>
      </c>
      <c r="AL106" s="618">
        <f ca="1">SUMPRODUCT(AG106:AG107, --(E106:E107&lt;&gt;0))+AJ106</f>
        <v>0</v>
      </c>
      <c r="AM106" s="186">
        <f t="shared" ca="1" si="53"/>
        <v>0</v>
      </c>
      <c r="AN106" t="str">
        <f t="shared" ca="1" si="54"/>
        <v/>
      </c>
    </row>
    <row r="107" spans="2:40" x14ac:dyDescent="0.25">
      <c r="B107" s="86">
        <f t="shared" si="55"/>
        <v>2004</v>
      </c>
      <c r="C107" s="80" t="s">
        <v>741</v>
      </c>
      <c r="D107" s="147" t="str">
        <f t="shared" si="28"/>
        <v/>
      </c>
      <c r="E107" s="81">
        <f t="shared" si="29"/>
        <v>0</v>
      </c>
      <c r="F107" s="82">
        <f t="shared" si="33"/>
        <v>0</v>
      </c>
      <c r="G107" s="81">
        <f t="shared" si="32"/>
        <v>2</v>
      </c>
      <c r="H107" s="82">
        <f t="shared" si="34"/>
        <v>-1</v>
      </c>
      <c r="I107" s="82">
        <f t="shared" si="30"/>
        <v>0</v>
      </c>
      <c r="J107" s="81">
        <f t="shared" si="35"/>
        <v>0</v>
      </c>
      <c r="K107" s="83">
        <f t="shared" ca="1" si="31"/>
        <v>1</v>
      </c>
      <c r="L107" s="470"/>
      <c r="M107" s="470"/>
      <c r="N107" s="470"/>
      <c r="O107" s="470"/>
      <c r="P107" s="107">
        <f t="shared" ca="1" si="36"/>
        <v>0</v>
      </c>
      <c r="Q107" s="107">
        <f t="shared" ca="1" si="37"/>
        <v>0</v>
      </c>
      <c r="R107" s="107">
        <f t="shared" ca="1" si="38"/>
        <v>0</v>
      </c>
      <c r="S107" s="107">
        <f t="shared" ca="1" si="39"/>
        <v>0</v>
      </c>
      <c r="T107" s="107">
        <f t="shared" ca="1" si="40"/>
        <v>0</v>
      </c>
      <c r="U107" s="107">
        <f t="shared" ca="1" si="41"/>
        <v>0</v>
      </c>
      <c r="V107" s="107">
        <f t="shared" ca="1" si="42"/>
        <v>0</v>
      </c>
      <c r="W107" s="107">
        <f t="shared" ca="1" si="43"/>
        <v>0</v>
      </c>
      <c r="X107" s="107">
        <f t="shared" si="44"/>
        <v>0</v>
      </c>
      <c r="Y107" s="107">
        <f t="shared" si="45"/>
        <v>0</v>
      </c>
      <c r="Z107" s="87">
        <f t="shared" si="46"/>
        <v>1</v>
      </c>
      <c r="AA107" s="88">
        <f t="shared" si="47"/>
        <v>0</v>
      </c>
      <c r="AB107" s="107">
        <f t="array" ref="AB107">ROUNDDOWN(AVERAGE(IFERROR(LARGE((X$6:X106+Y$6:Y106)*Z$6:Z106*(G$6:G106=G107), SC_SSCalcYears),0))/(12*Z107),0)</f>
        <v>0</v>
      </c>
      <c r="AC107" s="211">
        <f t="shared" si="48"/>
        <v>1</v>
      </c>
      <c r="AD107" s="89">
        <f t="shared" si="49"/>
        <v>0</v>
      </c>
      <c r="AE107" s="141">
        <f t="shared" ca="1" si="50"/>
        <v>0</v>
      </c>
      <c r="AF107" s="106">
        <f t="shared" ca="1" si="51"/>
        <v>0</v>
      </c>
      <c r="AG107" s="110">
        <f t="shared" ca="1" si="52"/>
        <v>0</v>
      </c>
      <c r="AH107" s="617"/>
      <c r="AI107" s="617"/>
      <c r="AJ107" s="617"/>
      <c r="AK107" s="617"/>
      <c r="AL107" s="618"/>
      <c r="AM107" s="186">
        <f t="shared" ca="1" si="53"/>
        <v>0</v>
      </c>
      <c r="AN107" t="str">
        <f t="shared" ca="1" si="54"/>
        <v/>
      </c>
    </row>
    <row r="108" spans="2:40" x14ac:dyDescent="0.25">
      <c r="B108" s="65">
        <f t="shared" si="55"/>
        <v>2005</v>
      </c>
      <c r="C108" s="76" t="s">
        <v>741</v>
      </c>
      <c r="D108" s="146" t="str">
        <f t="shared" si="28"/>
        <v/>
      </c>
      <c r="E108" s="77">
        <f t="shared" si="29"/>
        <v>0</v>
      </c>
      <c r="F108" s="77">
        <f t="shared" si="33"/>
        <v>0</v>
      </c>
      <c r="G108" s="77">
        <f t="shared" si="32"/>
        <v>1</v>
      </c>
      <c r="H108" s="76">
        <f t="shared" si="34"/>
        <v>1</v>
      </c>
      <c r="I108" s="76">
        <f t="shared" si="30"/>
        <v>0</v>
      </c>
      <c r="J108" s="77">
        <f t="shared" si="35"/>
        <v>0</v>
      </c>
      <c r="K108" s="78">
        <f t="shared" ca="1" si="31"/>
        <v>1</v>
      </c>
      <c r="L108" s="470"/>
      <c r="M108" s="470"/>
      <c r="N108" s="470"/>
      <c r="O108" s="470"/>
      <c r="P108" s="70">
        <f t="shared" ca="1" si="36"/>
        <v>0</v>
      </c>
      <c r="Q108" s="70">
        <f t="shared" ca="1" si="37"/>
        <v>0</v>
      </c>
      <c r="R108" s="70">
        <f t="shared" ca="1" si="38"/>
        <v>0</v>
      </c>
      <c r="S108" s="70">
        <f t="shared" ca="1" si="39"/>
        <v>0</v>
      </c>
      <c r="T108" s="70">
        <f t="shared" ca="1" si="40"/>
        <v>0</v>
      </c>
      <c r="U108" s="70">
        <f t="shared" ca="1" si="41"/>
        <v>0</v>
      </c>
      <c r="V108" s="70">
        <f t="shared" ca="1" si="42"/>
        <v>0</v>
      </c>
      <c r="W108" s="70">
        <f t="shared" ca="1" si="43"/>
        <v>0</v>
      </c>
      <c r="X108" s="70">
        <f t="shared" si="44"/>
        <v>0</v>
      </c>
      <c r="Y108" s="70">
        <f t="shared" si="45"/>
        <v>0</v>
      </c>
      <c r="Z108" s="68">
        <f t="shared" si="46"/>
        <v>1</v>
      </c>
      <c r="AA108" s="84">
        <f t="shared" si="47"/>
        <v>0</v>
      </c>
      <c r="AB108" s="488">
        <f t="array" ref="AB108">ROUNDDOWN(AVERAGE(IFERROR(LARGE((X$6:X107+Y$6:Y107)*Z$6:Z107*(G$6:G107=G108), SC_SSCalcYears),0))/(12*Z108),0)</f>
        <v>0</v>
      </c>
      <c r="AC108" s="69">
        <f t="shared" si="48"/>
        <v>1</v>
      </c>
      <c r="AD108" s="85">
        <f t="shared" si="49"/>
        <v>0</v>
      </c>
      <c r="AE108" s="140">
        <f t="shared" ca="1" si="50"/>
        <v>0</v>
      </c>
      <c r="AF108" s="75">
        <f t="shared" ca="1" si="51"/>
        <v>0</v>
      </c>
      <c r="AG108" s="109">
        <f t="shared" ca="1" si="52"/>
        <v>0</v>
      </c>
      <c r="AH108" s="617">
        <f>SUMIFS($AE108:$AE109,SP_PensionPayout,"Lump sum",$E108:$E109,"&lt;&gt;0")</f>
        <v>0</v>
      </c>
      <c r="AI108" s="617">
        <f>SUMIFS($AE108:$AE109,SP_PensionPayout,"Annuity",$E108:$E109,"&lt;&gt;0")</f>
        <v>0</v>
      </c>
      <c r="AJ108" s="617">
        <f>IF(ISBLANK(INDEX(SP_SSPBFA,1)),0,IF($J108&lt;&gt;INDEX(SP_SSPBFA,1),AJ106,SP_AdditionalRI/INDEX(SC_EA_InflationWageIdx,EAIDX)))</f>
        <v>0</v>
      </c>
      <c r="AK108" s="617">
        <f ca="1">SUMPRODUCT(AF108:AF109, --(G108:G109&lt;&gt;0))</f>
        <v>0</v>
      </c>
      <c r="AL108" s="618">
        <f ca="1">SUMPRODUCT(AG108:AG109, --(E108:E109&lt;&gt;0))+AJ108</f>
        <v>0</v>
      </c>
      <c r="AM108" s="186">
        <f t="shared" ca="1" si="53"/>
        <v>0</v>
      </c>
      <c r="AN108" t="str">
        <f t="shared" ca="1" si="54"/>
        <v/>
      </c>
    </row>
    <row r="109" spans="2:40" x14ac:dyDescent="0.25">
      <c r="B109" s="86">
        <f t="shared" si="55"/>
        <v>2005</v>
      </c>
      <c r="C109" s="80" t="s">
        <v>741</v>
      </c>
      <c r="D109" s="147" t="str">
        <f t="shared" si="28"/>
        <v/>
      </c>
      <c r="E109" s="81">
        <f t="shared" si="29"/>
        <v>0</v>
      </c>
      <c r="F109" s="82">
        <f t="shared" si="33"/>
        <v>0</v>
      </c>
      <c r="G109" s="81">
        <f t="shared" si="32"/>
        <v>2</v>
      </c>
      <c r="H109" s="82">
        <f t="shared" si="34"/>
        <v>-1</v>
      </c>
      <c r="I109" s="82">
        <f t="shared" si="30"/>
        <v>0</v>
      </c>
      <c r="J109" s="81">
        <f t="shared" si="35"/>
        <v>0</v>
      </c>
      <c r="K109" s="83">
        <f t="shared" ca="1" si="31"/>
        <v>1</v>
      </c>
      <c r="L109" s="470"/>
      <c r="M109" s="470"/>
      <c r="N109" s="470"/>
      <c r="O109" s="470"/>
      <c r="P109" s="107">
        <f t="shared" ca="1" si="36"/>
        <v>0</v>
      </c>
      <c r="Q109" s="107">
        <f t="shared" ca="1" si="37"/>
        <v>0</v>
      </c>
      <c r="R109" s="107">
        <f t="shared" ca="1" si="38"/>
        <v>0</v>
      </c>
      <c r="S109" s="107">
        <f t="shared" ca="1" si="39"/>
        <v>0</v>
      </c>
      <c r="T109" s="107">
        <f t="shared" ca="1" si="40"/>
        <v>0</v>
      </c>
      <c r="U109" s="107">
        <f t="shared" ca="1" si="41"/>
        <v>0</v>
      </c>
      <c r="V109" s="107">
        <f t="shared" ca="1" si="42"/>
        <v>0</v>
      </c>
      <c r="W109" s="107">
        <f t="shared" ca="1" si="43"/>
        <v>0</v>
      </c>
      <c r="X109" s="107">
        <f t="shared" si="44"/>
        <v>0</v>
      </c>
      <c r="Y109" s="107">
        <f t="shared" si="45"/>
        <v>0</v>
      </c>
      <c r="Z109" s="87">
        <f t="shared" si="46"/>
        <v>1</v>
      </c>
      <c r="AA109" s="88">
        <f t="shared" si="47"/>
        <v>0</v>
      </c>
      <c r="AB109" s="107">
        <f t="array" ref="AB109">ROUNDDOWN(AVERAGE(IFERROR(LARGE((X$6:X108+Y$6:Y108)*Z$6:Z108*(G$6:G108=G109), SC_SSCalcYears),0))/(12*Z109),0)</f>
        <v>0</v>
      </c>
      <c r="AC109" s="211">
        <f t="shared" si="48"/>
        <v>1</v>
      </c>
      <c r="AD109" s="89">
        <f t="shared" si="49"/>
        <v>0</v>
      </c>
      <c r="AE109" s="141">
        <f t="shared" ca="1" si="50"/>
        <v>0</v>
      </c>
      <c r="AF109" s="106">
        <f t="shared" ca="1" si="51"/>
        <v>0</v>
      </c>
      <c r="AG109" s="110">
        <f t="shared" ca="1" si="52"/>
        <v>0</v>
      </c>
      <c r="AH109" s="617"/>
      <c r="AI109" s="617"/>
      <c r="AJ109" s="617"/>
      <c r="AK109" s="617"/>
      <c r="AL109" s="618"/>
      <c r="AM109" s="186">
        <f t="shared" ca="1" si="53"/>
        <v>0</v>
      </c>
      <c r="AN109" t="str">
        <f t="shared" ca="1" si="54"/>
        <v/>
      </c>
    </row>
    <row r="110" spans="2:40" x14ac:dyDescent="0.25">
      <c r="B110" s="65">
        <f t="shared" si="55"/>
        <v>2006</v>
      </c>
      <c r="C110" s="76" t="s">
        <v>741</v>
      </c>
      <c r="D110" s="146" t="str">
        <f t="shared" si="28"/>
        <v/>
      </c>
      <c r="E110" s="77">
        <f t="shared" si="29"/>
        <v>0</v>
      </c>
      <c r="F110" s="77">
        <f t="shared" si="33"/>
        <v>0</v>
      </c>
      <c r="G110" s="77">
        <f t="shared" si="32"/>
        <v>1</v>
      </c>
      <c r="H110" s="76">
        <f t="shared" si="34"/>
        <v>1</v>
      </c>
      <c r="I110" s="76">
        <f t="shared" si="30"/>
        <v>0</v>
      </c>
      <c r="J110" s="77">
        <f t="shared" si="35"/>
        <v>0</v>
      </c>
      <c r="K110" s="78">
        <f t="shared" ca="1" si="31"/>
        <v>1</v>
      </c>
      <c r="L110" s="470"/>
      <c r="M110" s="470"/>
      <c r="N110" s="470"/>
      <c r="O110" s="470"/>
      <c r="P110" s="70">
        <f t="shared" ca="1" si="36"/>
        <v>0</v>
      </c>
      <c r="Q110" s="70">
        <f t="shared" ca="1" si="37"/>
        <v>0</v>
      </c>
      <c r="R110" s="70">
        <f t="shared" ca="1" si="38"/>
        <v>0</v>
      </c>
      <c r="S110" s="70">
        <f t="shared" ca="1" si="39"/>
        <v>0</v>
      </c>
      <c r="T110" s="70">
        <f t="shared" ca="1" si="40"/>
        <v>0</v>
      </c>
      <c r="U110" s="70">
        <f t="shared" ca="1" si="41"/>
        <v>0</v>
      </c>
      <c r="V110" s="70">
        <f t="shared" ca="1" si="42"/>
        <v>0</v>
      </c>
      <c r="W110" s="70">
        <f t="shared" ca="1" si="43"/>
        <v>0</v>
      </c>
      <c r="X110" s="70">
        <f t="shared" si="44"/>
        <v>0</v>
      </c>
      <c r="Y110" s="70">
        <f t="shared" si="45"/>
        <v>0</v>
      </c>
      <c r="Z110" s="68">
        <f t="shared" si="46"/>
        <v>1</v>
      </c>
      <c r="AA110" s="84">
        <f t="shared" si="47"/>
        <v>0</v>
      </c>
      <c r="AB110" s="488">
        <f t="array" ref="AB110">ROUNDDOWN(AVERAGE(IFERROR(LARGE((X$6:X109+Y$6:Y109)*Z$6:Z109*(G$6:G109=G110), SC_SSCalcYears),0))/(12*Z110),0)</f>
        <v>0</v>
      </c>
      <c r="AC110" s="69">
        <f t="shared" si="48"/>
        <v>1</v>
      </c>
      <c r="AD110" s="85">
        <f t="shared" si="49"/>
        <v>0</v>
      </c>
      <c r="AE110" s="140">
        <f t="shared" ca="1" si="50"/>
        <v>0</v>
      </c>
      <c r="AF110" s="75">
        <f t="shared" ca="1" si="51"/>
        <v>0</v>
      </c>
      <c r="AG110" s="109">
        <f t="shared" ca="1" si="52"/>
        <v>0</v>
      </c>
      <c r="AH110" s="617">
        <f>SUMIFS($AE110:$AE111,SP_PensionPayout,"Lump sum",$E110:$E111,"&lt;&gt;0")</f>
        <v>0</v>
      </c>
      <c r="AI110" s="617">
        <f>SUMIFS($AE110:$AE111,SP_PensionPayout,"Annuity",$E110:$E111,"&lt;&gt;0")</f>
        <v>0</v>
      </c>
      <c r="AJ110" s="617">
        <f>IF(ISBLANK(INDEX(SP_SSPBFA,1)),0,IF($J110&lt;&gt;INDEX(SP_SSPBFA,1),AJ108,SP_AdditionalRI/INDEX(SC_EA_InflationWageIdx,EAIDX)))</f>
        <v>0</v>
      </c>
      <c r="AK110" s="617">
        <f ca="1">SUMPRODUCT(AF110:AF111, --(G110:G111&lt;&gt;0))</f>
        <v>0</v>
      </c>
      <c r="AL110" s="618">
        <f ca="1">SUMPRODUCT(AG110:AG111, --(E110:E111&lt;&gt;0))+AJ110</f>
        <v>0</v>
      </c>
      <c r="AM110" s="186">
        <f t="shared" ca="1" si="53"/>
        <v>0</v>
      </c>
      <c r="AN110" t="str">
        <f t="shared" ca="1" si="54"/>
        <v/>
      </c>
    </row>
    <row r="111" spans="2:40" x14ac:dyDescent="0.25">
      <c r="B111" s="86">
        <f t="shared" si="55"/>
        <v>2006</v>
      </c>
      <c r="C111" s="80" t="s">
        <v>741</v>
      </c>
      <c r="D111" s="147" t="str">
        <f t="shared" si="28"/>
        <v/>
      </c>
      <c r="E111" s="81">
        <f t="shared" si="29"/>
        <v>0</v>
      </c>
      <c r="F111" s="82">
        <f t="shared" si="33"/>
        <v>0</v>
      </c>
      <c r="G111" s="81">
        <f t="shared" si="32"/>
        <v>2</v>
      </c>
      <c r="H111" s="82">
        <f t="shared" si="34"/>
        <v>-1</v>
      </c>
      <c r="I111" s="82">
        <f t="shared" si="30"/>
        <v>0</v>
      </c>
      <c r="J111" s="81">
        <f t="shared" si="35"/>
        <v>0</v>
      </c>
      <c r="K111" s="83">
        <f t="shared" ca="1" si="31"/>
        <v>1</v>
      </c>
      <c r="L111" s="470"/>
      <c r="M111" s="470"/>
      <c r="N111" s="470"/>
      <c r="O111" s="470"/>
      <c r="P111" s="107">
        <f t="shared" ca="1" si="36"/>
        <v>0</v>
      </c>
      <c r="Q111" s="107">
        <f t="shared" ca="1" si="37"/>
        <v>0</v>
      </c>
      <c r="R111" s="107">
        <f t="shared" ca="1" si="38"/>
        <v>0</v>
      </c>
      <c r="S111" s="107">
        <f t="shared" ca="1" si="39"/>
        <v>0</v>
      </c>
      <c r="T111" s="107">
        <f t="shared" ca="1" si="40"/>
        <v>0</v>
      </c>
      <c r="U111" s="107">
        <f t="shared" ca="1" si="41"/>
        <v>0</v>
      </c>
      <c r="V111" s="107">
        <f t="shared" ca="1" si="42"/>
        <v>0</v>
      </c>
      <c r="W111" s="107">
        <f t="shared" ca="1" si="43"/>
        <v>0</v>
      </c>
      <c r="X111" s="107">
        <f t="shared" si="44"/>
        <v>0</v>
      </c>
      <c r="Y111" s="107">
        <f t="shared" si="45"/>
        <v>0</v>
      </c>
      <c r="Z111" s="87">
        <f t="shared" si="46"/>
        <v>1</v>
      </c>
      <c r="AA111" s="88">
        <f t="shared" si="47"/>
        <v>0</v>
      </c>
      <c r="AB111" s="107">
        <f t="array" ref="AB111">ROUNDDOWN(AVERAGE(IFERROR(LARGE((X$6:X110+Y$6:Y110)*Z$6:Z110*(G$6:G110=G111), SC_SSCalcYears),0))/(12*Z111),0)</f>
        <v>0</v>
      </c>
      <c r="AC111" s="211">
        <f t="shared" si="48"/>
        <v>1</v>
      </c>
      <c r="AD111" s="89">
        <f t="shared" si="49"/>
        <v>0</v>
      </c>
      <c r="AE111" s="141">
        <f t="shared" ca="1" si="50"/>
        <v>0</v>
      </c>
      <c r="AF111" s="106">
        <f t="shared" ca="1" si="51"/>
        <v>0</v>
      </c>
      <c r="AG111" s="110">
        <f t="shared" ca="1" si="52"/>
        <v>0</v>
      </c>
      <c r="AH111" s="617"/>
      <c r="AI111" s="617"/>
      <c r="AJ111" s="617"/>
      <c r="AK111" s="617"/>
      <c r="AL111" s="618"/>
      <c r="AM111" s="186">
        <f t="shared" ca="1" si="53"/>
        <v>0</v>
      </c>
      <c r="AN111" t="str">
        <f t="shared" ca="1" si="54"/>
        <v/>
      </c>
    </row>
    <row r="112" spans="2:40" x14ac:dyDescent="0.25">
      <c r="B112" s="65">
        <f t="shared" si="55"/>
        <v>2007</v>
      </c>
      <c r="C112" s="76" t="s">
        <v>741</v>
      </c>
      <c r="D112" s="146" t="str">
        <f t="shared" si="28"/>
        <v/>
      </c>
      <c r="E112" s="77">
        <f t="shared" si="29"/>
        <v>0</v>
      </c>
      <c r="F112" s="77">
        <f t="shared" si="33"/>
        <v>0</v>
      </c>
      <c r="G112" s="77">
        <f t="shared" si="32"/>
        <v>1</v>
      </c>
      <c r="H112" s="76">
        <f t="shared" si="34"/>
        <v>1</v>
      </c>
      <c r="I112" s="76">
        <f t="shared" si="30"/>
        <v>0</v>
      </c>
      <c r="J112" s="77">
        <f t="shared" si="35"/>
        <v>0</v>
      </c>
      <c r="K112" s="78">
        <f t="shared" ca="1" si="31"/>
        <v>1</v>
      </c>
      <c r="L112" s="470"/>
      <c r="M112" s="470"/>
      <c r="N112" s="470"/>
      <c r="O112" s="470"/>
      <c r="P112" s="70">
        <f t="shared" ca="1" si="36"/>
        <v>0</v>
      </c>
      <c r="Q112" s="70">
        <f t="shared" ca="1" si="37"/>
        <v>0</v>
      </c>
      <c r="R112" s="70">
        <f t="shared" ca="1" si="38"/>
        <v>0</v>
      </c>
      <c r="S112" s="70">
        <f t="shared" ca="1" si="39"/>
        <v>0</v>
      </c>
      <c r="T112" s="70">
        <f t="shared" ca="1" si="40"/>
        <v>0</v>
      </c>
      <c r="U112" s="70">
        <f t="shared" ca="1" si="41"/>
        <v>0</v>
      </c>
      <c r="V112" s="70">
        <f t="shared" ca="1" si="42"/>
        <v>0</v>
      </c>
      <c r="W112" s="70">
        <f t="shared" ca="1" si="43"/>
        <v>0</v>
      </c>
      <c r="X112" s="70">
        <f t="shared" si="44"/>
        <v>0</v>
      </c>
      <c r="Y112" s="70">
        <f t="shared" si="45"/>
        <v>0</v>
      </c>
      <c r="Z112" s="68">
        <f t="shared" si="46"/>
        <v>1</v>
      </c>
      <c r="AA112" s="84">
        <f t="shared" si="47"/>
        <v>0</v>
      </c>
      <c r="AB112" s="488">
        <f t="array" ref="AB112">ROUNDDOWN(AVERAGE(IFERROR(LARGE((X$6:X111+Y$6:Y111)*Z$6:Z111*(G$6:G111=G112), SC_SSCalcYears),0))/(12*Z112),0)</f>
        <v>0</v>
      </c>
      <c r="AC112" s="69">
        <f t="shared" si="48"/>
        <v>1</v>
      </c>
      <c r="AD112" s="85">
        <f t="shared" si="49"/>
        <v>0</v>
      </c>
      <c r="AE112" s="140">
        <f t="shared" ca="1" si="50"/>
        <v>0</v>
      </c>
      <c r="AF112" s="75">
        <f t="shared" ca="1" si="51"/>
        <v>0</v>
      </c>
      <c r="AG112" s="109">
        <f t="shared" ca="1" si="52"/>
        <v>0</v>
      </c>
      <c r="AH112" s="617">
        <f>SUMIFS($AE112:$AE113,SP_PensionPayout,"Lump sum",$E112:$E113,"&lt;&gt;0")</f>
        <v>0</v>
      </c>
      <c r="AI112" s="617">
        <f>SUMIFS($AE112:$AE113,SP_PensionPayout,"Annuity",$E112:$E113,"&lt;&gt;0")</f>
        <v>0</v>
      </c>
      <c r="AJ112" s="617">
        <f>IF(ISBLANK(INDEX(SP_SSPBFA,1)),0,IF($J112&lt;&gt;INDEX(SP_SSPBFA,1),AJ110,SP_AdditionalRI/INDEX(SC_EA_InflationWageIdx,EAIDX)))</f>
        <v>0</v>
      </c>
      <c r="AK112" s="617">
        <f ca="1">SUMPRODUCT(AF112:AF113, --(G112:G113&lt;&gt;0))</f>
        <v>0</v>
      </c>
      <c r="AL112" s="618">
        <f ca="1">SUMPRODUCT(AG112:AG113, --(E112:E113&lt;&gt;0))+AJ112</f>
        <v>0</v>
      </c>
      <c r="AM112" s="186">
        <f t="shared" ca="1" si="53"/>
        <v>0</v>
      </c>
      <c r="AN112" t="str">
        <f t="shared" ca="1" si="54"/>
        <v/>
      </c>
    </row>
    <row r="113" spans="2:40" x14ac:dyDescent="0.25">
      <c r="B113" s="86">
        <f t="shared" si="55"/>
        <v>2007</v>
      </c>
      <c r="C113" s="80" t="s">
        <v>741</v>
      </c>
      <c r="D113" s="147" t="str">
        <f t="shared" si="28"/>
        <v/>
      </c>
      <c r="E113" s="81">
        <f t="shared" si="29"/>
        <v>0</v>
      </c>
      <c r="F113" s="82">
        <f t="shared" si="33"/>
        <v>0</v>
      </c>
      <c r="G113" s="81">
        <f t="shared" si="32"/>
        <v>2</v>
      </c>
      <c r="H113" s="82">
        <f t="shared" si="34"/>
        <v>-1</v>
      </c>
      <c r="I113" s="82">
        <f t="shared" si="30"/>
        <v>0</v>
      </c>
      <c r="J113" s="81">
        <f t="shared" si="35"/>
        <v>0</v>
      </c>
      <c r="K113" s="83">
        <f t="shared" ca="1" si="31"/>
        <v>1</v>
      </c>
      <c r="L113" s="470"/>
      <c r="M113" s="470"/>
      <c r="N113" s="470"/>
      <c r="O113" s="470"/>
      <c r="P113" s="107">
        <f t="shared" ca="1" si="36"/>
        <v>0</v>
      </c>
      <c r="Q113" s="107">
        <f t="shared" ca="1" si="37"/>
        <v>0</v>
      </c>
      <c r="R113" s="107">
        <f t="shared" ca="1" si="38"/>
        <v>0</v>
      </c>
      <c r="S113" s="107">
        <f t="shared" ca="1" si="39"/>
        <v>0</v>
      </c>
      <c r="T113" s="107">
        <f t="shared" ca="1" si="40"/>
        <v>0</v>
      </c>
      <c r="U113" s="107">
        <f t="shared" ca="1" si="41"/>
        <v>0</v>
      </c>
      <c r="V113" s="107">
        <f t="shared" ca="1" si="42"/>
        <v>0</v>
      </c>
      <c r="W113" s="107">
        <f t="shared" ca="1" si="43"/>
        <v>0</v>
      </c>
      <c r="X113" s="107">
        <f t="shared" si="44"/>
        <v>0</v>
      </c>
      <c r="Y113" s="107">
        <f t="shared" si="45"/>
        <v>0</v>
      </c>
      <c r="Z113" s="87">
        <f t="shared" si="46"/>
        <v>1</v>
      </c>
      <c r="AA113" s="88">
        <f t="shared" si="47"/>
        <v>0</v>
      </c>
      <c r="AB113" s="107">
        <f t="array" ref="AB113">ROUNDDOWN(AVERAGE(IFERROR(LARGE((X$6:X112+Y$6:Y112)*Z$6:Z112*(G$6:G112=G113), SC_SSCalcYears),0))/(12*Z113),0)</f>
        <v>0</v>
      </c>
      <c r="AC113" s="211">
        <f t="shared" si="48"/>
        <v>1</v>
      </c>
      <c r="AD113" s="89">
        <f t="shared" si="49"/>
        <v>0</v>
      </c>
      <c r="AE113" s="141">
        <f t="shared" ca="1" si="50"/>
        <v>0</v>
      </c>
      <c r="AF113" s="106">
        <f t="shared" ca="1" si="51"/>
        <v>0</v>
      </c>
      <c r="AG113" s="110">
        <f t="shared" ca="1" si="52"/>
        <v>0</v>
      </c>
      <c r="AH113" s="617"/>
      <c r="AI113" s="617"/>
      <c r="AJ113" s="617"/>
      <c r="AK113" s="617"/>
      <c r="AL113" s="618"/>
      <c r="AM113" s="186">
        <f t="shared" ca="1" si="53"/>
        <v>0</v>
      </c>
      <c r="AN113" t="str">
        <f t="shared" ca="1" si="54"/>
        <v/>
      </c>
    </row>
    <row r="114" spans="2:40" x14ac:dyDescent="0.25">
      <c r="B114" s="65">
        <f t="shared" si="55"/>
        <v>2008</v>
      </c>
      <c r="C114" s="76" t="s">
        <v>741</v>
      </c>
      <c r="D114" s="146" t="str">
        <f t="shared" si="28"/>
        <v/>
      </c>
      <c r="E114" s="77">
        <f t="shared" si="29"/>
        <v>0</v>
      </c>
      <c r="F114" s="77">
        <f t="shared" si="33"/>
        <v>0</v>
      </c>
      <c r="G114" s="77">
        <f t="shared" si="32"/>
        <v>1</v>
      </c>
      <c r="H114" s="76">
        <f t="shared" si="34"/>
        <v>1</v>
      </c>
      <c r="I114" s="76">
        <f t="shared" si="30"/>
        <v>0</v>
      </c>
      <c r="J114" s="77">
        <f t="shared" si="35"/>
        <v>0</v>
      </c>
      <c r="K114" s="78">
        <f t="shared" ca="1" si="31"/>
        <v>1</v>
      </c>
      <c r="L114" s="470"/>
      <c r="M114" s="470"/>
      <c r="N114" s="470"/>
      <c r="O114" s="470"/>
      <c r="P114" s="70">
        <f t="shared" ca="1" si="36"/>
        <v>0</v>
      </c>
      <c r="Q114" s="70">
        <f t="shared" ca="1" si="37"/>
        <v>0</v>
      </c>
      <c r="R114" s="70">
        <f t="shared" ca="1" si="38"/>
        <v>0</v>
      </c>
      <c r="S114" s="70">
        <f t="shared" ca="1" si="39"/>
        <v>0</v>
      </c>
      <c r="T114" s="70">
        <f t="shared" ca="1" si="40"/>
        <v>0</v>
      </c>
      <c r="U114" s="70">
        <f t="shared" ca="1" si="41"/>
        <v>0</v>
      </c>
      <c r="V114" s="70">
        <f t="shared" ca="1" si="42"/>
        <v>0</v>
      </c>
      <c r="W114" s="70">
        <f t="shared" ca="1" si="43"/>
        <v>0</v>
      </c>
      <c r="X114" s="70">
        <f t="shared" si="44"/>
        <v>0</v>
      </c>
      <c r="Y114" s="70">
        <f t="shared" si="45"/>
        <v>0</v>
      </c>
      <c r="Z114" s="68">
        <f t="shared" si="46"/>
        <v>1</v>
      </c>
      <c r="AA114" s="84">
        <f t="shared" si="47"/>
        <v>0</v>
      </c>
      <c r="AB114" s="488">
        <f t="array" ref="AB114">ROUNDDOWN(AVERAGE(IFERROR(LARGE((X$6:X113+Y$6:Y113)*Z$6:Z113*(G$6:G113=G114), SC_SSCalcYears),0))/(12*Z114),0)</f>
        <v>0</v>
      </c>
      <c r="AC114" s="69">
        <f t="shared" si="48"/>
        <v>1</v>
      </c>
      <c r="AD114" s="85">
        <f t="shared" si="49"/>
        <v>0</v>
      </c>
      <c r="AE114" s="140">
        <f t="shared" ca="1" si="50"/>
        <v>0</v>
      </c>
      <c r="AF114" s="75">
        <f t="shared" ca="1" si="51"/>
        <v>0</v>
      </c>
      <c r="AG114" s="109">
        <f t="shared" ca="1" si="52"/>
        <v>0</v>
      </c>
      <c r="AH114" s="617">
        <f>SUMIFS($AE114:$AE115,SP_PensionPayout,"Lump sum",$E114:$E115,"&lt;&gt;0")</f>
        <v>0</v>
      </c>
      <c r="AI114" s="617">
        <f>SUMIFS($AE114:$AE115,SP_PensionPayout,"Annuity",$E114:$E115,"&lt;&gt;0")</f>
        <v>0</v>
      </c>
      <c r="AJ114" s="617">
        <f>IF(ISBLANK(INDEX(SP_SSPBFA,1)),0,IF($J114&lt;&gt;INDEX(SP_SSPBFA,1),AJ112,SP_AdditionalRI/INDEX(SC_EA_InflationWageIdx,EAIDX)))</f>
        <v>0</v>
      </c>
      <c r="AK114" s="617">
        <f ca="1">SUMPRODUCT(AF114:AF115, --(G114:G115&lt;&gt;0))</f>
        <v>0</v>
      </c>
      <c r="AL114" s="618">
        <f ca="1">SUMPRODUCT(AG114:AG115, --(E114:E115&lt;&gt;0))+AJ114</f>
        <v>0</v>
      </c>
      <c r="AM114" s="186">
        <f t="shared" ca="1" si="53"/>
        <v>0</v>
      </c>
      <c r="AN114" t="str">
        <f t="shared" ca="1" si="54"/>
        <v/>
      </c>
    </row>
    <row r="115" spans="2:40" x14ac:dyDescent="0.25">
      <c r="B115" s="86">
        <f t="shared" si="55"/>
        <v>2008</v>
      </c>
      <c r="C115" s="80" t="s">
        <v>741</v>
      </c>
      <c r="D115" s="147" t="str">
        <f t="shared" si="28"/>
        <v/>
      </c>
      <c r="E115" s="81">
        <f t="shared" si="29"/>
        <v>0</v>
      </c>
      <c r="F115" s="82">
        <f t="shared" si="33"/>
        <v>0</v>
      </c>
      <c r="G115" s="81">
        <f t="shared" si="32"/>
        <v>2</v>
      </c>
      <c r="H115" s="82">
        <f t="shared" si="34"/>
        <v>-1</v>
      </c>
      <c r="I115" s="82">
        <f t="shared" si="30"/>
        <v>0</v>
      </c>
      <c r="J115" s="81">
        <f t="shared" si="35"/>
        <v>0</v>
      </c>
      <c r="K115" s="83">
        <f t="shared" ca="1" si="31"/>
        <v>1</v>
      </c>
      <c r="L115" s="470"/>
      <c r="M115" s="470"/>
      <c r="N115" s="470"/>
      <c r="O115" s="470"/>
      <c r="P115" s="107">
        <f t="shared" ca="1" si="36"/>
        <v>0</v>
      </c>
      <c r="Q115" s="107">
        <f t="shared" ca="1" si="37"/>
        <v>0</v>
      </c>
      <c r="R115" s="107">
        <f t="shared" ca="1" si="38"/>
        <v>0</v>
      </c>
      <c r="S115" s="107">
        <f t="shared" ca="1" si="39"/>
        <v>0</v>
      </c>
      <c r="T115" s="107">
        <f t="shared" ca="1" si="40"/>
        <v>0</v>
      </c>
      <c r="U115" s="107">
        <f t="shared" ca="1" si="41"/>
        <v>0</v>
      </c>
      <c r="V115" s="107">
        <f t="shared" ca="1" si="42"/>
        <v>0</v>
      </c>
      <c r="W115" s="107">
        <f t="shared" ca="1" si="43"/>
        <v>0</v>
      </c>
      <c r="X115" s="107">
        <f t="shared" si="44"/>
        <v>0</v>
      </c>
      <c r="Y115" s="107">
        <f t="shared" si="45"/>
        <v>0</v>
      </c>
      <c r="Z115" s="87">
        <f t="shared" si="46"/>
        <v>1</v>
      </c>
      <c r="AA115" s="88">
        <f t="shared" si="47"/>
        <v>0</v>
      </c>
      <c r="AB115" s="107">
        <f t="array" ref="AB115">ROUNDDOWN(AVERAGE(IFERROR(LARGE((X$6:X114+Y$6:Y114)*Z$6:Z114*(G$6:G114=G115), SC_SSCalcYears),0))/(12*Z115),0)</f>
        <v>0</v>
      </c>
      <c r="AC115" s="211">
        <f t="shared" si="48"/>
        <v>1</v>
      </c>
      <c r="AD115" s="89">
        <f t="shared" si="49"/>
        <v>0</v>
      </c>
      <c r="AE115" s="141">
        <f t="shared" ca="1" si="50"/>
        <v>0</v>
      </c>
      <c r="AF115" s="106">
        <f t="shared" ca="1" si="51"/>
        <v>0</v>
      </c>
      <c r="AG115" s="110">
        <f t="shared" ca="1" si="52"/>
        <v>0</v>
      </c>
      <c r="AH115" s="617"/>
      <c r="AI115" s="617"/>
      <c r="AJ115" s="617"/>
      <c r="AK115" s="617"/>
      <c r="AL115" s="618"/>
      <c r="AM115" s="186">
        <f t="shared" ca="1" si="53"/>
        <v>0</v>
      </c>
      <c r="AN115" t="str">
        <f t="shared" ca="1" si="54"/>
        <v/>
      </c>
    </row>
    <row r="116" spans="2:40" x14ac:dyDescent="0.25">
      <c r="B116" s="65">
        <f t="shared" si="55"/>
        <v>2009</v>
      </c>
      <c r="C116" s="76" t="s">
        <v>741</v>
      </c>
      <c r="D116" s="146" t="str">
        <f t="shared" si="28"/>
        <v/>
      </c>
      <c r="E116" s="77">
        <f t="shared" si="29"/>
        <v>0</v>
      </c>
      <c r="F116" s="77">
        <f t="shared" si="33"/>
        <v>0</v>
      </c>
      <c r="G116" s="77">
        <f t="shared" si="32"/>
        <v>1</v>
      </c>
      <c r="H116" s="76">
        <f t="shared" si="34"/>
        <v>1</v>
      </c>
      <c r="I116" s="76">
        <f t="shared" si="30"/>
        <v>0</v>
      </c>
      <c r="J116" s="77">
        <f t="shared" si="35"/>
        <v>0</v>
      </c>
      <c r="K116" s="78">
        <f t="shared" ca="1" si="31"/>
        <v>1</v>
      </c>
      <c r="L116" s="470"/>
      <c r="M116" s="470"/>
      <c r="N116" s="470"/>
      <c r="O116" s="470"/>
      <c r="P116" s="70">
        <f t="shared" ca="1" si="36"/>
        <v>0</v>
      </c>
      <c r="Q116" s="70">
        <f t="shared" ca="1" si="37"/>
        <v>0</v>
      </c>
      <c r="R116" s="70">
        <f t="shared" ca="1" si="38"/>
        <v>0</v>
      </c>
      <c r="S116" s="70">
        <f t="shared" ca="1" si="39"/>
        <v>0</v>
      </c>
      <c r="T116" s="70">
        <f t="shared" ca="1" si="40"/>
        <v>0</v>
      </c>
      <c r="U116" s="70">
        <f t="shared" ca="1" si="41"/>
        <v>0</v>
      </c>
      <c r="V116" s="70">
        <f t="shared" ca="1" si="42"/>
        <v>0</v>
      </c>
      <c r="W116" s="70">
        <f t="shared" ca="1" si="43"/>
        <v>0</v>
      </c>
      <c r="X116" s="70">
        <f t="shared" si="44"/>
        <v>0</v>
      </c>
      <c r="Y116" s="70">
        <f t="shared" si="45"/>
        <v>0</v>
      </c>
      <c r="Z116" s="68">
        <f t="shared" si="46"/>
        <v>1</v>
      </c>
      <c r="AA116" s="84">
        <f t="shared" si="47"/>
        <v>0</v>
      </c>
      <c r="AB116" s="488">
        <f t="array" ref="AB116">ROUNDDOWN(AVERAGE(IFERROR(LARGE((X$6:X115+Y$6:Y115)*Z$6:Z115*(G$6:G115=G116), SC_SSCalcYears),0))/(12*Z116),0)</f>
        <v>0</v>
      </c>
      <c r="AC116" s="69">
        <f t="shared" si="48"/>
        <v>1</v>
      </c>
      <c r="AD116" s="85">
        <f t="shared" si="49"/>
        <v>0</v>
      </c>
      <c r="AE116" s="140">
        <f t="shared" ca="1" si="50"/>
        <v>0</v>
      </c>
      <c r="AF116" s="75">
        <f t="shared" ca="1" si="51"/>
        <v>0</v>
      </c>
      <c r="AG116" s="109">
        <f t="shared" ca="1" si="52"/>
        <v>0</v>
      </c>
      <c r="AH116" s="617">
        <f>SUMIFS($AE116:$AE117,SP_PensionPayout,"Lump sum",$E116:$E117,"&lt;&gt;0")</f>
        <v>0</v>
      </c>
      <c r="AI116" s="617">
        <f>SUMIFS($AE116:$AE117,SP_PensionPayout,"Annuity",$E116:$E117,"&lt;&gt;0")</f>
        <v>0</v>
      </c>
      <c r="AJ116" s="617">
        <f>IF(ISBLANK(INDEX(SP_SSPBFA,1)),0,IF($J116&lt;&gt;INDEX(SP_SSPBFA,1),AJ114,SP_AdditionalRI/INDEX(SC_EA_InflationWageIdx,EAIDX)))</f>
        <v>0</v>
      </c>
      <c r="AK116" s="617">
        <f ca="1">SUMPRODUCT(AF116:AF117, --(G116:G117&lt;&gt;0))</f>
        <v>0</v>
      </c>
      <c r="AL116" s="618">
        <f ca="1">SUMPRODUCT(AG116:AG117, --(E116:E117&lt;&gt;0))+AJ116</f>
        <v>0</v>
      </c>
      <c r="AM116" s="186">
        <f t="shared" ca="1" si="53"/>
        <v>0</v>
      </c>
      <c r="AN116" t="str">
        <f t="shared" ca="1" si="54"/>
        <v/>
      </c>
    </row>
    <row r="117" spans="2:40" x14ac:dyDescent="0.25">
      <c r="B117" s="86">
        <f t="shared" si="55"/>
        <v>2009</v>
      </c>
      <c r="C117" s="80" t="s">
        <v>741</v>
      </c>
      <c r="D117" s="147" t="str">
        <f t="shared" si="28"/>
        <v/>
      </c>
      <c r="E117" s="81">
        <f t="shared" si="29"/>
        <v>0</v>
      </c>
      <c r="F117" s="82">
        <f t="shared" si="33"/>
        <v>0</v>
      </c>
      <c r="G117" s="81">
        <f t="shared" si="32"/>
        <v>2</v>
      </c>
      <c r="H117" s="82">
        <f t="shared" si="34"/>
        <v>-1</v>
      </c>
      <c r="I117" s="82">
        <f t="shared" si="30"/>
        <v>0</v>
      </c>
      <c r="J117" s="81">
        <f t="shared" si="35"/>
        <v>0</v>
      </c>
      <c r="K117" s="83">
        <f t="shared" ca="1" si="31"/>
        <v>1</v>
      </c>
      <c r="L117" s="470"/>
      <c r="M117" s="470"/>
      <c r="N117" s="470"/>
      <c r="O117" s="470"/>
      <c r="P117" s="107">
        <f t="shared" ca="1" si="36"/>
        <v>0</v>
      </c>
      <c r="Q117" s="107">
        <f t="shared" ca="1" si="37"/>
        <v>0</v>
      </c>
      <c r="R117" s="107">
        <f t="shared" ca="1" si="38"/>
        <v>0</v>
      </c>
      <c r="S117" s="107">
        <f t="shared" ca="1" si="39"/>
        <v>0</v>
      </c>
      <c r="T117" s="107">
        <f t="shared" ca="1" si="40"/>
        <v>0</v>
      </c>
      <c r="U117" s="107">
        <f t="shared" ca="1" si="41"/>
        <v>0</v>
      </c>
      <c r="V117" s="107">
        <f t="shared" ca="1" si="42"/>
        <v>0</v>
      </c>
      <c r="W117" s="107">
        <f t="shared" ca="1" si="43"/>
        <v>0</v>
      </c>
      <c r="X117" s="107">
        <f t="shared" si="44"/>
        <v>0</v>
      </c>
      <c r="Y117" s="107">
        <f t="shared" si="45"/>
        <v>0</v>
      </c>
      <c r="Z117" s="87">
        <f t="shared" si="46"/>
        <v>1</v>
      </c>
      <c r="AA117" s="88">
        <f t="shared" si="47"/>
        <v>0</v>
      </c>
      <c r="AB117" s="107">
        <f t="array" ref="AB117">ROUNDDOWN(AVERAGE(IFERROR(LARGE((X$6:X116+Y$6:Y116)*Z$6:Z116*(G$6:G116=G117), SC_SSCalcYears),0))/(12*Z117),0)</f>
        <v>0</v>
      </c>
      <c r="AC117" s="211">
        <f t="shared" si="48"/>
        <v>1</v>
      </c>
      <c r="AD117" s="89">
        <f t="shared" si="49"/>
        <v>0</v>
      </c>
      <c r="AE117" s="141">
        <f t="shared" ca="1" si="50"/>
        <v>0</v>
      </c>
      <c r="AF117" s="106">
        <f t="shared" ca="1" si="51"/>
        <v>0</v>
      </c>
      <c r="AG117" s="110">
        <f t="shared" ca="1" si="52"/>
        <v>0</v>
      </c>
      <c r="AH117" s="617"/>
      <c r="AI117" s="617"/>
      <c r="AJ117" s="617"/>
      <c r="AK117" s="617"/>
      <c r="AL117" s="618"/>
      <c r="AM117" s="186">
        <f t="shared" ca="1" si="53"/>
        <v>0</v>
      </c>
      <c r="AN117" t="str">
        <f t="shared" ca="1" si="54"/>
        <v/>
      </c>
    </row>
    <row r="118" spans="2:40" x14ac:dyDescent="0.25">
      <c r="B118" s="65">
        <f t="shared" si="55"/>
        <v>2010</v>
      </c>
      <c r="C118" s="76" t="s">
        <v>741</v>
      </c>
      <c r="D118" s="146" t="str">
        <f t="shared" si="28"/>
        <v/>
      </c>
      <c r="E118" s="77">
        <f t="shared" si="29"/>
        <v>0</v>
      </c>
      <c r="F118" s="77">
        <f t="shared" si="33"/>
        <v>0</v>
      </c>
      <c r="G118" s="77">
        <f t="shared" si="32"/>
        <v>1</v>
      </c>
      <c r="H118" s="76">
        <f t="shared" si="34"/>
        <v>1</v>
      </c>
      <c r="I118" s="76">
        <f t="shared" si="30"/>
        <v>0</v>
      </c>
      <c r="J118" s="77">
        <f t="shared" si="35"/>
        <v>0</v>
      </c>
      <c r="K118" s="78">
        <f t="shared" ca="1" si="31"/>
        <v>1</v>
      </c>
      <c r="L118" s="470"/>
      <c r="M118" s="470"/>
      <c r="N118" s="470"/>
      <c r="O118" s="470"/>
      <c r="P118" s="70">
        <f t="shared" ca="1" si="36"/>
        <v>0</v>
      </c>
      <c r="Q118" s="70">
        <f t="shared" ca="1" si="37"/>
        <v>0</v>
      </c>
      <c r="R118" s="70">
        <f t="shared" ca="1" si="38"/>
        <v>0</v>
      </c>
      <c r="S118" s="70">
        <f t="shared" ca="1" si="39"/>
        <v>0</v>
      </c>
      <c r="T118" s="70">
        <f t="shared" ca="1" si="40"/>
        <v>0</v>
      </c>
      <c r="U118" s="70">
        <f t="shared" ca="1" si="41"/>
        <v>0</v>
      </c>
      <c r="V118" s="70">
        <f t="shared" ca="1" si="42"/>
        <v>0</v>
      </c>
      <c r="W118" s="70">
        <f t="shared" ca="1" si="43"/>
        <v>0</v>
      </c>
      <c r="X118" s="70">
        <f t="shared" si="44"/>
        <v>0</v>
      </c>
      <c r="Y118" s="70">
        <f t="shared" si="45"/>
        <v>0</v>
      </c>
      <c r="Z118" s="68">
        <f t="shared" si="46"/>
        <v>1</v>
      </c>
      <c r="AA118" s="84">
        <f t="shared" si="47"/>
        <v>0</v>
      </c>
      <c r="AB118" s="488">
        <f t="array" ref="AB118">ROUNDDOWN(AVERAGE(IFERROR(LARGE((X$6:X117+Y$6:Y117)*Z$6:Z117*(G$6:G117=G118), SC_SSCalcYears),0))/(12*Z118),0)</f>
        <v>0</v>
      </c>
      <c r="AC118" s="69">
        <f t="shared" si="48"/>
        <v>1</v>
      </c>
      <c r="AD118" s="85">
        <f t="shared" si="49"/>
        <v>0</v>
      </c>
      <c r="AE118" s="140">
        <f t="shared" ca="1" si="50"/>
        <v>0</v>
      </c>
      <c r="AF118" s="75">
        <f t="shared" ca="1" si="51"/>
        <v>0</v>
      </c>
      <c r="AG118" s="109">
        <f t="shared" ca="1" si="52"/>
        <v>0</v>
      </c>
      <c r="AH118" s="617">
        <f>SUMIFS($AE118:$AE119,SP_PensionPayout,"Lump sum",$E118:$E119,"&lt;&gt;0")</f>
        <v>0</v>
      </c>
      <c r="AI118" s="617">
        <f>SUMIFS($AE118:$AE119,SP_PensionPayout,"Annuity",$E118:$E119,"&lt;&gt;0")</f>
        <v>0</v>
      </c>
      <c r="AJ118" s="617">
        <f>IF(ISBLANK(INDEX(SP_SSPBFA,1)),0,IF($J118&lt;&gt;INDEX(SP_SSPBFA,1),AJ116,SP_AdditionalRI/INDEX(SC_EA_InflationWageIdx,EAIDX)))</f>
        <v>0</v>
      </c>
      <c r="AK118" s="617">
        <f ca="1">SUMPRODUCT(AF118:AF119, --(G118:G119&lt;&gt;0))</f>
        <v>0</v>
      </c>
      <c r="AL118" s="618">
        <f ca="1">SUMPRODUCT(AG118:AG119, --(E118:E119&lt;&gt;0))+AJ118</f>
        <v>0</v>
      </c>
      <c r="AM118" s="186">
        <f t="shared" ca="1" si="53"/>
        <v>0</v>
      </c>
      <c r="AN118" t="str">
        <f t="shared" ca="1" si="54"/>
        <v/>
      </c>
    </row>
    <row r="119" spans="2:40" x14ac:dyDescent="0.25">
      <c r="B119" s="86">
        <f t="shared" si="55"/>
        <v>2010</v>
      </c>
      <c r="C119" s="80" t="s">
        <v>741</v>
      </c>
      <c r="D119" s="147" t="str">
        <f t="shared" si="28"/>
        <v/>
      </c>
      <c r="E119" s="81">
        <f t="shared" si="29"/>
        <v>0</v>
      </c>
      <c r="F119" s="82">
        <f t="shared" si="33"/>
        <v>0</v>
      </c>
      <c r="G119" s="81">
        <f t="shared" si="32"/>
        <v>2</v>
      </c>
      <c r="H119" s="82">
        <f t="shared" si="34"/>
        <v>-1</v>
      </c>
      <c r="I119" s="82">
        <f t="shared" si="30"/>
        <v>0</v>
      </c>
      <c r="J119" s="81">
        <f t="shared" si="35"/>
        <v>0</v>
      </c>
      <c r="K119" s="83">
        <f t="shared" ca="1" si="31"/>
        <v>1</v>
      </c>
      <c r="L119" s="470"/>
      <c r="M119" s="470"/>
      <c r="N119" s="470"/>
      <c r="O119" s="470"/>
      <c r="P119" s="107">
        <f t="shared" ca="1" si="36"/>
        <v>0</v>
      </c>
      <c r="Q119" s="107">
        <f t="shared" ca="1" si="37"/>
        <v>0</v>
      </c>
      <c r="R119" s="107">
        <f t="shared" ca="1" si="38"/>
        <v>0</v>
      </c>
      <c r="S119" s="107">
        <f t="shared" ca="1" si="39"/>
        <v>0</v>
      </c>
      <c r="T119" s="107">
        <f t="shared" ca="1" si="40"/>
        <v>0</v>
      </c>
      <c r="U119" s="107">
        <f t="shared" ca="1" si="41"/>
        <v>0</v>
      </c>
      <c r="V119" s="107">
        <f t="shared" ca="1" si="42"/>
        <v>0</v>
      </c>
      <c r="W119" s="107">
        <f t="shared" ca="1" si="43"/>
        <v>0</v>
      </c>
      <c r="X119" s="107">
        <f t="shared" si="44"/>
        <v>0</v>
      </c>
      <c r="Y119" s="107">
        <f t="shared" si="45"/>
        <v>0</v>
      </c>
      <c r="Z119" s="87">
        <f t="shared" si="46"/>
        <v>1</v>
      </c>
      <c r="AA119" s="88">
        <f t="shared" si="47"/>
        <v>0</v>
      </c>
      <c r="AB119" s="107">
        <f t="array" ref="AB119">ROUNDDOWN(AVERAGE(IFERROR(LARGE((X$6:X118+Y$6:Y118)*Z$6:Z118*(G$6:G118=G119), SC_SSCalcYears),0))/(12*Z119),0)</f>
        <v>0</v>
      </c>
      <c r="AC119" s="211">
        <f t="shared" si="48"/>
        <v>1</v>
      </c>
      <c r="AD119" s="89">
        <f t="shared" si="49"/>
        <v>0</v>
      </c>
      <c r="AE119" s="141">
        <f t="shared" ca="1" si="50"/>
        <v>0</v>
      </c>
      <c r="AF119" s="106">
        <f t="shared" ca="1" si="51"/>
        <v>0</v>
      </c>
      <c r="AG119" s="110">
        <f t="shared" ca="1" si="52"/>
        <v>0</v>
      </c>
      <c r="AH119" s="617"/>
      <c r="AI119" s="617"/>
      <c r="AJ119" s="617"/>
      <c r="AK119" s="617"/>
      <c r="AL119" s="618"/>
      <c r="AM119" s="186">
        <f t="shared" ca="1" si="53"/>
        <v>0</v>
      </c>
      <c r="AN119" t="str">
        <f t="shared" ca="1" si="54"/>
        <v/>
      </c>
    </row>
    <row r="120" spans="2:40" x14ac:dyDescent="0.25">
      <c r="B120" s="65">
        <f t="shared" si="55"/>
        <v>2011</v>
      </c>
      <c r="C120" s="76" t="s">
        <v>741</v>
      </c>
      <c r="D120" s="146" t="str">
        <f t="shared" si="28"/>
        <v/>
      </c>
      <c r="E120" s="77">
        <f t="shared" si="29"/>
        <v>0</v>
      </c>
      <c r="F120" s="77">
        <f t="shared" si="33"/>
        <v>0</v>
      </c>
      <c r="G120" s="77">
        <f t="shared" si="32"/>
        <v>1</v>
      </c>
      <c r="H120" s="76">
        <f t="shared" si="34"/>
        <v>1</v>
      </c>
      <c r="I120" s="76">
        <f t="shared" si="30"/>
        <v>0</v>
      </c>
      <c r="J120" s="77">
        <f t="shared" si="35"/>
        <v>0</v>
      </c>
      <c r="K120" s="78">
        <f t="shared" ca="1" si="31"/>
        <v>1</v>
      </c>
      <c r="L120" s="470"/>
      <c r="M120" s="470"/>
      <c r="N120" s="470"/>
      <c r="O120" s="470"/>
      <c r="P120" s="70">
        <f t="shared" ca="1" si="36"/>
        <v>0</v>
      </c>
      <c r="Q120" s="70">
        <f t="shared" ca="1" si="37"/>
        <v>0</v>
      </c>
      <c r="R120" s="70">
        <f t="shared" ca="1" si="38"/>
        <v>0</v>
      </c>
      <c r="S120" s="70">
        <f t="shared" ca="1" si="39"/>
        <v>0</v>
      </c>
      <c r="T120" s="70">
        <f t="shared" ca="1" si="40"/>
        <v>0</v>
      </c>
      <c r="U120" s="70">
        <f t="shared" ca="1" si="41"/>
        <v>0</v>
      </c>
      <c r="V120" s="70">
        <f t="shared" ca="1" si="42"/>
        <v>0</v>
      </c>
      <c r="W120" s="70">
        <f t="shared" ca="1" si="43"/>
        <v>0</v>
      </c>
      <c r="X120" s="70">
        <f t="shared" si="44"/>
        <v>0</v>
      </c>
      <c r="Y120" s="70">
        <f t="shared" si="45"/>
        <v>0</v>
      </c>
      <c r="Z120" s="68">
        <f t="shared" si="46"/>
        <v>1</v>
      </c>
      <c r="AA120" s="84">
        <f t="shared" si="47"/>
        <v>0</v>
      </c>
      <c r="AB120" s="488">
        <f t="array" ref="AB120">ROUNDDOWN(AVERAGE(IFERROR(LARGE((X$6:X119+Y$6:Y119)*Z$6:Z119*(G$6:G119=G120), SC_SSCalcYears),0))/(12*Z120),0)</f>
        <v>0</v>
      </c>
      <c r="AC120" s="69">
        <f t="shared" si="48"/>
        <v>1</v>
      </c>
      <c r="AD120" s="85">
        <f t="shared" si="49"/>
        <v>0</v>
      </c>
      <c r="AE120" s="140">
        <f t="shared" ca="1" si="50"/>
        <v>0</v>
      </c>
      <c r="AF120" s="75">
        <f t="shared" ca="1" si="51"/>
        <v>0</v>
      </c>
      <c r="AG120" s="109">
        <f t="shared" ca="1" si="52"/>
        <v>0</v>
      </c>
      <c r="AH120" s="617">
        <f>SUMIFS($AE120:$AE121,SP_PensionPayout,"Lump sum",$E120:$E121,"&lt;&gt;0")</f>
        <v>0</v>
      </c>
      <c r="AI120" s="617">
        <f>SUMIFS($AE120:$AE121,SP_PensionPayout,"Annuity",$E120:$E121,"&lt;&gt;0")</f>
        <v>0</v>
      </c>
      <c r="AJ120" s="617">
        <f>IF(ISBLANK(INDEX(SP_SSPBFA,1)),0,IF($J120&lt;&gt;INDEX(SP_SSPBFA,1),AJ118,SP_AdditionalRI/INDEX(SC_EA_InflationWageIdx,EAIDX)))</f>
        <v>0</v>
      </c>
      <c r="AK120" s="617">
        <f ca="1">SUMPRODUCT(AF120:AF121, --(G120:G121&lt;&gt;0))</f>
        <v>0</v>
      </c>
      <c r="AL120" s="618">
        <f ca="1">SUMPRODUCT(AG120:AG121, --(E120:E121&lt;&gt;0))+AJ120</f>
        <v>0</v>
      </c>
      <c r="AM120" s="186">
        <f t="shared" ca="1" si="53"/>
        <v>0</v>
      </c>
      <c r="AN120" t="str">
        <f t="shared" ca="1" si="54"/>
        <v/>
      </c>
    </row>
    <row r="121" spans="2:40" x14ac:dyDescent="0.25">
      <c r="B121" s="86">
        <f t="shared" si="55"/>
        <v>2011</v>
      </c>
      <c r="C121" s="80" t="s">
        <v>741</v>
      </c>
      <c r="D121" s="147" t="str">
        <f t="shared" si="28"/>
        <v/>
      </c>
      <c r="E121" s="81">
        <f t="shared" si="29"/>
        <v>0</v>
      </c>
      <c r="F121" s="82">
        <f t="shared" si="33"/>
        <v>0</v>
      </c>
      <c r="G121" s="81">
        <f t="shared" si="32"/>
        <v>2</v>
      </c>
      <c r="H121" s="82">
        <f t="shared" si="34"/>
        <v>-1</v>
      </c>
      <c r="I121" s="82">
        <f t="shared" si="30"/>
        <v>0</v>
      </c>
      <c r="J121" s="81">
        <f t="shared" si="35"/>
        <v>0</v>
      </c>
      <c r="K121" s="83">
        <f t="shared" ca="1" si="31"/>
        <v>1</v>
      </c>
      <c r="L121" s="470"/>
      <c r="M121" s="470"/>
      <c r="N121" s="470"/>
      <c r="O121" s="470"/>
      <c r="P121" s="107">
        <f t="shared" ca="1" si="36"/>
        <v>0</v>
      </c>
      <c r="Q121" s="107">
        <f t="shared" ca="1" si="37"/>
        <v>0</v>
      </c>
      <c r="R121" s="107">
        <f t="shared" ca="1" si="38"/>
        <v>0</v>
      </c>
      <c r="S121" s="107">
        <f t="shared" ca="1" si="39"/>
        <v>0</v>
      </c>
      <c r="T121" s="107">
        <f t="shared" ca="1" si="40"/>
        <v>0</v>
      </c>
      <c r="U121" s="107">
        <f t="shared" ca="1" si="41"/>
        <v>0</v>
      </c>
      <c r="V121" s="107">
        <f t="shared" ca="1" si="42"/>
        <v>0</v>
      </c>
      <c r="W121" s="107">
        <f t="shared" ca="1" si="43"/>
        <v>0</v>
      </c>
      <c r="X121" s="107">
        <f t="shared" si="44"/>
        <v>0</v>
      </c>
      <c r="Y121" s="107">
        <f t="shared" si="45"/>
        <v>0</v>
      </c>
      <c r="Z121" s="87">
        <f t="shared" si="46"/>
        <v>1</v>
      </c>
      <c r="AA121" s="88">
        <f t="shared" si="47"/>
        <v>0</v>
      </c>
      <c r="AB121" s="107">
        <f t="array" ref="AB121">ROUNDDOWN(AVERAGE(IFERROR(LARGE((X$6:X120+Y$6:Y120)*Z$6:Z120*(G$6:G120=G121), SC_SSCalcYears),0))/(12*Z121),0)</f>
        <v>0</v>
      </c>
      <c r="AC121" s="211">
        <f t="shared" si="48"/>
        <v>1</v>
      </c>
      <c r="AD121" s="89">
        <f t="shared" si="49"/>
        <v>0</v>
      </c>
      <c r="AE121" s="141">
        <f t="shared" ca="1" si="50"/>
        <v>0</v>
      </c>
      <c r="AF121" s="106">
        <f t="shared" ca="1" si="51"/>
        <v>0</v>
      </c>
      <c r="AG121" s="110">
        <f t="shared" ca="1" si="52"/>
        <v>0</v>
      </c>
      <c r="AH121" s="617"/>
      <c r="AI121" s="617"/>
      <c r="AJ121" s="617"/>
      <c r="AK121" s="617"/>
      <c r="AL121" s="618"/>
      <c r="AM121" s="186">
        <f t="shared" ca="1" si="53"/>
        <v>0</v>
      </c>
      <c r="AN121" t="str">
        <f t="shared" ca="1" si="54"/>
        <v/>
      </c>
    </row>
    <row r="122" spans="2:40" x14ac:dyDescent="0.25">
      <c r="B122" s="65">
        <f t="shared" si="55"/>
        <v>2012</v>
      </c>
      <c r="C122" s="76" t="s">
        <v>741</v>
      </c>
      <c r="D122" s="146" t="str">
        <f t="shared" si="28"/>
        <v/>
      </c>
      <c r="E122" s="77">
        <f t="shared" si="29"/>
        <v>0</v>
      </c>
      <c r="F122" s="77">
        <f t="shared" si="33"/>
        <v>0</v>
      </c>
      <c r="G122" s="77">
        <f t="shared" si="32"/>
        <v>1</v>
      </c>
      <c r="H122" s="76">
        <f t="shared" si="34"/>
        <v>1</v>
      </c>
      <c r="I122" s="76">
        <f t="shared" si="30"/>
        <v>0</v>
      </c>
      <c r="J122" s="77">
        <f t="shared" si="35"/>
        <v>0</v>
      </c>
      <c r="K122" s="78">
        <f t="shared" ca="1" si="31"/>
        <v>1</v>
      </c>
      <c r="L122" s="470"/>
      <c r="M122" s="470"/>
      <c r="N122" s="470"/>
      <c r="O122" s="470"/>
      <c r="P122" s="70">
        <f t="shared" ca="1" si="36"/>
        <v>0</v>
      </c>
      <c r="Q122" s="70">
        <f t="shared" ca="1" si="37"/>
        <v>0</v>
      </c>
      <c r="R122" s="70">
        <f t="shared" ca="1" si="38"/>
        <v>0</v>
      </c>
      <c r="S122" s="70">
        <f t="shared" ca="1" si="39"/>
        <v>0</v>
      </c>
      <c r="T122" s="70">
        <f t="shared" ca="1" si="40"/>
        <v>0</v>
      </c>
      <c r="U122" s="70">
        <f t="shared" ca="1" si="41"/>
        <v>0</v>
      </c>
      <c r="V122" s="70">
        <f t="shared" ca="1" si="42"/>
        <v>0</v>
      </c>
      <c r="W122" s="70">
        <f t="shared" ca="1" si="43"/>
        <v>0</v>
      </c>
      <c r="X122" s="70">
        <f t="shared" si="44"/>
        <v>0</v>
      </c>
      <c r="Y122" s="70">
        <f t="shared" si="45"/>
        <v>0</v>
      </c>
      <c r="Z122" s="68">
        <f t="shared" si="46"/>
        <v>1</v>
      </c>
      <c r="AA122" s="84">
        <f t="shared" si="47"/>
        <v>0</v>
      </c>
      <c r="AB122" s="488">
        <f t="array" ref="AB122">ROUNDDOWN(AVERAGE(IFERROR(LARGE((X$6:X121+Y$6:Y121)*Z$6:Z121*(G$6:G121=G122), SC_SSCalcYears),0))/(12*Z122),0)</f>
        <v>0</v>
      </c>
      <c r="AC122" s="69">
        <f t="shared" si="48"/>
        <v>1</v>
      </c>
      <c r="AD122" s="85">
        <f t="shared" si="49"/>
        <v>0</v>
      </c>
      <c r="AE122" s="140">
        <f t="shared" ca="1" si="50"/>
        <v>0</v>
      </c>
      <c r="AF122" s="75">
        <f t="shared" ca="1" si="51"/>
        <v>0</v>
      </c>
      <c r="AG122" s="109">
        <f t="shared" ca="1" si="52"/>
        <v>0</v>
      </c>
      <c r="AH122" s="617">
        <f>SUMIFS($AE122:$AE123,SP_PensionPayout,"Lump sum",$E122:$E123,"&lt;&gt;0")</f>
        <v>0</v>
      </c>
      <c r="AI122" s="617">
        <f>SUMIFS($AE122:$AE123,SP_PensionPayout,"Annuity",$E122:$E123,"&lt;&gt;0")</f>
        <v>0</v>
      </c>
      <c r="AJ122" s="617">
        <f>IF(ISBLANK(INDEX(SP_SSPBFA,1)),0,IF($J122&lt;&gt;INDEX(SP_SSPBFA,1),AJ120,SP_AdditionalRI/INDEX(SC_EA_InflationWageIdx,EAIDX)))</f>
        <v>0</v>
      </c>
      <c r="AK122" s="617">
        <f ca="1">SUMPRODUCT(AF122:AF123, --(G122:G123&lt;&gt;0))</f>
        <v>0</v>
      </c>
      <c r="AL122" s="618">
        <f ca="1">SUMPRODUCT(AG122:AG123, --(E122:E123&lt;&gt;0))+AJ122</f>
        <v>0</v>
      </c>
      <c r="AM122" s="186">
        <f t="shared" ca="1" si="53"/>
        <v>0</v>
      </c>
      <c r="AN122" t="str">
        <f t="shared" ca="1" si="54"/>
        <v/>
      </c>
    </row>
    <row r="123" spans="2:40" x14ac:dyDescent="0.25">
      <c r="B123" s="86">
        <f t="shared" si="55"/>
        <v>2012</v>
      </c>
      <c r="C123" s="80" t="s">
        <v>741</v>
      </c>
      <c r="D123" s="147" t="str">
        <f t="shared" si="28"/>
        <v/>
      </c>
      <c r="E123" s="81">
        <f t="shared" si="29"/>
        <v>0</v>
      </c>
      <c r="F123" s="82">
        <f t="shared" si="33"/>
        <v>0</v>
      </c>
      <c r="G123" s="81">
        <f t="shared" si="32"/>
        <v>2</v>
      </c>
      <c r="H123" s="82">
        <f t="shared" si="34"/>
        <v>-1</v>
      </c>
      <c r="I123" s="82">
        <f t="shared" si="30"/>
        <v>0</v>
      </c>
      <c r="J123" s="81">
        <f t="shared" si="35"/>
        <v>0</v>
      </c>
      <c r="K123" s="83">
        <f t="shared" ca="1" si="31"/>
        <v>1</v>
      </c>
      <c r="L123" s="470"/>
      <c r="M123" s="470"/>
      <c r="N123" s="470"/>
      <c r="O123" s="470"/>
      <c r="P123" s="107">
        <f t="shared" ca="1" si="36"/>
        <v>0</v>
      </c>
      <c r="Q123" s="107">
        <f t="shared" ca="1" si="37"/>
        <v>0</v>
      </c>
      <c r="R123" s="107">
        <f t="shared" ca="1" si="38"/>
        <v>0</v>
      </c>
      <c r="S123" s="107">
        <f t="shared" ca="1" si="39"/>
        <v>0</v>
      </c>
      <c r="T123" s="107">
        <f t="shared" ca="1" si="40"/>
        <v>0</v>
      </c>
      <c r="U123" s="107">
        <f t="shared" ca="1" si="41"/>
        <v>0</v>
      </c>
      <c r="V123" s="107">
        <f t="shared" ca="1" si="42"/>
        <v>0</v>
      </c>
      <c r="W123" s="107">
        <f t="shared" ca="1" si="43"/>
        <v>0</v>
      </c>
      <c r="X123" s="107">
        <f t="shared" si="44"/>
        <v>0</v>
      </c>
      <c r="Y123" s="107">
        <f t="shared" si="45"/>
        <v>0</v>
      </c>
      <c r="Z123" s="87">
        <f t="shared" si="46"/>
        <v>1</v>
      </c>
      <c r="AA123" s="88">
        <f t="shared" si="47"/>
        <v>0</v>
      </c>
      <c r="AB123" s="107">
        <f t="array" ref="AB123">ROUNDDOWN(AVERAGE(IFERROR(LARGE((X$6:X122+Y$6:Y122)*Z$6:Z122*(G$6:G122=G123), SC_SSCalcYears),0))/(12*Z123),0)</f>
        <v>0</v>
      </c>
      <c r="AC123" s="211">
        <f t="shared" si="48"/>
        <v>1</v>
      </c>
      <c r="AD123" s="89">
        <f t="shared" si="49"/>
        <v>0</v>
      </c>
      <c r="AE123" s="141">
        <f t="shared" ca="1" si="50"/>
        <v>0</v>
      </c>
      <c r="AF123" s="106">
        <f t="shared" ca="1" si="51"/>
        <v>0</v>
      </c>
      <c r="AG123" s="110">
        <f t="shared" ca="1" si="52"/>
        <v>0</v>
      </c>
      <c r="AH123" s="617"/>
      <c r="AI123" s="617"/>
      <c r="AJ123" s="617"/>
      <c r="AK123" s="617"/>
      <c r="AL123" s="618"/>
      <c r="AM123" s="186">
        <f t="shared" ca="1" si="53"/>
        <v>0</v>
      </c>
      <c r="AN123" t="str">
        <f t="shared" ca="1" si="54"/>
        <v/>
      </c>
    </row>
    <row r="124" spans="2:40" x14ac:dyDescent="0.25">
      <c r="B124" s="65">
        <f t="shared" si="55"/>
        <v>2013</v>
      </c>
      <c r="C124" s="76" t="s">
        <v>741</v>
      </c>
      <c r="D124" s="146" t="str">
        <f t="shared" si="28"/>
        <v/>
      </c>
      <c r="E124" s="77">
        <f t="shared" si="29"/>
        <v>0</v>
      </c>
      <c r="F124" s="77">
        <f t="shared" si="33"/>
        <v>0</v>
      </c>
      <c r="G124" s="77">
        <f t="shared" si="32"/>
        <v>1</v>
      </c>
      <c r="H124" s="76">
        <f t="shared" si="34"/>
        <v>1</v>
      </c>
      <c r="I124" s="76">
        <f t="shared" si="30"/>
        <v>0</v>
      </c>
      <c r="J124" s="77">
        <f t="shared" si="35"/>
        <v>0</v>
      </c>
      <c r="K124" s="78">
        <f t="shared" ca="1" si="31"/>
        <v>1</v>
      </c>
      <c r="L124" s="470"/>
      <c r="M124" s="470"/>
      <c r="N124" s="470"/>
      <c r="O124" s="470"/>
      <c r="P124" s="70">
        <f t="shared" ca="1" si="36"/>
        <v>0</v>
      </c>
      <c r="Q124" s="70">
        <f t="shared" ca="1" si="37"/>
        <v>0</v>
      </c>
      <c r="R124" s="70">
        <f t="shared" ca="1" si="38"/>
        <v>0</v>
      </c>
      <c r="S124" s="70">
        <f t="shared" ca="1" si="39"/>
        <v>0</v>
      </c>
      <c r="T124" s="70">
        <f t="shared" ca="1" si="40"/>
        <v>0</v>
      </c>
      <c r="U124" s="70">
        <f t="shared" ca="1" si="41"/>
        <v>0</v>
      </c>
      <c r="V124" s="70">
        <f t="shared" ca="1" si="42"/>
        <v>0</v>
      </c>
      <c r="W124" s="70">
        <f t="shared" ca="1" si="43"/>
        <v>0</v>
      </c>
      <c r="X124" s="70">
        <f t="shared" si="44"/>
        <v>0</v>
      </c>
      <c r="Y124" s="70">
        <f t="shared" si="45"/>
        <v>0</v>
      </c>
      <c r="Z124" s="68">
        <f t="shared" si="46"/>
        <v>1</v>
      </c>
      <c r="AA124" s="84">
        <f t="shared" si="47"/>
        <v>0</v>
      </c>
      <c r="AB124" s="488">
        <f t="array" ref="AB124">ROUNDDOWN(AVERAGE(IFERROR(LARGE((X$6:X123+Y$6:Y123)*Z$6:Z123*(G$6:G123=G124), SC_SSCalcYears),0))/(12*Z124),0)</f>
        <v>0</v>
      </c>
      <c r="AC124" s="69">
        <f t="shared" si="48"/>
        <v>1</v>
      </c>
      <c r="AD124" s="85">
        <f t="shared" si="49"/>
        <v>0</v>
      </c>
      <c r="AE124" s="140">
        <f t="shared" ca="1" si="50"/>
        <v>0</v>
      </c>
      <c r="AF124" s="75">
        <f t="shared" ca="1" si="51"/>
        <v>0</v>
      </c>
      <c r="AG124" s="109">
        <f t="shared" ca="1" si="52"/>
        <v>0</v>
      </c>
      <c r="AH124" s="617">
        <f>SUMIFS($AE124:$AE125,SP_PensionPayout,"Lump sum",$E124:$E125,"&lt;&gt;0")</f>
        <v>0</v>
      </c>
      <c r="AI124" s="617">
        <f>SUMIFS($AE124:$AE125,SP_PensionPayout,"Annuity",$E124:$E125,"&lt;&gt;0")</f>
        <v>0</v>
      </c>
      <c r="AJ124" s="617">
        <f>IF(ISBLANK(INDEX(SP_SSPBFA,1)),0,IF($J124&lt;&gt;INDEX(SP_SSPBFA,1),AJ122,SP_AdditionalRI/INDEX(SC_EA_InflationWageIdx,EAIDX)))</f>
        <v>0</v>
      </c>
      <c r="AK124" s="617">
        <f ca="1">SUMPRODUCT(AF124:AF125, --(G124:G125&lt;&gt;0))</f>
        <v>0</v>
      </c>
      <c r="AL124" s="618">
        <f ca="1">SUMPRODUCT(AG124:AG125, --(E124:E125&lt;&gt;0))+AJ124</f>
        <v>0</v>
      </c>
      <c r="AM124" s="186">
        <f t="shared" ca="1" si="53"/>
        <v>0</v>
      </c>
      <c r="AN124" t="str">
        <f t="shared" ca="1" si="54"/>
        <v/>
      </c>
    </row>
    <row r="125" spans="2:40" x14ac:dyDescent="0.25">
      <c r="B125" s="86">
        <f t="shared" si="55"/>
        <v>2013</v>
      </c>
      <c r="C125" s="80" t="s">
        <v>741</v>
      </c>
      <c r="D125" s="147" t="str">
        <f t="shared" si="28"/>
        <v/>
      </c>
      <c r="E125" s="81">
        <f t="shared" si="29"/>
        <v>0</v>
      </c>
      <c r="F125" s="82">
        <f t="shared" si="33"/>
        <v>0</v>
      </c>
      <c r="G125" s="81">
        <f t="shared" si="32"/>
        <v>2</v>
      </c>
      <c r="H125" s="82">
        <f t="shared" si="34"/>
        <v>-1</v>
      </c>
      <c r="I125" s="82">
        <f t="shared" si="30"/>
        <v>0</v>
      </c>
      <c r="J125" s="81">
        <f t="shared" si="35"/>
        <v>0</v>
      </c>
      <c r="K125" s="83">
        <f t="shared" ca="1" si="31"/>
        <v>1</v>
      </c>
      <c r="L125" s="470"/>
      <c r="M125" s="470"/>
      <c r="N125" s="470"/>
      <c r="O125" s="470"/>
      <c r="P125" s="107">
        <f t="shared" ca="1" si="36"/>
        <v>0</v>
      </c>
      <c r="Q125" s="107">
        <f t="shared" ca="1" si="37"/>
        <v>0</v>
      </c>
      <c r="R125" s="107">
        <f t="shared" ca="1" si="38"/>
        <v>0</v>
      </c>
      <c r="S125" s="107">
        <f t="shared" ca="1" si="39"/>
        <v>0</v>
      </c>
      <c r="T125" s="107">
        <f t="shared" ca="1" si="40"/>
        <v>0</v>
      </c>
      <c r="U125" s="107">
        <f t="shared" ca="1" si="41"/>
        <v>0</v>
      </c>
      <c r="V125" s="107">
        <f t="shared" ca="1" si="42"/>
        <v>0</v>
      </c>
      <c r="W125" s="107">
        <f t="shared" ca="1" si="43"/>
        <v>0</v>
      </c>
      <c r="X125" s="107">
        <f t="shared" si="44"/>
        <v>0</v>
      </c>
      <c r="Y125" s="107">
        <f t="shared" si="45"/>
        <v>0</v>
      </c>
      <c r="Z125" s="87">
        <f t="shared" si="46"/>
        <v>1</v>
      </c>
      <c r="AA125" s="88">
        <f t="shared" si="47"/>
        <v>0</v>
      </c>
      <c r="AB125" s="107">
        <f t="array" ref="AB125">ROUNDDOWN(AVERAGE(IFERROR(LARGE((X$6:X124+Y$6:Y124)*Z$6:Z124*(G$6:G124=G125), SC_SSCalcYears),0))/(12*Z125),0)</f>
        <v>0</v>
      </c>
      <c r="AC125" s="211">
        <f t="shared" si="48"/>
        <v>1</v>
      </c>
      <c r="AD125" s="89">
        <f t="shared" si="49"/>
        <v>0</v>
      </c>
      <c r="AE125" s="141">
        <f t="shared" ca="1" si="50"/>
        <v>0</v>
      </c>
      <c r="AF125" s="106">
        <f t="shared" ca="1" si="51"/>
        <v>0</v>
      </c>
      <c r="AG125" s="110">
        <f t="shared" ca="1" si="52"/>
        <v>0</v>
      </c>
      <c r="AH125" s="617"/>
      <c r="AI125" s="617"/>
      <c r="AJ125" s="617"/>
      <c r="AK125" s="617"/>
      <c r="AL125" s="618"/>
      <c r="AM125" s="186">
        <f t="shared" ca="1" si="53"/>
        <v>0</v>
      </c>
      <c r="AN125" t="str">
        <f t="shared" ca="1" si="54"/>
        <v/>
      </c>
    </row>
    <row r="126" spans="2:40" x14ac:dyDescent="0.25">
      <c r="B126" s="65">
        <f t="shared" si="55"/>
        <v>2014</v>
      </c>
      <c r="C126" s="76" t="s">
        <v>741</v>
      </c>
      <c r="D126" s="146" t="str">
        <f t="shared" si="28"/>
        <v/>
      </c>
      <c r="E126" s="77">
        <f t="shared" si="29"/>
        <v>0</v>
      </c>
      <c r="F126" s="77">
        <f t="shared" si="33"/>
        <v>0</v>
      </c>
      <c r="G126" s="77">
        <f t="shared" si="32"/>
        <v>1</v>
      </c>
      <c r="H126" s="76">
        <f t="shared" si="34"/>
        <v>1</v>
      </c>
      <c r="I126" s="76">
        <f t="shared" si="30"/>
        <v>0</v>
      </c>
      <c r="J126" s="77">
        <f t="shared" si="35"/>
        <v>0</v>
      </c>
      <c r="K126" s="78">
        <f t="shared" ca="1" si="31"/>
        <v>1</v>
      </c>
      <c r="L126" s="470"/>
      <c r="M126" s="470"/>
      <c r="N126" s="470"/>
      <c r="O126" s="470"/>
      <c r="P126" s="70">
        <f t="shared" ca="1" si="36"/>
        <v>0</v>
      </c>
      <c r="Q126" s="70">
        <f t="shared" ca="1" si="37"/>
        <v>0</v>
      </c>
      <c r="R126" s="70">
        <f t="shared" ca="1" si="38"/>
        <v>0</v>
      </c>
      <c r="S126" s="70">
        <f t="shared" ca="1" si="39"/>
        <v>0</v>
      </c>
      <c r="T126" s="70">
        <f t="shared" ca="1" si="40"/>
        <v>0</v>
      </c>
      <c r="U126" s="70">
        <f t="shared" ca="1" si="41"/>
        <v>0</v>
      </c>
      <c r="V126" s="70">
        <f t="shared" ca="1" si="42"/>
        <v>0</v>
      </c>
      <c r="W126" s="70">
        <f t="shared" ca="1" si="43"/>
        <v>0</v>
      </c>
      <c r="X126" s="70">
        <f t="shared" si="44"/>
        <v>0</v>
      </c>
      <c r="Y126" s="70">
        <f t="shared" si="45"/>
        <v>0</v>
      </c>
      <c r="Z126" s="68">
        <f t="shared" si="46"/>
        <v>1</v>
      </c>
      <c r="AA126" s="84">
        <f t="shared" si="47"/>
        <v>0</v>
      </c>
      <c r="AB126" s="488">
        <f t="array" ref="AB126">ROUNDDOWN(AVERAGE(IFERROR(LARGE((X$6:X125+Y$6:Y125)*Z$6:Z125*(G$6:G125=G126), SC_SSCalcYears),0))/(12*Z126),0)</f>
        <v>0</v>
      </c>
      <c r="AC126" s="69">
        <f t="shared" si="48"/>
        <v>1</v>
      </c>
      <c r="AD126" s="85">
        <f t="shared" si="49"/>
        <v>0</v>
      </c>
      <c r="AE126" s="140">
        <f t="shared" ca="1" si="50"/>
        <v>0</v>
      </c>
      <c r="AF126" s="75">
        <f t="shared" ca="1" si="51"/>
        <v>0</v>
      </c>
      <c r="AG126" s="109">
        <f t="shared" ca="1" si="52"/>
        <v>0</v>
      </c>
      <c r="AH126" s="617">
        <f>SUMIFS($AE126:$AE127,SP_PensionPayout,"Lump sum",$E126:$E127,"&lt;&gt;0")</f>
        <v>0</v>
      </c>
      <c r="AI126" s="617">
        <f>SUMIFS($AE126:$AE127,SP_PensionPayout,"Annuity",$E126:$E127,"&lt;&gt;0")</f>
        <v>0</v>
      </c>
      <c r="AJ126" s="617">
        <f>IF(ISBLANK(INDEX(SP_SSPBFA,1)),0,IF($J126&lt;&gt;INDEX(SP_SSPBFA,1),AJ124,SP_AdditionalRI/INDEX(SC_EA_InflationWageIdx,EAIDX)))</f>
        <v>0</v>
      </c>
      <c r="AK126" s="617">
        <f ca="1">SUMPRODUCT(AF126:AF127, --(G126:G127&lt;&gt;0))</f>
        <v>0</v>
      </c>
      <c r="AL126" s="618">
        <f ca="1">SUMPRODUCT(AG126:AG127, --(E126:E127&lt;&gt;0))+AJ126</f>
        <v>0</v>
      </c>
      <c r="AM126" s="186">
        <f t="shared" ca="1" si="53"/>
        <v>0</v>
      </c>
      <c r="AN126" t="str">
        <f t="shared" ca="1" si="54"/>
        <v/>
      </c>
    </row>
    <row r="127" spans="2:40" x14ac:dyDescent="0.25">
      <c r="B127" s="86">
        <f t="shared" si="55"/>
        <v>2014</v>
      </c>
      <c r="C127" s="80" t="s">
        <v>741</v>
      </c>
      <c r="D127" s="147" t="str">
        <f t="shared" si="28"/>
        <v/>
      </c>
      <c r="E127" s="81">
        <f t="shared" si="29"/>
        <v>0</v>
      </c>
      <c r="F127" s="82">
        <f t="shared" si="33"/>
        <v>0</v>
      </c>
      <c r="G127" s="81">
        <f t="shared" si="32"/>
        <v>2</v>
      </c>
      <c r="H127" s="82">
        <f t="shared" si="34"/>
        <v>-1</v>
      </c>
      <c r="I127" s="82">
        <f t="shared" si="30"/>
        <v>0</v>
      </c>
      <c r="J127" s="81">
        <f t="shared" si="35"/>
        <v>0</v>
      </c>
      <c r="K127" s="83">
        <f t="shared" ca="1" si="31"/>
        <v>1</v>
      </c>
      <c r="L127" s="470"/>
      <c r="M127" s="470"/>
      <c r="N127" s="470"/>
      <c r="O127" s="470"/>
      <c r="P127" s="107">
        <f t="shared" ca="1" si="36"/>
        <v>0</v>
      </c>
      <c r="Q127" s="107">
        <f t="shared" ca="1" si="37"/>
        <v>0</v>
      </c>
      <c r="R127" s="107">
        <f t="shared" ca="1" si="38"/>
        <v>0</v>
      </c>
      <c r="S127" s="107">
        <f t="shared" ca="1" si="39"/>
        <v>0</v>
      </c>
      <c r="T127" s="107">
        <f t="shared" ca="1" si="40"/>
        <v>0</v>
      </c>
      <c r="U127" s="107">
        <f t="shared" ca="1" si="41"/>
        <v>0</v>
      </c>
      <c r="V127" s="107">
        <f t="shared" ca="1" si="42"/>
        <v>0</v>
      </c>
      <c r="W127" s="107">
        <f t="shared" ca="1" si="43"/>
        <v>0</v>
      </c>
      <c r="X127" s="107">
        <f t="shared" si="44"/>
        <v>0</v>
      </c>
      <c r="Y127" s="107">
        <f t="shared" si="45"/>
        <v>0</v>
      </c>
      <c r="Z127" s="87">
        <f t="shared" si="46"/>
        <v>1</v>
      </c>
      <c r="AA127" s="88">
        <f t="shared" si="47"/>
        <v>0</v>
      </c>
      <c r="AB127" s="107">
        <f t="array" ref="AB127">ROUNDDOWN(AVERAGE(IFERROR(LARGE((X$6:X126+Y$6:Y126)*Z$6:Z126*(G$6:G126=G127), SC_SSCalcYears),0))/(12*Z127),0)</f>
        <v>0</v>
      </c>
      <c r="AC127" s="211">
        <f t="shared" si="48"/>
        <v>1</v>
      </c>
      <c r="AD127" s="89">
        <f t="shared" si="49"/>
        <v>0</v>
      </c>
      <c r="AE127" s="141">
        <f t="shared" ca="1" si="50"/>
        <v>0</v>
      </c>
      <c r="AF127" s="106">
        <f t="shared" ca="1" si="51"/>
        <v>0</v>
      </c>
      <c r="AG127" s="110">
        <f t="shared" ca="1" si="52"/>
        <v>0</v>
      </c>
      <c r="AH127" s="617"/>
      <c r="AI127" s="617"/>
      <c r="AJ127" s="617"/>
      <c r="AK127" s="617"/>
      <c r="AL127" s="618"/>
      <c r="AM127" s="186">
        <f t="shared" ca="1" si="53"/>
        <v>0</v>
      </c>
      <c r="AN127" t="str">
        <f t="shared" ca="1" si="54"/>
        <v/>
      </c>
    </row>
    <row r="128" spans="2:40" x14ac:dyDescent="0.25">
      <c r="B128" s="65">
        <f t="shared" si="55"/>
        <v>2015</v>
      </c>
      <c r="C128" s="76" t="s">
        <v>741</v>
      </c>
      <c r="D128" s="146" t="str">
        <f t="shared" si="28"/>
        <v/>
      </c>
      <c r="E128" s="77">
        <f t="shared" si="29"/>
        <v>0</v>
      </c>
      <c r="F128" s="77">
        <f t="shared" si="33"/>
        <v>0</v>
      </c>
      <c r="G128" s="77">
        <f t="shared" si="32"/>
        <v>1</v>
      </c>
      <c r="H128" s="76">
        <f t="shared" si="34"/>
        <v>1</v>
      </c>
      <c r="I128" s="76">
        <f t="shared" si="30"/>
        <v>0</v>
      </c>
      <c r="J128" s="77">
        <f t="shared" si="35"/>
        <v>0</v>
      </c>
      <c r="K128" s="78">
        <f t="shared" ca="1" si="31"/>
        <v>1</v>
      </c>
      <c r="L128" s="470"/>
      <c r="M128" s="470"/>
      <c r="N128" s="470"/>
      <c r="O128" s="470"/>
      <c r="P128" s="70">
        <f t="shared" ca="1" si="36"/>
        <v>0</v>
      </c>
      <c r="Q128" s="70">
        <f t="shared" ca="1" si="37"/>
        <v>0</v>
      </c>
      <c r="R128" s="70">
        <f t="shared" ca="1" si="38"/>
        <v>0</v>
      </c>
      <c r="S128" s="70">
        <f t="shared" ca="1" si="39"/>
        <v>0</v>
      </c>
      <c r="T128" s="70">
        <f t="shared" ca="1" si="40"/>
        <v>0</v>
      </c>
      <c r="U128" s="70">
        <f t="shared" ca="1" si="41"/>
        <v>0</v>
      </c>
      <c r="V128" s="70">
        <f t="shared" ca="1" si="42"/>
        <v>0</v>
      </c>
      <c r="W128" s="70">
        <f t="shared" ca="1" si="43"/>
        <v>0</v>
      </c>
      <c r="X128" s="70">
        <f t="shared" si="44"/>
        <v>0</v>
      </c>
      <c r="Y128" s="70">
        <f t="shared" si="45"/>
        <v>0</v>
      </c>
      <c r="Z128" s="68">
        <f t="shared" si="46"/>
        <v>1</v>
      </c>
      <c r="AA128" s="84">
        <f t="shared" si="47"/>
        <v>0</v>
      </c>
      <c r="AB128" s="488">
        <f t="array" ref="AB128">ROUNDDOWN(AVERAGE(IFERROR(LARGE((X$6:X127+Y$6:Y127)*Z$6:Z127*(G$6:G127=G128), SC_SSCalcYears),0))/(12*Z128),0)</f>
        <v>0</v>
      </c>
      <c r="AC128" s="69">
        <f t="shared" si="48"/>
        <v>1</v>
      </c>
      <c r="AD128" s="85">
        <f t="shared" si="49"/>
        <v>0</v>
      </c>
      <c r="AE128" s="140">
        <f t="shared" ca="1" si="50"/>
        <v>0</v>
      </c>
      <c r="AF128" s="75">
        <f t="shared" ca="1" si="51"/>
        <v>0</v>
      </c>
      <c r="AG128" s="109">
        <f t="shared" ca="1" si="52"/>
        <v>0</v>
      </c>
      <c r="AH128" s="617">
        <f>SUMIFS($AE128:$AE129,SP_PensionPayout,"Lump sum",$E128:$E129,"&lt;&gt;0")</f>
        <v>0</v>
      </c>
      <c r="AI128" s="617">
        <f>SUMIFS($AE128:$AE129,SP_PensionPayout,"Annuity",$E128:$E129,"&lt;&gt;0")</f>
        <v>0</v>
      </c>
      <c r="AJ128" s="617">
        <f>IF(ISBLANK(INDEX(SP_SSPBFA,1)),0,IF($J128&lt;&gt;INDEX(SP_SSPBFA,1),AJ126,SP_AdditionalRI/INDEX(SC_EA_InflationWageIdx,EAIDX)))</f>
        <v>0</v>
      </c>
      <c r="AK128" s="617">
        <f ca="1">SUMPRODUCT(AF128:AF129, --(G128:G129&lt;&gt;0))</f>
        <v>0</v>
      </c>
      <c r="AL128" s="618">
        <f ca="1">SUMPRODUCT(AG128:AG129, --(E128:E129&lt;&gt;0))+AJ128</f>
        <v>0</v>
      </c>
      <c r="AM128" s="186">
        <f t="shared" ca="1" si="53"/>
        <v>0</v>
      </c>
      <c r="AN128" t="str">
        <f t="shared" ca="1" si="54"/>
        <v/>
      </c>
    </row>
    <row r="129" spans="2:40" x14ac:dyDescent="0.25">
      <c r="B129" s="86">
        <f t="shared" si="55"/>
        <v>2015</v>
      </c>
      <c r="C129" s="80" t="s">
        <v>741</v>
      </c>
      <c r="D129" s="147" t="str">
        <f t="shared" si="28"/>
        <v/>
      </c>
      <c r="E129" s="81">
        <f t="shared" si="29"/>
        <v>0</v>
      </c>
      <c r="F129" s="82">
        <f t="shared" si="33"/>
        <v>0</v>
      </c>
      <c r="G129" s="81">
        <f t="shared" si="32"/>
        <v>2</v>
      </c>
      <c r="H129" s="82">
        <f t="shared" si="34"/>
        <v>-1</v>
      </c>
      <c r="I129" s="82">
        <f t="shared" si="30"/>
        <v>0</v>
      </c>
      <c r="J129" s="81">
        <f t="shared" si="35"/>
        <v>0</v>
      </c>
      <c r="K129" s="83">
        <f t="shared" ca="1" si="31"/>
        <v>1</v>
      </c>
      <c r="L129" s="470"/>
      <c r="M129" s="470"/>
      <c r="N129" s="470"/>
      <c r="O129" s="470"/>
      <c r="P129" s="107">
        <f t="shared" ca="1" si="36"/>
        <v>0</v>
      </c>
      <c r="Q129" s="107">
        <f t="shared" ca="1" si="37"/>
        <v>0</v>
      </c>
      <c r="R129" s="107">
        <f t="shared" ca="1" si="38"/>
        <v>0</v>
      </c>
      <c r="S129" s="107">
        <f t="shared" ca="1" si="39"/>
        <v>0</v>
      </c>
      <c r="T129" s="107">
        <f t="shared" ca="1" si="40"/>
        <v>0</v>
      </c>
      <c r="U129" s="107">
        <f t="shared" ca="1" si="41"/>
        <v>0</v>
      </c>
      <c r="V129" s="107">
        <f t="shared" ca="1" si="42"/>
        <v>0</v>
      </c>
      <c r="W129" s="107">
        <f t="shared" ca="1" si="43"/>
        <v>0</v>
      </c>
      <c r="X129" s="107">
        <f t="shared" si="44"/>
        <v>0</v>
      </c>
      <c r="Y129" s="107">
        <f t="shared" si="45"/>
        <v>0</v>
      </c>
      <c r="Z129" s="87">
        <f t="shared" si="46"/>
        <v>1</v>
      </c>
      <c r="AA129" s="88">
        <f t="shared" si="47"/>
        <v>0</v>
      </c>
      <c r="AB129" s="107">
        <f t="array" ref="AB129">ROUNDDOWN(AVERAGE(IFERROR(LARGE((X$6:X128+Y$6:Y128)*Z$6:Z128*(G$6:G128=G129), SC_SSCalcYears),0))/(12*Z129),0)</f>
        <v>0</v>
      </c>
      <c r="AC129" s="211">
        <f t="shared" si="48"/>
        <v>1</v>
      </c>
      <c r="AD129" s="89">
        <f t="shared" si="49"/>
        <v>0</v>
      </c>
      <c r="AE129" s="141">
        <f t="shared" ca="1" si="50"/>
        <v>0</v>
      </c>
      <c r="AF129" s="106">
        <f t="shared" ca="1" si="51"/>
        <v>0</v>
      </c>
      <c r="AG129" s="110">
        <f t="shared" ca="1" si="52"/>
        <v>0</v>
      </c>
      <c r="AH129" s="617"/>
      <c r="AI129" s="617"/>
      <c r="AJ129" s="617"/>
      <c r="AK129" s="617"/>
      <c r="AL129" s="618"/>
      <c r="AM129" s="186">
        <f t="shared" ca="1" si="53"/>
        <v>0</v>
      </c>
      <c r="AN129" t="str">
        <f t="shared" ca="1" si="54"/>
        <v/>
      </c>
    </row>
    <row r="130" spans="2:40" x14ac:dyDescent="0.25">
      <c r="B130" s="65">
        <f t="shared" si="55"/>
        <v>2016</v>
      </c>
      <c r="C130" s="76" t="s">
        <v>741</v>
      </c>
      <c r="D130" s="146" t="str">
        <f t="shared" si="28"/>
        <v/>
      </c>
      <c r="E130" s="77">
        <f t="shared" si="29"/>
        <v>0</v>
      </c>
      <c r="F130" s="77">
        <f t="shared" si="33"/>
        <v>0</v>
      </c>
      <c r="G130" s="77">
        <f t="shared" si="32"/>
        <v>1</v>
      </c>
      <c r="H130" s="76">
        <f t="shared" si="34"/>
        <v>1</v>
      </c>
      <c r="I130" s="76">
        <f t="shared" si="30"/>
        <v>0</v>
      </c>
      <c r="J130" s="77">
        <f t="shared" si="35"/>
        <v>0</v>
      </c>
      <c r="K130" s="78">
        <f t="shared" ca="1" si="31"/>
        <v>1</v>
      </c>
      <c r="L130" s="470"/>
      <c r="M130" s="470"/>
      <c r="N130" s="470"/>
      <c r="O130" s="470"/>
      <c r="P130" s="70">
        <f t="shared" ca="1" si="36"/>
        <v>0</v>
      </c>
      <c r="Q130" s="70">
        <f t="shared" ca="1" si="37"/>
        <v>0</v>
      </c>
      <c r="R130" s="70">
        <f t="shared" ca="1" si="38"/>
        <v>0</v>
      </c>
      <c r="S130" s="70">
        <f t="shared" ca="1" si="39"/>
        <v>0</v>
      </c>
      <c r="T130" s="70">
        <f t="shared" ca="1" si="40"/>
        <v>0</v>
      </c>
      <c r="U130" s="70">
        <f t="shared" ca="1" si="41"/>
        <v>0</v>
      </c>
      <c r="V130" s="70">
        <f t="shared" ca="1" si="42"/>
        <v>0</v>
      </c>
      <c r="W130" s="70">
        <f t="shared" ca="1" si="43"/>
        <v>0</v>
      </c>
      <c r="X130" s="70">
        <f t="shared" si="44"/>
        <v>0</v>
      </c>
      <c r="Y130" s="70">
        <f t="shared" si="45"/>
        <v>0</v>
      </c>
      <c r="Z130" s="68">
        <f t="shared" si="46"/>
        <v>1</v>
      </c>
      <c r="AA130" s="84">
        <f t="shared" si="47"/>
        <v>0</v>
      </c>
      <c r="AB130" s="488">
        <f t="array" ref="AB130">ROUNDDOWN(AVERAGE(IFERROR(LARGE((X$6:X129+Y$6:Y129)*Z$6:Z129*(G$6:G129=G130), SC_SSCalcYears),0))/(12*Z130),0)</f>
        <v>0</v>
      </c>
      <c r="AC130" s="69">
        <f t="shared" si="48"/>
        <v>1</v>
      </c>
      <c r="AD130" s="85">
        <f t="shared" si="49"/>
        <v>0</v>
      </c>
      <c r="AE130" s="140">
        <f t="shared" ca="1" si="50"/>
        <v>0</v>
      </c>
      <c r="AF130" s="75">
        <f t="shared" ca="1" si="51"/>
        <v>0</v>
      </c>
      <c r="AG130" s="109">
        <f t="shared" ca="1" si="52"/>
        <v>0</v>
      </c>
      <c r="AH130" s="617">
        <f>SUMIFS($AE130:$AE131,SP_PensionPayout,"Lump sum",$E130:$E131,"&lt;&gt;0")</f>
        <v>0</v>
      </c>
      <c r="AI130" s="617">
        <f>SUMIFS($AE130:$AE131,SP_PensionPayout,"Annuity",$E130:$E131,"&lt;&gt;0")</f>
        <v>0</v>
      </c>
      <c r="AJ130" s="617">
        <f>IF(ISBLANK(INDEX(SP_SSPBFA,1)),0,IF($J130&lt;&gt;INDEX(SP_SSPBFA,1),AJ128,SP_AdditionalRI/INDEX(SC_EA_InflationWageIdx,EAIDX)))</f>
        <v>0</v>
      </c>
      <c r="AK130" s="617">
        <f ca="1">SUMPRODUCT(AF130:AF131, --(G130:G131&lt;&gt;0))</f>
        <v>0</v>
      </c>
      <c r="AL130" s="618">
        <f ca="1">SUMPRODUCT(AG130:AG131, --(E130:E131&lt;&gt;0))+AJ130</f>
        <v>0</v>
      </c>
      <c r="AM130" s="186">
        <f t="shared" ca="1" si="53"/>
        <v>0</v>
      </c>
      <c r="AN130" t="str">
        <f t="shared" ca="1" si="54"/>
        <v/>
      </c>
    </row>
    <row r="131" spans="2:40" x14ac:dyDescent="0.25">
      <c r="B131" s="86">
        <f t="shared" si="55"/>
        <v>2016</v>
      </c>
      <c r="C131" s="80" t="s">
        <v>741</v>
      </c>
      <c r="D131" s="147" t="str">
        <f t="shared" si="28"/>
        <v/>
      </c>
      <c r="E131" s="81">
        <f t="shared" si="29"/>
        <v>0</v>
      </c>
      <c r="F131" s="82">
        <f t="shared" si="33"/>
        <v>0</v>
      </c>
      <c r="G131" s="81">
        <f t="shared" si="32"/>
        <v>2</v>
      </c>
      <c r="H131" s="82">
        <f t="shared" si="34"/>
        <v>-1</v>
      </c>
      <c r="I131" s="82">
        <f t="shared" si="30"/>
        <v>0</v>
      </c>
      <c r="J131" s="81">
        <f t="shared" si="35"/>
        <v>0</v>
      </c>
      <c r="K131" s="83">
        <f t="shared" ca="1" si="31"/>
        <v>1</v>
      </c>
      <c r="L131" s="470"/>
      <c r="M131" s="470"/>
      <c r="N131" s="470"/>
      <c r="O131" s="470"/>
      <c r="P131" s="107">
        <f t="shared" ca="1" si="36"/>
        <v>0</v>
      </c>
      <c r="Q131" s="107">
        <f t="shared" ca="1" si="37"/>
        <v>0</v>
      </c>
      <c r="R131" s="107">
        <f t="shared" ca="1" si="38"/>
        <v>0</v>
      </c>
      <c r="S131" s="107">
        <f t="shared" ca="1" si="39"/>
        <v>0</v>
      </c>
      <c r="T131" s="107">
        <f t="shared" ca="1" si="40"/>
        <v>0</v>
      </c>
      <c r="U131" s="107">
        <f t="shared" ca="1" si="41"/>
        <v>0</v>
      </c>
      <c r="V131" s="107">
        <f t="shared" ca="1" si="42"/>
        <v>0</v>
      </c>
      <c r="W131" s="107">
        <f t="shared" ca="1" si="43"/>
        <v>0</v>
      </c>
      <c r="X131" s="107">
        <f t="shared" si="44"/>
        <v>0</v>
      </c>
      <c r="Y131" s="107">
        <f t="shared" si="45"/>
        <v>0</v>
      </c>
      <c r="Z131" s="87">
        <f t="shared" si="46"/>
        <v>1</v>
      </c>
      <c r="AA131" s="88">
        <f t="shared" si="47"/>
        <v>0</v>
      </c>
      <c r="AB131" s="107">
        <f t="array" ref="AB131">ROUNDDOWN(AVERAGE(IFERROR(LARGE((X$6:X130+Y$6:Y130)*Z$6:Z130*(G$6:G130=G131), SC_SSCalcYears),0))/(12*Z131),0)</f>
        <v>0</v>
      </c>
      <c r="AC131" s="211">
        <f t="shared" si="48"/>
        <v>1</v>
      </c>
      <c r="AD131" s="89">
        <f t="shared" si="49"/>
        <v>0</v>
      </c>
      <c r="AE131" s="141">
        <f t="shared" ca="1" si="50"/>
        <v>0</v>
      </c>
      <c r="AF131" s="106">
        <f t="shared" ca="1" si="51"/>
        <v>0</v>
      </c>
      <c r="AG131" s="110">
        <f t="shared" ca="1" si="52"/>
        <v>0</v>
      </c>
      <c r="AH131" s="617"/>
      <c r="AI131" s="617"/>
      <c r="AJ131" s="617"/>
      <c r="AK131" s="617"/>
      <c r="AL131" s="618"/>
      <c r="AM131" s="186">
        <f t="shared" ca="1" si="53"/>
        <v>0</v>
      </c>
      <c r="AN131" t="str">
        <f t="shared" ca="1" si="54"/>
        <v/>
      </c>
    </row>
    <row r="132" spans="2:40" x14ac:dyDescent="0.25">
      <c r="B132" s="65">
        <f t="shared" si="55"/>
        <v>2017</v>
      </c>
      <c r="C132" s="76" t="s">
        <v>741</v>
      </c>
      <c r="D132" s="146" t="str">
        <f t="shared" ref="D132:D195" si="56">INDEX(SP_Initials,G132)</f>
        <v/>
      </c>
      <c r="E132" s="77">
        <f t="shared" ref="E132:E195" si="57">INDEX(SC_TaxIndex,$G132)</f>
        <v>0</v>
      </c>
      <c r="F132" s="77">
        <f t="shared" si="33"/>
        <v>0</v>
      </c>
      <c r="G132" s="77">
        <f t="shared" si="32"/>
        <v>1</v>
      </c>
      <c r="H132" s="76">
        <f t="shared" si="34"/>
        <v>1</v>
      </c>
      <c r="I132" s="76">
        <f t="shared" ref="I132:I195" si="58">IF(INDEX(SC_ShowRetireatee,$G132),IF($B132&lt;YEAR(INDEX(SP_BirthDate,$G132)),0,$B132-YEAR(INDEX(SP_BirthDate,$G132))),0)</f>
        <v>0</v>
      </c>
      <c r="J132" s="77">
        <f t="shared" si="35"/>
        <v>0</v>
      </c>
      <c r="K132" s="78">
        <f t="shared" ref="K132:K195" ca="1" si="59">IF($B132&lt;SC_TargetRY,1,IF($B132=SC_TargetRY,-(1-YEARFRAC(SP_TargetRD,DATE($B132+1,1,1))),0))</f>
        <v>1</v>
      </c>
      <c r="L132" s="470"/>
      <c r="M132" s="470"/>
      <c r="N132" s="470"/>
      <c r="O132" s="470"/>
      <c r="P132" s="70">
        <f t="shared" ca="1" si="36"/>
        <v>0</v>
      </c>
      <c r="Q132" s="70">
        <f t="shared" ca="1" si="37"/>
        <v>0</v>
      </c>
      <c r="R132" s="70">
        <f t="shared" ca="1" si="38"/>
        <v>0</v>
      </c>
      <c r="S132" s="70">
        <f t="shared" ca="1" si="39"/>
        <v>0</v>
      </c>
      <c r="T132" s="70">
        <f t="shared" ca="1" si="40"/>
        <v>0</v>
      </c>
      <c r="U132" s="70">
        <f t="shared" ca="1" si="41"/>
        <v>0</v>
      </c>
      <c r="V132" s="70">
        <f t="shared" ca="1" si="42"/>
        <v>0</v>
      </c>
      <c r="W132" s="70">
        <f t="shared" ca="1" si="43"/>
        <v>0</v>
      </c>
      <c r="X132" s="70">
        <f t="shared" si="44"/>
        <v>0</v>
      </c>
      <c r="Y132" s="70">
        <f t="shared" si="45"/>
        <v>0</v>
      </c>
      <c r="Z132" s="68">
        <f t="shared" si="46"/>
        <v>1</v>
      </c>
      <c r="AA132" s="84">
        <f t="shared" si="47"/>
        <v>0</v>
      </c>
      <c r="AB132" s="488">
        <f t="array" ref="AB132">ROUNDDOWN(AVERAGE(IFERROR(LARGE((X$6:X131+Y$6:Y131)*Z$6:Z131*(G$6:G131=G132), SC_SSCalcYears),0))/(12*Z132),0)</f>
        <v>0</v>
      </c>
      <c r="AC132" s="69">
        <f t="shared" si="48"/>
        <v>1</v>
      </c>
      <c r="AD132" s="85">
        <f t="shared" si="49"/>
        <v>0</v>
      </c>
      <c r="AE132" s="140">
        <f t="shared" ca="1" si="50"/>
        <v>0</v>
      </c>
      <c r="AF132" s="75">
        <f t="shared" ca="1" si="51"/>
        <v>0</v>
      </c>
      <c r="AG132" s="109">
        <f t="shared" ca="1" si="52"/>
        <v>0</v>
      </c>
      <c r="AH132" s="617">
        <f>SUMIFS($AE132:$AE133,SP_PensionPayout,"Lump sum",$E132:$E133,"&lt;&gt;0")</f>
        <v>0</v>
      </c>
      <c r="AI132" s="617">
        <f>SUMIFS($AE132:$AE133,SP_PensionPayout,"Annuity",$E132:$E133,"&lt;&gt;0")</f>
        <v>0</v>
      </c>
      <c r="AJ132" s="617">
        <f>IF(ISBLANK(INDEX(SP_SSPBFA,1)),0,IF($J132&lt;&gt;INDEX(SP_SSPBFA,1),AJ130,SP_AdditionalRI/INDEX(SC_EA_InflationWageIdx,EAIDX)))</f>
        <v>0</v>
      </c>
      <c r="AK132" s="617">
        <f ca="1">SUMPRODUCT(AF132:AF133, --(G132:G133&lt;&gt;0))</f>
        <v>0</v>
      </c>
      <c r="AL132" s="618">
        <f ca="1">SUMPRODUCT(AG132:AG133, --(E132:E133&lt;&gt;0))+AJ132</f>
        <v>0</v>
      </c>
      <c r="AM132" s="186">
        <f t="shared" ca="1" si="53"/>
        <v>0</v>
      </c>
      <c r="AN132" t="str">
        <f t="shared" ca="1" si="54"/>
        <v/>
      </c>
    </row>
    <row r="133" spans="2:40" x14ac:dyDescent="0.25">
      <c r="B133" s="86">
        <f t="shared" si="55"/>
        <v>2017</v>
      </c>
      <c r="C133" s="80" t="s">
        <v>741</v>
      </c>
      <c r="D133" s="147" t="str">
        <f t="shared" si="56"/>
        <v/>
      </c>
      <c r="E133" s="81">
        <f t="shared" si="57"/>
        <v>0</v>
      </c>
      <c r="F133" s="82">
        <f t="shared" si="33"/>
        <v>0</v>
      </c>
      <c r="G133" s="81">
        <f t="shared" ref="G133:G196" si="60">MOD(ROW(),2)+1</f>
        <v>2</v>
      </c>
      <c r="H133" s="82">
        <f t="shared" si="34"/>
        <v>-1</v>
      </c>
      <c r="I133" s="82">
        <f t="shared" si="58"/>
        <v>0</v>
      </c>
      <c r="J133" s="81">
        <f t="shared" si="35"/>
        <v>0</v>
      </c>
      <c r="K133" s="83">
        <f t="shared" ca="1" si="59"/>
        <v>1</v>
      </c>
      <c r="L133" s="470"/>
      <c r="M133" s="470"/>
      <c r="N133" s="470"/>
      <c r="O133" s="470"/>
      <c r="P133" s="107">
        <f t="shared" ca="1" si="36"/>
        <v>0</v>
      </c>
      <c r="Q133" s="107">
        <f t="shared" ca="1" si="37"/>
        <v>0</v>
      </c>
      <c r="R133" s="107">
        <f t="shared" ca="1" si="38"/>
        <v>0</v>
      </c>
      <c r="S133" s="107">
        <f t="shared" ca="1" si="39"/>
        <v>0</v>
      </c>
      <c r="T133" s="107">
        <f t="shared" ca="1" si="40"/>
        <v>0</v>
      </c>
      <c r="U133" s="107">
        <f t="shared" ca="1" si="41"/>
        <v>0</v>
      </c>
      <c r="V133" s="107">
        <f t="shared" ca="1" si="42"/>
        <v>0</v>
      </c>
      <c r="W133" s="107">
        <f t="shared" ca="1" si="43"/>
        <v>0</v>
      </c>
      <c r="X133" s="107">
        <f t="shared" si="44"/>
        <v>0</v>
      </c>
      <c r="Y133" s="107">
        <f t="shared" si="45"/>
        <v>0</v>
      </c>
      <c r="Z133" s="87">
        <f t="shared" si="46"/>
        <v>1</v>
      </c>
      <c r="AA133" s="88">
        <f t="shared" si="47"/>
        <v>0</v>
      </c>
      <c r="AB133" s="107">
        <f t="array" ref="AB133">ROUNDDOWN(AVERAGE(IFERROR(LARGE((X$6:X132+Y$6:Y132)*Z$6:Z132*(G$6:G132=G133), SC_SSCalcYears),0))/(12*Z133),0)</f>
        <v>0</v>
      </c>
      <c r="AC133" s="211">
        <f t="shared" si="48"/>
        <v>1</v>
      </c>
      <c r="AD133" s="89">
        <f t="shared" si="49"/>
        <v>0</v>
      </c>
      <c r="AE133" s="141">
        <f t="shared" ca="1" si="50"/>
        <v>0</v>
      </c>
      <c r="AF133" s="106">
        <f t="shared" ca="1" si="51"/>
        <v>0</v>
      </c>
      <c r="AG133" s="110">
        <f t="shared" ca="1" si="52"/>
        <v>0</v>
      </c>
      <c r="AH133" s="617"/>
      <c r="AI133" s="617"/>
      <c r="AJ133" s="617"/>
      <c r="AK133" s="617"/>
      <c r="AL133" s="618"/>
      <c r="AM133" s="186">
        <f t="shared" ca="1" si="53"/>
        <v>0</v>
      </c>
      <c r="AN133" t="str">
        <f t="shared" ca="1" si="54"/>
        <v/>
      </c>
    </row>
    <row r="134" spans="2:40" x14ac:dyDescent="0.25">
      <c r="B134" s="65">
        <f t="shared" si="55"/>
        <v>2018</v>
      </c>
      <c r="C134" s="76" t="s">
        <v>741</v>
      </c>
      <c r="D134" s="146" t="str">
        <f t="shared" si="56"/>
        <v/>
      </c>
      <c r="E134" s="77">
        <f t="shared" si="57"/>
        <v>0</v>
      </c>
      <c r="F134" s="77">
        <f t="shared" ref="F134:F197" si="61">MAX($J134+1-INDEX(SP_StartWorkAge,$G134),0)</f>
        <v>0</v>
      </c>
      <c r="G134" s="77">
        <f t="shared" si="60"/>
        <v>1</v>
      </c>
      <c r="H134" s="76">
        <f t="shared" ref="H134:H197" si="62">MOD($G134,2)-($G134-1)</f>
        <v>1</v>
      </c>
      <c r="I134" s="76">
        <f t="shared" si="58"/>
        <v>0</v>
      </c>
      <c r="J134" s="77">
        <f t="shared" ref="J134:J197" si="63">IF(INDEX(SC_ShowRetireatee,$G134),IF($B134&gt;(YEAR(INDEX(SP_BirthDate,$G134))+INDEX(SP_LifeExp,$G134)),0,$I134),0)</f>
        <v>0</v>
      </c>
      <c r="K134" s="78">
        <f t="shared" ca="1" si="59"/>
        <v>1</v>
      </c>
      <c r="L134" s="470"/>
      <c r="M134" s="470"/>
      <c r="N134" s="470"/>
      <c r="O134" s="470"/>
      <c r="P134" s="70">
        <f t="shared" ref="P134:P197" ca="1" si="64">IF(IF(COLUMN()=COLUMN(L134),TRUE,ISBLANK(L134)), IF(OR($F134=0,$K134=0),0,IF($B134=SP_CurrentYear, 0, IF($B134&gt;SP_CurrentYear, $P132*(1+INDEX(SP_EA_InflationWageRate, EAIDX-1)+INDEX(SP_IncomeEmployerAdj, $G134)), $P136/(1+INDEX(SP_EA_InflationWageRate, EAIDX)+INDEX(SP_IncomeEmployerAdj, $G134))))), L134)</f>
        <v>0</v>
      </c>
      <c r="Q134" s="70">
        <f t="shared" ref="Q134:Q197" ca="1" si="65">IF(IF(COLUMN()=COLUMN(M134),TRUE,ISBLANK(M134)), IF(OR($F134=0,$K134=0),0,IF($B134=SP_CurrentYear, 0, IF($B134&gt;SP_CurrentYear, $Q132*(1+INDEX(SP_EA_InflationWageRate, EAIDX-1)+INDEX(SP_IncomeSEAdj, $G134)), 0))), M134)</f>
        <v>0</v>
      </c>
      <c r="R134" s="70">
        <f t="shared" ref="R134:R197" ca="1" si="66">IF(IF(COLUMN()=COLUMN(N134),TRUE,ISBLANK(N134)), IF($B134=SP_CurrentYear, 0, IF($B134&gt;SP_CurrentYear, $R132*(1+INDEX(SP_EA_InflationWageRate, EAIDX-1)+INDEX(SP_IncomePassiveAdj, $G134)), 0)), N134)</f>
        <v>0</v>
      </c>
      <c r="S134" s="70">
        <f t="shared" ref="S134:S197" ca="1" si="67">IF(IF(COLUMN()=COLUMN(O134),TRUE,ISBLANK(O134)), IF($B134=SP_CurrentYear,(-INDEX(SC_ExpensesLivingPF,$G134,1)*ABS($K134)-INDEX(SC_ExpensesLivingPF,$G134,2)*(1-ABS($K134)))/INDEX(SC_EA_InflationCPIdx, EAIDX)*12, IF($B134&gt;SP_CurrentYear, $S132*(1+INDEX(SP_EA_InflationCPRate, EAIDX-1)), IF($P134=0, 0,$S136/(1+INDEX(SP_EA_InflationCPRate, EAIDX)))))*ABS($K134), O134)</f>
        <v>0</v>
      </c>
      <c r="T134" s="70">
        <f t="shared" ref="T134:T197" ca="1" si="68">P134*ABS($K134)</f>
        <v>0</v>
      </c>
      <c r="U134" s="70">
        <f t="shared" ref="U134:U197" ca="1" si="69">Q134*ABS($K134)</f>
        <v>0</v>
      </c>
      <c r="V134" s="70">
        <f t="shared" ref="V134:V197" ca="1" si="70">MAX(T134-ABS($S134)*ABS($K134), 0)</f>
        <v>0</v>
      </c>
      <c r="W134" s="70">
        <f t="shared" ref="W134:W197" ca="1" si="71">MAX(U134-MAX(ABS($S134)*ABS($K134)-P134, 0),0)</f>
        <v>0</v>
      </c>
      <c r="X134" s="70">
        <f t="shared" ref="X134:X197" si="72">IF($J134=0, 0, MAX(MIN(T134-ABS($S134)*ABS($K134), INDEX(SC_EA_SSWageBase, EAIDX)), 0))</f>
        <v>0</v>
      </c>
      <c r="Y134" s="70">
        <f t="shared" ref="Y134:Y197" si="73">IF($J134=0, 0, MIN(MAX(U134-MAX(ABS($S134)*ABS($K134)-P134, 0),0), INDEX(SC_EA_SSWageBase, EAIDX)-X134))</f>
        <v>0</v>
      </c>
      <c r="Z134" s="68">
        <f t="shared" ref="Z134:Z197" si="74">IF($J134=0,1,IF($B134&gt;=INDEX(SC_SSBaseYear,$G134),1,Z136*(INDEX(SP_EA_InflationWageRate, EAIDX+1)+1)))</f>
        <v>1</v>
      </c>
      <c r="AA134" s="84">
        <f t="shared" ref="AA134:AA197" si="75">IF($J134=0, 0, ROUNDDOWN(MIN((X134+Y134)*Z134,LT_SSMaxCredit*Z134)/(LT_SSOneCredit*Z134), 0))</f>
        <v>0</v>
      </c>
      <c r="AB134" s="488">
        <f t="array" ref="AB134">ROUNDDOWN(AVERAGE(IFERROR(LARGE((X$6:X133+Y$6:Y133)*Z$6:Z133*(G$6:G133=G134), SC_SSCalcYears),0))/(12*Z134),0)</f>
        <v>0</v>
      </c>
      <c r="AC134" s="69">
        <f t="shared" ref="AC134:AC197" si="76">IF($I134&gt;0, IF($B134&lt;=INDEX(SC_SSBaseYear,$G134)+2,Z134,1/(1/AC132*(INDEX(SC_EA_SSCOLA, EAIDX-1)+1))), 1)</f>
        <v>1</v>
      </c>
      <c r="AD134" s="85">
        <f t="shared" ref="AD134:AD197" si="77">IF(INDEX(SP_PensionSWD,$G134)="",0,IF(YEAR(INDEX(SP_PensionSWD,$G134))&gt;$B134,0,YEARFRAC(INDEX(SP_PensionSWD,$G134), MIN(DATE($B134+1,1,1),SP_TargetRD))))</f>
        <v>0</v>
      </c>
      <c r="AE134" s="140">
        <f t="shared" ref="AE134:AE197" ca="1" si="78">IF(AND(AD134&gt;0, $B134=SC_TargetRY, INDEX(SP_PensionFAE,$G134)&gt;0),SUMIF(OFFSET(G134,-MIN(INDEX(SP_PensionFAE,$G134),AD134)*2,0,MIN(INDEX(SP_PensionFAE,$G134),AD134)*2),$G134,OFFSET(P134,-MIN(INDEX(SP_PensionFAE,$G134),AD134)*2,0,MIN(INDEX(SP_PensionFAE,$G134),AD134)*2))/MIN(INDEX(SP_PensionFAE,$G134),AD134)*INDEX(SP_PensionPCT,$G134)*AD134,0)</f>
        <v>0</v>
      </c>
      <c r="AF134" s="75">
        <f t="shared" ref="AF134:AF197" ca="1" si="79">$T134+$U134</f>
        <v>0</v>
      </c>
      <c r="AG134" s="109">
        <f t="shared" ref="AG134:AG197" ca="1" si="80">$R134</f>
        <v>0</v>
      </c>
      <c r="AH134" s="617">
        <f>SUMIFS($AE134:$AE135,SP_PensionPayout,"Lump sum",$E134:$E135,"&lt;&gt;0")</f>
        <v>0</v>
      </c>
      <c r="AI134" s="617">
        <f>SUMIFS($AE134:$AE135,SP_PensionPayout,"Annuity",$E134:$E135,"&lt;&gt;0")</f>
        <v>0</v>
      </c>
      <c r="AJ134" s="617">
        <f>IF(ISBLANK(INDEX(SP_SSPBFA,1)),0,IF($J134&lt;&gt;INDEX(SP_SSPBFA,1),AJ132,SP_AdditionalRI/INDEX(SC_EA_InflationWageIdx,EAIDX)))</f>
        <v>0</v>
      </c>
      <c r="AK134" s="617">
        <f ca="1">SUMPRODUCT(AF134:AF135, --(G134:G135&lt;&gt;0))</f>
        <v>0</v>
      </c>
      <c r="AL134" s="618">
        <f ca="1">SUMPRODUCT(AG134:AG135, --(E134:E135&lt;&gt;0))+AJ134</f>
        <v>0</v>
      </c>
      <c r="AM134" s="186">
        <f t="shared" ref="AM134:AM197" ca="1" si="81">IFERROR(IF(OR(NOT(ISNUMBER($P134)),$P134&lt;0,NOT(ISNUMBER($Q134)),$Q134&lt;0,NOT(ISNUMBER($R134)),$R134&lt;0,NOT(ISNUMBER($S134)),$S134&lt;0),202,0),203)</f>
        <v>0</v>
      </c>
      <c r="AN134" t="str">
        <f t="shared" ref="AN134:AN197" ca="1" si="82">IFERROR(VLOOKUP(AM134,IV_CodeTable,2,FALSE),"")</f>
        <v/>
      </c>
    </row>
    <row r="135" spans="2:40" x14ac:dyDescent="0.25">
      <c r="B135" s="86">
        <f t="shared" ref="B135:B198" si="83">B133+1</f>
        <v>2018</v>
      </c>
      <c r="C135" s="80" t="s">
        <v>741</v>
      </c>
      <c r="D135" s="147" t="str">
        <f t="shared" si="56"/>
        <v/>
      </c>
      <c r="E135" s="81">
        <f t="shared" si="57"/>
        <v>0</v>
      </c>
      <c r="F135" s="82">
        <f t="shared" si="61"/>
        <v>0</v>
      </c>
      <c r="G135" s="81">
        <f t="shared" si="60"/>
        <v>2</v>
      </c>
      <c r="H135" s="82">
        <f t="shared" si="62"/>
        <v>-1</v>
      </c>
      <c r="I135" s="82">
        <f t="shared" si="58"/>
        <v>0</v>
      </c>
      <c r="J135" s="81">
        <f t="shared" si="63"/>
        <v>0</v>
      </c>
      <c r="K135" s="83">
        <f t="shared" ca="1" si="59"/>
        <v>1</v>
      </c>
      <c r="L135" s="470"/>
      <c r="M135" s="470"/>
      <c r="N135" s="470"/>
      <c r="O135" s="470"/>
      <c r="P135" s="107">
        <f t="shared" ca="1" si="64"/>
        <v>0</v>
      </c>
      <c r="Q135" s="107">
        <f t="shared" ca="1" si="65"/>
        <v>0</v>
      </c>
      <c r="R135" s="107">
        <f t="shared" ca="1" si="66"/>
        <v>0</v>
      </c>
      <c r="S135" s="107">
        <f t="shared" ca="1" si="67"/>
        <v>0</v>
      </c>
      <c r="T135" s="107">
        <f t="shared" ca="1" si="68"/>
        <v>0</v>
      </c>
      <c r="U135" s="107">
        <f t="shared" ca="1" si="69"/>
        <v>0</v>
      </c>
      <c r="V135" s="107">
        <f t="shared" ca="1" si="70"/>
        <v>0</v>
      </c>
      <c r="W135" s="107">
        <f t="shared" ca="1" si="71"/>
        <v>0</v>
      </c>
      <c r="X135" s="107">
        <f t="shared" si="72"/>
        <v>0</v>
      </c>
      <c r="Y135" s="107">
        <f t="shared" si="73"/>
        <v>0</v>
      </c>
      <c r="Z135" s="87">
        <f t="shared" si="74"/>
        <v>1</v>
      </c>
      <c r="AA135" s="88">
        <f t="shared" si="75"/>
        <v>0</v>
      </c>
      <c r="AB135" s="107">
        <f t="array" ref="AB135">ROUNDDOWN(AVERAGE(IFERROR(LARGE((X$6:X134+Y$6:Y134)*Z$6:Z134*(G$6:G134=G135), SC_SSCalcYears),0))/(12*Z135),0)</f>
        <v>0</v>
      </c>
      <c r="AC135" s="211">
        <f t="shared" si="76"/>
        <v>1</v>
      </c>
      <c r="AD135" s="89">
        <f t="shared" si="77"/>
        <v>0</v>
      </c>
      <c r="AE135" s="141">
        <f t="shared" ca="1" si="78"/>
        <v>0</v>
      </c>
      <c r="AF135" s="106">
        <f t="shared" ca="1" si="79"/>
        <v>0</v>
      </c>
      <c r="AG135" s="110">
        <f t="shared" ca="1" si="80"/>
        <v>0</v>
      </c>
      <c r="AH135" s="617"/>
      <c r="AI135" s="617"/>
      <c r="AJ135" s="617"/>
      <c r="AK135" s="617"/>
      <c r="AL135" s="618"/>
      <c r="AM135" s="186">
        <f t="shared" ca="1" si="81"/>
        <v>0</v>
      </c>
      <c r="AN135" t="str">
        <f t="shared" ca="1" si="82"/>
        <v/>
      </c>
    </row>
    <row r="136" spans="2:40" x14ac:dyDescent="0.25">
      <c r="B136" s="65">
        <f t="shared" si="83"/>
        <v>2019</v>
      </c>
      <c r="C136" s="76" t="s">
        <v>741</v>
      </c>
      <c r="D136" s="146" t="str">
        <f t="shared" si="56"/>
        <v/>
      </c>
      <c r="E136" s="77">
        <f t="shared" si="57"/>
        <v>0</v>
      </c>
      <c r="F136" s="77">
        <f t="shared" si="61"/>
        <v>0</v>
      </c>
      <c r="G136" s="77">
        <f t="shared" si="60"/>
        <v>1</v>
      </c>
      <c r="H136" s="76">
        <f t="shared" si="62"/>
        <v>1</v>
      </c>
      <c r="I136" s="76">
        <f t="shared" si="58"/>
        <v>0</v>
      </c>
      <c r="J136" s="77">
        <f t="shared" si="63"/>
        <v>0</v>
      </c>
      <c r="K136" s="78">
        <f t="shared" ca="1" si="59"/>
        <v>1</v>
      </c>
      <c r="L136" s="470"/>
      <c r="M136" s="470"/>
      <c r="N136" s="470"/>
      <c r="O136" s="470"/>
      <c r="P136" s="70">
        <f t="shared" ca="1" si="64"/>
        <v>0</v>
      </c>
      <c r="Q136" s="70">
        <f t="shared" ca="1" si="65"/>
        <v>0</v>
      </c>
      <c r="R136" s="70">
        <f t="shared" ca="1" si="66"/>
        <v>0</v>
      </c>
      <c r="S136" s="70">
        <f t="shared" ca="1" si="67"/>
        <v>0</v>
      </c>
      <c r="T136" s="70">
        <f t="shared" ca="1" si="68"/>
        <v>0</v>
      </c>
      <c r="U136" s="70">
        <f t="shared" ca="1" si="69"/>
        <v>0</v>
      </c>
      <c r="V136" s="70">
        <f t="shared" ca="1" si="70"/>
        <v>0</v>
      </c>
      <c r="W136" s="70">
        <f t="shared" ca="1" si="71"/>
        <v>0</v>
      </c>
      <c r="X136" s="70">
        <f t="shared" si="72"/>
        <v>0</v>
      </c>
      <c r="Y136" s="70">
        <f t="shared" si="73"/>
        <v>0</v>
      </c>
      <c r="Z136" s="68">
        <f t="shared" si="74"/>
        <v>1</v>
      </c>
      <c r="AA136" s="84">
        <f t="shared" si="75"/>
        <v>0</v>
      </c>
      <c r="AB136" s="488">
        <f t="array" ref="AB136">ROUNDDOWN(AVERAGE(IFERROR(LARGE((X$6:X135+Y$6:Y135)*Z$6:Z135*(G$6:G135=G136), SC_SSCalcYears),0))/(12*Z136),0)</f>
        <v>0</v>
      </c>
      <c r="AC136" s="69">
        <f t="shared" si="76"/>
        <v>1</v>
      </c>
      <c r="AD136" s="85">
        <f t="shared" si="77"/>
        <v>0</v>
      </c>
      <c r="AE136" s="140">
        <f t="shared" ca="1" si="78"/>
        <v>0</v>
      </c>
      <c r="AF136" s="75">
        <f t="shared" ca="1" si="79"/>
        <v>0</v>
      </c>
      <c r="AG136" s="109">
        <f t="shared" ca="1" si="80"/>
        <v>0</v>
      </c>
      <c r="AH136" s="617">
        <f>SUMIFS($AE136:$AE137,SP_PensionPayout,"Lump sum",$E136:$E137,"&lt;&gt;0")</f>
        <v>0</v>
      </c>
      <c r="AI136" s="617">
        <f>SUMIFS($AE136:$AE137,SP_PensionPayout,"Annuity",$E136:$E137,"&lt;&gt;0")</f>
        <v>0</v>
      </c>
      <c r="AJ136" s="617">
        <f>IF(ISBLANK(INDEX(SP_SSPBFA,1)),0,IF($J136&lt;&gt;INDEX(SP_SSPBFA,1),AJ134,SP_AdditionalRI/INDEX(SC_EA_InflationWageIdx,EAIDX)))</f>
        <v>0</v>
      </c>
      <c r="AK136" s="617">
        <f ca="1">SUMPRODUCT(AF136:AF137, --(G136:G137&lt;&gt;0))</f>
        <v>0</v>
      </c>
      <c r="AL136" s="618">
        <f ca="1">SUMPRODUCT(AG136:AG137, --(E136:E137&lt;&gt;0))+AJ136</f>
        <v>0</v>
      </c>
      <c r="AM136" s="186">
        <f t="shared" ca="1" si="81"/>
        <v>0</v>
      </c>
      <c r="AN136" t="str">
        <f t="shared" ca="1" si="82"/>
        <v/>
      </c>
    </row>
    <row r="137" spans="2:40" x14ac:dyDescent="0.25">
      <c r="B137" s="86">
        <f t="shared" si="83"/>
        <v>2019</v>
      </c>
      <c r="C137" s="80" t="s">
        <v>741</v>
      </c>
      <c r="D137" s="147" t="str">
        <f t="shared" si="56"/>
        <v/>
      </c>
      <c r="E137" s="81">
        <f t="shared" si="57"/>
        <v>0</v>
      </c>
      <c r="F137" s="82">
        <f t="shared" si="61"/>
        <v>0</v>
      </c>
      <c r="G137" s="81">
        <f t="shared" si="60"/>
        <v>2</v>
      </c>
      <c r="H137" s="82">
        <f t="shared" si="62"/>
        <v>-1</v>
      </c>
      <c r="I137" s="82">
        <f t="shared" si="58"/>
        <v>0</v>
      </c>
      <c r="J137" s="81">
        <f t="shared" si="63"/>
        <v>0</v>
      </c>
      <c r="K137" s="83">
        <f t="shared" ca="1" si="59"/>
        <v>1</v>
      </c>
      <c r="L137" s="470"/>
      <c r="M137" s="470"/>
      <c r="N137" s="470"/>
      <c r="O137" s="470"/>
      <c r="P137" s="107">
        <f t="shared" ca="1" si="64"/>
        <v>0</v>
      </c>
      <c r="Q137" s="107">
        <f t="shared" ca="1" si="65"/>
        <v>0</v>
      </c>
      <c r="R137" s="107">
        <f t="shared" ca="1" si="66"/>
        <v>0</v>
      </c>
      <c r="S137" s="107">
        <f t="shared" ca="1" si="67"/>
        <v>0</v>
      </c>
      <c r="T137" s="107">
        <f t="shared" ca="1" si="68"/>
        <v>0</v>
      </c>
      <c r="U137" s="107">
        <f t="shared" ca="1" si="69"/>
        <v>0</v>
      </c>
      <c r="V137" s="107">
        <f t="shared" ca="1" si="70"/>
        <v>0</v>
      </c>
      <c r="W137" s="107">
        <f t="shared" ca="1" si="71"/>
        <v>0</v>
      </c>
      <c r="X137" s="107">
        <f t="shared" si="72"/>
        <v>0</v>
      </c>
      <c r="Y137" s="107">
        <f t="shared" si="73"/>
        <v>0</v>
      </c>
      <c r="Z137" s="87">
        <f t="shared" si="74"/>
        <v>1</v>
      </c>
      <c r="AA137" s="88">
        <f t="shared" si="75"/>
        <v>0</v>
      </c>
      <c r="AB137" s="107">
        <f t="array" ref="AB137">ROUNDDOWN(AVERAGE(IFERROR(LARGE((X$6:X136+Y$6:Y136)*Z$6:Z136*(G$6:G136=G137), SC_SSCalcYears),0))/(12*Z137),0)</f>
        <v>0</v>
      </c>
      <c r="AC137" s="211">
        <f t="shared" si="76"/>
        <v>1</v>
      </c>
      <c r="AD137" s="89">
        <f t="shared" si="77"/>
        <v>0</v>
      </c>
      <c r="AE137" s="141">
        <f t="shared" ca="1" si="78"/>
        <v>0</v>
      </c>
      <c r="AF137" s="106">
        <f t="shared" ca="1" si="79"/>
        <v>0</v>
      </c>
      <c r="AG137" s="110">
        <f t="shared" ca="1" si="80"/>
        <v>0</v>
      </c>
      <c r="AH137" s="617"/>
      <c r="AI137" s="617"/>
      <c r="AJ137" s="617"/>
      <c r="AK137" s="617"/>
      <c r="AL137" s="618"/>
      <c r="AM137" s="186">
        <f t="shared" ca="1" si="81"/>
        <v>0</v>
      </c>
      <c r="AN137" t="str">
        <f t="shared" ca="1" si="82"/>
        <v/>
      </c>
    </row>
    <row r="138" spans="2:40" x14ac:dyDescent="0.25">
      <c r="B138" s="65">
        <f t="shared" si="83"/>
        <v>2020</v>
      </c>
      <c r="C138" s="76" t="s">
        <v>741</v>
      </c>
      <c r="D138" s="146" t="str">
        <f t="shared" si="56"/>
        <v/>
      </c>
      <c r="E138" s="77">
        <f t="shared" si="57"/>
        <v>0</v>
      </c>
      <c r="F138" s="77">
        <f t="shared" si="61"/>
        <v>0</v>
      </c>
      <c r="G138" s="77">
        <f t="shared" si="60"/>
        <v>1</v>
      </c>
      <c r="H138" s="76">
        <f t="shared" si="62"/>
        <v>1</v>
      </c>
      <c r="I138" s="76">
        <f t="shared" si="58"/>
        <v>0</v>
      </c>
      <c r="J138" s="77">
        <f t="shared" si="63"/>
        <v>0</v>
      </c>
      <c r="K138" s="78">
        <f t="shared" ca="1" si="59"/>
        <v>1</v>
      </c>
      <c r="L138" s="470"/>
      <c r="M138" s="470"/>
      <c r="N138" s="470"/>
      <c r="O138" s="470"/>
      <c r="P138" s="70">
        <f t="shared" ca="1" si="64"/>
        <v>0</v>
      </c>
      <c r="Q138" s="70">
        <f t="shared" ca="1" si="65"/>
        <v>0</v>
      </c>
      <c r="R138" s="70">
        <f t="shared" ca="1" si="66"/>
        <v>0</v>
      </c>
      <c r="S138" s="70">
        <f t="shared" ca="1" si="67"/>
        <v>0</v>
      </c>
      <c r="T138" s="70">
        <f t="shared" ca="1" si="68"/>
        <v>0</v>
      </c>
      <c r="U138" s="70">
        <f t="shared" ca="1" si="69"/>
        <v>0</v>
      </c>
      <c r="V138" s="70">
        <f t="shared" ca="1" si="70"/>
        <v>0</v>
      </c>
      <c r="W138" s="70">
        <f t="shared" ca="1" si="71"/>
        <v>0</v>
      </c>
      <c r="X138" s="70">
        <f t="shared" si="72"/>
        <v>0</v>
      </c>
      <c r="Y138" s="70">
        <f t="shared" si="73"/>
        <v>0</v>
      </c>
      <c r="Z138" s="68">
        <f t="shared" si="74"/>
        <v>1</v>
      </c>
      <c r="AA138" s="84">
        <f t="shared" si="75"/>
        <v>0</v>
      </c>
      <c r="AB138" s="488">
        <f t="array" ref="AB138">ROUNDDOWN(AVERAGE(IFERROR(LARGE((X$6:X137+Y$6:Y137)*Z$6:Z137*(G$6:G137=G138), SC_SSCalcYears),0))/(12*Z138),0)</f>
        <v>0</v>
      </c>
      <c r="AC138" s="69">
        <f t="shared" si="76"/>
        <v>1</v>
      </c>
      <c r="AD138" s="85">
        <f t="shared" si="77"/>
        <v>0</v>
      </c>
      <c r="AE138" s="140">
        <f t="shared" ca="1" si="78"/>
        <v>0</v>
      </c>
      <c r="AF138" s="75">
        <f t="shared" ca="1" si="79"/>
        <v>0</v>
      </c>
      <c r="AG138" s="109">
        <f t="shared" ca="1" si="80"/>
        <v>0</v>
      </c>
      <c r="AH138" s="617">
        <f>SUMIFS($AE138:$AE139,SP_PensionPayout,"Lump sum",$E138:$E139,"&lt;&gt;0")</f>
        <v>0</v>
      </c>
      <c r="AI138" s="617">
        <f>SUMIFS($AE138:$AE139,SP_PensionPayout,"Annuity",$E138:$E139,"&lt;&gt;0")</f>
        <v>0</v>
      </c>
      <c r="AJ138" s="617">
        <f>IF(ISBLANK(INDEX(SP_SSPBFA,1)),0,IF($J138&lt;&gt;INDEX(SP_SSPBFA,1),AJ136,SP_AdditionalRI/INDEX(SC_EA_InflationWageIdx,EAIDX)))</f>
        <v>0</v>
      </c>
      <c r="AK138" s="617">
        <f ca="1">SUMPRODUCT(AF138:AF139, --(G138:G139&lt;&gt;0))</f>
        <v>0</v>
      </c>
      <c r="AL138" s="618">
        <f ca="1">SUMPRODUCT(AG138:AG139, --(E138:E139&lt;&gt;0))+AJ138</f>
        <v>0</v>
      </c>
      <c r="AM138" s="186">
        <f t="shared" ca="1" si="81"/>
        <v>0</v>
      </c>
      <c r="AN138" t="str">
        <f t="shared" ca="1" si="82"/>
        <v/>
      </c>
    </row>
    <row r="139" spans="2:40" x14ac:dyDescent="0.25">
      <c r="B139" s="86">
        <f t="shared" si="83"/>
        <v>2020</v>
      </c>
      <c r="C139" s="80" t="s">
        <v>741</v>
      </c>
      <c r="D139" s="147" t="str">
        <f t="shared" si="56"/>
        <v/>
      </c>
      <c r="E139" s="81">
        <f t="shared" si="57"/>
        <v>0</v>
      </c>
      <c r="F139" s="82">
        <f t="shared" si="61"/>
        <v>0</v>
      </c>
      <c r="G139" s="81">
        <f t="shared" si="60"/>
        <v>2</v>
      </c>
      <c r="H139" s="82">
        <f t="shared" si="62"/>
        <v>-1</v>
      </c>
      <c r="I139" s="82">
        <f t="shared" si="58"/>
        <v>0</v>
      </c>
      <c r="J139" s="81">
        <f t="shared" si="63"/>
        <v>0</v>
      </c>
      <c r="K139" s="83">
        <f t="shared" ca="1" si="59"/>
        <v>1</v>
      </c>
      <c r="L139" s="470"/>
      <c r="M139" s="470"/>
      <c r="N139" s="470"/>
      <c r="O139" s="470"/>
      <c r="P139" s="107">
        <f t="shared" ca="1" si="64"/>
        <v>0</v>
      </c>
      <c r="Q139" s="107">
        <f t="shared" ca="1" si="65"/>
        <v>0</v>
      </c>
      <c r="R139" s="107">
        <f t="shared" ca="1" si="66"/>
        <v>0</v>
      </c>
      <c r="S139" s="107">
        <f t="shared" ca="1" si="67"/>
        <v>0</v>
      </c>
      <c r="T139" s="107">
        <f t="shared" ca="1" si="68"/>
        <v>0</v>
      </c>
      <c r="U139" s="107">
        <f t="shared" ca="1" si="69"/>
        <v>0</v>
      </c>
      <c r="V139" s="107">
        <f t="shared" ca="1" si="70"/>
        <v>0</v>
      </c>
      <c r="W139" s="107">
        <f t="shared" ca="1" si="71"/>
        <v>0</v>
      </c>
      <c r="X139" s="107">
        <f t="shared" si="72"/>
        <v>0</v>
      </c>
      <c r="Y139" s="107">
        <f t="shared" si="73"/>
        <v>0</v>
      </c>
      <c r="Z139" s="87">
        <f t="shared" si="74"/>
        <v>1</v>
      </c>
      <c r="AA139" s="88">
        <f t="shared" si="75"/>
        <v>0</v>
      </c>
      <c r="AB139" s="107">
        <f t="array" ref="AB139">ROUNDDOWN(AVERAGE(IFERROR(LARGE((X$6:X138+Y$6:Y138)*Z$6:Z138*(G$6:G138=G139), SC_SSCalcYears),0))/(12*Z139),0)</f>
        <v>0</v>
      </c>
      <c r="AC139" s="211">
        <f t="shared" si="76"/>
        <v>1</v>
      </c>
      <c r="AD139" s="89">
        <f t="shared" si="77"/>
        <v>0</v>
      </c>
      <c r="AE139" s="141">
        <f t="shared" ca="1" si="78"/>
        <v>0</v>
      </c>
      <c r="AF139" s="106">
        <f t="shared" ca="1" si="79"/>
        <v>0</v>
      </c>
      <c r="AG139" s="110">
        <f t="shared" ca="1" si="80"/>
        <v>0</v>
      </c>
      <c r="AH139" s="617"/>
      <c r="AI139" s="617"/>
      <c r="AJ139" s="617"/>
      <c r="AK139" s="617"/>
      <c r="AL139" s="618"/>
      <c r="AM139" s="186">
        <f t="shared" ca="1" si="81"/>
        <v>0</v>
      </c>
      <c r="AN139" t="str">
        <f t="shared" ca="1" si="82"/>
        <v/>
      </c>
    </row>
    <row r="140" spans="2:40" x14ac:dyDescent="0.25">
      <c r="B140" s="65">
        <f t="shared" si="83"/>
        <v>2021</v>
      </c>
      <c r="C140" s="76" t="s">
        <v>741</v>
      </c>
      <c r="D140" s="146" t="str">
        <f t="shared" si="56"/>
        <v/>
      </c>
      <c r="E140" s="77">
        <f t="shared" si="57"/>
        <v>0</v>
      </c>
      <c r="F140" s="77">
        <f t="shared" si="61"/>
        <v>0</v>
      </c>
      <c r="G140" s="77">
        <f t="shared" si="60"/>
        <v>1</v>
      </c>
      <c r="H140" s="76">
        <f t="shared" si="62"/>
        <v>1</v>
      </c>
      <c r="I140" s="76">
        <f t="shared" si="58"/>
        <v>0</v>
      </c>
      <c r="J140" s="77">
        <f t="shared" si="63"/>
        <v>0</v>
      </c>
      <c r="K140" s="78">
        <f t="shared" ca="1" si="59"/>
        <v>1</v>
      </c>
      <c r="L140" s="470"/>
      <c r="M140" s="470"/>
      <c r="N140" s="470"/>
      <c r="O140" s="531"/>
      <c r="P140" s="70">
        <f t="shared" ca="1" si="64"/>
        <v>0</v>
      </c>
      <c r="Q140" s="70">
        <f t="shared" ca="1" si="65"/>
        <v>0</v>
      </c>
      <c r="R140" s="70">
        <f t="shared" ca="1" si="66"/>
        <v>0</v>
      </c>
      <c r="S140" s="70">
        <f t="shared" ca="1" si="67"/>
        <v>0</v>
      </c>
      <c r="T140" s="70">
        <f t="shared" ca="1" si="68"/>
        <v>0</v>
      </c>
      <c r="U140" s="70">
        <f t="shared" ca="1" si="69"/>
        <v>0</v>
      </c>
      <c r="V140" s="70">
        <f t="shared" ca="1" si="70"/>
        <v>0</v>
      </c>
      <c r="W140" s="70">
        <f t="shared" ca="1" si="71"/>
        <v>0</v>
      </c>
      <c r="X140" s="70">
        <f t="shared" si="72"/>
        <v>0</v>
      </c>
      <c r="Y140" s="70">
        <f t="shared" si="73"/>
        <v>0</v>
      </c>
      <c r="Z140" s="68">
        <f t="shared" si="74"/>
        <v>1</v>
      </c>
      <c r="AA140" s="84">
        <f t="shared" si="75"/>
        <v>0</v>
      </c>
      <c r="AB140" s="488">
        <f t="array" ref="AB140">ROUNDDOWN(AVERAGE(IFERROR(LARGE((X$6:X139+Y$6:Y139)*Z$6:Z139*(G$6:G139=G140), SC_SSCalcYears),0))/(12*Z140),0)</f>
        <v>0</v>
      </c>
      <c r="AC140" s="69">
        <f t="shared" si="76"/>
        <v>1</v>
      </c>
      <c r="AD140" s="85">
        <f t="shared" si="77"/>
        <v>0</v>
      </c>
      <c r="AE140" s="140">
        <f t="shared" ca="1" si="78"/>
        <v>0</v>
      </c>
      <c r="AF140" s="75">
        <f t="shared" ca="1" si="79"/>
        <v>0</v>
      </c>
      <c r="AG140" s="109">
        <f t="shared" ca="1" si="80"/>
        <v>0</v>
      </c>
      <c r="AH140" s="617">
        <f>SUMIFS($AE140:$AE141,SP_PensionPayout,"Lump sum",$E140:$E141,"&lt;&gt;0")</f>
        <v>0</v>
      </c>
      <c r="AI140" s="617">
        <f>SUMIFS($AE140:$AE141,SP_PensionPayout,"Annuity",$E140:$E141,"&lt;&gt;0")</f>
        <v>0</v>
      </c>
      <c r="AJ140" s="617">
        <f>IF(ISBLANK(INDEX(SP_SSPBFA,1)),0,IF($J140&lt;&gt;INDEX(SP_SSPBFA,1),AJ138,SP_AdditionalRI/INDEX(SC_EA_InflationWageIdx,EAIDX)))</f>
        <v>0</v>
      </c>
      <c r="AK140" s="617">
        <f ca="1">SUMPRODUCT(AF140:AF141, --(G140:G141&lt;&gt;0))</f>
        <v>0</v>
      </c>
      <c r="AL140" s="618">
        <f ca="1">SUMPRODUCT(AG140:AG141, --(E140:E141&lt;&gt;0))+AJ140</f>
        <v>0</v>
      </c>
      <c r="AM140" s="186">
        <f t="shared" ca="1" si="81"/>
        <v>0</v>
      </c>
      <c r="AN140" t="str">
        <f t="shared" ca="1" si="82"/>
        <v/>
      </c>
    </row>
    <row r="141" spans="2:40" x14ac:dyDescent="0.25">
      <c r="B141" s="86">
        <f t="shared" si="83"/>
        <v>2021</v>
      </c>
      <c r="C141" s="80" t="s">
        <v>741</v>
      </c>
      <c r="D141" s="147" t="str">
        <f t="shared" si="56"/>
        <v/>
      </c>
      <c r="E141" s="81">
        <f t="shared" si="57"/>
        <v>0</v>
      </c>
      <c r="F141" s="82">
        <f t="shared" si="61"/>
        <v>0</v>
      </c>
      <c r="G141" s="81">
        <f t="shared" si="60"/>
        <v>2</v>
      </c>
      <c r="H141" s="82">
        <f t="shared" si="62"/>
        <v>-1</v>
      </c>
      <c r="I141" s="82">
        <f t="shared" si="58"/>
        <v>0</v>
      </c>
      <c r="J141" s="81">
        <f t="shared" si="63"/>
        <v>0</v>
      </c>
      <c r="K141" s="83">
        <f t="shared" ca="1" si="59"/>
        <v>1</v>
      </c>
      <c r="L141" s="470"/>
      <c r="M141" s="470"/>
      <c r="N141" s="470"/>
      <c r="O141" s="531"/>
      <c r="P141" s="107">
        <f t="shared" ca="1" si="64"/>
        <v>0</v>
      </c>
      <c r="Q141" s="107">
        <f t="shared" ca="1" si="65"/>
        <v>0</v>
      </c>
      <c r="R141" s="107">
        <f t="shared" ca="1" si="66"/>
        <v>0</v>
      </c>
      <c r="S141" s="107">
        <f t="shared" ca="1" si="67"/>
        <v>0</v>
      </c>
      <c r="T141" s="107">
        <f t="shared" ca="1" si="68"/>
        <v>0</v>
      </c>
      <c r="U141" s="107">
        <f t="shared" ca="1" si="69"/>
        <v>0</v>
      </c>
      <c r="V141" s="107">
        <f t="shared" ca="1" si="70"/>
        <v>0</v>
      </c>
      <c r="W141" s="107">
        <f t="shared" ca="1" si="71"/>
        <v>0</v>
      </c>
      <c r="X141" s="107">
        <f t="shared" si="72"/>
        <v>0</v>
      </c>
      <c r="Y141" s="107">
        <f t="shared" si="73"/>
        <v>0</v>
      </c>
      <c r="Z141" s="87">
        <f t="shared" si="74"/>
        <v>1</v>
      </c>
      <c r="AA141" s="88">
        <f t="shared" si="75"/>
        <v>0</v>
      </c>
      <c r="AB141" s="107">
        <f t="array" ref="AB141">ROUNDDOWN(AVERAGE(IFERROR(LARGE((X$6:X140+Y$6:Y140)*Z$6:Z140*(G$6:G140=G141), SC_SSCalcYears),0))/(12*Z141),0)</f>
        <v>0</v>
      </c>
      <c r="AC141" s="211">
        <f t="shared" si="76"/>
        <v>1</v>
      </c>
      <c r="AD141" s="89">
        <f t="shared" si="77"/>
        <v>0</v>
      </c>
      <c r="AE141" s="141">
        <f t="shared" ca="1" si="78"/>
        <v>0</v>
      </c>
      <c r="AF141" s="106">
        <f t="shared" ca="1" si="79"/>
        <v>0</v>
      </c>
      <c r="AG141" s="110">
        <f t="shared" ca="1" si="80"/>
        <v>0</v>
      </c>
      <c r="AH141" s="617"/>
      <c r="AI141" s="617"/>
      <c r="AJ141" s="617"/>
      <c r="AK141" s="617"/>
      <c r="AL141" s="618"/>
      <c r="AM141" s="186">
        <f t="shared" ca="1" si="81"/>
        <v>0</v>
      </c>
      <c r="AN141" t="str">
        <f t="shared" ca="1" si="82"/>
        <v/>
      </c>
    </row>
    <row r="142" spans="2:40" x14ac:dyDescent="0.25">
      <c r="B142" s="65">
        <f t="shared" si="83"/>
        <v>2022</v>
      </c>
      <c r="C142" s="76" t="s">
        <v>741</v>
      </c>
      <c r="D142" s="146" t="str">
        <f t="shared" si="56"/>
        <v/>
      </c>
      <c r="E142" s="77">
        <f t="shared" si="57"/>
        <v>0</v>
      </c>
      <c r="F142" s="77">
        <f t="shared" si="61"/>
        <v>0</v>
      </c>
      <c r="G142" s="77">
        <f t="shared" si="60"/>
        <v>1</v>
      </c>
      <c r="H142" s="76">
        <f t="shared" si="62"/>
        <v>1</v>
      </c>
      <c r="I142" s="76">
        <f t="shared" si="58"/>
        <v>0</v>
      </c>
      <c r="J142" s="77">
        <f t="shared" si="63"/>
        <v>0</v>
      </c>
      <c r="K142" s="78">
        <f t="shared" ca="1" si="59"/>
        <v>1</v>
      </c>
      <c r="L142" s="470"/>
      <c r="M142" s="470"/>
      <c r="N142" s="470"/>
      <c r="O142" s="531"/>
      <c r="P142" s="70">
        <f t="shared" ca="1" si="64"/>
        <v>0</v>
      </c>
      <c r="Q142" s="70">
        <f t="shared" ca="1" si="65"/>
        <v>0</v>
      </c>
      <c r="R142" s="70">
        <f t="shared" ca="1" si="66"/>
        <v>0</v>
      </c>
      <c r="S142" s="70">
        <f t="shared" ca="1" si="67"/>
        <v>0</v>
      </c>
      <c r="T142" s="70">
        <f t="shared" ca="1" si="68"/>
        <v>0</v>
      </c>
      <c r="U142" s="70">
        <f t="shared" ca="1" si="69"/>
        <v>0</v>
      </c>
      <c r="V142" s="70">
        <f t="shared" ca="1" si="70"/>
        <v>0</v>
      </c>
      <c r="W142" s="70">
        <f t="shared" ca="1" si="71"/>
        <v>0</v>
      </c>
      <c r="X142" s="70">
        <f t="shared" si="72"/>
        <v>0</v>
      </c>
      <c r="Y142" s="70">
        <f t="shared" si="73"/>
        <v>0</v>
      </c>
      <c r="Z142" s="68">
        <f t="shared" si="74"/>
        <v>1</v>
      </c>
      <c r="AA142" s="84">
        <f t="shared" si="75"/>
        <v>0</v>
      </c>
      <c r="AB142" s="488">
        <f t="array" ref="AB142">ROUNDDOWN(AVERAGE(IFERROR(LARGE((X$6:X141+Y$6:Y141)*Z$6:Z141*(G$6:G141=G142), SC_SSCalcYears),0))/(12*Z142),0)</f>
        <v>0</v>
      </c>
      <c r="AC142" s="69">
        <f t="shared" si="76"/>
        <v>1</v>
      </c>
      <c r="AD142" s="85">
        <f t="shared" si="77"/>
        <v>0</v>
      </c>
      <c r="AE142" s="140">
        <f t="shared" ca="1" si="78"/>
        <v>0</v>
      </c>
      <c r="AF142" s="75">
        <f t="shared" ca="1" si="79"/>
        <v>0</v>
      </c>
      <c r="AG142" s="109">
        <f t="shared" ca="1" si="80"/>
        <v>0</v>
      </c>
      <c r="AH142" s="617">
        <f>SUMIFS($AE142:$AE143,SP_PensionPayout,"Lump sum",$E142:$E143,"&lt;&gt;0")</f>
        <v>0</v>
      </c>
      <c r="AI142" s="617">
        <f>SUMIFS($AE142:$AE143,SP_PensionPayout,"Annuity",$E142:$E143,"&lt;&gt;0")</f>
        <v>0</v>
      </c>
      <c r="AJ142" s="617">
        <f>IF(ISBLANK(INDEX(SP_SSPBFA,1)),0,IF($J142&lt;&gt;INDEX(SP_SSPBFA,1),AJ140,SP_AdditionalRI/INDEX(SC_EA_InflationWageIdx,EAIDX)))</f>
        <v>0</v>
      </c>
      <c r="AK142" s="617">
        <f ca="1">SUMPRODUCT(AF142:AF143, --(G142:G143&lt;&gt;0))</f>
        <v>0</v>
      </c>
      <c r="AL142" s="618">
        <f ca="1">SUMPRODUCT(AG142:AG143, --(E142:E143&lt;&gt;0))+AJ142</f>
        <v>0</v>
      </c>
      <c r="AM142" s="186">
        <f t="shared" ca="1" si="81"/>
        <v>0</v>
      </c>
      <c r="AN142" t="str">
        <f t="shared" ca="1" si="82"/>
        <v/>
      </c>
    </row>
    <row r="143" spans="2:40" x14ac:dyDescent="0.25">
      <c r="B143" s="86">
        <f t="shared" si="83"/>
        <v>2022</v>
      </c>
      <c r="C143" s="80" t="s">
        <v>741</v>
      </c>
      <c r="D143" s="147" t="str">
        <f t="shared" si="56"/>
        <v/>
      </c>
      <c r="E143" s="81">
        <f t="shared" si="57"/>
        <v>0</v>
      </c>
      <c r="F143" s="82">
        <f t="shared" si="61"/>
        <v>0</v>
      </c>
      <c r="G143" s="81">
        <f t="shared" si="60"/>
        <v>2</v>
      </c>
      <c r="H143" s="82">
        <f t="shared" si="62"/>
        <v>-1</v>
      </c>
      <c r="I143" s="82">
        <f t="shared" si="58"/>
        <v>0</v>
      </c>
      <c r="J143" s="81">
        <f t="shared" si="63"/>
        <v>0</v>
      </c>
      <c r="K143" s="83">
        <f t="shared" ca="1" si="59"/>
        <v>1</v>
      </c>
      <c r="L143" s="470"/>
      <c r="M143" s="470"/>
      <c r="N143" s="470"/>
      <c r="O143" s="531"/>
      <c r="P143" s="107">
        <f t="shared" ca="1" si="64"/>
        <v>0</v>
      </c>
      <c r="Q143" s="107">
        <f t="shared" ca="1" si="65"/>
        <v>0</v>
      </c>
      <c r="R143" s="107">
        <f t="shared" ca="1" si="66"/>
        <v>0</v>
      </c>
      <c r="S143" s="107">
        <f t="shared" ca="1" si="67"/>
        <v>0</v>
      </c>
      <c r="T143" s="107">
        <f t="shared" ca="1" si="68"/>
        <v>0</v>
      </c>
      <c r="U143" s="107">
        <f t="shared" ca="1" si="69"/>
        <v>0</v>
      </c>
      <c r="V143" s="107">
        <f t="shared" ca="1" si="70"/>
        <v>0</v>
      </c>
      <c r="W143" s="107">
        <f t="shared" ca="1" si="71"/>
        <v>0</v>
      </c>
      <c r="X143" s="107">
        <f t="shared" si="72"/>
        <v>0</v>
      </c>
      <c r="Y143" s="107">
        <f t="shared" si="73"/>
        <v>0</v>
      </c>
      <c r="Z143" s="87">
        <f t="shared" si="74"/>
        <v>1</v>
      </c>
      <c r="AA143" s="88">
        <f t="shared" si="75"/>
        <v>0</v>
      </c>
      <c r="AB143" s="107">
        <f t="array" ref="AB143">ROUNDDOWN(AVERAGE(IFERROR(LARGE((X$6:X142+Y$6:Y142)*Z$6:Z142*(G$6:G142=G143), SC_SSCalcYears),0))/(12*Z143),0)</f>
        <v>0</v>
      </c>
      <c r="AC143" s="211">
        <f t="shared" si="76"/>
        <v>1</v>
      </c>
      <c r="AD143" s="89">
        <f t="shared" si="77"/>
        <v>0</v>
      </c>
      <c r="AE143" s="141">
        <f t="shared" ca="1" si="78"/>
        <v>0</v>
      </c>
      <c r="AF143" s="106">
        <f t="shared" ca="1" si="79"/>
        <v>0</v>
      </c>
      <c r="AG143" s="110">
        <f t="shared" ca="1" si="80"/>
        <v>0</v>
      </c>
      <c r="AH143" s="617"/>
      <c r="AI143" s="617"/>
      <c r="AJ143" s="617"/>
      <c r="AK143" s="617"/>
      <c r="AL143" s="618"/>
      <c r="AM143" s="186">
        <f t="shared" ca="1" si="81"/>
        <v>0</v>
      </c>
      <c r="AN143" t="str">
        <f t="shared" ca="1" si="82"/>
        <v/>
      </c>
    </row>
    <row r="144" spans="2:40" x14ac:dyDescent="0.25">
      <c r="B144" s="65">
        <f t="shared" si="83"/>
        <v>2023</v>
      </c>
      <c r="C144" s="76" t="s">
        <v>741</v>
      </c>
      <c r="D144" s="146" t="str">
        <f t="shared" si="56"/>
        <v/>
      </c>
      <c r="E144" s="77">
        <f t="shared" si="57"/>
        <v>0</v>
      </c>
      <c r="F144" s="77">
        <f t="shared" si="61"/>
        <v>0</v>
      </c>
      <c r="G144" s="77">
        <f t="shared" si="60"/>
        <v>1</v>
      </c>
      <c r="H144" s="76">
        <f t="shared" si="62"/>
        <v>1</v>
      </c>
      <c r="I144" s="76">
        <f t="shared" si="58"/>
        <v>0</v>
      </c>
      <c r="J144" s="77">
        <f t="shared" si="63"/>
        <v>0</v>
      </c>
      <c r="K144" s="78">
        <f t="shared" ca="1" si="59"/>
        <v>0</v>
      </c>
      <c r="L144" s="470"/>
      <c r="M144" s="470"/>
      <c r="N144" s="470"/>
      <c r="O144" s="531"/>
      <c r="P144" s="70">
        <f t="shared" ca="1" si="64"/>
        <v>0</v>
      </c>
      <c r="Q144" s="70">
        <f t="shared" ca="1" si="65"/>
        <v>0</v>
      </c>
      <c r="R144" s="70">
        <f t="shared" ca="1" si="66"/>
        <v>0</v>
      </c>
      <c r="S144" s="70">
        <f t="shared" ca="1" si="67"/>
        <v>0</v>
      </c>
      <c r="T144" s="70">
        <f t="shared" ca="1" si="68"/>
        <v>0</v>
      </c>
      <c r="U144" s="70">
        <f t="shared" ca="1" si="69"/>
        <v>0</v>
      </c>
      <c r="V144" s="70">
        <f t="shared" ca="1" si="70"/>
        <v>0</v>
      </c>
      <c r="W144" s="70">
        <f t="shared" ca="1" si="71"/>
        <v>0</v>
      </c>
      <c r="X144" s="70">
        <f t="shared" si="72"/>
        <v>0</v>
      </c>
      <c r="Y144" s="70">
        <f t="shared" si="73"/>
        <v>0</v>
      </c>
      <c r="Z144" s="68">
        <f t="shared" si="74"/>
        <v>1</v>
      </c>
      <c r="AA144" s="84">
        <f t="shared" si="75"/>
        <v>0</v>
      </c>
      <c r="AB144" s="488">
        <f t="array" ref="AB144">ROUNDDOWN(AVERAGE(IFERROR(LARGE((X$6:X143+Y$6:Y143)*Z$6:Z143*(G$6:G143=G144), SC_SSCalcYears),0))/(12*Z144),0)</f>
        <v>0</v>
      </c>
      <c r="AC144" s="69">
        <f t="shared" si="76"/>
        <v>1</v>
      </c>
      <c r="AD144" s="85">
        <f t="shared" si="77"/>
        <v>0</v>
      </c>
      <c r="AE144" s="140">
        <f t="shared" ca="1" si="78"/>
        <v>0</v>
      </c>
      <c r="AF144" s="75">
        <f t="shared" ca="1" si="79"/>
        <v>0</v>
      </c>
      <c r="AG144" s="109">
        <f t="shared" ca="1" si="80"/>
        <v>0</v>
      </c>
      <c r="AH144" s="617">
        <f>SUMIFS($AE144:$AE145,SP_PensionPayout,"Lump sum",$E144:$E145,"&lt;&gt;0")</f>
        <v>0</v>
      </c>
      <c r="AI144" s="617">
        <f>SUMIFS($AE144:$AE145,SP_PensionPayout,"Annuity",$E144:$E145,"&lt;&gt;0")</f>
        <v>0</v>
      </c>
      <c r="AJ144" s="617">
        <f>IF(ISBLANK(INDEX(SP_SSPBFA,1)),0,IF($J144&lt;&gt;INDEX(SP_SSPBFA,1),AJ142,SP_AdditionalRI/INDEX(SC_EA_InflationWageIdx,EAIDX)))</f>
        <v>0</v>
      </c>
      <c r="AK144" s="617">
        <f ca="1">SUMPRODUCT(AF144:AF145, --(G144:G145&lt;&gt;0))</f>
        <v>0</v>
      </c>
      <c r="AL144" s="618">
        <f ca="1">SUMPRODUCT(AG144:AG145, --(E144:E145&lt;&gt;0))+AJ144</f>
        <v>0</v>
      </c>
      <c r="AM144" s="186">
        <f t="shared" ca="1" si="81"/>
        <v>0</v>
      </c>
      <c r="AN144" t="str">
        <f t="shared" ca="1" si="82"/>
        <v/>
      </c>
    </row>
    <row r="145" spans="2:40" x14ac:dyDescent="0.25">
      <c r="B145" s="86">
        <f t="shared" si="83"/>
        <v>2023</v>
      </c>
      <c r="C145" s="80" t="s">
        <v>741</v>
      </c>
      <c r="D145" s="147" t="str">
        <f t="shared" si="56"/>
        <v/>
      </c>
      <c r="E145" s="81">
        <f t="shared" si="57"/>
        <v>0</v>
      </c>
      <c r="F145" s="82">
        <f t="shared" si="61"/>
        <v>0</v>
      </c>
      <c r="G145" s="81">
        <f t="shared" si="60"/>
        <v>2</v>
      </c>
      <c r="H145" s="82">
        <f t="shared" si="62"/>
        <v>-1</v>
      </c>
      <c r="I145" s="82">
        <f t="shared" si="58"/>
        <v>0</v>
      </c>
      <c r="J145" s="81">
        <f t="shared" si="63"/>
        <v>0</v>
      </c>
      <c r="K145" s="83">
        <f t="shared" ca="1" si="59"/>
        <v>0</v>
      </c>
      <c r="L145" s="470"/>
      <c r="M145" s="470"/>
      <c r="N145" s="470"/>
      <c r="O145" s="531"/>
      <c r="P145" s="107">
        <f t="shared" ca="1" si="64"/>
        <v>0</v>
      </c>
      <c r="Q145" s="107">
        <f t="shared" ca="1" si="65"/>
        <v>0</v>
      </c>
      <c r="R145" s="107">
        <f t="shared" ca="1" si="66"/>
        <v>0</v>
      </c>
      <c r="S145" s="107">
        <f t="shared" ca="1" si="67"/>
        <v>0</v>
      </c>
      <c r="T145" s="107">
        <f t="shared" ca="1" si="68"/>
        <v>0</v>
      </c>
      <c r="U145" s="107">
        <f t="shared" ca="1" si="69"/>
        <v>0</v>
      </c>
      <c r="V145" s="107">
        <f t="shared" ca="1" si="70"/>
        <v>0</v>
      </c>
      <c r="W145" s="107">
        <f t="shared" ca="1" si="71"/>
        <v>0</v>
      </c>
      <c r="X145" s="107">
        <f t="shared" si="72"/>
        <v>0</v>
      </c>
      <c r="Y145" s="107">
        <f t="shared" si="73"/>
        <v>0</v>
      </c>
      <c r="Z145" s="87">
        <f t="shared" si="74"/>
        <v>1</v>
      </c>
      <c r="AA145" s="88">
        <f t="shared" si="75"/>
        <v>0</v>
      </c>
      <c r="AB145" s="107">
        <f t="array" ref="AB145">ROUNDDOWN(AVERAGE(IFERROR(LARGE((X$6:X144+Y$6:Y144)*Z$6:Z144*(G$6:G144=G145), SC_SSCalcYears),0))/(12*Z145),0)</f>
        <v>0</v>
      </c>
      <c r="AC145" s="211">
        <f t="shared" si="76"/>
        <v>1</v>
      </c>
      <c r="AD145" s="89">
        <f t="shared" si="77"/>
        <v>0</v>
      </c>
      <c r="AE145" s="141">
        <f t="shared" ca="1" si="78"/>
        <v>0</v>
      </c>
      <c r="AF145" s="106">
        <f t="shared" ca="1" si="79"/>
        <v>0</v>
      </c>
      <c r="AG145" s="110">
        <f t="shared" ca="1" si="80"/>
        <v>0</v>
      </c>
      <c r="AH145" s="617"/>
      <c r="AI145" s="617"/>
      <c r="AJ145" s="617"/>
      <c r="AK145" s="617"/>
      <c r="AL145" s="618"/>
      <c r="AM145" s="186">
        <f t="shared" ca="1" si="81"/>
        <v>0</v>
      </c>
      <c r="AN145" t="str">
        <f t="shared" ca="1" si="82"/>
        <v/>
      </c>
    </row>
    <row r="146" spans="2:40" x14ac:dyDescent="0.25">
      <c r="B146" s="65">
        <f t="shared" si="83"/>
        <v>2024</v>
      </c>
      <c r="C146" s="76" t="s">
        <v>741</v>
      </c>
      <c r="D146" s="146" t="str">
        <f t="shared" si="56"/>
        <v/>
      </c>
      <c r="E146" s="77">
        <f t="shared" si="57"/>
        <v>0</v>
      </c>
      <c r="F146" s="77">
        <f t="shared" si="61"/>
        <v>0</v>
      </c>
      <c r="G146" s="77">
        <f t="shared" si="60"/>
        <v>1</v>
      </c>
      <c r="H146" s="76">
        <f t="shared" si="62"/>
        <v>1</v>
      </c>
      <c r="I146" s="76">
        <f t="shared" si="58"/>
        <v>0</v>
      </c>
      <c r="J146" s="77">
        <f t="shared" si="63"/>
        <v>0</v>
      </c>
      <c r="K146" s="78">
        <f t="shared" ca="1" si="59"/>
        <v>0</v>
      </c>
      <c r="L146" s="470"/>
      <c r="M146" s="470"/>
      <c r="N146" s="470"/>
      <c r="O146" s="531"/>
      <c r="P146" s="70">
        <f t="shared" ca="1" si="64"/>
        <v>0</v>
      </c>
      <c r="Q146" s="70">
        <f t="shared" ca="1" si="65"/>
        <v>0</v>
      </c>
      <c r="R146" s="70">
        <f t="shared" ca="1" si="66"/>
        <v>0</v>
      </c>
      <c r="S146" s="70">
        <f t="shared" ca="1" si="67"/>
        <v>0</v>
      </c>
      <c r="T146" s="70">
        <f t="shared" ca="1" si="68"/>
        <v>0</v>
      </c>
      <c r="U146" s="70">
        <f t="shared" ca="1" si="69"/>
        <v>0</v>
      </c>
      <c r="V146" s="70">
        <f t="shared" ca="1" si="70"/>
        <v>0</v>
      </c>
      <c r="W146" s="70">
        <f t="shared" ca="1" si="71"/>
        <v>0</v>
      </c>
      <c r="X146" s="70">
        <f t="shared" si="72"/>
        <v>0</v>
      </c>
      <c r="Y146" s="70">
        <f t="shared" si="73"/>
        <v>0</v>
      </c>
      <c r="Z146" s="68">
        <f t="shared" si="74"/>
        <v>1</v>
      </c>
      <c r="AA146" s="84">
        <f t="shared" si="75"/>
        <v>0</v>
      </c>
      <c r="AB146" s="488">
        <f t="array" ref="AB146">ROUNDDOWN(AVERAGE(IFERROR(LARGE((X$6:X145+Y$6:Y145)*Z$6:Z145*(G$6:G145=G146), SC_SSCalcYears),0))/(12*Z146),0)</f>
        <v>0</v>
      </c>
      <c r="AC146" s="69">
        <f t="shared" si="76"/>
        <v>1</v>
      </c>
      <c r="AD146" s="85">
        <f t="shared" si="77"/>
        <v>0</v>
      </c>
      <c r="AE146" s="140">
        <f t="shared" ca="1" si="78"/>
        <v>0</v>
      </c>
      <c r="AF146" s="75">
        <f t="shared" ca="1" si="79"/>
        <v>0</v>
      </c>
      <c r="AG146" s="109">
        <f t="shared" ca="1" si="80"/>
        <v>0</v>
      </c>
      <c r="AH146" s="617">
        <f>SUMIFS($AE146:$AE147,SP_PensionPayout,"Lump sum",$E146:$E147,"&lt;&gt;0")</f>
        <v>0</v>
      </c>
      <c r="AI146" s="617">
        <f>SUMIFS($AE146:$AE147,SP_PensionPayout,"Annuity",$E146:$E147,"&lt;&gt;0")</f>
        <v>0</v>
      </c>
      <c r="AJ146" s="617">
        <f>IF(ISBLANK(INDEX(SP_SSPBFA,1)),0,IF($J146&lt;&gt;INDEX(SP_SSPBFA,1),AJ144,SP_AdditionalRI/INDEX(SC_EA_InflationWageIdx,EAIDX)))</f>
        <v>0</v>
      </c>
      <c r="AK146" s="617">
        <f ca="1">SUMPRODUCT(AF146:AF147, --(G146:G147&lt;&gt;0))</f>
        <v>0</v>
      </c>
      <c r="AL146" s="618">
        <f ca="1">SUMPRODUCT(AG146:AG147, --(E146:E147&lt;&gt;0))+AJ146</f>
        <v>0</v>
      </c>
      <c r="AM146" s="186">
        <f t="shared" ca="1" si="81"/>
        <v>0</v>
      </c>
      <c r="AN146" t="str">
        <f t="shared" ca="1" si="82"/>
        <v/>
      </c>
    </row>
    <row r="147" spans="2:40" x14ac:dyDescent="0.25">
      <c r="B147" s="86">
        <f t="shared" si="83"/>
        <v>2024</v>
      </c>
      <c r="C147" s="80" t="s">
        <v>741</v>
      </c>
      <c r="D147" s="147" t="str">
        <f t="shared" si="56"/>
        <v/>
      </c>
      <c r="E147" s="81">
        <f t="shared" si="57"/>
        <v>0</v>
      </c>
      <c r="F147" s="82">
        <f t="shared" si="61"/>
        <v>0</v>
      </c>
      <c r="G147" s="81">
        <f t="shared" si="60"/>
        <v>2</v>
      </c>
      <c r="H147" s="82">
        <f t="shared" si="62"/>
        <v>-1</v>
      </c>
      <c r="I147" s="82">
        <f t="shared" si="58"/>
        <v>0</v>
      </c>
      <c r="J147" s="81">
        <f t="shared" si="63"/>
        <v>0</v>
      </c>
      <c r="K147" s="83">
        <f t="shared" ca="1" si="59"/>
        <v>0</v>
      </c>
      <c r="L147" s="470"/>
      <c r="M147" s="470"/>
      <c r="N147" s="470"/>
      <c r="O147" s="531"/>
      <c r="P147" s="107">
        <f t="shared" ca="1" si="64"/>
        <v>0</v>
      </c>
      <c r="Q147" s="107">
        <f t="shared" ca="1" si="65"/>
        <v>0</v>
      </c>
      <c r="R147" s="107">
        <f t="shared" ca="1" si="66"/>
        <v>0</v>
      </c>
      <c r="S147" s="107">
        <f t="shared" ca="1" si="67"/>
        <v>0</v>
      </c>
      <c r="T147" s="107">
        <f t="shared" ca="1" si="68"/>
        <v>0</v>
      </c>
      <c r="U147" s="107">
        <f t="shared" ca="1" si="69"/>
        <v>0</v>
      </c>
      <c r="V147" s="107">
        <f t="shared" ca="1" si="70"/>
        <v>0</v>
      </c>
      <c r="W147" s="107">
        <f t="shared" ca="1" si="71"/>
        <v>0</v>
      </c>
      <c r="X147" s="107">
        <f t="shared" si="72"/>
        <v>0</v>
      </c>
      <c r="Y147" s="107">
        <f t="shared" si="73"/>
        <v>0</v>
      </c>
      <c r="Z147" s="87">
        <f t="shared" si="74"/>
        <v>1</v>
      </c>
      <c r="AA147" s="88">
        <f t="shared" si="75"/>
        <v>0</v>
      </c>
      <c r="AB147" s="107">
        <f t="array" ref="AB147">ROUNDDOWN(AVERAGE(IFERROR(LARGE((X$6:X146+Y$6:Y146)*Z$6:Z146*(G$6:G146=G147), SC_SSCalcYears),0))/(12*Z147),0)</f>
        <v>0</v>
      </c>
      <c r="AC147" s="211">
        <f t="shared" si="76"/>
        <v>1</v>
      </c>
      <c r="AD147" s="89">
        <f t="shared" si="77"/>
        <v>0</v>
      </c>
      <c r="AE147" s="141">
        <f t="shared" ca="1" si="78"/>
        <v>0</v>
      </c>
      <c r="AF147" s="106">
        <f t="shared" ca="1" si="79"/>
        <v>0</v>
      </c>
      <c r="AG147" s="110">
        <f t="shared" ca="1" si="80"/>
        <v>0</v>
      </c>
      <c r="AH147" s="617"/>
      <c r="AI147" s="617"/>
      <c r="AJ147" s="617"/>
      <c r="AK147" s="617"/>
      <c r="AL147" s="618"/>
      <c r="AM147" s="186">
        <f t="shared" ca="1" si="81"/>
        <v>0</v>
      </c>
      <c r="AN147" t="str">
        <f t="shared" ca="1" si="82"/>
        <v/>
      </c>
    </row>
    <row r="148" spans="2:40" x14ac:dyDescent="0.25">
      <c r="B148" s="65">
        <f t="shared" si="83"/>
        <v>2025</v>
      </c>
      <c r="C148" s="76" t="s">
        <v>741</v>
      </c>
      <c r="D148" s="146" t="str">
        <f t="shared" si="56"/>
        <v/>
      </c>
      <c r="E148" s="77">
        <f t="shared" si="57"/>
        <v>0</v>
      </c>
      <c r="F148" s="77">
        <f t="shared" si="61"/>
        <v>0</v>
      </c>
      <c r="G148" s="77">
        <f t="shared" si="60"/>
        <v>1</v>
      </c>
      <c r="H148" s="76">
        <f t="shared" si="62"/>
        <v>1</v>
      </c>
      <c r="I148" s="76">
        <f t="shared" si="58"/>
        <v>0</v>
      </c>
      <c r="J148" s="77">
        <f t="shared" si="63"/>
        <v>0</v>
      </c>
      <c r="K148" s="78">
        <f t="shared" ca="1" si="59"/>
        <v>0</v>
      </c>
      <c r="L148" s="470"/>
      <c r="M148" s="470"/>
      <c r="N148" s="470"/>
      <c r="O148" s="531"/>
      <c r="P148" s="70">
        <f t="shared" ca="1" si="64"/>
        <v>0</v>
      </c>
      <c r="Q148" s="70">
        <f t="shared" ca="1" si="65"/>
        <v>0</v>
      </c>
      <c r="R148" s="70">
        <f t="shared" ca="1" si="66"/>
        <v>0</v>
      </c>
      <c r="S148" s="70">
        <f t="shared" ca="1" si="67"/>
        <v>0</v>
      </c>
      <c r="T148" s="70">
        <f t="shared" ca="1" si="68"/>
        <v>0</v>
      </c>
      <c r="U148" s="70">
        <f t="shared" ca="1" si="69"/>
        <v>0</v>
      </c>
      <c r="V148" s="70">
        <f t="shared" ca="1" si="70"/>
        <v>0</v>
      </c>
      <c r="W148" s="70">
        <f t="shared" ca="1" si="71"/>
        <v>0</v>
      </c>
      <c r="X148" s="70">
        <f t="shared" si="72"/>
        <v>0</v>
      </c>
      <c r="Y148" s="70">
        <f t="shared" si="73"/>
        <v>0</v>
      </c>
      <c r="Z148" s="68">
        <f t="shared" si="74"/>
        <v>1</v>
      </c>
      <c r="AA148" s="84">
        <f t="shared" si="75"/>
        <v>0</v>
      </c>
      <c r="AB148" s="488">
        <f t="array" ref="AB148">ROUNDDOWN(AVERAGE(IFERROR(LARGE((X$6:X147+Y$6:Y147)*Z$6:Z147*(G$6:G147=G148), SC_SSCalcYears),0))/(12*Z148),0)</f>
        <v>0</v>
      </c>
      <c r="AC148" s="69">
        <f t="shared" si="76"/>
        <v>1</v>
      </c>
      <c r="AD148" s="85">
        <f t="shared" si="77"/>
        <v>0</v>
      </c>
      <c r="AE148" s="140">
        <f t="shared" ca="1" si="78"/>
        <v>0</v>
      </c>
      <c r="AF148" s="75">
        <f t="shared" ca="1" si="79"/>
        <v>0</v>
      </c>
      <c r="AG148" s="109">
        <f t="shared" ca="1" si="80"/>
        <v>0</v>
      </c>
      <c r="AH148" s="617">
        <f>SUMIFS($AE148:$AE149,SP_PensionPayout,"Lump sum",$E148:$E149,"&lt;&gt;0")</f>
        <v>0</v>
      </c>
      <c r="AI148" s="617">
        <f>SUMIFS($AE148:$AE149,SP_PensionPayout,"Annuity",$E148:$E149,"&lt;&gt;0")</f>
        <v>0</v>
      </c>
      <c r="AJ148" s="617">
        <f>IF(ISBLANK(INDEX(SP_SSPBFA,1)),0,IF($J148&lt;&gt;INDEX(SP_SSPBFA,1),AJ146,SP_AdditionalRI/INDEX(SC_EA_InflationWageIdx,EAIDX)))</f>
        <v>0</v>
      </c>
      <c r="AK148" s="617">
        <f ca="1">SUMPRODUCT(AF148:AF149, --(G148:G149&lt;&gt;0))</f>
        <v>0</v>
      </c>
      <c r="AL148" s="618">
        <f ca="1">SUMPRODUCT(AG148:AG149, --(E148:E149&lt;&gt;0))+AJ148</f>
        <v>0</v>
      </c>
      <c r="AM148" s="186">
        <f t="shared" ca="1" si="81"/>
        <v>0</v>
      </c>
      <c r="AN148" t="str">
        <f t="shared" ca="1" si="82"/>
        <v/>
      </c>
    </row>
    <row r="149" spans="2:40" x14ac:dyDescent="0.25">
      <c r="B149" s="86">
        <f t="shared" si="83"/>
        <v>2025</v>
      </c>
      <c r="C149" s="80" t="s">
        <v>741</v>
      </c>
      <c r="D149" s="147" t="str">
        <f t="shared" si="56"/>
        <v/>
      </c>
      <c r="E149" s="81">
        <f t="shared" si="57"/>
        <v>0</v>
      </c>
      <c r="F149" s="82">
        <f t="shared" si="61"/>
        <v>0</v>
      </c>
      <c r="G149" s="81">
        <f t="shared" si="60"/>
        <v>2</v>
      </c>
      <c r="H149" s="82">
        <f t="shared" si="62"/>
        <v>-1</v>
      </c>
      <c r="I149" s="82">
        <f t="shared" si="58"/>
        <v>0</v>
      </c>
      <c r="J149" s="81">
        <f t="shared" si="63"/>
        <v>0</v>
      </c>
      <c r="K149" s="83">
        <f t="shared" ca="1" si="59"/>
        <v>0</v>
      </c>
      <c r="L149" s="470"/>
      <c r="M149" s="470"/>
      <c r="N149" s="470"/>
      <c r="O149" s="531"/>
      <c r="P149" s="107">
        <f t="shared" ca="1" si="64"/>
        <v>0</v>
      </c>
      <c r="Q149" s="107">
        <f t="shared" ca="1" si="65"/>
        <v>0</v>
      </c>
      <c r="R149" s="107">
        <f t="shared" ca="1" si="66"/>
        <v>0</v>
      </c>
      <c r="S149" s="107">
        <f t="shared" ca="1" si="67"/>
        <v>0</v>
      </c>
      <c r="T149" s="107">
        <f t="shared" ca="1" si="68"/>
        <v>0</v>
      </c>
      <c r="U149" s="107">
        <f t="shared" ca="1" si="69"/>
        <v>0</v>
      </c>
      <c r="V149" s="107">
        <f t="shared" ca="1" si="70"/>
        <v>0</v>
      </c>
      <c r="W149" s="107">
        <f t="shared" ca="1" si="71"/>
        <v>0</v>
      </c>
      <c r="X149" s="107">
        <f t="shared" si="72"/>
        <v>0</v>
      </c>
      <c r="Y149" s="107">
        <f t="shared" si="73"/>
        <v>0</v>
      </c>
      <c r="Z149" s="87">
        <f t="shared" si="74"/>
        <v>1</v>
      </c>
      <c r="AA149" s="88">
        <f t="shared" si="75"/>
        <v>0</v>
      </c>
      <c r="AB149" s="107">
        <f t="array" ref="AB149">ROUNDDOWN(AVERAGE(IFERROR(LARGE((X$6:X148+Y$6:Y148)*Z$6:Z148*(G$6:G148=G149), SC_SSCalcYears),0))/(12*Z149),0)</f>
        <v>0</v>
      </c>
      <c r="AC149" s="211">
        <f t="shared" si="76"/>
        <v>1</v>
      </c>
      <c r="AD149" s="89">
        <f t="shared" si="77"/>
        <v>0</v>
      </c>
      <c r="AE149" s="141">
        <f t="shared" ca="1" si="78"/>
        <v>0</v>
      </c>
      <c r="AF149" s="106">
        <f t="shared" ca="1" si="79"/>
        <v>0</v>
      </c>
      <c r="AG149" s="110">
        <f t="shared" ca="1" si="80"/>
        <v>0</v>
      </c>
      <c r="AH149" s="617"/>
      <c r="AI149" s="617"/>
      <c r="AJ149" s="617"/>
      <c r="AK149" s="617"/>
      <c r="AL149" s="618"/>
      <c r="AM149" s="186">
        <f t="shared" ca="1" si="81"/>
        <v>0</v>
      </c>
      <c r="AN149" t="str">
        <f t="shared" ca="1" si="82"/>
        <v/>
      </c>
    </row>
    <row r="150" spans="2:40" x14ac:dyDescent="0.25">
      <c r="B150" s="65">
        <f t="shared" si="83"/>
        <v>2026</v>
      </c>
      <c r="C150" s="76" t="s">
        <v>741</v>
      </c>
      <c r="D150" s="146" t="str">
        <f t="shared" si="56"/>
        <v/>
      </c>
      <c r="E150" s="77">
        <f t="shared" si="57"/>
        <v>0</v>
      </c>
      <c r="F150" s="77">
        <f t="shared" si="61"/>
        <v>0</v>
      </c>
      <c r="G150" s="77">
        <f t="shared" si="60"/>
        <v>1</v>
      </c>
      <c r="H150" s="76">
        <f t="shared" si="62"/>
        <v>1</v>
      </c>
      <c r="I150" s="76">
        <f t="shared" si="58"/>
        <v>0</v>
      </c>
      <c r="J150" s="77">
        <f t="shared" si="63"/>
        <v>0</v>
      </c>
      <c r="K150" s="78">
        <f t="shared" ca="1" si="59"/>
        <v>0</v>
      </c>
      <c r="L150" s="470"/>
      <c r="M150" s="470"/>
      <c r="N150" s="470"/>
      <c r="O150" s="531"/>
      <c r="P150" s="70">
        <f t="shared" ca="1" si="64"/>
        <v>0</v>
      </c>
      <c r="Q150" s="70">
        <f t="shared" ca="1" si="65"/>
        <v>0</v>
      </c>
      <c r="R150" s="70">
        <f t="shared" ca="1" si="66"/>
        <v>0</v>
      </c>
      <c r="S150" s="70">
        <f t="shared" ca="1" si="67"/>
        <v>0</v>
      </c>
      <c r="T150" s="70">
        <f t="shared" ca="1" si="68"/>
        <v>0</v>
      </c>
      <c r="U150" s="70">
        <f t="shared" ca="1" si="69"/>
        <v>0</v>
      </c>
      <c r="V150" s="70">
        <f t="shared" ca="1" si="70"/>
        <v>0</v>
      </c>
      <c r="W150" s="70">
        <f t="shared" ca="1" si="71"/>
        <v>0</v>
      </c>
      <c r="X150" s="70">
        <f t="shared" si="72"/>
        <v>0</v>
      </c>
      <c r="Y150" s="70">
        <f t="shared" si="73"/>
        <v>0</v>
      </c>
      <c r="Z150" s="68">
        <f t="shared" si="74"/>
        <v>1</v>
      </c>
      <c r="AA150" s="84">
        <f t="shared" si="75"/>
        <v>0</v>
      </c>
      <c r="AB150" s="488">
        <f t="array" ref="AB150">ROUNDDOWN(AVERAGE(IFERROR(LARGE((X$6:X149+Y$6:Y149)*Z$6:Z149*(G$6:G149=G150), SC_SSCalcYears),0))/(12*Z150),0)</f>
        <v>0</v>
      </c>
      <c r="AC150" s="69">
        <f t="shared" si="76"/>
        <v>1</v>
      </c>
      <c r="AD150" s="85">
        <f t="shared" si="77"/>
        <v>0</v>
      </c>
      <c r="AE150" s="140">
        <f t="shared" ca="1" si="78"/>
        <v>0</v>
      </c>
      <c r="AF150" s="75">
        <f t="shared" ca="1" si="79"/>
        <v>0</v>
      </c>
      <c r="AG150" s="109">
        <f t="shared" ca="1" si="80"/>
        <v>0</v>
      </c>
      <c r="AH150" s="617">
        <f>SUMIFS($AE150:$AE151,SP_PensionPayout,"Lump sum",$E150:$E151,"&lt;&gt;0")</f>
        <v>0</v>
      </c>
      <c r="AI150" s="617">
        <f>SUMIFS($AE150:$AE151,SP_PensionPayout,"Annuity",$E150:$E151,"&lt;&gt;0")</f>
        <v>0</v>
      </c>
      <c r="AJ150" s="617">
        <f>IF(ISBLANK(INDEX(SP_SSPBFA,1)),0,IF($J150&lt;&gt;INDEX(SP_SSPBFA,1),AJ148,SP_AdditionalRI/INDEX(SC_EA_InflationWageIdx,EAIDX)))</f>
        <v>0</v>
      </c>
      <c r="AK150" s="617">
        <f ca="1">SUMPRODUCT(AF150:AF151, --(G150:G151&lt;&gt;0))</f>
        <v>0</v>
      </c>
      <c r="AL150" s="618">
        <f ca="1">SUMPRODUCT(AG150:AG151, --(E150:E151&lt;&gt;0))+AJ150</f>
        <v>0</v>
      </c>
      <c r="AM150" s="186">
        <f t="shared" ca="1" si="81"/>
        <v>0</v>
      </c>
      <c r="AN150" t="str">
        <f t="shared" ca="1" si="82"/>
        <v/>
      </c>
    </row>
    <row r="151" spans="2:40" x14ac:dyDescent="0.25">
      <c r="B151" s="86">
        <f t="shared" si="83"/>
        <v>2026</v>
      </c>
      <c r="C151" s="80" t="s">
        <v>741</v>
      </c>
      <c r="D151" s="147" t="str">
        <f t="shared" si="56"/>
        <v/>
      </c>
      <c r="E151" s="81">
        <f t="shared" si="57"/>
        <v>0</v>
      </c>
      <c r="F151" s="82">
        <f t="shared" si="61"/>
        <v>0</v>
      </c>
      <c r="G151" s="81">
        <f t="shared" si="60"/>
        <v>2</v>
      </c>
      <c r="H151" s="82">
        <f t="shared" si="62"/>
        <v>-1</v>
      </c>
      <c r="I151" s="82">
        <f t="shared" si="58"/>
        <v>0</v>
      </c>
      <c r="J151" s="81">
        <f t="shared" si="63"/>
        <v>0</v>
      </c>
      <c r="K151" s="83">
        <f t="shared" ca="1" si="59"/>
        <v>0</v>
      </c>
      <c r="L151" s="470"/>
      <c r="M151" s="470"/>
      <c r="N151" s="470"/>
      <c r="O151" s="531"/>
      <c r="P151" s="107">
        <f t="shared" ca="1" si="64"/>
        <v>0</v>
      </c>
      <c r="Q151" s="107">
        <f t="shared" ca="1" si="65"/>
        <v>0</v>
      </c>
      <c r="R151" s="107">
        <f t="shared" ca="1" si="66"/>
        <v>0</v>
      </c>
      <c r="S151" s="107">
        <f t="shared" ca="1" si="67"/>
        <v>0</v>
      </c>
      <c r="T151" s="107">
        <f t="shared" ca="1" si="68"/>
        <v>0</v>
      </c>
      <c r="U151" s="107">
        <f t="shared" ca="1" si="69"/>
        <v>0</v>
      </c>
      <c r="V151" s="107">
        <f t="shared" ca="1" si="70"/>
        <v>0</v>
      </c>
      <c r="W151" s="107">
        <f t="shared" ca="1" si="71"/>
        <v>0</v>
      </c>
      <c r="X151" s="107">
        <f t="shared" si="72"/>
        <v>0</v>
      </c>
      <c r="Y151" s="107">
        <f t="shared" si="73"/>
        <v>0</v>
      </c>
      <c r="Z151" s="87">
        <f t="shared" si="74"/>
        <v>1</v>
      </c>
      <c r="AA151" s="88">
        <f t="shared" si="75"/>
        <v>0</v>
      </c>
      <c r="AB151" s="107">
        <f t="array" ref="AB151">ROUNDDOWN(AVERAGE(IFERROR(LARGE((X$6:X150+Y$6:Y150)*Z$6:Z150*(G$6:G150=G151), SC_SSCalcYears),0))/(12*Z151),0)</f>
        <v>0</v>
      </c>
      <c r="AC151" s="211">
        <f t="shared" si="76"/>
        <v>1</v>
      </c>
      <c r="AD151" s="89">
        <f t="shared" si="77"/>
        <v>0</v>
      </c>
      <c r="AE151" s="141">
        <f t="shared" ca="1" si="78"/>
        <v>0</v>
      </c>
      <c r="AF151" s="106">
        <f t="shared" ca="1" si="79"/>
        <v>0</v>
      </c>
      <c r="AG151" s="110">
        <f t="shared" ca="1" si="80"/>
        <v>0</v>
      </c>
      <c r="AH151" s="617"/>
      <c r="AI151" s="617"/>
      <c r="AJ151" s="617"/>
      <c r="AK151" s="617"/>
      <c r="AL151" s="618"/>
      <c r="AM151" s="186">
        <f t="shared" ca="1" si="81"/>
        <v>0</v>
      </c>
      <c r="AN151" t="str">
        <f t="shared" ca="1" si="82"/>
        <v/>
      </c>
    </row>
    <row r="152" spans="2:40" x14ac:dyDescent="0.25">
      <c r="B152" s="65">
        <f t="shared" si="83"/>
        <v>2027</v>
      </c>
      <c r="C152" s="76" t="s">
        <v>741</v>
      </c>
      <c r="D152" s="146" t="str">
        <f t="shared" si="56"/>
        <v/>
      </c>
      <c r="E152" s="77">
        <f t="shared" si="57"/>
        <v>0</v>
      </c>
      <c r="F152" s="77">
        <f t="shared" si="61"/>
        <v>0</v>
      </c>
      <c r="G152" s="77">
        <f t="shared" si="60"/>
        <v>1</v>
      </c>
      <c r="H152" s="76">
        <f t="shared" si="62"/>
        <v>1</v>
      </c>
      <c r="I152" s="76">
        <f t="shared" si="58"/>
        <v>0</v>
      </c>
      <c r="J152" s="77">
        <f t="shared" si="63"/>
        <v>0</v>
      </c>
      <c r="K152" s="78">
        <f t="shared" ca="1" si="59"/>
        <v>0</v>
      </c>
      <c r="L152" s="470"/>
      <c r="M152" s="470"/>
      <c r="N152" s="470"/>
      <c r="O152" s="531"/>
      <c r="P152" s="70">
        <f t="shared" ca="1" si="64"/>
        <v>0</v>
      </c>
      <c r="Q152" s="70">
        <f t="shared" ca="1" si="65"/>
        <v>0</v>
      </c>
      <c r="R152" s="70">
        <f t="shared" ca="1" si="66"/>
        <v>0</v>
      </c>
      <c r="S152" s="70">
        <f t="shared" ca="1" si="67"/>
        <v>0</v>
      </c>
      <c r="T152" s="70">
        <f t="shared" ca="1" si="68"/>
        <v>0</v>
      </c>
      <c r="U152" s="70">
        <f t="shared" ca="1" si="69"/>
        <v>0</v>
      </c>
      <c r="V152" s="70">
        <f t="shared" ca="1" si="70"/>
        <v>0</v>
      </c>
      <c r="W152" s="70">
        <f t="shared" ca="1" si="71"/>
        <v>0</v>
      </c>
      <c r="X152" s="70">
        <f t="shared" si="72"/>
        <v>0</v>
      </c>
      <c r="Y152" s="70">
        <f t="shared" si="73"/>
        <v>0</v>
      </c>
      <c r="Z152" s="68">
        <f t="shared" si="74"/>
        <v>1</v>
      </c>
      <c r="AA152" s="84">
        <f t="shared" si="75"/>
        <v>0</v>
      </c>
      <c r="AB152" s="488">
        <f t="array" ref="AB152">ROUNDDOWN(AVERAGE(IFERROR(LARGE((X$6:X151+Y$6:Y151)*Z$6:Z151*(G$6:G151=G152), SC_SSCalcYears),0))/(12*Z152),0)</f>
        <v>0</v>
      </c>
      <c r="AC152" s="69">
        <f t="shared" si="76"/>
        <v>1</v>
      </c>
      <c r="AD152" s="85">
        <f t="shared" si="77"/>
        <v>0</v>
      </c>
      <c r="AE152" s="140">
        <f t="shared" ca="1" si="78"/>
        <v>0</v>
      </c>
      <c r="AF152" s="75">
        <f t="shared" ca="1" si="79"/>
        <v>0</v>
      </c>
      <c r="AG152" s="109">
        <f t="shared" ca="1" si="80"/>
        <v>0</v>
      </c>
      <c r="AH152" s="617">
        <f>SUMIFS($AE152:$AE153,SP_PensionPayout,"Lump sum",$E152:$E153,"&lt;&gt;0")</f>
        <v>0</v>
      </c>
      <c r="AI152" s="617">
        <f>SUMIFS($AE152:$AE153,SP_PensionPayout,"Annuity",$E152:$E153,"&lt;&gt;0")</f>
        <v>0</v>
      </c>
      <c r="AJ152" s="617">
        <f>IF(ISBLANK(INDEX(SP_SSPBFA,1)),0,IF($J152&lt;&gt;INDEX(SP_SSPBFA,1),AJ150,SP_AdditionalRI/INDEX(SC_EA_InflationWageIdx,EAIDX)))</f>
        <v>0</v>
      </c>
      <c r="AK152" s="617">
        <f ca="1">SUMPRODUCT(AF152:AF153, --(G152:G153&lt;&gt;0))</f>
        <v>0</v>
      </c>
      <c r="AL152" s="618">
        <f ca="1">SUMPRODUCT(AG152:AG153, --(E152:E153&lt;&gt;0))+AJ152</f>
        <v>0</v>
      </c>
      <c r="AM152" s="186">
        <f t="shared" ca="1" si="81"/>
        <v>0</v>
      </c>
      <c r="AN152" t="str">
        <f t="shared" ca="1" si="82"/>
        <v/>
      </c>
    </row>
    <row r="153" spans="2:40" x14ac:dyDescent="0.25">
      <c r="B153" s="86">
        <f t="shared" si="83"/>
        <v>2027</v>
      </c>
      <c r="C153" s="80" t="s">
        <v>741</v>
      </c>
      <c r="D153" s="147" t="str">
        <f t="shared" si="56"/>
        <v/>
      </c>
      <c r="E153" s="81">
        <f t="shared" si="57"/>
        <v>0</v>
      </c>
      <c r="F153" s="82">
        <f t="shared" si="61"/>
        <v>0</v>
      </c>
      <c r="G153" s="81">
        <f t="shared" si="60"/>
        <v>2</v>
      </c>
      <c r="H153" s="82">
        <f t="shared" si="62"/>
        <v>-1</v>
      </c>
      <c r="I153" s="82">
        <f t="shared" si="58"/>
        <v>0</v>
      </c>
      <c r="J153" s="81">
        <f t="shared" si="63"/>
        <v>0</v>
      </c>
      <c r="K153" s="83">
        <f t="shared" ca="1" si="59"/>
        <v>0</v>
      </c>
      <c r="L153" s="470"/>
      <c r="M153" s="470"/>
      <c r="N153" s="470"/>
      <c r="O153" s="531"/>
      <c r="P153" s="107">
        <f t="shared" ca="1" si="64"/>
        <v>0</v>
      </c>
      <c r="Q153" s="107">
        <f t="shared" ca="1" si="65"/>
        <v>0</v>
      </c>
      <c r="R153" s="107">
        <f t="shared" ca="1" si="66"/>
        <v>0</v>
      </c>
      <c r="S153" s="107">
        <f t="shared" ca="1" si="67"/>
        <v>0</v>
      </c>
      <c r="T153" s="107">
        <f t="shared" ca="1" si="68"/>
        <v>0</v>
      </c>
      <c r="U153" s="107">
        <f t="shared" ca="1" si="69"/>
        <v>0</v>
      </c>
      <c r="V153" s="107">
        <f t="shared" ca="1" si="70"/>
        <v>0</v>
      </c>
      <c r="W153" s="107">
        <f t="shared" ca="1" si="71"/>
        <v>0</v>
      </c>
      <c r="X153" s="107">
        <f t="shared" si="72"/>
        <v>0</v>
      </c>
      <c r="Y153" s="107">
        <f t="shared" si="73"/>
        <v>0</v>
      </c>
      <c r="Z153" s="87">
        <f t="shared" si="74"/>
        <v>1</v>
      </c>
      <c r="AA153" s="88">
        <f t="shared" si="75"/>
        <v>0</v>
      </c>
      <c r="AB153" s="107">
        <f t="array" ref="AB153">ROUNDDOWN(AVERAGE(IFERROR(LARGE((X$6:X152+Y$6:Y152)*Z$6:Z152*(G$6:G152=G153), SC_SSCalcYears),0))/(12*Z153),0)</f>
        <v>0</v>
      </c>
      <c r="AC153" s="211">
        <f t="shared" si="76"/>
        <v>1</v>
      </c>
      <c r="AD153" s="89">
        <f t="shared" si="77"/>
        <v>0</v>
      </c>
      <c r="AE153" s="141">
        <f t="shared" ca="1" si="78"/>
        <v>0</v>
      </c>
      <c r="AF153" s="106">
        <f t="shared" ca="1" si="79"/>
        <v>0</v>
      </c>
      <c r="AG153" s="110">
        <f t="shared" ca="1" si="80"/>
        <v>0</v>
      </c>
      <c r="AH153" s="617"/>
      <c r="AI153" s="617"/>
      <c r="AJ153" s="617"/>
      <c r="AK153" s="617"/>
      <c r="AL153" s="618"/>
      <c r="AM153" s="186">
        <f t="shared" ca="1" si="81"/>
        <v>0</v>
      </c>
      <c r="AN153" t="str">
        <f t="shared" ca="1" si="82"/>
        <v/>
      </c>
    </row>
    <row r="154" spans="2:40" x14ac:dyDescent="0.25">
      <c r="B154" s="65">
        <f t="shared" si="83"/>
        <v>2028</v>
      </c>
      <c r="C154" s="76" t="s">
        <v>741</v>
      </c>
      <c r="D154" s="146" t="str">
        <f t="shared" si="56"/>
        <v/>
      </c>
      <c r="E154" s="77">
        <f t="shared" si="57"/>
        <v>0</v>
      </c>
      <c r="F154" s="77">
        <f t="shared" si="61"/>
        <v>0</v>
      </c>
      <c r="G154" s="77">
        <f t="shared" si="60"/>
        <v>1</v>
      </c>
      <c r="H154" s="76">
        <f t="shared" si="62"/>
        <v>1</v>
      </c>
      <c r="I154" s="76">
        <f t="shared" si="58"/>
        <v>0</v>
      </c>
      <c r="J154" s="77">
        <f t="shared" si="63"/>
        <v>0</v>
      </c>
      <c r="K154" s="78">
        <f t="shared" ca="1" si="59"/>
        <v>0</v>
      </c>
      <c r="L154" s="470"/>
      <c r="M154" s="470"/>
      <c r="N154" s="470"/>
      <c r="O154" s="531"/>
      <c r="P154" s="70">
        <f t="shared" ca="1" si="64"/>
        <v>0</v>
      </c>
      <c r="Q154" s="70">
        <f t="shared" ca="1" si="65"/>
        <v>0</v>
      </c>
      <c r="R154" s="70">
        <f t="shared" ca="1" si="66"/>
        <v>0</v>
      </c>
      <c r="S154" s="70">
        <f t="shared" ca="1" si="67"/>
        <v>0</v>
      </c>
      <c r="T154" s="70">
        <f t="shared" ca="1" si="68"/>
        <v>0</v>
      </c>
      <c r="U154" s="70">
        <f t="shared" ca="1" si="69"/>
        <v>0</v>
      </c>
      <c r="V154" s="70">
        <f t="shared" ca="1" si="70"/>
        <v>0</v>
      </c>
      <c r="W154" s="70">
        <f t="shared" ca="1" si="71"/>
        <v>0</v>
      </c>
      <c r="X154" s="70">
        <f t="shared" si="72"/>
        <v>0</v>
      </c>
      <c r="Y154" s="70">
        <f t="shared" si="73"/>
        <v>0</v>
      </c>
      <c r="Z154" s="68">
        <f t="shared" si="74"/>
        <v>1</v>
      </c>
      <c r="AA154" s="84">
        <f t="shared" si="75"/>
        <v>0</v>
      </c>
      <c r="AB154" s="488">
        <f t="array" ref="AB154">ROUNDDOWN(AVERAGE(IFERROR(LARGE((X$6:X153+Y$6:Y153)*Z$6:Z153*(G$6:G153=G154), SC_SSCalcYears),0))/(12*Z154),0)</f>
        <v>0</v>
      </c>
      <c r="AC154" s="69">
        <f t="shared" si="76"/>
        <v>1</v>
      </c>
      <c r="AD154" s="85">
        <f t="shared" si="77"/>
        <v>0</v>
      </c>
      <c r="AE154" s="140">
        <f t="shared" ca="1" si="78"/>
        <v>0</v>
      </c>
      <c r="AF154" s="75">
        <f t="shared" ca="1" si="79"/>
        <v>0</v>
      </c>
      <c r="AG154" s="109">
        <f t="shared" ca="1" si="80"/>
        <v>0</v>
      </c>
      <c r="AH154" s="617">
        <f>SUMIFS($AE154:$AE155,SP_PensionPayout,"Lump sum",$E154:$E155,"&lt;&gt;0")</f>
        <v>0</v>
      </c>
      <c r="AI154" s="617">
        <f>SUMIFS($AE154:$AE155,SP_PensionPayout,"Annuity",$E154:$E155,"&lt;&gt;0")</f>
        <v>0</v>
      </c>
      <c r="AJ154" s="617">
        <f>IF(ISBLANK(INDEX(SP_SSPBFA,1)),0,IF($J154&lt;&gt;INDEX(SP_SSPBFA,1),AJ152,SP_AdditionalRI/INDEX(SC_EA_InflationWageIdx,EAIDX)))</f>
        <v>0</v>
      </c>
      <c r="AK154" s="617">
        <f ca="1">SUMPRODUCT(AF154:AF155, --(G154:G155&lt;&gt;0))</f>
        <v>0</v>
      </c>
      <c r="AL154" s="618">
        <f ca="1">SUMPRODUCT(AG154:AG155, --(E154:E155&lt;&gt;0))+AJ154</f>
        <v>0</v>
      </c>
      <c r="AM154" s="186">
        <f t="shared" ca="1" si="81"/>
        <v>0</v>
      </c>
      <c r="AN154" t="str">
        <f t="shared" ca="1" si="82"/>
        <v/>
      </c>
    </row>
    <row r="155" spans="2:40" x14ac:dyDescent="0.25">
      <c r="B155" s="86">
        <f t="shared" si="83"/>
        <v>2028</v>
      </c>
      <c r="C155" s="80" t="s">
        <v>741</v>
      </c>
      <c r="D155" s="147" t="str">
        <f t="shared" si="56"/>
        <v/>
      </c>
      <c r="E155" s="81">
        <f t="shared" si="57"/>
        <v>0</v>
      </c>
      <c r="F155" s="82">
        <f t="shared" si="61"/>
        <v>0</v>
      </c>
      <c r="G155" s="81">
        <f t="shared" si="60"/>
        <v>2</v>
      </c>
      <c r="H155" s="82">
        <f t="shared" si="62"/>
        <v>-1</v>
      </c>
      <c r="I155" s="82">
        <f t="shared" si="58"/>
        <v>0</v>
      </c>
      <c r="J155" s="81">
        <f t="shared" si="63"/>
        <v>0</v>
      </c>
      <c r="K155" s="83">
        <f t="shared" ca="1" si="59"/>
        <v>0</v>
      </c>
      <c r="L155" s="470"/>
      <c r="M155" s="470"/>
      <c r="N155" s="470"/>
      <c r="O155" s="531"/>
      <c r="P155" s="107">
        <f t="shared" ca="1" si="64"/>
        <v>0</v>
      </c>
      <c r="Q155" s="107">
        <f t="shared" ca="1" si="65"/>
        <v>0</v>
      </c>
      <c r="R155" s="107">
        <f t="shared" ca="1" si="66"/>
        <v>0</v>
      </c>
      <c r="S155" s="107">
        <f t="shared" ca="1" si="67"/>
        <v>0</v>
      </c>
      <c r="T155" s="107">
        <f t="shared" ca="1" si="68"/>
        <v>0</v>
      </c>
      <c r="U155" s="107">
        <f t="shared" ca="1" si="69"/>
        <v>0</v>
      </c>
      <c r="V155" s="107">
        <f t="shared" ca="1" si="70"/>
        <v>0</v>
      </c>
      <c r="W155" s="107">
        <f t="shared" ca="1" si="71"/>
        <v>0</v>
      </c>
      <c r="X155" s="107">
        <f t="shared" si="72"/>
        <v>0</v>
      </c>
      <c r="Y155" s="107">
        <f t="shared" si="73"/>
        <v>0</v>
      </c>
      <c r="Z155" s="87">
        <f t="shared" si="74"/>
        <v>1</v>
      </c>
      <c r="AA155" s="88">
        <f t="shared" si="75"/>
        <v>0</v>
      </c>
      <c r="AB155" s="107">
        <f t="array" ref="AB155">ROUNDDOWN(AVERAGE(IFERROR(LARGE((X$6:X154+Y$6:Y154)*Z$6:Z154*(G$6:G154=G155), SC_SSCalcYears),0))/(12*Z155),0)</f>
        <v>0</v>
      </c>
      <c r="AC155" s="211">
        <f t="shared" si="76"/>
        <v>1</v>
      </c>
      <c r="AD155" s="89">
        <f t="shared" si="77"/>
        <v>0</v>
      </c>
      <c r="AE155" s="141">
        <f t="shared" ca="1" si="78"/>
        <v>0</v>
      </c>
      <c r="AF155" s="106">
        <f t="shared" ca="1" si="79"/>
        <v>0</v>
      </c>
      <c r="AG155" s="110">
        <f t="shared" ca="1" si="80"/>
        <v>0</v>
      </c>
      <c r="AH155" s="617"/>
      <c r="AI155" s="617"/>
      <c r="AJ155" s="617"/>
      <c r="AK155" s="617"/>
      <c r="AL155" s="618"/>
      <c r="AM155" s="186">
        <f t="shared" ca="1" si="81"/>
        <v>0</v>
      </c>
      <c r="AN155" t="str">
        <f t="shared" ca="1" si="82"/>
        <v/>
      </c>
    </row>
    <row r="156" spans="2:40" x14ac:dyDescent="0.25">
      <c r="B156" s="65">
        <f t="shared" si="83"/>
        <v>2029</v>
      </c>
      <c r="C156" s="76" t="s">
        <v>741</v>
      </c>
      <c r="D156" s="146" t="str">
        <f t="shared" si="56"/>
        <v/>
      </c>
      <c r="E156" s="77">
        <f t="shared" si="57"/>
        <v>0</v>
      </c>
      <c r="F156" s="77">
        <f t="shared" si="61"/>
        <v>0</v>
      </c>
      <c r="G156" s="77">
        <f t="shared" si="60"/>
        <v>1</v>
      </c>
      <c r="H156" s="76">
        <f t="shared" si="62"/>
        <v>1</v>
      </c>
      <c r="I156" s="76">
        <f t="shared" si="58"/>
        <v>0</v>
      </c>
      <c r="J156" s="77">
        <f t="shared" si="63"/>
        <v>0</v>
      </c>
      <c r="K156" s="78">
        <f t="shared" ca="1" si="59"/>
        <v>0</v>
      </c>
      <c r="L156" s="470"/>
      <c r="M156" s="470"/>
      <c r="N156" s="470"/>
      <c r="O156" s="531"/>
      <c r="P156" s="70">
        <f t="shared" ca="1" si="64"/>
        <v>0</v>
      </c>
      <c r="Q156" s="70">
        <f t="shared" ca="1" si="65"/>
        <v>0</v>
      </c>
      <c r="R156" s="70">
        <f t="shared" ca="1" si="66"/>
        <v>0</v>
      </c>
      <c r="S156" s="70">
        <f t="shared" ca="1" si="67"/>
        <v>0</v>
      </c>
      <c r="T156" s="70">
        <f t="shared" ca="1" si="68"/>
        <v>0</v>
      </c>
      <c r="U156" s="70">
        <f t="shared" ca="1" si="69"/>
        <v>0</v>
      </c>
      <c r="V156" s="70">
        <f t="shared" ca="1" si="70"/>
        <v>0</v>
      </c>
      <c r="W156" s="70">
        <f t="shared" ca="1" si="71"/>
        <v>0</v>
      </c>
      <c r="X156" s="70">
        <f t="shared" si="72"/>
        <v>0</v>
      </c>
      <c r="Y156" s="70">
        <f t="shared" si="73"/>
        <v>0</v>
      </c>
      <c r="Z156" s="68">
        <f t="shared" si="74"/>
        <v>1</v>
      </c>
      <c r="AA156" s="84">
        <f t="shared" si="75"/>
        <v>0</v>
      </c>
      <c r="AB156" s="488">
        <f t="array" ref="AB156">ROUNDDOWN(AVERAGE(IFERROR(LARGE((X$6:X155+Y$6:Y155)*Z$6:Z155*(G$6:G155=G156), SC_SSCalcYears),0))/(12*Z156),0)</f>
        <v>0</v>
      </c>
      <c r="AC156" s="69">
        <f t="shared" si="76"/>
        <v>1</v>
      </c>
      <c r="AD156" s="85">
        <f t="shared" si="77"/>
        <v>0</v>
      </c>
      <c r="AE156" s="140">
        <f t="shared" ca="1" si="78"/>
        <v>0</v>
      </c>
      <c r="AF156" s="75">
        <f t="shared" ca="1" si="79"/>
        <v>0</v>
      </c>
      <c r="AG156" s="109">
        <f t="shared" ca="1" si="80"/>
        <v>0</v>
      </c>
      <c r="AH156" s="617">
        <f>SUMIFS($AE156:$AE157,SP_PensionPayout,"Lump sum",$E156:$E157,"&lt;&gt;0")</f>
        <v>0</v>
      </c>
      <c r="AI156" s="617">
        <f>SUMIFS($AE156:$AE157,SP_PensionPayout,"Annuity",$E156:$E157,"&lt;&gt;0")</f>
        <v>0</v>
      </c>
      <c r="AJ156" s="617">
        <f>IF(ISBLANK(INDEX(SP_SSPBFA,1)),0,IF($J156&lt;&gt;INDEX(SP_SSPBFA,1),AJ154,SP_AdditionalRI/INDEX(SC_EA_InflationWageIdx,EAIDX)))</f>
        <v>0</v>
      </c>
      <c r="AK156" s="617">
        <f ca="1">SUMPRODUCT(AF156:AF157, --(G156:G157&lt;&gt;0))</f>
        <v>0</v>
      </c>
      <c r="AL156" s="618">
        <f ca="1">SUMPRODUCT(AG156:AG157, --(E156:E157&lt;&gt;0))+AJ156</f>
        <v>0</v>
      </c>
      <c r="AM156" s="186">
        <f t="shared" ca="1" si="81"/>
        <v>0</v>
      </c>
      <c r="AN156" t="str">
        <f t="shared" ca="1" si="82"/>
        <v/>
      </c>
    </row>
    <row r="157" spans="2:40" x14ac:dyDescent="0.25">
      <c r="B157" s="86">
        <f t="shared" si="83"/>
        <v>2029</v>
      </c>
      <c r="C157" s="80" t="s">
        <v>741</v>
      </c>
      <c r="D157" s="147" t="str">
        <f t="shared" si="56"/>
        <v/>
      </c>
      <c r="E157" s="81">
        <f t="shared" si="57"/>
        <v>0</v>
      </c>
      <c r="F157" s="82">
        <f t="shared" si="61"/>
        <v>0</v>
      </c>
      <c r="G157" s="81">
        <f t="shared" si="60"/>
        <v>2</v>
      </c>
      <c r="H157" s="82">
        <f t="shared" si="62"/>
        <v>-1</v>
      </c>
      <c r="I157" s="82">
        <f t="shared" si="58"/>
        <v>0</v>
      </c>
      <c r="J157" s="81">
        <f t="shared" si="63"/>
        <v>0</v>
      </c>
      <c r="K157" s="83">
        <f t="shared" ca="1" si="59"/>
        <v>0</v>
      </c>
      <c r="L157" s="470"/>
      <c r="M157" s="470"/>
      <c r="N157" s="470"/>
      <c r="O157" s="531"/>
      <c r="P157" s="107">
        <f t="shared" ca="1" si="64"/>
        <v>0</v>
      </c>
      <c r="Q157" s="107">
        <f t="shared" ca="1" si="65"/>
        <v>0</v>
      </c>
      <c r="R157" s="107">
        <f t="shared" ca="1" si="66"/>
        <v>0</v>
      </c>
      <c r="S157" s="107">
        <f t="shared" ca="1" si="67"/>
        <v>0</v>
      </c>
      <c r="T157" s="107">
        <f t="shared" ca="1" si="68"/>
        <v>0</v>
      </c>
      <c r="U157" s="107">
        <f t="shared" ca="1" si="69"/>
        <v>0</v>
      </c>
      <c r="V157" s="107">
        <f t="shared" ca="1" si="70"/>
        <v>0</v>
      </c>
      <c r="W157" s="107">
        <f t="shared" ca="1" si="71"/>
        <v>0</v>
      </c>
      <c r="X157" s="107">
        <f t="shared" si="72"/>
        <v>0</v>
      </c>
      <c r="Y157" s="107">
        <f t="shared" si="73"/>
        <v>0</v>
      </c>
      <c r="Z157" s="87">
        <f t="shared" si="74"/>
        <v>1</v>
      </c>
      <c r="AA157" s="88">
        <f t="shared" si="75"/>
        <v>0</v>
      </c>
      <c r="AB157" s="107">
        <f t="array" ref="AB157">ROUNDDOWN(AVERAGE(IFERROR(LARGE((X$6:X156+Y$6:Y156)*Z$6:Z156*(G$6:G156=G157), SC_SSCalcYears),0))/(12*Z157),0)</f>
        <v>0</v>
      </c>
      <c r="AC157" s="211">
        <f t="shared" si="76"/>
        <v>1</v>
      </c>
      <c r="AD157" s="89">
        <f t="shared" si="77"/>
        <v>0</v>
      </c>
      <c r="AE157" s="141">
        <f t="shared" ca="1" si="78"/>
        <v>0</v>
      </c>
      <c r="AF157" s="106">
        <f t="shared" ca="1" si="79"/>
        <v>0</v>
      </c>
      <c r="AG157" s="110">
        <f t="shared" ca="1" si="80"/>
        <v>0</v>
      </c>
      <c r="AH157" s="617"/>
      <c r="AI157" s="617"/>
      <c r="AJ157" s="617"/>
      <c r="AK157" s="617"/>
      <c r="AL157" s="618"/>
      <c r="AM157" s="186">
        <f t="shared" ca="1" si="81"/>
        <v>0</v>
      </c>
      <c r="AN157" t="str">
        <f t="shared" ca="1" si="82"/>
        <v/>
      </c>
    </row>
    <row r="158" spans="2:40" x14ac:dyDescent="0.25">
      <c r="B158" s="65">
        <f t="shared" si="83"/>
        <v>2030</v>
      </c>
      <c r="C158" s="76" t="s">
        <v>741</v>
      </c>
      <c r="D158" s="146" t="str">
        <f t="shared" si="56"/>
        <v/>
      </c>
      <c r="E158" s="77">
        <f t="shared" si="57"/>
        <v>0</v>
      </c>
      <c r="F158" s="77">
        <f t="shared" si="61"/>
        <v>0</v>
      </c>
      <c r="G158" s="77">
        <f t="shared" si="60"/>
        <v>1</v>
      </c>
      <c r="H158" s="76">
        <f t="shared" si="62"/>
        <v>1</v>
      </c>
      <c r="I158" s="76">
        <f t="shared" si="58"/>
        <v>0</v>
      </c>
      <c r="J158" s="77">
        <f t="shared" si="63"/>
        <v>0</v>
      </c>
      <c r="K158" s="78">
        <f t="shared" ca="1" si="59"/>
        <v>0</v>
      </c>
      <c r="L158" s="470"/>
      <c r="M158" s="470"/>
      <c r="N158" s="470"/>
      <c r="O158" s="531"/>
      <c r="P158" s="70">
        <f t="shared" ca="1" si="64"/>
        <v>0</v>
      </c>
      <c r="Q158" s="70">
        <f t="shared" ca="1" si="65"/>
        <v>0</v>
      </c>
      <c r="R158" s="70">
        <f t="shared" ca="1" si="66"/>
        <v>0</v>
      </c>
      <c r="S158" s="70">
        <f t="shared" ca="1" si="67"/>
        <v>0</v>
      </c>
      <c r="T158" s="70">
        <f t="shared" ca="1" si="68"/>
        <v>0</v>
      </c>
      <c r="U158" s="70">
        <f t="shared" ca="1" si="69"/>
        <v>0</v>
      </c>
      <c r="V158" s="70">
        <f t="shared" ca="1" si="70"/>
        <v>0</v>
      </c>
      <c r="W158" s="70">
        <f t="shared" ca="1" si="71"/>
        <v>0</v>
      </c>
      <c r="X158" s="70">
        <f t="shared" si="72"/>
        <v>0</v>
      </c>
      <c r="Y158" s="70">
        <f t="shared" si="73"/>
        <v>0</v>
      </c>
      <c r="Z158" s="68">
        <f t="shared" si="74"/>
        <v>1</v>
      </c>
      <c r="AA158" s="84">
        <f t="shared" si="75"/>
        <v>0</v>
      </c>
      <c r="AB158" s="488">
        <f t="array" ref="AB158">ROUNDDOWN(AVERAGE(IFERROR(LARGE((X$6:X157+Y$6:Y157)*Z$6:Z157*(G$6:G157=G158), SC_SSCalcYears),0))/(12*Z158),0)</f>
        <v>0</v>
      </c>
      <c r="AC158" s="69">
        <f t="shared" si="76"/>
        <v>1</v>
      </c>
      <c r="AD158" s="85">
        <f t="shared" si="77"/>
        <v>0</v>
      </c>
      <c r="AE158" s="140">
        <f t="shared" ca="1" si="78"/>
        <v>0</v>
      </c>
      <c r="AF158" s="75">
        <f t="shared" ca="1" si="79"/>
        <v>0</v>
      </c>
      <c r="AG158" s="109">
        <f t="shared" ca="1" si="80"/>
        <v>0</v>
      </c>
      <c r="AH158" s="617">
        <f>SUMIFS($AE158:$AE159,SP_PensionPayout,"Lump sum",$E158:$E159,"&lt;&gt;0")</f>
        <v>0</v>
      </c>
      <c r="AI158" s="617">
        <f>SUMIFS($AE158:$AE159,SP_PensionPayout,"Annuity",$E158:$E159,"&lt;&gt;0")</f>
        <v>0</v>
      </c>
      <c r="AJ158" s="617">
        <f>IF(ISBLANK(INDEX(SP_SSPBFA,1)),0,IF($J158&lt;&gt;INDEX(SP_SSPBFA,1),AJ156,SP_AdditionalRI/INDEX(SC_EA_InflationWageIdx,EAIDX)))</f>
        <v>0</v>
      </c>
      <c r="AK158" s="617">
        <f ca="1">SUMPRODUCT(AF158:AF159, --(G158:G159&lt;&gt;0))</f>
        <v>0</v>
      </c>
      <c r="AL158" s="618">
        <f ca="1">SUMPRODUCT(AG158:AG159, --(E158:E159&lt;&gt;0))+AJ158</f>
        <v>0</v>
      </c>
      <c r="AM158" s="186">
        <f t="shared" ca="1" si="81"/>
        <v>0</v>
      </c>
      <c r="AN158" t="str">
        <f t="shared" ca="1" si="82"/>
        <v/>
      </c>
    </row>
    <row r="159" spans="2:40" x14ac:dyDescent="0.25">
      <c r="B159" s="86">
        <f t="shared" si="83"/>
        <v>2030</v>
      </c>
      <c r="C159" s="80" t="s">
        <v>741</v>
      </c>
      <c r="D159" s="147" t="str">
        <f t="shared" si="56"/>
        <v/>
      </c>
      <c r="E159" s="81">
        <f t="shared" si="57"/>
        <v>0</v>
      </c>
      <c r="F159" s="82">
        <f t="shared" si="61"/>
        <v>0</v>
      </c>
      <c r="G159" s="81">
        <f t="shared" si="60"/>
        <v>2</v>
      </c>
      <c r="H159" s="82">
        <f t="shared" si="62"/>
        <v>-1</v>
      </c>
      <c r="I159" s="82">
        <f t="shared" si="58"/>
        <v>0</v>
      </c>
      <c r="J159" s="81">
        <f t="shared" si="63"/>
        <v>0</v>
      </c>
      <c r="K159" s="83">
        <f t="shared" ca="1" si="59"/>
        <v>0</v>
      </c>
      <c r="L159" s="470"/>
      <c r="M159" s="470"/>
      <c r="N159" s="470"/>
      <c r="O159" s="531"/>
      <c r="P159" s="107">
        <f t="shared" ca="1" si="64"/>
        <v>0</v>
      </c>
      <c r="Q159" s="107">
        <f t="shared" ca="1" si="65"/>
        <v>0</v>
      </c>
      <c r="R159" s="107">
        <f t="shared" ca="1" si="66"/>
        <v>0</v>
      </c>
      <c r="S159" s="107">
        <f t="shared" ca="1" si="67"/>
        <v>0</v>
      </c>
      <c r="T159" s="107">
        <f t="shared" ca="1" si="68"/>
        <v>0</v>
      </c>
      <c r="U159" s="107">
        <f t="shared" ca="1" si="69"/>
        <v>0</v>
      </c>
      <c r="V159" s="107">
        <f t="shared" ca="1" si="70"/>
        <v>0</v>
      </c>
      <c r="W159" s="107">
        <f t="shared" ca="1" si="71"/>
        <v>0</v>
      </c>
      <c r="X159" s="107">
        <f t="shared" si="72"/>
        <v>0</v>
      </c>
      <c r="Y159" s="107">
        <f t="shared" si="73"/>
        <v>0</v>
      </c>
      <c r="Z159" s="87">
        <f t="shared" si="74"/>
        <v>1</v>
      </c>
      <c r="AA159" s="88">
        <f t="shared" si="75"/>
        <v>0</v>
      </c>
      <c r="AB159" s="107">
        <f t="array" ref="AB159">ROUNDDOWN(AVERAGE(IFERROR(LARGE((X$6:X158+Y$6:Y158)*Z$6:Z158*(G$6:G158=G159), SC_SSCalcYears),0))/(12*Z159),0)</f>
        <v>0</v>
      </c>
      <c r="AC159" s="211">
        <f t="shared" si="76"/>
        <v>1</v>
      </c>
      <c r="AD159" s="89">
        <f t="shared" si="77"/>
        <v>0</v>
      </c>
      <c r="AE159" s="141">
        <f t="shared" ca="1" si="78"/>
        <v>0</v>
      </c>
      <c r="AF159" s="106">
        <f t="shared" ca="1" si="79"/>
        <v>0</v>
      </c>
      <c r="AG159" s="110">
        <f t="shared" ca="1" si="80"/>
        <v>0</v>
      </c>
      <c r="AH159" s="617"/>
      <c r="AI159" s="617"/>
      <c r="AJ159" s="617"/>
      <c r="AK159" s="617"/>
      <c r="AL159" s="618"/>
      <c r="AM159" s="186">
        <f t="shared" ca="1" si="81"/>
        <v>0</v>
      </c>
      <c r="AN159" t="str">
        <f t="shared" ca="1" si="82"/>
        <v/>
      </c>
    </row>
    <row r="160" spans="2:40" x14ac:dyDescent="0.25">
      <c r="B160" s="65">
        <f t="shared" si="83"/>
        <v>2031</v>
      </c>
      <c r="C160" s="76" t="s">
        <v>741</v>
      </c>
      <c r="D160" s="146" t="str">
        <f t="shared" si="56"/>
        <v/>
      </c>
      <c r="E160" s="77">
        <f t="shared" si="57"/>
        <v>0</v>
      </c>
      <c r="F160" s="77">
        <f t="shared" si="61"/>
        <v>0</v>
      </c>
      <c r="G160" s="77">
        <f t="shared" si="60"/>
        <v>1</v>
      </c>
      <c r="H160" s="76">
        <f t="shared" si="62"/>
        <v>1</v>
      </c>
      <c r="I160" s="76">
        <f t="shared" si="58"/>
        <v>0</v>
      </c>
      <c r="J160" s="77">
        <f t="shared" si="63"/>
        <v>0</v>
      </c>
      <c r="K160" s="78">
        <f t="shared" ca="1" si="59"/>
        <v>0</v>
      </c>
      <c r="L160" s="470"/>
      <c r="M160" s="470"/>
      <c r="N160" s="470"/>
      <c r="O160" s="531"/>
      <c r="P160" s="70">
        <f t="shared" ca="1" si="64"/>
        <v>0</v>
      </c>
      <c r="Q160" s="70">
        <f t="shared" ca="1" si="65"/>
        <v>0</v>
      </c>
      <c r="R160" s="70">
        <f t="shared" ca="1" si="66"/>
        <v>0</v>
      </c>
      <c r="S160" s="70">
        <f t="shared" ca="1" si="67"/>
        <v>0</v>
      </c>
      <c r="T160" s="70">
        <f t="shared" ca="1" si="68"/>
        <v>0</v>
      </c>
      <c r="U160" s="70">
        <f t="shared" ca="1" si="69"/>
        <v>0</v>
      </c>
      <c r="V160" s="70">
        <f t="shared" ca="1" si="70"/>
        <v>0</v>
      </c>
      <c r="W160" s="70">
        <f t="shared" ca="1" si="71"/>
        <v>0</v>
      </c>
      <c r="X160" s="70">
        <f t="shared" si="72"/>
        <v>0</v>
      </c>
      <c r="Y160" s="70">
        <f t="shared" si="73"/>
        <v>0</v>
      </c>
      <c r="Z160" s="68">
        <f t="shared" si="74"/>
        <v>1</v>
      </c>
      <c r="AA160" s="84">
        <f t="shared" si="75"/>
        <v>0</v>
      </c>
      <c r="AB160" s="488">
        <f t="array" ref="AB160">ROUNDDOWN(AVERAGE(IFERROR(LARGE((X$6:X159+Y$6:Y159)*Z$6:Z159*(G$6:G159=G160), SC_SSCalcYears),0))/(12*Z160),0)</f>
        <v>0</v>
      </c>
      <c r="AC160" s="69">
        <f t="shared" si="76"/>
        <v>1</v>
      </c>
      <c r="AD160" s="85">
        <f t="shared" si="77"/>
        <v>0</v>
      </c>
      <c r="AE160" s="140">
        <f t="shared" ca="1" si="78"/>
        <v>0</v>
      </c>
      <c r="AF160" s="75">
        <f t="shared" ca="1" si="79"/>
        <v>0</v>
      </c>
      <c r="AG160" s="109">
        <f t="shared" ca="1" si="80"/>
        <v>0</v>
      </c>
      <c r="AH160" s="617">
        <f>SUMIFS($AE160:$AE161,SP_PensionPayout,"Lump sum",$E160:$E161,"&lt;&gt;0")</f>
        <v>0</v>
      </c>
      <c r="AI160" s="617">
        <f>SUMIFS($AE160:$AE161,SP_PensionPayout,"Annuity",$E160:$E161,"&lt;&gt;0")</f>
        <v>0</v>
      </c>
      <c r="AJ160" s="617">
        <f>IF(ISBLANK(INDEX(SP_SSPBFA,1)),0,IF($J160&lt;&gt;INDEX(SP_SSPBFA,1),AJ158,SP_AdditionalRI/INDEX(SC_EA_InflationWageIdx,EAIDX)))</f>
        <v>0</v>
      </c>
      <c r="AK160" s="617">
        <f ca="1">SUMPRODUCT(AF160:AF161, --(G160:G161&lt;&gt;0))</f>
        <v>0</v>
      </c>
      <c r="AL160" s="618">
        <f ca="1">SUMPRODUCT(AG160:AG161, --(E160:E161&lt;&gt;0))+AJ160</f>
        <v>0</v>
      </c>
      <c r="AM160" s="186">
        <f t="shared" ca="1" si="81"/>
        <v>0</v>
      </c>
      <c r="AN160" t="str">
        <f t="shared" ca="1" si="82"/>
        <v/>
      </c>
    </row>
    <row r="161" spans="2:40" x14ac:dyDescent="0.25">
      <c r="B161" s="86">
        <f t="shared" si="83"/>
        <v>2031</v>
      </c>
      <c r="C161" s="80" t="s">
        <v>741</v>
      </c>
      <c r="D161" s="147" t="str">
        <f t="shared" si="56"/>
        <v/>
      </c>
      <c r="E161" s="81">
        <f t="shared" si="57"/>
        <v>0</v>
      </c>
      <c r="F161" s="82">
        <f t="shared" si="61"/>
        <v>0</v>
      </c>
      <c r="G161" s="81">
        <f t="shared" si="60"/>
        <v>2</v>
      </c>
      <c r="H161" s="82">
        <f t="shared" si="62"/>
        <v>-1</v>
      </c>
      <c r="I161" s="82">
        <f t="shared" si="58"/>
        <v>0</v>
      </c>
      <c r="J161" s="81">
        <f t="shared" si="63"/>
        <v>0</v>
      </c>
      <c r="K161" s="83">
        <f t="shared" ca="1" si="59"/>
        <v>0</v>
      </c>
      <c r="L161" s="470"/>
      <c r="M161" s="470"/>
      <c r="N161" s="470"/>
      <c r="O161" s="531"/>
      <c r="P161" s="107">
        <f t="shared" ca="1" si="64"/>
        <v>0</v>
      </c>
      <c r="Q161" s="107">
        <f t="shared" ca="1" si="65"/>
        <v>0</v>
      </c>
      <c r="R161" s="107">
        <f t="shared" ca="1" si="66"/>
        <v>0</v>
      </c>
      <c r="S161" s="107">
        <f t="shared" ca="1" si="67"/>
        <v>0</v>
      </c>
      <c r="T161" s="107">
        <f t="shared" ca="1" si="68"/>
        <v>0</v>
      </c>
      <c r="U161" s="107">
        <f t="shared" ca="1" si="69"/>
        <v>0</v>
      </c>
      <c r="V161" s="107">
        <f t="shared" ca="1" si="70"/>
        <v>0</v>
      </c>
      <c r="W161" s="107">
        <f t="shared" ca="1" si="71"/>
        <v>0</v>
      </c>
      <c r="X161" s="107">
        <f t="shared" si="72"/>
        <v>0</v>
      </c>
      <c r="Y161" s="107">
        <f t="shared" si="73"/>
        <v>0</v>
      </c>
      <c r="Z161" s="87">
        <f t="shared" si="74"/>
        <v>1</v>
      </c>
      <c r="AA161" s="88">
        <f t="shared" si="75"/>
        <v>0</v>
      </c>
      <c r="AB161" s="107">
        <f t="array" ref="AB161">ROUNDDOWN(AVERAGE(IFERROR(LARGE((X$6:X160+Y$6:Y160)*Z$6:Z160*(G$6:G160=G161), SC_SSCalcYears),0))/(12*Z161),0)</f>
        <v>0</v>
      </c>
      <c r="AC161" s="211">
        <f t="shared" si="76"/>
        <v>1</v>
      </c>
      <c r="AD161" s="89">
        <f t="shared" si="77"/>
        <v>0</v>
      </c>
      <c r="AE161" s="141">
        <f t="shared" ca="1" si="78"/>
        <v>0</v>
      </c>
      <c r="AF161" s="106">
        <f t="shared" ca="1" si="79"/>
        <v>0</v>
      </c>
      <c r="AG161" s="110">
        <f t="shared" ca="1" si="80"/>
        <v>0</v>
      </c>
      <c r="AH161" s="617"/>
      <c r="AI161" s="617"/>
      <c r="AJ161" s="617"/>
      <c r="AK161" s="617"/>
      <c r="AL161" s="618"/>
      <c r="AM161" s="186">
        <f t="shared" ca="1" si="81"/>
        <v>0</v>
      </c>
      <c r="AN161" t="str">
        <f t="shared" ca="1" si="82"/>
        <v/>
      </c>
    </row>
    <row r="162" spans="2:40" x14ac:dyDescent="0.25">
      <c r="B162" s="65">
        <f t="shared" si="83"/>
        <v>2032</v>
      </c>
      <c r="C162" s="76" t="s">
        <v>741</v>
      </c>
      <c r="D162" s="146" t="str">
        <f t="shared" si="56"/>
        <v/>
      </c>
      <c r="E162" s="77">
        <f t="shared" si="57"/>
        <v>0</v>
      </c>
      <c r="F162" s="77">
        <f t="shared" si="61"/>
        <v>0</v>
      </c>
      <c r="G162" s="77">
        <f t="shared" si="60"/>
        <v>1</v>
      </c>
      <c r="H162" s="76">
        <f t="shared" si="62"/>
        <v>1</v>
      </c>
      <c r="I162" s="76">
        <f t="shared" si="58"/>
        <v>0</v>
      </c>
      <c r="J162" s="77">
        <f t="shared" si="63"/>
        <v>0</v>
      </c>
      <c r="K162" s="78">
        <f t="shared" ca="1" si="59"/>
        <v>0</v>
      </c>
      <c r="L162" s="470"/>
      <c r="M162" s="470"/>
      <c r="N162" s="470"/>
      <c r="O162" s="531"/>
      <c r="P162" s="70">
        <f t="shared" ca="1" si="64"/>
        <v>0</v>
      </c>
      <c r="Q162" s="70">
        <f t="shared" ca="1" si="65"/>
        <v>0</v>
      </c>
      <c r="R162" s="70">
        <f t="shared" ca="1" si="66"/>
        <v>0</v>
      </c>
      <c r="S162" s="70">
        <f t="shared" ca="1" si="67"/>
        <v>0</v>
      </c>
      <c r="T162" s="70">
        <f t="shared" ca="1" si="68"/>
        <v>0</v>
      </c>
      <c r="U162" s="70">
        <f t="shared" ca="1" si="69"/>
        <v>0</v>
      </c>
      <c r="V162" s="70">
        <f t="shared" ca="1" si="70"/>
        <v>0</v>
      </c>
      <c r="W162" s="70">
        <f t="shared" ca="1" si="71"/>
        <v>0</v>
      </c>
      <c r="X162" s="70">
        <f t="shared" si="72"/>
        <v>0</v>
      </c>
      <c r="Y162" s="70">
        <f t="shared" si="73"/>
        <v>0</v>
      </c>
      <c r="Z162" s="68">
        <f t="shared" si="74"/>
        <v>1</v>
      </c>
      <c r="AA162" s="84">
        <f t="shared" si="75"/>
        <v>0</v>
      </c>
      <c r="AB162" s="488">
        <f t="array" ref="AB162">ROUNDDOWN(AVERAGE(IFERROR(LARGE((X$6:X161+Y$6:Y161)*Z$6:Z161*(G$6:G161=G162), SC_SSCalcYears),0))/(12*Z162),0)</f>
        <v>0</v>
      </c>
      <c r="AC162" s="69">
        <f t="shared" si="76"/>
        <v>1</v>
      </c>
      <c r="AD162" s="85">
        <f t="shared" si="77"/>
        <v>0</v>
      </c>
      <c r="AE162" s="140">
        <f t="shared" ca="1" si="78"/>
        <v>0</v>
      </c>
      <c r="AF162" s="75">
        <f t="shared" ca="1" si="79"/>
        <v>0</v>
      </c>
      <c r="AG162" s="109">
        <f t="shared" ca="1" si="80"/>
        <v>0</v>
      </c>
      <c r="AH162" s="617">
        <f>SUMIFS($AE162:$AE163,SP_PensionPayout,"Lump sum",$E162:$E163,"&lt;&gt;0")</f>
        <v>0</v>
      </c>
      <c r="AI162" s="617">
        <f>SUMIFS($AE162:$AE163,SP_PensionPayout,"Annuity",$E162:$E163,"&lt;&gt;0")</f>
        <v>0</v>
      </c>
      <c r="AJ162" s="617">
        <f>IF(ISBLANK(INDEX(SP_SSPBFA,1)),0,IF($J162&lt;&gt;INDEX(SP_SSPBFA,1),AJ160,SP_AdditionalRI/INDEX(SC_EA_InflationWageIdx,EAIDX)))</f>
        <v>0</v>
      </c>
      <c r="AK162" s="617">
        <f ca="1">SUMPRODUCT(AF162:AF163, --(G162:G163&lt;&gt;0))</f>
        <v>0</v>
      </c>
      <c r="AL162" s="618">
        <f ca="1">SUMPRODUCT(AG162:AG163, --(E162:E163&lt;&gt;0))+AJ162</f>
        <v>0</v>
      </c>
      <c r="AM162" s="186">
        <f t="shared" ca="1" si="81"/>
        <v>0</v>
      </c>
      <c r="AN162" t="str">
        <f t="shared" ca="1" si="82"/>
        <v/>
      </c>
    </row>
    <row r="163" spans="2:40" x14ac:dyDescent="0.25">
      <c r="B163" s="86">
        <f t="shared" si="83"/>
        <v>2032</v>
      </c>
      <c r="C163" s="80" t="s">
        <v>741</v>
      </c>
      <c r="D163" s="147" t="str">
        <f t="shared" si="56"/>
        <v/>
      </c>
      <c r="E163" s="81">
        <f t="shared" si="57"/>
        <v>0</v>
      </c>
      <c r="F163" s="82">
        <f t="shared" si="61"/>
        <v>0</v>
      </c>
      <c r="G163" s="81">
        <f t="shared" si="60"/>
        <v>2</v>
      </c>
      <c r="H163" s="82">
        <f t="shared" si="62"/>
        <v>-1</v>
      </c>
      <c r="I163" s="82">
        <f t="shared" si="58"/>
        <v>0</v>
      </c>
      <c r="J163" s="81">
        <f t="shared" si="63"/>
        <v>0</v>
      </c>
      <c r="K163" s="83">
        <f t="shared" ca="1" si="59"/>
        <v>0</v>
      </c>
      <c r="L163" s="470"/>
      <c r="M163" s="470"/>
      <c r="N163" s="470"/>
      <c r="O163" s="531"/>
      <c r="P163" s="107">
        <f t="shared" ca="1" si="64"/>
        <v>0</v>
      </c>
      <c r="Q163" s="107">
        <f t="shared" ca="1" si="65"/>
        <v>0</v>
      </c>
      <c r="R163" s="107">
        <f t="shared" ca="1" si="66"/>
        <v>0</v>
      </c>
      <c r="S163" s="107">
        <f t="shared" ca="1" si="67"/>
        <v>0</v>
      </c>
      <c r="T163" s="107">
        <f t="shared" ca="1" si="68"/>
        <v>0</v>
      </c>
      <c r="U163" s="107">
        <f t="shared" ca="1" si="69"/>
        <v>0</v>
      </c>
      <c r="V163" s="107">
        <f t="shared" ca="1" si="70"/>
        <v>0</v>
      </c>
      <c r="W163" s="107">
        <f t="shared" ca="1" si="71"/>
        <v>0</v>
      </c>
      <c r="X163" s="107">
        <f t="shared" si="72"/>
        <v>0</v>
      </c>
      <c r="Y163" s="107">
        <f t="shared" si="73"/>
        <v>0</v>
      </c>
      <c r="Z163" s="87">
        <f t="shared" si="74"/>
        <v>1</v>
      </c>
      <c r="AA163" s="88">
        <f t="shared" si="75"/>
        <v>0</v>
      </c>
      <c r="AB163" s="107">
        <f t="array" ref="AB163">ROUNDDOWN(AVERAGE(IFERROR(LARGE((X$6:X162+Y$6:Y162)*Z$6:Z162*(G$6:G162=G163), SC_SSCalcYears),0))/(12*Z163),0)</f>
        <v>0</v>
      </c>
      <c r="AC163" s="211">
        <f t="shared" si="76"/>
        <v>1</v>
      </c>
      <c r="AD163" s="89">
        <f t="shared" si="77"/>
        <v>0</v>
      </c>
      <c r="AE163" s="141">
        <f t="shared" ca="1" si="78"/>
        <v>0</v>
      </c>
      <c r="AF163" s="106">
        <f t="shared" ca="1" si="79"/>
        <v>0</v>
      </c>
      <c r="AG163" s="110">
        <f t="shared" ca="1" si="80"/>
        <v>0</v>
      </c>
      <c r="AH163" s="617"/>
      <c r="AI163" s="617"/>
      <c r="AJ163" s="617"/>
      <c r="AK163" s="617"/>
      <c r="AL163" s="618"/>
      <c r="AM163" s="186">
        <f t="shared" ca="1" si="81"/>
        <v>0</v>
      </c>
      <c r="AN163" t="str">
        <f t="shared" ca="1" si="82"/>
        <v/>
      </c>
    </row>
    <row r="164" spans="2:40" x14ac:dyDescent="0.25">
      <c r="B164" s="65">
        <f t="shared" si="83"/>
        <v>2033</v>
      </c>
      <c r="C164" s="76" t="s">
        <v>741</v>
      </c>
      <c r="D164" s="146" t="str">
        <f t="shared" si="56"/>
        <v/>
      </c>
      <c r="E164" s="77">
        <f t="shared" si="57"/>
        <v>0</v>
      </c>
      <c r="F164" s="77">
        <f t="shared" si="61"/>
        <v>0</v>
      </c>
      <c r="G164" s="77">
        <f t="shared" si="60"/>
        <v>1</v>
      </c>
      <c r="H164" s="76">
        <f t="shared" si="62"/>
        <v>1</v>
      </c>
      <c r="I164" s="76">
        <f t="shared" si="58"/>
        <v>0</v>
      </c>
      <c r="J164" s="77">
        <f t="shared" si="63"/>
        <v>0</v>
      </c>
      <c r="K164" s="78">
        <f t="shared" ca="1" si="59"/>
        <v>0</v>
      </c>
      <c r="L164" s="470"/>
      <c r="M164" s="470"/>
      <c r="N164" s="470"/>
      <c r="O164" s="531"/>
      <c r="P164" s="70">
        <f t="shared" ca="1" si="64"/>
        <v>0</v>
      </c>
      <c r="Q164" s="70">
        <f t="shared" ca="1" si="65"/>
        <v>0</v>
      </c>
      <c r="R164" s="70">
        <f t="shared" ca="1" si="66"/>
        <v>0</v>
      </c>
      <c r="S164" s="70">
        <f t="shared" ca="1" si="67"/>
        <v>0</v>
      </c>
      <c r="T164" s="70">
        <f t="shared" ca="1" si="68"/>
        <v>0</v>
      </c>
      <c r="U164" s="70">
        <f t="shared" ca="1" si="69"/>
        <v>0</v>
      </c>
      <c r="V164" s="70">
        <f t="shared" ca="1" si="70"/>
        <v>0</v>
      </c>
      <c r="W164" s="70">
        <f t="shared" ca="1" si="71"/>
        <v>0</v>
      </c>
      <c r="X164" s="70">
        <f t="shared" si="72"/>
        <v>0</v>
      </c>
      <c r="Y164" s="70">
        <f t="shared" si="73"/>
        <v>0</v>
      </c>
      <c r="Z164" s="68">
        <f t="shared" si="74"/>
        <v>1</v>
      </c>
      <c r="AA164" s="84">
        <f t="shared" si="75"/>
        <v>0</v>
      </c>
      <c r="AB164" s="488">
        <f t="array" ref="AB164">ROUNDDOWN(AVERAGE(IFERROR(LARGE((X$6:X163+Y$6:Y163)*Z$6:Z163*(G$6:G163=G164), SC_SSCalcYears),0))/(12*Z164),0)</f>
        <v>0</v>
      </c>
      <c r="AC164" s="69">
        <f t="shared" si="76"/>
        <v>1</v>
      </c>
      <c r="AD164" s="85">
        <f t="shared" si="77"/>
        <v>0</v>
      </c>
      <c r="AE164" s="140">
        <f t="shared" ca="1" si="78"/>
        <v>0</v>
      </c>
      <c r="AF164" s="75">
        <f t="shared" ca="1" si="79"/>
        <v>0</v>
      </c>
      <c r="AG164" s="109">
        <f t="shared" ca="1" si="80"/>
        <v>0</v>
      </c>
      <c r="AH164" s="617">
        <f>SUMIFS($AE164:$AE165,SP_PensionPayout,"Lump sum",$E164:$E165,"&lt;&gt;0")</f>
        <v>0</v>
      </c>
      <c r="AI164" s="617">
        <f>SUMIFS($AE164:$AE165,SP_PensionPayout,"Annuity",$E164:$E165,"&lt;&gt;0")</f>
        <v>0</v>
      </c>
      <c r="AJ164" s="617">
        <f>IF(ISBLANK(INDEX(SP_SSPBFA,1)),0,IF($J164&lt;&gt;INDEX(SP_SSPBFA,1),AJ162,SP_AdditionalRI/INDEX(SC_EA_InflationWageIdx,EAIDX)))</f>
        <v>0</v>
      </c>
      <c r="AK164" s="617">
        <f ca="1">SUMPRODUCT(AF164:AF165, --(G164:G165&lt;&gt;0))</f>
        <v>0</v>
      </c>
      <c r="AL164" s="618">
        <f ca="1">SUMPRODUCT(AG164:AG165, --(E164:E165&lt;&gt;0))+AJ164</f>
        <v>0</v>
      </c>
      <c r="AM164" s="186">
        <f t="shared" ca="1" si="81"/>
        <v>0</v>
      </c>
      <c r="AN164" t="str">
        <f t="shared" ca="1" si="82"/>
        <v/>
      </c>
    </row>
    <row r="165" spans="2:40" x14ac:dyDescent="0.25">
      <c r="B165" s="86">
        <f t="shared" si="83"/>
        <v>2033</v>
      </c>
      <c r="C165" s="80" t="s">
        <v>741</v>
      </c>
      <c r="D165" s="147" t="str">
        <f t="shared" si="56"/>
        <v/>
      </c>
      <c r="E165" s="81">
        <f t="shared" si="57"/>
        <v>0</v>
      </c>
      <c r="F165" s="82">
        <f t="shared" si="61"/>
        <v>0</v>
      </c>
      <c r="G165" s="81">
        <f t="shared" si="60"/>
        <v>2</v>
      </c>
      <c r="H165" s="82">
        <f t="shared" si="62"/>
        <v>-1</v>
      </c>
      <c r="I165" s="82">
        <f t="shared" si="58"/>
        <v>0</v>
      </c>
      <c r="J165" s="81">
        <f t="shared" si="63"/>
        <v>0</v>
      </c>
      <c r="K165" s="83">
        <f t="shared" ca="1" si="59"/>
        <v>0</v>
      </c>
      <c r="L165" s="470"/>
      <c r="M165" s="470"/>
      <c r="N165" s="470"/>
      <c r="O165" s="531"/>
      <c r="P165" s="107">
        <f t="shared" ca="1" si="64"/>
        <v>0</v>
      </c>
      <c r="Q165" s="107">
        <f t="shared" ca="1" si="65"/>
        <v>0</v>
      </c>
      <c r="R165" s="107">
        <f t="shared" ca="1" si="66"/>
        <v>0</v>
      </c>
      <c r="S165" s="107">
        <f t="shared" ca="1" si="67"/>
        <v>0</v>
      </c>
      <c r="T165" s="107">
        <f t="shared" ca="1" si="68"/>
        <v>0</v>
      </c>
      <c r="U165" s="107">
        <f t="shared" ca="1" si="69"/>
        <v>0</v>
      </c>
      <c r="V165" s="107">
        <f t="shared" ca="1" si="70"/>
        <v>0</v>
      </c>
      <c r="W165" s="107">
        <f t="shared" ca="1" si="71"/>
        <v>0</v>
      </c>
      <c r="X165" s="107">
        <f t="shared" si="72"/>
        <v>0</v>
      </c>
      <c r="Y165" s="107">
        <f t="shared" si="73"/>
        <v>0</v>
      </c>
      <c r="Z165" s="87">
        <f t="shared" si="74"/>
        <v>1</v>
      </c>
      <c r="AA165" s="88">
        <f t="shared" si="75"/>
        <v>0</v>
      </c>
      <c r="AB165" s="107">
        <f t="array" ref="AB165">ROUNDDOWN(AVERAGE(IFERROR(LARGE((X$6:X164+Y$6:Y164)*Z$6:Z164*(G$6:G164=G165), SC_SSCalcYears),0))/(12*Z165),0)</f>
        <v>0</v>
      </c>
      <c r="AC165" s="211">
        <f t="shared" si="76"/>
        <v>1</v>
      </c>
      <c r="AD165" s="89">
        <f t="shared" si="77"/>
        <v>0</v>
      </c>
      <c r="AE165" s="141">
        <f t="shared" ca="1" si="78"/>
        <v>0</v>
      </c>
      <c r="AF165" s="106">
        <f t="shared" ca="1" si="79"/>
        <v>0</v>
      </c>
      <c r="AG165" s="110">
        <f t="shared" ca="1" si="80"/>
        <v>0</v>
      </c>
      <c r="AH165" s="617"/>
      <c r="AI165" s="617"/>
      <c r="AJ165" s="617"/>
      <c r="AK165" s="617"/>
      <c r="AL165" s="618"/>
      <c r="AM165" s="186">
        <f t="shared" ca="1" si="81"/>
        <v>0</v>
      </c>
      <c r="AN165" t="str">
        <f t="shared" ca="1" si="82"/>
        <v/>
      </c>
    </row>
    <row r="166" spans="2:40" x14ac:dyDescent="0.25">
      <c r="B166" s="65">
        <f t="shared" si="83"/>
        <v>2034</v>
      </c>
      <c r="C166" s="76" t="s">
        <v>741</v>
      </c>
      <c r="D166" s="146" t="str">
        <f t="shared" si="56"/>
        <v/>
      </c>
      <c r="E166" s="77">
        <f t="shared" si="57"/>
        <v>0</v>
      </c>
      <c r="F166" s="77">
        <f t="shared" si="61"/>
        <v>0</v>
      </c>
      <c r="G166" s="77">
        <f t="shared" si="60"/>
        <v>1</v>
      </c>
      <c r="H166" s="76">
        <f t="shared" si="62"/>
        <v>1</v>
      </c>
      <c r="I166" s="76">
        <f t="shared" si="58"/>
        <v>0</v>
      </c>
      <c r="J166" s="77">
        <f t="shared" si="63"/>
        <v>0</v>
      </c>
      <c r="K166" s="78">
        <f t="shared" ca="1" si="59"/>
        <v>0</v>
      </c>
      <c r="L166" s="470"/>
      <c r="M166" s="470"/>
      <c r="N166" s="470"/>
      <c r="O166" s="531"/>
      <c r="P166" s="70">
        <f t="shared" ca="1" si="64"/>
        <v>0</v>
      </c>
      <c r="Q166" s="70">
        <f t="shared" ca="1" si="65"/>
        <v>0</v>
      </c>
      <c r="R166" s="70">
        <f t="shared" ca="1" si="66"/>
        <v>0</v>
      </c>
      <c r="S166" s="70">
        <f t="shared" ca="1" si="67"/>
        <v>0</v>
      </c>
      <c r="T166" s="70">
        <f t="shared" ca="1" si="68"/>
        <v>0</v>
      </c>
      <c r="U166" s="70">
        <f t="shared" ca="1" si="69"/>
        <v>0</v>
      </c>
      <c r="V166" s="70">
        <f t="shared" ca="1" si="70"/>
        <v>0</v>
      </c>
      <c r="W166" s="70">
        <f t="shared" ca="1" si="71"/>
        <v>0</v>
      </c>
      <c r="X166" s="70">
        <f t="shared" si="72"/>
        <v>0</v>
      </c>
      <c r="Y166" s="70">
        <f t="shared" si="73"/>
        <v>0</v>
      </c>
      <c r="Z166" s="68">
        <f t="shared" si="74"/>
        <v>1</v>
      </c>
      <c r="AA166" s="84">
        <f t="shared" si="75"/>
        <v>0</v>
      </c>
      <c r="AB166" s="488">
        <f t="array" ref="AB166">ROUNDDOWN(AVERAGE(IFERROR(LARGE((X$6:X165+Y$6:Y165)*Z$6:Z165*(G$6:G165=G166), SC_SSCalcYears),0))/(12*Z166),0)</f>
        <v>0</v>
      </c>
      <c r="AC166" s="69">
        <f t="shared" si="76"/>
        <v>1</v>
      </c>
      <c r="AD166" s="85">
        <f t="shared" si="77"/>
        <v>0</v>
      </c>
      <c r="AE166" s="140">
        <f t="shared" ca="1" si="78"/>
        <v>0</v>
      </c>
      <c r="AF166" s="75">
        <f t="shared" ca="1" si="79"/>
        <v>0</v>
      </c>
      <c r="AG166" s="109">
        <f t="shared" ca="1" si="80"/>
        <v>0</v>
      </c>
      <c r="AH166" s="617">
        <f>SUMIFS($AE166:$AE167,SP_PensionPayout,"Lump sum",$E166:$E167,"&lt;&gt;0")</f>
        <v>0</v>
      </c>
      <c r="AI166" s="617">
        <f>SUMIFS($AE166:$AE167,SP_PensionPayout,"Annuity",$E166:$E167,"&lt;&gt;0")</f>
        <v>0</v>
      </c>
      <c r="AJ166" s="617">
        <f>IF(ISBLANK(INDEX(SP_SSPBFA,1)),0,IF($J166&lt;&gt;INDEX(SP_SSPBFA,1),AJ164,SP_AdditionalRI/INDEX(SC_EA_InflationWageIdx,EAIDX)))</f>
        <v>0</v>
      </c>
      <c r="AK166" s="617">
        <f ca="1">SUMPRODUCT(AF166:AF167, --(G166:G167&lt;&gt;0))</f>
        <v>0</v>
      </c>
      <c r="AL166" s="618">
        <f ca="1">SUMPRODUCT(AG166:AG167, --(E166:E167&lt;&gt;0))+AJ166</f>
        <v>0</v>
      </c>
      <c r="AM166" s="186">
        <f t="shared" ca="1" si="81"/>
        <v>0</v>
      </c>
      <c r="AN166" t="str">
        <f t="shared" ca="1" si="82"/>
        <v/>
      </c>
    </row>
    <row r="167" spans="2:40" x14ac:dyDescent="0.25">
      <c r="B167" s="86">
        <f t="shared" si="83"/>
        <v>2034</v>
      </c>
      <c r="C167" s="80" t="s">
        <v>741</v>
      </c>
      <c r="D167" s="147" t="str">
        <f t="shared" si="56"/>
        <v/>
      </c>
      <c r="E167" s="81">
        <f t="shared" si="57"/>
        <v>0</v>
      </c>
      <c r="F167" s="82">
        <f t="shared" si="61"/>
        <v>0</v>
      </c>
      <c r="G167" s="81">
        <f t="shared" si="60"/>
        <v>2</v>
      </c>
      <c r="H167" s="82">
        <f t="shared" si="62"/>
        <v>-1</v>
      </c>
      <c r="I167" s="82">
        <f t="shared" si="58"/>
        <v>0</v>
      </c>
      <c r="J167" s="81">
        <f t="shared" si="63"/>
        <v>0</v>
      </c>
      <c r="K167" s="83">
        <f t="shared" ca="1" si="59"/>
        <v>0</v>
      </c>
      <c r="L167" s="470"/>
      <c r="M167" s="470"/>
      <c r="N167" s="470"/>
      <c r="O167" s="531"/>
      <c r="P167" s="107">
        <f t="shared" ca="1" si="64"/>
        <v>0</v>
      </c>
      <c r="Q167" s="107">
        <f t="shared" ca="1" si="65"/>
        <v>0</v>
      </c>
      <c r="R167" s="107">
        <f t="shared" ca="1" si="66"/>
        <v>0</v>
      </c>
      <c r="S167" s="107">
        <f t="shared" ca="1" si="67"/>
        <v>0</v>
      </c>
      <c r="T167" s="107">
        <f t="shared" ca="1" si="68"/>
        <v>0</v>
      </c>
      <c r="U167" s="107">
        <f t="shared" ca="1" si="69"/>
        <v>0</v>
      </c>
      <c r="V167" s="107">
        <f t="shared" ca="1" si="70"/>
        <v>0</v>
      </c>
      <c r="W167" s="107">
        <f t="shared" ca="1" si="71"/>
        <v>0</v>
      </c>
      <c r="X167" s="107">
        <f t="shared" si="72"/>
        <v>0</v>
      </c>
      <c r="Y167" s="107">
        <f t="shared" si="73"/>
        <v>0</v>
      </c>
      <c r="Z167" s="87">
        <f t="shared" si="74"/>
        <v>1</v>
      </c>
      <c r="AA167" s="88">
        <f t="shared" si="75"/>
        <v>0</v>
      </c>
      <c r="AB167" s="107">
        <f t="array" ref="AB167">ROUNDDOWN(AVERAGE(IFERROR(LARGE((X$6:X166+Y$6:Y166)*Z$6:Z166*(G$6:G166=G167), SC_SSCalcYears),0))/(12*Z167),0)</f>
        <v>0</v>
      </c>
      <c r="AC167" s="211">
        <f t="shared" si="76"/>
        <v>1</v>
      </c>
      <c r="AD167" s="89">
        <f t="shared" si="77"/>
        <v>0</v>
      </c>
      <c r="AE167" s="141">
        <f t="shared" ca="1" si="78"/>
        <v>0</v>
      </c>
      <c r="AF167" s="106">
        <f t="shared" ca="1" si="79"/>
        <v>0</v>
      </c>
      <c r="AG167" s="110">
        <f t="shared" ca="1" si="80"/>
        <v>0</v>
      </c>
      <c r="AH167" s="617"/>
      <c r="AI167" s="617"/>
      <c r="AJ167" s="617"/>
      <c r="AK167" s="617"/>
      <c r="AL167" s="618"/>
      <c r="AM167" s="186">
        <f t="shared" ca="1" si="81"/>
        <v>0</v>
      </c>
      <c r="AN167" t="str">
        <f t="shared" ca="1" si="82"/>
        <v/>
      </c>
    </row>
    <row r="168" spans="2:40" x14ac:dyDescent="0.25">
      <c r="B168" s="65">
        <f t="shared" si="83"/>
        <v>2035</v>
      </c>
      <c r="C168" s="76" t="s">
        <v>741</v>
      </c>
      <c r="D168" s="146" t="str">
        <f t="shared" si="56"/>
        <v/>
      </c>
      <c r="E168" s="77">
        <f t="shared" si="57"/>
        <v>0</v>
      </c>
      <c r="F168" s="77">
        <f t="shared" si="61"/>
        <v>0</v>
      </c>
      <c r="G168" s="77">
        <f t="shared" si="60"/>
        <v>1</v>
      </c>
      <c r="H168" s="76">
        <f t="shared" si="62"/>
        <v>1</v>
      </c>
      <c r="I168" s="76">
        <f t="shared" si="58"/>
        <v>0</v>
      </c>
      <c r="J168" s="77">
        <f t="shared" si="63"/>
        <v>0</v>
      </c>
      <c r="K168" s="78">
        <f t="shared" ca="1" si="59"/>
        <v>0</v>
      </c>
      <c r="L168" s="470"/>
      <c r="M168" s="470"/>
      <c r="N168" s="470"/>
      <c r="O168" s="531"/>
      <c r="P168" s="70">
        <f t="shared" ca="1" si="64"/>
        <v>0</v>
      </c>
      <c r="Q168" s="70">
        <f t="shared" ca="1" si="65"/>
        <v>0</v>
      </c>
      <c r="R168" s="70">
        <f t="shared" ca="1" si="66"/>
        <v>0</v>
      </c>
      <c r="S168" s="70">
        <f t="shared" ca="1" si="67"/>
        <v>0</v>
      </c>
      <c r="T168" s="70">
        <f t="shared" ca="1" si="68"/>
        <v>0</v>
      </c>
      <c r="U168" s="70">
        <f t="shared" ca="1" si="69"/>
        <v>0</v>
      </c>
      <c r="V168" s="70">
        <f t="shared" ca="1" si="70"/>
        <v>0</v>
      </c>
      <c r="W168" s="70">
        <f t="shared" ca="1" si="71"/>
        <v>0</v>
      </c>
      <c r="X168" s="70">
        <f t="shared" si="72"/>
        <v>0</v>
      </c>
      <c r="Y168" s="70">
        <f t="shared" si="73"/>
        <v>0</v>
      </c>
      <c r="Z168" s="68">
        <f t="shared" si="74"/>
        <v>1</v>
      </c>
      <c r="AA168" s="84">
        <f t="shared" si="75"/>
        <v>0</v>
      </c>
      <c r="AB168" s="488">
        <f t="array" ref="AB168">ROUNDDOWN(AVERAGE(IFERROR(LARGE((X$6:X167+Y$6:Y167)*Z$6:Z167*(G$6:G167=G168), SC_SSCalcYears),0))/(12*Z168),0)</f>
        <v>0</v>
      </c>
      <c r="AC168" s="69">
        <f t="shared" si="76"/>
        <v>1</v>
      </c>
      <c r="AD168" s="85">
        <f t="shared" si="77"/>
        <v>0</v>
      </c>
      <c r="AE168" s="140">
        <f t="shared" ca="1" si="78"/>
        <v>0</v>
      </c>
      <c r="AF168" s="75">
        <f t="shared" ca="1" si="79"/>
        <v>0</v>
      </c>
      <c r="AG168" s="109">
        <f t="shared" ca="1" si="80"/>
        <v>0</v>
      </c>
      <c r="AH168" s="617">
        <f>SUMIFS($AE168:$AE169,SP_PensionPayout,"Lump sum",$E168:$E169,"&lt;&gt;0")</f>
        <v>0</v>
      </c>
      <c r="AI168" s="617">
        <f>SUMIFS($AE168:$AE169,SP_PensionPayout,"Annuity",$E168:$E169,"&lt;&gt;0")</f>
        <v>0</v>
      </c>
      <c r="AJ168" s="617">
        <f>IF(ISBLANK(INDEX(SP_SSPBFA,1)),0,IF($J168&lt;&gt;INDEX(SP_SSPBFA,1),AJ166,SP_AdditionalRI/INDEX(SC_EA_InflationWageIdx,EAIDX)))</f>
        <v>0</v>
      </c>
      <c r="AK168" s="617">
        <f ca="1">SUMPRODUCT(AF168:AF169, --(G168:G169&lt;&gt;0))</f>
        <v>0</v>
      </c>
      <c r="AL168" s="618">
        <f ca="1">SUMPRODUCT(AG168:AG169, --(E168:E169&lt;&gt;0))+AJ168</f>
        <v>0</v>
      </c>
      <c r="AM168" s="186">
        <f t="shared" ca="1" si="81"/>
        <v>0</v>
      </c>
      <c r="AN168" t="str">
        <f t="shared" ca="1" si="82"/>
        <v/>
      </c>
    </row>
    <row r="169" spans="2:40" x14ac:dyDescent="0.25">
      <c r="B169" s="86">
        <f t="shared" si="83"/>
        <v>2035</v>
      </c>
      <c r="C169" s="80" t="s">
        <v>741</v>
      </c>
      <c r="D169" s="147" t="str">
        <f t="shared" si="56"/>
        <v/>
      </c>
      <c r="E169" s="81">
        <f t="shared" si="57"/>
        <v>0</v>
      </c>
      <c r="F169" s="82">
        <f t="shared" si="61"/>
        <v>0</v>
      </c>
      <c r="G169" s="81">
        <f t="shared" si="60"/>
        <v>2</v>
      </c>
      <c r="H169" s="82">
        <f t="shared" si="62"/>
        <v>-1</v>
      </c>
      <c r="I169" s="82">
        <f t="shared" si="58"/>
        <v>0</v>
      </c>
      <c r="J169" s="81">
        <f t="shared" si="63"/>
        <v>0</v>
      </c>
      <c r="K169" s="83">
        <f t="shared" ca="1" si="59"/>
        <v>0</v>
      </c>
      <c r="L169" s="470"/>
      <c r="M169" s="470"/>
      <c r="N169" s="470"/>
      <c r="O169" s="531"/>
      <c r="P169" s="107">
        <f t="shared" ca="1" si="64"/>
        <v>0</v>
      </c>
      <c r="Q169" s="107">
        <f t="shared" ca="1" si="65"/>
        <v>0</v>
      </c>
      <c r="R169" s="107">
        <f t="shared" ca="1" si="66"/>
        <v>0</v>
      </c>
      <c r="S169" s="107">
        <f t="shared" ca="1" si="67"/>
        <v>0</v>
      </c>
      <c r="T169" s="107">
        <f t="shared" ca="1" si="68"/>
        <v>0</v>
      </c>
      <c r="U169" s="107">
        <f t="shared" ca="1" si="69"/>
        <v>0</v>
      </c>
      <c r="V169" s="107">
        <f t="shared" ca="1" si="70"/>
        <v>0</v>
      </c>
      <c r="W169" s="107">
        <f t="shared" ca="1" si="71"/>
        <v>0</v>
      </c>
      <c r="X169" s="107">
        <f t="shared" si="72"/>
        <v>0</v>
      </c>
      <c r="Y169" s="107">
        <f t="shared" si="73"/>
        <v>0</v>
      </c>
      <c r="Z169" s="87">
        <f t="shared" si="74"/>
        <v>1</v>
      </c>
      <c r="AA169" s="88">
        <f t="shared" si="75"/>
        <v>0</v>
      </c>
      <c r="AB169" s="107">
        <f t="array" ref="AB169">ROUNDDOWN(AVERAGE(IFERROR(LARGE((X$6:X168+Y$6:Y168)*Z$6:Z168*(G$6:G168=G169), SC_SSCalcYears),0))/(12*Z169),0)</f>
        <v>0</v>
      </c>
      <c r="AC169" s="211">
        <f t="shared" si="76"/>
        <v>1</v>
      </c>
      <c r="AD169" s="89">
        <f t="shared" si="77"/>
        <v>0</v>
      </c>
      <c r="AE169" s="141">
        <f t="shared" ca="1" si="78"/>
        <v>0</v>
      </c>
      <c r="AF169" s="106">
        <f t="shared" ca="1" si="79"/>
        <v>0</v>
      </c>
      <c r="AG169" s="110">
        <f t="shared" ca="1" si="80"/>
        <v>0</v>
      </c>
      <c r="AH169" s="617"/>
      <c r="AI169" s="617"/>
      <c r="AJ169" s="617"/>
      <c r="AK169" s="617"/>
      <c r="AL169" s="618"/>
      <c r="AM169" s="186">
        <f t="shared" ca="1" si="81"/>
        <v>0</v>
      </c>
      <c r="AN169" t="str">
        <f t="shared" ca="1" si="82"/>
        <v/>
      </c>
    </row>
    <row r="170" spans="2:40" x14ac:dyDescent="0.25">
      <c r="B170" s="65">
        <f t="shared" si="83"/>
        <v>2036</v>
      </c>
      <c r="C170" s="76" t="s">
        <v>741</v>
      </c>
      <c r="D170" s="146" t="str">
        <f t="shared" si="56"/>
        <v/>
      </c>
      <c r="E170" s="77">
        <f t="shared" si="57"/>
        <v>0</v>
      </c>
      <c r="F170" s="77">
        <f t="shared" si="61"/>
        <v>0</v>
      </c>
      <c r="G170" s="77">
        <f t="shared" si="60"/>
        <v>1</v>
      </c>
      <c r="H170" s="76">
        <f t="shared" si="62"/>
        <v>1</v>
      </c>
      <c r="I170" s="76">
        <f t="shared" si="58"/>
        <v>0</v>
      </c>
      <c r="J170" s="77">
        <f t="shared" si="63"/>
        <v>0</v>
      </c>
      <c r="K170" s="78">
        <f t="shared" ca="1" si="59"/>
        <v>0</v>
      </c>
      <c r="L170" s="470"/>
      <c r="M170" s="470"/>
      <c r="N170" s="470"/>
      <c r="O170" s="531"/>
      <c r="P170" s="70">
        <f t="shared" ca="1" si="64"/>
        <v>0</v>
      </c>
      <c r="Q170" s="70">
        <f t="shared" ca="1" si="65"/>
        <v>0</v>
      </c>
      <c r="R170" s="70">
        <f t="shared" ca="1" si="66"/>
        <v>0</v>
      </c>
      <c r="S170" s="70">
        <f t="shared" ca="1" si="67"/>
        <v>0</v>
      </c>
      <c r="T170" s="70">
        <f t="shared" ca="1" si="68"/>
        <v>0</v>
      </c>
      <c r="U170" s="70">
        <f t="shared" ca="1" si="69"/>
        <v>0</v>
      </c>
      <c r="V170" s="70">
        <f t="shared" ca="1" si="70"/>
        <v>0</v>
      </c>
      <c r="W170" s="70">
        <f t="shared" ca="1" si="71"/>
        <v>0</v>
      </c>
      <c r="X170" s="70">
        <f t="shared" si="72"/>
        <v>0</v>
      </c>
      <c r="Y170" s="70">
        <f t="shared" si="73"/>
        <v>0</v>
      </c>
      <c r="Z170" s="68">
        <f t="shared" si="74"/>
        <v>1</v>
      </c>
      <c r="AA170" s="84">
        <f t="shared" si="75"/>
        <v>0</v>
      </c>
      <c r="AB170" s="488">
        <f t="array" ref="AB170">ROUNDDOWN(AVERAGE(IFERROR(LARGE((X$6:X169+Y$6:Y169)*Z$6:Z169*(G$6:G169=G170), SC_SSCalcYears),0))/(12*Z170),0)</f>
        <v>0</v>
      </c>
      <c r="AC170" s="69">
        <f t="shared" si="76"/>
        <v>1</v>
      </c>
      <c r="AD170" s="85">
        <f t="shared" si="77"/>
        <v>0</v>
      </c>
      <c r="AE170" s="140">
        <f t="shared" ca="1" si="78"/>
        <v>0</v>
      </c>
      <c r="AF170" s="75">
        <f t="shared" ca="1" si="79"/>
        <v>0</v>
      </c>
      <c r="AG170" s="109">
        <f t="shared" ca="1" si="80"/>
        <v>0</v>
      </c>
      <c r="AH170" s="617">
        <f>SUMIFS($AE170:$AE171,SP_PensionPayout,"Lump sum",$E170:$E171,"&lt;&gt;0")</f>
        <v>0</v>
      </c>
      <c r="AI170" s="617">
        <f>SUMIFS($AE170:$AE171,SP_PensionPayout,"Annuity",$E170:$E171,"&lt;&gt;0")</f>
        <v>0</v>
      </c>
      <c r="AJ170" s="617">
        <f>IF(ISBLANK(INDEX(SP_SSPBFA,1)),0,IF($J170&lt;&gt;INDEX(SP_SSPBFA,1),AJ168,SP_AdditionalRI/INDEX(SC_EA_InflationWageIdx,EAIDX)))</f>
        <v>0</v>
      </c>
      <c r="AK170" s="617">
        <f ca="1">SUMPRODUCT(AF170:AF171, --(G170:G171&lt;&gt;0))</f>
        <v>0</v>
      </c>
      <c r="AL170" s="618">
        <f ca="1">SUMPRODUCT(AG170:AG171, --(E170:E171&lt;&gt;0))+AJ170</f>
        <v>0</v>
      </c>
      <c r="AM170" s="186">
        <f t="shared" ca="1" si="81"/>
        <v>0</v>
      </c>
      <c r="AN170" t="str">
        <f t="shared" ca="1" si="82"/>
        <v/>
      </c>
    </row>
    <row r="171" spans="2:40" x14ac:dyDescent="0.25">
      <c r="B171" s="86">
        <f t="shared" si="83"/>
        <v>2036</v>
      </c>
      <c r="C171" s="80" t="s">
        <v>741</v>
      </c>
      <c r="D171" s="147" t="str">
        <f t="shared" si="56"/>
        <v/>
      </c>
      <c r="E171" s="81">
        <f t="shared" si="57"/>
        <v>0</v>
      </c>
      <c r="F171" s="82">
        <f t="shared" si="61"/>
        <v>0</v>
      </c>
      <c r="G171" s="81">
        <f t="shared" si="60"/>
        <v>2</v>
      </c>
      <c r="H171" s="82">
        <f t="shared" si="62"/>
        <v>-1</v>
      </c>
      <c r="I171" s="82">
        <f t="shared" si="58"/>
        <v>0</v>
      </c>
      <c r="J171" s="81">
        <f t="shared" si="63"/>
        <v>0</v>
      </c>
      <c r="K171" s="83">
        <f t="shared" ca="1" si="59"/>
        <v>0</v>
      </c>
      <c r="L171" s="470"/>
      <c r="M171" s="470"/>
      <c r="N171" s="470"/>
      <c r="O171" s="531"/>
      <c r="P171" s="107">
        <f t="shared" ca="1" si="64"/>
        <v>0</v>
      </c>
      <c r="Q171" s="107">
        <f t="shared" ca="1" si="65"/>
        <v>0</v>
      </c>
      <c r="R171" s="107">
        <f t="shared" ca="1" si="66"/>
        <v>0</v>
      </c>
      <c r="S171" s="107">
        <f t="shared" ca="1" si="67"/>
        <v>0</v>
      </c>
      <c r="T171" s="107">
        <f t="shared" ca="1" si="68"/>
        <v>0</v>
      </c>
      <c r="U171" s="107">
        <f t="shared" ca="1" si="69"/>
        <v>0</v>
      </c>
      <c r="V171" s="107">
        <f t="shared" ca="1" si="70"/>
        <v>0</v>
      </c>
      <c r="W171" s="107">
        <f t="shared" ca="1" si="71"/>
        <v>0</v>
      </c>
      <c r="X171" s="107">
        <f t="shared" si="72"/>
        <v>0</v>
      </c>
      <c r="Y171" s="107">
        <f t="shared" si="73"/>
        <v>0</v>
      </c>
      <c r="Z171" s="87">
        <f t="shared" si="74"/>
        <v>1</v>
      </c>
      <c r="AA171" s="88">
        <f t="shared" si="75"/>
        <v>0</v>
      </c>
      <c r="AB171" s="107">
        <f t="array" ref="AB171">ROUNDDOWN(AVERAGE(IFERROR(LARGE((X$6:X170+Y$6:Y170)*Z$6:Z170*(G$6:G170=G171), SC_SSCalcYears),0))/(12*Z171),0)</f>
        <v>0</v>
      </c>
      <c r="AC171" s="211">
        <f t="shared" si="76"/>
        <v>1</v>
      </c>
      <c r="AD171" s="89">
        <f t="shared" si="77"/>
        <v>0</v>
      </c>
      <c r="AE171" s="141">
        <f t="shared" ca="1" si="78"/>
        <v>0</v>
      </c>
      <c r="AF171" s="106">
        <f t="shared" ca="1" si="79"/>
        <v>0</v>
      </c>
      <c r="AG171" s="110">
        <f t="shared" ca="1" si="80"/>
        <v>0</v>
      </c>
      <c r="AH171" s="617"/>
      <c r="AI171" s="617"/>
      <c r="AJ171" s="617"/>
      <c r="AK171" s="617"/>
      <c r="AL171" s="618"/>
      <c r="AM171" s="186">
        <f t="shared" ca="1" si="81"/>
        <v>0</v>
      </c>
      <c r="AN171" t="str">
        <f t="shared" ca="1" si="82"/>
        <v/>
      </c>
    </row>
    <row r="172" spans="2:40" x14ac:dyDescent="0.25">
      <c r="B172" s="65">
        <f t="shared" si="83"/>
        <v>2037</v>
      </c>
      <c r="C172" s="76" t="s">
        <v>741</v>
      </c>
      <c r="D172" s="146" t="str">
        <f t="shared" si="56"/>
        <v/>
      </c>
      <c r="E172" s="77">
        <f t="shared" si="57"/>
        <v>0</v>
      </c>
      <c r="F172" s="77">
        <f t="shared" si="61"/>
        <v>0</v>
      </c>
      <c r="G172" s="77">
        <f t="shared" si="60"/>
        <v>1</v>
      </c>
      <c r="H172" s="76">
        <f t="shared" si="62"/>
        <v>1</v>
      </c>
      <c r="I172" s="76">
        <f t="shared" si="58"/>
        <v>0</v>
      </c>
      <c r="J172" s="77">
        <f t="shared" si="63"/>
        <v>0</v>
      </c>
      <c r="K172" s="78">
        <f t="shared" ca="1" si="59"/>
        <v>0</v>
      </c>
      <c r="L172" s="470"/>
      <c r="M172" s="470"/>
      <c r="N172" s="470"/>
      <c r="O172" s="531"/>
      <c r="P172" s="70">
        <f t="shared" ca="1" si="64"/>
        <v>0</v>
      </c>
      <c r="Q172" s="70">
        <f t="shared" ca="1" si="65"/>
        <v>0</v>
      </c>
      <c r="R172" s="70">
        <f t="shared" ca="1" si="66"/>
        <v>0</v>
      </c>
      <c r="S172" s="70">
        <f t="shared" ca="1" si="67"/>
        <v>0</v>
      </c>
      <c r="T172" s="70">
        <f t="shared" ca="1" si="68"/>
        <v>0</v>
      </c>
      <c r="U172" s="70">
        <f t="shared" ca="1" si="69"/>
        <v>0</v>
      </c>
      <c r="V172" s="70">
        <f t="shared" ca="1" si="70"/>
        <v>0</v>
      </c>
      <c r="W172" s="70">
        <f t="shared" ca="1" si="71"/>
        <v>0</v>
      </c>
      <c r="X172" s="70">
        <f t="shared" si="72"/>
        <v>0</v>
      </c>
      <c r="Y172" s="70">
        <f t="shared" si="73"/>
        <v>0</v>
      </c>
      <c r="Z172" s="68">
        <f t="shared" si="74"/>
        <v>1</v>
      </c>
      <c r="AA172" s="84">
        <f t="shared" si="75"/>
        <v>0</v>
      </c>
      <c r="AB172" s="488">
        <f t="array" ref="AB172">ROUNDDOWN(AVERAGE(IFERROR(LARGE((X$6:X171+Y$6:Y171)*Z$6:Z171*(G$6:G171=G172), SC_SSCalcYears),0))/(12*Z172),0)</f>
        <v>0</v>
      </c>
      <c r="AC172" s="69">
        <f t="shared" si="76"/>
        <v>1</v>
      </c>
      <c r="AD172" s="85">
        <f t="shared" si="77"/>
        <v>0</v>
      </c>
      <c r="AE172" s="140">
        <f t="shared" ca="1" si="78"/>
        <v>0</v>
      </c>
      <c r="AF172" s="75">
        <f t="shared" ca="1" si="79"/>
        <v>0</v>
      </c>
      <c r="AG172" s="109">
        <f t="shared" ca="1" si="80"/>
        <v>0</v>
      </c>
      <c r="AH172" s="617">
        <f>SUMIFS($AE172:$AE173,SP_PensionPayout,"Lump sum",$E172:$E173,"&lt;&gt;0")</f>
        <v>0</v>
      </c>
      <c r="AI172" s="617">
        <f>SUMIFS($AE172:$AE173,SP_PensionPayout,"Annuity",$E172:$E173,"&lt;&gt;0")</f>
        <v>0</v>
      </c>
      <c r="AJ172" s="617">
        <f>IF(ISBLANK(INDEX(SP_SSPBFA,1)),0,IF($J172&lt;&gt;INDEX(SP_SSPBFA,1),AJ170,SP_AdditionalRI/INDEX(SC_EA_InflationWageIdx,EAIDX)))</f>
        <v>0</v>
      </c>
      <c r="AK172" s="617">
        <f ca="1">SUMPRODUCT(AF172:AF173, --(G172:G173&lt;&gt;0))</f>
        <v>0</v>
      </c>
      <c r="AL172" s="618">
        <f ca="1">SUMPRODUCT(AG172:AG173, --(E172:E173&lt;&gt;0))+AJ172</f>
        <v>0</v>
      </c>
      <c r="AM172" s="186">
        <f t="shared" ca="1" si="81"/>
        <v>0</v>
      </c>
      <c r="AN172" t="str">
        <f t="shared" ca="1" si="82"/>
        <v/>
      </c>
    </row>
    <row r="173" spans="2:40" x14ac:dyDescent="0.25">
      <c r="B173" s="86">
        <f t="shared" si="83"/>
        <v>2037</v>
      </c>
      <c r="C173" s="80" t="s">
        <v>741</v>
      </c>
      <c r="D173" s="147" t="str">
        <f t="shared" si="56"/>
        <v/>
      </c>
      <c r="E173" s="81">
        <f t="shared" si="57"/>
        <v>0</v>
      </c>
      <c r="F173" s="82">
        <f t="shared" si="61"/>
        <v>0</v>
      </c>
      <c r="G173" s="81">
        <f t="shared" si="60"/>
        <v>2</v>
      </c>
      <c r="H173" s="82">
        <f t="shared" si="62"/>
        <v>-1</v>
      </c>
      <c r="I173" s="82">
        <f t="shared" si="58"/>
        <v>0</v>
      </c>
      <c r="J173" s="81">
        <f t="shared" si="63"/>
        <v>0</v>
      </c>
      <c r="K173" s="83">
        <f t="shared" ca="1" si="59"/>
        <v>0</v>
      </c>
      <c r="L173" s="470"/>
      <c r="M173" s="470"/>
      <c r="N173" s="470"/>
      <c r="O173" s="531"/>
      <c r="P173" s="107">
        <f t="shared" ca="1" si="64"/>
        <v>0</v>
      </c>
      <c r="Q173" s="107">
        <f t="shared" ca="1" si="65"/>
        <v>0</v>
      </c>
      <c r="R173" s="107">
        <f t="shared" ca="1" si="66"/>
        <v>0</v>
      </c>
      <c r="S173" s="107">
        <f t="shared" ca="1" si="67"/>
        <v>0</v>
      </c>
      <c r="T173" s="107">
        <f t="shared" ca="1" si="68"/>
        <v>0</v>
      </c>
      <c r="U173" s="107">
        <f t="shared" ca="1" si="69"/>
        <v>0</v>
      </c>
      <c r="V173" s="107">
        <f t="shared" ca="1" si="70"/>
        <v>0</v>
      </c>
      <c r="W173" s="107">
        <f t="shared" ca="1" si="71"/>
        <v>0</v>
      </c>
      <c r="X173" s="107">
        <f t="shared" si="72"/>
        <v>0</v>
      </c>
      <c r="Y173" s="107">
        <f t="shared" si="73"/>
        <v>0</v>
      </c>
      <c r="Z173" s="87">
        <f t="shared" si="74"/>
        <v>1</v>
      </c>
      <c r="AA173" s="88">
        <f t="shared" si="75"/>
        <v>0</v>
      </c>
      <c r="AB173" s="107">
        <f t="array" ref="AB173">ROUNDDOWN(AVERAGE(IFERROR(LARGE((X$6:X172+Y$6:Y172)*Z$6:Z172*(G$6:G172=G173), SC_SSCalcYears),0))/(12*Z173),0)</f>
        <v>0</v>
      </c>
      <c r="AC173" s="211">
        <f t="shared" si="76"/>
        <v>1</v>
      </c>
      <c r="AD173" s="89">
        <f t="shared" si="77"/>
        <v>0</v>
      </c>
      <c r="AE173" s="141">
        <f t="shared" ca="1" si="78"/>
        <v>0</v>
      </c>
      <c r="AF173" s="106">
        <f t="shared" ca="1" si="79"/>
        <v>0</v>
      </c>
      <c r="AG173" s="110">
        <f t="shared" ca="1" si="80"/>
        <v>0</v>
      </c>
      <c r="AH173" s="617"/>
      <c r="AI173" s="617"/>
      <c r="AJ173" s="617"/>
      <c r="AK173" s="617"/>
      <c r="AL173" s="618"/>
      <c r="AM173" s="186">
        <f t="shared" ca="1" si="81"/>
        <v>0</v>
      </c>
      <c r="AN173" t="str">
        <f t="shared" ca="1" si="82"/>
        <v/>
      </c>
    </row>
    <row r="174" spans="2:40" x14ac:dyDescent="0.25">
      <c r="B174" s="65">
        <f t="shared" si="83"/>
        <v>2038</v>
      </c>
      <c r="C174" s="76" t="s">
        <v>741</v>
      </c>
      <c r="D174" s="146" t="str">
        <f t="shared" si="56"/>
        <v/>
      </c>
      <c r="E174" s="77">
        <f t="shared" si="57"/>
        <v>0</v>
      </c>
      <c r="F174" s="77">
        <f t="shared" si="61"/>
        <v>0</v>
      </c>
      <c r="G174" s="77">
        <f t="shared" si="60"/>
        <v>1</v>
      </c>
      <c r="H174" s="76">
        <f t="shared" si="62"/>
        <v>1</v>
      </c>
      <c r="I174" s="76">
        <f t="shared" si="58"/>
        <v>0</v>
      </c>
      <c r="J174" s="77">
        <f t="shared" si="63"/>
        <v>0</v>
      </c>
      <c r="K174" s="78">
        <f t="shared" ca="1" si="59"/>
        <v>0</v>
      </c>
      <c r="L174" s="470"/>
      <c r="M174" s="470"/>
      <c r="N174" s="470"/>
      <c r="O174" s="531"/>
      <c r="P174" s="70">
        <f t="shared" ca="1" si="64"/>
        <v>0</v>
      </c>
      <c r="Q174" s="70">
        <f t="shared" ca="1" si="65"/>
        <v>0</v>
      </c>
      <c r="R174" s="70">
        <f t="shared" ca="1" si="66"/>
        <v>0</v>
      </c>
      <c r="S174" s="70">
        <f t="shared" ca="1" si="67"/>
        <v>0</v>
      </c>
      <c r="T174" s="70">
        <f t="shared" ca="1" si="68"/>
        <v>0</v>
      </c>
      <c r="U174" s="70">
        <f t="shared" ca="1" si="69"/>
        <v>0</v>
      </c>
      <c r="V174" s="70">
        <f t="shared" ca="1" si="70"/>
        <v>0</v>
      </c>
      <c r="W174" s="70">
        <f t="shared" ca="1" si="71"/>
        <v>0</v>
      </c>
      <c r="X174" s="70">
        <f t="shared" si="72"/>
        <v>0</v>
      </c>
      <c r="Y174" s="70">
        <f t="shared" si="73"/>
        <v>0</v>
      </c>
      <c r="Z174" s="68">
        <f t="shared" si="74"/>
        <v>1</v>
      </c>
      <c r="AA174" s="84">
        <f t="shared" si="75"/>
        <v>0</v>
      </c>
      <c r="AB174" s="488">
        <f t="array" ref="AB174">ROUNDDOWN(AVERAGE(IFERROR(LARGE((X$6:X173+Y$6:Y173)*Z$6:Z173*(G$6:G173=G174), SC_SSCalcYears),0))/(12*Z174),0)</f>
        <v>0</v>
      </c>
      <c r="AC174" s="69">
        <f t="shared" si="76"/>
        <v>1</v>
      </c>
      <c r="AD174" s="85">
        <f t="shared" si="77"/>
        <v>0</v>
      </c>
      <c r="AE174" s="140">
        <f t="shared" ca="1" si="78"/>
        <v>0</v>
      </c>
      <c r="AF174" s="75">
        <f t="shared" ca="1" si="79"/>
        <v>0</v>
      </c>
      <c r="AG174" s="109">
        <f t="shared" ca="1" si="80"/>
        <v>0</v>
      </c>
      <c r="AH174" s="617">
        <f>SUMIFS($AE174:$AE175,SP_PensionPayout,"Lump sum",$E174:$E175,"&lt;&gt;0")</f>
        <v>0</v>
      </c>
      <c r="AI174" s="617">
        <f>SUMIFS($AE174:$AE175,SP_PensionPayout,"Annuity",$E174:$E175,"&lt;&gt;0")</f>
        <v>0</v>
      </c>
      <c r="AJ174" s="617">
        <f>IF(ISBLANK(INDEX(SP_SSPBFA,1)),0,IF($J174&lt;&gt;INDEX(SP_SSPBFA,1),AJ172,SP_AdditionalRI/INDEX(SC_EA_InflationWageIdx,EAIDX)))</f>
        <v>0</v>
      </c>
      <c r="AK174" s="617">
        <f ca="1">SUMPRODUCT(AF174:AF175, --(G174:G175&lt;&gt;0))</f>
        <v>0</v>
      </c>
      <c r="AL174" s="618">
        <f ca="1">SUMPRODUCT(AG174:AG175, --(E174:E175&lt;&gt;0))+AJ174</f>
        <v>0</v>
      </c>
      <c r="AM174" s="186">
        <f t="shared" ca="1" si="81"/>
        <v>0</v>
      </c>
      <c r="AN174" t="str">
        <f t="shared" ca="1" si="82"/>
        <v/>
      </c>
    </row>
    <row r="175" spans="2:40" x14ac:dyDescent="0.25">
      <c r="B175" s="86">
        <f t="shared" si="83"/>
        <v>2038</v>
      </c>
      <c r="C175" s="80" t="s">
        <v>741</v>
      </c>
      <c r="D175" s="147" t="str">
        <f t="shared" si="56"/>
        <v/>
      </c>
      <c r="E175" s="81">
        <f t="shared" si="57"/>
        <v>0</v>
      </c>
      <c r="F175" s="82">
        <f t="shared" si="61"/>
        <v>0</v>
      </c>
      <c r="G175" s="81">
        <f t="shared" si="60"/>
        <v>2</v>
      </c>
      <c r="H175" s="82">
        <f t="shared" si="62"/>
        <v>-1</v>
      </c>
      <c r="I175" s="82">
        <f t="shared" si="58"/>
        <v>0</v>
      </c>
      <c r="J175" s="81">
        <f t="shared" si="63"/>
        <v>0</v>
      </c>
      <c r="K175" s="83">
        <f t="shared" ca="1" si="59"/>
        <v>0</v>
      </c>
      <c r="L175" s="470"/>
      <c r="M175" s="470"/>
      <c r="N175" s="470"/>
      <c r="O175" s="531"/>
      <c r="P175" s="107">
        <f t="shared" ca="1" si="64"/>
        <v>0</v>
      </c>
      <c r="Q175" s="107">
        <f t="shared" ca="1" si="65"/>
        <v>0</v>
      </c>
      <c r="R175" s="107">
        <f t="shared" ca="1" si="66"/>
        <v>0</v>
      </c>
      <c r="S175" s="107">
        <f t="shared" ca="1" si="67"/>
        <v>0</v>
      </c>
      <c r="T175" s="107">
        <f t="shared" ca="1" si="68"/>
        <v>0</v>
      </c>
      <c r="U175" s="107">
        <f t="shared" ca="1" si="69"/>
        <v>0</v>
      </c>
      <c r="V175" s="107">
        <f t="shared" ca="1" si="70"/>
        <v>0</v>
      </c>
      <c r="W175" s="107">
        <f t="shared" ca="1" si="71"/>
        <v>0</v>
      </c>
      <c r="X175" s="107">
        <f t="shared" si="72"/>
        <v>0</v>
      </c>
      <c r="Y175" s="107">
        <f t="shared" si="73"/>
        <v>0</v>
      </c>
      <c r="Z175" s="87">
        <f t="shared" si="74"/>
        <v>1</v>
      </c>
      <c r="AA175" s="88">
        <f t="shared" si="75"/>
        <v>0</v>
      </c>
      <c r="AB175" s="107">
        <f t="array" ref="AB175">ROUNDDOWN(AVERAGE(IFERROR(LARGE((X$6:X174+Y$6:Y174)*Z$6:Z174*(G$6:G174=G175), SC_SSCalcYears),0))/(12*Z175),0)</f>
        <v>0</v>
      </c>
      <c r="AC175" s="211">
        <f t="shared" si="76"/>
        <v>1</v>
      </c>
      <c r="AD175" s="89">
        <f t="shared" si="77"/>
        <v>0</v>
      </c>
      <c r="AE175" s="141">
        <f t="shared" ca="1" si="78"/>
        <v>0</v>
      </c>
      <c r="AF175" s="106">
        <f t="shared" ca="1" si="79"/>
        <v>0</v>
      </c>
      <c r="AG175" s="110">
        <f t="shared" ca="1" si="80"/>
        <v>0</v>
      </c>
      <c r="AH175" s="617"/>
      <c r="AI175" s="617"/>
      <c r="AJ175" s="617"/>
      <c r="AK175" s="617"/>
      <c r="AL175" s="618"/>
      <c r="AM175" s="186">
        <f t="shared" ca="1" si="81"/>
        <v>0</v>
      </c>
      <c r="AN175" t="str">
        <f t="shared" ca="1" si="82"/>
        <v/>
      </c>
    </row>
    <row r="176" spans="2:40" x14ac:dyDescent="0.25">
      <c r="B176" s="65">
        <f t="shared" si="83"/>
        <v>2039</v>
      </c>
      <c r="C176" s="76" t="s">
        <v>741</v>
      </c>
      <c r="D176" s="146" t="str">
        <f t="shared" si="56"/>
        <v/>
      </c>
      <c r="E176" s="77">
        <f t="shared" si="57"/>
        <v>0</v>
      </c>
      <c r="F176" s="77">
        <f t="shared" si="61"/>
        <v>0</v>
      </c>
      <c r="G176" s="77">
        <f t="shared" si="60"/>
        <v>1</v>
      </c>
      <c r="H176" s="76">
        <f t="shared" si="62"/>
        <v>1</v>
      </c>
      <c r="I176" s="76">
        <f t="shared" si="58"/>
        <v>0</v>
      </c>
      <c r="J176" s="77">
        <f t="shared" si="63"/>
        <v>0</v>
      </c>
      <c r="K176" s="78">
        <f t="shared" ca="1" si="59"/>
        <v>0</v>
      </c>
      <c r="L176" s="470"/>
      <c r="M176" s="470"/>
      <c r="N176" s="470"/>
      <c r="O176" s="531"/>
      <c r="P176" s="70">
        <f t="shared" ca="1" si="64"/>
        <v>0</v>
      </c>
      <c r="Q176" s="70">
        <f t="shared" ca="1" si="65"/>
        <v>0</v>
      </c>
      <c r="R176" s="70">
        <f t="shared" ca="1" si="66"/>
        <v>0</v>
      </c>
      <c r="S176" s="70">
        <f t="shared" ca="1" si="67"/>
        <v>0</v>
      </c>
      <c r="T176" s="70">
        <f t="shared" ca="1" si="68"/>
        <v>0</v>
      </c>
      <c r="U176" s="70">
        <f t="shared" ca="1" si="69"/>
        <v>0</v>
      </c>
      <c r="V176" s="70">
        <f t="shared" ca="1" si="70"/>
        <v>0</v>
      </c>
      <c r="W176" s="70">
        <f t="shared" ca="1" si="71"/>
        <v>0</v>
      </c>
      <c r="X176" s="70">
        <f t="shared" si="72"/>
        <v>0</v>
      </c>
      <c r="Y176" s="70">
        <f t="shared" si="73"/>
        <v>0</v>
      </c>
      <c r="Z176" s="68">
        <f t="shared" si="74"/>
        <v>1</v>
      </c>
      <c r="AA176" s="84">
        <f t="shared" si="75"/>
        <v>0</v>
      </c>
      <c r="AB176" s="488">
        <f t="array" ref="AB176">ROUNDDOWN(AVERAGE(IFERROR(LARGE((X$6:X175+Y$6:Y175)*Z$6:Z175*(G$6:G175=G176), SC_SSCalcYears),0))/(12*Z176),0)</f>
        <v>0</v>
      </c>
      <c r="AC176" s="69">
        <f t="shared" si="76"/>
        <v>1</v>
      </c>
      <c r="AD176" s="85">
        <f t="shared" si="77"/>
        <v>0</v>
      </c>
      <c r="AE176" s="140">
        <f t="shared" ca="1" si="78"/>
        <v>0</v>
      </c>
      <c r="AF176" s="75">
        <f t="shared" ca="1" si="79"/>
        <v>0</v>
      </c>
      <c r="AG176" s="109">
        <f t="shared" ca="1" si="80"/>
        <v>0</v>
      </c>
      <c r="AH176" s="617">
        <f>SUMIFS($AE176:$AE177,SP_PensionPayout,"Lump sum",$E176:$E177,"&lt;&gt;0")</f>
        <v>0</v>
      </c>
      <c r="AI176" s="617">
        <f>SUMIFS($AE176:$AE177,SP_PensionPayout,"Annuity",$E176:$E177,"&lt;&gt;0")</f>
        <v>0</v>
      </c>
      <c r="AJ176" s="617">
        <f>IF(ISBLANK(INDEX(SP_SSPBFA,1)),0,IF($J176&lt;&gt;INDEX(SP_SSPBFA,1),AJ174,SP_AdditionalRI/INDEX(SC_EA_InflationWageIdx,EAIDX)))</f>
        <v>0</v>
      </c>
      <c r="AK176" s="617">
        <f ca="1">SUMPRODUCT(AF176:AF177, --(G176:G177&lt;&gt;0))</f>
        <v>0</v>
      </c>
      <c r="AL176" s="618">
        <f ca="1">SUMPRODUCT(AG176:AG177, --(E176:E177&lt;&gt;0))+AJ176</f>
        <v>0</v>
      </c>
      <c r="AM176" s="186">
        <f t="shared" ca="1" si="81"/>
        <v>0</v>
      </c>
      <c r="AN176" t="str">
        <f t="shared" ca="1" si="82"/>
        <v/>
      </c>
    </row>
    <row r="177" spans="2:40" x14ac:dyDescent="0.25">
      <c r="B177" s="86">
        <f t="shared" si="83"/>
        <v>2039</v>
      </c>
      <c r="C177" s="80" t="s">
        <v>741</v>
      </c>
      <c r="D177" s="147" t="str">
        <f t="shared" si="56"/>
        <v/>
      </c>
      <c r="E177" s="81">
        <f t="shared" si="57"/>
        <v>0</v>
      </c>
      <c r="F177" s="82">
        <f t="shared" si="61"/>
        <v>0</v>
      </c>
      <c r="G177" s="81">
        <f t="shared" si="60"/>
        <v>2</v>
      </c>
      <c r="H177" s="82">
        <f t="shared" si="62"/>
        <v>-1</v>
      </c>
      <c r="I177" s="82">
        <f t="shared" si="58"/>
        <v>0</v>
      </c>
      <c r="J177" s="81">
        <f t="shared" si="63"/>
        <v>0</v>
      </c>
      <c r="K177" s="83">
        <f t="shared" ca="1" si="59"/>
        <v>0</v>
      </c>
      <c r="L177" s="470"/>
      <c r="M177" s="470"/>
      <c r="N177" s="470"/>
      <c r="O177" s="531"/>
      <c r="P177" s="107">
        <f t="shared" ca="1" si="64"/>
        <v>0</v>
      </c>
      <c r="Q177" s="107">
        <f t="shared" ca="1" si="65"/>
        <v>0</v>
      </c>
      <c r="R177" s="107">
        <f t="shared" ca="1" si="66"/>
        <v>0</v>
      </c>
      <c r="S177" s="107">
        <f t="shared" ca="1" si="67"/>
        <v>0</v>
      </c>
      <c r="T177" s="107">
        <f t="shared" ca="1" si="68"/>
        <v>0</v>
      </c>
      <c r="U177" s="107">
        <f t="shared" ca="1" si="69"/>
        <v>0</v>
      </c>
      <c r="V177" s="107">
        <f t="shared" ca="1" si="70"/>
        <v>0</v>
      </c>
      <c r="W177" s="107">
        <f t="shared" ca="1" si="71"/>
        <v>0</v>
      </c>
      <c r="X177" s="107">
        <f t="shared" si="72"/>
        <v>0</v>
      </c>
      <c r="Y177" s="107">
        <f t="shared" si="73"/>
        <v>0</v>
      </c>
      <c r="Z177" s="87">
        <f t="shared" si="74"/>
        <v>1</v>
      </c>
      <c r="AA177" s="88">
        <f t="shared" si="75"/>
        <v>0</v>
      </c>
      <c r="AB177" s="107">
        <f t="array" ref="AB177">ROUNDDOWN(AVERAGE(IFERROR(LARGE((X$6:X176+Y$6:Y176)*Z$6:Z176*(G$6:G176=G177), SC_SSCalcYears),0))/(12*Z177),0)</f>
        <v>0</v>
      </c>
      <c r="AC177" s="211">
        <f t="shared" si="76"/>
        <v>1</v>
      </c>
      <c r="AD177" s="89">
        <f t="shared" si="77"/>
        <v>0</v>
      </c>
      <c r="AE177" s="141">
        <f t="shared" ca="1" si="78"/>
        <v>0</v>
      </c>
      <c r="AF177" s="106">
        <f t="shared" ca="1" si="79"/>
        <v>0</v>
      </c>
      <c r="AG177" s="110">
        <f t="shared" ca="1" si="80"/>
        <v>0</v>
      </c>
      <c r="AH177" s="617"/>
      <c r="AI177" s="617"/>
      <c r="AJ177" s="617"/>
      <c r="AK177" s="617"/>
      <c r="AL177" s="618"/>
      <c r="AM177" s="186">
        <f t="shared" ca="1" si="81"/>
        <v>0</v>
      </c>
      <c r="AN177" t="str">
        <f t="shared" ca="1" si="82"/>
        <v/>
      </c>
    </row>
    <row r="178" spans="2:40" x14ac:dyDescent="0.25">
      <c r="B178" s="65">
        <f t="shared" si="83"/>
        <v>2040</v>
      </c>
      <c r="C178" s="76" t="s">
        <v>741</v>
      </c>
      <c r="D178" s="146" t="str">
        <f t="shared" si="56"/>
        <v/>
      </c>
      <c r="E178" s="77">
        <f t="shared" si="57"/>
        <v>0</v>
      </c>
      <c r="F178" s="77">
        <f t="shared" si="61"/>
        <v>0</v>
      </c>
      <c r="G178" s="77">
        <f t="shared" si="60"/>
        <v>1</v>
      </c>
      <c r="H178" s="76">
        <f t="shared" si="62"/>
        <v>1</v>
      </c>
      <c r="I178" s="76">
        <f t="shared" si="58"/>
        <v>0</v>
      </c>
      <c r="J178" s="77">
        <f t="shared" si="63"/>
        <v>0</v>
      </c>
      <c r="K178" s="78">
        <f t="shared" ca="1" si="59"/>
        <v>0</v>
      </c>
      <c r="L178" s="470"/>
      <c r="M178" s="470"/>
      <c r="N178" s="470"/>
      <c r="O178" s="531"/>
      <c r="P178" s="70">
        <f t="shared" ca="1" si="64"/>
        <v>0</v>
      </c>
      <c r="Q178" s="70">
        <f t="shared" ca="1" si="65"/>
        <v>0</v>
      </c>
      <c r="R178" s="70">
        <f t="shared" ca="1" si="66"/>
        <v>0</v>
      </c>
      <c r="S178" s="70">
        <f t="shared" ca="1" si="67"/>
        <v>0</v>
      </c>
      <c r="T178" s="70">
        <f t="shared" ca="1" si="68"/>
        <v>0</v>
      </c>
      <c r="U178" s="70">
        <f t="shared" ca="1" si="69"/>
        <v>0</v>
      </c>
      <c r="V178" s="70">
        <f t="shared" ca="1" si="70"/>
        <v>0</v>
      </c>
      <c r="W178" s="70">
        <f t="shared" ca="1" si="71"/>
        <v>0</v>
      </c>
      <c r="X178" s="70">
        <f t="shared" si="72"/>
        <v>0</v>
      </c>
      <c r="Y178" s="70">
        <f t="shared" si="73"/>
        <v>0</v>
      </c>
      <c r="Z178" s="68">
        <f t="shared" si="74"/>
        <v>1</v>
      </c>
      <c r="AA178" s="84">
        <f t="shared" si="75"/>
        <v>0</v>
      </c>
      <c r="AB178" s="488">
        <f t="array" ref="AB178">ROUNDDOWN(AVERAGE(IFERROR(LARGE((X$6:X177+Y$6:Y177)*Z$6:Z177*(G$6:G177=G178), SC_SSCalcYears),0))/(12*Z178),0)</f>
        <v>0</v>
      </c>
      <c r="AC178" s="69">
        <f t="shared" si="76"/>
        <v>1</v>
      </c>
      <c r="AD178" s="85">
        <f t="shared" si="77"/>
        <v>0</v>
      </c>
      <c r="AE178" s="140">
        <f t="shared" ca="1" si="78"/>
        <v>0</v>
      </c>
      <c r="AF178" s="75">
        <f t="shared" ca="1" si="79"/>
        <v>0</v>
      </c>
      <c r="AG178" s="109">
        <f t="shared" ca="1" si="80"/>
        <v>0</v>
      </c>
      <c r="AH178" s="617">
        <f>SUMIFS($AE178:$AE179,SP_PensionPayout,"Lump sum",$E178:$E179,"&lt;&gt;0")</f>
        <v>0</v>
      </c>
      <c r="AI178" s="617">
        <f>SUMIFS($AE178:$AE179,SP_PensionPayout,"Annuity",$E178:$E179,"&lt;&gt;0")</f>
        <v>0</v>
      </c>
      <c r="AJ178" s="617">
        <f>IF(ISBLANK(INDEX(SP_SSPBFA,1)),0,IF($J178&lt;&gt;INDEX(SP_SSPBFA,1),AJ176,SP_AdditionalRI/INDEX(SC_EA_InflationWageIdx,EAIDX)))</f>
        <v>0</v>
      </c>
      <c r="AK178" s="617">
        <f ca="1">SUMPRODUCT(AF178:AF179, --(G178:G179&lt;&gt;0))</f>
        <v>0</v>
      </c>
      <c r="AL178" s="618">
        <f ca="1">SUMPRODUCT(AG178:AG179, --(E178:E179&lt;&gt;0))+AJ178</f>
        <v>0</v>
      </c>
      <c r="AM178" s="186">
        <f t="shared" ca="1" si="81"/>
        <v>0</v>
      </c>
      <c r="AN178" t="str">
        <f t="shared" ca="1" si="82"/>
        <v/>
      </c>
    </row>
    <row r="179" spans="2:40" x14ac:dyDescent="0.25">
      <c r="B179" s="86">
        <f t="shared" si="83"/>
        <v>2040</v>
      </c>
      <c r="C179" s="80" t="s">
        <v>741</v>
      </c>
      <c r="D179" s="147" t="str">
        <f t="shared" si="56"/>
        <v/>
      </c>
      <c r="E179" s="81">
        <f t="shared" si="57"/>
        <v>0</v>
      </c>
      <c r="F179" s="82">
        <f t="shared" si="61"/>
        <v>0</v>
      </c>
      <c r="G179" s="81">
        <f t="shared" si="60"/>
        <v>2</v>
      </c>
      <c r="H179" s="82">
        <f t="shared" si="62"/>
        <v>-1</v>
      </c>
      <c r="I179" s="82">
        <f t="shared" si="58"/>
        <v>0</v>
      </c>
      <c r="J179" s="81">
        <f t="shared" si="63"/>
        <v>0</v>
      </c>
      <c r="K179" s="83">
        <f t="shared" ca="1" si="59"/>
        <v>0</v>
      </c>
      <c r="L179" s="470"/>
      <c r="M179" s="470"/>
      <c r="N179" s="470"/>
      <c r="O179" s="531"/>
      <c r="P179" s="107">
        <f t="shared" ca="1" si="64"/>
        <v>0</v>
      </c>
      <c r="Q179" s="107">
        <f t="shared" ca="1" si="65"/>
        <v>0</v>
      </c>
      <c r="R179" s="107">
        <f t="shared" ca="1" si="66"/>
        <v>0</v>
      </c>
      <c r="S179" s="107">
        <f t="shared" ca="1" si="67"/>
        <v>0</v>
      </c>
      <c r="T179" s="107">
        <f t="shared" ca="1" si="68"/>
        <v>0</v>
      </c>
      <c r="U179" s="107">
        <f t="shared" ca="1" si="69"/>
        <v>0</v>
      </c>
      <c r="V179" s="107">
        <f t="shared" ca="1" si="70"/>
        <v>0</v>
      </c>
      <c r="W179" s="107">
        <f t="shared" ca="1" si="71"/>
        <v>0</v>
      </c>
      <c r="X179" s="107">
        <f t="shared" si="72"/>
        <v>0</v>
      </c>
      <c r="Y179" s="107">
        <f t="shared" si="73"/>
        <v>0</v>
      </c>
      <c r="Z179" s="87">
        <f t="shared" si="74"/>
        <v>1</v>
      </c>
      <c r="AA179" s="88">
        <f t="shared" si="75"/>
        <v>0</v>
      </c>
      <c r="AB179" s="107">
        <f t="array" ref="AB179">ROUNDDOWN(AVERAGE(IFERROR(LARGE((X$6:X178+Y$6:Y178)*Z$6:Z178*(G$6:G178=G179), SC_SSCalcYears),0))/(12*Z179),0)</f>
        <v>0</v>
      </c>
      <c r="AC179" s="211">
        <f t="shared" si="76"/>
        <v>1</v>
      </c>
      <c r="AD179" s="89">
        <f t="shared" si="77"/>
        <v>0</v>
      </c>
      <c r="AE179" s="141">
        <f t="shared" ca="1" si="78"/>
        <v>0</v>
      </c>
      <c r="AF179" s="106">
        <f t="shared" ca="1" si="79"/>
        <v>0</v>
      </c>
      <c r="AG179" s="110">
        <f t="shared" ca="1" si="80"/>
        <v>0</v>
      </c>
      <c r="AH179" s="617"/>
      <c r="AI179" s="617"/>
      <c r="AJ179" s="617"/>
      <c r="AK179" s="617"/>
      <c r="AL179" s="618"/>
      <c r="AM179" s="186">
        <f t="shared" ca="1" si="81"/>
        <v>0</v>
      </c>
      <c r="AN179" t="str">
        <f t="shared" ca="1" si="82"/>
        <v/>
      </c>
    </row>
    <row r="180" spans="2:40" x14ac:dyDescent="0.25">
      <c r="B180" s="65">
        <f t="shared" si="83"/>
        <v>2041</v>
      </c>
      <c r="C180" s="76" t="s">
        <v>741</v>
      </c>
      <c r="D180" s="146" t="str">
        <f t="shared" si="56"/>
        <v/>
      </c>
      <c r="E180" s="77">
        <f t="shared" si="57"/>
        <v>0</v>
      </c>
      <c r="F180" s="77">
        <f t="shared" si="61"/>
        <v>0</v>
      </c>
      <c r="G180" s="77">
        <f t="shared" si="60"/>
        <v>1</v>
      </c>
      <c r="H180" s="76">
        <f t="shared" si="62"/>
        <v>1</v>
      </c>
      <c r="I180" s="76">
        <f t="shared" si="58"/>
        <v>0</v>
      </c>
      <c r="J180" s="77">
        <f t="shared" si="63"/>
        <v>0</v>
      </c>
      <c r="K180" s="78">
        <f t="shared" ca="1" si="59"/>
        <v>0</v>
      </c>
      <c r="L180" s="470"/>
      <c r="M180" s="470"/>
      <c r="N180" s="470"/>
      <c r="O180" s="531"/>
      <c r="P180" s="70">
        <f t="shared" ca="1" si="64"/>
        <v>0</v>
      </c>
      <c r="Q180" s="70">
        <f t="shared" ca="1" si="65"/>
        <v>0</v>
      </c>
      <c r="R180" s="70">
        <f t="shared" ca="1" si="66"/>
        <v>0</v>
      </c>
      <c r="S180" s="70">
        <f t="shared" ca="1" si="67"/>
        <v>0</v>
      </c>
      <c r="T180" s="70">
        <f t="shared" ca="1" si="68"/>
        <v>0</v>
      </c>
      <c r="U180" s="70">
        <f t="shared" ca="1" si="69"/>
        <v>0</v>
      </c>
      <c r="V180" s="70">
        <f t="shared" ca="1" si="70"/>
        <v>0</v>
      </c>
      <c r="W180" s="70">
        <f t="shared" ca="1" si="71"/>
        <v>0</v>
      </c>
      <c r="X180" s="70">
        <f t="shared" si="72"/>
        <v>0</v>
      </c>
      <c r="Y180" s="70">
        <f t="shared" si="73"/>
        <v>0</v>
      </c>
      <c r="Z180" s="68">
        <f t="shared" si="74"/>
        <v>1</v>
      </c>
      <c r="AA180" s="84">
        <f t="shared" si="75"/>
        <v>0</v>
      </c>
      <c r="AB180" s="488">
        <f t="array" ref="AB180">ROUNDDOWN(AVERAGE(IFERROR(LARGE((X$6:X179+Y$6:Y179)*Z$6:Z179*(G$6:G179=G180), SC_SSCalcYears),0))/(12*Z180),0)</f>
        <v>0</v>
      </c>
      <c r="AC180" s="69">
        <f t="shared" si="76"/>
        <v>1</v>
      </c>
      <c r="AD180" s="85">
        <f t="shared" si="77"/>
        <v>0</v>
      </c>
      <c r="AE180" s="140">
        <f t="shared" ca="1" si="78"/>
        <v>0</v>
      </c>
      <c r="AF180" s="75">
        <f t="shared" ca="1" si="79"/>
        <v>0</v>
      </c>
      <c r="AG180" s="109">
        <f t="shared" ca="1" si="80"/>
        <v>0</v>
      </c>
      <c r="AH180" s="617">
        <f>SUMIFS($AE180:$AE181,SP_PensionPayout,"Lump sum",$E180:$E181,"&lt;&gt;0")</f>
        <v>0</v>
      </c>
      <c r="AI180" s="617">
        <f>SUMIFS($AE180:$AE181,SP_PensionPayout,"Annuity",$E180:$E181,"&lt;&gt;0")</f>
        <v>0</v>
      </c>
      <c r="AJ180" s="617">
        <f>IF(ISBLANK(INDEX(SP_SSPBFA,1)),0,IF($J180&lt;&gt;INDEX(SP_SSPBFA,1),AJ178,SP_AdditionalRI/INDEX(SC_EA_InflationWageIdx,EAIDX)))</f>
        <v>0</v>
      </c>
      <c r="AK180" s="617">
        <f ca="1">SUMPRODUCT(AF180:AF181, --(G180:G181&lt;&gt;0))</f>
        <v>0</v>
      </c>
      <c r="AL180" s="618">
        <f ca="1">SUMPRODUCT(AG180:AG181, --(E180:E181&lt;&gt;0))+AJ180</f>
        <v>0</v>
      </c>
      <c r="AM180" s="186">
        <f t="shared" ca="1" si="81"/>
        <v>0</v>
      </c>
      <c r="AN180" t="str">
        <f t="shared" ca="1" si="82"/>
        <v/>
      </c>
    </row>
    <row r="181" spans="2:40" x14ac:dyDescent="0.25">
      <c r="B181" s="86">
        <f t="shared" si="83"/>
        <v>2041</v>
      </c>
      <c r="C181" s="80" t="s">
        <v>741</v>
      </c>
      <c r="D181" s="147" t="str">
        <f t="shared" si="56"/>
        <v/>
      </c>
      <c r="E181" s="81">
        <f t="shared" si="57"/>
        <v>0</v>
      </c>
      <c r="F181" s="82">
        <f t="shared" si="61"/>
        <v>0</v>
      </c>
      <c r="G181" s="81">
        <f t="shared" si="60"/>
        <v>2</v>
      </c>
      <c r="H181" s="82">
        <f t="shared" si="62"/>
        <v>-1</v>
      </c>
      <c r="I181" s="82">
        <f t="shared" si="58"/>
        <v>0</v>
      </c>
      <c r="J181" s="81">
        <f t="shared" si="63"/>
        <v>0</v>
      </c>
      <c r="K181" s="83">
        <f t="shared" ca="1" si="59"/>
        <v>0</v>
      </c>
      <c r="L181" s="470"/>
      <c r="M181" s="470"/>
      <c r="N181" s="470"/>
      <c r="O181" s="531"/>
      <c r="P181" s="107">
        <f t="shared" ca="1" si="64"/>
        <v>0</v>
      </c>
      <c r="Q181" s="107">
        <f t="shared" ca="1" si="65"/>
        <v>0</v>
      </c>
      <c r="R181" s="107">
        <f t="shared" ca="1" si="66"/>
        <v>0</v>
      </c>
      <c r="S181" s="107">
        <f t="shared" ca="1" si="67"/>
        <v>0</v>
      </c>
      <c r="T181" s="107">
        <f t="shared" ca="1" si="68"/>
        <v>0</v>
      </c>
      <c r="U181" s="107">
        <f t="shared" ca="1" si="69"/>
        <v>0</v>
      </c>
      <c r="V181" s="107">
        <f t="shared" ca="1" si="70"/>
        <v>0</v>
      </c>
      <c r="W181" s="107">
        <f t="shared" ca="1" si="71"/>
        <v>0</v>
      </c>
      <c r="X181" s="107">
        <f t="shared" si="72"/>
        <v>0</v>
      </c>
      <c r="Y181" s="107">
        <f t="shared" si="73"/>
        <v>0</v>
      </c>
      <c r="Z181" s="87">
        <f t="shared" si="74"/>
        <v>1</v>
      </c>
      <c r="AA181" s="88">
        <f t="shared" si="75"/>
        <v>0</v>
      </c>
      <c r="AB181" s="107">
        <f t="array" ref="AB181">ROUNDDOWN(AVERAGE(IFERROR(LARGE((X$6:X180+Y$6:Y180)*Z$6:Z180*(G$6:G180=G181), SC_SSCalcYears),0))/(12*Z181),0)</f>
        <v>0</v>
      </c>
      <c r="AC181" s="211">
        <f t="shared" si="76"/>
        <v>1</v>
      </c>
      <c r="AD181" s="89">
        <f t="shared" si="77"/>
        <v>0</v>
      </c>
      <c r="AE181" s="141">
        <f t="shared" ca="1" si="78"/>
        <v>0</v>
      </c>
      <c r="AF181" s="106">
        <f t="shared" ca="1" si="79"/>
        <v>0</v>
      </c>
      <c r="AG181" s="110">
        <f t="shared" ca="1" si="80"/>
        <v>0</v>
      </c>
      <c r="AH181" s="617"/>
      <c r="AI181" s="617"/>
      <c r="AJ181" s="617"/>
      <c r="AK181" s="617"/>
      <c r="AL181" s="618"/>
      <c r="AM181" s="186">
        <f t="shared" ca="1" si="81"/>
        <v>0</v>
      </c>
      <c r="AN181" t="str">
        <f t="shared" ca="1" si="82"/>
        <v/>
      </c>
    </row>
    <row r="182" spans="2:40" x14ac:dyDescent="0.25">
      <c r="B182" s="65">
        <f t="shared" si="83"/>
        <v>2042</v>
      </c>
      <c r="C182" s="76" t="s">
        <v>741</v>
      </c>
      <c r="D182" s="146" t="str">
        <f t="shared" si="56"/>
        <v/>
      </c>
      <c r="E182" s="77">
        <f t="shared" si="57"/>
        <v>0</v>
      </c>
      <c r="F182" s="77">
        <f t="shared" si="61"/>
        <v>0</v>
      </c>
      <c r="G182" s="77">
        <f t="shared" si="60"/>
        <v>1</v>
      </c>
      <c r="H182" s="76">
        <f t="shared" si="62"/>
        <v>1</v>
      </c>
      <c r="I182" s="76">
        <f t="shared" si="58"/>
        <v>0</v>
      </c>
      <c r="J182" s="77">
        <f t="shared" si="63"/>
        <v>0</v>
      </c>
      <c r="K182" s="78">
        <f t="shared" ca="1" si="59"/>
        <v>0</v>
      </c>
      <c r="L182" s="470"/>
      <c r="M182" s="470"/>
      <c r="N182" s="470"/>
      <c r="O182" s="531"/>
      <c r="P182" s="70">
        <f t="shared" ca="1" si="64"/>
        <v>0</v>
      </c>
      <c r="Q182" s="70">
        <f t="shared" ca="1" si="65"/>
        <v>0</v>
      </c>
      <c r="R182" s="70">
        <f t="shared" ca="1" si="66"/>
        <v>0</v>
      </c>
      <c r="S182" s="70">
        <f t="shared" ca="1" si="67"/>
        <v>0</v>
      </c>
      <c r="T182" s="70">
        <f t="shared" ca="1" si="68"/>
        <v>0</v>
      </c>
      <c r="U182" s="70">
        <f t="shared" ca="1" si="69"/>
        <v>0</v>
      </c>
      <c r="V182" s="70">
        <f t="shared" ca="1" si="70"/>
        <v>0</v>
      </c>
      <c r="W182" s="70">
        <f t="shared" ca="1" si="71"/>
        <v>0</v>
      </c>
      <c r="X182" s="70">
        <f t="shared" si="72"/>
        <v>0</v>
      </c>
      <c r="Y182" s="70">
        <f t="shared" si="73"/>
        <v>0</v>
      </c>
      <c r="Z182" s="68">
        <f t="shared" si="74"/>
        <v>1</v>
      </c>
      <c r="AA182" s="84">
        <f t="shared" si="75"/>
        <v>0</v>
      </c>
      <c r="AB182" s="488">
        <f t="array" ref="AB182">ROUNDDOWN(AVERAGE(IFERROR(LARGE((X$6:X181+Y$6:Y181)*Z$6:Z181*(G$6:G181=G182), SC_SSCalcYears),0))/(12*Z182),0)</f>
        <v>0</v>
      </c>
      <c r="AC182" s="69">
        <f t="shared" si="76"/>
        <v>1</v>
      </c>
      <c r="AD182" s="85">
        <f t="shared" si="77"/>
        <v>0</v>
      </c>
      <c r="AE182" s="140">
        <f t="shared" ca="1" si="78"/>
        <v>0</v>
      </c>
      <c r="AF182" s="75">
        <f t="shared" ca="1" si="79"/>
        <v>0</v>
      </c>
      <c r="AG182" s="109">
        <f t="shared" ca="1" si="80"/>
        <v>0</v>
      </c>
      <c r="AH182" s="617">
        <f>SUMIFS($AE182:$AE183,SP_PensionPayout,"Lump sum",$E182:$E183,"&lt;&gt;0")</f>
        <v>0</v>
      </c>
      <c r="AI182" s="617">
        <f>SUMIFS($AE182:$AE183,SP_PensionPayout,"Annuity",$E182:$E183,"&lt;&gt;0")</f>
        <v>0</v>
      </c>
      <c r="AJ182" s="617">
        <f>IF(ISBLANK(INDEX(SP_SSPBFA,1)),0,IF($J182&lt;&gt;INDEX(SP_SSPBFA,1),AJ180,SP_AdditionalRI/INDEX(SC_EA_InflationWageIdx,EAIDX)))</f>
        <v>0</v>
      </c>
      <c r="AK182" s="617">
        <f ca="1">SUMPRODUCT(AF182:AF183, --(G182:G183&lt;&gt;0))</f>
        <v>0</v>
      </c>
      <c r="AL182" s="618">
        <f ca="1">SUMPRODUCT(AG182:AG183, --(E182:E183&lt;&gt;0))+AJ182</f>
        <v>0</v>
      </c>
      <c r="AM182" s="186">
        <f t="shared" ca="1" si="81"/>
        <v>0</v>
      </c>
      <c r="AN182" t="str">
        <f t="shared" ca="1" si="82"/>
        <v/>
      </c>
    </row>
    <row r="183" spans="2:40" x14ac:dyDescent="0.25">
      <c r="B183" s="86">
        <f t="shared" si="83"/>
        <v>2042</v>
      </c>
      <c r="C183" s="80" t="s">
        <v>741</v>
      </c>
      <c r="D183" s="147" t="str">
        <f t="shared" si="56"/>
        <v/>
      </c>
      <c r="E183" s="81">
        <f t="shared" si="57"/>
        <v>0</v>
      </c>
      <c r="F183" s="82">
        <f t="shared" si="61"/>
        <v>0</v>
      </c>
      <c r="G183" s="81">
        <f t="shared" si="60"/>
        <v>2</v>
      </c>
      <c r="H183" s="82">
        <f t="shared" si="62"/>
        <v>-1</v>
      </c>
      <c r="I183" s="82">
        <f t="shared" si="58"/>
        <v>0</v>
      </c>
      <c r="J183" s="81">
        <f t="shared" si="63"/>
        <v>0</v>
      </c>
      <c r="K183" s="83">
        <f t="shared" ca="1" si="59"/>
        <v>0</v>
      </c>
      <c r="L183" s="470"/>
      <c r="M183" s="470"/>
      <c r="N183" s="470"/>
      <c r="O183" s="531"/>
      <c r="P183" s="107">
        <f t="shared" ca="1" si="64"/>
        <v>0</v>
      </c>
      <c r="Q183" s="107">
        <f t="shared" ca="1" si="65"/>
        <v>0</v>
      </c>
      <c r="R183" s="107">
        <f t="shared" ca="1" si="66"/>
        <v>0</v>
      </c>
      <c r="S183" s="107">
        <f t="shared" ca="1" si="67"/>
        <v>0</v>
      </c>
      <c r="T183" s="107">
        <f t="shared" ca="1" si="68"/>
        <v>0</v>
      </c>
      <c r="U183" s="107">
        <f t="shared" ca="1" si="69"/>
        <v>0</v>
      </c>
      <c r="V183" s="107">
        <f t="shared" ca="1" si="70"/>
        <v>0</v>
      </c>
      <c r="W183" s="107">
        <f t="shared" ca="1" si="71"/>
        <v>0</v>
      </c>
      <c r="X183" s="107">
        <f t="shared" si="72"/>
        <v>0</v>
      </c>
      <c r="Y183" s="107">
        <f t="shared" si="73"/>
        <v>0</v>
      </c>
      <c r="Z183" s="87">
        <f t="shared" si="74"/>
        <v>1</v>
      </c>
      <c r="AA183" s="88">
        <f t="shared" si="75"/>
        <v>0</v>
      </c>
      <c r="AB183" s="107">
        <f t="array" ref="AB183">ROUNDDOWN(AVERAGE(IFERROR(LARGE((X$6:X182+Y$6:Y182)*Z$6:Z182*(G$6:G182=G183), SC_SSCalcYears),0))/(12*Z183),0)</f>
        <v>0</v>
      </c>
      <c r="AC183" s="211">
        <f t="shared" si="76"/>
        <v>1</v>
      </c>
      <c r="AD183" s="89">
        <f t="shared" si="77"/>
        <v>0</v>
      </c>
      <c r="AE183" s="141">
        <f t="shared" ca="1" si="78"/>
        <v>0</v>
      </c>
      <c r="AF183" s="106">
        <f t="shared" ca="1" si="79"/>
        <v>0</v>
      </c>
      <c r="AG183" s="110">
        <f t="shared" ca="1" si="80"/>
        <v>0</v>
      </c>
      <c r="AH183" s="617"/>
      <c r="AI183" s="617"/>
      <c r="AJ183" s="617"/>
      <c r="AK183" s="617"/>
      <c r="AL183" s="618"/>
      <c r="AM183" s="186">
        <f t="shared" ca="1" si="81"/>
        <v>0</v>
      </c>
      <c r="AN183" t="str">
        <f t="shared" ca="1" si="82"/>
        <v/>
      </c>
    </row>
    <row r="184" spans="2:40" x14ac:dyDescent="0.25">
      <c r="B184" s="65">
        <f t="shared" si="83"/>
        <v>2043</v>
      </c>
      <c r="C184" s="76" t="s">
        <v>741</v>
      </c>
      <c r="D184" s="146" t="str">
        <f t="shared" si="56"/>
        <v/>
      </c>
      <c r="E184" s="77">
        <f t="shared" si="57"/>
        <v>0</v>
      </c>
      <c r="F184" s="77">
        <f t="shared" si="61"/>
        <v>0</v>
      </c>
      <c r="G184" s="77">
        <f t="shared" si="60"/>
        <v>1</v>
      </c>
      <c r="H184" s="76">
        <f t="shared" si="62"/>
        <v>1</v>
      </c>
      <c r="I184" s="76">
        <f t="shared" si="58"/>
        <v>0</v>
      </c>
      <c r="J184" s="77">
        <f t="shared" si="63"/>
        <v>0</v>
      </c>
      <c r="K184" s="78">
        <f t="shared" ca="1" si="59"/>
        <v>0</v>
      </c>
      <c r="L184" s="470"/>
      <c r="M184" s="470"/>
      <c r="N184" s="470"/>
      <c r="O184" s="531"/>
      <c r="P184" s="70">
        <f t="shared" ca="1" si="64"/>
        <v>0</v>
      </c>
      <c r="Q184" s="70">
        <f t="shared" ca="1" si="65"/>
        <v>0</v>
      </c>
      <c r="R184" s="70">
        <f t="shared" ca="1" si="66"/>
        <v>0</v>
      </c>
      <c r="S184" s="70">
        <f t="shared" ca="1" si="67"/>
        <v>0</v>
      </c>
      <c r="T184" s="70">
        <f t="shared" ca="1" si="68"/>
        <v>0</v>
      </c>
      <c r="U184" s="70">
        <f t="shared" ca="1" si="69"/>
        <v>0</v>
      </c>
      <c r="V184" s="70">
        <f t="shared" ca="1" si="70"/>
        <v>0</v>
      </c>
      <c r="W184" s="70">
        <f t="shared" ca="1" si="71"/>
        <v>0</v>
      </c>
      <c r="X184" s="70">
        <f t="shared" si="72"/>
        <v>0</v>
      </c>
      <c r="Y184" s="70">
        <f t="shared" si="73"/>
        <v>0</v>
      </c>
      <c r="Z184" s="68">
        <f t="shared" si="74"/>
        <v>1</v>
      </c>
      <c r="AA184" s="84">
        <f t="shared" si="75"/>
        <v>0</v>
      </c>
      <c r="AB184" s="488">
        <f t="array" ref="AB184">ROUNDDOWN(AVERAGE(IFERROR(LARGE((X$6:X183+Y$6:Y183)*Z$6:Z183*(G$6:G183=G184), SC_SSCalcYears),0))/(12*Z184),0)</f>
        <v>0</v>
      </c>
      <c r="AC184" s="69">
        <f t="shared" si="76"/>
        <v>1</v>
      </c>
      <c r="AD184" s="85">
        <f t="shared" si="77"/>
        <v>0</v>
      </c>
      <c r="AE184" s="140">
        <f t="shared" ca="1" si="78"/>
        <v>0</v>
      </c>
      <c r="AF184" s="75">
        <f t="shared" ca="1" si="79"/>
        <v>0</v>
      </c>
      <c r="AG184" s="109">
        <f t="shared" ca="1" si="80"/>
        <v>0</v>
      </c>
      <c r="AH184" s="617">
        <f>SUMIFS($AE184:$AE185,SP_PensionPayout,"Lump sum",$E184:$E185,"&lt;&gt;0")</f>
        <v>0</v>
      </c>
      <c r="AI184" s="617">
        <f>SUMIFS($AE184:$AE185,SP_PensionPayout,"Annuity",$E184:$E185,"&lt;&gt;0")</f>
        <v>0</v>
      </c>
      <c r="AJ184" s="617">
        <f>IF(ISBLANK(INDEX(SP_SSPBFA,1)),0,IF($J184&lt;&gt;INDEX(SP_SSPBFA,1),AJ182,SP_AdditionalRI/INDEX(SC_EA_InflationWageIdx,EAIDX)))</f>
        <v>0</v>
      </c>
      <c r="AK184" s="617">
        <f ca="1">SUMPRODUCT(AF184:AF185, --(G184:G185&lt;&gt;0))</f>
        <v>0</v>
      </c>
      <c r="AL184" s="618">
        <f ca="1">SUMPRODUCT(AG184:AG185, --(E184:E185&lt;&gt;0))+AJ184</f>
        <v>0</v>
      </c>
      <c r="AM184" s="186">
        <f t="shared" ca="1" si="81"/>
        <v>0</v>
      </c>
      <c r="AN184" t="str">
        <f t="shared" ca="1" si="82"/>
        <v/>
      </c>
    </row>
    <row r="185" spans="2:40" x14ac:dyDescent="0.25">
      <c r="B185" s="86">
        <f t="shared" si="83"/>
        <v>2043</v>
      </c>
      <c r="C185" s="80" t="s">
        <v>741</v>
      </c>
      <c r="D185" s="147" t="str">
        <f t="shared" si="56"/>
        <v/>
      </c>
      <c r="E185" s="81">
        <f t="shared" si="57"/>
        <v>0</v>
      </c>
      <c r="F185" s="82">
        <f t="shared" si="61"/>
        <v>0</v>
      </c>
      <c r="G185" s="81">
        <f t="shared" si="60"/>
        <v>2</v>
      </c>
      <c r="H185" s="82">
        <f t="shared" si="62"/>
        <v>-1</v>
      </c>
      <c r="I185" s="82">
        <f t="shared" si="58"/>
        <v>0</v>
      </c>
      <c r="J185" s="81">
        <f t="shared" si="63"/>
        <v>0</v>
      </c>
      <c r="K185" s="83">
        <f t="shared" ca="1" si="59"/>
        <v>0</v>
      </c>
      <c r="L185" s="470"/>
      <c r="M185" s="470"/>
      <c r="N185" s="470"/>
      <c r="O185" s="531"/>
      <c r="P185" s="107">
        <f t="shared" ca="1" si="64"/>
        <v>0</v>
      </c>
      <c r="Q185" s="107">
        <f t="shared" ca="1" si="65"/>
        <v>0</v>
      </c>
      <c r="R185" s="107">
        <f t="shared" ca="1" si="66"/>
        <v>0</v>
      </c>
      <c r="S185" s="107">
        <f t="shared" ca="1" si="67"/>
        <v>0</v>
      </c>
      <c r="T185" s="107">
        <f t="shared" ca="1" si="68"/>
        <v>0</v>
      </c>
      <c r="U185" s="107">
        <f t="shared" ca="1" si="69"/>
        <v>0</v>
      </c>
      <c r="V185" s="107">
        <f t="shared" ca="1" si="70"/>
        <v>0</v>
      </c>
      <c r="W185" s="107">
        <f t="shared" ca="1" si="71"/>
        <v>0</v>
      </c>
      <c r="X185" s="107">
        <f t="shared" si="72"/>
        <v>0</v>
      </c>
      <c r="Y185" s="107">
        <f t="shared" si="73"/>
        <v>0</v>
      </c>
      <c r="Z185" s="87">
        <f t="shared" si="74"/>
        <v>1</v>
      </c>
      <c r="AA185" s="88">
        <f t="shared" si="75"/>
        <v>0</v>
      </c>
      <c r="AB185" s="107">
        <f t="array" ref="AB185">ROUNDDOWN(AVERAGE(IFERROR(LARGE((X$6:X184+Y$6:Y184)*Z$6:Z184*(G$6:G184=G185), SC_SSCalcYears),0))/(12*Z185),0)</f>
        <v>0</v>
      </c>
      <c r="AC185" s="211">
        <f t="shared" si="76"/>
        <v>1</v>
      </c>
      <c r="AD185" s="89">
        <f t="shared" si="77"/>
        <v>0</v>
      </c>
      <c r="AE185" s="141">
        <f t="shared" ca="1" si="78"/>
        <v>0</v>
      </c>
      <c r="AF185" s="106">
        <f t="shared" ca="1" si="79"/>
        <v>0</v>
      </c>
      <c r="AG185" s="110">
        <f t="shared" ca="1" si="80"/>
        <v>0</v>
      </c>
      <c r="AH185" s="617"/>
      <c r="AI185" s="617"/>
      <c r="AJ185" s="617"/>
      <c r="AK185" s="617"/>
      <c r="AL185" s="618"/>
      <c r="AM185" s="186">
        <f t="shared" ca="1" si="81"/>
        <v>0</v>
      </c>
      <c r="AN185" t="str">
        <f t="shared" ca="1" si="82"/>
        <v/>
      </c>
    </row>
    <row r="186" spans="2:40" x14ac:dyDescent="0.25">
      <c r="B186" s="65">
        <f t="shared" si="83"/>
        <v>2044</v>
      </c>
      <c r="C186" s="76" t="s">
        <v>741</v>
      </c>
      <c r="D186" s="146" t="str">
        <f t="shared" si="56"/>
        <v/>
      </c>
      <c r="E186" s="77">
        <f t="shared" si="57"/>
        <v>0</v>
      </c>
      <c r="F186" s="77">
        <f t="shared" si="61"/>
        <v>0</v>
      </c>
      <c r="G186" s="77">
        <f t="shared" si="60"/>
        <v>1</v>
      </c>
      <c r="H186" s="76">
        <f t="shared" si="62"/>
        <v>1</v>
      </c>
      <c r="I186" s="76">
        <f t="shared" si="58"/>
        <v>0</v>
      </c>
      <c r="J186" s="77">
        <f t="shared" si="63"/>
        <v>0</v>
      </c>
      <c r="K186" s="78">
        <f t="shared" ca="1" si="59"/>
        <v>0</v>
      </c>
      <c r="L186" s="470"/>
      <c r="M186" s="470"/>
      <c r="N186" s="470"/>
      <c r="O186" s="531"/>
      <c r="P186" s="70">
        <f t="shared" ca="1" si="64"/>
        <v>0</v>
      </c>
      <c r="Q186" s="70">
        <f t="shared" ca="1" si="65"/>
        <v>0</v>
      </c>
      <c r="R186" s="70">
        <f t="shared" ca="1" si="66"/>
        <v>0</v>
      </c>
      <c r="S186" s="70">
        <f t="shared" ca="1" si="67"/>
        <v>0</v>
      </c>
      <c r="T186" s="70">
        <f t="shared" ca="1" si="68"/>
        <v>0</v>
      </c>
      <c r="U186" s="70">
        <f t="shared" ca="1" si="69"/>
        <v>0</v>
      </c>
      <c r="V186" s="70">
        <f t="shared" ca="1" si="70"/>
        <v>0</v>
      </c>
      <c r="W186" s="70">
        <f t="shared" ca="1" si="71"/>
        <v>0</v>
      </c>
      <c r="X186" s="70">
        <f t="shared" si="72"/>
        <v>0</v>
      </c>
      <c r="Y186" s="70">
        <f t="shared" si="73"/>
        <v>0</v>
      </c>
      <c r="Z186" s="68">
        <f t="shared" si="74"/>
        <v>1</v>
      </c>
      <c r="AA186" s="84">
        <f t="shared" si="75"/>
        <v>0</v>
      </c>
      <c r="AB186" s="488">
        <f t="array" ref="AB186">ROUNDDOWN(AVERAGE(IFERROR(LARGE((X$6:X185+Y$6:Y185)*Z$6:Z185*(G$6:G185=G186), SC_SSCalcYears),0))/(12*Z186),0)</f>
        <v>0</v>
      </c>
      <c r="AC186" s="69">
        <f t="shared" si="76"/>
        <v>1</v>
      </c>
      <c r="AD186" s="85">
        <f t="shared" si="77"/>
        <v>0</v>
      </c>
      <c r="AE186" s="140">
        <f t="shared" ca="1" si="78"/>
        <v>0</v>
      </c>
      <c r="AF186" s="75">
        <f t="shared" ca="1" si="79"/>
        <v>0</v>
      </c>
      <c r="AG186" s="109">
        <f t="shared" ca="1" si="80"/>
        <v>0</v>
      </c>
      <c r="AH186" s="617">
        <f>SUMIFS($AE186:$AE187,SP_PensionPayout,"Lump sum",$E186:$E187,"&lt;&gt;0")</f>
        <v>0</v>
      </c>
      <c r="AI186" s="617">
        <f>SUMIFS($AE186:$AE187,SP_PensionPayout,"Annuity",$E186:$E187,"&lt;&gt;0")</f>
        <v>0</v>
      </c>
      <c r="AJ186" s="617">
        <f>IF(ISBLANK(INDEX(SP_SSPBFA,1)),0,IF($J186&lt;&gt;INDEX(SP_SSPBFA,1),AJ184,SP_AdditionalRI/INDEX(SC_EA_InflationWageIdx,EAIDX)))</f>
        <v>0</v>
      </c>
      <c r="AK186" s="617">
        <f ca="1">SUMPRODUCT(AF186:AF187, --(G186:G187&lt;&gt;0))</f>
        <v>0</v>
      </c>
      <c r="AL186" s="618">
        <f ca="1">SUMPRODUCT(AG186:AG187, --(E186:E187&lt;&gt;0))+AJ186</f>
        <v>0</v>
      </c>
      <c r="AM186" s="186">
        <f t="shared" ca="1" si="81"/>
        <v>0</v>
      </c>
      <c r="AN186" t="str">
        <f t="shared" ca="1" si="82"/>
        <v/>
      </c>
    </row>
    <row r="187" spans="2:40" x14ac:dyDescent="0.25">
      <c r="B187" s="86">
        <f t="shared" si="83"/>
        <v>2044</v>
      </c>
      <c r="C187" s="80" t="s">
        <v>741</v>
      </c>
      <c r="D187" s="147" t="str">
        <f t="shared" si="56"/>
        <v/>
      </c>
      <c r="E187" s="81">
        <f t="shared" si="57"/>
        <v>0</v>
      </c>
      <c r="F187" s="82">
        <f t="shared" si="61"/>
        <v>0</v>
      </c>
      <c r="G187" s="81">
        <f t="shared" si="60"/>
        <v>2</v>
      </c>
      <c r="H187" s="82">
        <f t="shared" si="62"/>
        <v>-1</v>
      </c>
      <c r="I187" s="82">
        <f t="shared" si="58"/>
        <v>0</v>
      </c>
      <c r="J187" s="81">
        <f t="shared" si="63"/>
        <v>0</v>
      </c>
      <c r="K187" s="83">
        <f t="shared" ca="1" si="59"/>
        <v>0</v>
      </c>
      <c r="L187" s="470"/>
      <c r="M187" s="470"/>
      <c r="N187" s="470"/>
      <c r="O187" s="531"/>
      <c r="P187" s="107">
        <f t="shared" ca="1" si="64"/>
        <v>0</v>
      </c>
      <c r="Q187" s="107">
        <f t="shared" ca="1" si="65"/>
        <v>0</v>
      </c>
      <c r="R187" s="107">
        <f t="shared" ca="1" si="66"/>
        <v>0</v>
      </c>
      <c r="S187" s="107">
        <f t="shared" ca="1" si="67"/>
        <v>0</v>
      </c>
      <c r="T187" s="107">
        <f t="shared" ca="1" si="68"/>
        <v>0</v>
      </c>
      <c r="U187" s="107">
        <f t="shared" ca="1" si="69"/>
        <v>0</v>
      </c>
      <c r="V187" s="107">
        <f t="shared" ca="1" si="70"/>
        <v>0</v>
      </c>
      <c r="W187" s="107">
        <f t="shared" ca="1" si="71"/>
        <v>0</v>
      </c>
      <c r="X187" s="107">
        <f t="shared" si="72"/>
        <v>0</v>
      </c>
      <c r="Y187" s="107">
        <f t="shared" si="73"/>
        <v>0</v>
      </c>
      <c r="Z187" s="87">
        <f t="shared" si="74"/>
        <v>1</v>
      </c>
      <c r="AA187" s="88">
        <f t="shared" si="75"/>
        <v>0</v>
      </c>
      <c r="AB187" s="107">
        <f t="array" ref="AB187">ROUNDDOWN(AVERAGE(IFERROR(LARGE((X$6:X186+Y$6:Y186)*Z$6:Z186*(G$6:G186=G187), SC_SSCalcYears),0))/(12*Z187),0)</f>
        <v>0</v>
      </c>
      <c r="AC187" s="211">
        <f t="shared" si="76"/>
        <v>1</v>
      </c>
      <c r="AD187" s="89">
        <f t="shared" si="77"/>
        <v>0</v>
      </c>
      <c r="AE187" s="141">
        <f t="shared" ca="1" si="78"/>
        <v>0</v>
      </c>
      <c r="AF187" s="106">
        <f t="shared" ca="1" si="79"/>
        <v>0</v>
      </c>
      <c r="AG187" s="110">
        <f t="shared" ca="1" si="80"/>
        <v>0</v>
      </c>
      <c r="AH187" s="617"/>
      <c r="AI187" s="617"/>
      <c r="AJ187" s="617"/>
      <c r="AK187" s="617"/>
      <c r="AL187" s="618"/>
      <c r="AM187" s="186">
        <f t="shared" ca="1" si="81"/>
        <v>0</v>
      </c>
      <c r="AN187" t="str">
        <f t="shared" ca="1" si="82"/>
        <v/>
      </c>
    </row>
    <row r="188" spans="2:40" x14ac:dyDescent="0.25">
      <c r="B188" s="65">
        <f t="shared" si="83"/>
        <v>2045</v>
      </c>
      <c r="C188" s="76" t="s">
        <v>741</v>
      </c>
      <c r="D188" s="146" t="str">
        <f t="shared" si="56"/>
        <v/>
      </c>
      <c r="E188" s="77">
        <f t="shared" si="57"/>
        <v>0</v>
      </c>
      <c r="F188" s="77">
        <f t="shared" si="61"/>
        <v>0</v>
      </c>
      <c r="G188" s="77">
        <f t="shared" si="60"/>
        <v>1</v>
      </c>
      <c r="H188" s="76">
        <f t="shared" si="62"/>
        <v>1</v>
      </c>
      <c r="I188" s="76">
        <f t="shared" si="58"/>
        <v>0</v>
      </c>
      <c r="J188" s="77">
        <f t="shared" si="63"/>
        <v>0</v>
      </c>
      <c r="K188" s="78">
        <f t="shared" ca="1" si="59"/>
        <v>0</v>
      </c>
      <c r="L188" s="470"/>
      <c r="M188" s="470"/>
      <c r="N188" s="470"/>
      <c r="O188" s="531"/>
      <c r="P188" s="70">
        <f t="shared" ca="1" si="64"/>
        <v>0</v>
      </c>
      <c r="Q188" s="70">
        <f t="shared" ca="1" si="65"/>
        <v>0</v>
      </c>
      <c r="R188" s="70">
        <f t="shared" ca="1" si="66"/>
        <v>0</v>
      </c>
      <c r="S188" s="70">
        <f t="shared" ca="1" si="67"/>
        <v>0</v>
      </c>
      <c r="T188" s="70">
        <f t="shared" ca="1" si="68"/>
        <v>0</v>
      </c>
      <c r="U188" s="70">
        <f t="shared" ca="1" si="69"/>
        <v>0</v>
      </c>
      <c r="V188" s="70">
        <f t="shared" ca="1" si="70"/>
        <v>0</v>
      </c>
      <c r="W188" s="70">
        <f t="shared" ca="1" si="71"/>
        <v>0</v>
      </c>
      <c r="X188" s="70">
        <f t="shared" si="72"/>
        <v>0</v>
      </c>
      <c r="Y188" s="70">
        <f t="shared" si="73"/>
        <v>0</v>
      </c>
      <c r="Z188" s="68">
        <f t="shared" si="74"/>
        <v>1</v>
      </c>
      <c r="AA188" s="84">
        <f t="shared" si="75"/>
        <v>0</v>
      </c>
      <c r="AB188" s="488">
        <f t="array" ref="AB188">ROUNDDOWN(AVERAGE(IFERROR(LARGE((X$6:X187+Y$6:Y187)*Z$6:Z187*(G$6:G187=G188), SC_SSCalcYears),0))/(12*Z188),0)</f>
        <v>0</v>
      </c>
      <c r="AC188" s="69">
        <f t="shared" si="76"/>
        <v>1</v>
      </c>
      <c r="AD188" s="85">
        <f t="shared" si="77"/>
        <v>0</v>
      </c>
      <c r="AE188" s="140">
        <f t="shared" ca="1" si="78"/>
        <v>0</v>
      </c>
      <c r="AF188" s="75">
        <f t="shared" ca="1" si="79"/>
        <v>0</v>
      </c>
      <c r="AG188" s="109">
        <f t="shared" ca="1" si="80"/>
        <v>0</v>
      </c>
      <c r="AH188" s="617">
        <f>SUMIFS($AE188:$AE189,SP_PensionPayout,"Lump sum",$E188:$E189,"&lt;&gt;0")</f>
        <v>0</v>
      </c>
      <c r="AI188" s="617">
        <f>SUMIFS($AE188:$AE189,SP_PensionPayout,"Annuity",$E188:$E189,"&lt;&gt;0")</f>
        <v>0</v>
      </c>
      <c r="AJ188" s="617">
        <f>IF(ISBLANK(INDEX(SP_SSPBFA,1)),0,IF($J188&lt;&gt;INDEX(SP_SSPBFA,1),AJ186,SP_AdditionalRI/INDEX(SC_EA_InflationWageIdx,EAIDX)))</f>
        <v>0</v>
      </c>
      <c r="AK188" s="617">
        <f ca="1">SUMPRODUCT(AF188:AF189, --(G188:G189&lt;&gt;0))</f>
        <v>0</v>
      </c>
      <c r="AL188" s="618">
        <f ca="1">SUMPRODUCT(AG188:AG189, --(E188:E189&lt;&gt;0))+AJ188</f>
        <v>0</v>
      </c>
      <c r="AM188" s="186">
        <f t="shared" ca="1" si="81"/>
        <v>0</v>
      </c>
      <c r="AN188" t="str">
        <f t="shared" ca="1" si="82"/>
        <v/>
      </c>
    </row>
    <row r="189" spans="2:40" x14ac:dyDescent="0.25">
      <c r="B189" s="86">
        <f t="shared" si="83"/>
        <v>2045</v>
      </c>
      <c r="C189" s="80" t="s">
        <v>741</v>
      </c>
      <c r="D189" s="147" t="str">
        <f t="shared" si="56"/>
        <v/>
      </c>
      <c r="E189" s="81">
        <f t="shared" si="57"/>
        <v>0</v>
      </c>
      <c r="F189" s="82">
        <f t="shared" si="61"/>
        <v>0</v>
      </c>
      <c r="G189" s="81">
        <f t="shared" si="60"/>
        <v>2</v>
      </c>
      <c r="H189" s="82">
        <f t="shared" si="62"/>
        <v>-1</v>
      </c>
      <c r="I189" s="82">
        <f t="shared" si="58"/>
        <v>0</v>
      </c>
      <c r="J189" s="81">
        <f t="shared" si="63"/>
        <v>0</v>
      </c>
      <c r="K189" s="83">
        <f t="shared" ca="1" si="59"/>
        <v>0</v>
      </c>
      <c r="L189" s="470"/>
      <c r="M189" s="470"/>
      <c r="N189" s="470"/>
      <c r="O189" s="531"/>
      <c r="P189" s="107">
        <f t="shared" ca="1" si="64"/>
        <v>0</v>
      </c>
      <c r="Q189" s="107">
        <f t="shared" ca="1" si="65"/>
        <v>0</v>
      </c>
      <c r="R189" s="107">
        <f t="shared" ca="1" si="66"/>
        <v>0</v>
      </c>
      <c r="S189" s="107">
        <f t="shared" ca="1" si="67"/>
        <v>0</v>
      </c>
      <c r="T189" s="107">
        <f t="shared" ca="1" si="68"/>
        <v>0</v>
      </c>
      <c r="U189" s="107">
        <f t="shared" ca="1" si="69"/>
        <v>0</v>
      </c>
      <c r="V189" s="107">
        <f t="shared" ca="1" si="70"/>
        <v>0</v>
      </c>
      <c r="W189" s="107">
        <f t="shared" ca="1" si="71"/>
        <v>0</v>
      </c>
      <c r="X189" s="107">
        <f t="shared" si="72"/>
        <v>0</v>
      </c>
      <c r="Y189" s="107">
        <f t="shared" si="73"/>
        <v>0</v>
      </c>
      <c r="Z189" s="87">
        <f t="shared" si="74"/>
        <v>1</v>
      </c>
      <c r="AA189" s="88">
        <f t="shared" si="75"/>
        <v>0</v>
      </c>
      <c r="AB189" s="107">
        <f t="array" ref="AB189">ROUNDDOWN(AVERAGE(IFERROR(LARGE((X$6:X188+Y$6:Y188)*Z$6:Z188*(G$6:G188=G189), SC_SSCalcYears),0))/(12*Z189),0)</f>
        <v>0</v>
      </c>
      <c r="AC189" s="211">
        <f t="shared" si="76"/>
        <v>1</v>
      </c>
      <c r="AD189" s="89">
        <f t="shared" si="77"/>
        <v>0</v>
      </c>
      <c r="AE189" s="141">
        <f t="shared" ca="1" si="78"/>
        <v>0</v>
      </c>
      <c r="AF189" s="106">
        <f t="shared" ca="1" si="79"/>
        <v>0</v>
      </c>
      <c r="AG189" s="110">
        <f t="shared" ca="1" si="80"/>
        <v>0</v>
      </c>
      <c r="AH189" s="617"/>
      <c r="AI189" s="617"/>
      <c r="AJ189" s="617"/>
      <c r="AK189" s="617"/>
      <c r="AL189" s="618"/>
      <c r="AM189" s="186">
        <f t="shared" ca="1" si="81"/>
        <v>0</v>
      </c>
      <c r="AN189" t="str">
        <f t="shared" ca="1" si="82"/>
        <v/>
      </c>
    </row>
    <row r="190" spans="2:40" x14ac:dyDescent="0.25">
      <c r="B190" s="65">
        <f t="shared" si="83"/>
        <v>2046</v>
      </c>
      <c r="C190" s="76" t="s">
        <v>741</v>
      </c>
      <c r="D190" s="146" t="str">
        <f t="shared" si="56"/>
        <v/>
      </c>
      <c r="E190" s="77">
        <f t="shared" si="57"/>
        <v>0</v>
      </c>
      <c r="F190" s="77">
        <f t="shared" si="61"/>
        <v>0</v>
      </c>
      <c r="G190" s="77">
        <f t="shared" si="60"/>
        <v>1</v>
      </c>
      <c r="H190" s="76">
        <f t="shared" si="62"/>
        <v>1</v>
      </c>
      <c r="I190" s="76">
        <f t="shared" si="58"/>
        <v>0</v>
      </c>
      <c r="J190" s="77">
        <f t="shared" si="63"/>
        <v>0</v>
      </c>
      <c r="K190" s="78">
        <f t="shared" ca="1" si="59"/>
        <v>0</v>
      </c>
      <c r="L190" s="470"/>
      <c r="M190" s="470"/>
      <c r="N190" s="470"/>
      <c r="O190" s="531"/>
      <c r="P190" s="70">
        <f t="shared" ca="1" si="64"/>
        <v>0</v>
      </c>
      <c r="Q190" s="70">
        <f t="shared" ca="1" si="65"/>
        <v>0</v>
      </c>
      <c r="R190" s="70">
        <f t="shared" ca="1" si="66"/>
        <v>0</v>
      </c>
      <c r="S190" s="70">
        <f t="shared" ca="1" si="67"/>
        <v>0</v>
      </c>
      <c r="T190" s="70">
        <f t="shared" ca="1" si="68"/>
        <v>0</v>
      </c>
      <c r="U190" s="70">
        <f t="shared" ca="1" si="69"/>
        <v>0</v>
      </c>
      <c r="V190" s="70">
        <f t="shared" ca="1" si="70"/>
        <v>0</v>
      </c>
      <c r="W190" s="70">
        <f t="shared" ca="1" si="71"/>
        <v>0</v>
      </c>
      <c r="X190" s="70">
        <f t="shared" si="72"/>
        <v>0</v>
      </c>
      <c r="Y190" s="70">
        <f t="shared" si="73"/>
        <v>0</v>
      </c>
      <c r="Z190" s="68">
        <f t="shared" si="74"/>
        <v>1</v>
      </c>
      <c r="AA190" s="84">
        <f t="shared" si="75"/>
        <v>0</v>
      </c>
      <c r="AB190" s="488">
        <f t="array" ref="AB190">ROUNDDOWN(AVERAGE(IFERROR(LARGE((X$6:X189+Y$6:Y189)*Z$6:Z189*(G$6:G189=G190), SC_SSCalcYears),0))/(12*Z190),0)</f>
        <v>0</v>
      </c>
      <c r="AC190" s="69">
        <f t="shared" si="76"/>
        <v>1</v>
      </c>
      <c r="AD190" s="85">
        <f t="shared" si="77"/>
        <v>0</v>
      </c>
      <c r="AE190" s="140">
        <f t="shared" ca="1" si="78"/>
        <v>0</v>
      </c>
      <c r="AF190" s="75">
        <f t="shared" ca="1" si="79"/>
        <v>0</v>
      </c>
      <c r="AG190" s="109">
        <f t="shared" ca="1" si="80"/>
        <v>0</v>
      </c>
      <c r="AH190" s="617">
        <f>SUMIFS($AE190:$AE191,SP_PensionPayout,"Lump sum",$E190:$E191,"&lt;&gt;0")</f>
        <v>0</v>
      </c>
      <c r="AI190" s="617">
        <f>SUMIFS($AE190:$AE191,SP_PensionPayout,"Annuity",$E190:$E191,"&lt;&gt;0")</f>
        <v>0</v>
      </c>
      <c r="AJ190" s="617">
        <f>IF(ISBLANK(INDEX(SP_SSPBFA,1)),0,IF($J190&lt;&gt;INDEX(SP_SSPBFA,1),AJ188,SP_AdditionalRI/INDEX(SC_EA_InflationWageIdx,EAIDX)))</f>
        <v>0</v>
      </c>
      <c r="AK190" s="617">
        <f ca="1">SUMPRODUCT(AF190:AF191, --(G190:G191&lt;&gt;0))</f>
        <v>0</v>
      </c>
      <c r="AL190" s="618">
        <f ca="1">SUMPRODUCT(AG190:AG191, --(E190:E191&lt;&gt;0))+AJ190</f>
        <v>0</v>
      </c>
      <c r="AM190" s="186">
        <f t="shared" ca="1" si="81"/>
        <v>0</v>
      </c>
      <c r="AN190" t="str">
        <f t="shared" ca="1" si="82"/>
        <v/>
      </c>
    </row>
    <row r="191" spans="2:40" x14ac:dyDescent="0.25">
      <c r="B191" s="86">
        <f t="shared" si="83"/>
        <v>2046</v>
      </c>
      <c r="C191" s="80" t="s">
        <v>741</v>
      </c>
      <c r="D191" s="147" t="str">
        <f t="shared" si="56"/>
        <v/>
      </c>
      <c r="E191" s="81">
        <f t="shared" si="57"/>
        <v>0</v>
      </c>
      <c r="F191" s="82">
        <f t="shared" si="61"/>
        <v>0</v>
      </c>
      <c r="G191" s="81">
        <f t="shared" si="60"/>
        <v>2</v>
      </c>
      <c r="H191" s="82">
        <f t="shared" si="62"/>
        <v>-1</v>
      </c>
      <c r="I191" s="82">
        <f t="shared" si="58"/>
        <v>0</v>
      </c>
      <c r="J191" s="81">
        <f t="shared" si="63"/>
        <v>0</v>
      </c>
      <c r="K191" s="83">
        <f t="shared" ca="1" si="59"/>
        <v>0</v>
      </c>
      <c r="L191" s="470"/>
      <c r="M191" s="470"/>
      <c r="N191" s="470"/>
      <c r="O191" s="531"/>
      <c r="P191" s="107">
        <f t="shared" ca="1" si="64"/>
        <v>0</v>
      </c>
      <c r="Q191" s="107">
        <f t="shared" ca="1" si="65"/>
        <v>0</v>
      </c>
      <c r="R191" s="107">
        <f t="shared" ca="1" si="66"/>
        <v>0</v>
      </c>
      <c r="S191" s="107">
        <f t="shared" ca="1" si="67"/>
        <v>0</v>
      </c>
      <c r="T191" s="107">
        <f t="shared" ca="1" si="68"/>
        <v>0</v>
      </c>
      <c r="U191" s="107">
        <f t="shared" ca="1" si="69"/>
        <v>0</v>
      </c>
      <c r="V191" s="107">
        <f t="shared" ca="1" si="70"/>
        <v>0</v>
      </c>
      <c r="W191" s="107">
        <f t="shared" ca="1" si="71"/>
        <v>0</v>
      </c>
      <c r="X191" s="107">
        <f t="shared" si="72"/>
        <v>0</v>
      </c>
      <c r="Y191" s="107">
        <f t="shared" si="73"/>
        <v>0</v>
      </c>
      <c r="Z191" s="87">
        <f t="shared" si="74"/>
        <v>1</v>
      </c>
      <c r="AA191" s="88">
        <f t="shared" si="75"/>
        <v>0</v>
      </c>
      <c r="AB191" s="107">
        <f t="array" ref="AB191">ROUNDDOWN(AVERAGE(IFERROR(LARGE((X$6:X190+Y$6:Y190)*Z$6:Z190*(G$6:G190=G191), SC_SSCalcYears),0))/(12*Z191),0)</f>
        <v>0</v>
      </c>
      <c r="AC191" s="211">
        <f t="shared" si="76"/>
        <v>1</v>
      </c>
      <c r="AD191" s="89">
        <f t="shared" si="77"/>
        <v>0</v>
      </c>
      <c r="AE191" s="141">
        <f t="shared" ca="1" si="78"/>
        <v>0</v>
      </c>
      <c r="AF191" s="106">
        <f t="shared" ca="1" si="79"/>
        <v>0</v>
      </c>
      <c r="AG191" s="110">
        <f t="shared" ca="1" si="80"/>
        <v>0</v>
      </c>
      <c r="AH191" s="617"/>
      <c r="AI191" s="617"/>
      <c r="AJ191" s="617"/>
      <c r="AK191" s="617"/>
      <c r="AL191" s="618"/>
      <c r="AM191" s="186">
        <f t="shared" ca="1" si="81"/>
        <v>0</v>
      </c>
      <c r="AN191" t="str">
        <f t="shared" ca="1" si="82"/>
        <v/>
      </c>
    </row>
    <row r="192" spans="2:40" x14ac:dyDescent="0.25">
      <c r="B192" s="65">
        <f t="shared" si="83"/>
        <v>2047</v>
      </c>
      <c r="C192" s="76" t="s">
        <v>741</v>
      </c>
      <c r="D192" s="146" t="str">
        <f t="shared" si="56"/>
        <v/>
      </c>
      <c r="E192" s="77">
        <f t="shared" si="57"/>
        <v>0</v>
      </c>
      <c r="F192" s="77">
        <f t="shared" si="61"/>
        <v>0</v>
      </c>
      <c r="G192" s="77">
        <f t="shared" si="60"/>
        <v>1</v>
      </c>
      <c r="H192" s="76">
        <f t="shared" si="62"/>
        <v>1</v>
      </c>
      <c r="I192" s="76">
        <f t="shared" si="58"/>
        <v>0</v>
      </c>
      <c r="J192" s="77">
        <f t="shared" si="63"/>
        <v>0</v>
      </c>
      <c r="K192" s="78">
        <f t="shared" ca="1" si="59"/>
        <v>0</v>
      </c>
      <c r="L192" s="470"/>
      <c r="M192" s="470"/>
      <c r="N192" s="470"/>
      <c r="O192" s="531"/>
      <c r="P192" s="70">
        <f t="shared" ca="1" si="64"/>
        <v>0</v>
      </c>
      <c r="Q192" s="70">
        <f t="shared" ca="1" si="65"/>
        <v>0</v>
      </c>
      <c r="R192" s="70">
        <f t="shared" ca="1" si="66"/>
        <v>0</v>
      </c>
      <c r="S192" s="70">
        <f t="shared" ca="1" si="67"/>
        <v>0</v>
      </c>
      <c r="T192" s="70">
        <f t="shared" ca="1" si="68"/>
        <v>0</v>
      </c>
      <c r="U192" s="70">
        <f t="shared" ca="1" si="69"/>
        <v>0</v>
      </c>
      <c r="V192" s="70">
        <f t="shared" ca="1" si="70"/>
        <v>0</v>
      </c>
      <c r="W192" s="70">
        <f t="shared" ca="1" si="71"/>
        <v>0</v>
      </c>
      <c r="X192" s="70">
        <f t="shared" si="72"/>
        <v>0</v>
      </c>
      <c r="Y192" s="70">
        <f t="shared" si="73"/>
        <v>0</v>
      </c>
      <c r="Z192" s="68">
        <f t="shared" si="74"/>
        <v>1</v>
      </c>
      <c r="AA192" s="84">
        <f t="shared" si="75"/>
        <v>0</v>
      </c>
      <c r="AB192" s="488">
        <f t="array" ref="AB192">ROUNDDOWN(AVERAGE(IFERROR(LARGE((X$6:X191+Y$6:Y191)*Z$6:Z191*(G$6:G191=G192), SC_SSCalcYears),0))/(12*Z192),0)</f>
        <v>0</v>
      </c>
      <c r="AC192" s="69">
        <f t="shared" si="76"/>
        <v>1</v>
      </c>
      <c r="AD192" s="85">
        <f t="shared" si="77"/>
        <v>0</v>
      </c>
      <c r="AE192" s="140">
        <f t="shared" ca="1" si="78"/>
        <v>0</v>
      </c>
      <c r="AF192" s="75">
        <f t="shared" ca="1" si="79"/>
        <v>0</v>
      </c>
      <c r="AG192" s="109">
        <f t="shared" ca="1" si="80"/>
        <v>0</v>
      </c>
      <c r="AH192" s="617">
        <f>SUMIFS($AE192:$AE193,SP_PensionPayout,"Lump sum",$E192:$E193,"&lt;&gt;0")</f>
        <v>0</v>
      </c>
      <c r="AI192" s="617">
        <f>SUMIFS($AE192:$AE193,SP_PensionPayout,"Annuity",$E192:$E193,"&lt;&gt;0")</f>
        <v>0</v>
      </c>
      <c r="AJ192" s="617">
        <f>IF(ISBLANK(INDEX(SP_SSPBFA,1)),0,IF($J192&lt;&gt;INDEX(SP_SSPBFA,1),AJ190,SP_AdditionalRI/INDEX(SC_EA_InflationWageIdx,EAIDX)))</f>
        <v>0</v>
      </c>
      <c r="AK192" s="617">
        <f ca="1">SUMPRODUCT(AF192:AF193, --(G192:G193&lt;&gt;0))</f>
        <v>0</v>
      </c>
      <c r="AL192" s="618">
        <f ca="1">SUMPRODUCT(AG192:AG193, --(E192:E193&lt;&gt;0))+AJ192</f>
        <v>0</v>
      </c>
      <c r="AM192" s="186">
        <f t="shared" ca="1" si="81"/>
        <v>0</v>
      </c>
      <c r="AN192" t="str">
        <f t="shared" ca="1" si="82"/>
        <v/>
      </c>
    </row>
    <row r="193" spans="2:40" x14ac:dyDescent="0.25">
      <c r="B193" s="86">
        <f t="shared" si="83"/>
        <v>2047</v>
      </c>
      <c r="C193" s="80" t="s">
        <v>741</v>
      </c>
      <c r="D193" s="147" t="str">
        <f t="shared" si="56"/>
        <v/>
      </c>
      <c r="E193" s="81">
        <f t="shared" si="57"/>
        <v>0</v>
      </c>
      <c r="F193" s="82">
        <f t="shared" si="61"/>
        <v>0</v>
      </c>
      <c r="G193" s="81">
        <f t="shared" si="60"/>
        <v>2</v>
      </c>
      <c r="H193" s="82">
        <f t="shared" si="62"/>
        <v>-1</v>
      </c>
      <c r="I193" s="82">
        <f t="shared" si="58"/>
        <v>0</v>
      </c>
      <c r="J193" s="81">
        <f t="shared" si="63"/>
        <v>0</v>
      </c>
      <c r="K193" s="83">
        <f t="shared" ca="1" si="59"/>
        <v>0</v>
      </c>
      <c r="L193" s="470"/>
      <c r="M193" s="470"/>
      <c r="N193" s="470"/>
      <c r="O193" s="531"/>
      <c r="P193" s="107">
        <f t="shared" ca="1" si="64"/>
        <v>0</v>
      </c>
      <c r="Q193" s="107">
        <f t="shared" ca="1" si="65"/>
        <v>0</v>
      </c>
      <c r="R193" s="107">
        <f t="shared" ca="1" si="66"/>
        <v>0</v>
      </c>
      <c r="S193" s="107">
        <f t="shared" ca="1" si="67"/>
        <v>0</v>
      </c>
      <c r="T193" s="107">
        <f t="shared" ca="1" si="68"/>
        <v>0</v>
      </c>
      <c r="U193" s="107">
        <f t="shared" ca="1" si="69"/>
        <v>0</v>
      </c>
      <c r="V193" s="107">
        <f t="shared" ca="1" si="70"/>
        <v>0</v>
      </c>
      <c r="W193" s="107">
        <f t="shared" ca="1" si="71"/>
        <v>0</v>
      </c>
      <c r="X193" s="107">
        <f t="shared" si="72"/>
        <v>0</v>
      </c>
      <c r="Y193" s="107">
        <f t="shared" si="73"/>
        <v>0</v>
      </c>
      <c r="Z193" s="87">
        <f t="shared" si="74"/>
        <v>1</v>
      </c>
      <c r="AA193" s="88">
        <f t="shared" si="75"/>
        <v>0</v>
      </c>
      <c r="AB193" s="107">
        <f t="array" ref="AB193">ROUNDDOWN(AVERAGE(IFERROR(LARGE((X$6:X192+Y$6:Y192)*Z$6:Z192*(G$6:G192=G193), SC_SSCalcYears),0))/(12*Z193),0)</f>
        <v>0</v>
      </c>
      <c r="AC193" s="211">
        <f t="shared" si="76"/>
        <v>1</v>
      </c>
      <c r="AD193" s="89">
        <f t="shared" si="77"/>
        <v>0</v>
      </c>
      <c r="AE193" s="141">
        <f t="shared" ca="1" si="78"/>
        <v>0</v>
      </c>
      <c r="AF193" s="106">
        <f t="shared" ca="1" si="79"/>
        <v>0</v>
      </c>
      <c r="AG193" s="110">
        <f t="shared" ca="1" si="80"/>
        <v>0</v>
      </c>
      <c r="AH193" s="617"/>
      <c r="AI193" s="617"/>
      <c r="AJ193" s="617"/>
      <c r="AK193" s="617"/>
      <c r="AL193" s="618"/>
      <c r="AM193" s="186">
        <f t="shared" ca="1" si="81"/>
        <v>0</v>
      </c>
      <c r="AN193" t="str">
        <f t="shared" ca="1" si="82"/>
        <v/>
      </c>
    </row>
    <row r="194" spans="2:40" x14ac:dyDescent="0.25">
      <c r="B194" s="65">
        <f t="shared" si="83"/>
        <v>2048</v>
      </c>
      <c r="C194" s="76" t="s">
        <v>741</v>
      </c>
      <c r="D194" s="146" t="str">
        <f t="shared" si="56"/>
        <v/>
      </c>
      <c r="E194" s="77">
        <f t="shared" si="57"/>
        <v>0</v>
      </c>
      <c r="F194" s="77">
        <f t="shared" si="61"/>
        <v>0</v>
      </c>
      <c r="G194" s="77">
        <f t="shared" si="60"/>
        <v>1</v>
      </c>
      <c r="H194" s="76">
        <f t="shared" si="62"/>
        <v>1</v>
      </c>
      <c r="I194" s="76">
        <f t="shared" si="58"/>
        <v>0</v>
      </c>
      <c r="J194" s="77">
        <f t="shared" si="63"/>
        <v>0</v>
      </c>
      <c r="K194" s="78">
        <f t="shared" ca="1" si="59"/>
        <v>0</v>
      </c>
      <c r="L194" s="470"/>
      <c r="M194" s="470"/>
      <c r="N194" s="470"/>
      <c r="O194" s="531"/>
      <c r="P194" s="70">
        <f t="shared" ca="1" si="64"/>
        <v>0</v>
      </c>
      <c r="Q194" s="70">
        <f t="shared" ca="1" si="65"/>
        <v>0</v>
      </c>
      <c r="R194" s="70">
        <f t="shared" ca="1" si="66"/>
        <v>0</v>
      </c>
      <c r="S194" s="70">
        <f t="shared" ca="1" si="67"/>
        <v>0</v>
      </c>
      <c r="T194" s="70">
        <f t="shared" ca="1" si="68"/>
        <v>0</v>
      </c>
      <c r="U194" s="70">
        <f t="shared" ca="1" si="69"/>
        <v>0</v>
      </c>
      <c r="V194" s="70">
        <f t="shared" ca="1" si="70"/>
        <v>0</v>
      </c>
      <c r="W194" s="70">
        <f t="shared" ca="1" si="71"/>
        <v>0</v>
      </c>
      <c r="X194" s="70">
        <f t="shared" si="72"/>
        <v>0</v>
      </c>
      <c r="Y194" s="70">
        <f t="shared" si="73"/>
        <v>0</v>
      </c>
      <c r="Z194" s="68">
        <f t="shared" si="74"/>
        <v>1</v>
      </c>
      <c r="AA194" s="84">
        <f t="shared" si="75"/>
        <v>0</v>
      </c>
      <c r="AB194" s="488">
        <f t="array" ref="AB194">ROUNDDOWN(AVERAGE(IFERROR(LARGE((X$6:X193+Y$6:Y193)*Z$6:Z193*(G$6:G193=G194), SC_SSCalcYears),0))/(12*Z194),0)</f>
        <v>0</v>
      </c>
      <c r="AC194" s="69">
        <f t="shared" si="76"/>
        <v>1</v>
      </c>
      <c r="AD194" s="85">
        <f t="shared" si="77"/>
        <v>0</v>
      </c>
      <c r="AE194" s="140">
        <f t="shared" ca="1" si="78"/>
        <v>0</v>
      </c>
      <c r="AF194" s="75">
        <f t="shared" ca="1" si="79"/>
        <v>0</v>
      </c>
      <c r="AG194" s="109">
        <f t="shared" ca="1" si="80"/>
        <v>0</v>
      </c>
      <c r="AH194" s="617">
        <f>SUMIFS($AE194:$AE195,SP_PensionPayout,"Lump sum",$E194:$E195,"&lt;&gt;0")</f>
        <v>0</v>
      </c>
      <c r="AI194" s="617">
        <f>SUMIFS($AE194:$AE195,SP_PensionPayout,"Annuity",$E194:$E195,"&lt;&gt;0")</f>
        <v>0</v>
      </c>
      <c r="AJ194" s="617">
        <f>IF(ISBLANK(INDEX(SP_SSPBFA,1)),0,IF($J194&lt;&gt;INDEX(SP_SSPBFA,1),AJ192,SP_AdditionalRI/INDEX(SC_EA_InflationWageIdx,EAIDX)))</f>
        <v>0</v>
      </c>
      <c r="AK194" s="617">
        <f ca="1">SUMPRODUCT(AF194:AF195, --(G194:G195&lt;&gt;0))</f>
        <v>0</v>
      </c>
      <c r="AL194" s="618">
        <f ca="1">SUMPRODUCT(AG194:AG195, --(E194:E195&lt;&gt;0))+AJ194</f>
        <v>0</v>
      </c>
      <c r="AM194" s="186">
        <f t="shared" ca="1" si="81"/>
        <v>0</v>
      </c>
      <c r="AN194" t="str">
        <f t="shared" ca="1" si="82"/>
        <v/>
      </c>
    </row>
    <row r="195" spans="2:40" x14ac:dyDescent="0.25">
      <c r="B195" s="86">
        <f t="shared" si="83"/>
        <v>2048</v>
      </c>
      <c r="C195" s="80" t="s">
        <v>741</v>
      </c>
      <c r="D195" s="147" t="str">
        <f t="shared" si="56"/>
        <v/>
      </c>
      <c r="E195" s="81">
        <f t="shared" si="57"/>
        <v>0</v>
      </c>
      <c r="F195" s="82">
        <f t="shared" si="61"/>
        <v>0</v>
      </c>
      <c r="G195" s="81">
        <f t="shared" si="60"/>
        <v>2</v>
      </c>
      <c r="H195" s="82">
        <f t="shared" si="62"/>
        <v>-1</v>
      </c>
      <c r="I195" s="82">
        <f t="shared" si="58"/>
        <v>0</v>
      </c>
      <c r="J195" s="81">
        <f t="shared" si="63"/>
        <v>0</v>
      </c>
      <c r="K195" s="83">
        <f t="shared" ca="1" si="59"/>
        <v>0</v>
      </c>
      <c r="L195" s="470"/>
      <c r="M195" s="470"/>
      <c r="N195" s="470"/>
      <c r="O195" s="531"/>
      <c r="P195" s="107">
        <f t="shared" ca="1" si="64"/>
        <v>0</v>
      </c>
      <c r="Q195" s="107">
        <f t="shared" ca="1" si="65"/>
        <v>0</v>
      </c>
      <c r="R195" s="107">
        <f t="shared" ca="1" si="66"/>
        <v>0</v>
      </c>
      <c r="S195" s="107">
        <f t="shared" ca="1" si="67"/>
        <v>0</v>
      </c>
      <c r="T195" s="107">
        <f t="shared" ca="1" si="68"/>
        <v>0</v>
      </c>
      <c r="U195" s="107">
        <f t="shared" ca="1" si="69"/>
        <v>0</v>
      </c>
      <c r="V195" s="107">
        <f t="shared" ca="1" si="70"/>
        <v>0</v>
      </c>
      <c r="W195" s="107">
        <f t="shared" ca="1" si="71"/>
        <v>0</v>
      </c>
      <c r="X195" s="107">
        <f t="shared" si="72"/>
        <v>0</v>
      </c>
      <c r="Y195" s="107">
        <f t="shared" si="73"/>
        <v>0</v>
      </c>
      <c r="Z195" s="87">
        <f t="shared" si="74"/>
        <v>1</v>
      </c>
      <c r="AA195" s="88">
        <f t="shared" si="75"/>
        <v>0</v>
      </c>
      <c r="AB195" s="107">
        <f t="array" ref="AB195">ROUNDDOWN(AVERAGE(IFERROR(LARGE((X$6:X194+Y$6:Y194)*Z$6:Z194*(G$6:G194=G195), SC_SSCalcYears),0))/(12*Z195),0)</f>
        <v>0</v>
      </c>
      <c r="AC195" s="211">
        <f t="shared" si="76"/>
        <v>1</v>
      </c>
      <c r="AD195" s="89">
        <f t="shared" si="77"/>
        <v>0</v>
      </c>
      <c r="AE195" s="141">
        <f t="shared" ca="1" si="78"/>
        <v>0</v>
      </c>
      <c r="AF195" s="106">
        <f t="shared" ca="1" si="79"/>
        <v>0</v>
      </c>
      <c r="AG195" s="110">
        <f t="shared" ca="1" si="80"/>
        <v>0</v>
      </c>
      <c r="AH195" s="617"/>
      <c r="AI195" s="617"/>
      <c r="AJ195" s="617"/>
      <c r="AK195" s="617"/>
      <c r="AL195" s="618"/>
      <c r="AM195" s="186">
        <f t="shared" ca="1" si="81"/>
        <v>0</v>
      </c>
      <c r="AN195" t="str">
        <f t="shared" ca="1" si="82"/>
        <v/>
      </c>
    </row>
    <row r="196" spans="2:40" x14ac:dyDescent="0.25">
      <c r="B196" s="65">
        <f t="shared" si="83"/>
        <v>2049</v>
      </c>
      <c r="C196" s="76" t="s">
        <v>741</v>
      </c>
      <c r="D196" s="146" t="str">
        <f t="shared" ref="D196:D259" si="84">INDEX(SP_Initials,G196)</f>
        <v/>
      </c>
      <c r="E196" s="77">
        <f t="shared" ref="E196:E257" si="85">INDEX(SC_TaxIndex,$G196)</f>
        <v>0</v>
      </c>
      <c r="F196" s="77">
        <f t="shared" si="61"/>
        <v>0</v>
      </c>
      <c r="G196" s="77">
        <f t="shared" si="60"/>
        <v>1</v>
      </c>
      <c r="H196" s="76">
        <f t="shared" si="62"/>
        <v>1</v>
      </c>
      <c r="I196" s="76">
        <f t="shared" ref="I196:I259" si="86">IF(INDEX(SC_ShowRetireatee,$G196),IF($B196&lt;YEAR(INDEX(SP_BirthDate,$G196)),0,$B196-YEAR(INDEX(SP_BirthDate,$G196))),0)</f>
        <v>0</v>
      </c>
      <c r="J196" s="77">
        <f t="shared" si="63"/>
        <v>0</v>
      </c>
      <c r="K196" s="78">
        <f t="shared" ref="K196:K259" ca="1" si="87">IF($B196&lt;SC_TargetRY,1,IF($B196=SC_TargetRY,-(1-YEARFRAC(SP_TargetRD,DATE($B196+1,1,1))),0))</f>
        <v>0</v>
      </c>
      <c r="L196" s="470"/>
      <c r="M196" s="470"/>
      <c r="N196" s="470"/>
      <c r="O196" s="531"/>
      <c r="P196" s="70">
        <f t="shared" ca="1" si="64"/>
        <v>0</v>
      </c>
      <c r="Q196" s="70">
        <f t="shared" ca="1" si="65"/>
        <v>0</v>
      </c>
      <c r="R196" s="70">
        <f t="shared" ca="1" si="66"/>
        <v>0</v>
      </c>
      <c r="S196" s="70">
        <f t="shared" ca="1" si="67"/>
        <v>0</v>
      </c>
      <c r="T196" s="70">
        <f t="shared" ca="1" si="68"/>
        <v>0</v>
      </c>
      <c r="U196" s="70">
        <f t="shared" ca="1" si="69"/>
        <v>0</v>
      </c>
      <c r="V196" s="70">
        <f t="shared" ca="1" si="70"/>
        <v>0</v>
      </c>
      <c r="W196" s="70">
        <f t="shared" ca="1" si="71"/>
        <v>0</v>
      </c>
      <c r="X196" s="70">
        <f t="shared" si="72"/>
        <v>0</v>
      </c>
      <c r="Y196" s="70">
        <f t="shared" si="73"/>
        <v>0</v>
      </c>
      <c r="Z196" s="68">
        <f t="shared" si="74"/>
        <v>1</v>
      </c>
      <c r="AA196" s="84">
        <f t="shared" si="75"/>
        <v>0</v>
      </c>
      <c r="AB196" s="488">
        <f t="array" ref="AB196">ROUNDDOWN(AVERAGE(IFERROR(LARGE((X$6:X195+Y$6:Y195)*Z$6:Z195*(G$6:G195=G196), SC_SSCalcYears),0))/(12*Z196),0)</f>
        <v>0</v>
      </c>
      <c r="AC196" s="69">
        <f t="shared" si="76"/>
        <v>1</v>
      </c>
      <c r="AD196" s="85">
        <f t="shared" si="77"/>
        <v>0</v>
      </c>
      <c r="AE196" s="140">
        <f t="shared" ca="1" si="78"/>
        <v>0</v>
      </c>
      <c r="AF196" s="75">
        <f t="shared" ca="1" si="79"/>
        <v>0</v>
      </c>
      <c r="AG196" s="109">
        <f t="shared" ca="1" si="80"/>
        <v>0</v>
      </c>
      <c r="AH196" s="617">
        <f>SUMIFS($AE196:$AE197,SP_PensionPayout,"Lump sum",$E196:$E197,"&lt;&gt;0")</f>
        <v>0</v>
      </c>
      <c r="AI196" s="617">
        <f>SUMIFS($AE196:$AE197,SP_PensionPayout,"Annuity",$E196:$E197,"&lt;&gt;0")</f>
        <v>0</v>
      </c>
      <c r="AJ196" s="617">
        <f>IF(ISBLANK(INDEX(SP_SSPBFA,1)),0,IF($J196&lt;&gt;INDEX(SP_SSPBFA,1),AJ194,SP_AdditionalRI/INDEX(SC_EA_InflationWageIdx,EAIDX)))</f>
        <v>0</v>
      </c>
      <c r="AK196" s="617">
        <f ca="1">SUMPRODUCT(AF196:AF197, --(G196:G197&lt;&gt;0))</f>
        <v>0</v>
      </c>
      <c r="AL196" s="618">
        <f ca="1">SUMPRODUCT(AG196:AG197, --(E196:E197&lt;&gt;0))+AJ196</f>
        <v>0</v>
      </c>
      <c r="AM196" s="186">
        <f t="shared" ca="1" si="81"/>
        <v>0</v>
      </c>
      <c r="AN196" t="str">
        <f t="shared" ca="1" si="82"/>
        <v/>
      </c>
    </row>
    <row r="197" spans="2:40" x14ac:dyDescent="0.25">
      <c r="B197" s="86">
        <f t="shared" si="83"/>
        <v>2049</v>
      </c>
      <c r="C197" s="80" t="s">
        <v>741</v>
      </c>
      <c r="D197" s="147" t="str">
        <f t="shared" si="84"/>
        <v/>
      </c>
      <c r="E197" s="81">
        <f t="shared" si="85"/>
        <v>0</v>
      </c>
      <c r="F197" s="82">
        <f t="shared" si="61"/>
        <v>0</v>
      </c>
      <c r="G197" s="81">
        <f t="shared" ref="G197:G260" si="88">MOD(ROW(),2)+1</f>
        <v>2</v>
      </c>
      <c r="H197" s="82">
        <f t="shared" si="62"/>
        <v>-1</v>
      </c>
      <c r="I197" s="82">
        <f t="shared" si="86"/>
        <v>0</v>
      </c>
      <c r="J197" s="81">
        <f t="shared" si="63"/>
        <v>0</v>
      </c>
      <c r="K197" s="83">
        <f t="shared" ca="1" si="87"/>
        <v>0</v>
      </c>
      <c r="L197" s="470"/>
      <c r="M197" s="470"/>
      <c r="N197" s="470"/>
      <c r="O197" s="531"/>
      <c r="P197" s="107">
        <f t="shared" ca="1" si="64"/>
        <v>0</v>
      </c>
      <c r="Q197" s="107">
        <f t="shared" ca="1" si="65"/>
        <v>0</v>
      </c>
      <c r="R197" s="107">
        <f t="shared" ca="1" si="66"/>
        <v>0</v>
      </c>
      <c r="S197" s="107">
        <f t="shared" ca="1" si="67"/>
        <v>0</v>
      </c>
      <c r="T197" s="107">
        <f t="shared" ca="1" si="68"/>
        <v>0</v>
      </c>
      <c r="U197" s="107">
        <f t="shared" ca="1" si="69"/>
        <v>0</v>
      </c>
      <c r="V197" s="107">
        <f t="shared" ca="1" si="70"/>
        <v>0</v>
      </c>
      <c r="W197" s="107">
        <f t="shared" ca="1" si="71"/>
        <v>0</v>
      </c>
      <c r="X197" s="107">
        <f t="shared" si="72"/>
        <v>0</v>
      </c>
      <c r="Y197" s="107">
        <f t="shared" si="73"/>
        <v>0</v>
      </c>
      <c r="Z197" s="87">
        <f t="shared" si="74"/>
        <v>1</v>
      </c>
      <c r="AA197" s="88">
        <f t="shared" si="75"/>
        <v>0</v>
      </c>
      <c r="AB197" s="107">
        <f t="array" ref="AB197">ROUNDDOWN(AVERAGE(IFERROR(LARGE((X$6:X196+Y$6:Y196)*Z$6:Z196*(G$6:G196=G197), SC_SSCalcYears),0))/(12*Z197),0)</f>
        <v>0</v>
      </c>
      <c r="AC197" s="211">
        <f t="shared" si="76"/>
        <v>1</v>
      </c>
      <c r="AD197" s="89">
        <f t="shared" si="77"/>
        <v>0</v>
      </c>
      <c r="AE197" s="141">
        <f t="shared" ca="1" si="78"/>
        <v>0</v>
      </c>
      <c r="AF197" s="106">
        <f t="shared" ca="1" si="79"/>
        <v>0</v>
      </c>
      <c r="AG197" s="110">
        <f t="shared" ca="1" si="80"/>
        <v>0</v>
      </c>
      <c r="AH197" s="617"/>
      <c r="AI197" s="617"/>
      <c r="AJ197" s="617"/>
      <c r="AK197" s="617"/>
      <c r="AL197" s="618"/>
      <c r="AM197" s="186">
        <f t="shared" ca="1" si="81"/>
        <v>0</v>
      </c>
      <c r="AN197" t="str">
        <f t="shared" ca="1" si="82"/>
        <v/>
      </c>
    </row>
    <row r="198" spans="2:40" x14ac:dyDescent="0.25">
      <c r="B198" s="65">
        <f t="shared" si="83"/>
        <v>2050</v>
      </c>
      <c r="C198" s="76" t="s">
        <v>741</v>
      </c>
      <c r="D198" s="146" t="str">
        <f t="shared" si="84"/>
        <v/>
      </c>
      <c r="E198" s="77">
        <f t="shared" si="85"/>
        <v>0</v>
      </c>
      <c r="F198" s="77">
        <f t="shared" ref="F198:F261" si="89">MAX($J198+1-INDEX(SP_StartWorkAge,$G198),0)</f>
        <v>0</v>
      </c>
      <c r="G198" s="77">
        <f t="shared" si="88"/>
        <v>1</v>
      </c>
      <c r="H198" s="76">
        <f t="shared" ref="H198:H259" si="90">MOD($G198,2)-($G198-1)</f>
        <v>1</v>
      </c>
      <c r="I198" s="76">
        <f t="shared" si="86"/>
        <v>0</v>
      </c>
      <c r="J198" s="77">
        <f t="shared" ref="J198:J261" si="91">IF(INDEX(SC_ShowRetireatee,$G198),IF($B198&gt;(YEAR(INDEX(SP_BirthDate,$G198))+INDEX(SP_LifeExp,$G198)),0,$I198),0)</f>
        <v>0</v>
      </c>
      <c r="K198" s="78">
        <f t="shared" ca="1" si="87"/>
        <v>0</v>
      </c>
      <c r="L198" s="470"/>
      <c r="M198" s="470"/>
      <c r="N198" s="470"/>
      <c r="O198" s="531"/>
      <c r="P198" s="70">
        <f t="shared" ref="P198:P261" ca="1" si="92">IF(IF(COLUMN()=COLUMN(L198),TRUE,ISBLANK(L198)), IF(OR($F198=0,$K198=0),0,IF($B198=SP_CurrentYear, 0, IF($B198&gt;SP_CurrentYear, $P196*(1+INDEX(SP_EA_InflationWageRate, EAIDX-1)+INDEX(SP_IncomeEmployerAdj, $G198)), $P200/(1+INDEX(SP_EA_InflationWageRate, EAIDX)+INDEX(SP_IncomeEmployerAdj, $G198))))), L198)</f>
        <v>0</v>
      </c>
      <c r="Q198" s="70">
        <f t="shared" ref="Q198:Q261" ca="1" si="93">IF(IF(COLUMN()=COLUMN(M198),TRUE,ISBLANK(M198)), IF(OR($F198=0,$K198=0),0,IF($B198=SP_CurrentYear, 0, IF($B198&gt;SP_CurrentYear, $Q196*(1+INDEX(SP_EA_InflationWageRate, EAIDX-1)+INDEX(SP_IncomeSEAdj, $G198)), 0))), M198)</f>
        <v>0</v>
      </c>
      <c r="R198" s="70">
        <f t="shared" ref="R198:R261" ca="1" si="94">IF(IF(COLUMN()=COLUMN(N198),TRUE,ISBLANK(N198)), IF($B198=SP_CurrentYear, 0, IF($B198&gt;SP_CurrentYear, $R196*(1+INDEX(SP_EA_InflationWageRate, EAIDX-1)+INDEX(SP_IncomePassiveAdj, $G198)), 0)), N198)</f>
        <v>0</v>
      </c>
      <c r="S198" s="70">
        <f t="shared" ref="S198:S261" ca="1" si="95">IF(IF(COLUMN()=COLUMN(O198),TRUE,ISBLANK(O198)), IF($B198=SP_CurrentYear,(-INDEX(SC_ExpensesLivingPF,$G198,1)*ABS($K198)-INDEX(SC_ExpensesLivingPF,$G198,2)*(1-ABS($K198)))/INDEX(SC_EA_InflationCPIdx, EAIDX)*12, IF($B198&gt;SP_CurrentYear, $S196*(1+INDEX(SP_EA_InflationCPRate, EAIDX-1)), IF($P198=0, 0,$S200/(1+INDEX(SP_EA_InflationCPRate, EAIDX)))))*ABS($K198), O198)</f>
        <v>0</v>
      </c>
      <c r="T198" s="70">
        <f t="shared" ref="T198:T261" ca="1" si="96">P198*ABS($K198)</f>
        <v>0</v>
      </c>
      <c r="U198" s="70">
        <f t="shared" ref="U198:U261" ca="1" si="97">Q198*ABS($K198)</f>
        <v>0</v>
      </c>
      <c r="V198" s="70">
        <f t="shared" ref="V198:V261" ca="1" si="98">MAX(T198-ABS($S198)*ABS($K198), 0)</f>
        <v>0</v>
      </c>
      <c r="W198" s="70">
        <f t="shared" ref="W198:W261" ca="1" si="99">MAX(U198-MAX(ABS($S198)*ABS($K198)-P198, 0),0)</f>
        <v>0</v>
      </c>
      <c r="X198" s="70">
        <f t="shared" ref="X198:X261" si="100">IF($J198=0, 0, MAX(MIN(T198-ABS($S198)*ABS($K198), INDEX(SC_EA_SSWageBase, EAIDX)), 0))</f>
        <v>0</v>
      </c>
      <c r="Y198" s="70">
        <f t="shared" ref="Y198:Y261" si="101">IF($J198=0, 0, MIN(MAX(U198-MAX(ABS($S198)*ABS($K198)-P198, 0),0), INDEX(SC_EA_SSWageBase, EAIDX)-X198))</f>
        <v>0</v>
      </c>
      <c r="Z198" s="68">
        <f t="shared" ref="Z198:Z261" si="102">IF($J198=0,1,IF($B198&gt;=INDEX(SC_SSBaseYear,$G198),1,Z200*(INDEX(SP_EA_InflationWageRate, EAIDX+1)+1)))</f>
        <v>1</v>
      </c>
      <c r="AA198" s="84">
        <f t="shared" ref="AA198:AA261" si="103">IF($J198=0, 0, ROUNDDOWN(MIN((X198+Y198)*Z198,LT_SSMaxCredit*Z198)/(LT_SSOneCredit*Z198), 0))</f>
        <v>0</v>
      </c>
      <c r="AB198" s="488">
        <f t="array" ref="AB198">ROUNDDOWN(AVERAGE(IFERROR(LARGE((X$6:X197+Y$6:Y197)*Z$6:Z197*(G$6:G197=G198), SC_SSCalcYears),0))/(12*Z198),0)</f>
        <v>0</v>
      </c>
      <c r="AC198" s="69">
        <f t="shared" ref="AC198:AC261" si="104">IF($I198&gt;0, IF($B198&lt;=INDEX(SC_SSBaseYear,$G198)+2,Z198,1/(1/AC196*(INDEX(SC_EA_SSCOLA, EAIDX-1)+1))), 1)</f>
        <v>1</v>
      </c>
      <c r="AD198" s="85">
        <f t="shared" ref="AD198:AD261" si="105">IF(INDEX(SP_PensionSWD,$G198)="",0,IF(YEAR(INDEX(SP_PensionSWD,$G198))&gt;$B198,0,YEARFRAC(INDEX(SP_PensionSWD,$G198), MIN(DATE($B198+1,1,1),SP_TargetRD))))</f>
        <v>0</v>
      </c>
      <c r="AE198" s="140">
        <f t="shared" ref="AE198:AE261" ca="1" si="106">IF(AND(AD198&gt;0, $B198=SC_TargetRY, INDEX(SP_PensionFAE,$G198)&gt;0),SUMIF(OFFSET(G198,-MIN(INDEX(SP_PensionFAE,$G198),AD198)*2,0,MIN(INDEX(SP_PensionFAE,$G198),AD198)*2),$G198,OFFSET(P198,-MIN(INDEX(SP_PensionFAE,$G198),AD198)*2,0,MIN(INDEX(SP_PensionFAE,$G198),AD198)*2))/MIN(INDEX(SP_PensionFAE,$G198),AD198)*INDEX(SP_PensionPCT,$G198)*AD198,0)</f>
        <v>0</v>
      </c>
      <c r="AF198" s="75">
        <f t="shared" ref="AF198:AF261" ca="1" si="107">$T198+$U198</f>
        <v>0</v>
      </c>
      <c r="AG198" s="109">
        <f t="shared" ref="AG198:AG261" ca="1" si="108">$R198</f>
        <v>0</v>
      </c>
      <c r="AH198" s="617">
        <f>SUMIFS($AE198:$AE199,SP_PensionPayout,"Lump sum",$E198:$E199,"&lt;&gt;0")</f>
        <v>0</v>
      </c>
      <c r="AI198" s="617">
        <f>SUMIFS($AE198:$AE199,SP_PensionPayout,"Annuity",$E198:$E199,"&lt;&gt;0")</f>
        <v>0</v>
      </c>
      <c r="AJ198" s="617">
        <f>IF(ISBLANK(INDEX(SP_SSPBFA,1)),0,IF($J198&lt;&gt;INDEX(SP_SSPBFA,1),AJ196,SP_AdditionalRI/INDEX(SC_EA_InflationWageIdx,EAIDX)))</f>
        <v>0</v>
      </c>
      <c r="AK198" s="617">
        <f ca="1">SUMPRODUCT(AF198:AF199, --(G198:G199&lt;&gt;0))</f>
        <v>0</v>
      </c>
      <c r="AL198" s="618">
        <f ca="1">SUMPRODUCT(AG198:AG199, --(E198:E199&lt;&gt;0))+AJ198</f>
        <v>0</v>
      </c>
      <c r="AM198" s="186">
        <f t="shared" ref="AM198:AM201" ca="1" si="109">IFERROR(IF(OR(NOT(ISNUMBER($P198)),$P198&lt;0,NOT(ISNUMBER($Q198)),$Q198&lt;0,NOT(ISNUMBER($R198)),$R198&lt;0,NOT(ISNUMBER($S198)),$S198&lt;0),202,0),203)</f>
        <v>0</v>
      </c>
      <c r="AN198" t="str">
        <f t="shared" ref="AN198:AN201" ca="1" si="110">IFERROR(VLOOKUP(AM198,IV_CodeTable,2,FALSE),"")</f>
        <v/>
      </c>
    </row>
    <row r="199" spans="2:40" x14ac:dyDescent="0.25">
      <c r="B199" s="86">
        <f t="shared" ref="B199:B262" si="111">B197+1</f>
        <v>2050</v>
      </c>
      <c r="C199" s="80" t="s">
        <v>741</v>
      </c>
      <c r="D199" s="147" t="str">
        <f t="shared" si="84"/>
        <v/>
      </c>
      <c r="E199" s="81">
        <f t="shared" si="85"/>
        <v>0</v>
      </c>
      <c r="F199" s="82">
        <f t="shared" si="89"/>
        <v>0</v>
      </c>
      <c r="G199" s="81">
        <f t="shared" si="88"/>
        <v>2</v>
      </c>
      <c r="H199" s="82">
        <f t="shared" si="90"/>
        <v>-1</v>
      </c>
      <c r="I199" s="82">
        <f t="shared" si="86"/>
        <v>0</v>
      </c>
      <c r="J199" s="81">
        <f t="shared" si="91"/>
        <v>0</v>
      </c>
      <c r="K199" s="83">
        <f t="shared" ca="1" si="87"/>
        <v>0</v>
      </c>
      <c r="L199" s="470"/>
      <c r="M199" s="470"/>
      <c r="N199" s="470"/>
      <c r="O199" s="531"/>
      <c r="P199" s="107">
        <f t="shared" ca="1" si="92"/>
        <v>0</v>
      </c>
      <c r="Q199" s="107">
        <f t="shared" ca="1" si="93"/>
        <v>0</v>
      </c>
      <c r="R199" s="107">
        <f t="shared" ca="1" si="94"/>
        <v>0</v>
      </c>
      <c r="S199" s="107">
        <f t="shared" ca="1" si="95"/>
        <v>0</v>
      </c>
      <c r="T199" s="107">
        <f t="shared" ca="1" si="96"/>
        <v>0</v>
      </c>
      <c r="U199" s="107">
        <f t="shared" ca="1" si="97"/>
        <v>0</v>
      </c>
      <c r="V199" s="107">
        <f t="shared" ca="1" si="98"/>
        <v>0</v>
      </c>
      <c r="W199" s="107">
        <f t="shared" ca="1" si="99"/>
        <v>0</v>
      </c>
      <c r="X199" s="107">
        <f t="shared" si="100"/>
        <v>0</v>
      </c>
      <c r="Y199" s="107">
        <f t="shared" si="101"/>
        <v>0</v>
      </c>
      <c r="Z199" s="87">
        <f t="shared" si="102"/>
        <v>1</v>
      </c>
      <c r="AA199" s="88">
        <f t="shared" si="103"/>
        <v>0</v>
      </c>
      <c r="AB199" s="107">
        <f t="array" ref="AB199">ROUNDDOWN(AVERAGE(IFERROR(LARGE((X$6:X198+Y$6:Y198)*Z$6:Z198*(G$6:G198=G199), SC_SSCalcYears),0))/(12*Z199),0)</f>
        <v>0</v>
      </c>
      <c r="AC199" s="211">
        <f t="shared" si="104"/>
        <v>1</v>
      </c>
      <c r="AD199" s="89">
        <f t="shared" si="105"/>
        <v>0</v>
      </c>
      <c r="AE199" s="141">
        <f t="shared" ca="1" si="106"/>
        <v>0</v>
      </c>
      <c r="AF199" s="106">
        <f t="shared" ca="1" si="107"/>
        <v>0</v>
      </c>
      <c r="AG199" s="110">
        <f t="shared" ca="1" si="108"/>
        <v>0</v>
      </c>
      <c r="AH199" s="617"/>
      <c r="AI199" s="617"/>
      <c r="AJ199" s="617"/>
      <c r="AK199" s="617"/>
      <c r="AL199" s="618"/>
      <c r="AM199" s="186">
        <f t="shared" ca="1" si="109"/>
        <v>0</v>
      </c>
      <c r="AN199" t="str">
        <f t="shared" ca="1" si="110"/>
        <v/>
      </c>
    </row>
    <row r="200" spans="2:40" x14ac:dyDescent="0.25">
      <c r="B200" s="65">
        <f t="shared" si="111"/>
        <v>2051</v>
      </c>
      <c r="C200" s="76" t="s">
        <v>741</v>
      </c>
      <c r="D200" s="146" t="str">
        <f t="shared" si="84"/>
        <v/>
      </c>
      <c r="E200" s="77">
        <f t="shared" si="85"/>
        <v>0</v>
      </c>
      <c r="F200" s="77">
        <f t="shared" si="89"/>
        <v>0</v>
      </c>
      <c r="G200" s="77">
        <f t="shared" si="88"/>
        <v>1</v>
      </c>
      <c r="H200" s="76">
        <f t="shared" si="90"/>
        <v>1</v>
      </c>
      <c r="I200" s="76">
        <f t="shared" si="86"/>
        <v>0</v>
      </c>
      <c r="J200" s="77">
        <f t="shared" si="91"/>
        <v>0</v>
      </c>
      <c r="K200" s="78">
        <f t="shared" ca="1" si="87"/>
        <v>0</v>
      </c>
      <c r="L200" s="470"/>
      <c r="M200" s="470"/>
      <c r="N200" s="470"/>
      <c r="O200" s="531"/>
      <c r="P200" s="70">
        <f t="shared" ca="1" si="92"/>
        <v>0</v>
      </c>
      <c r="Q200" s="70">
        <f t="shared" ca="1" si="93"/>
        <v>0</v>
      </c>
      <c r="R200" s="70">
        <f t="shared" ca="1" si="94"/>
        <v>0</v>
      </c>
      <c r="S200" s="70">
        <f t="shared" ca="1" si="95"/>
        <v>0</v>
      </c>
      <c r="T200" s="70">
        <f t="shared" ca="1" si="96"/>
        <v>0</v>
      </c>
      <c r="U200" s="70">
        <f t="shared" ca="1" si="97"/>
        <v>0</v>
      </c>
      <c r="V200" s="70">
        <f t="shared" ca="1" si="98"/>
        <v>0</v>
      </c>
      <c r="W200" s="70">
        <f t="shared" ca="1" si="99"/>
        <v>0</v>
      </c>
      <c r="X200" s="70">
        <f t="shared" si="100"/>
        <v>0</v>
      </c>
      <c r="Y200" s="70">
        <f t="shared" si="101"/>
        <v>0</v>
      </c>
      <c r="Z200" s="68">
        <f t="shared" si="102"/>
        <v>1</v>
      </c>
      <c r="AA200" s="84">
        <f t="shared" si="103"/>
        <v>0</v>
      </c>
      <c r="AB200" s="488">
        <f t="array" ref="AB200">ROUNDDOWN(AVERAGE(IFERROR(LARGE((X$6:X199+Y$6:Y199)*Z$6:Z199*(G$6:G199=G200), SC_SSCalcYears),0))/(12*Z200),0)</f>
        <v>0</v>
      </c>
      <c r="AC200" s="69">
        <f t="shared" si="104"/>
        <v>1</v>
      </c>
      <c r="AD200" s="85">
        <f t="shared" si="105"/>
        <v>0</v>
      </c>
      <c r="AE200" s="140">
        <f t="shared" ca="1" si="106"/>
        <v>0</v>
      </c>
      <c r="AF200" s="75">
        <f t="shared" ca="1" si="107"/>
        <v>0</v>
      </c>
      <c r="AG200" s="109">
        <f t="shared" ca="1" si="108"/>
        <v>0</v>
      </c>
      <c r="AH200" s="617">
        <f>SUMIFS($AE200:$AE201,SP_PensionPayout,"Lump sum",$E200:$E201,"&lt;&gt;0")</f>
        <v>0</v>
      </c>
      <c r="AI200" s="617">
        <f>SUMIFS($AE200:$AE201,SP_PensionPayout,"Annuity",$E200:$E201,"&lt;&gt;0")</f>
        <v>0</v>
      </c>
      <c r="AJ200" s="617">
        <f>IF(ISBLANK(INDEX(SP_SSPBFA,1)),0,IF($J200&lt;&gt;INDEX(SP_SSPBFA,1),AJ198,SP_AdditionalRI/INDEX(SC_EA_InflationWageIdx,EAIDX)))</f>
        <v>0</v>
      </c>
      <c r="AK200" s="617">
        <f ca="1">SUMPRODUCT(AF200:AF201, --(G200:G201&lt;&gt;0))</f>
        <v>0</v>
      </c>
      <c r="AL200" s="618">
        <f ca="1">SUMPRODUCT(AG200:AG201, --(E200:E201&lt;&gt;0))+AJ200</f>
        <v>0</v>
      </c>
      <c r="AM200" s="186">
        <f t="shared" ca="1" si="109"/>
        <v>0</v>
      </c>
      <c r="AN200" t="str">
        <f t="shared" ca="1" si="110"/>
        <v/>
      </c>
    </row>
    <row r="201" spans="2:40" x14ac:dyDescent="0.25">
      <c r="B201" s="86">
        <f t="shared" si="111"/>
        <v>2051</v>
      </c>
      <c r="C201" s="80" t="s">
        <v>741</v>
      </c>
      <c r="D201" s="147" t="str">
        <f t="shared" si="84"/>
        <v/>
      </c>
      <c r="E201" s="81">
        <f t="shared" si="85"/>
        <v>0</v>
      </c>
      <c r="F201" s="82">
        <f t="shared" si="89"/>
        <v>0</v>
      </c>
      <c r="G201" s="81">
        <f t="shared" si="88"/>
        <v>2</v>
      </c>
      <c r="H201" s="82">
        <f t="shared" si="90"/>
        <v>-1</v>
      </c>
      <c r="I201" s="82">
        <f t="shared" si="86"/>
        <v>0</v>
      </c>
      <c r="J201" s="81">
        <f t="shared" si="91"/>
        <v>0</v>
      </c>
      <c r="K201" s="83">
        <f t="shared" ca="1" si="87"/>
        <v>0</v>
      </c>
      <c r="L201" s="470"/>
      <c r="M201" s="470"/>
      <c r="N201" s="470"/>
      <c r="O201" s="531"/>
      <c r="P201" s="107">
        <f t="shared" ca="1" si="92"/>
        <v>0</v>
      </c>
      <c r="Q201" s="107">
        <f t="shared" ca="1" si="93"/>
        <v>0</v>
      </c>
      <c r="R201" s="107">
        <f t="shared" ca="1" si="94"/>
        <v>0</v>
      </c>
      <c r="S201" s="107">
        <f t="shared" ca="1" si="95"/>
        <v>0</v>
      </c>
      <c r="T201" s="107">
        <f t="shared" ca="1" si="96"/>
        <v>0</v>
      </c>
      <c r="U201" s="107">
        <f t="shared" ca="1" si="97"/>
        <v>0</v>
      </c>
      <c r="V201" s="107">
        <f t="shared" ca="1" si="98"/>
        <v>0</v>
      </c>
      <c r="W201" s="107">
        <f t="shared" ca="1" si="99"/>
        <v>0</v>
      </c>
      <c r="X201" s="107">
        <f t="shared" si="100"/>
        <v>0</v>
      </c>
      <c r="Y201" s="107">
        <f t="shared" si="101"/>
        <v>0</v>
      </c>
      <c r="Z201" s="87">
        <f t="shared" si="102"/>
        <v>1</v>
      </c>
      <c r="AA201" s="88">
        <f t="shared" si="103"/>
        <v>0</v>
      </c>
      <c r="AB201" s="107">
        <f t="array" ref="AB201">ROUNDDOWN(AVERAGE(IFERROR(LARGE((X$6:X200+Y$6:Y200)*Z$6:Z200*(G$6:G200=G201), SC_SSCalcYears),0))/(12*Z201),0)</f>
        <v>0</v>
      </c>
      <c r="AC201" s="211">
        <f t="shared" si="104"/>
        <v>1</v>
      </c>
      <c r="AD201" s="89">
        <f t="shared" si="105"/>
        <v>0</v>
      </c>
      <c r="AE201" s="141">
        <f t="shared" ca="1" si="106"/>
        <v>0</v>
      </c>
      <c r="AF201" s="106">
        <f t="shared" ca="1" si="107"/>
        <v>0</v>
      </c>
      <c r="AG201" s="110">
        <f t="shared" ca="1" si="108"/>
        <v>0</v>
      </c>
      <c r="AH201" s="617"/>
      <c r="AI201" s="617"/>
      <c r="AJ201" s="617"/>
      <c r="AK201" s="617"/>
      <c r="AL201" s="618"/>
      <c r="AM201" s="186">
        <f t="shared" ca="1" si="109"/>
        <v>0</v>
      </c>
      <c r="AN201" t="str">
        <f t="shared" ca="1" si="110"/>
        <v/>
      </c>
    </row>
    <row r="202" spans="2:40" x14ac:dyDescent="0.25">
      <c r="B202" s="65">
        <f t="shared" si="111"/>
        <v>2052</v>
      </c>
      <c r="C202" s="76" t="s">
        <v>741</v>
      </c>
      <c r="D202" s="146" t="str">
        <f t="shared" si="84"/>
        <v/>
      </c>
      <c r="E202" s="77">
        <f t="shared" si="85"/>
        <v>0</v>
      </c>
      <c r="F202" s="77">
        <f t="shared" si="89"/>
        <v>0</v>
      </c>
      <c r="G202" s="77">
        <f t="shared" si="88"/>
        <v>1</v>
      </c>
      <c r="H202" s="76">
        <f t="shared" si="90"/>
        <v>1</v>
      </c>
      <c r="I202" s="76">
        <f t="shared" si="86"/>
        <v>0</v>
      </c>
      <c r="J202" s="77">
        <f t="shared" si="91"/>
        <v>0</v>
      </c>
      <c r="K202" s="78">
        <f t="shared" ca="1" si="87"/>
        <v>0</v>
      </c>
      <c r="L202" s="470"/>
      <c r="M202" s="470"/>
      <c r="N202" s="470"/>
      <c r="O202" s="531"/>
      <c r="P202" s="70">
        <f t="shared" ca="1" si="92"/>
        <v>0</v>
      </c>
      <c r="Q202" s="70">
        <f t="shared" ca="1" si="93"/>
        <v>0</v>
      </c>
      <c r="R202" s="70">
        <f t="shared" ca="1" si="94"/>
        <v>0</v>
      </c>
      <c r="S202" s="70">
        <f t="shared" ca="1" si="95"/>
        <v>0</v>
      </c>
      <c r="T202" s="70">
        <f t="shared" ca="1" si="96"/>
        <v>0</v>
      </c>
      <c r="U202" s="70">
        <f t="shared" ca="1" si="97"/>
        <v>0</v>
      </c>
      <c r="V202" s="70">
        <f t="shared" ca="1" si="98"/>
        <v>0</v>
      </c>
      <c r="W202" s="70">
        <f t="shared" ca="1" si="99"/>
        <v>0</v>
      </c>
      <c r="X202" s="70">
        <f t="shared" si="100"/>
        <v>0</v>
      </c>
      <c r="Y202" s="70">
        <f t="shared" si="101"/>
        <v>0</v>
      </c>
      <c r="Z202" s="68">
        <f t="shared" si="102"/>
        <v>1</v>
      </c>
      <c r="AA202" s="84">
        <f t="shared" si="103"/>
        <v>0</v>
      </c>
      <c r="AB202" s="488">
        <f t="array" ref="AB202">ROUNDDOWN(AVERAGE(IFERROR(LARGE((X$6:X201+Y$6:Y201)*Z$6:Z201*(G$6:G201=G202), SC_SSCalcYears),0))/(12*Z202),0)</f>
        <v>0</v>
      </c>
      <c r="AC202" s="69">
        <f t="shared" si="104"/>
        <v>1</v>
      </c>
      <c r="AD202" s="85">
        <f t="shared" si="105"/>
        <v>0</v>
      </c>
      <c r="AE202" s="140">
        <f t="shared" ca="1" si="106"/>
        <v>0</v>
      </c>
      <c r="AF202" s="75">
        <f t="shared" ca="1" si="107"/>
        <v>0</v>
      </c>
      <c r="AG202" s="109">
        <f t="shared" ca="1" si="108"/>
        <v>0</v>
      </c>
      <c r="AH202" s="617">
        <f>SUMIFS($AE202:$AE203,SP_PensionPayout,"Lump sum",$E202:$E203,"&lt;&gt;0")</f>
        <v>0</v>
      </c>
      <c r="AI202" s="617">
        <f>SUMIFS($AE202:$AE203,SP_PensionPayout,"Annuity",$E202:$E203,"&lt;&gt;0")</f>
        <v>0</v>
      </c>
      <c r="AJ202" s="617">
        <f>IF(ISBLANK(INDEX(SP_SSPBFA,1)),0,IF($J202&lt;&gt;INDEX(SP_SSPBFA,1),AJ200,SP_AdditionalRI/INDEX(SC_EA_InflationWageIdx,EAIDX)))</f>
        <v>0</v>
      </c>
      <c r="AK202" s="617">
        <f ca="1">SUMPRODUCT(AF202:AF203, --(G202:G203&lt;&gt;0))</f>
        <v>0</v>
      </c>
      <c r="AL202" s="618">
        <f ca="1">SUMPRODUCT(AG202:AG203, --(E202:E203&lt;&gt;0))+AJ202</f>
        <v>0</v>
      </c>
      <c r="AM202" s="186">
        <f ca="1">IFERROR(IF(OR(NOT(ISNUMBER($P202)),$P202&lt;0,NOT(ISNUMBER($Q202)),$Q202&lt;0,NOT(ISNUMBER($R202)),$R202&lt;0,NOT(ISNUMBER($S202)),$S202&lt;0),202,0),203)</f>
        <v>0</v>
      </c>
      <c r="AN202" t="str">
        <f t="shared" ref="AN202" ca="1" si="112">IFERROR(VLOOKUP(AM202,IV_CodeTable,2,FALSE),"")</f>
        <v/>
      </c>
    </row>
    <row r="203" spans="2:40" x14ac:dyDescent="0.25">
      <c r="B203" s="86">
        <f t="shared" si="111"/>
        <v>2052</v>
      </c>
      <c r="C203" s="80" t="s">
        <v>741</v>
      </c>
      <c r="D203" s="147" t="str">
        <f t="shared" si="84"/>
        <v/>
      </c>
      <c r="E203" s="81">
        <f t="shared" si="85"/>
        <v>0</v>
      </c>
      <c r="F203" s="82">
        <f t="shared" si="89"/>
        <v>0</v>
      </c>
      <c r="G203" s="81">
        <f t="shared" si="88"/>
        <v>2</v>
      </c>
      <c r="H203" s="82">
        <f t="shared" si="90"/>
        <v>-1</v>
      </c>
      <c r="I203" s="82">
        <f t="shared" si="86"/>
        <v>0</v>
      </c>
      <c r="J203" s="81">
        <f t="shared" si="91"/>
        <v>0</v>
      </c>
      <c r="K203" s="83">
        <f t="shared" ca="1" si="87"/>
        <v>0</v>
      </c>
      <c r="L203" s="470"/>
      <c r="M203" s="470"/>
      <c r="N203" s="470"/>
      <c r="O203" s="531"/>
      <c r="P203" s="107">
        <f t="shared" ca="1" si="92"/>
        <v>0</v>
      </c>
      <c r="Q203" s="107">
        <f t="shared" ca="1" si="93"/>
        <v>0</v>
      </c>
      <c r="R203" s="107">
        <f t="shared" ca="1" si="94"/>
        <v>0</v>
      </c>
      <c r="S203" s="107">
        <f t="shared" ca="1" si="95"/>
        <v>0</v>
      </c>
      <c r="T203" s="107">
        <f t="shared" ca="1" si="96"/>
        <v>0</v>
      </c>
      <c r="U203" s="107">
        <f t="shared" ca="1" si="97"/>
        <v>0</v>
      </c>
      <c r="V203" s="107">
        <f t="shared" ca="1" si="98"/>
        <v>0</v>
      </c>
      <c r="W203" s="107">
        <f t="shared" ca="1" si="99"/>
        <v>0</v>
      </c>
      <c r="X203" s="107">
        <f t="shared" si="100"/>
        <v>0</v>
      </c>
      <c r="Y203" s="107">
        <f t="shared" si="101"/>
        <v>0</v>
      </c>
      <c r="Z203" s="87">
        <f t="shared" si="102"/>
        <v>1</v>
      </c>
      <c r="AA203" s="88">
        <f t="shared" si="103"/>
        <v>0</v>
      </c>
      <c r="AB203" s="107">
        <f t="array" ref="AB203">ROUNDDOWN(AVERAGE(IFERROR(LARGE((X$6:X202+Y$6:Y202)*Z$6:Z202*(G$6:G202=G203), SC_SSCalcYears),0))/(12*Z203),0)</f>
        <v>0</v>
      </c>
      <c r="AC203" s="211">
        <f t="shared" si="104"/>
        <v>1</v>
      </c>
      <c r="AD203" s="89">
        <f t="shared" si="105"/>
        <v>0</v>
      </c>
      <c r="AE203" s="141">
        <f t="shared" ca="1" si="106"/>
        <v>0</v>
      </c>
      <c r="AF203" s="106">
        <f t="shared" ca="1" si="107"/>
        <v>0</v>
      </c>
      <c r="AG203" s="110">
        <f t="shared" ca="1" si="108"/>
        <v>0</v>
      </c>
      <c r="AH203" s="617"/>
      <c r="AI203" s="617"/>
      <c r="AJ203" s="617"/>
      <c r="AK203" s="617"/>
      <c r="AL203" s="618"/>
      <c r="AM203" s="186">
        <f t="shared" ref="AM203:AM266" ca="1" si="113">IFERROR(IF(OR(NOT(ISNUMBER($P203)),$P203&lt;0,NOT(ISNUMBER($Q203)),$Q203&lt;0,NOT(ISNUMBER($R203)),$R203&lt;0,NOT(ISNUMBER($S203)),$S203&lt;0),202,0),203)</f>
        <v>0</v>
      </c>
      <c r="AN203" t="str">
        <f t="shared" ref="AN203:AN266" ca="1" si="114">IFERROR(VLOOKUP(AM203,IV_CodeTable,2,FALSE),"")</f>
        <v/>
      </c>
    </row>
    <row r="204" spans="2:40" x14ac:dyDescent="0.25">
      <c r="B204" s="65">
        <f t="shared" si="111"/>
        <v>2053</v>
      </c>
      <c r="C204" s="76" t="s">
        <v>741</v>
      </c>
      <c r="D204" s="146" t="str">
        <f t="shared" si="84"/>
        <v/>
      </c>
      <c r="E204" s="77">
        <f t="shared" si="85"/>
        <v>0</v>
      </c>
      <c r="F204" s="77">
        <f t="shared" si="89"/>
        <v>0</v>
      </c>
      <c r="G204" s="77">
        <f t="shared" si="88"/>
        <v>1</v>
      </c>
      <c r="H204" s="76">
        <f t="shared" si="90"/>
        <v>1</v>
      </c>
      <c r="I204" s="76">
        <f t="shared" si="86"/>
        <v>0</v>
      </c>
      <c r="J204" s="77">
        <f t="shared" si="91"/>
        <v>0</v>
      </c>
      <c r="K204" s="78">
        <f t="shared" ca="1" si="87"/>
        <v>0</v>
      </c>
      <c r="L204" s="470"/>
      <c r="M204" s="470"/>
      <c r="N204" s="470"/>
      <c r="O204" s="531"/>
      <c r="P204" s="70">
        <f t="shared" ca="1" si="92"/>
        <v>0</v>
      </c>
      <c r="Q204" s="70">
        <f t="shared" ca="1" si="93"/>
        <v>0</v>
      </c>
      <c r="R204" s="70">
        <f t="shared" ca="1" si="94"/>
        <v>0</v>
      </c>
      <c r="S204" s="70">
        <f t="shared" ca="1" si="95"/>
        <v>0</v>
      </c>
      <c r="T204" s="70">
        <f t="shared" ca="1" si="96"/>
        <v>0</v>
      </c>
      <c r="U204" s="70">
        <f t="shared" ca="1" si="97"/>
        <v>0</v>
      </c>
      <c r="V204" s="70">
        <f t="shared" ca="1" si="98"/>
        <v>0</v>
      </c>
      <c r="W204" s="70">
        <f t="shared" ca="1" si="99"/>
        <v>0</v>
      </c>
      <c r="X204" s="70">
        <f t="shared" si="100"/>
        <v>0</v>
      </c>
      <c r="Y204" s="70">
        <f t="shared" si="101"/>
        <v>0</v>
      </c>
      <c r="Z204" s="68">
        <f t="shared" si="102"/>
        <v>1</v>
      </c>
      <c r="AA204" s="84">
        <f t="shared" si="103"/>
        <v>0</v>
      </c>
      <c r="AB204" s="488">
        <f t="array" ref="AB204">ROUNDDOWN(AVERAGE(IFERROR(LARGE((X$6:X203+Y$6:Y203)*Z$6:Z203*(G$6:G203=G204), SC_SSCalcYears),0))/(12*Z204),0)</f>
        <v>0</v>
      </c>
      <c r="AC204" s="69">
        <f t="shared" si="104"/>
        <v>1</v>
      </c>
      <c r="AD204" s="85">
        <f t="shared" si="105"/>
        <v>0</v>
      </c>
      <c r="AE204" s="140">
        <f t="shared" ca="1" si="106"/>
        <v>0</v>
      </c>
      <c r="AF204" s="75">
        <f t="shared" ca="1" si="107"/>
        <v>0</v>
      </c>
      <c r="AG204" s="109">
        <f t="shared" ca="1" si="108"/>
        <v>0</v>
      </c>
      <c r="AH204" s="617">
        <f>SUMIFS($AE204:$AE205,SP_PensionPayout,"Lump sum",$E204:$E205,"&lt;&gt;0")</f>
        <v>0</v>
      </c>
      <c r="AI204" s="617">
        <f>SUMIFS($AE204:$AE205,SP_PensionPayout,"Annuity",$E204:$E205,"&lt;&gt;0")</f>
        <v>0</v>
      </c>
      <c r="AJ204" s="617">
        <f>IF(ISBLANK(INDEX(SP_SSPBFA,1)),0,IF($J204&lt;&gt;INDEX(SP_SSPBFA,1),AJ202,SP_AdditionalRI/INDEX(SC_EA_InflationWageIdx,EAIDX)))</f>
        <v>0</v>
      </c>
      <c r="AK204" s="617">
        <f ca="1">SUMPRODUCT(AF204:AF205, --(G204:G205&lt;&gt;0))</f>
        <v>0</v>
      </c>
      <c r="AL204" s="618">
        <f ca="1">SUMPRODUCT(AG204:AG205, --(E204:E205&lt;&gt;0))+AJ204</f>
        <v>0</v>
      </c>
      <c r="AM204" s="186">
        <f t="shared" ca="1" si="113"/>
        <v>0</v>
      </c>
      <c r="AN204" t="str">
        <f t="shared" ca="1" si="114"/>
        <v/>
      </c>
    </row>
    <row r="205" spans="2:40" x14ac:dyDescent="0.25">
      <c r="B205" s="86">
        <f t="shared" si="111"/>
        <v>2053</v>
      </c>
      <c r="C205" s="80" t="s">
        <v>741</v>
      </c>
      <c r="D205" s="147" t="str">
        <f t="shared" si="84"/>
        <v/>
      </c>
      <c r="E205" s="81">
        <f t="shared" si="85"/>
        <v>0</v>
      </c>
      <c r="F205" s="82">
        <f t="shared" si="89"/>
        <v>0</v>
      </c>
      <c r="G205" s="81">
        <f t="shared" si="88"/>
        <v>2</v>
      </c>
      <c r="H205" s="82">
        <f t="shared" si="90"/>
        <v>-1</v>
      </c>
      <c r="I205" s="82">
        <f t="shared" si="86"/>
        <v>0</v>
      </c>
      <c r="J205" s="81">
        <f t="shared" si="91"/>
        <v>0</v>
      </c>
      <c r="K205" s="83">
        <f t="shared" ca="1" si="87"/>
        <v>0</v>
      </c>
      <c r="L205" s="470"/>
      <c r="M205" s="470"/>
      <c r="N205" s="470"/>
      <c r="O205" s="531"/>
      <c r="P205" s="107">
        <f t="shared" ca="1" si="92"/>
        <v>0</v>
      </c>
      <c r="Q205" s="107">
        <f t="shared" ca="1" si="93"/>
        <v>0</v>
      </c>
      <c r="R205" s="107">
        <f t="shared" ca="1" si="94"/>
        <v>0</v>
      </c>
      <c r="S205" s="107">
        <f t="shared" ca="1" si="95"/>
        <v>0</v>
      </c>
      <c r="T205" s="107">
        <f t="shared" ca="1" si="96"/>
        <v>0</v>
      </c>
      <c r="U205" s="107">
        <f t="shared" ca="1" si="97"/>
        <v>0</v>
      </c>
      <c r="V205" s="107">
        <f t="shared" ca="1" si="98"/>
        <v>0</v>
      </c>
      <c r="W205" s="107">
        <f t="shared" ca="1" si="99"/>
        <v>0</v>
      </c>
      <c r="X205" s="107">
        <f t="shared" si="100"/>
        <v>0</v>
      </c>
      <c r="Y205" s="107">
        <f t="shared" si="101"/>
        <v>0</v>
      </c>
      <c r="Z205" s="87">
        <f t="shared" si="102"/>
        <v>1</v>
      </c>
      <c r="AA205" s="88">
        <f t="shared" si="103"/>
        <v>0</v>
      </c>
      <c r="AB205" s="107">
        <f t="array" ref="AB205">ROUNDDOWN(AVERAGE(IFERROR(LARGE((X$6:X204+Y$6:Y204)*Z$6:Z204*(G$6:G204=G205), SC_SSCalcYears),0))/(12*Z205),0)</f>
        <v>0</v>
      </c>
      <c r="AC205" s="211">
        <f t="shared" si="104"/>
        <v>1</v>
      </c>
      <c r="AD205" s="89">
        <f t="shared" si="105"/>
        <v>0</v>
      </c>
      <c r="AE205" s="141">
        <f t="shared" ca="1" si="106"/>
        <v>0</v>
      </c>
      <c r="AF205" s="106">
        <f t="shared" ca="1" si="107"/>
        <v>0</v>
      </c>
      <c r="AG205" s="110">
        <f t="shared" ca="1" si="108"/>
        <v>0</v>
      </c>
      <c r="AH205" s="617"/>
      <c r="AI205" s="617"/>
      <c r="AJ205" s="617"/>
      <c r="AK205" s="617"/>
      <c r="AL205" s="618"/>
      <c r="AM205" s="186">
        <f t="shared" ca="1" si="113"/>
        <v>0</v>
      </c>
      <c r="AN205" t="str">
        <f t="shared" ca="1" si="114"/>
        <v/>
      </c>
    </row>
    <row r="206" spans="2:40" x14ac:dyDescent="0.25">
      <c r="B206" s="65">
        <f t="shared" si="111"/>
        <v>2054</v>
      </c>
      <c r="C206" s="76" t="s">
        <v>741</v>
      </c>
      <c r="D206" s="146" t="str">
        <f t="shared" si="84"/>
        <v/>
      </c>
      <c r="E206" s="77">
        <f t="shared" si="85"/>
        <v>0</v>
      </c>
      <c r="F206" s="77">
        <f t="shared" si="89"/>
        <v>0</v>
      </c>
      <c r="G206" s="77">
        <f t="shared" si="88"/>
        <v>1</v>
      </c>
      <c r="H206" s="76">
        <f t="shared" si="90"/>
        <v>1</v>
      </c>
      <c r="I206" s="76">
        <f t="shared" si="86"/>
        <v>0</v>
      </c>
      <c r="J206" s="77">
        <f t="shared" si="91"/>
        <v>0</v>
      </c>
      <c r="K206" s="78">
        <f t="shared" ca="1" si="87"/>
        <v>0</v>
      </c>
      <c r="L206" s="470"/>
      <c r="M206" s="470"/>
      <c r="N206" s="470"/>
      <c r="O206" s="531"/>
      <c r="P206" s="70">
        <f t="shared" ca="1" si="92"/>
        <v>0</v>
      </c>
      <c r="Q206" s="70">
        <f t="shared" ca="1" si="93"/>
        <v>0</v>
      </c>
      <c r="R206" s="70">
        <f t="shared" ca="1" si="94"/>
        <v>0</v>
      </c>
      <c r="S206" s="70">
        <f t="shared" ca="1" si="95"/>
        <v>0</v>
      </c>
      <c r="T206" s="70">
        <f t="shared" ca="1" si="96"/>
        <v>0</v>
      </c>
      <c r="U206" s="70">
        <f t="shared" ca="1" si="97"/>
        <v>0</v>
      </c>
      <c r="V206" s="70">
        <f t="shared" ca="1" si="98"/>
        <v>0</v>
      </c>
      <c r="W206" s="70">
        <f t="shared" ca="1" si="99"/>
        <v>0</v>
      </c>
      <c r="X206" s="70">
        <f t="shared" si="100"/>
        <v>0</v>
      </c>
      <c r="Y206" s="70">
        <f t="shared" si="101"/>
        <v>0</v>
      </c>
      <c r="Z206" s="68">
        <f t="shared" si="102"/>
        <v>1</v>
      </c>
      <c r="AA206" s="84">
        <f t="shared" si="103"/>
        <v>0</v>
      </c>
      <c r="AB206" s="488">
        <f t="array" ref="AB206">ROUNDDOWN(AVERAGE(IFERROR(LARGE((X$6:X205+Y$6:Y205)*Z$6:Z205*(G$6:G205=G206), SC_SSCalcYears),0))/(12*Z206),0)</f>
        <v>0</v>
      </c>
      <c r="AC206" s="69">
        <f t="shared" si="104"/>
        <v>1</v>
      </c>
      <c r="AD206" s="85">
        <f t="shared" si="105"/>
        <v>0</v>
      </c>
      <c r="AE206" s="140">
        <f t="shared" ca="1" si="106"/>
        <v>0</v>
      </c>
      <c r="AF206" s="75">
        <f t="shared" ca="1" si="107"/>
        <v>0</v>
      </c>
      <c r="AG206" s="109">
        <f t="shared" ca="1" si="108"/>
        <v>0</v>
      </c>
      <c r="AH206" s="617">
        <f>SUMIFS($AE206:$AE207,SP_PensionPayout,"Lump sum",$E206:$E207,"&lt;&gt;0")</f>
        <v>0</v>
      </c>
      <c r="AI206" s="617">
        <f>SUMIFS($AE206:$AE207,SP_PensionPayout,"Annuity",$E206:$E207,"&lt;&gt;0")</f>
        <v>0</v>
      </c>
      <c r="AJ206" s="617">
        <f>IF(ISBLANK(INDEX(SP_SSPBFA,1)),0,IF($J206&lt;&gt;INDEX(SP_SSPBFA,1),AJ204,SP_AdditionalRI/INDEX(SC_EA_InflationWageIdx,EAIDX)))</f>
        <v>0</v>
      </c>
      <c r="AK206" s="617">
        <f ca="1">SUMPRODUCT(AF206:AF207, --(G206:G207&lt;&gt;0))</f>
        <v>0</v>
      </c>
      <c r="AL206" s="618">
        <f ca="1">SUMPRODUCT(AG206:AG207, --(E206:E207&lt;&gt;0))+AJ206</f>
        <v>0</v>
      </c>
      <c r="AM206" s="186">
        <f t="shared" ca="1" si="113"/>
        <v>0</v>
      </c>
      <c r="AN206" t="str">
        <f t="shared" ca="1" si="114"/>
        <v/>
      </c>
    </row>
    <row r="207" spans="2:40" x14ac:dyDescent="0.25">
      <c r="B207" s="86">
        <f t="shared" si="111"/>
        <v>2054</v>
      </c>
      <c r="C207" s="80" t="s">
        <v>741</v>
      </c>
      <c r="D207" s="147" t="str">
        <f t="shared" si="84"/>
        <v/>
      </c>
      <c r="E207" s="81">
        <f t="shared" si="85"/>
        <v>0</v>
      </c>
      <c r="F207" s="82">
        <f t="shared" si="89"/>
        <v>0</v>
      </c>
      <c r="G207" s="81">
        <f t="shared" si="88"/>
        <v>2</v>
      </c>
      <c r="H207" s="82">
        <f t="shared" si="90"/>
        <v>-1</v>
      </c>
      <c r="I207" s="82">
        <f t="shared" si="86"/>
        <v>0</v>
      </c>
      <c r="J207" s="81">
        <f t="shared" si="91"/>
        <v>0</v>
      </c>
      <c r="K207" s="83">
        <f t="shared" ca="1" si="87"/>
        <v>0</v>
      </c>
      <c r="L207" s="470"/>
      <c r="M207" s="470"/>
      <c r="N207" s="470"/>
      <c r="O207" s="531"/>
      <c r="P207" s="107">
        <f t="shared" ca="1" si="92"/>
        <v>0</v>
      </c>
      <c r="Q207" s="107">
        <f t="shared" ca="1" si="93"/>
        <v>0</v>
      </c>
      <c r="R207" s="107">
        <f t="shared" ca="1" si="94"/>
        <v>0</v>
      </c>
      <c r="S207" s="107">
        <f t="shared" ca="1" si="95"/>
        <v>0</v>
      </c>
      <c r="T207" s="107">
        <f t="shared" ca="1" si="96"/>
        <v>0</v>
      </c>
      <c r="U207" s="107">
        <f t="shared" ca="1" si="97"/>
        <v>0</v>
      </c>
      <c r="V207" s="107">
        <f t="shared" ca="1" si="98"/>
        <v>0</v>
      </c>
      <c r="W207" s="107">
        <f t="shared" ca="1" si="99"/>
        <v>0</v>
      </c>
      <c r="X207" s="107">
        <f t="shared" si="100"/>
        <v>0</v>
      </c>
      <c r="Y207" s="107">
        <f t="shared" si="101"/>
        <v>0</v>
      </c>
      <c r="Z207" s="87">
        <f t="shared" si="102"/>
        <v>1</v>
      </c>
      <c r="AA207" s="88">
        <f t="shared" si="103"/>
        <v>0</v>
      </c>
      <c r="AB207" s="107">
        <f t="array" ref="AB207">ROUNDDOWN(AVERAGE(IFERROR(LARGE((X$6:X206+Y$6:Y206)*Z$6:Z206*(G$6:G206=G207), SC_SSCalcYears),0))/(12*Z207),0)</f>
        <v>0</v>
      </c>
      <c r="AC207" s="211">
        <f t="shared" si="104"/>
        <v>1</v>
      </c>
      <c r="AD207" s="89">
        <f t="shared" si="105"/>
        <v>0</v>
      </c>
      <c r="AE207" s="141">
        <f t="shared" ca="1" si="106"/>
        <v>0</v>
      </c>
      <c r="AF207" s="106">
        <f t="shared" ca="1" si="107"/>
        <v>0</v>
      </c>
      <c r="AG207" s="110">
        <f t="shared" ca="1" si="108"/>
        <v>0</v>
      </c>
      <c r="AH207" s="617"/>
      <c r="AI207" s="617"/>
      <c r="AJ207" s="617"/>
      <c r="AK207" s="617"/>
      <c r="AL207" s="618"/>
      <c r="AM207" s="186">
        <f t="shared" ca="1" si="113"/>
        <v>0</v>
      </c>
      <c r="AN207" t="str">
        <f t="shared" ca="1" si="114"/>
        <v/>
      </c>
    </row>
    <row r="208" spans="2:40" x14ac:dyDescent="0.25">
      <c r="B208" s="65">
        <f t="shared" si="111"/>
        <v>2055</v>
      </c>
      <c r="C208" s="76" t="s">
        <v>741</v>
      </c>
      <c r="D208" s="146" t="str">
        <f t="shared" si="84"/>
        <v/>
      </c>
      <c r="E208" s="77">
        <f t="shared" si="85"/>
        <v>0</v>
      </c>
      <c r="F208" s="77">
        <f t="shared" si="89"/>
        <v>0</v>
      </c>
      <c r="G208" s="77">
        <f t="shared" si="88"/>
        <v>1</v>
      </c>
      <c r="H208" s="76">
        <f t="shared" si="90"/>
        <v>1</v>
      </c>
      <c r="I208" s="76">
        <f t="shared" si="86"/>
        <v>0</v>
      </c>
      <c r="J208" s="77">
        <f t="shared" si="91"/>
        <v>0</v>
      </c>
      <c r="K208" s="78">
        <f t="shared" ca="1" si="87"/>
        <v>0</v>
      </c>
      <c r="L208" s="470"/>
      <c r="M208" s="470"/>
      <c r="N208" s="470"/>
      <c r="O208" s="531"/>
      <c r="P208" s="70">
        <f t="shared" ca="1" si="92"/>
        <v>0</v>
      </c>
      <c r="Q208" s="70">
        <f t="shared" ca="1" si="93"/>
        <v>0</v>
      </c>
      <c r="R208" s="70">
        <f t="shared" ca="1" si="94"/>
        <v>0</v>
      </c>
      <c r="S208" s="70">
        <f t="shared" ca="1" si="95"/>
        <v>0</v>
      </c>
      <c r="T208" s="70">
        <f t="shared" ca="1" si="96"/>
        <v>0</v>
      </c>
      <c r="U208" s="70">
        <f t="shared" ca="1" si="97"/>
        <v>0</v>
      </c>
      <c r="V208" s="70">
        <f t="shared" ca="1" si="98"/>
        <v>0</v>
      </c>
      <c r="W208" s="70">
        <f t="shared" ca="1" si="99"/>
        <v>0</v>
      </c>
      <c r="X208" s="70">
        <f t="shared" si="100"/>
        <v>0</v>
      </c>
      <c r="Y208" s="70">
        <f t="shared" si="101"/>
        <v>0</v>
      </c>
      <c r="Z208" s="68">
        <f t="shared" si="102"/>
        <v>1</v>
      </c>
      <c r="AA208" s="84">
        <f t="shared" si="103"/>
        <v>0</v>
      </c>
      <c r="AB208" s="488">
        <f t="array" ref="AB208">ROUNDDOWN(AVERAGE(IFERROR(LARGE((X$6:X207+Y$6:Y207)*Z$6:Z207*(G$6:G207=G208), SC_SSCalcYears),0))/(12*Z208),0)</f>
        <v>0</v>
      </c>
      <c r="AC208" s="69">
        <f t="shared" si="104"/>
        <v>1</v>
      </c>
      <c r="AD208" s="85">
        <f t="shared" si="105"/>
        <v>0</v>
      </c>
      <c r="AE208" s="140">
        <f t="shared" ca="1" si="106"/>
        <v>0</v>
      </c>
      <c r="AF208" s="75">
        <f t="shared" ca="1" si="107"/>
        <v>0</v>
      </c>
      <c r="AG208" s="109">
        <f t="shared" ca="1" si="108"/>
        <v>0</v>
      </c>
      <c r="AH208" s="617">
        <f>SUMIFS($AE208:$AE209,SP_PensionPayout,"Lump sum",$E208:$E209,"&lt;&gt;0")</f>
        <v>0</v>
      </c>
      <c r="AI208" s="617">
        <f>SUMIFS($AE208:$AE209,SP_PensionPayout,"Annuity",$E208:$E209,"&lt;&gt;0")</f>
        <v>0</v>
      </c>
      <c r="AJ208" s="617">
        <f>IF(ISBLANK(INDEX(SP_SSPBFA,1)),0,IF($J208&lt;&gt;INDEX(SP_SSPBFA,1),AJ206,SP_AdditionalRI/INDEX(SC_EA_InflationWageIdx,EAIDX)))</f>
        <v>0</v>
      </c>
      <c r="AK208" s="617">
        <f ca="1">SUMPRODUCT(AF208:AF209, --(G208:G209&lt;&gt;0))</f>
        <v>0</v>
      </c>
      <c r="AL208" s="618">
        <f ca="1">SUMPRODUCT(AG208:AG209, --(E208:E209&lt;&gt;0))+AJ208</f>
        <v>0</v>
      </c>
      <c r="AM208" s="186">
        <f t="shared" ca="1" si="113"/>
        <v>0</v>
      </c>
      <c r="AN208" t="str">
        <f t="shared" ca="1" si="114"/>
        <v/>
      </c>
    </row>
    <row r="209" spans="2:40" x14ac:dyDescent="0.25">
      <c r="B209" s="86">
        <f t="shared" si="111"/>
        <v>2055</v>
      </c>
      <c r="C209" s="80" t="s">
        <v>741</v>
      </c>
      <c r="D209" s="147" t="str">
        <f t="shared" si="84"/>
        <v/>
      </c>
      <c r="E209" s="81">
        <f t="shared" si="85"/>
        <v>0</v>
      </c>
      <c r="F209" s="82">
        <f t="shared" si="89"/>
        <v>0</v>
      </c>
      <c r="G209" s="81">
        <f t="shared" si="88"/>
        <v>2</v>
      </c>
      <c r="H209" s="82">
        <f t="shared" si="90"/>
        <v>-1</v>
      </c>
      <c r="I209" s="82">
        <f t="shared" si="86"/>
        <v>0</v>
      </c>
      <c r="J209" s="81">
        <f t="shared" si="91"/>
        <v>0</v>
      </c>
      <c r="K209" s="83">
        <f t="shared" ca="1" si="87"/>
        <v>0</v>
      </c>
      <c r="L209" s="470"/>
      <c r="M209" s="470"/>
      <c r="N209" s="470"/>
      <c r="O209" s="531"/>
      <c r="P209" s="107">
        <f t="shared" ca="1" si="92"/>
        <v>0</v>
      </c>
      <c r="Q209" s="107">
        <f t="shared" ca="1" si="93"/>
        <v>0</v>
      </c>
      <c r="R209" s="107">
        <f t="shared" ca="1" si="94"/>
        <v>0</v>
      </c>
      <c r="S209" s="107">
        <f t="shared" ca="1" si="95"/>
        <v>0</v>
      </c>
      <c r="T209" s="107">
        <f t="shared" ca="1" si="96"/>
        <v>0</v>
      </c>
      <c r="U209" s="107">
        <f t="shared" ca="1" si="97"/>
        <v>0</v>
      </c>
      <c r="V209" s="107">
        <f t="shared" ca="1" si="98"/>
        <v>0</v>
      </c>
      <c r="W209" s="107">
        <f t="shared" ca="1" si="99"/>
        <v>0</v>
      </c>
      <c r="X209" s="107">
        <f t="shared" si="100"/>
        <v>0</v>
      </c>
      <c r="Y209" s="107">
        <f t="shared" si="101"/>
        <v>0</v>
      </c>
      <c r="Z209" s="87">
        <f t="shared" si="102"/>
        <v>1</v>
      </c>
      <c r="AA209" s="88">
        <f t="shared" si="103"/>
        <v>0</v>
      </c>
      <c r="AB209" s="107">
        <f t="array" ref="AB209">ROUNDDOWN(AVERAGE(IFERROR(LARGE((X$6:X208+Y$6:Y208)*Z$6:Z208*(G$6:G208=G209), SC_SSCalcYears),0))/(12*Z209),0)</f>
        <v>0</v>
      </c>
      <c r="AC209" s="211">
        <f t="shared" si="104"/>
        <v>1</v>
      </c>
      <c r="AD209" s="89">
        <f t="shared" si="105"/>
        <v>0</v>
      </c>
      <c r="AE209" s="141">
        <f t="shared" ca="1" si="106"/>
        <v>0</v>
      </c>
      <c r="AF209" s="106">
        <f t="shared" ca="1" si="107"/>
        <v>0</v>
      </c>
      <c r="AG209" s="110">
        <f t="shared" ca="1" si="108"/>
        <v>0</v>
      </c>
      <c r="AH209" s="617"/>
      <c r="AI209" s="617"/>
      <c r="AJ209" s="617"/>
      <c r="AK209" s="617"/>
      <c r="AL209" s="618"/>
      <c r="AM209" s="186">
        <f t="shared" ca="1" si="113"/>
        <v>0</v>
      </c>
      <c r="AN209" t="str">
        <f t="shared" ca="1" si="114"/>
        <v/>
      </c>
    </row>
    <row r="210" spans="2:40" x14ac:dyDescent="0.25">
      <c r="B210" s="65">
        <f t="shared" si="111"/>
        <v>2056</v>
      </c>
      <c r="C210" s="76" t="s">
        <v>741</v>
      </c>
      <c r="D210" s="146" t="str">
        <f t="shared" si="84"/>
        <v/>
      </c>
      <c r="E210" s="77">
        <f t="shared" si="85"/>
        <v>0</v>
      </c>
      <c r="F210" s="77">
        <f t="shared" si="89"/>
        <v>0</v>
      </c>
      <c r="G210" s="77">
        <f t="shared" si="88"/>
        <v>1</v>
      </c>
      <c r="H210" s="76">
        <f t="shared" si="90"/>
        <v>1</v>
      </c>
      <c r="I210" s="76">
        <f t="shared" si="86"/>
        <v>0</v>
      </c>
      <c r="J210" s="77">
        <f t="shared" si="91"/>
        <v>0</v>
      </c>
      <c r="K210" s="78">
        <f t="shared" ca="1" si="87"/>
        <v>0</v>
      </c>
      <c r="L210" s="470"/>
      <c r="M210" s="470"/>
      <c r="N210" s="470"/>
      <c r="O210" s="531"/>
      <c r="P210" s="70">
        <f t="shared" ca="1" si="92"/>
        <v>0</v>
      </c>
      <c r="Q210" s="70">
        <f t="shared" ca="1" si="93"/>
        <v>0</v>
      </c>
      <c r="R210" s="70">
        <f t="shared" ca="1" si="94"/>
        <v>0</v>
      </c>
      <c r="S210" s="70">
        <f t="shared" ca="1" si="95"/>
        <v>0</v>
      </c>
      <c r="T210" s="70">
        <f t="shared" ca="1" si="96"/>
        <v>0</v>
      </c>
      <c r="U210" s="70">
        <f t="shared" ca="1" si="97"/>
        <v>0</v>
      </c>
      <c r="V210" s="70">
        <f t="shared" ca="1" si="98"/>
        <v>0</v>
      </c>
      <c r="W210" s="70">
        <f t="shared" ca="1" si="99"/>
        <v>0</v>
      </c>
      <c r="X210" s="70">
        <f t="shared" si="100"/>
        <v>0</v>
      </c>
      <c r="Y210" s="70">
        <f t="shared" si="101"/>
        <v>0</v>
      </c>
      <c r="Z210" s="68">
        <f t="shared" si="102"/>
        <v>1</v>
      </c>
      <c r="AA210" s="84">
        <f t="shared" si="103"/>
        <v>0</v>
      </c>
      <c r="AB210" s="488">
        <f t="array" ref="AB210">ROUNDDOWN(AVERAGE(IFERROR(LARGE((X$6:X209+Y$6:Y209)*Z$6:Z209*(G$6:G209=G210), SC_SSCalcYears),0))/(12*Z210),0)</f>
        <v>0</v>
      </c>
      <c r="AC210" s="69">
        <f t="shared" si="104"/>
        <v>1</v>
      </c>
      <c r="AD210" s="85">
        <f t="shared" si="105"/>
        <v>0</v>
      </c>
      <c r="AE210" s="140">
        <f t="shared" ca="1" si="106"/>
        <v>0</v>
      </c>
      <c r="AF210" s="75">
        <f t="shared" ca="1" si="107"/>
        <v>0</v>
      </c>
      <c r="AG210" s="109">
        <f t="shared" ca="1" si="108"/>
        <v>0</v>
      </c>
      <c r="AH210" s="617">
        <f>SUMIFS($AE210:$AE211,SP_PensionPayout,"Lump sum",$E210:$E211,"&lt;&gt;0")</f>
        <v>0</v>
      </c>
      <c r="AI210" s="617">
        <f>SUMIFS($AE210:$AE211,SP_PensionPayout,"Annuity",$E210:$E211,"&lt;&gt;0")</f>
        <v>0</v>
      </c>
      <c r="AJ210" s="617">
        <f>IF(ISBLANK(INDEX(SP_SSPBFA,1)),0,IF($J210&lt;&gt;INDEX(SP_SSPBFA,1),AJ208,SP_AdditionalRI/INDEX(SC_EA_InflationWageIdx,EAIDX)))</f>
        <v>0</v>
      </c>
      <c r="AK210" s="617">
        <f ca="1">SUMPRODUCT(AF210:AF211, --(G210:G211&lt;&gt;0))</f>
        <v>0</v>
      </c>
      <c r="AL210" s="618">
        <f ca="1">SUMPRODUCT(AG210:AG211, --(E210:E211&lt;&gt;0))+AJ210</f>
        <v>0</v>
      </c>
      <c r="AM210" s="186">
        <f t="shared" ca="1" si="113"/>
        <v>0</v>
      </c>
      <c r="AN210" t="str">
        <f t="shared" ca="1" si="114"/>
        <v/>
      </c>
    </row>
    <row r="211" spans="2:40" x14ac:dyDescent="0.25">
      <c r="B211" s="86">
        <f t="shared" si="111"/>
        <v>2056</v>
      </c>
      <c r="C211" s="80" t="s">
        <v>741</v>
      </c>
      <c r="D211" s="147" t="str">
        <f t="shared" si="84"/>
        <v/>
      </c>
      <c r="E211" s="81">
        <f t="shared" si="85"/>
        <v>0</v>
      </c>
      <c r="F211" s="82">
        <f t="shared" si="89"/>
        <v>0</v>
      </c>
      <c r="G211" s="81">
        <f t="shared" si="88"/>
        <v>2</v>
      </c>
      <c r="H211" s="82">
        <f t="shared" si="90"/>
        <v>-1</v>
      </c>
      <c r="I211" s="82">
        <f t="shared" si="86"/>
        <v>0</v>
      </c>
      <c r="J211" s="81">
        <f t="shared" si="91"/>
        <v>0</v>
      </c>
      <c r="K211" s="83">
        <f t="shared" ca="1" si="87"/>
        <v>0</v>
      </c>
      <c r="L211" s="470"/>
      <c r="M211" s="470"/>
      <c r="N211" s="470"/>
      <c r="O211" s="531"/>
      <c r="P211" s="107">
        <f t="shared" ca="1" si="92"/>
        <v>0</v>
      </c>
      <c r="Q211" s="107">
        <f t="shared" ca="1" si="93"/>
        <v>0</v>
      </c>
      <c r="R211" s="107">
        <f t="shared" ca="1" si="94"/>
        <v>0</v>
      </c>
      <c r="S211" s="107">
        <f t="shared" ca="1" si="95"/>
        <v>0</v>
      </c>
      <c r="T211" s="107">
        <f t="shared" ca="1" si="96"/>
        <v>0</v>
      </c>
      <c r="U211" s="107">
        <f t="shared" ca="1" si="97"/>
        <v>0</v>
      </c>
      <c r="V211" s="107">
        <f t="shared" ca="1" si="98"/>
        <v>0</v>
      </c>
      <c r="W211" s="107">
        <f t="shared" ca="1" si="99"/>
        <v>0</v>
      </c>
      <c r="X211" s="107">
        <f t="shared" si="100"/>
        <v>0</v>
      </c>
      <c r="Y211" s="107">
        <f t="shared" si="101"/>
        <v>0</v>
      </c>
      <c r="Z211" s="87">
        <f t="shared" si="102"/>
        <v>1</v>
      </c>
      <c r="AA211" s="88">
        <f t="shared" si="103"/>
        <v>0</v>
      </c>
      <c r="AB211" s="107">
        <f t="array" ref="AB211">ROUNDDOWN(AVERAGE(IFERROR(LARGE((X$6:X210+Y$6:Y210)*Z$6:Z210*(G$6:G210=G211), SC_SSCalcYears),0))/(12*Z211),0)</f>
        <v>0</v>
      </c>
      <c r="AC211" s="211">
        <f t="shared" si="104"/>
        <v>1</v>
      </c>
      <c r="AD211" s="89">
        <f t="shared" si="105"/>
        <v>0</v>
      </c>
      <c r="AE211" s="141">
        <f t="shared" ca="1" si="106"/>
        <v>0</v>
      </c>
      <c r="AF211" s="106">
        <f t="shared" ca="1" si="107"/>
        <v>0</v>
      </c>
      <c r="AG211" s="110">
        <f t="shared" ca="1" si="108"/>
        <v>0</v>
      </c>
      <c r="AH211" s="617"/>
      <c r="AI211" s="617"/>
      <c r="AJ211" s="617"/>
      <c r="AK211" s="617"/>
      <c r="AL211" s="618"/>
      <c r="AM211" s="186">
        <f t="shared" ca="1" si="113"/>
        <v>0</v>
      </c>
      <c r="AN211" t="str">
        <f t="shared" ca="1" si="114"/>
        <v/>
      </c>
    </row>
    <row r="212" spans="2:40" x14ac:dyDescent="0.25">
      <c r="B212" s="65">
        <f t="shared" si="111"/>
        <v>2057</v>
      </c>
      <c r="C212" s="76" t="s">
        <v>741</v>
      </c>
      <c r="D212" s="146" t="str">
        <f t="shared" si="84"/>
        <v/>
      </c>
      <c r="E212" s="77">
        <f t="shared" si="85"/>
        <v>0</v>
      </c>
      <c r="F212" s="77">
        <f t="shared" si="89"/>
        <v>0</v>
      </c>
      <c r="G212" s="77">
        <f t="shared" si="88"/>
        <v>1</v>
      </c>
      <c r="H212" s="76">
        <f t="shared" si="90"/>
        <v>1</v>
      </c>
      <c r="I212" s="76">
        <f t="shared" si="86"/>
        <v>0</v>
      </c>
      <c r="J212" s="77">
        <f t="shared" si="91"/>
        <v>0</v>
      </c>
      <c r="K212" s="78">
        <f t="shared" ca="1" si="87"/>
        <v>0</v>
      </c>
      <c r="L212" s="470"/>
      <c r="M212" s="470"/>
      <c r="N212" s="470"/>
      <c r="O212" s="531"/>
      <c r="P212" s="70">
        <f t="shared" ca="1" si="92"/>
        <v>0</v>
      </c>
      <c r="Q212" s="70">
        <f t="shared" ca="1" si="93"/>
        <v>0</v>
      </c>
      <c r="R212" s="70">
        <f t="shared" ca="1" si="94"/>
        <v>0</v>
      </c>
      <c r="S212" s="70">
        <f t="shared" ca="1" si="95"/>
        <v>0</v>
      </c>
      <c r="T212" s="70">
        <f t="shared" ca="1" si="96"/>
        <v>0</v>
      </c>
      <c r="U212" s="70">
        <f t="shared" ca="1" si="97"/>
        <v>0</v>
      </c>
      <c r="V212" s="70">
        <f t="shared" ca="1" si="98"/>
        <v>0</v>
      </c>
      <c r="W212" s="70">
        <f t="shared" ca="1" si="99"/>
        <v>0</v>
      </c>
      <c r="X212" s="70">
        <f t="shared" si="100"/>
        <v>0</v>
      </c>
      <c r="Y212" s="70">
        <f t="shared" si="101"/>
        <v>0</v>
      </c>
      <c r="Z212" s="68">
        <f t="shared" si="102"/>
        <v>1</v>
      </c>
      <c r="AA212" s="84">
        <f t="shared" si="103"/>
        <v>0</v>
      </c>
      <c r="AB212" s="488">
        <f t="array" ref="AB212">ROUNDDOWN(AVERAGE(IFERROR(LARGE((X$6:X211+Y$6:Y211)*Z$6:Z211*(G$6:G211=G212), SC_SSCalcYears),0))/(12*Z212),0)</f>
        <v>0</v>
      </c>
      <c r="AC212" s="69">
        <f t="shared" si="104"/>
        <v>1</v>
      </c>
      <c r="AD212" s="85">
        <f t="shared" si="105"/>
        <v>0</v>
      </c>
      <c r="AE212" s="140">
        <f t="shared" ca="1" si="106"/>
        <v>0</v>
      </c>
      <c r="AF212" s="75">
        <f t="shared" ca="1" si="107"/>
        <v>0</v>
      </c>
      <c r="AG212" s="109">
        <f t="shared" ca="1" si="108"/>
        <v>0</v>
      </c>
      <c r="AH212" s="617">
        <f>SUMIFS($AE212:$AE213,SP_PensionPayout,"Lump sum",$E212:$E213,"&lt;&gt;0")</f>
        <v>0</v>
      </c>
      <c r="AI212" s="617">
        <f>SUMIFS($AE212:$AE213,SP_PensionPayout,"Annuity",$E212:$E213,"&lt;&gt;0")</f>
        <v>0</v>
      </c>
      <c r="AJ212" s="617">
        <f>IF(ISBLANK(INDEX(SP_SSPBFA,1)),0,IF($J212&lt;&gt;INDEX(SP_SSPBFA,1),AJ210,SP_AdditionalRI/INDEX(SC_EA_InflationWageIdx,EAIDX)))</f>
        <v>0</v>
      </c>
      <c r="AK212" s="617">
        <f ca="1">SUMPRODUCT(AF212:AF213, --(G212:G213&lt;&gt;0))</f>
        <v>0</v>
      </c>
      <c r="AL212" s="618">
        <f ca="1">SUMPRODUCT(AG212:AG213, --(E212:E213&lt;&gt;0))+AJ212</f>
        <v>0</v>
      </c>
      <c r="AM212" s="186">
        <f t="shared" ca="1" si="113"/>
        <v>0</v>
      </c>
      <c r="AN212" t="str">
        <f t="shared" ca="1" si="114"/>
        <v/>
      </c>
    </row>
    <row r="213" spans="2:40" x14ac:dyDescent="0.25">
      <c r="B213" s="86">
        <f t="shared" si="111"/>
        <v>2057</v>
      </c>
      <c r="C213" s="80" t="s">
        <v>741</v>
      </c>
      <c r="D213" s="147" t="str">
        <f t="shared" si="84"/>
        <v/>
      </c>
      <c r="E213" s="81">
        <f t="shared" si="85"/>
        <v>0</v>
      </c>
      <c r="F213" s="82">
        <f t="shared" si="89"/>
        <v>0</v>
      </c>
      <c r="G213" s="81">
        <f t="shared" si="88"/>
        <v>2</v>
      </c>
      <c r="H213" s="82">
        <f t="shared" si="90"/>
        <v>-1</v>
      </c>
      <c r="I213" s="82">
        <f t="shared" si="86"/>
        <v>0</v>
      </c>
      <c r="J213" s="81">
        <f t="shared" si="91"/>
        <v>0</v>
      </c>
      <c r="K213" s="83">
        <f t="shared" ca="1" si="87"/>
        <v>0</v>
      </c>
      <c r="L213" s="470"/>
      <c r="M213" s="470"/>
      <c r="N213" s="470"/>
      <c r="O213" s="531"/>
      <c r="P213" s="107">
        <f t="shared" ca="1" si="92"/>
        <v>0</v>
      </c>
      <c r="Q213" s="107">
        <f t="shared" ca="1" si="93"/>
        <v>0</v>
      </c>
      <c r="R213" s="107">
        <f t="shared" ca="1" si="94"/>
        <v>0</v>
      </c>
      <c r="S213" s="107">
        <f t="shared" ca="1" si="95"/>
        <v>0</v>
      </c>
      <c r="T213" s="107">
        <f t="shared" ca="1" si="96"/>
        <v>0</v>
      </c>
      <c r="U213" s="107">
        <f t="shared" ca="1" si="97"/>
        <v>0</v>
      </c>
      <c r="V213" s="107">
        <f t="shared" ca="1" si="98"/>
        <v>0</v>
      </c>
      <c r="W213" s="107">
        <f t="shared" ca="1" si="99"/>
        <v>0</v>
      </c>
      <c r="X213" s="107">
        <f t="shared" si="100"/>
        <v>0</v>
      </c>
      <c r="Y213" s="107">
        <f t="shared" si="101"/>
        <v>0</v>
      </c>
      <c r="Z213" s="87">
        <f t="shared" si="102"/>
        <v>1</v>
      </c>
      <c r="AA213" s="88">
        <f t="shared" si="103"/>
        <v>0</v>
      </c>
      <c r="AB213" s="107">
        <f t="array" ref="AB213">ROUNDDOWN(AVERAGE(IFERROR(LARGE((X$6:X212+Y$6:Y212)*Z$6:Z212*(G$6:G212=G213), SC_SSCalcYears),0))/(12*Z213),0)</f>
        <v>0</v>
      </c>
      <c r="AC213" s="211">
        <f t="shared" si="104"/>
        <v>1</v>
      </c>
      <c r="AD213" s="89">
        <f t="shared" si="105"/>
        <v>0</v>
      </c>
      <c r="AE213" s="141">
        <f t="shared" ca="1" si="106"/>
        <v>0</v>
      </c>
      <c r="AF213" s="106">
        <f t="shared" ca="1" si="107"/>
        <v>0</v>
      </c>
      <c r="AG213" s="110">
        <f t="shared" ca="1" si="108"/>
        <v>0</v>
      </c>
      <c r="AH213" s="617"/>
      <c r="AI213" s="617"/>
      <c r="AJ213" s="617"/>
      <c r="AK213" s="617"/>
      <c r="AL213" s="618"/>
      <c r="AM213" s="186">
        <f t="shared" ca="1" si="113"/>
        <v>0</v>
      </c>
      <c r="AN213" t="str">
        <f t="shared" ca="1" si="114"/>
        <v/>
      </c>
    </row>
    <row r="214" spans="2:40" x14ac:dyDescent="0.25">
      <c r="B214" s="65">
        <f t="shared" si="111"/>
        <v>2058</v>
      </c>
      <c r="C214" s="76" t="s">
        <v>741</v>
      </c>
      <c r="D214" s="146" t="str">
        <f t="shared" si="84"/>
        <v/>
      </c>
      <c r="E214" s="77">
        <f t="shared" si="85"/>
        <v>0</v>
      </c>
      <c r="F214" s="77">
        <f t="shared" si="89"/>
        <v>0</v>
      </c>
      <c r="G214" s="77">
        <f t="shared" si="88"/>
        <v>1</v>
      </c>
      <c r="H214" s="76">
        <f t="shared" si="90"/>
        <v>1</v>
      </c>
      <c r="I214" s="76">
        <f t="shared" si="86"/>
        <v>0</v>
      </c>
      <c r="J214" s="77">
        <f t="shared" si="91"/>
        <v>0</v>
      </c>
      <c r="K214" s="78">
        <f t="shared" ca="1" si="87"/>
        <v>0</v>
      </c>
      <c r="L214" s="470"/>
      <c r="M214" s="470"/>
      <c r="N214" s="470"/>
      <c r="O214" s="531"/>
      <c r="P214" s="70">
        <f t="shared" ca="1" si="92"/>
        <v>0</v>
      </c>
      <c r="Q214" s="70">
        <f t="shared" ca="1" si="93"/>
        <v>0</v>
      </c>
      <c r="R214" s="70">
        <f t="shared" ca="1" si="94"/>
        <v>0</v>
      </c>
      <c r="S214" s="70">
        <f t="shared" ca="1" si="95"/>
        <v>0</v>
      </c>
      <c r="T214" s="70">
        <f t="shared" ca="1" si="96"/>
        <v>0</v>
      </c>
      <c r="U214" s="70">
        <f t="shared" ca="1" si="97"/>
        <v>0</v>
      </c>
      <c r="V214" s="70">
        <f t="shared" ca="1" si="98"/>
        <v>0</v>
      </c>
      <c r="W214" s="70">
        <f t="shared" ca="1" si="99"/>
        <v>0</v>
      </c>
      <c r="X214" s="70">
        <f t="shared" si="100"/>
        <v>0</v>
      </c>
      <c r="Y214" s="70">
        <f t="shared" si="101"/>
        <v>0</v>
      </c>
      <c r="Z214" s="68">
        <f t="shared" si="102"/>
        <v>1</v>
      </c>
      <c r="AA214" s="84">
        <f t="shared" si="103"/>
        <v>0</v>
      </c>
      <c r="AB214" s="488">
        <f t="array" ref="AB214">ROUNDDOWN(AVERAGE(IFERROR(LARGE((X$6:X213+Y$6:Y213)*Z$6:Z213*(G$6:G213=G214), SC_SSCalcYears),0))/(12*Z214),0)</f>
        <v>0</v>
      </c>
      <c r="AC214" s="69">
        <f t="shared" si="104"/>
        <v>1</v>
      </c>
      <c r="AD214" s="85">
        <f t="shared" si="105"/>
        <v>0</v>
      </c>
      <c r="AE214" s="140">
        <f t="shared" ca="1" si="106"/>
        <v>0</v>
      </c>
      <c r="AF214" s="75">
        <f t="shared" ca="1" si="107"/>
        <v>0</v>
      </c>
      <c r="AG214" s="109">
        <f t="shared" ca="1" si="108"/>
        <v>0</v>
      </c>
      <c r="AH214" s="617">
        <f>SUMIFS($AE214:$AE215,SP_PensionPayout,"Lump sum",$E214:$E215,"&lt;&gt;0")</f>
        <v>0</v>
      </c>
      <c r="AI214" s="617">
        <f>SUMIFS($AE214:$AE215,SP_PensionPayout,"Annuity",$E214:$E215,"&lt;&gt;0")</f>
        <v>0</v>
      </c>
      <c r="AJ214" s="617">
        <f>IF(ISBLANK(INDEX(SP_SSPBFA,1)),0,IF($J214&lt;&gt;INDEX(SP_SSPBFA,1),AJ212,SP_AdditionalRI/INDEX(SC_EA_InflationWageIdx,EAIDX)))</f>
        <v>0</v>
      </c>
      <c r="AK214" s="617">
        <f ca="1">SUMPRODUCT(AF214:AF215, --(G214:G215&lt;&gt;0))</f>
        <v>0</v>
      </c>
      <c r="AL214" s="618">
        <f ca="1">SUMPRODUCT(AG214:AG215, --(E214:E215&lt;&gt;0))+AJ214</f>
        <v>0</v>
      </c>
      <c r="AM214" s="186">
        <f t="shared" ca="1" si="113"/>
        <v>0</v>
      </c>
      <c r="AN214" t="str">
        <f t="shared" ca="1" si="114"/>
        <v/>
      </c>
    </row>
    <row r="215" spans="2:40" x14ac:dyDescent="0.25">
      <c r="B215" s="86">
        <f t="shared" si="111"/>
        <v>2058</v>
      </c>
      <c r="C215" s="80" t="s">
        <v>741</v>
      </c>
      <c r="D215" s="147" t="str">
        <f t="shared" si="84"/>
        <v/>
      </c>
      <c r="E215" s="81">
        <f t="shared" si="85"/>
        <v>0</v>
      </c>
      <c r="F215" s="82">
        <f t="shared" si="89"/>
        <v>0</v>
      </c>
      <c r="G215" s="81">
        <f t="shared" si="88"/>
        <v>2</v>
      </c>
      <c r="H215" s="82">
        <f t="shared" si="90"/>
        <v>-1</v>
      </c>
      <c r="I215" s="82">
        <f t="shared" si="86"/>
        <v>0</v>
      </c>
      <c r="J215" s="81">
        <f t="shared" si="91"/>
        <v>0</v>
      </c>
      <c r="K215" s="83">
        <f t="shared" ca="1" si="87"/>
        <v>0</v>
      </c>
      <c r="L215" s="470"/>
      <c r="M215" s="470"/>
      <c r="N215" s="470"/>
      <c r="O215" s="531"/>
      <c r="P215" s="107">
        <f t="shared" ca="1" si="92"/>
        <v>0</v>
      </c>
      <c r="Q215" s="107">
        <f t="shared" ca="1" si="93"/>
        <v>0</v>
      </c>
      <c r="R215" s="107">
        <f t="shared" ca="1" si="94"/>
        <v>0</v>
      </c>
      <c r="S215" s="107">
        <f t="shared" ca="1" si="95"/>
        <v>0</v>
      </c>
      <c r="T215" s="107">
        <f t="shared" ca="1" si="96"/>
        <v>0</v>
      </c>
      <c r="U215" s="107">
        <f t="shared" ca="1" si="97"/>
        <v>0</v>
      </c>
      <c r="V215" s="107">
        <f t="shared" ca="1" si="98"/>
        <v>0</v>
      </c>
      <c r="W215" s="107">
        <f t="shared" ca="1" si="99"/>
        <v>0</v>
      </c>
      <c r="X215" s="107">
        <f t="shared" si="100"/>
        <v>0</v>
      </c>
      <c r="Y215" s="107">
        <f t="shared" si="101"/>
        <v>0</v>
      </c>
      <c r="Z215" s="87">
        <f t="shared" si="102"/>
        <v>1</v>
      </c>
      <c r="AA215" s="88">
        <f t="shared" si="103"/>
        <v>0</v>
      </c>
      <c r="AB215" s="107">
        <f t="array" ref="AB215">ROUNDDOWN(AVERAGE(IFERROR(LARGE((X$6:X214+Y$6:Y214)*Z$6:Z214*(G$6:G214=G215), SC_SSCalcYears),0))/(12*Z215),0)</f>
        <v>0</v>
      </c>
      <c r="AC215" s="211">
        <f t="shared" si="104"/>
        <v>1</v>
      </c>
      <c r="AD215" s="89">
        <f t="shared" si="105"/>
        <v>0</v>
      </c>
      <c r="AE215" s="141">
        <f t="shared" ca="1" si="106"/>
        <v>0</v>
      </c>
      <c r="AF215" s="106">
        <f t="shared" ca="1" si="107"/>
        <v>0</v>
      </c>
      <c r="AG215" s="110">
        <f t="shared" ca="1" si="108"/>
        <v>0</v>
      </c>
      <c r="AH215" s="617"/>
      <c r="AI215" s="617"/>
      <c r="AJ215" s="617"/>
      <c r="AK215" s="617"/>
      <c r="AL215" s="618"/>
      <c r="AM215" s="186">
        <f t="shared" ca="1" si="113"/>
        <v>0</v>
      </c>
      <c r="AN215" t="str">
        <f t="shared" ca="1" si="114"/>
        <v/>
      </c>
    </row>
    <row r="216" spans="2:40" x14ac:dyDescent="0.25">
      <c r="B216" s="65">
        <f t="shared" si="111"/>
        <v>2059</v>
      </c>
      <c r="C216" s="76" t="s">
        <v>741</v>
      </c>
      <c r="D216" s="146" t="str">
        <f t="shared" si="84"/>
        <v/>
      </c>
      <c r="E216" s="77">
        <f t="shared" si="85"/>
        <v>0</v>
      </c>
      <c r="F216" s="77">
        <f t="shared" si="89"/>
        <v>0</v>
      </c>
      <c r="G216" s="77">
        <f t="shared" si="88"/>
        <v>1</v>
      </c>
      <c r="H216" s="76">
        <f t="shared" si="90"/>
        <v>1</v>
      </c>
      <c r="I216" s="76">
        <f t="shared" si="86"/>
        <v>0</v>
      </c>
      <c r="J216" s="77">
        <f t="shared" si="91"/>
        <v>0</v>
      </c>
      <c r="K216" s="78">
        <f t="shared" ca="1" si="87"/>
        <v>0</v>
      </c>
      <c r="L216" s="470"/>
      <c r="M216" s="470"/>
      <c r="N216" s="470"/>
      <c r="O216" s="531"/>
      <c r="P216" s="70">
        <f t="shared" ca="1" si="92"/>
        <v>0</v>
      </c>
      <c r="Q216" s="70">
        <f t="shared" ca="1" si="93"/>
        <v>0</v>
      </c>
      <c r="R216" s="70">
        <f t="shared" ca="1" si="94"/>
        <v>0</v>
      </c>
      <c r="S216" s="70">
        <f t="shared" ca="1" si="95"/>
        <v>0</v>
      </c>
      <c r="T216" s="70">
        <f t="shared" ca="1" si="96"/>
        <v>0</v>
      </c>
      <c r="U216" s="70">
        <f t="shared" ca="1" si="97"/>
        <v>0</v>
      </c>
      <c r="V216" s="70">
        <f t="shared" ca="1" si="98"/>
        <v>0</v>
      </c>
      <c r="W216" s="70">
        <f t="shared" ca="1" si="99"/>
        <v>0</v>
      </c>
      <c r="X216" s="70">
        <f t="shared" si="100"/>
        <v>0</v>
      </c>
      <c r="Y216" s="70">
        <f t="shared" si="101"/>
        <v>0</v>
      </c>
      <c r="Z216" s="68">
        <f t="shared" si="102"/>
        <v>1</v>
      </c>
      <c r="AA216" s="84">
        <f t="shared" si="103"/>
        <v>0</v>
      </c>
      <c r="AB216" s="488">
        <f t="array" ref="AB216">ROUNDDOWN(AVERAGE(IFERROR(LARGE((X$6:X215+Y$6:Y215)*Z$6:Z215*(G$6:G215=G216), SC_SSCalcYears),0))/(12*Z216),0)</f>
        <v>0</v>
      </c>
      <c r="AC216" s="69">
        <f t="shared" si="104"/>
        <v>1</v>
      </c>
      <c r="AD216" s="85">
        <f t="shared" si="105"/>
        <v>0</v>
      </c>
      <c r="AE216" s="140">
        <f t="shared" ca="1" si="106"/>
        <v>0</v>
      </c>
      <c r="AF216" s="75">
        <f t="shared" ca="1" si="107"/>
        <v>0</v>
      </c>
      <c r="AG216" s="109">
        <f t="shared" ca="1" si="108"/>
        <v>0</v>
      </c>
      <c r="AH216" s="617">
        <f>SUMIFS($AE216:$AE217,SP_PensionPayout,"Lump sum",$E216:$E217,"&lt;&gt;0")</f>
        <v>0</v>
      </c>
      <c r="AI216" s="617">
        <f>SUMIFS($AE216:$AE217,SP_PensionPayout,"Annuity",$E216:$E217,"&lt;&gt;0")</f>
        <v>0</v>
      </c>
      <c r="AJ216" s="617">
        <f>IF(ISBLANK(INDEX(SP_SSPBFA,1)),0,IF($J216&lt;&gt;INDEX(SP_SSPBFA,1),AJ214,SP_AdditionalRI/INDEX(SC_EA_InflationWageIdx,EAIDX)))</f>
        <v>0</v>
      </c>
      <c r="AK216" s="617">
        <f ca="1">SUMPRODUCT(AF216:AF217, --(G216:G217&lt;&gt;0))</f>
        <v>0</v>
      </c>
      <c r="AL216" s="618">
        <f ca="1">SUMPRODUCT(AG216:AG217, --(E216:E217&lt;&gt;0))+AJ216</f>
        <v>0</v>
      </c>
      <c r="AM216" s="186">
        <f t="shared" ca="1" si="113"/>
        <v>0</v>
      </c>
      <c r="AN216" t="str">
        <f t="shared" ca="1" si="114"/>
        <v/>
      </c>
    </row>
    <row r="217" spans="2:40" x14ac:dyDescent="0.25">
      <c r="B217" s="86">
        <f t="shared" si="111"/>
        <v>2059</v>
      </c>
      <c r="C217" s="80" t="s">
        <v>741</v>
      </c>
      <c r="D217" s="147" t="str">
        <f t="shared" si="84"/>
        <v/>
      </c>
      <c r="E217" s="81">
        <f t="shared" si="85"/>
        <v>0</v>
      </c>
      <c r="F217" s="82">
        <f t="shared" si="89"/>
        <v>0</v>
      </c>
      <c r="G217" s="81">
        <f t="shared" si="88"/>
        <v>2</v>
      </c>
      <c r="H217" s="82">
        <f t="shared" si="90"/>
        <v>-1</v>
      </c>
      <c r="I217" s="82">
        <f t="shared" si="86"/>
        <v>0</v>
      </c>
      <c r="J217" s="81">
        <f t="shared" si="91"/>
        <v>0</v>
      </c>
      <c r="K217" s="83">
        <f t="shared" ca="1" si="87"/>
        <v>0</v>
      </c>
      <c r="L217" s="470"/>
      <c r="M217" s="470"/>
      <c r="N217" s="470"/>
      <c r="O217" s="531"/>
      <c r="P217" s="107">
        <f t="shared" ca="1" si="92"/>
        <v>0</v>
      </c>
      <c r="Q217" s="107">
        <f t="shared" ca="1" si="93"/>
        <v>0</v>
      </c>
      <c r="R217" s="107">
        <f t="shared" ca="1" si="94"/>
        <v>0</v>
      </c>
      <c r="S217" s="107">
        <f t="shared" ca="1" si="95"/>
        <v>0</v>
      </c>
      <c r="T217" s="107">
        <f t="shared" ca="1" si="96"/>
        <v>0</v>
      </c>
      <c r="U217" s="107">
        <f t="shared" ca="1" si="97"/>
        <v>0</v>
      </c>
      <c r="V217" s="107">
        <f t="shared" ca="1" si="98"/>
        <v>0</v>
      </c>
      <c r="W217" s="107">
        <f t="shared" ca="1" si="99"/>
        <v>0</v>
      </c>
      <c r="X217" s="107">
        <f t="shared" si="100"/>
        <v>0</v>
      </c>
      <c r="Y217" s="107">
        <f t="shared" si="101"/>
        <v>0</v>
      </c>
      <c r="Z217" s="87">
        <f t="shared" si="102"/>
        <v>1</v>
      </c>
      <c r="AA217" s="88">
        <f t="shared" si="103"/>
        <v>0</v>
      </c>
      <c r="AB217" s="107">
        <f t="array" ref="AB217">ROUNDDOWN(AVERAGE(IFERROR(LARGE((X$6:X216+Y$6:Y216)*Z$6:Z216*(G$6:G216=G217), SC_SSCalcYears),0))/(12*Z217),0)</f>
        <v>0</v>
      </c>
      <c r="AC217" s="211">
        <f t="shared" si="104"/>
        <v>1</v>
      </c>
      <c r="AD217" s="89">
        <f t="shared" si="105"/>
        <v>0</v>
      </c>
      <c r="AE217" s="141">
        <f t="shared" ca="1" si="106"/>
        <v>0</v>
      </c>
      <c r="AF217" s="106">
        <f t="shared" ca="1" si="107"/>
        <v>0</v>
      </c>
      <c r="AG217" s="110">
        <f t="shared" ca="1" si="108"/>
        <v>0</v>
      </c>
      <c r="AH217" s="617"/>
      <c r="AI217" s="617"/>
      <c r="AJ217" s="617"/>
      <c r="AK217" s="617"/>
      <c r="AL217" s="618"/>
      <c r="AM217" s="186">
        <f t="shared" ca="1" si="113"/>
        <v>0</v>
      </c>
      <c r="AN217" t="str">
        <f t="shared" ca="1" si="114"/>
        <v/>
      </c>
    </row>
    <row r="218" spans="2:40" x14ac:dyDescent="0.25">
      <c r="B218" s="65">
        <f t="shared" si="111"/>
        <v>2060</v>
      </c>
      <c r="C218" s="76" t="s">
        <v>741</v>
      </c>
      <c r="D218" s="146" t="str">
        <f t="shared" si="84"/>
        <v/>
      </c>
      <c r="E218" s="77">
        <f t="shared" si="85"/>
        <v>0</v>
      </c>
      <c r="F218" s="77">
        <f t="shared" si="89"/>
        <v>0</v>
      </c>
      <c r="G218" s="77">
        <f t="shared" si="88"/>
        <v>1</v>
      </c>
      <c r="H218" s="76">
        <f t="shared" si="90"/>
        <v>1</v>
      </c>
      <c r="I218" s="76">
        <f t="shared" si="86"/>
        <v>0</v>
      </c>
      <c r="J218" s="77">
        <f t="shared" si="91"/>
        <v>0</v>
      </c>
      <c r="K218" s="78">
        <f t="shared" ca="1" si="87"/>
        <v>0</v>
      </c>
      <c r="L218" s="470"/>
      <c r="M218" s="470"/>
      <c r="N218" s="470"/>
      <c r="O218" s="531"/>
      <c r="P218" s="70">
        <f t="shared" ca="1" si="92"/>
        <v>0</v>
      </c>
      <c r="Q218" s="70">
        <f t="shared" ca="1" si="93"/>
        <v>0</v>
      </c>
      <c r="R218" s="70">
        <f t="shared" ca="1" si="94"/>
        <v>0</v>
      </c>
      <c r="S218" s="70">
        <f t="shared" ca="1" si="95"/>
        <v>0</v>
      </c>
      <c r="T218" s="70">
        <f t="shared" ca="1" si="96"/>
        <v>0</v>
      </c>
      <c r="U218" s="70">
        <f t="shared" ca="1" si="97"/>
        <v>0</v>
      </c>
      <c r="V218" s="70">
        <f t="shared" ca="1" si="98"/>
        <v>0</v>
      </c>
      <c r="W218" s="70">
        <f t="shared" ca="1" si="99"/>
        <v>0</v>
      </c>
      <c r="X218" s="70">
        <f t="shared" si="100"/>
        <v>0</v>
      </c>
      <c r="Y218" s="70">
        <f t="shared" si="101"/>
        <v>0</v>
      </c>
      <c r="Z218" s="68">
        <f t="shared" si="102"/>
        <v>1</v>
      </c>
      <c r="AA218" s="84">
        <f t="shared" si="103"/>
        <v>0</v>
      </c>
      <c r="AB218" s="488">
        <f t="array" ref="AB218">ROUNDDOWN(AVERAGE(IFERROR(LARGE((X$6:X217+Y$6:Y217)*Z$6:Z217*(G$6:G217=G218), SC_SSCalcYears),0))/(12*Z218),0)</f>
        <v>0</v>
      </c>
      <c r="AC218" s="69">
        <f t="shared" si="104"/>
        <v>1</v>
      </c>
      <c r="AD218" s="85">
        <f t="shared" si="105"/>
        <v>0</v>
      </c>
      <c r="AE218" s="140">
        <f t="shared" ca="1" si="106"/>
        <v>0</v>
      </c>
      <c r="AF218" s="75">
        <f t="shared" ca="1" si="107"/>
        <v>0</v>
      </c>
      <c r="AG218" s="109">
        <f t="shared" ca="1" si="108"/>
        <v>0</v>
      </c>
      <c r="AH218" s="617">
        <f>SUMIFS($AE218:$AE219,SP_PensionPayout,"Lump sum",$E218:$E219,"&lt;&gt;0")</f>
        <v>0</v>
      </c>
      <c r="AI218" s="617">
        <f>SUMIFS($AE218:$AE219,SP_PensionPayout,"Annuity",$E218:$E219,"&lt;&gt;0")</f>
        <v>0</v>
      </c>
      <c r="AJ218" s="617">
        <f>IF(ISBLANK(INDEX(SP_SSPBFA,1)),0,IF($J218&lt;&gt;INDEX(SP_SSPBFA,1),AJ216,SP_AdditionalRI/INDEX(SC_EA_InflationWageIdx,EAIDX)))</f>
        <v>0</v>
      </c>
      <c r="AK218" s="617">
        <f ca="1">SUMPRODUCT(AF218:AF219, --(G218:G219&lt;&gt;0))</f>
        <v>0</v>
      </c>
      <c r="AL218" s="618">
        <f ca="1">SUMPRODUCT(AG218:AG219, --(E218:E219&lt;&gt;0))+AJ218</f>
        <v>0</v>
      </c>
      <c r="AM218" s="186">
        <f t="shared" ca="1" si="113"/>
        <v>0</v>
      </c>
      <c r="AN218" t="str">
        <f t="shared" ca="1" si="114"/>
        <v/>
      </c>
    </row>
    <row r="219" spans="2:40" x14ac:dyDescent="0.25">
      <c r="B219" s="86">
        <f t="shared" si="111"/>
        <v>2060</v>
      </c>
      <c r="C219" s="80" t="s">
        <v>741</v>
      </c>
      <c r="D219" s="147" t="str">
        <f t="shared" si="84"/>
        <v/>
      </c>
      <c r="E219" s="81">
        <f t="shared" si="85"/>
        <v>0</v>
      </c>
      <c r="F219" s="82">
        <f t="shared" si="89"/>
        <v>0</v>
      </c>
      <c r="G219" s="81">
        <f t="shared" si="88"/>
        <v>2</v>
      </c>
      <c r="H219" s="82">
        <f t="shared" si="90"/>
        <v>-1</v>
      </c>
      <c r="I219" s="82">
        <f t="shared" si="86"/>
        <v>0</v>
      </c>
      <c r="J219" s="81">
        <f t="shared" si="91"/>
        <v>0</v>
      </c>
      <c r="K219" s="83">
        <f t="shared" ca="1" si="87"/>
        <v>0</v>
      </c>
      <c r="L219" s="470"/>
      <c r="M219" s="470"/>
      <c r="N219" s="470"/>
      <c r="O219" s="531"/>
      <c r="P219" s="107">
        <f t="shared" ca="1" si="92"/>
        <v>0</v>
      </c>
      <c r="Q219" s="107">
        <f t="shared" ca="1" si="93"/>
        <v>0</v>
      </c>
      <c r="R219" s="107">
        <f t="shared" ca="1" si="94"/>
        <v>0</v>
      </c>
      <c r="S219" s="107">
        <f t="shared" ca="1" si="95"/>
        <v>0</v>
      </c>
      <c r="T219" s="107">
        <f t="shared" ca="1" si="96"/>
        <v>0</v>
      </c>
      <c r="U219" s="107">
        <f t="shared" ca="1" si="97"/>
        <v>0</v>
      </c>
      <c r="V219" s="107">
        <f t="shared" ca="1" si="98"/>
        <v>0</v>
      </c>
      <c r="W219" s="107">
        <f t="shared" ca="1" si="99"/>
        <v>0</v>
      </c>
      <c r="X219" s="107">
        <f t="shared" si="100"/>
        <v>0</v>
      </c>
      <c r="Y219" s="107">
        <f t="shared" si="101"/>
        <v>0</v>
      </c>
      <c r="Z219" s="87">
        <f t="shared" si="102"/>
        <v>1</v>
      </c>
      <c r="AA219" s="88">
        <f t="shared" si="103"/>
        <v>0</v>
      </c>
      <c r="AB219" s="107">
        <f t="array" ref="AB219">ROUNDDOWN(AVERAGE(IFERROR(LARGE((X$6:X218+Y$6:Y218)*Z$6:Z218*(G$6:G218=G219), SC_SSCalcYears),0))/(12*Z219),0)</f>
        <v>0</v>
      </c>
      <c r="AC219" s="211">
        <f t="shared" si="104"/>
        <v>1</v>
      </c>
      <c r="AD219" s="89">
        <f t="shared" si="105"/>
        <v>0</v>
      </c>
      <c r="AE219" s="141">
        <f t="shared" ca="1" si="106"/>
        <v>0</v>
      </c>
      <c r="AF219" s="106">
        <f t="shared" ca="1" si="107"/>
        <v>0</v>
      </c>
      <c r="AG219" s="110">
        <f t="shared" ca="1" si="108"/>
        <v>0</v>
      </c>
      <c r="AH219" s="617"/>
      <c r="AI219" s="617"/>
      <c r="AJ219" s="617"/>
      <c r="AK219" s="617"/>
      <c r="AL219" s="618"/>
      <c r="AM219" s="186">
        <f t="shared" ca="1" si="113"/>
        <v>0</v>
      </c>
      <c r="AN219" t="str">
        <f t="shared" ca="1" si="114"/>
        <v/>
      </c>
    </row>
    <row r="220" spans="2:40" x14ac:dyDescent="0.25">
      <c r="B220" s="65">
        <f t="shared" si="111"/>
        <v>2061</v>
      </c>
      <c r="C220" s="76" t="s">
        <v>741</v>
      </c>
      <c r="D220" s="146" t="str">
        <f t="shared" si="84"/>
        <v/>
      </c>
      <c r="E220" s="77">
        <f t="shared" si="85"/>
        <v>0</v>
      </c>
      <c r="F220" s="77">
        <f t="shared" si="89"/>
        <v>0</v>
      </c>
      <c r="G220" s="77">
        <f t="shared" si="88"/>
        <v>1</v>
      </c>
      <c r="H220" s="76">
        <f t="shared" si="90"/>
        <v>1</v>
      </c>
      <c r="I220" s="76">
        <f t="shared" si="86"/>
        <v>0</v>
      </c>
      <c r="J220" s="77">
        <f t="shared" si="91"/>
        <v>0</v>
      </c>
      <c r="K220" s="78">
        <f t="shared" ca="1" si="87"/>
        <v>0</v>
      </c>
      <c r="L220" s="470"/>
      <c r="M220" s="470"/>
      <c r="N220" s="470"/>
      <c r="O220" s="531"/>
      <c r="P220" s="70">
        <f t="shared" ca="1" si="92"/>
        <v>0</v>
      </c>
      <c r="Q220" s="70">
        <f t="shared" ca="1" si="93"/>
        <v>0</v>
      </c>
      <c r="R220" s="70">
        <f t="shared" ca="1" si="94"/>
        <v>0</v>
      </c>
      <c r="S220" s="70">
        <f t="shared" ca="1" si="95"/>
        <v>0</v>
      </c>
      <c r="T220" s="70">
        <f t="shared" ca="1" si="96"/>
        <v>0</v>
      </c>
      <c r="U220" s="70">
        <f t="shared" ca="1" si="97"/>
        <v>0</v>
      </c>
      <c r="V220" s="70">
        <f t="shared" ca="1" si="98"/>
        <v>0</v>
      </c>
      <c r="W220" s="70">
        <f t="shared" ca="1" si="99"/>
        <v>0</v>
      </c>
      <c r="X220" s="70">
        <f t="shared" si="100"/>
        <v>0</v>
      </c>
      <c r="Y220" s="70">
        <f t="shared" si="101"/>
        <v>0</v>
      </c>
      <c r="Z220" s="68">
        <f t="shared" si="102"/>
        <v>1</v>
      </c>
      <c r="AA220" s="84">
        <f t="shared" si="103"/>
        <v>0</v>
      </c>
      <c r="AB220" s="488">
        <f t="array" ref="AB220">ROUNDDOWN(AVERAGE(IFERROR(LARGE((X$6:X219+Y$6:Y219)*Z$6:Z219*(G$6:G219=G220), SC_SSCalcYears),0))/(12*Z220),0)</f>
        <v>0</v>
      </c>
      <c r="AC220" s="69">
        <f t="shared" si="104"/>
        <v>1</v>
      </c>
      <c r="AD220" s="85">
        <f t="shared" si="105"/>
        <v>0</v>
      </c>
      <c r="AE220" s="140">
        <f t="shared" ca="1" si="106"/>
        <v>0</v>
      </c>
      <c r="AF220" s="75">
        <f t="shared" ca="1" si="107"/>
        <v>0</v>
      </c>
      <c r="AG220" s="109">
        <f t="shared" ca="1" si="108"/>
        <v>0</v>
      </c>
      <c r="AH220" s="617">
        <f>SUMIFS($AE220:$AE221,SP_PensionPayout,"Lump sum",$E220:$E221,"&lt;&gt;0")</f>
        <v>0</v>
      </c>
      <c r="AI220" s="617">
        <f>SUMIFS($AE220:$AE221,SP_PensionPayout,"Annuity",$E220:$E221,"&lt;&gt;0")</f>
        <v>0</v>
      </c>
      <c r="AJ220" s="617">
        <f>IF(ISBLANK(INDEX(SP_SSPBFA,1)),0,IF($J220&lt;&gt;INDEX(SP_SSPBFA,1),AJ218,SP_AdditionalRI/INDEX(SC_EA_InflationWageIdx,EAIDX)))</f>
        <v>0</v>
      </c>
      <c r="AK220" s="617">
        <f ca="1">SUMPRODUCT(AF220:AF221, --(G220:G221&lt;&gt;0))</f>
        <v>0</v>
      </c>
      <c r="AL220" s="618">
        <f ca="1">SUMPRODUCT(AG220:AG221, --(E220:E221&lt;&gt;0))+AJ220</f>
        <v>0</v>
      </c>
      <c r="AM220" s="186">
        <f t="shared" ca="1" si="113"/>
        <v>0</v>
      </c>
      <c r="AN220" t="str">
        <f t="shared" ca="1" si="114"/>
        <v/>
      </c>
    </row>
    <row r="221" spans="2:40" x14ac:dyDescent="0.25">
      <c r="B221" s="86">
        <f t="shared" si="111"/>
        <v>2061</v>
      </c>
      <c r="C221" s="80" t="s">
        <v>741</v>
      </c>
      <c r="D221" s="147" t="str">
        <f t="shared" si="84"/>
        <v/>
      </c>
      <c r="E221" s="81">
        <f t="shared" si="85"/>
        <v>0</v>
      </c>
      <c r="F221" s="82">
        <f t="shared" si="89"/>
        <v>0</v>
      </c>
      <c r="G221" s="81">
        <f t="shared" si="88"/>
        <v>2</v>
      </c>
      <c r="H221" s="82">
        <f t="shared" si="90"/>
        <v>-1</v>
      </c>
      <c r="I221" s="82">
        <f t="shared" si="86"/>
        <v>0</v>
      </c>
      <c r="J221" s="81">
        <f t="shared" si="91"/>
        <v>0</v>
      </c>
      <c r="K221" s="83">
        <f t="shared" ca="1" si="87"/>
        <v>0</v>
      </c>
      <c r="L221" s="470"/>
      <c r="M221" s="470"/>
      <c r="N221" s="470"/>
      <c r="O221" s="531"/>
      <c r="P221" s="107">
        <f t="shared" ca="1" si="92"/>
        <v>0</v>
      </c>
      <c r="Q221" s="107">
        <f t="shared" ca="1" si="93"/>
        <v>0</v>
      </c>
      <c r="R221" s="107">
        <f t="shared" ca="1" si="94"/>
        <v>0</v>
      </c>
      <c r="S221" s="107">
        <f t="shared" ca="1" si="95"/>
        <v>0</v>
      </c>
      <c r="T221" s="107">
        <f t="shared" ca="1" si="96"/>
        <v>0</v>
      </c>
      <c r="U221" s="107">
        <f t="shared" ca="1" si="97"/>
        <v>0</v>
      </c>
      <c r="V221" s="107">
        <f t="shared" ca="1" si="98"/>
        <v>0</v>
      </c>
      <c r="W221" s="107">
        <f t="shared" ca="1" si="99"/>
        <v>0</v>
      </c>
      <c r="X221" s="107">
        <f t="shared" si="100"/>
        <v>0</v>
      </c>
      <c r="Y221" s="107">
        <f t="shared" si="101"/>
        <v>0</v>
      </c>
      <c r="Z221" s="87">
        <f t="shared" si="102"/>
        <v>1</v>
      </c>
      <c r="AA221" s="88">
        <f t="shared" si="103"/>
        <v>0</v>
      </c>
      <c r="AB221" s="107">
        <f t="array" ref="AB221">ROUNDDOWN(AVERAGE(IFERROR(LARGE((X$6:X220+Y$6:Y220)*Z$6:Z220*(G$6:G220=G221), SC_SSCalcYears),0))/(12*Z221),0)</f>
        <v>0</v>
      </c>
      <c r="AC221" s="211">
        <f t="shared" si="104"/>
        <v>1</v>
      </c>
      <c r="AD221" s="89">
        <f t="shared" si="105"/>
        <v>0</v>
      </c>
      <c r="AE221" s="141">
        <f t="shared" ca="1" si="106"/>
        <v>0</v>
      </c>
      <c r="AF221" s="106">
        <f t="shared" ca="1" si="107"/>
        <v>0</v>
      </c>
      <c r="AG221" s="110">
        <f t="shared" ca="1" si="108"/>
        <v>0</v>
      </c>
      <c r="AH221" s="617"/>
      <c r="AI221" s="617"/>
      <c r="AJ221" s="617"/>
      <c r="AK221" s="617"/>
      <c r="AL221" s="618"/>
      <c r="AM221" s="186">
        <f t="shared" ca="1" si="113"/>
        <v>0</v>
      </c>
      <c r="AN221" t="str">
        <f t="shared" ca="1" si="114"/>
        <v/>
      </c>
    </row>
    <row r="222" spans="2:40" x14ac:dyDescent="0.25">
      <c r="B222" s="65">
        <f t="shared" si="111"/>
        <v>2062</v>
      </c>
      <c r="C222" s="76" t="s">
        <v>741</v>
      </c>
      <c r="D222" s="146" t="str">
        <f t="shared" si="84"/>
        <v/>
      </c>
      <c r="E222" s="77">
        <f t="shared" si="85"/>
        <v>0</v>
      </c>
      <c r="F222" s="77">
        <f t="shared" si="89"/>
        <v>0</v>
      </c>
      <c r="G222" s="77">
        <f t="shared" si="88"/>
        <v>1</v>
      </c>
      <c r="H222" s="76">
        <f t="shared" si="90"/>
        <v>1</v>
      </c>
      <c r="I222" s="76">
        <f t="shared" si="86"/>
        <v>0</v>
      </c>
      <c r="J222" s="77">
        <f t="shared" si="91"/>
        <v>0</v>
      </c>
      <c r="K222" s="78">
        <f t="shared" ca="1" si="87"/>
        <v>0</v>
      </c>
      <c r="L222" s="470"/>
      <c r="M222" s="470"/>
      <c r="N222" s="470"/>
      <c r="O222" s="531"/>
      <c r="P222" s="70">
        <f t="shared" ca="1" si="92"/>
        <v>0</v>
      </c>
      <c r="Q222" s="70">
        <f t="shared" ca="1" si="93"/>
        <v>0</v>
      </c>
      <c r="R222" s="70">
        <f t="shared" ca="1" si="94"/>
        <v>0</v>
      </c>
      <c r="S222" s="70">
        <f t="shared" ca="1" si="95"/>
        <v>0</v>
      </c>
      <c r="T222" s="70">
        <f t="shared" ca="1" si="96"/>
        <v>0</v>
      </c>
      <c r="U222" s="70">
        <f t="shared" ca="1" si="97"/>
        <v>0</v>
      </c>
      <c r="V222" s="70">
        <f t="shared" ca="1" si="98"/>
        <v>0</v>
      </c>
      <c r="W222" s="70">
        <f t="shared" ca="1" si="99"/>
        <v>0</v>
      </c>
      <c r="X222" s="70">
        <f t="shared" si="100"/>
        <v>0</v>
      </c>
      <c r="Y222" s="70">
        <f t="shared" si="101"/>
        <v>0</v>
      </c>
      <c r="Z222" s="68">
        <f t="shared" si="102"/>
        <v>1</v>
      </c>
      <c r="AA222" s="84">
        <f t="shared" si="103"/>
        <v>0</v>
      </c>
      <c r="AB222" s="488">
        <f t="array" ref="AB222">ROUNDDOWN(AVERAGE(IFERROR(LARGE((X$6:X221+Y$6:Y221)*Z$6:Z221*(G$6:G221=G222), SC_SSCalcYears),0))/(12*Z222),0)</f>
        <v>0</v>
      </c>
      <c r="AC222" s="69">
        <f t="shared" si="104"/>
        <v>1</v>
      </c>
      <c r="AD222" s="85">
        <f t="shared" si="105"/>
        <v>0</v>
      </c>
      <c r="AE222" s="140">
        <f t="shared" ca="1" si="106"/>
        <v>0</v>
      </c>
      <c r="AF222" s="75">
        <f t="shared" ca="1" si="107"/>
        <v>0</v>
      </c>
      <c r="AG222" s="109">
        <f t="shared" ca="1" si="108"/>
        <v>0</v>
      </c>
      <c r="AH222" s="617">
        <f>SUMIFS($AE222:$AE223,SP_PensionPayout,"Lump sum",$E222:$E223,"&lt;&gt;0")</f>
        <v>0</v>
      </c>
      <c r="AI222" s="617">
        <f>SUMIFS($AE222:$AE223,SP_PensionPayout,"Annuity",$E222:$E223,"&lt;&gt;0")</f>
        <v>0</v>
      </c>
      <c r="AJ222" s="617">
        <f>IF(ISBLANK(INDEX(SP_SSPBFA,1)),0,IF($J222&lt;&gt;INDEX(SP_SSPBFA,1),AJ220,SP_AdditionalRI/INDEX(SC_EA_InflationWageIdx,EAIDX)))</f>
        <v>0</v>
      </c>
      <c r="AK222" s="617">
        <f ca="1">SUMPRODUCT(AF222:AF223, --(G222:G223&lt;&gt;0))</f>
        <v>0</v>
      </c>
      <c r="AL222" s="618">
        <f ca="1">SUMPRODUCT(AG222:AG223, --(E222:E223&lt;&gt;0))+AJ222</f>
        <v>0</v>
      </c>
      <c r="AM222" s="186">
        <f t="shared" ca="1" si="113"/>
        <v>0</v>
      </c>
      <c r="AN222" t="str">
        <f t="shared" ca="1" si="114"/>
        <v/>
      </c>
    </row>
    <row r="223" spans="2:40" x14ac:dyDescent="0.25">
      <c r="B223" s="86">
        <f t="shared" si="111"/>
        <v>2062</v>
      </c>
      <c r="C223" s="80" t="s">
        <v>741</v>
      </c>
      <c r="D223" s="147" t="str">
        <f t="shared" si="84"/>
        <v/>
      </c>
      <c r="E223" s="81">
        <f t="shared" si="85"/>
        <v>0</v>
      </c>
      <c r="F223" s="82">
        <f t="shared" si="89"/>
        <v>0</v>
      </c>
      <c r="G223" s="81">
        <f t="shared" si="88"/>
        <v>2</v>
      </c>
      <c r="H223" s="82">
        <f t="shared" si="90"/>
        <v>-1</v>
      </c>
      <c r="I223" s="82">
        <f t="shared" si="86"/>
        <v>0</v>
      </c>
      <c r="J223" s="81">
        <f t="shared" si="91"/>
        <v>0</v>
      </c>
      <c r="K223" s="83">
        <f t="shared" ca="1" si="87"/>
        <v>0</v>
      </c>
      <c r="L223" s="470"/>
      <c r="M223" s="470"/>
      <c r="N223" s="470"/>
      <c r="O223" s="531"/>
      <c r="P223" s="107">
        <f t="shared" ca="1" si="92"/>
        <v>0</v>
      </c>
      <c r="Q223" s="107">
        <f t="shared" ca="1" si="93"/>
        <v>0</v>
      </c>
      <c r="R223" s="107">
        <f t="shared" ca="1" si="94"/>
        <v>0</v>
      </c>
      <c r="S223" s="107">
        <f t="shared" ca="1" si="95"/>
        <v>0</v>
      </c>
      <c r="T223" s="107">
        <f t="shared" ca="1" si="96"/>
        <v>0</v>
      </c>
      <c r="U223" s="107">
        <f t="shared" ca="1" si="97"/>
        <v>0</v>
      </c>
      <c r="V223" s="107">
        <f t="shared" ca="1" si="98"/>
        <v>0</v>
      </c>
      <c r="W223" s="107">
        <f t="shared" ca="1" si="99"/>
        <v>0</v>
      </c>
      <c r="X223" s="107">
        <f t="shared" si="100"/>
        <v>0</v>
      </c>
      <c r="Y223" s="107">
        <f t="shared" si="101"/>
        <v>0</v>
      </c>
      <c r="Z223" s="87">
        <f t="shared" si="102"/>
        <v>1</v>
      </c>
      <c r="AA223" s="88">
        <f t="shared" si="103"/>
        <v>0</v>
      </c>
      <c r="AB223" s="107">
        <f t="array" ref="AB223">ROUNDDOWN(AVERAGE(IFERROR(LARGE((X$6:X222+Y$6:Y222)*Z$6:Z222*(G$6:G222=G223), SC_SSCalcYears),0))/(12*Z223),0)</f>
        <v>0</v>
      </c>
      <c r="AC223" s="211">
        <f t="shared" si="104"/>
        <v>1</v>
      </c>
      <c r="AD223" s="89">
        <f t="shared" si="105"/>
        <v>0</v>
      </c>
      <c r="AE223" s="141">
        <f t="shared" ca="1" si="106"/>
        <v>0</v>
      </c>
      <c r="AF223" s="106">
        <f t="shared" ca="1" si="107"/>
        <v>0</v>
      </c>
      <c r="AG223" s="110">
        <f t="shared" ca="1" si="108"/>
        <v>0</v>
      </c>
      <c r="AH223" s="617"/>
      <c r="AI223" s="617"/>
      <c r="AJ223" s="617"/>
      <c r="AK223" s="617"/>
      <c r="AL223" s="618"/>
      <c r="AM223" s="186">
        <f t="shared" ca="1" si="113"/>
        <v>0</v>
      </c>
      <c r="AN223" t="str">
        <f t="shared" ca="1" si="114"/>
        <v/>
      </c>
    </row>
    <row r="224" spans="2:40" x14ac:dyDescent="0.25">
      <c r="B224" s="65">
        <f t="shared" si="111"/>
        <v>2063</v>
      </c>
      <c r="C224" s="76" t="s">
        <v>741</v>
      </c>
      <c r="D224" s="146" t="str">
        <f t="shared" si="84"/>
        <v/>
      </c>
      <c r="E224" s="77">
        <f t="shared" si="85"/>
        <v>0</v>
      </c>
      <c r="F224" s="77">
        <f t="shared" si="89"/>
        <v>0</v>
      </c>
      <c r="G224" s="77">
        <f t="shared" si="88"/>
        <v>1</v>
      </c>
      <c r="H224" s="76">
        <f t="shared" si="90"/>
        <v>1</v>
      </c>
      <c r="I224" s="76">
        <f t="shared" si="86"/>
        <v>0</v>
      </c>
      <c r="J224" s="77">
        <f t="shared" si="91"/>
        <v>0</v>
      </c>
      <c r="K224" s="78">
        <f t="shared" ca="1" si="87"/>
        <v>0</v>
      </c>
      <c r="L224" s="470"/>
      <c r="M224" s="470"/>
      <c r="N224" s="470"/>
      <c r="O224" s="531"/>
      <c r="P224" s="70">
        <f t="shared" ca="1" si="92"/>
        <v>0</v>
      </c>
      <c r="Q224" s="70">
        <f t="shared" ca="1" si="93"/>
        <v>0</v>
      </c>
      <c r="R224" s="70">
        <f t="shared" ca="1" si="94"/>
        <v>0</v>
      </c>
      <c r="S224" s="70">
        <f t="shared" ca="1" si="95"/>
        <v>0</v>
      </c>
      <c r="T224" s="70">
        <f t="shared" ca="1" si="96"/>
        <v>0</v>
      </c>
      <c r="U224" s="70">
        <f t="shared" ca="1" si="97"/>
        <v>0</v>
      </c>
      <c r="V224" s="70">
        <f t="shared" ca="1" si="98"/>
        <v>0</v>
      </c>
      <c r="W224" s="70">
        <f t="shared" ca="1" si="99"/>
        <v>0</v>
      </c>
      <c r="X224" s="70">
        <f t="shared" si="100"/>
        <v>0</v>
      </c>
      <c r="Y224" s="70">
        <f t="shared" si="101"/>
        <v>0</v>
      </c>
      <c r="Z224" s="68">
        <f t="shared" si="102"/>
        <v>1</v>
      </c>
      <c r="AA224" s="84">
        <f t="shared" si="103"/>
        <v>0</v>
      </c>
      <c r="AB224" s="488">
        <f t="array" ref="AB224">ROUNDDOWN(AVERAGE(IFERROR(LARGE((X$6:X223+Y$6:Y223)*Z$6:Z223*(G$6:G223=G224), SC_SSCalcYears),0))/(12*Z224),0)</f>
        <v>0</v>
      </c>
      <c r="AC224" s="69">
        <f t="shared" si="104"/>
        <v>1</v>
      </c>
      <c r="AD224" s="85">
        <f t="shared" si="105"/>
        <v>0</v>
      </c>
      <c r="AE224" s="140">
        <f t="shared" ca="1" si="106"/>
        <v>0</v>
      </c>
      <c r="AF224" s="75">
        <f t="shared" ca="1" si="107"/>
        <v>0</v>
      </c>
      <c r="AG224" s="109">
        <f t="shared" ca="1" si="108"/>
        <v>0</v>
      </c>
      <c r="AH224" s="617">
        <f>SUMIFS($AE224:$AE225,SP_PensionPayout,"Lump sum",$E224:$E225,"&lt;&gt;0")</f>
        <v>0</v>
      </c>
      <c r="AI224" s="617">
        <f>SUMIFS($AE224:$AE225,SP_PensionPayout,"Annuity",$E224:$E225,"&lt;&gt;0")</f>
        <v>0</v>
      </c>
      <c r="AJ224" s="617">
        <f>IF(ISBLANK(INDEX(SP_SSPBFA,1)),0,IF($J224&lt;&gt;INDEX(SP_SSPBFA,1),AJ222,SP_AdditionalRI/INDEX(SC_EA_InflationWageIdx,EAIDX)))</f>
        <v>0</v>
      </c>
      <c r="AK224" s="617">
        <f ca="1">SUMPRODUCT(AF224:AF225, --(G224:G225&lt;&gt;0))</f>
        <v>0</v>
      </c>
      <c r="AL224" s="618">
        <f ca="1">SUMPRODUCT(AG224:AG225, --(E224:E225&lt;&gt;0))+AJ224</f>
        <v>0</v>
      </c>
      <c r="AM224" s="186">
        <f t="shared" ca="1" si="113"/>
        <v>0</v>
      </c>
      <c r="AN224" t="str">
        <f t="shared" ca="1" si="114"/>
        <v/>
      </c>
    </row>
    <row r="225" spans="2:40" x14ac:dyDescent="0.25">
      <c r="B225" s="86">
        <f t="shared" si="111"/>
        <v>2063</v>
      </c>
      <c r="C225" s="80" t="s">
        <v>741</v>
      </c>
      <c r="D225" s="147" t="str">
        <f t="shared" si="84"/>
        <v/>
      </c>
      <c r="E225" s="81">
        <f t="shared" si="85"/>
        <v>0</v>
      </c>
      <c r="F225" s="82">
        <f t="shared" si="89"/>
        <v>0</v>
      </c>
      <c r="G225" s="81">
        <f t="shared" si="88"/>
        <v>2</v>
      </c>
      <c r="H225" s="82">
        <f t="shared" si="90"/>
        <v>-1</v>
      </c>
      <c r="I225" s="82">
        <f t="shared" si="86"/>
        <v>0</v>
      </c>
      <c r="J225" s="81">
        <f t="shared" si="91"/>
        <v>0</v>
      </c>
      <c r="K225" s="83">
        <f t="shared" ca="1" si="87"/>
        <v>0</v>
      </c>
      <c r="L225" s="470"/>
      <c r="M225" s="470"/>
      <c r="N225" s="470"/>
      <c r="O225" s="531"/>
      <c r="P225" s="107">
        <f t="shared" ca="1" si="92"/>
        <v>0</v>
      </c>
      <c r="Q225" s="107">
        <f t="shared" ca="1" si="93"/>
        <v>0</v>
      </c>
      <c r="R225" s="107">
        <f t="shared" ca="1" si="94"/>
        <v>0</v>
      </c>
      <c r="S225" s="107">
        <f t="shared" ca="1" si="95"/>
        <v>0</v>
      </c>
      <c r="T225" s="107">
        <f t="shared" ca="1" si="96"/>
        <v>0</v>
      </c>
      <c r="U225" s="107">
        <f t="shared" ca="1" si="97"/>
        <v>0</v>
      </c>
      <c r="V225" s="107">
        <f t="shared" ca="1" si="98"/>
        <v>0</v>
      </c>
      <c r="W225" s="107">
        <f t="shared" ca="1" si="99"/>
        <v>0</v>
      </c>
      <c r="X225" s="107">
        <f t="shared" si="100"/>
        <v>0</v>
      </c>
      <c r="Y225" s="107">
        <f t="shared" si="101"/>
        <v>0</v>
      </c>
      <c r="Z225" s="87">
        <f t="shared" si="102"/>
        <v>1</v>
      </c>
      <c r="AA225" s="88">
        <f t="shared" si="103"/>
        <v>0</v>
      </c>
      <c r="AB225" s="107">
        <f t="array" ref="AB225">ROUNDDOWN(AVERAGE(IFERROR(LARGE((X$6:X224+Y$6:Y224)*Z$6:Z224*(G$6:G224=G225), SC_SSCalcYears),0))/(12*Z225),0)</f>
        <v>0</v>
      </c>
      <c r="AC225" s="211">
        <f t="shared" si="104"/>
        <v>1</v>
      </c>
      <c r="AD225" s="89">
        <f t="shared" si="105"/>
        <v>0</v>
      </c>
      <c r="AE225" s="141">
        <f t="shared" ca="1" si="106"/>
        <v>0</v>
      </c>
      <c r="AF225" s="106">
        <f t="shared" ca="1" si="107"/>
        <v>0</v>
      </c>
      <c r="AG225" s="110">
        <f t="shared" ca="1" si="108"/>
        <v>0</v>
      </c>
      <c r="AH225" s="617"/>
      <c r="AI225" s="617"/>
      <c r="AJ225" s="617"/>
      <c r="AK225" s="617"/>
      <c r="AL225" s="618"/>
      <c r="AM225" s="186">
        <f t="shared" ca="1" si="113"/>
        <v>0</v>
      </c>
      <c r="AN225" t="str">
        <f t="shared" ca="1" si="114"/>
        <v/>
      </c>
    </row>
    <row r="226" spans="2:40" x14ac:dyDescent="0.25">
      <c r="B226" s="65">
        <f t="shared" si="111"/>
        <v>2064</v>
      </c>
      <c r="C226" s="76" t="s">
        <v>741</v>
      </c>
      <c r="D226" s="146" t="str">
        <f t="shared" si="84"/>
        <v/>
      </c>
      <c r="E226" s="77">
        <f t="shared" si="85"/>
        <v>0</v>
      </c>
      <c r="F226" s="77">
        <f t="shared" si="89"/>
        <v>0</v>
      </c>
      <c r="G226" s="77">
        <f t="shared" si="88"/>
        <v>1</v>
      </c>
      <c r="H226" s="76">
        <f t="shared" si="90"/>
        <v>1</v>
      </c>
      <c r="I226" s="76">
        <f t="shared" si="86"/>
        <v>0</v>
      </c>
      <c r="J226" s="77">
        <f t="shared" si="91"/>
        <v>0</v>
      </c>
      <c r="K226" s="78">
        <f t="shared" ca="1" si="87"/>
        <v>0</v>
      </c>
      <c r="L226" s="470"/>
      <c r="M226" s="470"/>
      <c r="N226" s="470"/>
      <c r="O226" s="531"/>
      <c r="P226" s="70">
        <f t="shared" ca="1" si="92"/>
        <v>0</v>
      </c>
      <c r="Q226" s="70">
        <f t="shared" ca="1" si="93"/>
        <v>0</v>
      </c>
      <c r="R226" s="70">
        <f t="shared" ca="1" si="94"/>
        <v>0</v>
      </c>
      <c r="S226" s="70">
        <f t="shared" ca="1" si="95"/>
        <v>0</v>
      </c>
      <c r="T226" s="70">
        <f t="shared" ca="1" si="96"/>
        <v>0</v>
      </c>
      <c r="U226" s="70">
        <f t="shared" ca="1" si="97"/>
        <v>0</v>
      </c>
      <c r="V226" s="70">
        <f t="shared" ca="1" si="98"/>
        <v>0</v>
      </c>
      <c r="W226" s="70">
        <f t="shared" ca="1" si="99"/>
        <v>0</v>
      </c>
      <c r="X226" s="70">
        <f t="shared" si="100"/>
        <v>0</v>
      </c>
      <c r="Y226" s="70">
        <f t="shared" si="101"/>
        <v>0</v>
      </c>
      <c r="Z226" s="68">
        <f t="shared" si="102"/>
        <v>1</v>
      </c>
      <c r="AA226" s="84">
        <f t="shared" si="103"/>
        <v>0</v>
      </c>
      <c r="AB226" s="488">
        <f t="array" ref="AB226">ROUNDDOWN(AVERAGE(IFERROR(LARGE((X$6:X225+Y$6:Y225)*Z$6:Z225*(G$6:G225=G226), SC_SSCalcYears),0))/(12*Z226),0)</f>
        <v>0</v>
      </c>
      <c r="AC226" s="69">
        <f t="shared" si="104"/>
        <v>1</v>
      </c>
      <c r="AD226" s="85">
        <f t="shared" si="105"/>
        <v>0</v>
      </c>
      <c r="AE226" s="140">
        <f t="shared" ca="1" si="106"/>
        <v>0</v>
      </c>
      <c r="AF226" s="75">
        <f t="shared" ca="1" si="107"/>
        <v>0</v>
      </c>
      <c r="AG226" s="109">
        <f t="shared" ca="1" si="108"/>
        <v>0</v>
      </c>
      <c r="AH226" s="617">
        <f>SUMIFS($AE226:$AE227,SP_PensionPayout,"Lump sum",$E226:$E227,"&lt;&gt;0")</f>
        <v>0</v>
      </c>
      <c r="AI226" s="617">
        <f>SUMIFS($AE226:$AE227,SP_PensionPayout,"Annuity",$E226:$E227,"&lt;&gt;0")</f>
        <v>0</v>
      </c>
      <c r="AJ226" s="617">
        <f>IF(ISBLANK(INDEX(SP_SSPBFA,1)),0,IF($J226&lt;&gt;INDEX(SP_SSPBFA,1),AJ224,SP_AdditionalRI/INDEX(SC_EA_InflationWageIdx,EAIDX)))</f>
        <v>0</v>
      </c>
      <c r="AK226" s="617">
        <f ca="1">SUMPRODUCT(AF226:AF227, --(G226:G227&lt;&gt;0))</f>
        <v>0</v>
      </c>
      <c r="AL226" s="618">
        <f ca="1">SUMPRODUCT(AG226:AG227, --(E226:E227&lt;&gt;0))+AJ226</f>
        <v>0</v>
      </c>
      <c r="AM226" s="186">
        <f t="shared" ca="1" si="113"/>
        <v>0</v>
      </c>
      <c r="AN226" t="str">
        <f t="shared" ca="1" si="114"/>
        <v/>
      </c>
    </row>
    <row r="227" spans="2:40" x14ac:dyDescent="0.25">
      <c r="B227" s="86">
        <f t="shared" si="111"/>
        <v>2064</v>
      </c>
      <c r="C227" s="80" t="s">
        <v>741</v>
      </c>
      <c r="D227" s="147" t="str">
        <f t="shared" si="84"/>
        <v/>
      </c>
      <c r="E227" s="81">
        <f t="shared" si="85"/>
        <v>0</v>
      </c>
      <c r="F227" s="82">
        <f t="shared" si="89"/>
        <v>0</v>
      </c>
      <c r="G227" s="81">
        <f t="shared" si="88"/>
        <v>2</v>
      </c>
      <c r="H227" s="82">
        <f t="shared" si="90"/>
        <v>-1</v>
      </c>
      <c r="I227" s="82">
        <f t="shared" si="86"/>
        <v>0</v>
      </c>
      <c r="J227" s="81">
        <f t="shared" si="91"/>
        <v>0</v>
      </c>
      <c r="K227" s="83">
        <f t="shared" ca="1" si="87"/>
        <v>0</v>
      </c>
      <c r="L227" s="470"/>
      <c r="M227" s="470"/>
      <c r="N227" s="470"/>
      <c r="O227" s="531"/>
      <c r="P227" s="107">
        <f t="shared" ca="1" si="92"/>
        <v>0</v>
      </c>
      <c r="Q227" s="107">
        <f t="shared" ca="1" si="93"/>
        <v>0</v>
      </c>
      <c r="R227" s="107">
        <f t="shared" ca="1" si="94"/>
        <v>0</v>
      </c>
      <c r="S227" s="107">
        <f t="shared" ca="1" si="95"/>
        <v>0</v>
      </c>
      <c r="T227" s="107">
        <f t="shared" ca="1" si="96"/>
        <v>0</v>
      </c>
      <c r="U227" s="107">
        <f t="shared" ca="1" si="97"/>
        <v>0</v>
      </c>
      <c r="V227" s="107">
        <f t="shared" ca="1" si="98"/>
        <v>0</v>
      </c>
      <c r="W227" s="107">
        <f t="shared" ca="1" si="99"/>
        <v>0</v>
      </c>
      <c r="X227" s="107">
        <f t="shared" si="100"/>
        <v>0</v>
      </c>
      <c r="Y227" s="107">
        <f t="shared" si="101"/>
        <v>0</v>
      </c>
      <c r="Z227" s="87">
        <f t="shared" si="102"/>
        <v>1</v>
      </c>
      <c r="AA227" s="88">
        <f t="shared" si="103"/>
        <v>0</v>
      </c>
      <c r="AB227" s="107">
        <f t="array" ref="AB227">ROUNDDOWN(AVERAGE(IFERROR(LARGE((X$6:X226+Y$6:Y226)*Z$6:Z226*(G$6:G226=G227), SC_SSCalcYears),0))/(12*Z227),0)</f>
        <v>0</v>
      </c>
      <c r="AC227" s="211">
        <f t="shared" si="104"/>
        <v>1</v>
      </c>
      <c r="AD227" s="89">
        <f t="shared" si="105"/>
        <v>0</v>
      </c>
      <c r="AE227" s="141">
        <f t="shared" ca="1" si="106"/>
        <v>0</v>
      </c>
      <c r="AF227" s="106">
        <f t="shared" ca="1" si="107"/>
        <v>0</v>
      </c>
      <c r="AG227" s="110">
        <f t="shared" ca="1" si="108"/>
        <v>0</v>
      </c>
      <c r="AH227" s="617"/>
      <c r="AI227" s="617"/>
      <c r="AJ227" s="617"/>
      <c r="AK227" s="617"/>
      <c r="AL227" s="618"/>
      <c r="AM227" s="186">
        <f t="shared" ca="1" si="113"/>
        <v>0</v>
      </c>
      <c r="AN227" t="str">
        <f t="shared" ca="1" si="114"/>
        <v/>
      </c>
    </row>
    <row r="228" spans="2:40" x14ac:dyDescent="0.25">
      <c r="B228" s="65">
        <f t="shared" si="111"/>
        <v>2065</v>
      </c>
      <c r="C228" s="76" t="s">
        <v>741</v>
      </c>
      <c r="D228" s="146" t="str">
        <f t="shared" si="84"/>
        <v/>
      </c>
      <c r="E228" s="77">
        <f t="shared" si="85"/>
        <v>0</v>
      </c>
      <c r="F228" s="77">
        <f t="shared" si="89"/>
        <v>0</v>
      </c>
      <c r="G228" s="77">
        <f t="shared" si="88"/>
        <v>1</v>
      </c>
      <c r="H228" s="76">
        <f t="shared" si="90"/>
        <v>1</v>
      </c>
      <c r="I228" s="76">
        <f t="shared" si="86"/>
        <v>0</v>
      </c>
      <c r="J228" s="77">
        <f t="shared" si="91"/>
        <v>0</v>
      </c>
      <c r="K228" s="78">
        <f t="shared" ca="1" si="87"/>
        <v>0</v>
      </c>
      <c r="L228" s="470"/>
      <c r="M228" s="470"/>
      <c r="N228" s="470"/>
      <c r="O228" s="531"/>
      <c r="P228" s="70">
        <f t="shared" ca="1" si="92"/>
        <v>0</v>
      </c>
      <c r="Q228" s="70">
        <f t="shared" ca="1" si="93"/>
        <v>0</v>
      </c>
      <c r="R228" s="70">
        <f t="shared" ca="1" si="94"/>
        <v>0</v>
      </c>
      <c r="S228" s="70">
        <f t="shared" ca="1" si="95"/>
        <v>0</v>
      </c>
      <c r="T228" s="70">
        <f t="shared" ca="1" si="96"/>
        <v>0</v>
      </c>
      <c r="U228" s="70">
        <f t="shared" ca="1" si="97"/>
        <v>0</v>
      </c>
      <c r="V228" s="70">
        <f t="shared" ca="1" si="98"/>
        <v>0</v>
      </c>
      <c r="W228" s="70">
        <f t="shared" ca="1" si="99"/>
        <v>0</v>
      </c>
      <c r="X228" s="70">
        <f t="shared" si="100"/>
        <v>0</v>
      </c>
      <c r="Y228" s="70">
        <f t="shared" si="101"/>
        <v>0</v>
      </c>
      <c r="Z228" s="68">
        <f t="shared" si="102"/>
        <v>1</v>
      </c>
      <c r="AA228" s="84">
        <f t="shared" si="103"/>
        <v>0</v>
      </c>
      <c r="AB228" s="488">
        <f t="array" ref="AB228">ROUNDDOWN(AVERAGE(IFERROR(LARGE((X$6:X227+Y$6:Y227)*Z$6:Z227*(G$6:G227=G228), SC_SSCalcYears),0))/(12*Z228),0)</f>
        <v>0</v>
      </c>
      <c r="AC228" s="69">
        <f t="shared" si="104"/>
        <v>1</v>
      </c>
      <c r="AD228" s="85">
        <f t="shared" si="105"/>
        <v>0</v>
      </c>
      <c r="AE228" s="140">
        <f t="shared" ca="1" si="106"/>
        <v>0</v>
      </c>
      <c r="AF228" s="75">
        <f t="shared" ca="1" si="107"/>
        <v>0</v>
      </c>
      <c r="AG228" s="109">
        <f t="shared" ca="1" si="108"/>
        <v>0</v>
      </c>
      <c r="AH228" s="617">
        <f>SUMIFS($AE228:$AE229,SP_PensionPayout,"Lump sum",$E228:$E229,"&lt;&gt;0")</f>
        <v>0</v>
      </c>
      <c r="AI228" s="617">
        <f>SUMIFS($AE228:$AE229,SP_PensionPayout,"Annuity",$E228:$E229,"&lt;&gt;0")</f>
        <v>0</v>
      </c>
      <c r="AJ228" s="617">
        <f>IF(ISBLANK(INDEX(SP_SSPBFA,1)),0,IF($J228&lt;&gt;INDEX(SP_SSPBFA,1),AJ226,SP_AdditionalRI/INDEX(SC_EA_InflationWageIdx,EAIDX)))</f>
        <v>0</v>
      </c>
      <c r="AK228" s="617">
        <f ca="1">SUMPRODUCT(AF228:AF229, --(G228:G229&lt;&gt;0))</f>
        <v>0</v>
      </c>
      <c r="AL228" s="618">
        <f ca="1">SUMPRODUCT(AG228:AG229, --(E228:E229&lt;&gt;0))+AJ228</f>
        <v>0</v>
      </c>
      <c r="AM228" s="186">
        <f t="shared" ca="1" si="113"/>
        <v>0</v>
      </c>
      <c r="AN228" t="str">
        <f t="shared" ca="1" si="114"/>
        <v/>
      </c>
    </row>
    <row r="229" spans="2:40" x14ac:dyDescent="0.25">
      <c r="B229" s="86">
        <f t="shared" si="111"/>
        <v>2065</v>
      </c>
      <c r="C229" s="80" t="s">
        <v>741</v>
      </c>
      <c r="D229" s="147" t="str">
        <f t="shared" si="84"/>
        <v/>
      </c>
      <c r="E229" s="81">
        <f t="shared" si="85"/>
        <v>0</v>
      </c>
      <c r="F229" s="82">
        <f t="shared" si="89"/>
        <v>0</v>
      </c>
      <c r="G229" s="81">
        <f t="shared" si="88"/>
        <v>2</v>
      </c>
      <c r="H229" s="82">
        <f t="shared" si="90"/>
        <v>-1</v>
      </c>
      <c r="I229" s="82">
        <f t="shared" si="86"/>
        <v>0</v>
      </c>
      <c r="J229" s="81">
        <f t="shared" si="91"/>
        <v>0</v>
      </c>
      <c r="K229" s="83">
        <f t="shared" ca="1" si="87"/>
        <v>0</v>
      </c>
      <c r="L229" s="470"/>
      <c r="M229" s="470"/>
      <c r="N229" s="470"/>
      <c r="O229" s="531"/>
      <c r="P229" s="107">
        <f t="shared" ca="1" si="92"/>
        <v>0</v>
      </c>
      <c r="Q229" s="107">
        <f t="shared" ca="1" si="93"/>
        <v>0</v>
      </c>
      <c r="R229" s="107">
        <f t="shared" ca="1" si="94"/>
        <v>0</v>
      </c>
      <c r="S229" s="107">
        <f t="shared" ca="1" si="95"/>
        <v>0</v>
      </c>
      <c r="T229" s="107">
        <f t="shared" ca="1" si="96"/>
        <v>0</v>
      </c>
      <c r="U229" s="107">
        <f t="shared" ca="1" si="97"/>
        <v>0</v>
      </c>
      <c r="V229" s="107">
        <f t="shared" ca="1" si="98"/>
        <v>0</v>
      </c>
      <c r="W229" s="107">
        <f t="shared" ca="1" si="99"/>
        <v>0</v>
      </c>
      <c r="X229" s="107">
        <f t="shared" si="100"/>
        <v>0</v>
      </c>
      <c r="Y229" s="107">
        <f t="shared" si="101"/>
        <v>0</v>
      </c>
      <c r="Z229" s="87">
        <f t="shared" si="102"/>
        <v>1</v>
      </c>
      <c r="AA229" s="88">
        <f t="shared" si="103"/>
        <v>0</v>
      </c>
      <c r="AB229" s="107">
        <f t="array" ref="AB229">ROUNDDOWN(AVERAGE(IFERROR(LARGE((X$6:X228+Y$6:Y228)*Z$6:Z228*(G$6:G228=G229), SC_SSCalcYears),0))/(12*Z229),0)</f>
        <v>0</v>
      </c>
      <c r="AC229" s="211">
        <f t="shared" si="104"/>
        <v>1</v>
      </c>
      <c r="AD229" s="89">
        <f t="shared" si="105"/>
        <v>0</v>
      </c>
      <c r="AE229" s="141">
        <f t="shared" ca="1" si="106"/>
        <v>0</v>
      </c>
      <c r="AF229" s="106">
        <f t="shared" ca="1" si="107"/>
        <v>0</v>
      </c>
      <c r="AG229" s="110">
        <f t="shared" ca="1" si="108"/>
        <v>0</v>
      </c>
      <c r="AH229" s="617"/>
      <c r="AI229" s="617"/>
      <c r="AJ229" s="617"/>
      <c r="AK229" s="617"/>
      <c r="AL229" s="618"/>
      <c r="AM229" s="186">
        <f t="shared" ca="1" si="113"/>
        <v>0</v>
      </c>
      <c r="AN229" t="str">
        <f t="shared" ca="1" si="114"/>
        <v/>
      </c>
    </row>
    <row r="230" spans="2:40" x14ac:dyDescent="0.25">
      <c r="B230" s="65">
        <f t="shared" si="111"/>
        <v>2066</v>
      </c>
      <c r="C230" s="76" t="s">
        <v>741</v>
      </c>
      <c r="D230" s="146" t="str">
        <f t="shared" si="84"/>
        <v/>
      </c>
      <c r="E230" s="77">
        <f t="shared" si="85"/>
        <v>0</v>
      </c>
      <c r="F230" s="77">
        <f t="shared" si="89"/>
        <v>0</v>
      </c>
      <c r="G230" s="77">
        <f t="shared" si="88"/>
        <v>1</v>
      </c>
      <c r="H230" s="76">
        <f t="shared" si="90"/>
        <v>1</v>
      </c>
      <c r="I230" s="76">
        <f t="shared" si="86"/>
        <v>0</v>
      </c>
      <c r="J230" s="77">
        <f t="shared" si="91"/>
        <v>0</v>
      </c>
      <c r="K230" s="78">
        <f t="shared" ca="1" si="87"/>
        <v>0</v>
      </c>
      <c r="L230" s="470"/>
      <c r="M230" s="470"/>
      <c r="N230" s="470"/>
      <c r="O230" s="531"/>
      <c r="P230" s="70">
        <f t="shared" ca="1" si="92"/>
        <v>0</v>
      </c>
      <c r="Q230" s="70">
        <f t="shared" ca="1" si="93"/>
        <v>0</v>
      </c>
      <c r="R230" s="70">
        <f t="shared" ca="1" si="94"/>
        <v>0</v>
      </c>
      <c r="S230" s="70">
        <f t="shared" ca="1" si="95"/>
        <v>0</v>
      </c>
      <c r="T230" s="70">
        <f t="shared" ca="1" si="96"/>
        <v>0</v>
      </c>
      <c r="U230" s="70">
        <f t="shared" ca="1" si="97"/>
        <v>0</v>
      </c>
      <c r="V230" s="70">
        <f t="shared" ca="1" si="98"/>
        <v>0</v>
      </c>
      <c r="W230" s="70">
        <f t="shared" ca="1" si="99"/>
        <v>0</v>
      </c>
      <c r="X230" s="70">
        <f t="shared" si="100"/>
        <v>0</v>
      </c>
      <c r="Y230" s="70">
        <f t="shared" si="101"/>
        <v>0</v>
      </c>
      <c r="Z230" s="68">
        <f t="shared" si="102"/>
        <v>1</v>
      </c>
      <c r="AA230" s="84">
        <f t="shared" si="103"/>
        <v>0</v>
      </c>
      <c r="AB230" s="488">
        <f t="array" ref="AB230">ROUNDDOWN(AVERAGE(IFERROR(LARGE((X$6:X229+Y$6:Y229)*Z$6:Z229*(G$6:G229=G230), SC_SSCalcYears),0))/(12*Z230),0)</f>
        <v>0</v>
      </c>
      <c r="AC230" s="69">
        <f t="shared" si="104"/>
        <v>1</v>
      </c>
      <c r="AD230" s="85">
        <f t="shared" si="105"/>
        <v>0</v>
      </c>
      <c r="AE230" s="140">
        <f t="shared" ca="1" si="106"/>
        <v>0</v>
      </c>
      <c r="AF230" s="75">
        <f t="shared" ca="1" si="107"/>
        <v>0</v>
      </c>
      <c r="AG230" s="109">
        <f t="shared" ca="1" si="108"/>
        <v>0</v>
      </c>
      <c r="AH230" s="617">
        <f>SUMIFS($AE230:$AE231,SP_PensionPayout,"Lump sum",$E230:$E231,"&lt;&gt;0")</f>
        <v>0</v>
      </c>
      <c r="AI230" s="617">
        <f>SUMIFS($AE230:$AE231,SP_PensionPayout,"Annuity",$E230:$E231,"&lt;&gt;0")</f>
        <v>0</v>
      </c>
      <c r="AJ230" s="617">
        <f>IF(ISBLANK(INDEX(SP_SSPBFA,1)),0,IF($J230&lt;&gt;INDEX(SP_SSPBFA,1),AJ228,SP_AdditionalRI/INDEX(SC_EA_InflationWageIdx,EAIDX)))</f>
        <v>0</v>
      </c>
      <c r="AK230" s="617">
        <f ca="1">SUMPRODUCT(AF230:AF231, --(G230:G231&lt;&gt;0))</f>
        <v>0</v>
      </c>
      <c r="AL230" s="618">
        <f ca="1">SUMPRODUCT(AG230:AG231, --(E230:E231&lt;&gt;0))+AJ230</f>
        <v>0</v>
      </c>
      <c r="AM230" s="186">
        <f t="shared" ca="1" si="113"/>
        <v>0</v>
      </c>
      <c r="AN230" t="str">
        <f t="shared" ca="1" si="114"/>
        <v/>
      </c>
    </row>
    <row r="231" spans="2:40" x14ac:dyDescent="0.25">
      <c r="B231" s="86">
        <f t="shared" si="111"/>
        <v>2066</v>
      </c>
      <c r="C231" s="80" t="s">
        <v>741</v>
      </c>
      <c r="D231" s="147" t="str">
        <f t="shared" si="84"/>
        <v/>
      </c>
      <c r="E231" s="81">
        <f t="shared" si="85"/>
        <v>0</v>
      </c>
      <c r="F231" s="82">
        <f t="shared" si="89"/>
        <v>0</v>
      </c>
      <c r="G231" s="81">
        <f t="shared" si="88"/>
        <v>2</v>
      </c>
      <c r="H231" s="82">
        <f t="shared" si="90"/>
        <v>-1</v>
      </c>
      <c r="I231" s="82">
        <f t="shared" si="86"/>
        <v>0</v>
      </c>
      <c r="J231" s="81">
        <f t="shared" si="91"/>
        <v>0</v>
      </c>
      <c r="K231" s="83">
        <f t="shared" ca="1" si="87"/>
        <v>0</v>
      </c>
      <c r="L231" s="470"/>
      <c r="M231" s="470"/>
      <c r="N231" s="470"/>
      <c r="O231" s="531"/>
      <c r="P231" s="107">
        <f t="shared" ca="1" si="92"/>
        <v>0</v>
      </c>
      <c r="Q231" s="107">
        <f t="shared" ca="1" si="93"/>
        <v>0</v>
      </c>
      <c r="R231" s="107">
        <f t="shared" ca="1" si="94"/>
        <v>0</v>
      </c>
      <c r="S231" s="107">
        <f t="shared" ca="1" si="95"/>
        <v>0</v>
      </c>
      <c r="T231" s="107">
        <f t="shared" ca="1" si="96"/>
        <v>0</v>
      </c>
      <c r="U231" s="107">
        <f t="shared" ca="1" si="97"/>
        <v>0</v>
      </c>
      <c r="V231" s="107">
        <f t="shared" ca="1" si="98"/>
        <v>0</v>
      </c>
      <c r="W231" s="107">
        <f t="shared" ca="1" si="99"/>
        <v>0</v>
      </c>
      <c r="X231" s="107">
        <f t="shared" si="100"/>
        <v>0</v>
      </c>
      <c r="Y231" s="107">
        <f t="shared" si="101"/>
        <v>0</v>
      </c>
      <c r="Z231" s="87">
        <f t="shared" si="102"/>
        <v>1</v>
      </c>
      <c r="AA231" s="88">
        <f t="shared" si="103"/>
        <v>0</v>
      </c>
      <c r="AB231" s="107">
        <f t="array" ref="AB231">ROUNDDOWN(AVERAGE(IFERROR(LARGE((X$6:X230+Y$6:Y230)*Z$6:Z230*(G$6:G230=G231), SC_SSCalcYears),0))/(12*Z231),0)</f>
        <v>0</v>
      </c>
      <c r="AC231" s="211">
        <f t="shared" si="104"/>
        <v>1</v>
      </c>
      <c r="AD231" s="89">
        <f t="shared" si="105"/>
        <v>0</v>
      </c>
      <c r="AE231" s="141">
        <f t="shared" ca="1" si="106"/>
        <v>0</v>
      </c>
      <c r="AF231" s="106">
        <f t="shared" ca="1" si="107"/>
        <v>0</v>
      </c>
      <c r="AG231" s="110">
        <f t="shared" ca="1" si="108"/>
        <v>0</v>
      </c>
      <c r="AH231" s="617"/>
      <c r="AI231" s="617"/>
      <c r="AJ231" s="617"/>
      <c r="AK231" s="617"/>
      <c r="AL231" s="618"/>
      <c r="AM231" s="186">
        <f t="shared" ca="1" si="113"/>
        <v>0</v>
      </c>
      <c r="AN231" t="str">
        <f t="shared" ca="1" si="114"/>
        <v/>
      </c>
    </row>
    <row r="232" spans="2:40" x14ac:dyDescent="0.25">
      <c r="B232" s="65">
        <f t="shared" si="111"/>
        <v>2067</v>
      </c>
      <c r="C232" s="76" t="s">
        <v>741</v>
      </c>
      <c r="D232" s="146" t="str">
        <f t="shared" si="84"/>
        <v/>
      </c>
      <c r="E232" s="77">
        <f t="shared" si="85"/>
        <v>0</v>
      </c>
      <c r="F232" s="77">
        <f t="shared" si="89"/>
        <v>0</v>
      </c>
      <c r="G232" s="77">
        <f t="shared" si="88"/>
        <v>1</v>
      </c>
      <c r="H232" s="76">
        <f t="shared" si="90"/>
        <v>1</v>
      </c>
      <c r="I232" s="76">
        <f t="shared" si="86"/>
        <v>0</v>
      </c>
      <c r="J232" s="77">
        <f t="shared" si="91"/>
        <v>0</v>
      </c>
      <c r="K232" s="78">
        <f t="shared" ca="1" si="87"/>
        <v>0</v>
      </c>
      <c r="L232" s="470"/>
      <c r="M232" s="470"/>
      <c r="N232" s="470"/>
      <c r="O232" s="531"/>
      <c r="P232" s="70">
        <f t="shared" ca="1" si="92"/>
        <v>0</v>
      </c>
      <c r="Q232" s="70">
        <f t="shared" ca="1" si="93"/>
        <v>0</v>
      </c>
      <c r="R232" s="70">
        <f t="shared" ca="1" si="94"/>
        <v>0</v>
      </c>
      <c r="S232" s="70">
        <f t="shared" ca="1" si="95"/>
        <v>0</v>
      </c>
      <c r="T232" s="70">
        <f t="shared" ca="1" si="96"/>
        <v>0</v>
      </c>
      <c r="U232" s="70">
        <f t="shared" ca="1" si="97"/>
        <v>0</v>
      </c>
      <c r="V232" s="70">
        <f t="shared" ca="1" si="98"/>
        <v>0</v>
      </c>
      <c r="W232" s="70">
        <f t="shared" ca="1" si="99"/>
        <v>0</v>
      </c>
      <c r="X232" s="70">
        <f t="shared" si="100"/>
        <v>0</v>
      </c>
      <c r="Y232" s="70">
        <f t="shared" si="101"/>
        <v>0</v>
      </c>
      <c r="Z232" s="68">
        <f t="shared" si="102"/>
        <v>1</v>
      </c>
      <c r="AA232" s="84">
        <f t="shared" si="103"/>
        <v>0</v>
      </c>
      <c r="AB232" s="488">
        <f t="array" ref="AB232">ROUNDDOWN(AVERAGE(IFERROR(LARGE((X$6:X231+Y$6:Y231)*Z$6:Z231*(G$6:G231=G232), SC_SSCalcYears),0))/(12*Z232),0)</f>
        <v>0</v>
      </c>
      <c r="AC232" s="69">
        <f t="shared" si="104"/>
        <v>1</v>
      </c>
      <c r="AD232" s="85">
        <f t="shared" si="105"/>
        <v>0</v>
      </c>
      <c r="AE232" s="140">
        <f t="shared" ca="1" si="106"/>
        <v>0</v>
      </c>
      <c r="AF232" s="75">
        <f t="shared" ca="1" si="107"/>
        <v>0</v>
      </c>
      <c r="AG232" s="109">
        <f t="shared" ca="1" si="108"/>
        <v>0</v>
      </c>
      <c r="AH232" s="617">
        <f>SUMIFS($AE232:$AE233,SP_PensionPayout,"Lump sum",$E232:$E233,"&lt;&gt;0")</f>
        <v>0</v>
      </c>
      <c r="AI232" s="617">
        <f>SUMIFS($AE232:$AE233,SP_PensionPayout,"Annuity",$E232:$E233,"&lt;&gt;0")</f>
        <v>0</v>
      </c>
      <c r="AJ232" s="617">
        <f>IF(ISBLANK(INDEX(SP_SSPBFA,1)),0,IF($J232&lt;&gt;INDEX(SP_SSPBFA,1),AJ230,SP_AdditionalRI/INDEX(SC_EA_InflationWageIdx,EAIDX)))</f>
        <v>0</v>
      </c>
      <c r="AK232" s="617">
        <f ca="1">SUMPRODUCT(AF232:AF233, --(G232:G233&lt;&gt;0))</f>
        <v>0</v>
      </c>
      <c r="AL232" s="618">
        <f ca="1">SUMPRODUCT(AG232:AG233, --(E232:E233&lt;&gt;0))+AJ232</f>
        <v>0</v>
      </c>
      <c r="AM232" s="186">
        <f t="shared" ca="1" si="113"/>
        <v>0</v>
      </c>
      <c r="AN232" t="str">
        <f t="shared" ca="1" si="114"/>
        <v/>
      </c>
    </row>
    <row r="233" spans="2:40" x14ac:dyDescent="0.25">
      <c r="B233" s="86">
        <f t="shared" si="111"/>
        <v>2067</v>
      </c>
      <c r="C233" s="80" t="s">
        <v>741</v>
      </c>
      <c r="D233" s="147" t="str">
        <f t="shared" si="84"/>
        <v/>
      </c>
      <c r="E233" s="81">
        <f t="shared" si="85"/>
        <v>0</v>
      </c>
      <c r="F233" s="82">
        <f t="shared" si="89"/>
        <v>0</v>
      </c>
      <c r="G233" s="81">
        <f t="shared" si="88"/>
        <v>2</v>
      </c>
      <c r="H233" s="82">
        <f t="shared" si="90"/>
        <v>-1</v>
      </c>
      <c r="I233" s="82">
        <f t="shared" si="86"/>
        <v>0</v>
      </c>
      <c r="J233" s="81">
        <f t="shared" si="91"/>
        <v>0</v>
      </c>
      <c r="K233" s="83">
        <f t="shared" ca="1" si="87"/>
        <v>0</v>
      </c>
      <c r="L233" s="470"/>
      <c r="M233" s="470"/>
      <c r="N233" s="470"/>
      <c r="O233" s="531"/>
      <c r="P233" s="107">
        <f t="shared" ca="1" si="92"/>
        <v>0</v>
      </c>
      <c r="Q233" s="107">
        <f t="shared" ca="1" si="93"/>
        <v>0</v>
      </c>
      <c r="R233" s="107">
        <f t="shared" ca="1" si="94"/>
        <v>0</v>
      </c>
      <c r="S233" s="107">
        <f t="shared" ca="1" si="95"/>
        <v>0</v>
      </c>
      <c r="T233" s="107">
        <f t="shared" ca="1" si="96"/>
        <v>0</v>
      </c>
      <c r="U233" s="107">
        <f t="shared" ca="1" si="97"/>
        <v>0</v>
      </c>
      <c r="V233" s="107">
        <f t="shared" ca="1" si="98"/>
        <v>0</v>
      </c>
      <c r="W233" s="107">
        <f t="shared" ca="1" si="99"/>
        <v>0</v>
      </c>
      <c r="X233" s="107">
        <f t="shared" si="100"/>
        <v>0</v>
      </c>
      <c r="Y233" s="107">
        <f t="shared" si="101"/>
        <v>0</v>
      </c>
      <c r="Z233" s="87">
        <f t="shared" si="102"/>
        <v>1</v>
      </c>
      <c r="AA233" s="88">
        <f t="shared" si="103"/>
        <v>0</v>
      </c>
      <c r="AB233" s="107">
        <f t="array" ref="AB233">ROUNDDOWN(AVERAGE(IFERROR(LARGE((X$6:X232+Y$6:Y232)*Z$6:Z232*(G$6:G232=G233), SC_SSCalcYears),0))/(12*Z233),0)</f>
        <v>0</v>
      </c>
      <c r="AC233" s="211">
        <f t="shared" si="104"/>
        <v>1</v>
      </c>
      <c r="AD233" s="89">
        <f t="shared" si="105"/>
        <v>0</v>
      </c>
      <c r="AE233" s="141">
        <f t="shared" ca="1" si="106"/>
        <v>0</v>
      </c>
      <c r="AF233" s="106">
        <f t="shared" ca="1" si="107"/>
        <v>0</v>
      </c>
      <c r="AG233" s="110">
        <f t="shared" ca="1" si="108"/>
        <v>0</v>
      </c>
      <c r="AH233" s="617"/>
      <c r="AI233" s="617"/>
      <c r="AJ233" s="617"/>
      <c r="AK233" s="617"/>
      <c r="AL233" s="618"/>
      <c r="AM233" s="186">
        <f t="shared" ca="1" si="113"/>
        <v>0</v>
      </c>
      <c r="AN233" t="str">
        <f t="shared" ca="1" si="114"/>
        <v/>
      </c>
    </row>
    <row r="234" spans="2:40" x14ac:dyDescent="0.25">
      <c r="B234" s="65">
        <f t="shared" si="111"/>
        <v>2068</v>
      </c>
      <c r="C234" s="76" t="s">
        <v>741</v>
      </c>
      <c r="D234" s="146" t="str">
        <f t="shared" si="84"/>
        <v/>
      </c>
      <c r="E234" s="77">
        <f t="shared" si="85"/>
        <v>0</v>
      </c>
      <c r="F234" s="77">
        <f t="shared" si="89"/>
        <v>0</v>
      </c>
      <c r="G234" s="77">
        <f t="shared" si="88"/>
        <v>1</v>
      </c>
      <c r="H234" s="76">
        <f t="shared" si="90"/>
        <v>1</v>
      </c>
      <c r="I234" s="76">
        <f t="shared" si="86"/>
        <v>0</v>
      </c>
      <c r="J234" s="77">
        <f t="shared" si="91"/>
        <v>0</v>
      </c>
      <c r="K234" s="78">
        <f t="shared" ca="1" si="87"/>
        <v>0</v>
      </c>
      <c r="L234" s="470"/>
      <c r="M234" s="470"/>
      <c r="N234" s="470"/>
      <c r="O234" s="531"/>
      <c r="P234" s="70">
        <f t="shared" ca="1" si="92"/>
        <v>0</v>
      </c>
      <c r="Q234" s="70">
        <f t="shared" ca="1" si="93"/>
        <v>0</v>
      </c>
      <c r="R234" s="70">
        <f t="shared" ca="1" si="94"/>
        <v>0</v>
      </c>
      <c r="S234" s="70">
        <f t="shared" ca="1" si="95"/>
        <v>0</v>
      </c>
      <c r="T234" s="70">
        <f t="shared" ca="1" si="96"/>
        <v>0</v>
      </c>
      <c r="U234" s="70">
        <f t="shared" ca="1" si="97"/>
        <v>0</v>
      </c>
      <c r="V234" s="70">
        <f t="shared" ca="1" si="98"/>
        <v>0</v>
      </c>
      <c r="W234" s="70">
        <f t="shared" ca="1" si="99"/>
        <v>0</v>
      </c>
      <c r="X234" s="70">
        <f t="shared" si="100"/>
        <v>0</v>
      </c>
      <c r="Y234" s="70">
        <f t="shared" si="101"/>
        <v>0</v>
      </c>
      <c r="Z234" s="68">
        <f t="shared" si="102"/>
        <v>1</v>
      </c>
      <c r="AA234" s="84">
        <f t="shared" si="103"/>
        <v>0</v>
      </c>
      <c r="AB234" s="488">
        <f t="array" ref="AB234">ROUNDDOWN(AVERAGE(IFERROR(LARGE((X$6:X233+Y$6:Y233)*Z$6:Z233*(G$6:G233=G234), SC_SSCalcYears),0))/(12*Z234),0)</f>
        <v>0</v>
      </c>
      <c r="AC234" s="69">
        <f t="shared" si="104"/>
        <v>1</v>
      </c>
      <c r="AD234" s="85">
        <f t="shared" si="105"/>
        <v>0</v>
      </c>
      <c r="AE234" s="140">
        <f t="shared" ca="1" si="106"/>
        <v>0</v>
      </c>
      <c r="AF234" s="75">
        <f t="shared" ca="1" si="107"/>
        <v>0</v>
      </c>
      <c r="AG234" s="109">
        <f t="shared" ca="1" si="108"/>
        <v>0</v>
      </c>
      <c r="AH234" s="617">
        <f>SUMIFS($AE234:$AE235,SP_PensionPayout,"Lump sum",$E234:$E235,"&lt;&gt;0")</f>
        <v>0</v>
      </c>
      <c r="AI234" s="617">
        <f>SUMIFS($AE234:$AE235,SP_PensionPayout,"Annuity",$E234:$E235,"&lt;&gt;0")</f>
        <v>0</v>
      </c>
      <c r="AJ234" s="617">
        <f>IF(ISBLANK(INDEX(SP_SSPBFA,1)),0,IF($J234&lt;&gt;INDEX(SP_SSPBFA,1),AJ232,SP_AdditionalRI/INDEX(SC_EA_InflationWageIdx,EAIDX)))</f>
        <v>0</v>
      </c>
      <c r="AK234" s="617">
        <f ca="1">SUMPRODUCT(AF234:AF235, --(G234:G235&lt;&gt;0))</f>
        <v>0</v>
      </c>
      <c r="AL234" s="618">
        <f ca="1">SUMPRODUCT(AG234:AG235, --(E234:E235&lt;&gt;0))+AJ234</f>
        <v>0</v>
      </c>
      <c r="AM234" s="186">
        <f t="shared" ca="1" si="113"/>
        <v>0</v>
      </c>
      <c r="AN234" t="str">
        <f t="shared" ca="1" si="114"/>
        <v/>
      </c>
    </row>
    <row r="235" spans="2:40" x14ac:dyDescent="0.25">
      <c r="B235" s="86">
        <f t="shared" si="111"/>
        <v>2068</v>
      </c>
      <c r="C235" s="80" t="s">
        <v>741</v>
      </c>
      <c r="D235" s="147" t="str">
        <f t="shared" si="84"/>
        <v/>
      </c>
      <c r="E235" s="81">
        <f t="shared" si="85"/>
        <v>0</v>
      </c>
      <c r="F235" s="82">
        <f t="shared" si="89"/>
        <v>0</v>
      </c>
      <c r="G235" s="81">
        <f t="shared" si="88"/>
        <v>2</v>
      </c>
      <c r="H235" s="82">
        <f t="shared" si="90"/>
        <v>-1</v>
      </c>
      <c r="I235" s="82">
        <f t="shared" si="86"/>
        <v>0</v>
      </c>
      <c r="J235" s="81">
        <f t="shared" si="91"/>
        <v>0</v>
      </c>
      <c r="K235" s="83">
        <f t="shared" ca="1" si="87"/>
        <v>0</v>
      </c>
      <c r="L235" s="470"/>
      <c r="M235" s="470"/>
      <c r="N235" s="470"/>
      <c r="O235" s="531"/>
      <c r="P235" s="107">
        <f t="shared" ca="1" si="92"/>
        <v>0</v>
      </c>
      <c r="Q235" s="107">
        <f t="shared" ca="1" si="93"/>
        <v>0</v>
      </c>
      <c r="R235" s="107">
        <f t="shared" ca="1" si="94"/>
        <v>0</v>
      </c>
      <c r="S235" s="107">
        <f t="shared" ca="1" si="95"/>
        <v>0</v>
      </c>
      <c r="T235" s="107">
        <f t="shared" ca="1" si="96"/>
        <v>0</v>
      </c>
      <c r="U235" s="107">
        <f t="shared" ca="1" si="97"/>
        <v>0</v>
      </c>
      <c r="V235" s="107">
        <f t="shared" ca="1" si="98"/>
        <v>0</v>
      </c>
      <c r="W235" s="107">
        <f t="shared" ca="1" si="99"/>
        <v>0</v>
      </c>
      <c r="X235" s="107">
        <f t="shared" si="100"/>
        <v>0</v>
      </c>
      <c r="Y235" s="107">
        <f t="shared" si="101"/>
        <v>0</v>
      </c>
      <c r="Z235" s="87">
        <f t="shared" si="102"/>
        <v>1</v>
      </c>
      <c r="AA235" s="88">
        <f t="shared" si="103"/>
        <v>0</v>
      </c>
      <c r="AB235" s="107">
        <f t="array" ref="AB235">ROUNDDOWN(AVERAGE(IFERROR(LARGE((X$6:X234+Y$6:Y234)*Z$6:Z234*(G$6:G234=G235), SC_SSCalcYears),0))/(12*Z235),0)</f>
        <v>0</v>
      </c>
      <c r="AC235" s="211">
        <f t="shared" si="104"/>
        <v>1</v>
      </c>
      <c r="AD235" s="89">
        <f t="shared" si="105"/>
        <v>0</v>
      </c>
      <c r="AE235" s="141">
        <f t="shared" ca="1" si="106"/>
        <v>0</v>
      </c>
      <c r="AF235" s="106">
        <f t="shared" ca="1" si="107"/>
        <v>0</v>
      </c>
      <c r="AG235" s="110">
        <f t="shared" ca="1" si="108"/>
        <v>0</v>
      </c>
      <c r="AH235" s="617"/>
      <c r="AI235" s="617"/>
      <c r="AJ235" s="617"/>
      <c r="AK235" s="617"/>
      <c r="AL235" s="618"/>
      <c r="AM235" s="186">
        <f t="shared" ca="1" si="113"/>
        <v>0</v>
      </c>
      <c r="AN235" t="str">
        <f t="shared" ca="1" si="114"/>
        <v/>
      </c>
    </row>
    <row r="236" spans="2:40" x14ac:dyDescent="0.25">
      <c r="B236" s="65">
        <f t="shared" si="111"/>
        <v>2069</v>
      </c>
      <c r="C236" s="76" t="s">
        <v>741</v>
      </c>
      <c r="D236" s="146" t="str">
        <f t="shared" si="84"/>
        <v/>
      </c>
      <c r="E236" s="77">
        <f t="shared" si="85"/>
        <v>0</v>
      </c>
      <c r="F236" s="77">
        <f t="shared" si="89"/>
        <v>0</v>
      </c>
      <c r="G236" s="77">
        <f t="shared" si="88"/>
        <v>1</v>
      </c>
      <c r="H236" s="76">
        <f t="shared" si="90"/>
        <v>1</v>
      </c>
      <c r="I236" s="76">
        <f t="shared" si="86"/>
        <v>0</v>
      </c>
      <c r="J236" s="77">
        <f t="shared" si="91"/>
        <v>0</v>
      </c>
      <c r="K236" s="78">
        <f t="shared" ca="1" si="87"/>
        <v>0</v>
      </c>
      <c r="L236" s="470"/>
      <c r="M236" s="470"/>
      <c r="N236" s="470"/>
      <c r="O236" s="531"/>
      <c r="P236" s="70">
        <f t="shared" ca="1" si="92"/>
        <v>0</v>
      </c>
      <c r="Q236" s="70">
        <f t="shared" ca="1" si="93"/>
        <v>0</v>
      </c>
      <c r="R236" s="70">
        <f t="shared" ca="1" si="94"/>
        <v>0</v>
      </c>
      <c r="S236" s="70">
        <f t="shared" ca="1" si="95"/>
        <v>0</v>
      </c>
      <c r="T236" s="70">
        <f t="shared" ca="1" si="96"/>
        <v>0</v>
      </c>
      <c r="U236" s="70">
        <f t="shared" ca="1" si="97"/>
        <v>0</v>
      </c>
      <c r="V236" s="70">
        <f t="shared" ca="1" si="98"/>
        <v>0</v>
      </c>
      <c r="W236" s="70">
        <f t="shared" ca="1" si="99"/>
        <v>0</v>
      </c>
      <c r="X236" s="70">
        <f t="shared" si="100"/>
        <v>0</v>
      </c>
      <c r="Y236" s="70">
        <f t="shared" si="101"/>
        <v>0</v>
      </c>
      <c r="Z236" s="68">
        <f t="shared" si="102"/>
        <v>1</v>
      </c>
      <c r="AA236" s="84">
        <f t="shared" si="103"/>
        <v>0</v>
      </c>
      <c r="AB236" s="488">
        <f t="array" ref="AB236">ROUNDDOWN(AVERAGE(IFERROR(LARGE((X$6:X235+Y$6:Y235)*Z$6:Z235*(G$6:G235=G236), SC_SSCalcYears),0))/(12*Z236),0)</f>
        <v>0</v>
      </c>
      <c r="AC236" s="69">
        <f t="shared" si="104"/>
        <v>1</v>
      </c>
      <c r="AD236" s="85">
        <f t="shared" si="105"/>
        <v>0</v>
      </c>
      <c r="AE236" s="140">
        <f t="shared" ca="1" si="106"/>
        <v>0</v>
      </c>
      <c r="AF236" s="75">
        <f t="shared" ca="1" si="107"/>
        <v>0</v>
      </c>
      <c r="AG236" s="109">
        <f t="shared" ca="1" si="108"/>
        <v>0</v>
      </c>
      <c r="AH236" s="617">
        <f>SUMIFS($AE236:$AE237,SP_PensionPayout,"Lump sum",$E236:$E237,"&lt;&gt;0")</f>
        <v>0</v>
      </c>
      <c r="AI236" s="617">
        <f>SUMIFS($AE236:$AE237,SP_PensionPayout,"Annuity",$E236:$E237,"&lt;&gt;0")</f>
        <v>0</v>
      </c>
      <c r="AJ236" s="617">
        <f>IF(ISBLANK(INDEX(SP_SSPBFA,1)),0,IF($J236&lt;&gt;INDEX(SP_SSPBFA,1),AJ234,SP_AdditionalRI/INDEX(SC_EA_InflationWageIdx,EAIDX)))</f>
        <v>0</v>
      </c>
      <c r="AK236" s="617">
        <f ca="1">SUMPRODUCT(AF236:AF237, --(G236:G237&lt;&gt;0))</f>
        <v>0</v>
      </c>
      <c r="AL236" s="618">
        <f ca="1">SUMPRODUCT(AG236:AG237, --(E236:E237&lt;&gt;0))+AJ236</f>
        <v>0</v>
      </c>
      <c r="AM236" s="186">
        <f t="shared" ca="1" si="113"/>
        <v>0</v>
      </c>
      <c r="AN236" t="str">
        <f t="shared" ca="1" si="114"/>
        <v/>
      </c>
    </row>
    <row r="237" spans="2:40" x14ac:dyDescent="0.25">
      <c r="B237" s="86">
        <f t="shared" si="111"/>
        <v>2069</v>
      </c>
      <c r="C237" s="80" t="s">
        <v>741</v>
      </c>
      <c r="D237" s="147" t="str">
        <f t="shared" si="84"/>
        <v/>
      </c>
      <c r="E237" s="81">
        <f t="shared" si="85"/>
        <v>0</v>
      </c>
      <c r="F237" s="82">
        <f t="shared" si="89"/>
        <v>0</v>
      </c>
      <c r="G237" s="81">
        <f t="shared" si="88"/>
        <v>2</v>
      </c>
      <c r="H237" s="82">
        <f t="shared" si="90"/>
        <v>-1</v>
      </c>
      <c r="I237" s="82">
        <f t="shared" si="86"/>
        <v>0</v>
      </c>
      <c r="J237" s="81">
        <f t="shared" si="91"/>
        <v>0</v>
      </c>
      <c r="K237" s="83">
        <f t="shared" ca="1" si="87"/>
        <v>0</v>
      </c>
      <c r="L237" s="470"/>
      <c r="M237" s="470"/>
      <c r="N237" s="470"/>
      <c r="O237" s="531"/>
      <c r="P237" s="107">
        <f t="shared" ca="1" si="92"/>
        <v>0</v>
      </c>
      <c r="Q237" s="107">
        <f t="shared" ca="1" si="93"/>
        <v>0</v>
      </c>
      <c r="R237" s="107">
        <f t="shared" ca="1" si="94"/>
        <v>0</v>
      </c>
      <c r="S237" s="107">
        <f t="shared" ca="1" si="95"/>
        <v>0</v>
      </c>
      <c r="T237" s="107">
        <f t="shared" ca="1" si="96"/>
        <v>0</v>
      </c>
      <c r="U237" s="107">
        <f t="shared" ca="1" si="97"/>
        <v>0</v>
      </c>
      <c r="V237" s="107">
        <f t="shared" ca="1" si="98"/>
        <v>0</v>
      </c>
      <c r="W237" s="107">
        <f t="shared" ca="1" si="99"/>
        <v>0</v>
      </c>
      <c r="X237" s="107">
        <f t="shared" si="100"/>
        <v>0</v>
      </c>
      <c r="Y237" s="107">
        <f t="shared" si="101"/>
        <v>0</v>
      </c>
      <c r="Z237" s="87">
        <f t="shared" si="102"/>
        <v>1</v>
      </c>
      <c r="AA237" s="88">
        <f t="shared" si="103"/>
        <v>0</v>
      </c>
      <c r="AB237" s="107">
        <f t="array" ref="AB237">ROUNDDOWN(AVERAGE(IFERROR(LARGE((X$6:X236+Y$6:Y236)*Z$6:Z236*(G$6:G236=G237), SC_SSCalcYears),0))/(12*Z237),0)</f>
        <v>0</v>
      </c>
      <c r="AC237" s="211">
        <f t="shared" si="104"/>
        <v>1</v>
      </c>
      <c r="AD237" s="89">
        <f t="shared" si="105"/>
        <v>0</v>
      </c>
      <c r="AE237" s="141">
        <f t="shared" ca="1" si="106"/>
        <v>0</v>
      </c>
      <c r="AF237" s="106">
        <f t="shared" ca="1" si="107"/>
        <v>0</v>
      </c>
      <c r="AG237" s="110">
        <f t="shared" ca="1" si="108"/>
        <v>0</v>
      </c>
      <c r="AH237" s="617"/>
      <c r="AI237" s="617"/>
      <c r="AJ237" s="617"/>
      <c r="AK237" s="617"/>
      <c r="AL237" s="618"/>
      <c r="AM237" s="186">
        <f t="shared" ca="1" si="113"/>
        <v>0</v>
      </c>
      <c r="AN237" t="str">
        <f t="shared" ca="1" si="114"/>
        <v/>
      </c>
    </row>
    <row r="238" spans="2:40" x14ac:dyDescent="0.25">
      <c r="B238" s="65">
        <f t="shared" si="111"/>
        <v>2070</v>
      </c>
      <c r="C238" s="76" t="s">
        <v>741</v>
      </c>
      <c r="D238" s="146" t="str">
        <f t="shared" si="84"/>
        <v/>
      </c>
      <c r="E238" s="77">
        <f t="shared" si="85"/>
        <v>0</v>
      </c>
      <c r="F238" s="77">
        <f t="shared" si="89"/>
        <v>0</v>
      </c>
      <c r="G238" s="77">
        <f t="shared" si="88"/>
        <v>1</v>
      </c>
      <c r="H238" s="76">
        <f t="shared" si="90"/>
        <v>1</v>
      </c>
      <c r="I238" s="76">
        <f t="shared" si="86"/>
        <v>0</v>
      </c>
      <c r="J238" s="77">
        <f t="shared" si="91"/>
        <v>0</v>
      </c>
      <c r="K238" s="78">
        <f t="shared" ca="1" si="87"/>
        <v>0</v>
      </c>
      <c r="L238" s="470"/>
      <c r="M238" s="470"/>
      <c r="N238" s="470"/>
      <c r="O238" s="531"/>
      <c r="P238" s="70">
        <f t="shared" ca="1" si="92"/>
        <v>0</v>
      </c>
      <c r="Q238" s="70">
        <f t="shared" ca="1" si="93"/>
        <v>0</v>
      </c>
      <c r="R238" s="70">
        <f t="shared" ca="1" si="94"/>
        <v>0</v>
      </c>
      <c r="S238" s="70">
        <f t="shared" ca="1" si="95"/>
        <v>0</v>
      </c>
      <c r="T238" s="70">
        <f t="shared" ca="1" si="96"/>
        <v>0</v>
      </c>
      <c r="U238" s="70">
        <f t="shared" ca="1" si="97"/>
        <v>0</v>
      </c>
      <c r="V238" s="70">
        <f t="shared" ca="1" si="98"/>
        <v>0</v>
      </c>
      <c r="W238" s="70">
        <f t="shared" ca="1" si="99"/>
        <v>0</v>
      </c>
      <c r="X238" s="70">
        <f t="shared" si="100"/>
        <v>0</v>
      </c>
      <c r="Y238" s="70">
        <f t="shared" si="101"/>
        <v>0</v>
      </c>
      <c r="Z238" s="68">
        <f t="shared" si="102"/>
        <v>1</v>
      </c>
      <c r="AA238" s="84">
        <f t="shared" si="103"/>
        <v>0</v>
      </c>
      <c r="AB238" s="488">
        <f t="array" ref="AB238">ROUNDDOWN(AVERAGE(IFERROR(LARGE((X$6:X237+Y$6:Y237)*Z$6:Z237*(G$6:G237=G238), SC_SSCalcYears),0))/(12*Z238),0)</f>
        <v>0</v>
      </c>
      <c r="AC238" s="69">
        <f t="shared" si="104"/>
        <v>1</v>
      </c>
      <c r="AD238" s="85">
        <f t="shared" si="105"/>
        <v>0</v>
      </c>
      <c r="AE238" s="140">
        <f t="shared" ca="1" si="106"/>
        <v>0</v>
      </c>
      <c r="AF238" s="75">
        <f t="shared" ca="1" si="107"/>
        <v>0</v>
      </c>
      <c r="AG238" s="109">
        <f t="shared" ca="1" si="108"/>
        <v>0</v>
      </c>
      <c r="AH238" s="617">
        <f>SUMIFS($AE238:$AE239,SP_PensionPayout,"Lump sum",$E238:$E239,"&lt;&gt;0")</f>
        <v>0</v>
      </c>
      <c r="AI238" s="617">
        <f>SUMIFS($AE238:$AE239,SP_PensionPayout,"Annuity",$E238:$E239,"&lt;&gt;0")</f>
        <v>0</v>
      </c>
      <c r="AJ238" s="617">
        <f>IF(ISBLANK(INDEX(SP_SSPBFA,1)),0,IF($J238&lt;&gt;INDEX(SP_SSPBFA,1),AJ236,SP_AdditionalRI/INDEX(SC_EA_InflationWageIdx,EAIDX)))</f>
        <v>0</v>
      </c>
      <c r="AK238" s="617">
        <f ca="1">SUMPRODUCT(AF238:AF239, --(G238:G239&lt;&gt;0))</f>
        <v>0</v>
      </c>
      <c r="AL238" s="618">
        <f ca="1">SUMPRODUCT(AG238:AG239, --(E238:E239&lt;&gt;0))+AJ238</f>
        <v>0</v>
      </c>
      <c r="AM238" s="186">
        <f t="shared" ca="1" si="113"/>
        <v>0</v>
      </c>
      <c r="AN238" t="str">
        <f t="shared" ca="1" si="114"/>
        <v/>
      </c>
    </row>
    <row r="239" spans="2:40" x14ac:dyDescent="0.25">
      <c r="B239" s="86">
        <f t="shared" si="111"/>
        <v>2070</v>
      </c>
      <c r="C239" s="80" t="s">
        <v>741</v>
      </c>
      <c r="D239" s="147" t="str">
        <f t="shared" si="84"/>
        <v/>
      </c>
      <c r="E239" s="81">
        <f t="shared" si="85"/>
        <v>0</v>
      </c>
      <c r="F239" s="82">
        <f t="shared" si="89"/>
        <v>0</v>
      </c>
      <c r="G239" s="81">
        <f t="shared" si="88"/>
        <v>2</v>
      </c>
      <c r="H239" s="82">
        <f t="shared" si="90"/>
        <v>-1</v>
      </c>
      <c r="I239" s="82">
        <f t="shared" si="86"/>
        <v>0</v>
      </c>
      <c r="J239" s="81">
        <f t="shared" si="91"/>
        <v>0</v>
      </c>
      <c r="K239" s="83">
        <f t="shared" ca="1" si="87"/>
        <v>0</v>
      </c>
      <c r="L239" s="470"/>
      <c r="M239" s="470"/>
      <c r="N239" s="470"/>
      <c r="O239" s="531"/>
      <c r="P239" s="107">
        <f t="shared" ca="1" si="92"/>
        <v>0</v>
      </c>
      <c r="Q239" s="107">
        <f t="shared" ca="1" si="93"/>
        <v>0</v>
      </c>
      <c r="R239" s="107">
        <f t="shared" ca="1" si="94"/>
        <v>0</v>
      </c>
      <c r="S239" s="107">
        <f t="shared" ca="1" si="95"/>
        <v>0</v>
      </c>
      <c r="T239" s="107">
        <f t="shared" ca="1" si="96"/>
        <v>0</v>
      </c>
      <c r="U239" s="107">
        <f t="shared" ca="1" si="97"/>
        <v>0</v>
      </c>
      <c r="V239" s="107">
        <f t="shared" ca="1" si="98"/>
        <v>0</v>
      </c>
      <c r="W239" s="107">
        <f t="shared" ca="1" si="99"/>
        <v>0</v>
      </c>
      <c r="X239" s="107">
        <f t="shared" si="100"/>
        <v>0</v>
      </c>
      <c r="Y239" s="107">
        <f t="shared" si="101"/>
        <v>0</v>
      </c>
      <c r="Z239" s="87">
        <f t="shared" si="102"/>
        <v>1</v>
      </c>
      <c r="AA239" s="88">
        <f t="shared" si="103"/>
        <v>0</v>
      </c>
      <c r="AB239" s="107">
        <f t="array" ref="AB239">ROUNDDOWN(AVERAGE(IFERROR(LARGE((X$6:X238+Y$6:Y238)*Z$6:Z238*(G$6:G238=G239), SC_SSCalcYears),0))/(12*Z239),0)</f>
        <v>0</v>
      </c>
      <c r="AC239" s="211">
        <f t="shared" si="104"/>
        <v>1</v>
      </c>
      <c r="AD239" s="89">
        <f t="shared" si="105"/>
        <v>0</v>
      </c>
      <c r="AE239" s="141">
        <f t="shared" ca="1" si="106"/>
        <v>0</v>
      </c>
      <c r="AF239" s="106">
        <f t="shared" ca="1" si="107"/>
        <v>0</v>
      </c>
      <c r="AG239" s="110">
        <f t="shared" ca="1" si="108"/>
        <v>0</v>
      </c>
      <c r="AH239" s="617"/>
      <c r="AI239" s="617"/>
      <c r="AJ239" s="617"/>
      <c r="AK239" s="617"/>
      <c r="AL239" s="618"/>
      <c r="AM239" s="186">
        <f t="shared" ca="1" si="113"/>
        <v>0</v>
      </c>
      <c r="AN239" t="str">
        <f t="shared" ca="1" si="114"/>
        <v/>
      </c>
    </row>
    <row r="240" spans="2:40" x14ac:dyDescent="0.25">
      <c r="B240" s="65">
        <f t="shared" si="111"/>
        <v>2071</v>
      </c>
      <c r="C240" s="76" t="s">
        <v>741</v>
      </c>
      <c r="D240" s="146" t="str">
        <f t="shared" si="84"/>
        <v/>
      </c>
      <c r="E240" s="77">
        <f t="shared" si="85"/>
        <v>0</v>
      </c>
      <c r="F240" s="77">
        <f t="shared" si="89"/>
        <v>0</v>
      </c>
      <c r="G240" s="77">
        <f t="shared" si="88"/>
        <v>1</v>
      </c>
      <c r="H240" s="76">
        <f t="shared" si="90"/>
        <v>1</v>
      </c>
      <c r="I240" s="76">
        <f t="shared" si="86"/>
        <v>0</v>
      </c>
      <c r="J240" s="77">
        <f t="shared" si="91"/>
        <v>0</v>
      </c>
      <c r="K240" s="78">
        <f t="shared" ca="1" si="87"/>
        <v>0</v>
      </c>
      <c r="L240" s="470"/>
      <c r="M240" s="470"/>
      <c r="N240" s="470"/>
      <c r="O240" s="531"/>
      <c r="P240" s="70">
        <f t="shared" ca="1" si="92"/>
        <v>0</v>
      </c>
      <c r="Q240" s="70">
        <f t="shared" ca="1" si="93"/>
        <v>0</v>
      </c>
      <c r="R240" s="70">
        <f t="shared" ca="1" si="94"/>
        <v>0</v>
      </c>
      <c r="S240" s="70">
        <f t="shared" ca="1" si="95"/>
        <v>0</v>
      </c>
      <c r="T240" s="70">
        <f t="shared" ca="1" si="96"/>
        <v>0</v>
      </c>
      <c r="U240" s="70">
        <f t="shared" ca="1" si="97"/>
        <v>0</v>
      </c>
      <c r="V240" s="70">
        <f t="shared" ca="1" si="98"/>
        <v>0</v>
      </c>
      <c r="W240" s="70">
        <f t="shared" ca="1" si="99"/>
        <v>0</v>
      </c>
      <c r="X240" s="70">
        <f t="shared" si="100"/>
        <v>0</v>
      </c>
      <c r="Y240" s="70">
        <f t="shared" si="101"/>
        <v>0</v>
      </c>
      <c r="Z240" s="68">
        <f t="shared" si="102"/>
        <v>1</v>
      </c>
      <c r="AA240" s="84">
        <f t="shared" si="103"/>
        <v>0</v>
      </c>
      <c r="AB240" s="488">
        <f t="array" ref="AB240">ROUNDDOWN(AVERAGE(IFERROR(LARGE((X$6:X239+Y$6:Y239)*Z$6:Z239*(G$6:G239=G240), SC_SSCalcYears),0))/(12*Z240),0)</f>
        <v>0</v>
      </c>
      <c r="AC240" s="69">
        <f t="shared" si="104"/>
        <v>1</v>
      </c>
      <c r="AD240" s="85">
        <f t="shared" si="105"/>
        <v>0</v>
      </c>
      <c r="AE240" s="140">
        <f t="shared" ca="1" si="106"/>
        <v>0</v>
      </c>
      <c r="AF240" s="75">
        <f t="shared" ca="1" si="107"/>
        <v>0</v>
      </c>
      <c r="AG240" s="109">
        <f t="shared" ca="1" si="108"/>
        <v>0</v>
      </c>
      <c r="AH240" s="617">
        <f>SUMIFS($AE240:$AE241,SP_PensionPayout,"Lump sum",$E240:$E241,"&lt;&gt;0")</f>
        <v>0</v>
      </c>
      <c r="AI240" s="617">
        <f>SUMIFS($AE240:$AE241,SP_PensionPayout,"Annuity",$E240:$E241,"&lt;&gt;0")</f>
        <v>0</v>
      </c>
      <c r="AJ240" s="617">
        <f>IF(ISBLANK(INDEX(SP_SSPBFA,1)),0,IF($J240&lt;&gt;INDEX(SP_SSPBFA,1),AJ238,SP_AdditionalRI/INDEX(SC_EA_InflationWageIdx,EAIDX)))</f>
        <v>0</v>
      </c>
      <c r="AK240" s="617">
        <f ca="1">SUMPRODUCT(AF240:AF241, --(G240:G241&lt;&gt;0))</f>
        <v>0</v>
      </c>
      <c r="AL240" s="618">
        <f ca="1">SUMPRODUCT(AG240:AG241, --(E240:E241&lt;&gt;0))+AJ240</f>
        <v>0</v>
      </c>
      <c r="AM240" s="186">
        <f t="shared" ca="1" si="113"/>
        <v>0</v>
      </c>
      <c r="AN240" t="str">
        <f t="shared" ca="1" si="114"/>
        <v/>
      </c>
    </row>
    <row r="241" spans="2:40" x14ac:dyDescent="0.25">
      <c r="B241" s="86">
        <f t="shared" si="111"/>
        <v>2071</v>
      </c>
      <c r="C241" s="80" t="s">
        <v>741</v>
      </c>
      <c r="D241" s="147" t="str">
        <f t="shared" si="84"/>
        <v/>
      </c>
      <c r="E241" s="81">
        <f t="shared" si="85"/>
        <v>0</v>
      </c>
      <c r="F241" s="82">
        <f t="shared" si="89"/>
        <v>0</v>
      </c>
      <c r="G241" s="81">
        <f t="shared" si="88"/>
        <v>2</v>
      </c>
      <c r="H241" s="82">
        <f t="shared" si="90"/>
        <v>-1</v>
      </c>
      <c r="I241" s="82">
        <f t="shared" si="86"/>
        <v>0</v>
      </c>
      <c r="J241" s="81">
        <f t="shared" si="91"/>
        <v>0</v>
      </c>
      <c r="K241" s="83">
        <f t="shared" ca="1" si="87"/>
        <v>0</v>
      </c>
      <c r="L241" s="470"/>
      <c r="M241" s="470"/>
      <c r="N241" s="470"/>
      <c r="O241" s="531"/>
      <c r="P241" s="107">
        <f t="shared" ca="1" si="92"/>
        <v>0</v>
      </c>
      <c r="Q241" s="107">
        <f t="shared" ca="1" si="93"/>
        <v>0</v>
      </c>
      <c r="R241" s="107">
        <f t="shared" ca="1" si="94"/>
        <v>0</v>
      </c>
      <c r="S241" s="107">
        <f t="shared" ca="1" si="95"/>
        <v>0</v>
      </c>
      <c r="T241" s="107">
        <f t="shared" ca="1" si="96"/>
        <v>0</v>
      </c>
      <c r="U241" s="107">
        <f t="shared" ca="1" si="97"/>
        <v>0</v>
      </c>
      <c r="V241" s="107">
        <f t="shared" ca="1" si="98"/>
        <v>0</v>
      </c>
      <c r="W241" s="107">
        <f t="shared" ca="1" si="99"/>
        <v>0</v>
      </c>
      <c r="X241" s="107">
        <f t="shared" si="100"/>
        <v>0</v>
      </c>
      <c r="Y241" s="107">
        <f t="shared" si="101"/>
        <v>0</v>
      </c>
      <c r="Z241" s="87">
        <f t="shared" si="102"/>
        <v>1</v>
      </c>
      <c r="AA241" s="88">
        <f t="shared" si="103"/>
        <v>0</v>
      </c>
      <c r="AB241" s="107">
        <f t="array" ref="AB241">ROUNDDOWN(AVERAGE(IFERROR(LARGE((X$6:X240+Y$6:Y240)*Z$6:Z240*(G$6:G240=G241), SC_SSCalcYears),0))/(12*Z241),0)</f>
        <v>0</v>
      </c>
      <c r="AC241" s="211">
        <f t="shared" si="104"/>
        <v>1</v>
      </c>
      <c r="AD241" s="89">
        <f t="shared" si="105"/>
        <v>0</v>
      </c>
      <c r="AE241" s="141">
        <f t="shared" ca="1" si="106"/>
        <v>0</v>
      </c>
      <c r="AF241" s="106">
        <f t="shared" ca="1" si="107"/>
        <v>0</v>
      </c>
      <c r="AG241" s="110">
        <f t="shared" ca="1" si="108"/>
        <v>0</v>
      </c>
      <c r="AH241" s="617"/>
      <c r="AI241" s="617"/>
      <c r="AJ241" s="617"/>
      <c r="AK241" s="617"/>
      <c r="AL241" s="618"/>
      <c r="AM241" s="186">
        <f t="shared" ca="1" si="113"/>
        <v>0</v>
      </c>
      <c r="AN241" t="str">
        <f t="shared" ca="1" si="114"/>
        <v/>
      </c>
    </row>
    <row r="242" spans="2:40" x14ac:dyDescent="0.25">
      <c r="B242" s="65">
        <f t="shared" si="111"/>
        <v>2072</v>
      </c>
      <c r="C242" s="76" t="s">
        <v>741</v>
      </c>
      <c r="D242" s="146" t="str">
        <f t="shared" si="84"/>
        <v/>
      </c>
      <c r="E242" s="77">
        <f t="shared" si="85"/>
        <v>0</v>
      </c>
      <c r="F242" s="77">
        <f t="shared" si="89"/>
        <v>0</v>
      </c>
      <c r="G242" s="77">
        <f t="shared" si="88"/>
        <v>1</v>
      </c>
      <c r="H242" s="76">
        <f t="shared" si="90"/>
        <v>1</v>
      </c>
      <c r="I242" s="76">
        <f t="shared" si="86"/>
        <v>0</v>
      </c>
      <c r="J242" s="77">
        <f t="shared" si="91"/>
        <v>0</v>
      </c>
      <c r="K242" s="78">
        <f t="shared" ca="1" si="87"/>
        <v>0</v>
      </c>
      <c r="L242" s="470"/>
      <c r="M242" s="470"/>
      <c r="N242" s="470"/>
      <c r="O242" s="531"/>
      <c r="P242" s="70">
        <f t="shared" ca="1" si="92"/>
        <v>0</v>
      </c>
      <c r="Q242" s="70">
        <f t="shared" ca="1" si="93"/>
        <v>0</v>
      </c>
      <c r="R242" s="70">
        <f t="shared" ca="1" si="94"/>
        <v>0</v>
      </c>
      <c r="S242" s="70">
        <f t="shared" ca="1" si="95"/>
        <v>0</v>
      </c>
      <c r="T242" s="70">
        <f t="shared" ca="1" si="96"/>
        <v>0</v>
      </c>
      <c r="U242" s="70">
        <f t="shared" ca="1" si="97"/>
        <v>0</v>
      </c>
      <c r="V242" s="70">
        <f t="shared" ca="1" si="98"/>
        <v>0</v>
      </c>
      <c r="W242" s="70">
        <f t="shared" ca="1" si="99"/>
        <v>0</v>
      </c>
      <c r="X242" s="70">
        <f t="shared" si="100"/>
        <v>0</v>
      </c>
      <c r="Y242" s="70">
        <f t="shared" si="101"/>
        <v>0</v>
      </c>
      <c r="Z242" s="68">
        <f t="shared" si="102"/>
        <v>1</v>
      </c>
      <c r="AA242" s="84">
        <f t="shared" si="103"/>
        <v>0</v>
      </c>
      <c r="AB242" s="488">
        <f t="array" ref="AB242">ROUNDDOWN(AVERAGE(IFERROR(LARGE((X$6:X241+Y$6:Y241)*Z$6:Z241*(G$6:G241=G242), SC_SSCalcYears),0))/(12*Z242),0)</f>
        <v>0</v>
      </c>
      <c r="AC242" s="69">
        <f t="shared" si="104"/>
        <v>1</v>
      </c>
      <c r="AD242" s="85">
        <f t="shared" si="105"/>
        <v>0</v>
      </c>
      <c r="AE242" s="140">
        <f t="shared" ca="1" si="106"/>
        <v>0</v>
      </c>
      <c r="AF242" s="75">
        <f t="shared" ca="1" si="107"/>
        <v>0</v>
      </c>
      <c r="AG242" s="109">
        <f t="shared" ca="1" si="108"/>
        <v>0</v>
      </c>
      <c r="AH242" s="617">
        <f>SUMIFS($AE242:$AE243,SP_PensionPayout,"Lump sum",$E242:$E243,"&lt;&gt;0")</f>
        <v>0</v>
      </c>
      <c r="AI242" s="617">
        <f>SUMIFS($AE242:$AE243,SP_PensionPayout,"Annuity",$E242:$E243,"&lt;&gt;0")</f>
        <v>0</v>
      </c>
      <c r="AJ242" s="617">
        <f>IF(ISBLANK(INDEX(SP_SSPBFA,1)),0,IF($J242&lt;&gt;INDEX(SP_SSPBFA,1),AJ240,SP_AdditionalRI/INDEX(SC_EA_InflationWageIdx,EAIDX)))</f>
        <v>0</v>
      </c>
      <c r="AK242" s="617">
        <f ca="1">SUMPRODUCT(AF242:AF243, --(G242:G243&lt;&gt;0))</f>
        <v>0</v>
      </c>
      <c r="AL242" s="618">
        <f ca="1">SUMPRODUCT(AG242:AG243, --(E242:E243&lt;&gt;0))+AJ242</f>
        <v>0</v>
      </c>
      <c r="AM242" s="186">
        <f t="shared" ca="1" si="113"/>
        <v>0</v>
      </c>
      <c r="AN242" t="str">
        <f t="shared" ca="1" si="114"/>
        <v/>
      </c>
    </row>
    <row r="243" spans="2:40" x14ac:dyDescent="0.25">
      <c r="B243" s="86">
        <f t="shared" si="111"/>
        <v>2072</v>
      </c>
      <c r="C243" s="80" t="s">
        <v>741</v>
      </c>
      <c r="D243" s="147" t="str">
        <f t="shared" si="84"/>
        <v/>
      </c>
      <c r="E243" s="81">
        <f t="shared" si="85"/>
        <v>0</v>
      </c>
      <c r="F243" s="82">
        <f t="shared" si="89"/>
        <v>0</v>
      </c>
      <c r="G243" s="81">
        <f t="shared" si="88"/>
        <v>2</v>
      </c>
      <c r="H243" s="82">
        <f t="shared" si="90"/>
        <v>-1</v>
      </c>
      <c r="I243" s="82">
        <f t="shared" si="86"/>
        <v>0</v>
      </c>
      <c r="J243" s="81">
        <f t="shared" si="91"/>
        <v>0</v>
      </c>
      <c r="K243" s="83">
        <f t="shared" ca="1" si="87"/>
        <v>0</v>
      </c>
      <c r="L243" s="470"/>
      <c r="M243" s="470"/>
      <c r="N243" s="470"/>
      <c r="O243" s="531"/>
      <c r="P243" s="107">
        <f t="shared" ca="1" si="92"/>
        <v>0</v>
      </c>
      <c r="Q243" s="107">
        <f t="shared" ca="1" si="93"/>
        <v>0</v>
      </c>
      <c r="R243" s="107">
        <f t="shared" ca="1" si="94"/>
        <v>0</v>
      </c>
      <c r="S243" s="107">
        <f t="shared" ca="1" si="95"/>
        <v>0</v>
      </c>
      <c r="T243" s="107">
        <f t="shared" ca="1" si="96"/>
        <v>0</v>
      </c>
      <c r="U243" s="107">
        <f t="shared" ca="1" si="97"/>
        <v>0</v>
      </c>
      <c r="V243" s="107">
        <f t="shared" ca="1" si="98"/>
        <v>0</v>
      </c>
      <c r="W243" s="107">
        <f t="shared" ca="1" si="99"/>
        <v>0</v>
      </c>
      <c r="X243" s="107">
        <f t="shared" si="100"/>
        <v>0</v>
      </c>
      <c r="Y243" s="107">
        <f t="shared" si="101"/>
        <v>0</v>
      </c>
      <c r="Z243" s="87">
        <f t="shared" si="102"/>
        <v>1</v>
      </c>
      <c r="AA243" s="88">
        <f t="shared" si="103"/>
        <v>0</v>
      </c>
      <c r="AB243" s="107">
        <f t="array" ref="AB243">ROUNDDOWN(AVERAGE(IFERROR(LARGE((X$6:X242+Y$6:Y242)*Z$6:Z242*(G$6:G242=G243), SC_SSCalcYears),0))/(12*Z243),0)</f>
        <v>0</v>
      </c>
      <c r="AC243" s="211">
        <f t="shared" si="104"/>
        <v>1</v>
      </c>
      <c r="AD243" s="89">
        <f t="shared" si="105"/>
        <v>0</v>
      </c>
      <c r="AE243" s="141">
        <f t="shared" ca="1" si="106"/>
        <v>0</v>
      </c>
      <c r="AF243" s="106">
        <f t="shared" ca="1" si="107"/>
        <v>0</v>
      </c>
      <c r="AG243" s="110">
        <f t="shared" ca="1" si="108"/>
        <v>0</v>
      </c>
      <c r="AH243" s="617"/>
      <c r="AI243" s="617"/>
      <c r="AJ243" s="617"/>
      <c r="AK243" s="617"/>
      <c r="AL243" s="618"/>
      <c r="AM243" s="186">
        <f t="shared" ca="1" si="113"/>
        <v>0</v>
      </c>
      <c r="AN243" t="str">
        <f t="shared" ca="1" si="114"/>
        <v/>
      </c>
    </row>
    <row r="244" spans="2:40" x14ac:dyDescent="0.25">
      <c r="B244" s="65">
        <f t="shared" si="111"/>
        <v>2073</v>
      </c>
      <c r="C244" s="76" t="s">
        <v>741</v>
      </c>
      <c r="D244" s="146" t="str">
        <f t="shared" si="84"/>
        <v/>
      </c>
      <c r="E244" s="77">
        <f t="shared" si="85"/>
        <v>0</v>
      </c>
      <c r="F244" s="77">
        <f t="shared" si="89"/>
        <v>0</v>
      </c>
      <c r="G244" s="77">
        <f t="shared" si="88"/>
        <v>1</v>
      </c>
      <c r="H244" s="76">
        <f t="shared" si="90"/>
        <v>1</v>
      </c>
      <c r="I244" s="76">
        <f t="shared" si="86"/>
        <v>0</v>
      </c>
      <c r="J244" s="77">
        <f t="shared" si="91"/>
        <v>0</v>
      </c>
      <c r="K244" s="78">
        <f t="shared" ca="1" si="87"/>
        <v>0</v>
      </c>
      <c r="L244" s="470"/>
      <c r="M244" s="470"/>
      <c r="N244" s="470"/>
      <c r="O244" s="531"/>
      <c r="P244" s="70">
        <f t="shared" ca="1" si="92"/>
        <v>0</v>
      </c>
      <c r="Q244" s="70">
        <f t="shared" ca="1" si="93"/>
        <v>0</v>
      </c>
      <c r="R244" s="70">
        <f t="shared" ca="1" si="94"/>
        <v>0</v>
      </c>
      <c r="S244" s="70">
        <f t="shared" ca="1" si="95"/>
        <v>0</v>
      </c>
      <c r="T244" s="70">
        <f t="shared" ca="1" si="96"/>
        <v>0</v>
      </c>
      <c r="U244" s="70">
        <f t="shared" ca="1" si="97"/>
        <v>0</v>
      </c>
      <c r="V244" s="70">
        <f t="shared" ca="1" si="98"/>
        <v>0</v>
      </c>
      <c r="W244" s="70">
        <f t="shared" ca="1" si="99"/>
        <v>0</v>
      </c>
      <c r="X244" s="70">
        <f t="shared" si="100"/>
        <v>0</v>
      </c>
      <c r="Y244" s="70">
        <f t="shared" si="101"/>
        <v>0</v>
      </c>
      <c r="Z244" s="68">
        <f t="shared" si="102"/>
        <v>1</v>
      </c>
      <c r="AA244" s="84">
        <f t="shared" si="103"/>
        <v>0</v>
      </c>
      <c r="AB244" s="488">
        <f t="array" ref="AB244">ROUNDDOWN(AVERAGE(IFERROR(LARGE((X$6:X243+Y$6:Y243)*Z$6:Z243*(G$6:G243=G244), SC_SSCalcYears),0))/(12*Z244),0)</f>
        <v>0</v>
      </c>
      <c r="AC244" s="69">
        <f t="shared" si="104"/>
        <v>1</v>
      </c>
      <c r="AD244" s="85">
        <f t="shared" si="105"/>
        <v>0</v>
      </c>
      <c r="AE244" s="140">
        <f t="shared" ca="1" si="106"/>
        <v>0</v>
      </c>
      <c r="AF244" s="75">
        <f t="shared" ca="1" si="107"/>
        <v>0</v>
      </c>
      <c r="AG244" s="109">
        <f t="shared" ca="1" si="108"/>
        <v>0</v>
      </c>
      <c r="AH244" s="617">
        <f>SUMIFS($AE244:$AE245,SP_PensionPayout,"Lump sum",$E244:$E245,"&lt;&gt;0")</f>
        <v>0</v>
      </c>
      <c r="AI244" s="617">
        <f>SUMIFS($AE244:$AE245,SP_PensionPayout,"Annuity",$E244:$E245,"&lt;&gt;0")</f>
        <v>0</v>
      </c>
      <c r="AJ244" s="617">
        <f>IF(ISBLANK(INDEX(SP_SSPBFA,1)),0,IF($J244&lt;&gt;INDEX(SP_SSPBFA,1),AJ242,SP_AdditionalRI/INDEX(SC_EA_InflationWageIdx,EAIDX)))</f>
        <v>0</v>
      </c>
      <c r="AK244" s="617">
        <f ca="1">SUMPRODUCT(AF244:AF245, --(G244:G245&lt;&gt;0))</f>
        <v>0</v>
      </c>
      <c r="AL244" s="618">
        <f ca="1">SUMPRODUCT(AG244:AG245, --(E244:E245&lt;&gt;0))+AJ244</f>
        <v>0</v>
      </c>
      <c r="AM244" s="186">
        <f t="shared" ca="1" si="113"/>
        <v>0</v>
      </c>
      <c r="AN244" t="str">
        <f t="shared" ca="1" si="114"/>
        <v/>
      </c>
    </row>
    <row r="245" spans="2:40" x14ac:dyDescent="0.25">
      <c r="B245" s="86">
        <f t="shared" si="111"/>
        <v>2073</v>
      </c>
      <c r="C245" s="80" t="s">
        <v>741</v>
      </c>
      <c r="D245" s="147" t="str">
        <f t="shared" si="84"/>
        <v/>
      </c>
      <c r="E245" s="81">
        <f t="shared" si="85"/>
        <v>0</v>
      </c>
      <c r="F245" s="82">
        <f t="shared" si="89"/>
        <v>0</v>
      </c>
      <c r="G245" s="81">
        <f t="shared" si="88"/>
        <v>2</v>
      </c>
      <c r="H245" s="82">
        <f t="shared" si="90"/>
        <v>-1</v>
      </c>
      <c r="I245" s="82">
        <f t="shared" si="86"/>
        <v>0</v>
      </c>
      <c r="J245" s="81">
        <f t="shared" si="91"/>
        <v>0</v>
      </c>
      <c r="K245" s="83">
        <f t="shared" ca="1" si="87"/>
        <v>0</v>
      </c>
      <c r="L245" s="470"/>
      <c r="M245" s="470"/>
      <c r="N245" s="470"/>
      <c r="O245" s="531"/>
      <c r="P245" s="107">
        <f t="shared" ca="1" si="92"/>
        <v>0</v>
      </c>
      <c r="Q245" s="107">
        <f t="shared" ca="1" si="93"/>
        <v>0</v>
      </c>
      <c r="R245" s="107">
        <f t="shared" ca="1" si="94"/>
        <v>0</v>
      </c>
      <c r="S245" s="107">
        <f t="shared" ca="1" si="95"/>
        <v>0</v>
      </c>
      <c r="T245" s="107">
        <f t="shared" ca="1" si="96"/>
        <v>0</v>
      </c>
      <c r="U245" s="107">
        <f t="shared" ca="1" si="97"/>
        <v>0</v>
      </c>
      <c r="V245" s="107">
        <f t="shared" ca="1" si="98"/>
        <v>0</v>
      </c>
      <c r="W245" s="107">
        <f t="shared" ca="1" si="99"/>
        <v>0</v>
      </c>
      <c r="X245" s="107">
        <f t="shared" si="100"/>
        <v>0</v>
      </c>
      <c r="Y245" s="107">
        <f t="shared" si="101"/>
        <v>0</v>
      </c>
      <c r="Z245" s="87">
        <f t="shared" si="102"/>
        <v>1</v>
      </c>
      <c r="AA245" s="88">
        <f t="shared" si="103"/>
        <v>0</v>
      </c>
      <c r="AB245" s="107">
        <f t="array" ref="AB245">ROUNDDOWN(AVERAGE(IFERROR(LARGE((X$6:X244+Y$6:Y244)*Z$6:Z244*(G$6:G244=G245), SC_SSCalcYears),0))/(12*Z245),0)</f>
        <v>0</v>
      </c>
      <c r="AC245" s="211">
        <f t="shared" si="104"/>
        <v>1</v>
      </c>
      <c r="AD245" s="89">
        <f t="shared" si="105"/>
        <v>0</v>
      </c>
      <c r="AE245" s="141">
        <f t="shared" ca="1" si="106"/>
        <v>0</v>
      </c>
      <c r="AF245" s="106">
        <f t="shared" ca="1" si="107"/>
        <v>0</v>
      </c>
      <c r="AG245" s="110">
        <f t="shared" ca="1" si="108"/>
        <v>0</v>
      </c>
      <c r="AH245" s="617"/>
      <c r="AI245" s="617"/>
      <c r="AJ245" s="617"/>
      <c r="AK245" s="617"/>
      <c r="AL245" s="618"/>
      <c r="AM245" s="186">
        <f t="shared" ca="1" si="113"/>
        <v>0</v>
      </c>
      <c r="AN245" t="str">
        <f t="shared" ca="1" si="114"/>
        <v/>
      </c>
    </row>
    <row r="246" spans="2:40" x14ac:dyDescent="0.25">
      <c r="B246" s="65">
        <f t="shared" si="111"/>
        <v>2074</v>
      </c>
      <c r="C246" s="76" t="s">
        <v>741</v>
      </c>
      <c r="D246" s="146" t="str">
        <f t="shared" si="84"/>
        <v/>
      </c>
      <c r="E246" s="77">
        <f t="shared" si="85"/>
        <v>0</v>
      </c>
      <c r="F246" s="77">
        <f t="shared" si="89"/>
        <v>0</v>
      </c>
      <c r="G246" s="77">
        <f t="shared" si="88"/>
        <v>1</v>
      </c>
      <c r="H246" s="76">
        <f t="shared" si="90"/>
        <v>1</v>
      </c>
      <c r="I246" s="76">
        <f t="shared" si="86"/>
        <v>0</v>
      </c>
      <c r="J246" s="77">
        <f t="shared" si="91"/>
        <v>0</v>
      </c>
      <c r="K246" s="78">
        <f t="shared" ca="1" si="87"/>
        <v>0</v>
      </c>
      <c r="L246" s="470"/>
      <c r="M246" s="470"/>
      <c r="N246" s="470"/>
      <c r="O246" s="531"/>
      <c r="P246" s="70">
        <f t="shared" ca="1" si="92"/>
        <v>0</v>
      </c>
      <c r="Q246" s="70">
        <f t="shared" ca="1" si="93"/>
        <v>0</v>
      </c>
      <c r="R246" s="70">
        <f t="shared" ca="1" si="94"/>
        <v>0</v>
      </c>
      <c r="S246" s="70">
        <f t="shared" ca="1" si="95"/>
        <v>0</v>
      </c>
      <c r="T246" s="70">
        <f t="shared" ca="1" si="96"/>
        <v>0</v>
      </c>
      <c r="U246" s="70">
        <f t="shared" ca="1" si="97"/>
        <v>0</v>
      </c>
      <c r="V246" s="70">
        <f t="shared" ca="1" si="98"/>
        <v>0</v>
      </c>
      <c r="W246" s="70">
        <f t="shared" ca="1" si="99"/>
        <v>0</v>
      </c>
      <c r="X246" s="70">
        <f t="shared" si="100"/>
        <v>0</v>
      </c>
      <c r="Y246" s="70">
        <f t="shared" si="101"/>
        <v>0</v>
      </c>
      <c r="Z246" s="68">
        <f t="shared" si="102"/>
        <v>1</v>
      </c>
      <c r="AA246" s="84">
        <f t="shared" si="103"/>
        <v>0</v>
      </c>
      <c r="AB246" s="488">
        <f t="array" ref="AB246">ROUNDDOWN(AVERAGE(IFERROR(LARGE((X$6:X245+Y$6:Y245)*Z$6:Z245*(G$6:G245=G246), SC_SSCalcYears),0))/(12*Z246),0)</f>
        <v>0</v>
      </c>
      <c r="AC246" s="69">
        <f t="shared" si="104"/>
        <v>1</v>
      </c>
      <c r="AD246" s="85">
        <f t="shared" si="105"/>
        <v>0</v>
      </c>
      <c r="AE246" s="140">
        <f t="shared" ca="1" si="106"/>
        <v>0</v>
      </c>
      <c r="AF246" s="75">
        <f t="shared" ca="1" si="107"/>
        <v>0</v>
      </c>
      <c r="AG246" s="109">
        <f t="shared" ca="1" si="108"/>
        <v>0</v>
      </c>
      <c r="AH246" s="617">
        <f>SUMIFS($AE246:$AE247,SP_PensionPayout,"Lump sum",$E246:$E247,"&lt;&gt;0")</f>
        <v>0</v>
      </c>
      <c r="AI246" s="617">
        <f>SUMIFS($AE246:$AE247,SP_PensionPayout,"Annuity",$E246:$E247,"&lt;&gt;0")</f>
        <v>0</v>
      </c>
      <c r="AJ246" s="617">
        <f>IF(ISBLANK(INDEX(SP_SSPBFA,1)),0,IF($J246&lt;&gt;INDEX(SP_SSPBFA,1),AJ244,SP_AdditionalRI/INDEX(SC_EA_InflationWageIdx,EAIDX)))</f>
        <v>0</v>
      </c>
      <c r="AK246" s="617">
        <f ca="1">SUMPRODUCT(AF246:AF247, --(G246:G247&lt;&gt;0))</f>
        <v>0</v>
      </c>
      <c r="AL246" s="618">
        <f ca="1">SUMPRODUCT(AG246:AG247, --(E246:E247&lt;&gt;0))+AJ246</f>
        <v>0</v>
      </c>
      <c r="AM246" s="186">
        <f t="shared" ca="1" si="113"/>
        <v>0</v>
      </c>
      <c r="AN246" t="str">
        <f t="shared" ca="1" si="114"/>
        <v/>
      </c>
    </row>
    <row r="247" spans="2:40" x14ac:dyDescent="0.25">
      <c r="B247" s="86">
        <f t="shared" si="111"/>
        <v>2074</v>
      </c>
      <c r="C247" s="80" t="s">
        <v>741</v>
      </c>
      <c r="D247" s="147" t="str">
        <f t="shared" si="84"/>
        <v/>
      </c>
      <c r="E247" s="81">
        <f t="shared" si="85"/>
        <v>0</v>
      </c>
      <c r="F247" s="82">
        <f t="shared" si="89"/>
        <v>0</v>
      </c>
      <c r="G247" s="81">
        <f t="shared" si="88"/>
        <v>2</v>
      </c>
      <c r="H247" s="82">
        <f t="shared" si="90"/>
        <v>-1</v>
      </c>
      <c r="I247" s="82">
        <f t="shared" si="86"/>
        <v>0</v>
      </c>
      <c r="J247" s="81">
        <f t="shared" si="91"/>
        <v>0</v>
      </c>
      <c r="K247" s="83">
        <f t="shared" ca="1" si="87"/>
        <v>0</v>
      </c>
      <c r="L247" s="470"/>
      <c r="M247" s="470"/>
      <c r="N247" s="470"/>
      <c r="O247" s="531"/>
      <c r="P247" s="107">
        <f t="shared" ca="1" si="92"/>
        <v>0</v>
      </c>
      <c r="Q247" s="107">
        <f t="shared" ca="1" si="93"/>
        <v>0</v>
      </c>
      <c r="R247" s="107">
        <f t="shared" ca="1" si="94"/>
        <v>0</v>
      </c>
      <c r="S247" s="107">
        <f t="shared" ca="1" si="95"/>
        <v>0</v>
      </c>
      <c r="T247" s="107">
        <f t="shared" ca="1" si="96"/>
        <v>0</v>
      </c>
      <c r="U247" s="107">
        <f t="shared" ca="1" si="97"/>
        <v>0</v>
      </c>
      <c r="V247" s="107">
        <f t="shared" ca="1" si="98"/>
        <v>0</v>
      </c>
      <c r="W247" s="107">
        <f t="shared" ca="1" si="99"/>
        <v>0</v>
      </c>
      <c r="X247" s="107">
        <f t="shared" si="100"/>
        <v>0</v>
      </c>
      <c r="Y247" s="107">
        <f t="shared" si="101"/>
        <v>0</v>
      </c>
      <c r="Z247" s="87">
        <f t="shared" si="102"/>
        <v>1</v>
      </c>
      <c r="AA247" s="88">
        <f t="shared" si="103"/>
        <v>0</v>
      </c>
      <c r="AB247" s="107">
        <f t="array" ref="AB247">ROUNDDOWN(AVERAGE(IFERROR(LARGE((X$6:X246+Y$6:Y246)*Z$6:Z246*(G$6:G246=G247), SC_SSCalcYears),0))/(12*Z247),0)</f>
        <v>0</v>
      </c>
      <c r="AC247" s="211">
        <f t="shared" si="104"/>
        <v>1</v>
      </c>
      <c r="AD247" s="89">
        <f t="shared" si="105"/>
        <v>0</v>
      </c>
      <c r="AE247" s="141">
        <f t="shared" ca="1" si="106"/>
        <v>0</v>
      </c>
      <c r="AF247" s="106">
        <f t="shared" ca="1" si="107"/>
        <v>0</v>
      </c>
      <c r="AG247" s="110">
        <f t="shared" ca="1" si="108"/>
        <v>0</v>
      </c>
      <c r="AH247" s="617"/>
      <c r="AI247" s="617"/>
      <c r="AJ247" s="617"/>
      <c r="AK247" s="617"/>
      <c r="AL247" s="618"/>
      <c r="AM247" s="186">
        <f t="shared" ca="1" si="113"/>
        <v>0</v>
      </c>
      <c r="AN247" t="str">
        <f t="shared" ca="1" si="114"/>
        <v/>
      </c>
    </row>
    <row r="248" spans="2:40" x14ac:dyDescent="0.25">
      <c r="B248" s="65">
        <f t="shared" si="111"/>
        <v>2075</v>
      </c>
      <c r="C248" s="76" t="s">
        <v>741</v>
      </c>
      <c r="D248" s="146" t="str">
        <f t="shared" si="84"/>
        <v/>
      </c>
      <c r="E248" s="77">
        <f t="shared" si="85"/>
        <v>0</v>
      </c>
      <c r="F248" s="77">
        <f t="shared" si="89"/>
        <v>0</v>
      </c>
      <c r="G248" s="77">
        <f t="shared" si="88"/>
        <v>1</v>
      </c>
      <c r="H248" s="76">
        <f t="shared" si="90"/>
        <v>1</v>
      </c>
      <c r="I248" s="76">
        <f t="shared" si="86"/>
        <v>0</v>
      </c>
      <c r="J248" s="77">
        <f t="shared" si="91"/>
        <v>0</v>
      </c>
      <c r="K248" s="78">
        <f t="shared" ca="1" si="87"/>
        <v>0</v>
      </c>
      <c r="L248" s="470"/>
      <c r="M248" s="470"/>
      <c r="N248" s="470"/>
      <c r="O248" s="531"/>
      <c r="P248" s="70">
        <f t="shared" ca="1" si="92"/>
        <v>0</v>
      </c>
      <c r="Q248" s="70">
        <f t="shared" ca="1" si="93"/>
        <v>0</v>
      </c>
      <c r="R248" s="70">
        <f t="shared" ca="1" si="94"/>
        <v>0</v>
      </c>
      <c r="S248" s="70">
        <f t="shared" ca="1" si="95"/>
        <v>0</v>
      </c>
      <c r="T248" s="70">
        <f t="shared" ca="1" si="96"/>
        <v>0</v>
      </c>
      <c r="U248" s="70">
        <f t="shared" ca="1" si="97"/>
        <v>0</v>
      </c>
      <c r="V248" s="70">
        <f t="shared" ca="1" si="98"/>
        <v>0</v>
      </c>
      <c r="W248" s="70">
        <f t="shared" ca="1" si="99"/>
        <v>0</v>
      </c>
      <c r="X248" s="70">
        <f t="shared" si="100"/>
        <v>0</v>
      </c>
      <c r="Y248" s="70">
        <f t="shared" si="101"/>
        <v>0</v>
      </c>
      <c r="Z248" s="68">
        <f t="shared" si="102"/>
        <v>1</v>
      </c>
      <c r="AA248" s="84">
        <f t="shared" si="103"/>
        <v>0</v>
      </c>
      <c r="AB248" s="488">
        <f t="array" ref="AB248">ROUNDDOWN(AVERAGE(IFERROR(LARGE((X$6:X247+Y$6:Y247)*Z$6:Z247*(G$6:G247=G248), SC_SSCalcYears),0))/(12*Z248),0)</f>
        <v>0</v>
      </c>
      <c r="AC248" s="69">
        <f t="shared" si="104"/>
        <v>1</v>
      </c>
      <c r="AD248" s="85">
        <f t="shared" si="105"/>
        <v>0</v>
      </c>
      <c r="AE248" s="140">
        <f t="shared" ca="1" si="106"/>
        <v>0</v>
      </c>
      <c r="AF248" s="75">
        <f t="shared" ca="1" si="107"/>
        <v>0</v>
      </c>
      <c r="AG248" s="109">
        <f t="shared" ca="1" si="108"/>
        <v>0</v>
      </c>
      <c r="AH248" s="617">
        <f>SUMIFS($AE248:$AE249,SP_PensionPayout,"Lump sum",$E248:$E249,"&lt;&gt;0")</f>
        <v>0</v>
      </c>
      <c r="AI248" s="617">
        <f>SUMIFS($AE248:$AE249,SP_PensionPayout,"Annuity",$E248:$E249,"&lt;&gt;0")</f>
        <v>0</v>
      </c>
      <c r="AJ248" s="617">
        <f>IF(ISBLANK(INDEX(SP_SSPBFA,1)),0,IF($J248&lt;&gt;INDEX(SP_SSPBFA,1),AJ246,SP_AdditionalRI/INDEX(SC_EA_InflationWageIdx,EAIDX)))</f>
        <v>0</v>
      </c>
      <c r="AK248" s="617">
        <f ca="1">SUMPRODUCT(AF248:AF249, --(G248:G249&lt;&gt;0))</f>
        <v>0</v>
      </c>
      <c r="AL248" s="618">
        <f ca="1">SUMPRODUCT(AG248:AG249, --(E248:E249&lt;&gt;0))+AJ248</f>
        <v>0</v>
      </c>
      <c r="AM248" s="186">
        <f t="shared" ca="1" si="113"/>
        <v>0</v>
      </c>
      <c r="AN248" t="str">
        <f t="shared" ca="1" si="114"/>
        <v/>
      </c>
    </row>
    <row r="249" spans="2:40" x14ac:dyDescent="0.25">
      <c r="B249" s="86">
        <f t="shared" si="111"/>
        <v>2075</v>
      </c>
      <c r="C249" s="80" t="s">
        <v>741</v>
      </c>
      <c r="D249" s="147" t="str">
        <f t="shared" si="84"/>
        <v/>
      </c>
      <c r="E249" s="81">
        <f t="shared" si="85"/>
        <v>0</v>
      </c>
      <c r="F249" s="82">
        <f t="shared" si="89"/>
        <v>0</v>
      </c>
      <c r="G249" s="81">
        <f t="shared" si="88"/>
        <v>2</v>
      </c>
      <c r="H249" s="82">
        <f t="shared" si="90"/>
        <v>-1</v>
      </c>
      <c r="I249" s="82">
        <f t="shared" si="86"/>
        <v>0</v>
      </c>
      <c r="J249" s="81">
        <f t="shared" si="91"/>
        <v>0</v>
      </c>
      <c r="K249" s="83">
        <f t="shared" ca="1" si="87"/>
        <v>0</v>
      </c>
      <c r="L249" s="470"/>
      <c r="M249" s="470"/>
      <c r="N249" s="470"/>
      <c r="O249" s="531"/>
      <c r="P249" s="107">
        <f t="shared" ca="1" si="92"/>
        <v>0</v>
      </c>
      <c r="Q249" s="107">
        <f t="shared" ca="1" si="93"/>
        <v>0</v>
      </c>
      <c r="R249" s="107">
        <f t="shared" ca="1" si="94"/>
        <v>0</v>
      </c>
      <c r="S249" s="107">
        <f t="shared" ca="1" si="95"/>
        <v>0</v>
      </c>
      <c r="T249" s="107">
        <f t="shared" ca="1" si="96"/>
        <v>0</v>
      </c>
      <c r="U249" s="107">
        <f t="shared" ca="1" si="97"/>
        <v>0</v>
      </c>
      <c r="V249" s="107">
        <f t="shared" ca="1" si="98"/>
        <v>0</v>
      </c>
      <c r="W249" s="107">
        <f t="shared" ca="1" si="99"/>
        <v>0</v>
      </c>
      <c r="X249" s="107">
        <f t="shared" si="100"/>
        <v>0</v>
      </c>
      <c r="Y249" s="107">
        <f t="shared" si="101"/>
        <v>0</v>
      </c>
      <c r="Z249" s="87">
        <f t="shared" si="102"/>
        <v>1</v>
      </c>
      <c r="AA249" s="88">
        <f t="shared" si="103"/>
        <v>0</v>
      </c>
      <c r="AB249" s="107">
        <f t="array" ref="AB249">ROUNDDOWN(AVERAGE(IFERROR(LARGE((X$6:X248+Y$6:Y248)*Z$6:Z248*(G$6:G248=G249), SC_SSCalcYears),0))/(12*Z249),0)</f>
        <v>0</v>
      </c>
      <c r="AC249" s="211">
        <f t="shared" si="104"/>
        <v>1</v>
      </c>
      <c r="AD249" s="89">
        <f t="shared" si="105"/>
        <v>0</v>
      </c>
      <c r="AE249" s="141">
        <f t="shared" ca="1" si="106"/>
        <v>0</v>
      </c>
      <c r="AF249" s="106">
        <f t="shared" ca="1" si="107"/>
        <v>0</v>
      </c>
      <c r="AG249" s="110">
        <f t="shared" ca="1" si="108"/>
        <v>0</v>
      </c>
      <c r="AH249" s="617"/>
      <c r="AI249" s="617"/>
      <c r="AJ249" s="617"/>
      <c r="AK249" s="617"/>
      <c r="AL249" s="618"/>
      <c r="AM249" s="186">
        <f t="shared" ca="1" si="113"/>
        <v>0</v>
      </c>
      <c r="AN249" t="str">
        <f t="shared" ca="1" si="114"/>
        <v/>
      </c>
    </row>
    <row r="250" spans="2:40" x14ac:dyDescent="0.25">
      <c r="B250" s="65">
        <f t="shared" si="111"/>
        <v>2076</v>
      </c>
      <c r="C250" s="76" t="s">
        <v>741</v>
      </c>
      <c r="D250" s="146" t="str">
        <f t="shared" si="84"/>
        <v/>
      </c>
      <c r="E250" s="77">
        <f t="shared" si="85"/>
        <v>0</v>
      </c>
      <c r="F250" s="77">
        <f t="shared" si="89"/>
        <v>0</v>
      </c>
      <c r="G250" s="77">
        <f t="shared" si="88"/>
        <v>1</v>
      </c>
      <c r="H250" s="76">
        <f t="shared" si="90"/>
        <v>1</v>
      </c>
      <c r="I250" s="76">
        <f t="shared" si="86"/>
        <v>0</v>
      </c>
      <c r="J250" s="77">
        <f t="shared" si="91"/>
        <v>0</v>
      </c>
      <c r="K250" s="78">
        <f t="shared" ca="1" si="87"/>
        <v>0</v>
      </c>
      <c r="L250" s="470"/>
      <c r="M250" s="470"/>
      <c r="N250" s="470"/>
      <c r="O250" s="531"/>
      <c r="P250" s="70">
        <f t="shared" ca="1" si="92"/>
        <v>0</v>
      </c>
      <c r="Q250" s="70">
        <f t="shared" ca="1" si="93"/>
        <v>0</v>
      </c>
      <c r="R250" s="70">
        <f t="shared" ca="1" si="94"/>
        <v>0</v>
      </c>
      <c r="S250" s="70">
        <f t="shared" ca="1" si="95"/>
        <v>0</v>
      </c>
      <c r="T250" s="70">
        <f t="shared" ca="1" si="96"/>
        <v>0</v>
      </c>
      <c r="U250" s="70">
        <f t="shared" ca="1" si="97"/>
        <v>0</v>
      </c>
      <c r="V250" s="70">
        <f t="shared" ca="1" si="98"/>
        <v>0</v>
      </c>
      <c r="W250" s="70">
        <f t="shared" ca="1" si="99"/>
        <v>0</v>
      </c>
      <c r="X250" s="70">
        <f t="shared" si="100"/>
        <v>0</v>
      </c>
      <c r="Y250" s="70">
        <f t="shared" si="101"/>
        <v>0</v>
      </c>
      <c r="Z250" s="68">
        <f t="shared" si="102"/>
        <v>1</v>
      </c>
      <c r="AA250" s="84">
        <f t="shared" si="103"/>
        <v>0</v>
      </c>
      <c r="AB250" s="488">
        <f t="array" ref="AB250">ROUNDDOWN(AVERAGE(IFERROR(LARGE((X$6:X249+Y$6:Y249)*Z$6:Z249*(G$6:G249=G250), SC_SSCalcYears),0))/(12*Z250),0)</f>
        <v>0</v>
      </c>
      <c r="AC250" s="69">
        <f t="shared" si="104"/>
        <v>1</v>
      </c>
      <c r="AD250" s="85">
        <f t="shared" si="105"/>
        <v>0</v>
      </c>
      <c r="AE250" s="140">
        <f t="shared" ca="1" si="106"/>
        <v>0</v>
      </c>
      <c r="AF250" s="75">
        <f t="shared" ca="1" si="107"/>
        <v>0</v>
      </c>
      <c r="AG250" s="109">
        <f t="shared" ca="1" si="108"/>
        <v>0</v>
      </c>
      <c r="AH250" s="617">
        <f>SUMIFS($AE250:$AE251,SP_PensionPayout,"Lump sum",$E250:$E251,"&lt;&gt;0")</f>
        <v>0</v>
      </c>
      <c r="AI250" s="617">
        <f>SUMIFS($AE250:$AE251,SP_PensionPayout,"Annuity",$E250:$E251,"&lt;&gt;0")</f>
        <v>0</v>
      </c>
      <c r="AJ250" s="617">
        <f>IF(ISBLANK(INDEX(SP_SSPBFA,1)),0,IF($J250&lt;&gt;INDEX(SP_SSPBFA,1),AJ248,SP_AdditionalRI/INDEX(SC_EA_InflationWageIdx,EAIDX)))</f>
        <v>0</v>
      </c>
      <c r="AK250" s="617">
        <f ca="1">SUMPRODUCT(AF250:AF251, --(G250:G251&lt;&gt;0))</f>
        <v>0</v>
      </c>
      <c r="AL250" s="618">
        <f ca="1">SUMPRODUCT(AG250:AG251, --(E250:E251&lt;&gt;0))+AJ250</f>
        <v>0</v>
      </c>
      <c r="AM250" s="186">
        <f t="shared" ca="1" si="113"/>
        <v>0</v>
      </c>
      <c r="AN250" t="str">
        <f t="shared" ca="1" si="114"/>
        <v/>
      </c>
    </row>
    <row r="251" spans="2:40" x14ac:dyDescent="0.25">
      <c r="B251" s="86">
        <f t="shared" si="111"/>
        <v>2076</v>
      </c>
      <c r="C251" s="80" t="s">
        <v>741</v>
      </c>
      <c r="D251" s="147" t="str">
        <f t="shared" si="84"/>
        <v/>
      </c>
      <c r="E251" s="81">
        <f t="shared" si="85"/>
        <v>0</v>
      </c>
      <c r="F251" s="82">
        <f t="shared" si="89"/>
        <v>0</v>
      </c>
      <c r="G251" s="81">
        <f t="shared" si="88"/>
        <v>2</v>
      </c>
      <c r="H251" s="82">
        <f t="shared" si="90"/>
        <v>-1</v>
      </c>
      <c r="I251" s="82">
        <f t="shared" si="86"/>
        <v>0</v>
      </c>
      <c r="J251" s="81">
        <f t="shared" si="91"/>
        <v>0</v>
      </c>
      <c r="K251" s="83">
        <f t="shared" ca="1" si="87"/>
        <v>0</v>
      </c>
      <c r="L251" s="470"/>
      <c r="M251" s="470"/>
      <c r="N251" s="470"/>
      <c r="O251" s="531"/>
      <c r="P251" s="107">
        <f t="shared" ca="1" si="92"/>
        <v>0</v>
      </c>
      <c r="Q251" s="107">
        <f t="shared" ca="1" si="93"/>
        <v>0</v>
      </c>
      <c r="R251" s="107">
        <f t="shared" ca="1" si="94"/>
        <v>0</v>
      </c>
      <c r="S251" s="107">
        <f t="shared" ca="1" si="95"/>
        <v>0</v>
      </c>
      <c r="T251" s="107">
        <f t="shared" ca="1" si="96"/>
        <v>0</v>
      </c>
      <c r="U251" s="107">
        <f t="shared" ca="1" si="97"/>
        <v>0</v>
      </c>
      <c r="V251" s="107">
        <f t="shared" ca="1" si="98"/>
        <v>0</v>
      </c>
      <c r="W251" s="107">
        <f t="shared" ca="1" si="99"/>
        <v>0</v>
      </c>
      <c r="X251" s="107">
        <f t="shared" si="100"/>
        <v>0</v>
      </c>
      <c r="Y251" s="107">
        <f t="shared" si="101"/>
        <v>0</v>
      </c>
      <c r="Z251" s="87">
        <f t="shared" si="102"/>
        <v>1</v>
      </c>
      <c r="AA251" s="88">
        <f t="shared" si="103"/>
        <v>0</v>
      </c>
      <c r="AB251" s="107">
        <f t="array" ref="AB251">ROUNDDOWN(AVERAGE(IFERROR(LARGE((X$6:X250+Y$6:Y250)*Z$6:Z250*(G$6:G250=G251), SC_SSCalcYears),0))/(12*Z251),0)</f>
        <v>0</v>
      </c>
      <c r="AC251" s="211">
        <f t="shared" si="104"/>
        <v>1</v>
      </c>
      <c r="AD251" s="89">
        <f t="shared" si="105"/>
        <v>0</v>
      </c>
      <c r="AE251" s="141">
        <f t="shared" ca="1" si="106"/>
        <v>0</v>
      </c>
      <c r="AF251" s="106">
        <f t="shared" ca="1" si="107"/>
        <v>0</v>
      </c>
      <c r="AG251" s="110">
        <f t="shared" ca="1" si="108"/>
        <v>0</v>
      </c>
      <c r="AH251" s="617"/>
      <c r="AI251" s="617"/>
      <c r="AJ251" s="617"/>
      <c r="AK251" s="617"/>
      <c r="AL251" s="618"/>
      <c r="AM251" s="186">
        <f t="shared" ca="1" si="113"/>
        <v>0</v>
      </c>
      <c r="AN251" t="str">
        <f t="shared" ca="1" si="114"/>
        <v/>
      </c>
    </row>
    <row r="252" spans="2:40" x14ac:dyDescent="0.25">
      <c r="B252" s="65">
        <f t="shared" si="111"/>
        <v>2077</v>
      </c>
      <c r="C252" s="76" t="s">
        <v>741</v>
      </c>
      <c r="D252" s="146" t="str">
        <f t="shared" si="84"/>
        <v/>
      </c>
      <c r="E252" s="77">
        <f t="shared" si="85"/>
        <v>0</v>
      </c>
      <c r="F252" s="77">
        <f t="shared" si="89"/>
        <v>0</v>
      </c>
      <c r="G252" s="77">
        <f t="shared" si="88"/>
        <v>1</v>
      </c>
      <c r="H252" s="76">
        <f t="shared" si="90"/>
        <v>1</v>
      </c>
      <c r="I252" s="76">
        <f t="shared" si="86"/>
        <v>0</v>
      </c>
      <c r="J252" s="77">
        <f t="shared" si="91"/>
        <v>0</v>
      </c>
      <c r="K252" s="78">
        <f t="shared" ca="1" si="87"/>
        <v>0</v>
      </c>
      <c r="L252" s="470"/>
      <c r="M252" s="470"/>
      <c r="N252" s="470"/>
      <c r="O252" s="531"/>
      <c r="P252" s="70">
        <f t="shared" ca="1" si="92"/>
        <v>0</v>
      </c>
      <c r="Q252" s="70">
        <f t="shared" ca="1" si="93"/>
        <v>0</v>
      </c>
      <c r="R252" s="70">
        <f t="shared" ca="1" si="94"/>
        <v>0</v>
      </c>
      <c r="S252" s="70">
        <f t="shared" ca="1" si="95"/>
        <v>0</v>
      </c>
      <c r="T252" s="70">
        <f t="shared" ca="1" si="96"/>
        <v>0</v>
      </c>
      <c r="U252" s="70">
        <f t="shared" ca="1" si="97"/>
        <v>0</v>
      </c>
      <c r="V252" s="70">
        <f t="shared" ca="1" si="98"/>
        <v>0</v>
      </c>
      <c r="W252" s="70">
        <f t="shared" ca="1" si="99"/>
        <v>0</v>
      </c>
      <c r="X252" s="70">
        <f t="shared" si="100"/>
        <v>0</v>
      </c>
      <c r="Y252" s="70">
        <f t="shared" si="101"/>
        <v>0</v>
      </c>
      <c r="Z252" s="68">
        <f t="shared" si="102"/>
        <v>1</v>
      </c>
      <c r="AA252" s="84">
        <f t="shared" si="103"/>
        <v>0</v>
      </c>
      <c r="AB252" s="488">
        <f t="array" ref="AB252">ROUNDDOWN(AVERAGE(IFERROR(LARGE((X$6:X251+Y$6:Y251)*Z$6:Z251*(G$6:G251=G252), SC_SSCalcYears),0))/(12*Z252),0)</f>
        <v>0</v>
      </c>
      <c r="AC252" s="69">
        <f t="shared" si="104"/>
        <v>1</v>
      </c>
      <c r="AD252" s="85">
        <f t="shared" si="105"/>
        <v>0</v>
      </c>
      <c r="AE252" s="140">
        <f t="shared" ca="1" si="106"/>
        <v>0</v>
      </c>
      <c r="AF252" s="75">
        <f t="shared" ca="1" si="107"/>
        <v>0</v>
      </c>
      <c r="AG252" s="109">
        <f t="shared" ca="1" si="108"/>
        <v>0</v>
      </c>
      <c r="AH252" s="617">
        <f>SUMIFS($AE252:$AE253,SP_PensionPayout,"Lump sum",$E252:$E253,"&lt;&gt;0")</f>
        <v>0</v>
      </c>
      <c r="AI252" s="617">
        <f>SUMIFS($AE252:$AE253,SP_PensionPayout,"Annuity",$E252:$E253,"&lt;&gt;0")</f>
        <v>0</v>
      </c>
      <c r="AJ252" s="617">
        <f>IF(ISBLANK(INDEX(SP_SSPBFA,1)),0,IF($J252&lt;&gt;INDEX(SP_SSPBFA,1),AJ250,SP_AdditionalRI/INDEX(SC_EA_InflationWageIdx,EAIDX)))</f>
        <v>0</v>
      </c>
      <c r="AK252" s="617">
        <f ca="1">SUMPRODUCT(AF252:AF253, --(G252:G253&lt;&gt;0))</f>
        <v>0</v>
      </c>
      <c r="AL252" s="618">
        <f ca="1">SUMPRODUCT(AG252:AG253, --(E252:E253&lt;&gt;0))+AJ252</f>
        <v>0</v>
      </c>
      <c r="AM252" s="186">
        <f t="shared" ca="1" si="113"/>
        <v>0</v>
      </c>
      <c r="AN252" t="str">
        <f t="shared" ca="1" si="114"/>
        <v/>
      </c>
    </row>
    <row r="253" spans="2:40" x14ac:dyDescent="0.25">
      <c r="B253" s="86">
        <f t="shared" si="111"/>
        <v>2077</v>
      </c>
      <c r="C253" s="80" t="s">
        <v>741</v>
      </c>
      <c r="D253" s="147" t="str">
        <f t="shared" si="84"/>
        <v/>
      </c>
      <c r="E253" s="81">
        <f t="shared" si="85"/>
        <v>0</v>
      </c>
      <c r="F253" s="82">
        <f t="shared" si="89"/>
        <v>0</v>
      </c>
      <c r="G253" s="81">
        <f t="shared" si="88"/>
        <v>2</v>
      </c>
      <c r="H253" s="82">
        <f t="shared" si="90"/>
        <v>-1</v>
      </c>
      <c r="I253" s="82">
        <f t="shared" si="86"/>
        <v>0</v>
      </c>
      <c r="J253" s="81">
        <f t="shared" si="91"/>
        <v>0</v>
      </c>
      <c r="K253" s="83">
        <f t="shared" ca="1" si="87"/>
        <v>0</v>
      </c>
      <c r="L253" s="470"/>
      <c r="M253" s="470"/>
      <c r="N253" s="470"/>
      <c r="O253" s="531"/>
      <c r="P253" s="107">
        <f t="shared" ca="1" si="92"/>
        <v>0</v>
      </c>
      <c r="Q253" s="107">
        <f t="shared" ca="1" si="93"/>
        <v>0</v>
      </c>
      <c r="R253" s="107">
        <f t="shared" ca="1" si="94"/>
        <v>0</v>
      </c>
      <c r="S253" s="107">
        <f t="shared" ca="1" si="95"/>
        <v>0</v>
      </c>
      <c r="T253" s="107">
        <f t="shared" ca="1" si="96"/>
        <v>0</v>
      </c>
      <c r="U253" s="107">
        <f t="shared" ca="1" si="97"/>
        <v>0</v>
      </c>
      <c r="V253" s="107">
        <f t="shared" ca="1" si="98"/>
        <v>0</v>
      </c>
      <c r="W253" s="107">
        <f t="shared" ca="1" si="99"/>
        <v>0</v>
      </c>
      <c r="X253" s="107">
        <f t="shared" si="100"/>
        <v>0</v>
      </c>
      <c r="Y253" s="107">
        <f t="shared" si="101"/>
        <v>0</v>
      </c>
      <c r="Z253" s="87">
        <f t="shared" si="102"/>
        <v>1</v>
      </c>
      <c r="AA253" s="88">
        <f t="shared" si="103"/>
        <v>0</v>
      </c>
      <c r="AB253" s="107">
        <f t="array" ref="AB253">ROUNDDOWN(AVERAGE(IFERROR(LARGE((X$6:X252+Y$6:Y252)*Z$6:Z252*(G$6:G252=G253), SC_SSCalcYears),0))/(12*Z253),0)</f>
        <v>0</v>
      </c>
      <c r="AC253" s="211">
        <f t="shared" si="104"/>
        <v>1</v>
      </c>
      <c r="AD253" s="89">
        <f t="shared" si="105"/>
        <v>0</v>
      </c>
      <c r="AE253" s="141">
        <f t="shared" ca="1" si="106"/>
        <v>0</v>
      </c>
      <c r="AF253" s="106">
        <f t="shared" ca="1" si="107"/>
        <v>0</v>
      </c>
      <c r="AG253" s="110">
        <f t="shared" ca="1" si="108"/>
        <v>0</v>
      </c>
      <c r="AH253" s="617"/>
      <c r="AI253" s="617"/>
      <c r="AJ253" s="617"/>
      <c r="AK253" s="617"/>
      <c r="AL253" s="618"/>
      <c r="AM253" s="186">
        <f t="shared" ca="1" si="113"/>
        <v>0</v>
      </c>
      <c r="AN253" t="str">
        <f t="shared" ca="1" si="114"/>
        <v/>
      </c>
    </row>
    <row r="254" spans="2:40" x14ac:dyDescent="0.25">
      <c r="B254" s="65">
        <f t="shared" si="111"/>
        <v>2078</v>
      </c>
      <c r="C254" s="76" t="s">
        <v>741</v>
      </c>
      <c r="D254" s="146" t="str">
        <f t="shared" si="84"/>
        <v/>
      </c>
      <c r="E254" s="77">
        <f t="shared" si="85"/>
        <v>0</v>
      </c>
      <c r="F254" s="77">
        <f t="shared" si="89"/>
        <v>0</v>
      </c>
      <c r="G254" s="77">
        <f t="shared" si="88"/>
        <v>1</v>
      </c>
      <c r="H254" s="76">
        <f t="shared" si="90"/>
        <v>1</v>
      </c>
      <c r="I254" s="76">
        <f t="shared" si="86"/>
        <v>0</v>
      </c>
      <c r="J254" s="77">
        <f t="shared" si="91"/>
        <v>0</v>
      </c>
      <c r="K254" s="78">
        <f t="shared" ca="1" si="87"/>
        <v>0</v>
      </c>
      <c r="L254" s="470"/>
      <c r="M254" s="470"/>
      <c r="N254" s="470"/>
      <c r="O254" s="531"/>
      <c r="P254" s="70">
        <f t="shared" ca="1" si="92"/>
        <v>0</v>
      </c>
      <c r="Q254" s="70">
        <f t="shared" ca="1" si="93"/>
        <v>0</v>
      </c>
      <c r="R254" s="70">
        <f t="shared" ca="1" si="94"/>
        <v>0</v>
      </c>
      <c r="S254" s="70">
        <f t="shared" ca="1" si="95"/>
        <v>0</v>
      </c>
      <c r="T254" s="70">
        <f t="shared" ca="1" si="96"/>
        <v>0</v>
      </c>
      <c r="U254" s="70">
        <f t="shared" ca="1" si="97"/>
        <v>0</v>
      </c>
      <c r="V254" s="70">
        <f t="shared" ca="1" si="98"/>
        <v>0</v>
      </c>
      <c r="W254" s="70">
        <f t="shared" ca="1" si="99"/>
        <v>0</v>
      </c>
      <c r="X254" s="70">
        <f t="shared" si="100"/>
        <v>0</v>
      </c>
      <c r="Y254" s="70">
        <f t="shared" si="101"/>
        <v>0</v>
      </c>
      <c r="Z254" s="68">
        <f t="shared" si="102"/>
        <v>1</v>
      </c>
      <c r="AA254" s="84">
        <f t="shared" si="103"/>
        <v>0</v>
      </c>
      <c r="AB254" s="488">
        <f t="array" ref="AB254">ROUNDDOWN(AVERAGE(IFERROR(LARGE((X$6:X253+Y$6:Y253)*Z$6:Z253*(G$6:G253=G254), SC_SSCalcYears),0))/(12*Z254),0)</f>
        <v>0</v>
      </c>
      <c r="AC254" s="69">
        <f t="shared" si="104"/>
        <v>1</v>
      </c>
      <c r="AD254" s="85">
        <f t="shared" si="105"/>
        <v>0</v>
      </c>
      <c r="AE254" s="140">
        <f t="shared" ca="1" si="106"/>
        <v>0</v>
      </c>
      <c r="AF254" s="75">
        <f t="shared" ca="1" si="107"/>
        <v>0</v>
      </c>
      <c r="AG254" s="109">
        <f t="shared" ca="1" si="108"/>
        <v>0</v>
      </c>
      <c r="AH254" s="617">
        <f>SUMIFS($AE254:$AE255,SP_PensionPayout,"Lump sum",$E254:$E255,"&lt;&gt;0")</f>
        <v>0</v>
      </c>
      <c r="AI254" s="617">
        <f>SUMIFS($AE254:$AE255,SP_PensionPayout,"Annuity",$E254:$E255,"&lt;&gt;0")</f>
        <v>0</v>
      </c>
      <c r="AJ254" s="617">
        <f>IF(ISBLANK(INDEX(SP_SSPBFA,1)),0,IF($J254&lt;&gt;INDEX(SP_SSPBFA,1),AJ252,SP_AdditionalRI/INDEX(SC_EA_InflationWageIdx,EAIDX)))</f>
        <v>0</v>
      </c>
      <c r="AK254" s="617">
        <f ca="1">SUMPRODUCT(AF254:AF255, --(G254:G255&lt;&gt;0))</f>
        <v>0</v>
      </c>
      <c r="AL254" s="618">
        <f ca="1">SUMPRODUCT(AG254:AG255, --(E254:E255&lt;&gt;0))+AJ254</f>
        <v>0</v>
      </c>
      <c r="AM254" s="186">
        <f t="shared" ca="1" si="113"/>
        <v>0</v>
      </c>
      <c r="AN254" t="str">
        <f t="shared" ca="1" si="114"/>
        <v/>
      </c>
    </row>
    <row r="255" spans="2:40" x14ac:dyDescent="0.25">
      <c r="B255" s="86">
        <f t="shared" si="111"/>
        <v>2078</v>
      </c>
      <c r="C255" s="80" t="s">
        <v>741</v>
      </c>
      <c r="D255" s="147" t="str">
        <f t="shared" si="84"/>
        <v/>
      </c>
      <c r="E255" s="81">
        <f t="shared" si="85"/>
        <v>0</v>
      </c>
      <c r="F255" s="82">
        <f t="shared" si="89"/>
        <v>0</v>
      </c>
      <c r="G255" s="81">
        <f t="shared" si="88"/>
        <v>2</v>
      </c>
      <c r="H255" s="82">
        <f t="shared" si="90"/>
        <v>-1</v>
      </c>
      <c r="I255" s="82">
        <f t="shared" si="86"/>
        <v>0</v>
      </c>
      <c r="J255" s="81">
        <f t="shared" si="91"/>
        <v>0</v>
      </c>
      <c r="K255" s="83">
        <f t="shared" ca="1" si="87"/>
        <v>0</v>
      </c>
      <c r="L255" s="470"/>
      <c r="M255" s="470"/>
      <c r="N255" s="470"/>
      <c r="O255" s="531"/>
      <c r="P255" s="107">
        <f t="shared" ca="1" si="92"/>
        <v>0</v>
      </c>
      <c r="Q255" s="107">
        <f t="shared" ca="1" si="93"/>
        <v>0</v>
      </c>
      <c r="R255" s="107">
        <f t="shared" ca="1" si="94"/>
        <v>0</v>
      </c>
      <c r="S255" s="107">
        <f t="shared" ca="1" si="95"/>
        <v>0</v>
      </c>
      <c r="T255" s="107">
        <f t="shared" ca="1" si="96"/>
        <v>0</v>
      </c>
      <c r="U255" s="107">
        <f t="shared" ca="1" si="97"/>
        <v>0</v>
      </c>
      <c r="V255" s="107">
        <f t="shared" ca="1" si="98"/>
        <v>0</v>
      </c>
      <c r="W255" s="107">
        <f t="shared" ca="1" si="99"/>
        <v>0</v>
      </c>
      <c r="X255" s="107">
        <f t="shared" si="100"/>
        <v>0</v>
      </c>
      <c r="Y255" s="107">
        <f t="shared" si="101"/>
        <v>0</v>
      </c>
      <c r="Z255" s="87">
        <f t="shared" si="102"/>
        <v>1</v>
      </c>
      <c r="AA255" s="88">
        <f t="shared" si="103"/>
        <v>0</v>
      </c>
      <c r="AB255" s="107">
        <f t="array" ref="AB255">ROUNDDOWN(AVERAGE(IFERROR(LARGE((X$6:X254+Y$6:Y254)*Z$6:Z254*(G$6:G254=G255), SC_SSCalcYears),0))/(12*Z255),0)</f>
        <v>0</v>
      </c>
      <c r="AC255" s="211">
        <f t="shared" si="104"/>
        <v>1</v>
      </c>
      <c r="AD255" s="89">
        <f t="shared" si="105"/>
        <v>0</v>
      </c>
      <c r="AE255" s="141">
        <f t="shared" ca="1" si="106"/>
        <v>0</v>
      </c>
      <c r="AF255" s="106">
        <f t="shared" ca="1" si="107"/>
        <v>0</v>
      </c>
      <c r="AG255" s="110">
        <f t="shared" ca="1" si="108"/>
        <v>0</v>
      </c>
      <c r="AH255" s="617"/>
      <c r="AI255" s="617"/>
      <c r="AJ255" s="617"/>
      <c r="AK255" s="617"/>
      <c r="AL255" s="618"/>
      <c r="AM255" s="186">
        <f t="shared" ca="1" si="113"/>
        <v>0</v>
      </c>
      <c r="AN255" t="str">
        <f t="shared" ca="1" si="114"/>
        <v/>
      </c>
    </row>
    <row r="256" spans="2:40" x14ac:dyDescent="0.25">
      <c r="B256" s="65">
        <f t="shared" si="111"/>
        <v>2079</v>
      </c>
      <c r="C256" s="76" t="s">
        <v>741</v>
      </c>
      <c r="D256" s="146" t="str">
        <f t="shared" si="84"/>
        <v/>
      </c>
      <c r="E256" s="77">
        <f t="shared" si="85"/>
        <v>0</v>
      </c>
      <c r="F256" s="77">
        <f t="shared" si="89"/>
        <v>0</v>
      </c>
      <c r="G256" s="77">
        <f t="shared" si="88"/>
        <v>1</v>
      </c>
      <c r="H256" s="76">
        <f t="shared" si="90"/>
        <v>1</v>
      </c>
      <c r="I256" s="76">
        <f t="shared" si="86"/>
        <v>0</v>
      </c>
      <c r="J256" s="77">
        <f t="shared" si="91"/>
        <v>0</v>
      </c>
      <c r="K256" s="78">
        <f t="shared" ca="1" si="87"/>
        <v>0</v>
      </c>
      <c r="L256" s="470"/>
      <c r="M256" s="470"/>
      <c r="N256" s="470"/>
      <c r="O256" s="531"/>
      <c r="P256" s="70">
        <f t="shared" ca="1" si="92"/>
        <v>0</v>
      </c>
      <c r="Q256" s="70">
        <f t="shared" ca="1" si="93"/>
        <v>0</v>
      </c>
      <c r="R256" s="70">
        <f t="shared" ca="1" si="94"/>
        <v>0</v>
      </c>
      <c r="S256" s="70">
        <f t="shared" ca="1" si="95"/>
        <v>0</v>
      </c>
      <c r="T256" s="70">
        <f t="shared" ca="1" si="96"/>
        <v>0</v>
      </c>
      <c r="U256" s="70">
        <f t="shared" ca="1" si="97"/>
        <v>0</v>
      </c>
      <c r="V256" s="70">
        <f t="shared" ca="1" si="98"/>
        <v>0</v>
      </c>
      <c r="W256" s="70">
        <f t="shared" ca="1" si="99"/>
        <v>0</v>
      </c>
      <c r="X256" s="70">
        <f t="shared" si="100"/>
        <v>0</v>
      </c>
      <c r="Y256" s="70">
        <f t="shared" si="101"/>
        <v>0</v>
      </c>
      <c r="Z256" s="68">
        <f t="shared" si="102"/>
        <v>1</v>
      </c>
      <c r="AA256" s="84">
        <f t="shared" si="103"/>
        <v>0</v>
      </c>
      <c r="AB256" s="488">
        <f t="array" ref="AB256">ROUNDDOWN(AVERAGE(IFERROR(LARGE((X$6:X255+Y$6:Y255)*Z$6:Z255*(G$6:G255=G256), SC_SSCalcYears),0))/(12*Z256),0)</f>
        <v>0</v>
      </c>
      <c r="AC256" s="69">
        <f t="shared" si="104"/>
        <v>1</v>
      </c>
      <c r="AD256" s="85">
        <f t="shared" si="105"/>
        <v>0</v>
      </c>
      <c r="AE256" s="140">
        <f t="shared" ca="1" si="106"/>
        <v>0</v>
      </c>
      <c r="AF256" s="75">
        <f t="shared" ca="1" si="107"/>
        <v>0</v>
      </c>
      <c r="AG256" s="109">
        <f t="shared" ca="1" si="108"/>
        <v>0</v>
      </c>
      <c r="AH256" s="617">
        <f>SUMIFS($AE256:$AE257,SP_PensionPayout,"Lump sum",$E256:$E257,"&lt;&gt;0")</f>
        <v>0</v>
      </c>
      <c r="AI256" s="617">
        <f>SUMIFS($AE256:$AE257,SP_PensionPayout,"Annuity",$E256:$E257,"&lt;&gt;0")</f>
        <v>0</v>
      </c>
      <c r="AJ256" s="617">
        <f>IF(ISBLANK(INDEX(SP_SSPBFA,1)),0,IF($J256&lt;&gt;INDEX(SP_SSPBFA,1),AJ254,SP_AdditionalRI/INDEX(SC_EA_InflationWageIdx,EAIDX)))</f>
        <v>0</v>
      </c>
      <c r="AK256" s="617">
        <f ca="1">SUMPRODUCT(AF256:AF257, --(G256:G257&lt;&gt;0))</f>
        <v>0</v>
      </c>
      <c r="AL256" s="618">
        <f ca="1">SUMPRODUCT(AG256:AG257, --(E256:E257&lt;&gt;0))+AJ256</f>
        <v>0</v>
      </c>
      <c r="AM256" s="186">
        <f t="shared" ca="1" si="113"/>
        <v>0</v>
      </c>
      <c r="AN256" t="str">
        <f t="shared" ca="1" si="114"/>
        <v/>
      </c>
    </row>
    <row r="257" spans="2:40" x14ac:dyDescent="0.25">
      <c r="B257" s="86">
        <f t="shared" si="111"/>
        <v>2079</v>
      </c>
      <c r="C257" s="80" t="s">
        <v>741</v>
      </c>
      <c r="D257" s="147" t="str">
        <f t="shared" si="84"/>
        <v/>
      </c>
      <c r="E257" s="81">
        <f t="shared" si="85"/>
        <v>0</v>
      </c>
      <c r="F257" s="82">
        <f t="shared" si="89"/>
        <v>0</v>
      </c>
      <c r="G257" s="81">
        <f t="shared" si="88"/>
        <v>2</v>
      </c>
      <c r="H257" s="82">
        <f t="shared" si="90"/>
        <v>-1</v>
      </c>
      <c r="I257" s="82">
        <f t="shared" si="86"/>
        <v>0</v>
      </c>
      <c r="J257" s="81">
        <f t="shared" si="91"/>
        <v>0</v>
      </c>
      <c r="K257" s="83">
        <f t="shared" ca="1" si="87"/>
        <v>0</v>
      </c>
      <c r="L257" s="470"/>
      <c r="M257" s="470"/>
      <c r="N257" s="470"/>
      <c r="O257" s="531"/>
      <c r="P257" s="107">
        <f t="shared" ca="1" si="92"/>
        <v>0</v>
      </c>
      <c r="Q257" s="107">
        <f t="shared" ca="1" si="93"/>
        <v>0</v>
      </c>
      <c r="R257" s="107">
        <f t="shared" ca="1" si="94"/>
        <v>0</v>
      </c>
      <c r="S257" s="107">
        <f t="shared" ca="1" si="95"/>
        <v>0</v>
      </c>
      <c r="T257" s="107">
        <f t="shared" ca="1" si="96"/>
        <v>0</v>
      </c>
      <c r="U257" s="107">
        <f t="shared" ca="1" si="97"/>
        <v>0</v>
      </c>
      <c r="V257" s="107">
        <f t="shared" ca="1" si="98"/>
        <v>0</v>
      </c>
      <c r="W257" s="107">
        <f t="shared" ca="1" si="99"/>
        <v>0</v>
      </c>
      <c r="X257" s="107">
        <f t="shared" si="100"/>
        <v>0</v>
      </c>
      <c r="Y257" s="107">
        <f t="shared" si="101"/>
        <v>0</v>
      </c>
      <c r="Z257" s="87">
        <f t="shared" si="102"/>
        <v>1</v>
      </c>
      <c r="AA257" s="88">
        <f t="shared" si="103"/>
        <v>0</v>
      </c>
      <c r="AB257" s="107">
        <f t="array" ref="AB257">ROUNDDOWN(AVERAGE(IFERROR(LARGE((X$6:X256+Y$6:Y256)*Z$6:Z256*(G$6:G256=G257), SC_SSCalcYears),0))/(12*Z257),0)</f>
        <v>0</v>
      </c>
      <c r="AC257" s="211">
        <f t="shared" si="104"/>
        <v>1</v>
      </c>
      <c r="AD257" s="89">
        <f t="shared" si="105"/>
        <v>0</v>
      </c>
      <c r="AE257" s="141">
        <f t="shared" ca="1" si="106"/>
        <v>0</v>
      </c>
      <c r="AF257" s="106">
        <f t="shared" ca="1" si="107"/>
        <v>0</v>
      </c>
      <c r="AG257" s="110">
        <f t="shared" ca="1" si="108"/>
        <v>0</v>
      </c>
      <c r="AH257" s="617"/>
      <c r="AI257" s="617"/>
      <c r="AJ257" s="617"/>
      <c r="AK257" s="617"/>
      <c r="AL257" s="618"/>
      <c r="AM257" s="186">
        <f t="shared" ca="1" si="113"/>
        <v>0</v>
      </c>
      <c r="AN257" t="str">
        <f t="shared" ca="1" si="114"/>
        <v/>
      </c>
    </row>
    <row r="258" spans="2:40" x14ac:dyDescent="0.25">
      <c r="B258" s="65">
        <f t="shared" si="111"/>
        <v>2080</v>
      </c>
      <c r="C258" s="76" t="s">
        <v>741</v>
      </c>
      <c r="D258" s="146" t="str">
        <f t="shared" si="84"/>
        <v/>
      </c>
      <c r="E258" s="77">
        <f t="shared" ref="E258:E301" si="115">INDEX(SC_TaxIndex,$G258)</f>
        <v>0</v>
      </c>
      <c r="F258" s="77">
        <f t="shared" si="89"/>
        <v>0</v>
      </c>
      <c r="G258" s="77">
        <f t="shared" si="88"/>
        <v>1</v>
      </c>
      <c r="H258" s="76">
        <f t="shared" si="90"/>
        <v>1</v>
      </c>
      <c r="I258" s="76">
        <f t="shared" si="86"/>
        <v>0</v>
      </c>
      <c r="J258" s="77">
        <f t="shared" si="91"/>
        <v>0</v>
      </c>
      <c r="K258" s="78">
        <f t="shared" ca="1" si="87"/>
        <v>0</v>
      </c>
      <c r="L258" s="470"/>
      <c r="M258" s="470"/>
      <c r="N258" s="470"/>
      <c r="O258" s="531"/>
      <c r="P258" s="70">
        <f t="shared" ca="1" si="92"/>
        <v>0</v>
      </c>
      <c r="Q258" s="70">
        <f t="shared" ca="1" si="93"/>
        <v>0</v>
      </c>
      <c r="R258" s="70">
        <f t="shared" ca="1" si="94"/>
        <v>0</v>
      </c>
      <c r="S258" s="70">
        <f t="shared" ca="1" si="95"/>
        <v>0</v>
      </c>
      <c r="T258" s="70">
        <f t="shared" ca="1" si="96"/>
        <v>0</v>
      </c>
      <c r="U258" s="70">
        <f t="shared" ca="1" si="97"/>
        <v>0</v>
      </c>
      <c r="V258" s="70">
        <f t="shared" ca="1" si="98"/>
        <v>0</v>
      </c>
      <c r="W258" s="70">
        <f t="shared" ca="1" si="99"/>
        <v>0</v>
      </c>
      <c r="X258" s="70">
        <f t="shared" si="100"/>
        <v>0</v>
      </c>
      <c r="Y258" s="70">
        <f t="shared" si="101"/>
        <v>0</v>
      </c>
      <c r="Z258" s="68">
        <f t="shared" si="102"/>
        <v>1</v>
      </c>
      <c r="AA258" s="84">
        <f t="shared" si="103"/>
        <v>0</v>
      </c>
      <c r="AB258" s="488">
        <f t="array" ref="AB258">ROUNDDOWN(AVERAGE(IFERROR(LARGE((X$6:X257+Y$6:Y257)*Z$6:Z257*(G$6:G257=G258), SC_SSCalcYears),0))/(12*Z258),0)</f>
        <v>0</v>
      </c>
      <c r="AC258" s="69">
        <f t="shared" si="104"/>
        <v>1</v>
      </c>
      <c r="AD258" s="85">
        <f t="shared" si="105"/>
        <v>0</v>
      </c>
      <c r="AE258" s="140">
        <f t="shared" ca="1" si="106"/>
        <v>0</v>
      </c>
      <c r="AF258" s="75">
        <f t="shared" ca="1" si="107"/>
        <v>0</v>
      </c>
      <c r="AG258" s="109">
        <f t="shared" ca="1" si="108"/>
        <v>0</v>
      </c>
      <c r="AH258" s="617">
        <f>SUMIFS($AE258:$AE259,SP_PensionPayout,"Lump sum",$E258:$E259,"&lt;&gt;0")</f>
        <v>0</v>
      </c>
      <c r="AI258" s="617">
        <f>SUMIFS($AE258:$AE259,SP_PensionPayout,"Annuity",$E258:$E259,"&lt;&gt;0")</f>
        <v>0</v>
      </c>
      <c r="AJ258" s="617">
        <f>IF(ISBLANK(INDEX(SP_SSPBFA,1)),0,IF($J258&lt;&gt;INDEX(SP_SSPBFA,1),AJ256,SP_AdditionalRI/INDEX(SC_EA_InflationWageIdx,EAIDX)))</f>
        <v>0</v>
      </c>
      <c r="AK258" s="617">
        <f ca="1">SUMPRODUCT(AF258:AF259, --(G258:G259&lt;&gt;0))</f>
        <v>0</v>
      </c>
      <c r="AL258" s="618">
        <f ca="1">SUMPRODUCT(AG258:AG259, --(E258:E259&lt;&gt;0))+AJ258</f>
        <v>0</v>
      </c>
      <c r="AM258" s="186">
        <f t="shared" ca="1" si="113"/>
        <v>0</v>
      </c>
      <c r="AN258" t="str">
        <f t="shared" ca="1" si="114"/>
        <v/>
      </c>
    </row>
    <row r="259" spans="2:40" x14ac:dyDescent="0.25">
      <c r="B259" s="86">
        <f t="shared" si="111"/>
        <v>2080</v>
      </c>
      <c r="C259" s="80" t="s">
        <v>741</v>
      </c>
      <c r="D259" s="147" t="str">
        <f t="shared" si="84"/>
        <v/>
      </c>
      <c r="E259" s="81">
        <f t="shared" si="115"/>
        <v>0</v>
      </c>
      <c r="F259" s="82">
        <f t="shared" si="89"/>
        <v>0</v>
      </c>
      <c r="G259" s="81">
        <f t="shared" si="88"/>
        <v>2</v>
      </c>
      <c r="H259" s="82">
        <f t="shared" si="90"/>
        <v>-1</v>
      </c>
      <c r="I259" s="82">
        <f t="shared" si="86"/>
        <v>0</v>
      </c>
      <c r="J259" s="81">
        <f t="shared" si="91"/>
        <v>0</v>
      </c>
      <c r="K259" s="83">
        <f t="shared" ca="1" si="87"/>
        <v>0</v>
      </c>
      <c r="L259" s="470"/>
      <c r="M259" s="470"/>
      <c r="N259" s="470"/>
      <c r="O259" s="531"/>
      <c r="P259" s="107">
        <f t="shared" ca="1" si="92"/>
        <v>0</v>
      </c>
      <c r="Q259" s="107">
        <f t="shared" ca="1" si="93"/>
        <v>0</v>
      </c>
      <c r="R259" s="107">
        <f t="shared" ca="1" si="94"/>
        <v>0</v>
      </c>
      <c r="S259" s="107">
        <f t="shared" ca="1" si="95"/>
        <v>0</v>
      </c>
      <c r="T259" s="107">
        <f t="shared" ca="1" si="96"/>
        <v>0</v>
      </c>
      <c r="U259" s="107">
        <f t="shared" ca="1" si="97"/>
        <v>0</v>
      </c>
      <c r="V259" s="107">
        <f t="shared" ca="1" si="98"/>
        <v>0</v>
      </c>
      <c r="W259" s="107">
        <f t="shared" ca="1" si="99"/>
        <v>0</v>
      </c>
      <c r="X259" s="107">
        <f t="shared" si="100"/>
        <v>0</v>
      </c>
      <c r="Y259" s="107">
        <f t="shared" si="101"/>
        <v>0</v>
      </c>
      <c r="Z259" s="87">
        <f t="shared" si="102"/>
        <v>1</v>
      </c>
      <c r="AA259" s="88">
        <f t="shared" si="103"/>
        <v>0</v>
      </c>
      <c r="AB259" s="107">
        <f t="array" ref="AB259">ROUNDDOWN(AVERAGE(IFERROR(LARGE((X$6:X258+Y$6:Y258)*Z$6:Z258*(G$6:G258=G259), SC_SSCalcYears),0))/(12*Z259),0)</f>
        <v>0</v>
      </c>
      <c r="AC259" s="211">
        <f t="shared" si="104"/>
        <v>1</v>
      </c>
      <c r="AD259" s="89">
        <f t="shared" si="105"/>
        <v>0</v>
      </c>
      <c r="AE259" s="141">
        <f t="shared" ca="1" si="106"/>
        <v>0</v>
      </c>
      <c r="AF259" s="106">
        <f t="shared" ca="1" si="107"/>
        <v>0</v>
      </c>
      <c r="AG259" s="110">
        <f t="shared" ca="1" si="108"/>
        <v>0</v>
      </c>
      <c r="AH259" s="617"/>
      <c r="AI259" s="617"/>
      <c r="AJ259" s="617"/>
      <c r="AK259" s="617"/>
      <c r="AL259" s="618"/>
      <c r="AM259" s="186">
        <f t="shared" ca="1" si="113"/>
        <v>0</v>
      </c>
      <c r="AN259" t="str">
        <f t="shared" ca="1" si="114"/>
        <v/>
      </c>
    </row>
    <row r="260" spans="2:40" x14ac:dyDescent="0.25">
      <c r="B260" s="65">
        <f t="shared" si="111"/>
        <v>2081</v>
      </c>
      <c r="C260" s="76" t="s">
        <v>741</v>
      </c>
      <c r="D260" s="146" t="str">
        <f t="shared" ref="D260:D289" si="116">INDEX(SP_Initials,G260)</f>
        <v/>
      </c>
      <c r="E260" s="77">
        <f t="shared" si="115"/>
        <v>0</v>
      </c>
      <c r="F260" s="77">
        <f t="shared" si="89"/>
        <v>0</v>
      </c>
      <c r="G260" s="77">
        <f t="shared" si="88"/>
        <v>1</v>
      </c>
      <c r="H260" s="76">
        <f t="shared" ref="H260:H301" si="117">MOD($G260,2)-($G260-1)</f>
        <v>1</v>
      </c>
      <c r="I260" s="76">
        <f t="shared" ref="I260:I301" si="118">IF(INDEX(SC_ShowRetireatee,$G260),IF($B260&lt;YEAR(INDEX(SP_BirthDate,$G260)),0,$B260-YEAR(INDEX(SP_BirthDate,$G260))),0)</f>
        <v>0</v>
      </c>
      <c r="J260" s="77">
        <f t="shared" si="91"/>
        <v>0</v>
      </c>
      <c r="K260" s="78">
        <f t="shared" ref="K260:K301" ca="1" si="119">IF($B260&lt;SC_TargetRY,1,IF($B260=SC_TargetRY,-(1-YEARFRAC(SP_TargetRD,DATE($B260+1,1,1))),0))</f>
        <v>0</v>
      </c>
      <c r="L260" s="470"/>
      <c r="M260" s="470"/>
      <c r="N260" s="470"/>
      <c r="O260" s="531"/>
      <c r="P260" s="70">
        <f t="shared" ca="1" si="92"/>
        <v>0</v>
      </c>
      <c r="Q260" s="70">
        <f t="shared" ca="1" si="93"/>
        <v>0</v>
      </c>
      <c r="R260" s="70">
        <f t="shared" ca="1" si="94"/>
        <v>0</v>
      </c>
      <c r="S260" s="70">
        <f t="shared" ca="1" si="95"/>
        <v>0</v>
      </c>
      <c r="T260" s="70">
        <f t="shared" ca="1" si="96"/>
        <v>0</v>
      </c>
      <c r="U260" s="70">
        <f t="shared" ca="1" si="97"/>
        <v>0</v>
      </c>
      <c r="V260" s="70">
        <f t="shared" ca="1" si="98"/>
        <v>0</v>
      </c>
      <c r="W260" s="70">
        <f t="shared" ca="1" si="99"/>
        <v>0</v>
      </c>
      <c r="X260" s="70">
        <f t="shared" si="100"/>
        <v>0</v>
      </c>
      <c r="Y260" s="70">
        <f t="shared" si="101"/>
        <v>0</v>
      </c>
      <c r="Z260" s="68">
        <f t="shared" si="102"/>
        <v>1</v>
      </c>
      <c r="AA260" s="84">
        <f t="shared" si="103"/>
        <v>0</v>
      </c>
      <c r="AB260" s="488">
        <f t="array" ref="AB260">ROUNDDOWN(AVERAGE(IFERROR(LARGE((X$6:X259+Y$6:Y259)*Z$6:Z259*(G$6:G259=G260), SC_SSCalcYears),0))/(12*Z260),0)</f>
        <v>0</v>
      </c>
      <c r="AC260" s="69">
        <f t="shared" si="104"/>
        <v>1</v>
      </c>
      <c r="AD260" s="85">
        <f t="shared" si="105"/>
        <v>0</v>
      </c>
      <c r="AE260" s="140">
        <f t="shared" ca="1" si="106"/>
        <v>0</v>
      </c>
      <c r="AF260" s="75">
        <f t="shared" ca="1" si="107"/>
        <v>0</v>
      </c>
      <c r="AG260" s="109">
        <f t="shared" ca="1" si="108"/>
        <v>0</v>
      </c>
      <c r="AH260" s="617">
        <f>SUMIFS($AE260:$AE261,SP_PensionPayout,"Lump sum",$E260:$E261,"&lt;&gt;0")</f>
        <v>0</v>
      </c>
      <c r="AI260" s="617">
        <f>SUMIFS($AE260:$AE261,SP_PensionPayout,"Annuity",$E260:$E261,"&lt;&gt;0")</f>
        <v>0</v>
      </c>
      <c r="AJ260" s="617">
        <f>IF(ISBLANK(INDEX(SP_SSPBFA,1)),0,IF($J260&lt;&gt;INDEX(SP_SSPBFA,1),AJ258,SP_AdditionalRI/INDEX(SC_EA_InflationWageIdx,EAIDX)))</f>
        <v>0</v>
      </c>
      <c r="AK260" s="617">
        <f ca="1">SUMPRODUCT(AF260:AF261, --(G260:G261&lt;&gt;0))</f>
        <v>0</v>
      </c>
      <c r="AL260" s="618">
        <f ca="1">SUMPRODUCT(AG260:AG261, --(E260:E261&lt;&gt;0))+AJ260</f>
        <v>0</v>
      </c>
      <c r="AM260" s="186">
        <f t="shared" ca="1" si="113"/>
        <v>0</v>
      </c>
      <c r="AN260" t="str">
        <f t="shared" ca="1" si="114"/>
        <v/>
      </c>
    </row>
    <row r="261" spans="2:40" x14ac:dyDescent="0.25">
      <c r="B261" s="86">
        <f t="shared" si="111"/>
        <v>2081</v>
      </c>
      <c r="C261" s="80" t="s">
        <v>741</v>
      </c>
      <c r="D261" s="147" t="str">
        <f t="shared" si="116"/>
        <v/>
      </c>
      <c r="E261" s="81">
        <f t="shared" si="115"/>
        <v>0</v>
      </c>
      <c r="F261" s="82">
        <f t="shared" si="89"/>
        <v>0</v>
      </c>
      <c r="G261" s="81">
        <f t="shared" ref="G261:G301" si="120">MOD(ROW(),2)+1</f>
        <v>2</v>
      </c>
      <c r="H261" s="82">
        <f t="shared" si="117"/>
        <v>-1</v>
      </c>
      <c r="I261" s="82">
        <f t="shared" si="118"/>
        <v>0</v>
      </c>
      <c r="J261" s="81">
        <f t="shared" si="91"/>
        <v>0</v>
      </c>
      <c r="K261" s="83">
        <f t="shared" ca="1" si="119"/>
        <v>0</v>
      </c>
      <c r="L261" s="470"/>
      <c r="M261" s="470"/>
      <c r="N261" s="470"/>
      <c r="O261" s="531"/>
      <c r="P261" s="107">
        <f t="shared" ca="1" si="92"/>
        <v>0</v>
      </c>
      <c r="Q261" s="107">
        <f t="shared" ca="1" si="93"/>
        <v>0</v>
      </c>
      <c r="R261" s="107">
        <f t="shared" ca="1" si="94"/>
        <v>0</v>
      </c>
      <c r="S261" s="107">
        <f t="shared" ca="1" si="95"/>
        <v>0</v>
      </c>
      <c r="T261" s="107">
        <f t="shared" ca="1" si="96"/>
        <v>0</v>
      </c>
      <c r="U261" s="107">
        <f t="shared" ca="1" si="97"/>
        <v>0</v>
      </c>
      <c r="V261" s="107">
        <f t="shared" ca="1" si="98"/>
        <v>0</v>
      </c>
      <c r="W261" s="107">
        <f t="shared" ca="1" si="99"/>
        <v>0</v>
      </c>
      <c r="X261" s="107">
        <f t="shared" si="100"/>
        <v>0</v>
      </c>
      <c r="Y261" s="107">
        <f t="shared" si="101"/>
        <v>0</v>
      </c>
      <c r="Z261" s="87">
        <f t="shared" si="102"/>
        <v>1</v>
      </c>
      <c r="AA261" s="88">
        <f t="shared" si="103"/>
        <v>0</v>
      </c>
      <c r="AB261" s="107">
        <f t="array" ref="AB261">ROUNDDOWN(AVERAGE(IFERROR(LARGE((X$6:X260+Y$6:Y260)*Z$6:Z260*(G$6:G260=G261), SC_SSCalcYears),0))/(12*Z261),0)</f>
        <v>0</v>
      </c>
      <c r="AC261" s="211">
        <f t="shared" si="104"/>
        <v>1</v>
      </c>
      <c r="AD261" s="89">
        <f t="shared" si="105"/>
        <v>0</v>
      </c>
      <c r="AE261" s="141">
        <f t="shared" ca="1" si="106"/>
        <v>0</v>
      </c>
      <c r="AF261" s="106">
        <f t="shared" ca="1" si="107"/>
        <v>0</v>
      </c>
      <c r="AG261" s="110">
        <f t="shared" ca="1" si="108"/>
        <v>0</v>
      </c>
      <c r="AH261" s="617"/>
      <c r="AI261" s="617"/>
      <c r="AJ261" s="617"/>
      <c r="AK261" s="617"/>
      <c r="AL261" s="618"/>
      <c r="AM261" s="186">
        <f t="shared" ca="1" si="113"/>
        <v>0</v>
      </c>
      <c r="AN261" t="str">
        <f t="shared" ca="1" si="114"/>
        <v/>
      </c>
    </row>
    <row r="262" spans="2:40" x14ac:dyDescent="0.25">
      <c r="B262" s="65">
        <f t="shared" si="111"/>
        <v>2082</v>
      </c>
      <c r="C262" s="76" t="s">
        <v>741</v>
      </c>
      <c r="D262" s="146" t="str">
        <f t="shared" si="116"/>
        <v/>
      </c>
      <c r="E262" s="77">
        <f t="shared" si="115"/>
        <v>0</v>
      </c>
      <c r="F262" s="77">
        <f t="shared" ref="F262:F301" si="121">MAX($J262+1-INDEX(SP_StartWorkAge,$G262),0)</f>
        <v>0</v>
      </c>
      <c r="G262" s="77">
        <f t="shared" si="120"/>
        <v>1</v>
      </c>
      <c r="H262" s="76">
        <f t="shared" si="117"/>
        <v>1</v>
      </c>
      <c r="I262" s="76">
        <f t="shared" si="118"/>
        <v>0</v>
      </c>
      <c r="J262" s="77">
        <f t="shared" ref="J262:J301" si="122">IF(INDEX(SC_ShowRetireatee,$G262),IF($B262&gt;(YEAR(INDEX(SP_BirthDate,$G262))+INDEX(SP_LifeExp,$G262)),0,$I262),0)</f>
        <v>0</v>
      </c>
      <c r="K262" s="78">
        <f t="shared" ca="1" si="119"/>
        <v>0</v>
      </c>
      <c r="L262" s="470"/>
      <c r="M262" s="470"/>
      <c r="N262" s="470"/>
      <c r="O262" s="531"/>
      <c r="P262" s="70">
        <f t="shared" ref="P262:P299" ca="1" si="123">IF(IF(COLUMN()=COLUMN(L262),TRUE,ISBLANK(L262)), IF(OR($F262=0,$K262=0),0,IF($B262=SP_CurrentYear, 0, IF($B262&gt;SP_CurrentYear, $P260*(1+INDEX(SP_EA_InflationWageRate, EAIDX-1)+INDEX(SP_IncomeEmployerAdj, $G262)), $P264/(1+INDEX(SP_EA_InflationWageRate, EAIDX)+INDEX(SP_IncomeEmployerAdj, $G262))))), L262)</f>
        <v>0</v>
      </c>
      <c r="Q262" s="70">
        <f t="shared" ref="Q262:Q299" ca="1" si="124">IF(IF(COLUMN()=COLUMN(M262),TRUE,ISBLANK(M262)), IF(OR($F262=0,$K262=0),0,IF($B262=SP_CurrentYear, 0, IF($B262&gt;SP_CurrentYear, $Q260*(1+INDEX(SP_EA_InflationWageRate, EAIDX-1)+INDEX(SP_IncomeSEAdj, $G262)), 0))), M262)</f>
        <v>0</v>
      </c>
      <c r="R262" s="70">
        <f t="shared" ref="R262:R299" ca="1" si="125">IF(IF(COLUMN()=COLUMN(N262),TRUE,ISBLANK(N262)), IF($B262=SP_CurrentYear, 0, IF($B262&gt;SP_CurrentYear, $R260*(1+INDEX(SP_EA_InflationWageRate, EAIDX-1)+INDEX(SP_IncomePassiveAdj, $G262)), 0)), N262)</f>
        <v>0</v>
      </c>
      <c r="S262" s="70">
        <f t="shared" ref="S262:S299" ca="1" si="126">IF(IF(COLUMN()=COLUMN(O262),TRUE,ISBLANK(O262)), IF($B262=SP_CurrentYear,(-INDEX(SC_ExpensesLivingPF,$G262,1)*ABS($K262)-INDEX(SC_ExpensesLivingPF,$G262,2)*(1-ABS($K262)))/INDEX(SC_EA_InflationCPIdx, EAIDX)*12, IF($B262&gt;SP_CurrentYear, $S260*(1+INDEX(SP_EA_InflationCPRate, EAIDX-1)), IF($P262=0, 0,$S264/(1+INDEX(SP_EA_InflationCPRate, EAIDX)))))*ABS($K262), O262)</f>
        <v>0</v>
      </c>
      <c r="T262" s="70">
        <f t="shared" ref="T262:T289" ca="1" si="127">P262*ABS($K262)</f>
        <v>0</v>
      </c>
      <c r="U262" s="70">
        <f t="shared" ref="U262:U289" ca="1" si="128">Q262*ABS($K262)</f>
        <v>0</v>
      </c>
      <c r="V262" s="70">
        <f t="shared" ref="V262:V289" ca="1" si="129">MAX(T262-ABS($S262)*ABS($K262), 0)</f>
        <v>0</v>
      </c>
      <c r="W262" s="70">
        <f t="shared" ref="W262:W289" ca="1" si="130">MAX(U262-MAX(ABS($S262)*ABS($K262)-P262, 0),0)</f>
        <v>0</v>
      </c>
      <c r="X262" s="70">
        <f t="shared" ref="X262:X299" si="131">IF($J262=0, 0, MAX(MIN(T262-ABS($S262)*ABS($K262), INDEX(SC_EA_SSWageBase, EAIDX)), 0))</f>
        <v>0</v>
      </c>
      <c r="Y262" s="70">
        <f t="shared" ref="Y262:Y299" si="132">IF($J262=0, 0, MIN(MAX(U262-MAX(ABS($S262)*ABS($K262)-P262, 0),0), INDEX(SC_EA_SSWageBase, EAIDX)-X262))</f>
        <v>0</v>
      </c>
      <c r="Z262" s="68">
        <f t="shared" ref="Z262:Z301" si="133">IF($J262=0,1,IF($B262&gt;=INDEX(SC_SSBaseYear,$G262),1,Z264*(INDEX(SP_EA_InflationWageRate, EAIDX+1)+1)))</f>
        <v>1</v>
      </c>
      <c r="AA262" s="84">
        <f t="shared" ref="AA262:AA289" si="134">IF($J262=0, 0, ROUNDDOWN(MIN((X262+Y262)*Z262,LT_SSMaxCredit*Z262)/(LT_SSOneCredit*Z262), 0))</f>
        <v>0</v>
      </c>
      <c r="AB262" s="488">
        <f t="array" ref="AB262">ROUNDDOWN(AVERAGE(IFERROR(LARGE((X$6:X261+Y$6:Y261)*Z$6:Z261*(G$6:G261=G262), SC_SSCalcYears),0))/(12*Z262),0)</f>
        <v>0</v>
      </c>
      <c r="AC262" s="69">
        <f t="shared" ref="AC262:AC299" si="135">IF($I262&gt;0, IF($B262&lt;=INDEX(SC_SSBaseYear,$G262)+2,Z262,1/(1/AC260*(INDEX(SC_EA_SSCOLA, EAIDX-1)+1))), 1)</f>
        <v>1</v>
      </c>
      <c r="AD262" s="85">
        <f t="shared" ref="AD262:AD301" si="136">IF(INDEX(SP_PensionSWD,$G262)="",0,IF(YEAR(INDEX(SP_PensionSWD,$G262))&gt;$B262,0,YEARFRAC(INDEX(SP_PensionSWD,$G262), MIN(DATE($B262+1,1,1),SP_TargetRD))))</f>
        <v>0</v>
      </c>
      <c r="AE262" s="140">
        <f t="shared" ref="AE262:AE299" ca="1" si="137">IF(AND(AD262&gt;0, $B262=SC_TargetRY, INDEX(SP_PensionFAE,$G262)&gt;0),SUMIF(OFFSET(G262,-MIN(INDEX(SP_PensionFAE,$G262),AD262)*2,0,MIN(INDEX(SP_PensionFAE,$G262),AD262)*2),$G262,OFFSET(P262,-MIN(INDEX(SP_PensionFAE,$G262),AD262)*2,0,MIN(INDEX(SP_PensionFAE,$G262),AD262)*2))/MIN(INDEX(SP_PensionFAE,$G262),AD262)*INDEX(SP_PensionPCT,$G262)*AD262,0)</f>
        <v>0</v>
      </c>
      <c r="AF262" s="75">
        <f t="shared" ref="AF262:AF301" ca="1" si="138">$T262+$U262</f>
        <v>0</v>
      </c>
      <c r="AG262" s="109">
        <f t="shared" ref="AG262:AG301" ca="1" si="139">$R262</f>
        <v>0</v>
      </c>
      <c r="AH262" s="617">
        <f>SUMIFS($AE262:$AE263,SP_PensionPayout,"Lump sum",$E262:$E263,"&lt;&gt;0")</f>
        <v>0</v>
      </c>
      <c r="AI262" s="617">
        <f>SUMIFS($AE262:$AE263,SP_PensionPayout,"Annuity",$E262:$E263,"&lt;&gt;0")</f>
        <v>0</v>
      </c>
      <c r="AJ262" s="617">
        <f>IF(ISBLANK(INDEX(SP_SSPBFA,1)),0,IF($J262&lt;&gt;INDEX(SP_SSPBFA,1),AJ260,SP_AdditionalRI/INDEX(SC_EA_InflationWageIdx,EAIDX)))</f>
        <v>0</v>
      </c>
      <c r="AK262" s="617">
        <f ca="1">SUMPRODUCT(AF262:AF263, --(G262:G263&lt;&gt;0))</f>
        <v>0</v>
      </c>
      <c r="AL262" s="618">
        <f ca="1">SUMPRODUCT(AG262:AG263, --(E262:E263&lt;&gt;0))+AJ262</f>
        <v>0</v>
      </c>
      <c r="AM262" s="186">
        <f t="shared" ca="1" si="113"/>
        <v>0</v>
      </c>
      <c r="AN262" t="str">
        <f t="shared" ca="1" si="114"/>
        <v/>
      </c>
    </row>
    <row r="263" spans="2:40" x14ac:dyDescent="0.25">
      <c r="B263" s="86">
        <f t="shared" ref="B263:B301" si="140">B261+1</f>
        <v>2082</v>
      </c>
      <c r="C263" s="80" t="s">
        <v>741</v>
      </c>
      <c r="D263" s="147" t="str">
        <f t="shared" si="116"/>
        <v/>
      </c>
      <c r="E263" s="81">
        <f t="shared" si="115"/>
        <v>0</v>
      </c>
      <c r="F263" s="82">
        <f t="shared" si="121"/>
        <v>0</v>
      </c>
      <c r="G263" s="81">
        <f t="shared" si="120"/>
        <v>2</v>
      </c>
      <c r="H263" s="82">
        <f t="shared" si="117"/>
        <v>-1</v>
      </c>
      <c r="I263" s="82">
        <f t="shared" si="118"/>
        <v>0</v>
      </c>
      <c r="J263" s="81">
        <f t="shared" si="122"/>
        <v>0</v>
      </c>
      <c r="K263" s="83">
        <f t="shared" ca="1" si="119"/>
        <v>0</v>
      </c>
      <c r="L263" s="470"/>
      <c r="M263" s="470"/>
      <c r="N263" s="470"/>
      <c r="O263" s="531"/>
      <c r="P263" s="107">
        <f t="shared" ca="1" si="123"/>
        <v>0</v>
      </c>
      <c r="Q263" s="107">
        <f t="shared" ca="1" si="124"/>
        <v>0</v>
      </c>
      <c r="R263" s="107">
        <f t="shared" ca="1" si="125"/>
        <v>0</v>
      </c>
      <c r="S263" s="107">
        <f t="shared" ca="1" si="126"/>
        <v>0</v>
      </c>
      <c r="T263" s="107">
        <f t="shared" ca="1" si="127"/>
        <v>0</v>
      </c>
      <c r="U263" s="107">
        <f t="shared" ca="1" si="128"/>
        <v>0</v>
      </c>
      <c r="V263" s="107">
        <f t="shared" ca="1" si="129"/>
        <v>0</v>
      </c>
      <c r="W263" s="107">
        <f t="shared" ca="1" si="130"/>
        <v>0</v>
      </c>
      <c r="X263" s="107">
        <f t="shared" si="131"/>
        <v>0</v>
      </c>
      <c r="Y263" s="107">
        <f t="shared" si="132"/>
        <v>0</v>
      </c>
      <c r="Z263" s="87">
        <f t="shared" si="133"/>
        <v>1</v>
      </c>
      <c r="AA263" s="88">
        <f t="shared" si="134"/>
        <v>0</v>
      </c>
      <c r="AB263" s="107">
        <f t="array" ref="AB263">ROUNDDOWN(AVERAGE(IFERROR(LARGE((X$6:X262+Y$6:Y262)*Z$6:Z262*(G$6:G262=G263), SC_SSCalcYears),0))/(12*Z263),0)</f>
        <v>0</v>
      </c>
      <c r="AC263" s="211">
        <f t="shared" si="135"/>
        <v>1</v>
      </c>
      <c r="AD263" s="89">
        <f t="shared" si="136"/>
        <v>0</v>
      </c>
      <c r="AE263" s="141">
        <f t="shared" ca="1" si="137"/>
        <v>0</v>
      </c>
      <c r="AF263" s="106">
        <f t="shared" ca="1" si="138"/>
        <v>0</v>
      </c>
      <c r="AG263" s="110">
        <f t="shared" ca="1" si="139"/>
        <v>0</v>
      </c>
      <c r="AH263" s="617"/>
      <c r="AI263" s="617"/>
      <c r="AJ263" s="617"/>
      <c r="AK263" s="617"/>
      <c r="AL263" s="618"/>
      <c r="AM263" s="186">
        <f t="shared" ca="1" si="113"/>
        <v>0</v>
      </c>
      <c r="AN263" t="str">
        <f t="shared" ca="1" si="114"/>
        <v/>
      </c>
    </row>
    <row r="264" spans="2:40" x14ac:dyDescent="0.25">
      <c r="B264" s="65">
        <f t="shared" si="140"/>
        <v>2083</v>
      </c>
      <c r="C264" s="76" t="s">
        <v>741</v>
      </c>
      <c r="D264" s="146" t="str">
        <f t="shared" si="116"/>
        <v/>
      </c>
      <c r="E264" s="77">
        <f t="shared" si="115"/>
        <v>0</v>
      </c>
      <c r="F264" s="77">
        <f t="shared" si="121"/>
        <v>0</v>
      </c>
      <c r="G264" s="77">
        <f t="shared" si="120"/>
        <v>1</v>
      </c>
      <c r="H264" s="76">
        <f t="shared" si="117"/>
        <v>1</v>
      </c>
      <c r="I264" s="76">
        <f t="shared" si="118"/>
        <v>0</v>
      </c>
      <c r="J264" s="77">
        <f t="shared" si="122"/>
        <v>0</v>
      </c>
      <c r="K264" s="78">
        <f t="shared" ca="1" si="119"/>
        <v>0</v>
      </c>
      <c r="L264" s="470"/>
      <c r="M264" s="470"/>
      <c r="N264" s="470"/>
      <c r="O264" s="531"/>
      <c r="P264" s="70">
        <f t="shared" ca="1" si="123"/>
        <v>0</v>
      </c>
      <c r="Q264" s="70">
        <f t="shared" ca="1" si="124"/>
        <v>0</v>
      </c>
      <c r="R264" s="70">
        <f t="shared" ca="1" si="125"/>
        <v>0</v>
      </c>
      <c r="S264" s="70">
        <f t="shared" ca="1" si="126"/>
        <v>0</v>
      </c>
      <c r="T264" s="70">
        <f t="shared" ca="1" si="127"/>
        <v>0</v>
      </c>
      <c r="U264" s="70">
        <f t="shared" ca="1" si="128"/>
        <v>0</v>
      </c>
      <c r="V264" s="70">
        <f t="shared" ca="1" si="129"/>
        <v>0</v>
      </c>
      <c r="W264" s="70">
        <f t="shared" ca="1" si="130"/>
        <v>0</v>
      </c>
      <c r="X264" s="70">
        <f t="shared" si="131"/>
        <v>0</v>
      </c>
      <c r="Y264" s="70">
        <f t="shared" si="132"/>
        <v>0</v>
      </c>
      <c r="Z264" s="68">
        <f t="shared" si="133"/>
        <v>1</v>
      </c>
      <c r="AA264" s="84">
        <f t="shared" si="134"/>
        <v>0</v>
      </c>
      <c r="AB264" s="488">
        <f t="array" ref="AB264">ROUNDDOWN(AVERAGE(IFERROR(LARGE((X$6:X263+Y$6:Y263)*Z$6:Z263*(G$6:G263=G264), SC_SSCalcYears),0))/(12*Z264),0)</f>
        <v>0</v>
      </c>
      <c r="AC264" s="69">
        <f t="shared" si="135"/>
        <v>1</v>
      </c>
      <c r="AD264" s="85">
        <f t="shared" si="136"/>
        <v>0</v>
      </c>
      <c r="AE264" s="140">
        <f t="shared" ca="1" si="137"/>
        <v>0</v>
      </c>
      <c r="AF264" s="75">
        <f t="shared" ca="1" si="138"/>
        <v>0</v>
      </c>
      <c r="AG264" s="109">
        <f t="shared" ca="1" si="139"/>
        <v>0</v>
      </c>
      <c r="AH264" s="617">
        <f>SUMIFS($AE264:$AE265,SP_PensionPayout,"Lump sum",$E264:$E265,"&lt;&gt;0")</f>
        <v>0</v>
      </c>
      <c r="AI264" s="617">
        <f>SUMIFS($AE264:$AE265,SP_PensionPayout,"Annuity",$E264:$E265,"&lt;&gt;0")</f>
        <v>0</v>
      </c>
      <c r="AJ264" s="617">
        <f>IF(ISBLANK(INDEX(SP_SSPBFA,1)),0,IF($J264&lt;&gt;INDEX(SP_SSPBFA,1),AJ262,SP_AdditionalRI/INDEX(SC_EA_InflationWageIdx,EAIDX)))</f>
        <v>0</v>
      </c>
      <c r="AK264" s="617">
        <f ca="1">SUMPRODUCT(AF264:AF265, --(G264:G265&lt;&gt;0))</f>
        <v>0</v>
      </c>
      <c r="AL264" s="618">
        <f ca="1">SUMPRODUCT(AG264:AG265, --(E264:E265&lt;&gt;0))+AJ264</f>
        <v>0</v>
      </c>
      <c r="AM264" s="186">
        <f t="shared" ca="1" si="113"/>
        <v>0</v>
      </c>
      <c r="AN264" t="str">
        <f t="shared" ca="1" si="114"/>
        <v/>
      </c>
    </row>
    <row r="265" spans="2:40" x14ac:dyDescent="0.25">
      <c r="B265" s="86">
        <f t="shared" si="140"/>
        <v>2083</v>
      </c>
      <c r="C265" s="80" t="s">
        <v>741</v>
      </c>
      <c r="D265" s="147" t="str">
        <f t="shared" si="116"/>
        <v/>
      </c>
      <c r="E265" s="81">
        <f t="shared" si="115"/>
        <v>0</v>
      </c>
      <c r="F265" s="82">
        <f t="shared" si="121"/>
        <v>0</v>
      </c>
      <c r="G265" s="81">
        <f t="shared" si="120"/>
        <v>2</v>
      </c>
      <c r="H265" s="82">
        <f t="shared" si="117"/>
        <v>-1</v>
      </c>
      <c r="I265" s="82">
        <f t="shared" si="118"/>
        <v>0</v>
      </c>
      <c r="J265" s="81">
        <f t="shared" si="122"/>
        <v>0</v>
      </c>
      <c r="K265" s="83">
        <f t="shared" ca="1" si="119"/>
        <v>0</v>
      </c>
      <c r="L265" s="470"/>
      <c r="M265" s="470"/>
      <c r="N265" s="470"/>
      <c r="O265" s="531"/>
      <c r="P265" s="107">
        <f t="shared" ca="1" si="123"/>
        <v>0</v>
      </c>
      <c r="Q265" s="107">
        <f t="shared" ca="1" si="124"/>
        <v>0</v>
      </c>
      <c r="R265" s="107">
        <f t="shared" ca="1" si="125"/>
        <v>0</v>
      </c>
      <c r="S265" s="107">
        <f t="shared" ca="1" si="126"/>
        <v>0</v>
      </c>
      <c r="T265" s="107">
        <f t="shared" ca="1" si="127"/>
        <v>0</v>
      </c>
      <c r="U265" s="107">
        <f t="shared" ca="1" si="128"/>
        <v>0</v>
      </c>
      <c r="V265" s="107">
        <f t="shared" ca="1" si="129"/>
        <v>0</v>
      </c>
      <c r="W265" s="107">
        <f t="shared" ca="1" si="130"/>
        <v>0</v>
      </c>
      <c r="X265" s="107">
        <f t="shared" si="131"/>
        <v>0</v>
      </c>
      <c r="Y265" s="107">
        <f t="shared" si="132"/>
        <v>0</v>
      </c>
      <c r="Z265" s="87">
        <f t="shared" si="133"/>
        <v>1</v>
      </c>
      <c r="AA265" s="88">
        <f t="shared" si="134"/>
        <v>0</v>
      </c>
      <c r="AB265" s="107">
        <f t="array" ref="AB265">ROUNDDOWN(AVERAGE(IFERROR(LARGE((X$6:X264+Y$6:Y264)*Z$6:Z264*(G$6:G264=G265), SC_SSCalcYears),0))/(12*Z265),0)</f>
        <v>0</v>
      </c>
      <c r="AC265" s="211">
        <f t="shared" si="135"/>
        <v>1</v>
      </c>
      <c r="AD265" s="89">
        <f t="shared" si="136"/>
        <v>0</v>
      </c>
      <c r="AE265" s="141">
        <f t="shared" ca="1" si="137"/>
        <v>0</v>
      </c>
      <c r="AF265" s="106">
        <f t="shared" ca="1" si="138"/>
        <v>0</v>
      </c>
      <c r="AG265" s="110">
        <f t="shared" ca="1" si="139"/>
        <v>0</v>
      </c>
      <c r="AH265" s="617"/>
      <c r="AI265" s="617"/>
      <c r="AJ265" s="617"/>
      <c r="AK265" s="617"/>
      <c r="AL265" s="618"/>
      <c r="AM265" s="186">
        <f t="shared" ca="1" si="113"/>
        <v>0</v>
      </c>
      <c r="AN265" t="str">
        <f t="shared" ca="1" si="114"/>
        <v/>
      </c>
    </row>
    <row r="266" spans="2:40" x14ac:dyDescent="0.25">
      <c r="B266" s="65">
        <f t="shared" si="140"/>
        <v>2084</v>
      </c>
      <c r="C266" s="76" t="s">
        <v>741</v>
      </c>
      <c r="D266" s="146" t="str">
        <f t="shared" si="116"/>
        <v/>
      </c>
      <c r="E266" s="77">
        <f t="shared" si="115"/>
        <v>0</v>
      </c>
      <c r="F266" s="77">
        <f t="shared" si="121"/>
        <v>0</v>
      </c>
      <c r="G266" s="77">
        <f t="shared" si="120"/>
        <v>1</v>
      </c>
      <c r="H266" s="76">
        <f t="shared" si="117"/>
        <v>1</v>
      </c>
      <c r="I266" s="76">
        <f t="shared" si="118"/>
        <v>0</v>
      </c>
      <c r="J266" s="77">
        <f t="shared" si="122"/>
        <v>0</v>
      </c>
      <c r="K266" s="78">
        <f t="shared" ca="1" si="119"/>
        <v>0</v>
      </c>
      <c r="L266" s="470"/>
      <c r="M266" s="470"/>
      <c r="N266" s="470"/>
      <c r="O266" s="531"/>
      <c r="P266" s="70">
        <f t="shared" ca="1" si="123"/>
        <v>0</v>
      </c>
      <c r="Q266" s="70">
        <f t="shared" ca="1" si="124"/>
        <v>0</v>
      </c>
      <c r="R266" s="70">
        <f t="shared" ca="1" si="125"/>
        <v>0</v>
      </c>
      <c r="S266" s="70">
        <f t="shared" ca="1" si="126"/>
        <v>0</v>
      </c>
      <c r="T266" s="70">
        <f t="shared" ca="1" si="127"/>
        <v>0</v>
      </c>
      <c r="U266" s="70">
        <f t="shared" ca="1" si="128"/>
        <v>0</v>
      </c>
      <c r="V266" s="70">
        <f t="shared" ca="1" si="129"/>
        <v>0</v>
      </c>
      <c r="W266" s="70">
        <f t="shared" ca="1" si="130"/>
        <v>0</v>
      </c>
      <c r="X266" s="70">
        <f t="shared" si="131"/>
        <v>0</v>
      </c>
      <c r="Y266" s="70">
        <f t="shared" si="132"/>
        <v>0</v>
      </c>
      <c r="Z266" s="68">
        <f t="shared" si="133"/>
        <v>1</v>
      </c>
      <c r="AA266" s="84">
        <f t="shared" si="134"/>
        <v>0</v>
      </c>
      <c r="AB266" s="488">
        <f t="array" ref="AB266">ROUNDDOWN(AVERAGE(IFERROR(LARGE((X$6:X265+Y$6:Y265)*Z$6:Z265*(G$6:G265=G266), SC_SSCalcYears),0))/(12*Z266),0)</f>
        <v>0</v>
      </c>
      <c r="AC266" s="69">
        <f t="shared" si="135"/>
        <v>1</v>
      </c>
      <c r="AD266" s="85">
        <f t="shared" si="136"/>
        <v>0</v>
      </c>
      <c r="AE266" s="140">
        <f t="shared" ca="1" si="137"/>
        <v>0</v>
      </c>
      <c r="AF266" s="75">
        <f t="shared" ca="1" si="138"/>
        <v>0</v>
      </c>
      <c r="AG266" s="109">
        <f t="shared" ca="1" si="139"/>
        <v>0</v>
      </c>
      <c r="AH266" s="617">
        <f>SUMIFS($AE266:$AE267,SP_PensionPayout,"Lump sum",$E266:$E267,"&lt;&gt;0")</f>
        <v>0</v>
      </c>
      <c r="AI266" s="617">
        <f>SUMIFS($AE266:$AE267,SP_PensionPayout,"Annuity",$E266:$E267,"&lt;&gt;0")</f>
        <v>0</v>
      </c>
      <c r="AJ266" s="617">
        <f>IF(ISBLANK(INDEX(SP_SSPBFA,1)),0,IF($J266&lt;&gt;INDEX(SP_SSPBFA,1),AJ264,SP_AdditionalRI/INDEX(SC_EA_InflationWageIdx,EAIDX)))</f>
        <v>0</v>
      </c>
      <c r="AK266" s="617">
        <f ca="1">SUMPRODUCT(AF266:AF267, --(G266:G267&lt;&gt;0))</f>
        <v>0</v>
      </c>
      <c r="AL266" s="618">
        <f ca="1">SUMPRODUCT(AG266:AG267, --(E266:E267&lt;&gt;0))+AJ266</f>
        <v>0</v>
      </c>
      <c r="AM266" s="186">
        <f t="shared" ca="1" si="113"/>
        <v>0</v>
      </c>
      <c r="AN266" t="str">
        <f t="shared" ca="1" si="114"/>
        <v/>
      </c>
    </row>
    <row r="267" spans="2:40" x14ac:dyDescent="0.25">
      <c r="B267" s="86">
        <f t="shared" si="140"/>
        <v>2084</v>
      </c>
      <c r="C267" s="80" t="s">
        <v>741</v>
      </c>
      <c r="D267" s="147" t="str">
        <f t="shared" si="116"/>
        <v/>
      </c>
      <c r="E267" s="81">
        <f t="shared" si="115"/>
        <v>0</v>
      </c>
      <c r="F267" s="82">
        <f t="shared" si="121"/>
        <v>0</v>
      </c>
      <c r="G267" s="81">
        <f t="shared" si="120"/>
        <v>2</v>
      </c>
      <c r="H267" s="82">
        <f t="shared" si="117"/>
        <v>-1</v>
      </c>
      <c r="I267" s="82">
        <f t="shared" si="118"/>
        <v>0</v>
      </c>
      <c r="J267" s="81">
        <f t="shared" si="122"/>
        <v>0</v>
      </c>
      <c r="K267" s="83">
        <f t="shared" ca="1" si="119"/>
        <v>0</v>
      </c>
      <c r="L267" s="470"/>
      <c r="M267" s="470"/>
      <c r="N267" s="470"/>
      <c r="O267" s="531"/>
      <c r="P267" s="107">
        <f t="shared" ca="1" si="123"/>
        <v>0</v>
      </c>
      <c r="Q267" s="107">
        <f t="shared" ca="1" si="124"/>
        <v>0</v>
      </c>
      <c r="R267" s="107">
        <f t="shared" ca="1" si="125"/>
        <v>0</v>
      </c>
      <c r="S267" s="107">
        <f t="shared" ca="1" si="126"/>
        <v>0</v>
      </c>
      <c r="T267" s="107">
        <f t="shared" ca="1" si="127"/>
        <v>0</v>
      </c>
      <c r="U267" s="107">
        <f t="shared" ca="1" si="128"/>
        <v>0</v>
      </c>
      <c r="V267" s="107">
        <f t="shared" ca="1" si="129"/>
        <v>0</v>
      </c>
      <c r="W267" s="107">
        <f t="shared" ca="1" si="130"/>
        <v>0</v>
      </c>
      <c r="X267" s="107">
        <f t="shared" si="131"/>
        <v>0</v>
      </c>
      <c r="Y267" s="107">
        <f t="shared" si="132"/>
        <v>0</v>
      </c>
      <c r="Z267" s="87">
        <f t="shared" si="133"/>
        <v>1</v>
      </c>
      <c r="AA267" s="88">
        <f t="shared" si="134"/>
        <v>0</v>
      </c>
      <c r="AB267" s="107">
        <f t="array" ref="AB267">ROUNDDOWN(AVERAGE(IFERROR(LARGE((X$6:X266+Y$6:Y266)*Z$6:Z266*(G$6:G266=G267), SC_SSCalcYears),0))/(12*Z267),0)</f>
        <v>0</v>
      </c>
      <c r="AC267" s="211">
        <f t="shared" si="135"/>
        <v>1</v>
      </c>
      <c r="AD267" s="89">
        <f t="shared" si="136"/>
        <v>0</v>
      </c>
      <c r="AE267" s="141">
        <f t="shared" ca="1" si="137"/>
        <v>0</v>
      </c>
      <c r="AF267" s="106">
        <f t="shared" ca="1" si="138"/>
        <v>0</v>
      </c>
      <c r="AG267" s="110">
        <f t="shared" ca="1" si="139"/>
        <v>0</v>
      </c>
      <c r="AH267" s="617"/>
      <c r="AI267" s="617"/>
      <c r="AJ267" s="617"/>
      <c r="AK267" s="617"/>
      <c r="AL267" s="618"/>
      <c r="AM267" s="186">
        <f t="shared" ref="AM267:AM299" ca="1" si="141">IFERROR(IF(OR(NOT(ISNUMBER($P267)),$P267&lt;0,NOT(ISNUMBER($Q267)),$Q267&lt;0,NOT(ISNUMBER($R267)),$R267&lt;0,NOT(ISNUMBER($S267)),$S267&lt;0),202,0),203)</f>
        <v>0</v>
      </c>
      <c r="AN267" t="str">
        <f t="shared" ref="AN267:AN289" ca="1" si="142">IFERROR(VLOOKUP(AM267,IV_CodeTable,2,FALSE),"")</f>
        <v/>
      </c>
    </row>
    <row r="268" spans="2:40" x14ac:dyDescent="0.25">
      <c r="B268" s="65">
        <f t="shared" si="140"/>
        <v>2085</v>
      </c>
      <c r="C268" s="76" t="s">
        <v>741</v>
      </c>
      <c r="D268" s="146" t="str">
        <f t="shared" si="116"/>
        <v/>
      </c>
      <c r="E268" s="77">
        <f t="shared" si="115"/>
        <v>0</v>
      </c>
      <c r="F268" s="77">
        <f t="shared" si="121"/>
        <v>0</v>
      </c>
      <c r="G268" s="77">
        <f t="shared" si="120"/>
        <v>1</v>
      </c>
      <c r="H268" s="76">
        <f t="shared" si="117"/>
        <v>1</v>
      </c>
      <c r="I268" s="76">
        <f t="shared" si="118"/>
        <v>0</v>
      </c>
      <c r="J268" s="77">
        <f t="shared" si="122"/>
        <v>0</v>
      </c>
      <c r="K268" s="78">
        <f t="shared" ca="1" si="119"/>
        <v>0</v>
      </c>
      <c r="L268" s="470"/>
      <c r="M268" s="470"/>
      <c r="N268" s="470"/>
      <c r="O268" s="531"/>
      <c r="P268" s="70">
        <f t="shared" ca="1" si="123"/>
        <v>0</v>
      </c>
      <c r="Q268" s="70">
        <f t="shared" ca="1" si="124"/>
        <v>0</v>
      </c>
      <c r="R268" s="70">
        <f t="shared" ca="1" si="125"/>
        <v>0</v>
      </c>
      <c r="S268" s="70">
        <f t="shared" ca="1" si="126"/>
        <v>0</v>
      </c>
      <c r="T268" s="70">
        <f t="shared" ca="1" si="127"/>
        <v>0</v>
      </c>
      <c r="U268" s="70">
        <f t="shared" ca="1" si="128"/>
        <v>0</v>
      </c>
      <c r="V268" s="70">
        <f t="shared" ca="1" si="129"/>
        <v>0</v>
      </c>
      <c r="W268" s="70">
        <f t="shared" ca="1" si="130"/>
        <v>0</v>
      </c>
      <c r="X268" s="70">
        <f t="shared" si="131"/>
        <v>0</v>
      </c>
      <c r="Y268" s="70">
        <f t="shared" si="132"/>
        <v>0</v>
      </c>
      <c r="Z268" s="68">
        <f t="shared" si="133"/>
        <v>1</v>
      </c>
      <c r="AA268" s="84">
        <f t="shared" si="134"/>
        <v>0</v>
      </c>
      <c r="AB268" s="488">
        <f t="array" ref="AB268">ROUNDDOWN(AVERAGE(IFERROR(LARGE((X$6:X267+Y$6:Y267)*Z$6:Z267*(G$6:G267=G268), SC_SSCalcYears),0))/(12*Z268),0)</f>
        <v>0</v>
      </c>
      <c r="AC268" s="69">
        <f t="shared" si="135"/>
        <v>1</v>
      </c>
      <c r="AD268" s="85">
        <f t="shared" si="136"/>
        <v>0</v>
      </c>
      <c r="AE268" s="140">
        <f t="shared" ca="1" si="137"/>
        <v>0</v>
      </c>
      <c r="AF268" s="75">
        <f t="shared" ca="1" si="138"/>
        <v>0</v>
      </c>
      <c r="AG268" s="109">
        <f t="shared" ca="1" si="139"/>
        <v>0</v>
      </c>
      <c r="AH268" s="617">
        <f>SUMIFS($AE268:$AE269,SP_PensionPayout,"Lump sum",$E268:$E269,"&lt;&gt;0")</f>
        <v>0</v>
      </c>
      <c r="AI268" s="617">
        <f>SUMIFS($AE268:$AE269,SP_PensionPayout,"Annuity",$E268:$E269,"&lt;&gt;0")</f>
        <v>0</v>
      </c>
      <c r="AJ268" s="617">
        <f>IF(ISBLANK(INDEX(SP_SSPBFA,1)),0,IF($J268&lt;&gt;INDEX(SP_SSPBFA,1),AJ266,SP_AdditionalRI/INDEX(SC_EA_InflationWageIdx,EAIDX)))</f>
        <v>0</v>
      </c>
      <c r="AK268" s="617">
        <f ca="1">SUMPRODUCT(AF268:AF269, --(G268:G269&lt;&gt;0))</f>
        <v>0</v>
      </c>
      <c r="AL268" s="618">
        <f ca="1">SUMPRODUCT(AG268:AG269, --(E268:E269&lt;&gt;0))+AJ268</f>
        <v>0</v>
      </c>
      <c r="AM268" s="186">
        <f t="shared" ca="1" si="141"/>
        <v>0</v>
      </c>
      <c r="AN268" t="str">
        <f t="shared" ca="1" si="142"/>
        <v/>
      </c>
    </row>
    <row r="269" spans="2:40" x14ac:dyDescent="0.25">
      <c r="B269" s="86">
        <f t="shared" si="140"/>
        <v>2085</v>
      </c>
      <c r="C269" s="80" t="s">
        <v>741</v>
      </c>
      <c r="D269" s="147" t="str">
        <f t="shared" si="116"/>
        <v/>
      </c>
      <c r="E269" s="81">
        <f t="shared" si="115"/>
        <v>0</v>
      </c>
      <c r="F269" s="82">
        <f t="shared" si="121"/>
        <v>0</v>
      </c>
      <c r="G269" s="81">
        <f t="shared" si="120"/>
        <v>2</v>
      </c>
      <c r="H269" s="82">
        <f t="shared" si="117"/>
        <v>-1</v>
      </c>
      <c r="I269" s="82">
        <f t="shared" si="118"/>
        <v>0</v>
      </c>
      <c r="J269" s="81">
        <f t="shared" si="122"/>
        <v>0</v>
      </c>
      <c r="K269" s="83">
        <f t="shared" ca="1" si="119"/>
        <v>0</v>
      </c>
      <c r="L269" s="470"/>
      <c r="M269" s="470"/>
      <c r="N269" s="470"/>
      <c r="O269" s="531"/>
      <c r="P269" s="107">
        <f t="shared" ca="1" si="123"/>
        <v>0</v>
      </c>
      <c r="Q269" s="107">
        <f t="shared" ca="1" si="124"/>
        <v>0</v>
      </c>
      <c r="R269" s="107">
        <f t="shared" ca="1" si="125"/>
        <v>0</v>
      </c>
      <c r="S269" s="107">
        <f t="shared" ca="1" si="126"/>
        <v>0</v>
      </c>
      <c r="T269" s="107">
        <f t="shared" ca="1" si="127"/>
        <v>0</v>
      </c>
      <c r="U269" s="107">
        <f t="shared" ca="1" si="128"/>
        <v>0</v>
      </c>
      <c r="V269" s="107">
        <f t="shared" ca="1" si="129"/>
        <v>0</v>
      </c>
      <c r="W269" s="107">
        <f t="shared" ca="1" si="130"/>
        <v>0</v>
      </c>
      <c r="X269" s="107">
        <f t="shared" si="131"/>
        <v>0</v>
      </c>
      <c r="Y269" s="107">
        <f t="shared" si="132"/>
        <v>0</v>
      </c>
      <c r="Z269" s="87">
        <f t="shared" si="133"/>
        <v>1</v>
      </c>
      <c r="AA269" s="88">
        <f t="shared" si="134"/>
        <v>0</v>
      </c>
      <c r="AB269" s="107">
        <f t="array" ref="AB269">ROUNDDOWN(AVERAGE(IFERROR(LARGE((X$6:X268+Y$6:Y268)*Z$6:Z268*(G$6:G268=G269), SC_SSCalcYears),0))/(12*Z269),0)</f>
        <v>0</v>
      </c>
      <c r="AC269" s="211">
        <f t="shared" si="135"/>
        <v>1</v>
      </c>
      <c r="AD269" s="89">
        <f t="shared" si="136"/>
        <v>0</v>
      </c>
      <c r="AE269" s="141">
        <f t="shared" ca="1" si="137"/>
        <v>0</v>
      </c>
      <c r="AF269" s="106">
        <f t="shared" ca="1" si="138"/>
        <v>0</v>
      </c>
      <c r="AG269" s="110">
        <f t="shared" ca="1" si="139"/>
        <v>0</v>
      </c>
      <c r="AH269" s="617"/>
      <c r="AI269" s="617"/>
      <c r="AJ269" s="617"/>
      <c r="AK269" s="617"/>
      <c r="AL269" s="618"/>
      <c r="AM269" s="186">
        <f t="shared" ca="1" si="141"/>
        <v>0</v>
      </c>
      <c r="AN269" t="str">
        <f t="shared" ca="1" si="142"/>
        <v/>
      </c>
    </row>
    <row r="270" spans="2:40" x14ac:dyDescent="0.25">
      <c r="B270" s="65">
        <f t="shared" si="140"/>
        <v>2086</v>
      </c>
      <c r="C270" s="76" t="s">
        <v>741</v>
      </c>
      <c r="D270" s="146" t="str">
        <f t="shared" si="116"/>
        <v/>
      </c>
      <c r="E270" s="77">
        <f t="shared" si="115"/>
        <v>0</v>
      </c>
      <c r="F270" s="77">
        <f t="shared" si="121"/>
        <v>0</v>
      </c>
      <c r="G270" s="77">
        <f t="shared" si="120"/>
        <v>1</v>
      </c>
      <c r="H270" s="76">
        <f t="shared" si="117"/>
        <v>1</v>
      </c>
      <c r="I270" s="76">
        <f t="shared" si="118"/>
        <v>0</v>
      </c>
      <c r="J270" s="77">
        <f t="shared" si="122"/>
        <v>0</v>
      </c>
      <c r="K270" s="78">
        <f t="shared" ca="1" si="119"/>
        <v>0</v>
      </c>
      <c r="L270" s="470"/>
      <c r="M270" s="470"/>
      <c r="N270" s="470"/>
      <c r="O270" s="531"/>
      <c r="P270" s="70">
        <f t="shared" ca="1" si="123"/>
        <v>0</v>
      </c>
      <c r="Q270" s="70">
        <f t="shared" ca="1" si="124"/>
        <v>0</v>
      </c>
      <c r="R270" s="70">
        <f t="shared" ca="1" si="125"/>
        <v>0</v>
      </c>
      <c r="S270" s="70">
        <f t="shared" ca="1" si="126"/>
        <v>0</v>
      </c>
      <c r="T270" s="70">
        <f t="shared" ca="1" si="127"/>
        <v>0</v>
      </c>
      <c r="U270" s="70">
        <f t="shared" ca="1" si="128"/>
        <v>0</v>
      </c>
      <c r="V270" s="70">
        <f t="shared" ca="1" si="129"/>
        <v>0</v>
      </c>
      <c r="W270" s="70">
        <f t="shared" ca="1" si="130"/>
        <v>0</v>
      </c>
      <c r="X270" s="70">
        <f t="shared" si="131"/>
        <v>0</v>
      </c>
      <c r="Y270" s="70">
        <f t="shared" si="132"/>
        <v>0</v>
      </c>
      <c r="Z270" s="68">
        <f t="shared" si="133"/>
        <v>1</v>
      </c>
      <c r="AA270" s="84">
        <f t="shared" si="134"/>
        <v>0</v>
      </c>
      <c r="AB270" s="488">
        <f t="array" ref="AB270">ROUNDDOWN(AVERAGE(IFERROR(LARGE((X$6:X269+Y$6:Y269)*Z$6:Z269*(G$6:G269=G270), SC_SSCalcYears),0))/(12*Z270),0)</f>
        <v>0</v>
      </c>
      <c r="AC270" s="69">
        <f t="shared" si="135"/>
        <v>1</v>
      </c>
      <c r="AD270" s="85">
        <f t="shared" si="136"/>
        <v>0</v>
      </c>
      <c r="AE270" s="140">
        <f t="shared" ca="1" si="137"/>
        <v>0</v>
      </c>
      <c r="AF270" s="75">
        <f t="shared" ca="1" si="138"/>
        <v>0</v>
      </c>
      <c r="AG270" s="109">
        <f t="shared" ca="1" si="139"/>
        <v>0</v>
      </c>
      <c r="AH270" s="617">
        <f>SUMIFS($AE270:$AE271,SP_PensionPayout,"Lump sum",$E270:$E271,"&lt;&gt;0")</f>
        <v>0</v>
      </c>
      <c r="AI270" s="617">
        <f>SUMIFS($AE270:$AE271,SP_PensionPayout,"Annuity",$E270:$E271,"&lt;&gt;0")</f>
        <v>0</v>
      </c>
      <c r="AJ270" s="617">
        <f>IF(ISBLANK(INDEX(SP_SSPBFA,1)),0,IF($J270&lt;&gt;INDEX(SP_SSPBFA,1),AJ268,SP_AdditionalRI/INDEX(SC_EA_InflationWageIdx,EAIDX)))</f>
        <v>0</v>
      </c>
      <c r="AK270" s="617">
        <f ca="1">SUMPRODUCT(AF270:AF271, --(G270:G271&lt;&gt;0))</f>
        <v>0</v>
      </c>
      <c r="AL270" s="618">
        <f ca="1">SUMPRODUCT(AG270:AG271, --(E270:E271&lt;&gt;0))+AJ270</f>
        <v>0</v>
      </c>
      <c r="AM270" s="186">
        <f t="shared" ca="1" si="141"/>
        <v>0</v>
      </c>
      <c r="AN270" t="str">
        <f t="shared" ca="1" si="142"/>
        <v/>
      </c>
    </row>
    <row r="271" spans="2:40" x14ac:dyDescent="0.25">
      <c r="B271" s="86">
        <f t="shared" si="140"/>
        <v>2086</v>
      </c>
      <c r="C271" s="80" t="s">
        <v>741</v>
      </c>
      <c r="D271" s="147" t="str">
        <f t="shared" si="116"/>
        <v/>
      </c>
      <c r="E271" s="81">
        <f t="shared" si="115"/>
        <v>0</v>
      </c>
      <c r="F271" s="82">
        <f t="shared" si="121"/>
        <v>0</v>
      </c>
      <c r="G271" s="81">
        <f t="shared" si="120"/>
        <v>2</v>
      </c>
      <c r="H271" s="82">
        <f t="shared" si="117"/>
        <v>-1</v>
      </c>
      <c r="I271" s="82">
        <f t="shared" si="118"/>
        <v>0</v>
      </c>
      <c r="J271" s="81">
        <f t="shared" si="122"/>
        <v>0</v>
      </c>
      <c r="K271" s="83">
        <f t="shared" ca="1" si="119"/>
        <v>0</v>
      </c>
      <c r="L271" s="470"/>
      <c r="M271" s="470"/>
      <c r="N271" s="470"/>
      <c r="O271" s="531"/>
      <c r="P271" s="107">
        <f t="shared" ca="1" si="123"/>
        <v>0</v>
      </c>
      <c r="Q271" s="107">
        <f t="shared" ca="1" si="124"/>
        <v>0</v>
      </c>
      <c r="R271" s="107">
        <f t="shared" ca="1" si="125"/>
        <v>0</v>
      </c>
      <c r="S271" s="107">
        <f t="shared" ca="1" si="126"/>
        <v>0</v>
      </c>
      <c r="T271" s="107">
        <f t="shared" ca="1" si="127"/>
        <v>0</v>
      </c>
      <c r="U271" s="107">
        <f t="shared" ca="1" si="128"/>
        <v>0</v>
      </c>
      <c r="V271" s="107">
        <f t="shared" ca="1" si="129"/>
        <v>0</v>
      </c>
      <c r="W271" s="107">
        <f t="shared" ca="1" si="130"/>
        <v>0</v>
      </c>
      <c r="X271" s="107">
        <f t="shared" si="131"/>
        <v>0</v>
      </c>
      <c r="Y271" s="107">
        <f t="shared" si="132"/>
        <v>0</v>
      </c>
      <c r="Z271" s="87">
        <f t="shared" si="133"/>
        <v>1</v>
      </c>
      <c r="AA271" s="88">
        <f t="shared" si="134"/>
        <v>0</v>
      </c>
      <c r="AB271" s="107">
        <f t="array" ref="AB271">ROUNDDOWN(AVERAGE(IFERROR(LARGE((X$6:X270+Y$6:Y270)*Z$6:Z270*(G$6:G270=G271), SC_SSCalcYears),0))/(12*Z271),0)</f>
        <v>0</v>
      </c>
      <c r="AC271" s="211">
        <f t="shared" si="135"/>
        <v>1</v>
      </c>
      <c r="AD271" s="89">
        <f t="shared" si="136"/>
        <v>0</v>
      </c>
      <c r="AE271" s="141">
        <f t="shared" ca="1" si="137"/>
        <v>0</v>
      </c>
      <c r="AF271" s="106">
        <f t="shared" ca="1" si="138"/>
        <v>0</v>
      </c>
      <c r="AG271" s="110">
        <f t="shared" ca="1" si="139"/>
        <v>0</v>
      </c>
      <c r="AH271" s="617"/>
      <c r="AI271" s="617"/>
      <c r="AJ271" s="617"/>
      <c r="AK271" s="617"/>
      <c r="AL271" s="618"/>
      <c r="AM271" s="186">
        <f t="shared" ca="1" si="141"/>
        <v>0</v>
      </c>
      <c r="AN271" t="str">
        <f t="shared" ca="1" si="142"/>
        <v/>
      </c>
    </row>
    <row r="272" spans="2:40" x14ac:dyDescent="0.25">
      <c r="B272" s="65">
        <f t="shared" si="140"/>
        <v>2087</v>
      </c>
      <c r="C272" s="76" t="s">
        <v>741</v>
      </c>
      <c r="D272" s="146" t="str">
        <f t="shared" si="116"/>
        <v/>
      </c>
      <c r="E272" s="77">
        <f t="shared" si="115"/>
        <v>0</v>
      </c>
      <c r="F272" s="77">
        <f t="shared" si="121"/>
        <v>0</v>
      </c>
      <c r="G272" s="77">
        <f t="shared" si="120"/>
        <v>1</v>
      </c>
      <c r="H272" s="76">
        <f t="shared" si="117"/>
        <v>1</v>
      </c>
      <c r="I272" s="76">
        <f t="shared" si="118"/>
        <v>0</v>
      </c>
      <c r="J272" s="77">
        <f t="shared" si="122"/>
        <v>0</v>
      </c>
      <c r="K272" s="78">
        <f t="shared" ca="1" si="119"/>
        <v>0</v>
      </c>
      <c r="L272" s="470"/>
      <c r="M272" s="470"/>
      <c r="N272" s="470"/>
      <c r="O272" s="531"/>
      <c r="P272" s="70">
        <f t="shared" ca="1" si="123"/>
        <v>0</v>
      </c>
      <c r="Q272" s="70">
        <f t="shared" ca="1" si="124"/>
        <v>0</v>
      </c>
      <c r="R272" s="70">
        <f t="shared" ca="1" si="125"/>
        <v>0</v>
      </c>
      <c r="S272" s="70">
        <f t="shared" ca="1" si="126"/>
        <v>0</v>
      </c>
      <c r="T272" s="70">
        <f t="shared" ca="1" si="127"/>
        <v>0</v>
      </c>
      <c r="U272" s="70">
        <f t="shared" ca="1" si="128"/>
        <v>0</v>
      </c>
      <c r="V272" s="70">
        <f t="shared" ca="1" si="129"/>
        <v>0</v>
      </c>
      <c r="W272" s="70">
        <f t="shared" ca="1" si="130"/>
        <v>0</v>
      </c>
      <c r="X272" s="70">
        <f t="shared" si="131"/>
        <v>0</v>
      </c>
      <c r="Y272" s="70">
        <f t="shared" si="132"/>
        <v>0</v>
      </c>
      <c r="Z272" s="68">
        <f t="shared" si="133"/>
        <v>1</v>
      </c>
      <c r="AA272" s="84">
        <f t="shared" si="134"/>
        <v>0</v>
      </c>
      <c r="AB272" s="488">
        <f t="array" ref="AB272">ROUNDDOWN(AVERAGE(IFERROR(LARGE((X$6:X271+Y$6:Y271)*Z$6:Z271*(G$6:G271=G272), SC_SSCalcYears),0))/(12*Z272),0)</f>
        <v>0</v>
      </c>
      <c r="AC272" s="69">
        <f t="shared" si="135"/>
        <v>1</v>
      </c>
      <c r="AD272" s="85">
        <f t="shared" si="136"/>
        <v>0</v>
      </c>
      <c r="AE272" s="140">
        <f t="shared" ca="1" si="137"/>
        <v>0</v>
      </c>
      <c r="AF272" s="75">
        <f t="shared" ca="1" si="138"/>
        <v>0</v>
      </c>
      <c r="AG272" s="109">
        <f t="shared" ca="1" si="139"/>
        <v>0</v>
      </c>
      <c r="AH272" s="617">
        <f>SUMIFS($AE272:$AE273,SP_PensionPayout,"Lump sum",$E272:$E273,"&lt;&gt;0")</f>
        <v>0</v>
      </c>
      <c r="AI272" s="617">
        <f>SUMIFS($AE272:$AE273,SP_PensionPayout,"Annuity",$E272:$E273,"&lt;&gt;0")</f>
        <v>0</v>
      </c>
      <c r="AJ272" s="617">
        <f>IF(ISBLANK(INDEX(SP_SSPBFA,1)),0,IF($J272&lt;&gt;INDEX(SP_SSPBFA,1),AJ270,SP_AdditionalRI/INDEX(SC_EA_InflationWageIdx,EAIDX)))</f>
        <v>0</v>
      </c>
      <c r="AK272" s="617">
        <f ca="1">SUMPRODUCT(AF272:AF273, --(G272:G273&lt;&gt;0))</f>
        <v>0</v>
      </c>
      <c r="AL272" s="618">
        <f ca="1">SUMPRODUCT(AG272:AG273, --(E272:E273&lt;&gt;0))+AJ272</f>
        <v>0</v>
      </c>
      <c r="AM272" s="186">
        <f t="shared" ca="1" si="141"/>
        <v>0</v>
      </c>
      <c r="AN272" t="str">
        <f t="shared" ca="1" si="142"/>
        <v/>
      </c>
    </row>
    <row r="273" spans="2:40" x14ac:dyDescent="0.25">
      <c r="B273" s="86">
        <f t="shared" si="140"/>
        <v>2087</v>
      </c>
      <c r="C273" s="80" t="s">
        <v>741</v>
      </c>
      <c r="D273" s="147" t="str">
        <f t="shared" si="116"/>
        <v/>
      </c>
      <c r="E273" s="81">
        <f t="shared" si="115"/>
        <v>0</v>
      </c>
      <c r="F273" s="82">
        <f t="shared" si="121"/>
        <v>0</v>
      </c>
      <c r="G273" s="81">
        <f t="shared" si="120"/>
        <v>2</v>
      </c>
      <c r="H273" s="82">
        <f t="shared" si="117"/>
        <v>-1</v>
      </c>
      <c r="I273" s="82">
        <f t="shared" si="118"/>
        <v>0</v>
      </c>
      <c r="J273" s="81">
        <f t="shared" si="122"/>
        <v>0</v>
      </c>
      <c r="K273" s="83">
        <f t="shared" ca="1" si="119"/>
        <v>0</v>
      </c>
      <c r="L273" s="470"/>
      <c r="M273" s="470"/>
      <c r="N273" s="470"/>
      <c r="O273" s="531"/>
      <c r="P273" s="107">
        <f t="shared" ca="1" si="123"/>
        <v>0</v>
      </c>
      <c r="Q273" s="107">
        <f t="shared" ca="1" si="124"/>
        <v>0</v>
      </c>
      <c r="R273" s="107">
        <f t="shared" ca="1" si="125"/>
        <v>0</v>
      </c>
      <c r="S273" s="107">
        <f t="shared" ca="1" si="126"/>
        <v>0</v>
      </c>
      <c r="T273" s="107">
        <f t="shared" ca="1" si="127"/>
        <v>0</v>
      </c>
      <c r="U273" s="107">
        <f t="shared" ca="1" si="128"/>
        <v>0</v>
      </c>
      <c r="V273" s="107">
        <f t="shared" ca="1" si="129"/>
        <v>0</v>
      </c>
      <c r="W273" s="107">
        <f t="shared" ca="1" si="130"/>
        <v>0</v>
      </c>
      <c r="X273" s="107">
        <f t="shared" si="131"/>
        <v>0</v>
      </c>
      <c r="Y273" s="107">
        <f t="shared" si="132"/>
        <v>0</v>
      </c>
      <c r="Z273" s="87">
        <f t="shared" si="133"/>
        <v>1</v>
      </c>
      <c r="AA273" s="88">
        <f t="shared" si="134"/>
        <v>0</v>
      </c>
      <c r="AB273" s="107">
        <f t="array" ref="AB273">ROUNDDOWN(AVERAGE(IFERROR(LARGE((X$6:X272+Y$6:Y272)*Z$6:Z272*(G$6:G272=G273), SC_SSCalcYears),0))/(12*Z273),0)</f>
        <v>0</v>
      </c>
      <c r="AC273" s="211">
        <f t="shared" si="135"/>
        <v>1</v>
      </c>
      <c r="AD273" s="89">
        <f t="shared" si="136"/>
        <v>0</v>
      </c>
      <c r="AE273" s="141">
        <f t="shared" ca="1" si="137"/>
        <v>0</v>
      </c>
      <c r="AF273" s="106">
        <f t="shared" ca="1" si="138"/>
        <v>0</v>
      </c>
      <c r="AG273" s="110">
        <f t="shared" ca="1" si="139"/>
        <v>0</v>
      </c>
      <c r="AH273" s="617"/>
      <c r="AI273" s="617"/>
      <c r="AJ273" s="617"/>
      <c r="AK273" s="617"/>
      <c r="AL273" s="618"/>
      <c r="AM273" s="186">
        <f t="shared" ca="1" si="141"/>
        <v>0</v>
      </c>
      <c r="AN273" t="str">
        <f t="shared" ca="1" si="142"/>
        <v/>
      </c>
    </row>
    <row r="274" spans="2:40" x14ac:dyDescent="0.25">
      <c r="B274" s="65">
        <f t="shared" si="140"/>
        <v>2088</v>
      </c>
      <c r="C274" s="76" t="s">
        <v>741</v>
      </c>
      <c r="D274" s="146" t="str">
        <f t="shared" si="116"/>
        <v/>
      </c>
      <c r="E274" s="77">
        <f t="shared" si="115"/>
        <v>0</v>
      </c>
      <c r="F274" s="77">
        <f t="shared" si="121"/>
        <v>0</v>
      </c>
      <c r="G274" s="77">
        <f t="shared" si="120"/>
        <v>1</v>
      </c>
      <c r="H274" s="76">
        <f t="shared" si="117"/>
        <v>1</v>
      </c>
      <c r="I274" s="76">
        <f t="shared" si="118"/>
        <v>0</v>
      </c>
      <c r="J274" s="77">
        <f t="shared" si="122"/>
        <v>0</v>
      </c>
      <c r="K274" s="78">
        <f t="shared" ca="1" si="119"/>
        <v>0</v>
      </c>
      <c r="L274" s="470"/>
      <c r="M274" s="470"/>
      <c r="N274" s="470"/>
      <c r="O274" s="531"/>
      <c r="P274" s="70">
        <f t="shared" ca="1" si="123"/>
        <v>0</v>
      </c>
      <c r="Q274" s="70">
        <f t="shared" ca="1" si="124"/>
        <v>0</v>
      </c>
      <c r="R274" s="70">
        <f t="shared" ca="1" si="125"/>
        <v>0</v>
      </c>
      <c r="S274" s="70">
        <f t="shared" ca="1" si="126"/>
        <v>0</v>
      </c>
      <c r="T274" s="70">
        <f t="shared" ca="1" si="127"/>
        <v>0</v>
      </c>
      <c r="U274" s="70">
        <f t="shared" ca="1" si="128"/>
        <v>0</v>
      </c>
      <c r="V274" s="70">
        <f t="shared" ca="1" si="129"/>
        <v>0</v>
      </c>
      <c r="W274" s="70">
        <f t="shared" ca="1" si="130"/>
        <v>0</v>
      </c>
      <c r="X274" s="70">
        <f t="shared" si="131"/>
        <v>0</v>
      </c>
      <c r="Y274" s="70">
        <f t="shared" si="132"/>
        <v>0</v>
      </c>
      <c r="Z274" s="68">
        <f t="shared" si="133"/>
        <v>1</v>
      </c>
      <c r="AA274" s="84">
        <f t="shared" si="134"/>
        <v>0</v>
      </c>
      <c r="AB274" s="488">
        <f t="array" ref="AB274">ROUNDDOWN(AVERAGE(IFERROR(LARGE((X$6:X273+Y$6:Y273)*Z$6:Z273*(G$6:G273=G274), SC_SSCalcYears),0))/(12*Z274),0)</f>
        <v>0</v>
      </c>
      <c r="AC274" s="69">
        <f t="shared" si="135"/>
        <v>1</v>
      </c>
      <c r="AD274" s="85">
        <f t="shared" si="136"/>
        <v>0</v>
      </c>
      <c r="AE274" s="140">
        <f t="shared" ca="1" si="137"/>
        <v>0</v>
      </c>
      <c r="AF274" s="75">
        <f t="shared" ca="1" si="138"/>
        <v>0</v>
      </c>
      <c r="AG274" s="109">
        <f t="shared" ca="1" si="139"/>
        <v>0</v>
      </c>
      <c r="AH274" s="617">
        <f>SUMIFS($AE274:$AE275,SP_PensionPayout,"Lump sum",$E274:$E275,"&lt;&gt;0")</f>
        <v>0</v>
      </c>
      <c r="AI274" s="617">
        <f>SUMIFS($AE274:$AE275,SP_PensionPayout,"Annuity",$E274:$E275,"&lt;&gt;0")</f>
        <v>0</v>
      </c>
      <c r="AJ274" s="617">
        <f>IF(ISBLANK(INDEX(SP_SSPBFA,1)),0,IF($J274&lt;&gt;INDEX(SP_SSPBFA,1),AJ272,SP_AdditionalRI/INDEX(SC_EA_InflationWageIdx,EAIDX)))</f>
        <v>0</v>
      </c>
      <c r="AK274" s="617">
        <f ca="1">SUMPRODUCT(AF274:AF275, --(G274:G275&lt;&gt;0))</f>
        <v>0</v>
      </c>
      <c r="AL274" s="618">
        <f ca="1">SUMPRODUCT(AG274:AG275, --(E274:E275&lt;&gt;0))+AJ274</f>
        <v>0</v>
      </c>
      <c r="AM274" s="186">
        <f t="shared" ca="1" si="141"/>
        <v>0</v>
      </c>
      <c r="AN274" t="str">
        <f t="shared" ca="1" si="142"/>
        <v/>
      </c>
    </row>
    <row r="275" spans="2:40" x14ac:dyDescent="0.25">
      <c r="B275" s="86">
        <f t="shared" si="140"/>
        <v>2088</v>
      </c>
      <c r="C275" s="80" t="s">
        <v>741</v>
      </c>
      <c r="D275" s="147" t="str">
        <f t="shared" si="116"/>
        <v/>
      </c>
      <c r="E275" s="81">
        <f t="shared" si="115"/>
        <v>0</v>
      </c>
      <c r="F275" s="82">
        <f t="shared" si="121"/>
        <v>0</v>
      </c>
      <c r="G275" s="81">
        <f t="shared" si="120"/>
        <v>2</v>
      </c>
      <c r="H275" s="82">
        <f t="shared" si="117"/>
        <v>-1</v>
      </c>
      <c r="I275" s="82">
        <f t="shared" si="118"/>
        <v>0</v>
      </c>
      <c r="J275" s="81">
        <f t="shared" si="122"/>
        <v>0</v>
      </c>
      <c r="K275" s="83">
        <f t="shared" ca="1" si="119"/>
        <v>0</v>
      </c>
      <c r="L275" s="470"/>
      <c r="M275" s="470"/>
      <c r="N275" s="470"/>
      <c r="O275" s="531"/>
      <c r="P275" s="107">
        <f t="shared" ca="1" si="123"/>
        <v>0</v>
      </c>
      <c r="Q275" s="107">
        <f t="shared" ca="1" si="124"/>
        <v>0</v>
      </c>
      <c r="R275" s="107">
        <f t="shared" ca="1" si="125"/>
        <v>0</v>
      </c>
      <c r="S275" s="107">
        <f t="shared" ca="1" si="126"/>
        <v>0</v>
      </c>
      <c r="T275" s="107">
        <f t="shared" ca="1" si="127"/>
        <v>0</v>
      </c>
      <c r="U275" s="107">
        <f t="shared" ca="1" si="128"/>
        <v>0</v>
      </c>
      <c r="V275" s="107">
        <f t="shared" ca="1" si="129"/>
        <v>0</v>
      </c>
      <c r="W275" s="107">
        <f t="shared" ca="1" si="130"/>
        <v>0</v>
      </c>
      <c r="X275" s="107">
        <f t="shared" si="131"/>
        <v>0</v>
      </c>
      <c r="Y275" s="107">
        <f t="shared" si="132"/>
        <v>0</v>
      </c>
      <c r="Z275" s="87">
        <f t="shared" si="133"/>
        <v>1</v>
      </c>
      <c r="AA275" s="88">
        <f t="shared" si="134"/>
        <v>0</v>
      </c>
      <c r="AB275" s="107">
        <f t="array" ref="AB275">ROUNDDOWN(AVERAGE(IFERROR(LARGE((X$6:X274+Y$6:Y274)*Z$6:Z274*(G$6:G274=G275), SC_SSCalcYears),0))/(12*Z275),0)</f>
        <v>0</v>
      </c>
      <c r="AC275" s="211">
        <f t="shared" si="135"/>
        <v>1</v>
      </c>
      <c r="AD275" s="89">
        <f t="shared" si="136"/>
        <v>0</v>
      </c>
      <c r="AE275" s="141">
        <f t="shared" ca="1" si="137"/>
        <v>0</v>
      </c>
      <c r="AF275" s="106">
        <f t="shared" ca="1" si="138"/>
        <v>0</v>
      </c>
      <c r="AG275" s="110">
        <f t="shared" ca="1" si="139"/>
        <v>0</v>
      </c>
      <c r="AH275" s="617"/>
      <c r="AI275" s="617"/>
      <c r="AJ275" s="617"/>
      <c r="AK275" s="617"/>
      <c r="AL275" s="618"/>
      <c r="AM275" s="186">
        <f t="shared" ca="1" si="141"/>
        <v>0</v>
      </c>
      <c r="AN275" t="str">
        <f t="shared" ca="1" si="142"/>
        <v/>
      </c>
    </row>
    <row r="276" spans="2:40" x14ac:dyDescent="0.25">
      <c r="B276" s="65">
        <f t="shared" si="140"/>
        <v>2089</v>
      </c>
      <c r="C276" s="76" t="s">
        <v>741</v>
      </c>
      <c r="D276" s="146" t="str">
        <f t="shared" si="116"/>
        <v/>
      </c>
      <c r="E276" s="77">
        <f t="shared" si="115"/>
        <v>0</v>
      </c>
      <c r="F276" s="77">
        <f t="shared" si="121"/>
        <v>0</v>
      </c>
      <c r="G276" s="77">
        <f t="shared" si="120"/>
        <v>1</v>
      </c>
      <c r="H276" s="76">
        <f t="shared" si="117"/>
        <v>1</v>
      </c>
      <c r="I276" s="76">
        <f t="shared" si="118"/>
        <v>0</v>
      </c>
      <c r="J276" s="77">
        <f t="shared" si="122"/>
        <v>0</v>
      </c>
      <c r="K276" s="78">
        <f t="shared" ca="1" si="119"/>
        <v>0</v>
      </c>
      <c r="L276" s="470"/>
      <c r="M276" s="470"/>
      <c r="N276" s="470"/>
      <c r="O276" s="531"/>
      <c r="P276" s="70">
        <f t="shared" ca="1" si="123"/>
        <v>0</v>
      </c>
      <c r="Q276" s="70">
        <f t="shared" ca="1" si="124"/>
        <v>0</v>
      </c>
      <c r="R276" s="70">
        <f t="shared" ca="1" si="125"/>
        <v>0</v>
      </c>
      <c r="S276" s="70">
        <f t="shared" ca="1" si="126"/>
        <v>0</v>
      </c>
      <c r="T276" s="70">
        <f t="shared" ca="1" si="127"/>
        <v>0</v>
      </c>
      <c r="U276" s="70">
        <f t="shared" ca="1" si="128"/>
        <v>0</v>
      </c>
      <c r="V276" s="70">
        <f t="shared" ca="1" si="129"/>
        <v>0</v>
      </c>
      <c r="W276" s="70">
        <f t="shared" ca="1" si="130"/>
        <v>0</v>
      </c>
      <c r="X276" s="70">
        <f t="shared" si="131"/>
        <v>0</v>
      </c>
      <c r="Y276" s="70">
        <f t="shared" si="132"/>
        <v>0</v>
      </c>
      <c r="Z276" s="68">
        <f t="shared" si="133"/>
        <v>1</v>
      </c>
      <c r="AA276" s="84">
        <f t="shared" si="134"/>
        <v>0</v>
      </c>
      <c r="AB276" s="488">
        <f t="array" ref="AB276">ROUNDDOWN(AVERAGE(IFERROR(LARGE((X$6:X275+Y$6:Y275)*Z$6:Z275*(G$6:G275=G276), SC_SSCalcYears),0))/(12*Z276),0)</f>
        <v>0</v>
      </c>
      <c r="AC276" s="69">
        <f t="shared" si="135"/>
        <v>1</v>
      </c>
      <c r="AD276" s="85">
        <f t="shared" si="136"/>
        <v>0</v>
      </c>
      <c r="AE276" s="140">
        <f t="shared" ca="1" si="137"/>
        <v>0</v>
      </c>
      <c r="AF276" s="75">
        <f t="shared" ca="1" si="138"/>
        <v>0</v>
      </c>
      <c r="AG276" s="109">
        <f t="shared" ca="1" si="139"/>
        <v>0</v>
      </c>
      <c r="AH276" s="617">
        <f>SUMIFS($AE276:$AE277,SP_PensionPayout,"Lump sum",$E276:$E277,"&lt;&gt;0")</f>
        <v>0</v>
      </c>
      <c r="AI276" s="617">
        <f>SUMIFS($AE276:$AE277,SP_PensionPayout,"Annuity",$E276:$E277,"&lt;&gt;0")</f>
        <v>0</v>
      </c>
      <c r="AJ276" s="617">
        <f>IF(ISBLANK(INDEX(SP_SSPBFA,1)),0,IF($J276&lt;&gt;INDEX(SP_SSPBFA,1),AJ274,SP_AdditionalRI/INDEX(SC_EA_InflationWageIdx,EAIDX)))</f>
        <v>0</v>
      </c>
      <c r="AK276" s="617">
        <f ca="1">SUMPRODUCT(AF276:AF277, --(G276:G277&lt;&gt;0))</f>
        <v>0</v>
      </c>
      <c r="AL276" s="618">
        <f ca="1">SUMPRODUCT(AG276:AG277, --(E276:E277&lt;&gt;0))+AJ276</f>
        <v>0</v>
      </c>
      <c r="AM276" s="186">
        <f t="shared" ca="1" si="141"/>
        <v>0</v>
      </c>
      <c r="AN276" t="str">
        <f t="shared" ca="1" si="142"/>
        <v/>
      </c>
    </row>
    <row r="277" spans="2:40" x14ac:dyDescent="0.25">
      <c r="B277" s="86">
        <f t="shared" si="140"/>
        <v>2089</v>
      </c>
      <c r="C277" s="80" t="s">
        <v>741</v>
      </c>
      <c r="D277" s="147" t="str">
        <f t="shared" si="116"/>
        <v/>
      </c>
      <c r="E277" s="81">
        <f t="shared" si="115"/>
        <v>0</v>
      </c>
      <c r="F277" s="82">
        <f t="shared" si="121"/>
        <v>0</v>
      </c>
      <c r="G277" s="81">
        <f t="shared" si="120"/>
        <v>2</v>
      </c>
      <c r="H277" s="82">
        <f t="shared" si="117"/>
        <v>-1</v>
      </c>
      <c r="I277" s="82">
        <f t="shared" si="118"/>
        <v>0</v>
      </c>
      <c r="J277" s="81">
        <f t="shared" si="122"/>
        <v>0</v>
      </c>
      <c r="K277" s="83">
        <f t="shared" ca="1" si="119"/>
        <v>0</v>
      </c>
      <c r="L277" s="470"/>
      <c r="M277" s="470"/>
      <c r="N277" s="470"/>
      <c r="O277" s="531"/>
      <c r="P277" s="107">
        <f t="shared" ca="1" si="123"/>
        <v>0</v>
      </c>
      <c r="Q277" s="107">
        <f t="shared" ca="1" si="124"/>
        <v>0</v>
      </c>
      <c r="R277" s="107">
        <f t="shared" ca="1" si="125"/>
        <v>0</v>
      </c>
      <c r="S277" s="107">
        <f t="shared" ca="1" si="126"/>
        <v>0</v>
      </c>
      <c r="T277" s="107">
        <f t="shared" ca="1" si="127"/>
        <v>0</v>
      </c>
      <c r="U277" s="107">
        <f t="shared" ca="1" si="128"/>
        <v>0</v>
      </c>
      <c r="V277" s="107">
        <f t="shared" ca="1" si="129"/>
        <v>0</v>
      </c>
      <c r="W277" s="107">
        <f t="shared" ca="1" si="130"/>
        <v>0</v>
      </c>
      <c r="X277" s="107">
        <f t="shared" si="131"/>
        <v>0</v>
      </c>
      <c r="Y277" s="107">
        <f t="shared" si="132"/>
        <v>0</v>
      </c>
      <c r="Z277" s="87">
        <f t="shared" si="133"/>
        <v>1</v>
      </c>
      <c r="AA277" s="88">
        <f t="shared" si="134"/>
        <v>0</v>
      </c>
      <c r="AB277" s="107">
        <f t="array" ref="AB277">ROUNDDOWN(AVERAGE(IFERROR(LARGE((X$6:X276+Y$6:Y276)*Z$6:Z276*(G$6:G276=G277), SC_SSCalcYears),0))/(12*Z277),0)</f>
        <v>0</v>
      </c>
      <c r="AC277" s="211">
        <f t="shared" si="135"/>
        <v>1</v>
      </c>
      <c r="AD277" s="89">
        <f t="shared" si="136"/>
        <v>0</v>
      </c>
      <c r="AE277" s="141">
        <f t="shared" ca="1" si="137"/>
        <v>0</v>
      </c>
      <c r="AF277" s="106">
        <f t="shared" ca="1" si="138"/>
        <v>0</v>
      </c>
      <c r="AG277" s="110">
        <f t="shared" ca="1" si="139"/>
        <v>0</v>
      </c>
      <c r="AH277" s="617"/>
      <c r="AI277" s="617"/>
      <c r="AJ277" s="617"/>
      <c r="AK277" s="617"/>
      <c r="AL277" s="618"/>
      <c r="AM277" s="186">
        <f t="shared" ca="1" si="141"/>
        <v>0</v>
      </c>
      <c r="AN277" t="str">
        <f t="shared" ca="1" si="142"/>
        <v/>
      </c>
    </row>
    <row r="278" spans="2:40" x14ac:dyDescent="0.25">
      <c r="B278" s="65">
        <f t="shared" si="140"/>
        <v>2090</v>
      </c>
      <c r="C278" s="76" t="s">
        <v>741</v>
      </c>
      <c r="D278" s="146" t="str">
        <f t="shared" si="116"/>
        <v/>
      </c>
      <c r="E278" s="77">
        <f t="shared" si="115"/>
        <v>0</v>
      </c>
      <c r="F278" s="77">
        <f t="shared" si="121"/>
        <v>0</v>
      </c>
      <c r="G278" s="77">
        <f t="shared" si="120"/>
        <v>1</v>
      </c>
      <c r="H278" s="76">
        <f t="shared" si="117"/>
        <v>1</v>
      </c>
      <c r="I278" s="76">
        <f t="shared" si="118"/>
        <v>0</v>
      </c>
      <c r="J278" s="77">
        <f t="shared" si="122"/>
        <v>0</v>
      </c>
      <c r="K278" s="78">
        <f t="shared" ca="1" si="119"/>
        <v>0</v>
      </c>
      <c r="L278" s="470"/>
      <c r="M278" s="470"/>
      <c r="N278" s="470"/>
      <c r="O278" s="531"/>
      <c r="P278" s="70">
        <f t="shared" ca="1" si="123"/>
        <v>0</v>
      </c>
      <c r="Q278" s="70">
        <f t="shared" ca="1" si="124"/>
        <v>0</v>
      </c>
      <c r="R278" s="70">
        <f t="shared" ca="1" si="125"/>
        <v>0</v>
      </c>
      <c r="S278" s="70">
        <f t="shared" ca="1" si="126"/>
        <v>0</v>
      </c>
      <c r="T278" s="70">
        <f t="shared" ca="1" si="127"/>
        <v>0</v>
      </c>
      <c r="U278" s="70">
        <f t="shared" ca="1" si="128"/>
        <v>0</v>
      </c>
      <c r="V278" s="70">
        <f t="shared" ca="1" si="129"/>
        <v>0</v>
      </c>
      <c r="W278" s="70">
        <f t="shared" ca="1" si="130"/>
        <v>0</v>
      </c>
      <c r="X278" s="70">
        <f t="shared" si="131"/>
        <v>0</v>
      </c>
      <c r="Y278" s="70">
        <f t="shared" si="132"/>
        <v>0</v>
      </c>
      <c r="Z278" s="68">
        <f t="shared" si="133"/>
        <v>1</v>
      </c>
      <c r="AA278" s="84">
        <f t="shared" si="134"/>
        <v>0</v>
      </c>
      <c r="AB278" s="488">
        <f t="array" ref="AB278">ROUNDDOWN(AVERAGE(IFERROR(LARGE((X$6:X277+Y$6:Y277)*Z$6:Z277*(G$6:G277=G278), SC_SSCalcYears),0))/(12*Z278),0)</f>
        <v>0</v>
      </c>
      <c r="AC278" s="69">
        <f t="shared" si="135"/>
        <v>1</v>
      </c>
      <c r="AD278" s="85">
        <f t="shared" si="136"/>
        <v>0</v>
      </c>
      <c r="AE278" s="140">
        <f t="shared" ca="1" si="137"/>
        <v>0</v>
      </c>
      <c r="AF278" s="75">
        <f t="shared" ca="1" si="138"/>
        <v>0</v>
      </c>
      <c r="AG278" s="109">
        <f t="shared" ca="1" si="139"/>
        <v>0</v>
      </c>
      <c r="AH278" s="617">
        <f>SUMIFS($AE278:$AE279,SP_PensionPayout,"Lump sum",$E278:$E279,"&lt;&gt;0")</f>
        <v>0</v>
      </c>
      <c r="AI278" s="617">
        <f>SUMIFS($AE278:$AE279,SP_PensionPayout,"Annuity",$E278:$E279,"&lt;&gt;0")</f>
        <v>0</v>
      </c>
      <c r="AJ278" s="617">
        <f>IF(ISBLANK(INDEX(SP_SSPBFA,1)),0,IF($J278&lt;&gt;INDEX(SP_SSPBFA,1),AJ276,SP_AdditionalRI/INDEX(SC_EA_InflationWageIdx,EAIDX)))</f>
        <v>0</v>
      </c>
      <c r="AK278" s="617">
        <f ca="1">SUMPRODUCT(AF278:AF279, --(G278:G279&lt;&gt;0))</f>
        <v>0</v>
      </c>
      <c r="AL278" s="618">
        <f ca="1">SUMPRODUCT(AG278:AG279, --(E278:E279&lt;&gt;0))+AJ278</f>
        <v>0</v>
      </c>
      <c r="AM278" s="186">
        <f t="shared" ca="1" si="141"/>
        <v>0</v>
      </c>
      <c r="AN278" t="str">
        <f t="shared" ca="1" si="142"/>
        <v/>
      </c>
    </row>
    <row r="279" spans="2:40" x14ac:dyDescent="0.25">
      <c r="B279" s="86">
        <f t="shared" si="140"/>
        <v>2090</v>
      </c>
      <c r="C279" s="80" t="s">
        <v>741</v>
      </c>
      <c r="D279" s="147" t="str">
        <f t="shared" si="116"/>
        <v/>
      </c>
      <c r="E279" s="81">
        <f t="shared" si="115"/>
        <v>0</v>
      </c>
      <c r="F279" s="82">
        <f t="shared" si="121"/>
        <v>0</v>
      </c>
      <c r="G279" s="81">
        <f t="shared" si="120"/>
        <v>2</v>
      </c>
      <c r="H279" s="82">
        <f t="shared" si="117"/>
        <v>-1</v>
      </c>
      <c r="I279" s="82">
        <f t="shared" si="118"/>
        <v>0</v>
      </c>
      <c r="J279" s="81">
        <f t="shared" si="122"/>
        <v>0</v>
      </c>
      <c r="K279" s="83">
        <f t="shared" ca="1" si="119"/>
        <v>0</v>
      </c>
      <c r="L279" s="470"/>
      <c r="M279" s="470"/>
      <c r="N279" s="470"/>
      <c r="O279" s="531"/>
      <c r="P279" s="107">
        <f t="shared" ca="1" si="123"/>
        <v>0</v>
      </c>
      <c r="Q279" s="107">
        <f t="shared" ca="1" si="124"/>
        <v>0</v>
      </c>
      <c r="R279" s="107">
        <f t="shared" ca="1" si="125"/>
        <v>0</v>
      </c>
      <c r="S279" s="107">
        <f t="shared" ca="1" si="126"/>
        <v>0</v>
      </c>
      <c r="T279" s="107">
        <f t="shared" ca="1" si="127"/>
        <v>0</v>
      </c>
      <c r="U279" s="107">
        <f t="shared" ca="1" si="128"/>
        <v>0</v>
      </c>
      <c r="V279" s="107">
        <f t="shared" ca="1" si="129"/>
        <v>0</v>
      </c>
      <c r="W279" s="107">
        <f t="shared" ca="1" si="130"/>
        <v>0</v>
      </c>
      <c r="X279" s="107">
        <f t="shared" si="131"/>
        <v>0</v>
      </c>
      <c r="Y279" s="107">
        <f t="shared" si="132"/>
        <v>0</v>
      </c>
      <c r="Z279" s="87">
        <f t="shared" si="133"/>
        <v>1</v>
      </c>
      <c r="AA279" s="88">
        <f t="shared" si="134"/>
        <v>0</v>
      </c>
      <c r="AB279" s="107">
        <f t="array" ref="AB279">ROUNDDOWN(AVERAGE(IFERROR(LARGE((X$6:X278+Y$6:Y278)*Z$6:Z278*(G$6:G278=G279), SC_SSCalcYears),0))/(12*Z279),0)</f>
        <v>0</v>
      </c>
      <c r="AC279" s="211">
        <f t="shared" si="135"/>
        <v>1</v>
      </c>
      <c r="AD279" s="89">
        <f t="shared" si="136"/>
        <v>0</v>
      </c>
      <c r="AE279" s="141">
        <f t="shared" ca="1" si="137"/>
        <v>0</v>
      </c>
      <c r="AF279" s="106">
        <f t="shared" ca="1" si="138"/>
        <v>0</v>
      </c>
      <c r="AG279" s="110">
        <f t="shared" ca="1" si="139"/>
        <v>0</v>
      </c>
      <c r="AH279" s="617"/>
      <c r="AI279" s="617"/>
      <c r="AJ279" s="617"/>
      <c r="AK279" s="617"/>
      <c r="AL279" s="618"/>
      <c r="AM279" s="186">
        <f t="shared" ca="1" si="141"/>
        <v>0</v>
      </c>
      <c r="AN279" t="str">
        <f t="shared" ca="1" si="142"/>
        <v/>
      </c>
    </row>
    <row r="280" spans="2:40" x14ac:dyDescent="0.25">
      <c r="B280" s="65">
        <f t="shared" si="140"/>
        <v>2091</v>
      </c>
      <c r="C280" s="76" t="s">
        <v>741</v>
      </c>
      <c r="D280" s="146" t="str">
        <f t="shared" si="116"/>
        <v/>
      </c>
      <c r="E280" s="77">
        <f t="shared" si="115"/>
        <v>0</v>
      </c>
      <c r="F280" s="77">
        <f t="shared" si="121"/>
        <v>0</v>
      </c>
      <c r="G280" s="77">
        <f t="shared" si="120"/>
        <v>1</v>
      </c>
      <c r="H280" s="76">
        <f t="shared" si="117"/>
        <v>1</v>
      </c>
      <c r="I280" s="76">
        <f t="shared" si="118"/>
        <v>0</v>
      </c>
      <c r="J280" s="77">
        <f t="shared" si="122"/>
        <v>0</v>
      </c>
      <c r="K280" s="78">
        <f t="shared" ca="1" si="119"/>
        <v>0</v>
      </c>
      <c r="L280" s="470"/>
      <c r="M280" s="470"/>
      <c r="N280" s="470"/>
      <c r="O280" s="531"/>
      <c r="P280" s="70">
        <f t="shared" ca="1" si="123"/>
        <v>0</v>
      </c>
      <c r="Q280" s="70">
        <f t="shared" ca="1" si="124"/>
        <v>0</v>
      </c>
      <c r="R280" s="70">
        <f t="shared" ca="1" si="125"/>
        <v>0</v>
      </c>
      <c r="S280" s="70">
        <f t="shared" ca="1" si="126"/>
        <v>0</v>
      </c>
      <c r="T280" s="70">
        <f t="shared" ca="1" si="127"/>
        <v>0</v>
      </c>
      <c r="U280" s="70">
        <f t="shared" ca="1" si="128"/>
        <v>0</v>
      </c>
      <c r="V280" s="70">
        <f t="shared" ca="1" si="129"/>
        <v>0</v>
      </c>
      <c r="W280" s="70">
        <f t="shared" ca="1" si="130"/>
        <v>0</v>
      </c>
      <c r="X280" s="70">
        <f t="shared" si="131"/>
        <v>0</v>
      </c>
      <c r="Y280" s="70">
        <f t="shared" si="132"/>
        <v>0</v>
      </c>
      <c r="Z280" s="68">
        <f t="shared" si="133"/>
        <v>1</v>
      </c>
      <c r="AA280" s="84">
        <f t="shared" si="134"/>
        <v>0</v>
      </c>
      <c r="AB280" s="488">
        <f t="array" ref="AB280">ROUNDDOWN(AVERAGE(IFERROR(LARGE((X$6:X279+Y$6:Y279)*Z$6:Z279*(G$6:G279=G280), SC_SSCalcYears),0))/(12*Z280),0)</f>
        <v>0</v>
      </c>
      <c r="AC280" s="69">
        <f t="shared" si="135"/>
        <v>1</v>
      </c>
      <c r="AD280" s="85">
        <f t="shared" si="136"/>
        <v>0</v>
      </c>
      <c r="AE280" s="140">
        <f t="shared" ca="1" si="137"/>
        <v>0</v>
      </c>
      <c r="AF280" s="75">
        <f t="shared" ca="1" si="138"/>
        <v>0</v>
      </c>
      <c r="AG280" s="109">
        <f t="shared" ca="1" si="139"/>
        <v>0</v>
      </c>
      <c r="AH280" s="617">
        <f>SUMIFS($AE280:$AE281,SP_PensionPayout,"Lump sum",$E280:$E281,"&lt;&gt;0")</f>
        <v>0</v>
      </c>
      <c r="AI280" s="617">
        <f>SUMIFS($AE280:$AE281,SP_PensionPayout,"Annuity",$E280:$E281,"&lt;&gt;0")</f>
        <v>0</v>
      </c>
      <c r="AJ280" s="617">
        <f>IF(ISBLANK(INDEX(SP_SSPBFA,1)),0,IF($J280&lt;&gt;INDEX(SP_SSPBFA,1),AJ278,SP_AdditionalRI/INDEX(SC_EA_InflationWageIdx,EAIDX)))</f>
        <v>0</v>
      </c>
      <c r="AK280" s="617">
        <f ca="1">SUMPRODUCT(AF280:AF281, --(G280:G281&lt;&gt;0))</f>
        <v>0</v>
      </c>
      <c r="AL280" s="618">
        <f ca="1">SUMPRODUCT(AG280:AG281, --(E280:E281&lt;&gt;0))+AJ280</f>
        <v>0</v>
      </c>
      <c r="AM280" s="186">
        <f t="shared" ca="1" si="141"/>
        <v>0</v>
      </c>
      <c r="AN280" t="str">
        <f t="shared" ca="1" si="142"/>
        <v/>
      </c>
    </row>
    <row r="281" spans="2:40" x14ac:dyDescent="0.25">
      <c r="B281" s="86">
        <f t="shared" si="140"/>
        <v>2091</v>
      </c>
      <c r="C281" s="80" t="s">
        <v>741</v>
      </c>
      <c r="D281" s="147" t="str">
        <f t="shared" si="116"/>
        <v/>
      </c>
      <c r="E281" s="81">
        <f t="shared" si="115"/>
        <v>0</v>
      </c>
      <c r="F281" s="82">
        <f t="shared" si="121"/>
        <v>0</v>
      </c>
      <c r="G281" s="81">
        <f t="shared" si="120"/>
        <v>2</v>
      </c>
      <c r="H281" s="82">
        <f t="shared" si="117"/>
        <v>-1</v>
      </c>
      <c r="I281" s="82">
        <f t="shared" si="118"/>
        <v>0</v>
      </c>
      <c r="J281" s="81">
        <f t="shared" si="122"/>
        <v>0</v>
      </c>
      <c r="K281" s="83">
        <f t="shared" ca="1" si="119"/>
        <v>0</v>
      </c>
      <c r="L281" s="470"/>
      <c r="M281" s="470"/>
      <c r="N281" s="470"/>
      <c r="O281" s="531"/>
      <c r="P281" s="107">
        <f t="shared" ca="1" si="123"/>
        <v>0</v>
      </c>
      <c r="Q281" s="107">
        <f t="shared" ca="1" si="124"/>
        <v>0</v>
      </c>
      <c r="R281" s="107">
        <f t="shared" ca="1" si="125"/>
        <v>0</v>
      </c>
      <c r="S281" s="107">
        <f t="shared" ca="1" si="126"/>
        <v>0</v>
      </c>
      <c r="T281" s="107">
        <f t="shared" ca="1" si="127"/>
        <v>0</v>
      </c>
      <c r="U281" s="107">
        <f t="shared" ca="1" si="128"/>
        <v>0</v>
      </c>
      <c r="V281" s="107">
        <f t="shared" ca="1" si="129"/>
        <v>0</v>
      </c>
      <c r="W281" s="107">
        <f t="shared" ca="1" si="130"/>
        <v>0</v>
      </c>
      <c r="X281" s="107">
        <f t="shared" si="131"/>
        <v>0</v>
      </c>
      <c r="Y281" s="107">
        <f t="shared" si="132"/>
        <v>0</v>
      </c>
      <c r="Z281" s="87">
        <f t="shared" si="133"/>
        <v>1</v>
      </c>
      <c r="AA281" s="88">
        <f t="shared" si="134"/>
        <v>0</v>
      </c>
      <c r="AB281" s="107">
        <f t="array" ref="AB281">ROUNDDOWN(AVERAGE(IFERROR(LARGE((X$6:X280+Y$6:Y280)*Z$6:Z280*(G$6:G280=G281), SC_SSCalcYears),0))/(12*Z281),0)</f>
        <v>0</v>
      </c>
      <c r="AC281" s="211">
        <f t="shared" si="135"/>
        <v>1</v>
      </c>
      <c r="AD281" s="89">
        <f t="shared" si="136"/>
        <v>0</v>
      </c>
      <c r="AE281" s="141">
        <f t="shared" ca="1" si="137"/>
        <v>0</v>
      </c>
      <c r="AF281" s="106">
        <f t="shared" ca="1" si="138"/>
        <v>0</v>
      </c>
      <c r="AG281" s="110">
        <f t="shared" ca="1" si="139"/>
        <v>0</v>
      </c>
      <c r="AH281" s="617"/>
      <c r="AI281" s="617"/>
      <c r="AJ281" s="617"/>
      <c r="AK281" s="617"/>
      <c r="AL281" s="618"/>
      <c r="AM281" s="186">
        <f t="shared" ca="1" si="141"/>
        <v>0</v>
      </c>
      <c r="AN281" t="str">
        <f t="shared" ca="1" si="142"/>
        <v/>
      </c>
    </row>
    <row r="282" spans="2:40" x14ac:dyDescent="0.25">
      <c r="B282" s="65">
        <f t="shared" si="140"/>
        <v>2092</v>
      </c>
      <c r="C282" s="76" t="s">
        <v>741</v>
      </c>
      <c r="D282" s="146" t="str">
        <f t="shared" si="116"/>
        <v/>
      </c>
      <c r="E282" s="77">
        <f t="shared" si="115"/>
        <v>0</v>
      </c>
      <c r="F282" s="77">
        <f t="shared" si="121"/>
        <v>0</v>
      </c>
      <c r="G282" s="77">
        <f t="shared" si="120"/>
        <v>1</v>
      </c>
      <c r="H282" s="76">
        <f t="shared" si="117"/>
        <v>1</v>
      </c>
      <c r="I282" s="76">
        <f t="shared" si="118"/>
        <v>0</v>
      </c>
      <c r="J282" s="77">
        <f t="shared" si="122"/>
        <v>0</v>
      </c>
      <c r="K282" s="78">
        <f t="shared" ca="1" si="119"/>
        <v>0</v>
      </c>
      <c r="L282" s="470"/>
      <c r="M282" s="470"/>
      <c r="N282" s="470"/>
      <c r="O282" s="531"/>
      <c r="P282" s="70">
        <f t="shared" ca="1" si="123"/>
        <v>0</v>
      </c>
      <c r="Q282" s="70">
        <f t="shared" ca="1" si="124"/>
        <v>0</v>
      </c>
      <c r="R282" s="70">
        <f t="shared" ca="1" si="125"/>
        <v>0</v>
      </c>
      <c r="S282" s="70">
        <f t="shared" ca="1" si="126"/>
        <v>0</v>
      </c>
      <c r="T282" s="70">
        <f t="shared" ca="1" si="127"/>
        <v>0</v>
      </c>
      <c r="U282" s="70">
        <f t="shared" ca="1" si="128"/>
        <v>0</v>
      </c>
      <c r="V282" s="70">
        <f t="shared" ca="1" si="129"/>
        <v>0</v>
      </c>
      <c r="W282" s="70">
        <f t="shared" ca="1" si="130"/>
        <v>0</v>
      </c>
      <c r="X282" s="70">
        <f t="shared" si="131"/>
        <v>0</v>
      </c>
      <c r="Y282" s="70">
        <f t="shared" si="132"/>
        <v>0</v>
      </c>
      <c r="Z282" s="68">
        <f t="shared" si="133"/>
        <v>1</v>
      </c>
      <c r="AA282" s="84">
        <f t="shared" si="134"/>
        <v>0</v>
      </c>
      <c r="AB282" s="488">
        <f t="array" ref="AB282">ROUNDDOWN(AVERAGE(IFERROR(LARGE((X$6:X281+Y$6:Y281)*Z$6:Z281*(G$6:G281=G282), SC_SSCalcYears),0))/(12*Z282),0)</f>
        <v>0</v>
      </c>
      <c r="AC282" s="69">
        <f t="shared" si="135"/>
        <v>1</v>
      </c>
      <c r="AD282" s="85">
        <f t="shared" si="136"/>
        <v>0</v>
      </c>
      <c r="AE282" s="140">
        <f t="shared" ca="1" si="137"/>
        <v>0</v>
      </c>
      <c r="AF282" s="75">
        <f t="shared" ca="1" si="138"/>
        <v>0</v>
      </c>
      <c r="AG282" s="109">
        <f t="shared" ca="1" si="139"/>
        <v>0</v>
      </c>
      <c r="AH282" s="617">
        <f>SUMIFS($AE282:$AE283,SP_PensionPayout,"Lump sum",$E282:$E283,"&lt;&gt;0")</f>
        <v>0</v>
      </c>
      <c r="AI282" s="617">
        <f>SUMIFS($AE282:$AE283,SP_PensionPayout,"Annuity",$E282:$E283,"&lt;&gt;0")</f>
        <v>0</v>
      </c>
      <c r="AJ282" s="617">
        <f>IF(ISBLANK(INDEX(SP_SSPBFA,1)),0,IF($J282&lt;&gt;INDEX(SP_SSPBFA,1),AJ280,SP_AdditionalRI/INDEX(SC_EA_InflationWageIdx,EAIDX)))</f>
        <v>0</v>
      </c>
      <c r="AK282" s="617">
        <f ca="1">SUMPRODUCT(AF282:AF283, --(G282:G283&lt;&gt;0))</f>
        <v>0</v>
      </c>
      <c r="AL282" s="618">
        <f ca="1">SUMPRODUCT(AG282:AG283, --(E282:E283&lt;&gt;0))+AJ282</f>
        <v>0</v>
      </c>
      <c r="AM282" s="186">
        <f t="shared" ca="1" si="141"/>
        <v>0</v>
      </c>
      <c r="AN282" t="str">
        <f t="shared" ca="1" si="142"/>
        <v/>
      </c>
    </row>
    <row r="283" spans="2:40" x14ac:dyDescent="0.25">
      <c r="B283" s="86">
        <f t="shared" si="140"/>
        <v>2092</v>
      </c>
      <c r="C283" s="80" t="s">
        <v>741</v>
      </c>
      <c r="D283" s="147" t="str">
        <f t="shared" si="116"/>
        <v/>
      </c>
      <c r="E283" s="81">
        <f t="shared" si="115"/>
        <v>0</v>
      </c>
      <c r="F283" s="82">
        <f t="shared" si="121"/>
        <v>0</v>
      </c>
      <c r="G283" s="81">
        <f t="shared" si="120"/>
        <v>2</v>
      </c>
      <c r="H283" s="82">
        <f t="shared" si="117"/>
        <v>-1</v>
      </c>
      <c r="I283" s="82">
        <f t="shared" si="118"/>
        <v>0</v>
      </c>
      <c r="J283" s="81">
        <f t="shared" si="122"/>
        <v>0</v>
      </c>
      <c r="K283" s="83">
        <f t="shared" ca="1" si="119"/>
        <v>0</v>
      </c>
      <c r="L283" s="470"/>
      <c r="M283" s="470"/>
      <c r="N283" s="470"/>
      <c r="O283" s="531"/>
      <c r="P283" s="107">
        <f t="shared" ca="1" si="123"/>
        <v>0</v>
      </c>
      <c r="Q283" s="107">
        <f t="shared" ca="1" si="124"/>
        <v>0</v>
      </c>
      <c r="R283" s="107">
        <f t="shared" ca="1" si="125"/>
        <v>0</v>
      </c>
      <c r="S283" s="107">
        <f t="shared" ca="1" si="126"/>
        <v>0</v>
      </c>
      <c r="T283" s="107">
        <f t="shared" ca="1" si="127"/>
        <v>0</v>
      </c>
      <c r="U283" s="107">
        <f t="shared" ca="1" si="128"/>
        <v>0</v>
      </c>
      <c r="V283" s="107">
        <f t="shared" ca="1" si="129"/>
        <v>0</v>
      </c>
      <c r="W283" s="107">
        <f t="shared" ca="1" si="130"/>
        <v>0</v>
      </c>
      <c r="X283" s="107">
        <f t="shared" si="131"/>
        <v>0</v>
      </c>
      <c r="Y283" s="107">
        <f t="shared" si="132"/>
        <v>0</v>
      </c>
      <c r="Z283" s="87">
        <f t="shared" si="133"/>
        <v>1</v>
      </c>
      <c r="AA283" s="88">
        <f t="shared" si="134"/>
        <v>0</v>
      </c>
      <c r="AB283" s="107">
        <f t="array" ref="AB283">ROUNDDOWN(AVERAGE(IFERROR(LARGE((X$6:X282+Y$6:Y282)*Z$6:Z282*(G$6:G282=G283), SC_SSCalcYears),0))/(12*Z283),0)</f>
        <v>0</v>
      </c>
      <c r="AC283" s="211">
        <f t="shared" si="135"/>
        <v>1</v>
      </c>
      <c r="AD283" s="89">
        <f t="shared" si="136"/>
        <v>0</v>
      </c>
      <c r="AE283" s="141">
        <f t="shared" ca="1" si="137"/>
        <v>0</v>
      </c>
      <c r="AF283" s="106">
        <f t="shared" ca="1" si="138"/>
        <v>0</v>
      </c>
      <c r="AG283" s="110">
        <f t="shared" ca="1" si="139"/>
        <v>0</v>
      </c>
      <c r="AH283" s="617"/>
      <c r="AI283" s="617"/>
      <c r="AJ283" s="617"/>
      <c r="AK283" s="617"/>
      <c r="AL283" s="618"/>
      <c r="AM283" s="186">
        <f t="shared" ca="1" si="141"/>
        <v>0</v>
      </c>
      <c r="AN283" t="str">
        <f t="shared" ca="1" si="142"/>
        <v/>
      </c>
    </row>
    <row r="284" spans="2:40" x14ac:dyDescent="0.25">
      <c r="B284" s="65">
        <f t="shared" si="140"/>
        <v>2093</v>
      </c>
      <c r="C284" s="76" t="s">
        <v>741</v>
      </c>
      <c r="D284" s="146" t="str">
        <f t="shared" si="116"/>
        <v/>
      </c>
      <c r="E284" s="77">
        <f t="shared" si="115"/>
        <v>0</v>
      </c>
      <c r="F284" s="77">
        <f t="shared" si="121"/>
        <v>0</v>
      </c>
      <c r="G284" s="77">
        <f t="shared" si="120"/>
        <v>1</v>
      </c>
      <c r="H284" s="76">
        <f t="shared" si="117"/>
        <v>1</v>
      </c>
      <c r="I284" s="76">
        <f t="shared" si="118"/>
        <v>0</v>
      </c>
      <c r="J284" s="77">
        <f t="shared" si="122"/>
        <v>0</v>
      </c>
      <c r="K284" s="78">
        <f t="shared" ca="1" si="119"/>
        <v>0</v>
      </c>
      <c r="L284" s="470"/>
      <c r="M284" s="470"/>
      <c r="N284" s="470"/>
      <c r="O284" s="531"/>
      <c r="P284" s="70">
        <f t="shared" ca="1" si="123"/>
        <v>0</v>
      </c>
      <c r="Q284" s="70">
        <f t="shared" ca="1" si="124"/>
        <v>0</v>
      </c>
      <c r="R284" s="70">
        <f t="shared" ca="1" si="125"/>
        <v>0</v>
      </c>
      <c r="S284" s="70">
        <f t="shared" ca="1" si="126"/>
        <v>0</v>
      </c>
      <c r="T284" s="70">
        <f t="shared" ca="1" si="127"/>
        <v>0</v>
      </c>
      <c r="U284" s="70">
        <f t="shared" ca="1" si="128"/>
        <v>0</v>
      </c>
      <c r="V284" s="70">
        <f t="shared" ca="1" si="129"/>
        <v>0</v>
      </c>
      <c r="W284" s="70">
        <f t="shared" ca="1" si="130"/>
        <v>0</v>
      </c>
      <c r="X284" s="70">
        <f t="shared" si="131"/>
        <v>0</v>
      </c>
      <c r="Y284" s="70">
        <f t="shared" si="132"/>
        <v>0</v>
      </c>
      <c r="Z284" s="68">
        <f t="shared" si="133"/>
        <v>1</v>
      </c>
      <c r="AA284" s="84">
        <f t="shared" si="134"/>
        <v>0</v>
      </c>
      <c r="AB284" s="488">
        <f t="array" ref="AB284">ROUNDDOWN(AVERAGE(IFERROR(LARGE((X$6:X283+Y$6:Y283)*Z$6:Z283*(G$6:G283=G284), SC_SSCalcYears),0))/(12*Z284),0)</f>
        <v>0</v>
      </c>
      <c r="AC284" s="69">
        <f t="shared" si="135"/>
        <v>1</v>
      </c>
      <c r="AD284" s="85">
        <f t="shared" si="136"/>
        <v>0</v>
      </c>
      <c r="AE284" s="140">
        <f t="shared" ca="1" si="137"/>
        <v>0</v>
      </c>
      <c r="AF284" s="75">
        <f t="shared" ca="1" si="138"/>
        <v>0</v>
      </c>
      <c r="AG284" s="109">
        <f t="shared" ca="1" si="139"/>
        <v>0</v>
      </c>
      <c r="AH284" s="617">
        <f>SUMIFS($AE284:$AE285,SP_PensionPayout,"Lump sum",$E284:$E285,"&lt;&gt;0")</f>
        <v>0</v>
      </c>
      <c r="AI284" s="617">
        <f>SUMIFS($AE284:$AE285,SP_PensionPayout,"Annuity",$E284:$E285,"&lt;&gt;0")</f>
        <v>0</v>
      </c>
      <c r="AJ284" s="617">
        <f>IF(ISBLANK(INDEX(SP_SSPBFA,1)),0,IF($J284&lt;&gt;INDEX(SP_SSPBFA,1),AJ282,SP_AdditionalRI/INDEX(SC_EA_InflationWageIdx,EAIDX)))</f>
        <v>0</v>
      </c>
      <c r="AK284" s="617">
        <f ca="1">SUMPRODUCT(AF284:AF285, --(G284:G285&lt;&gt;0))</f>
        <v>0</v>
      </c>
      <c r="AL284" s="618">
        <f ca="1">SUMPRODUCT(AG284:AG285, --(E284:E285&lt;&gt;0))+AJ284</f>
        <v>0</v>
      </c>
      <c r="AM284" s="186">
        <f t="shared" ca="1" si="141"/>
        <v>0</v>
      </c>
      <c r="AN284" t="str">
        <f t="shared" ca="1" si="142"/>
        <v/>
      </c>
    </row>
    <row r="285" spans="2:40" x14ac:dyDescent="0.25">
      <c r="B285" s="86">
        <f t="shared" si="140"/>
        <v>2093</v>
      </c>
      <c r="C285" s="80" t="s">
        <v>741</v>
      </c>
      <c r="D285" s="147" t="str">
        <f t="shared" si="116"/>
        <v/>
      </c>
      <c r="E285" s="81">
        <f t="shared" si="115"/>
        <v>0</v>
      </c>
      <c r="F285" s="82">
        <f t="shared" si="121"/>
        <v>0</v>
      </c>
      <c r="G285" s="81">
        <f t="shared" si="120"/>
        <v>2</v>
      </c>
      <c r="H285" s="82">
        <f t="shared" si="117"/>
        <v>-1</v>
      </c>
      <c r="I285" s="82">
        <f t="shared" si="118"/>
        <v>0</v>
      </c>
      <c r="J285" s="81">
        <f t="shared" si="122"/>
        <v>0</v>
      </c>
      <c r="K285" s="83">
        <f t="shared" ca="1" si="119"/>
        <v>0</v>
      </c>
      <c r="L285" s="470"/>
      <c r="M285" s="470"/>
      <c r="N285" s="470"/>
      <c r="O285" s="531"/>
      <c r="P285" s="107">
        <f t="shared" ca="1" si="123"/>
        <v>0</v>
      </c>
      <c r="Q285" s="107">
        <f t="shared" ca="1" si="124"/>
        <v>0</v>
      </c>
      <c r="R285" s="107">
        <f t="shared" ca="1" si="125"/>
        <v>0</v>
      </c>
      <c r="S285" s="107">
        <f t="shared" ca="1" si="126"/>
        <v>0</v>
      </c>
      <c r="T285" s="107">
        <f t="shared" ca="1" si="127"/>
        <v>0</v>
      </c>
      <c r="U285" s="107">
        <f t="shared" ca="1" si="128"/>
        <v>0</v>
      </c>
      <c r="V285" s="107">
        <f t="shared" ca="1" si="129"/>
        <v>0</v>
      </c>
      <c r="W285" s="107">
        <f t="shared" ca="1" si="130"/>
        <v>0</v>
      </c>
      <c r="X285" s="107">
        <f t="shared" si="131"/>
        <v>0</v>
      </c>
      <c r="Y285" s="107">
        <f t="shared" si="132"/>
        <v>0</v>
      </c>
      <c r="Z285" s="87">
        <f t="shared" si="133"/>
        <v>1</v>
      </c>
      <c r="AA285" s="88">
        <f t="shared" si="134"/>
        <v>0</v>
      </c>
      <c r="AB285" s="107">
        <f t="array" ref="AB285">ROUNDDOWN(AVERAGE(IFERROR(LARGE((X$6:X284+Y$6:Y284)*Z$6:Z284*(G$6:G284=G285), SC_SSCalcYears),0))/(12*Z285),0)</f>
        <v>0</v>
      </c>
      <c r="AC285" s="211">
        <f t="shared" si="135"/>
        <v>1</v>
      </c>
      <c r="AD285" s="89">
        <f t="shared" si="136"/>
        <v>0</v>
      </c>
      <c r="AE285" s="141">
        <f t="shared" ca="1" si="137"/>
        <v>0</v>
      </c>
      <c r="AF285" s="106">
        <f t="shared" ca="1" si="138"/>
        <v>0</v>
      </c>
      <c r="AG285" s="110">
        <f t="shared" ca="1" si="139"/>
        <v>0</v>
      </c>
      <c r="AH285" s="617"/>
      <c r="AI285" s="617"/>
      <c r="AJ285" s="617"/>
      <c r="AK285" s="617"/>
      <c r="AL285" s="618"/>
      <c r="AM285" s="186">
        <f t="shared" ca="1" si="141"/>
        <v>0</v>
      </c>
      <c r="AN285" t="str">
        <f t="shared" ca="1" si="142"/>
        <v/>
      </c>
    </row>
    <row r="286" spans="2:40" x14ac:dyDescent="0.25">
      <c r="B286" s="65">
        <f t="shared" si="140"/>
        <v>2094</v>
      </c>
      <c r="C286" s="76" t="s">
        <v>741</v>
      </c>
      <c r="D286" s="146" t="str">
        <f t="shared" ref="D286:D287" si="143">INDEX(SP_Initials,G286)</f>
        <v/>
      </c>
      <c r="E286" s="77">
        <f t="shared" si="115"/>
        <v>0</v>
      </c>
      <c r="F286" s="77">
        <f t="shared" si="121"/>
        <v>0</v>
      </c>
      <c r="G286" s="77">
        <f t="shared" si="120"/>
        <v>1</v>
      </c>
      <c r="H286" s="76">
        <f t="shared" si="117"/>
        <v>1</v>
      </c>
      <c r="I286" s="76">
        <f t="shared" si="118"/>
        <v>0</v>
      </c>
      <c r="J286" s="77">
        <f t="shared" si="122"/>
        <v>0</v>
      </c>
      <c r="K286" s="78">
        <f t="shared" ca="1" si="119"/>
        <v>0</v>
      </c>
      <c r="L286" s="470"/>
      <c r="M286" s="470"/>
      <c r="N286" s="470"/>
      <c r="O286" s="531"/>
      <c r="P286" s="70">
        <f t="shared" ca="1" si="123"/>
        <v>0</v>
      </c>
      <c r="Q286" s="70">
        <f t="shared" ca="1" si="124"/>
        <v>0</v>
      </c>
      <c r="R286" s="70">
        <f t="shared" ca="1" si="125"/>
        <v>0</v>
      </c>
      <c r="S286" s="70">
        <f t="shared" ca="1" si="126"/>
        <v>0</v>
      </c>
      <c r="T286" s="70">
        <f t="shared" ref="T286:T287" ca="1" si="144">P286*ABS($K286)</f>
        <v>0</v>
      </c>
      <c r="U286" s="70">
        <f t="shared" ca="1" si="128"/>
        <v>0</v>
      </c>
      <c r="V286" s="70">
        <f t="shared" ca="1" si="129"/>
        <v>0</v>
      </c>
      <c r="W286" s="70">
        <f t="shared" ca="1" si="130"/>
        <v>0</v>
      </c>
      <c r="X286" s="70">
        <f t="shared" si="131"/>
        <v>0</v>
      </c>
      <c r="Y286" s="70">
        <f t="shared" si="132"/>
        <v>0</v>
      </c>
      <c r="Z286" s="68">
        <f t="shared" si="133"/>
        <v>1</v>
      </c>
      <c r="AA286" s="84">
        <f t="shared" ref="AA286:AA287" si="145">IF($J286=0, 0, ROUNDDOWN(MIN((X286+Y286)*Z286,LT_SSMaxCredit*Z286)/(LT_SSOneCredit*Z286), 0))</f>
        <v>0</v>
      </c>
      <c r="AB286" s="488">
        <f t="array" ref="AB286">ROUNDDOWN(AVERAGE(IFERROR(LARGE((X$6:X285+Y$6:Y285)*Z$6:Z285*(G$6:G285=G286), SC_SSCalcYears),0))/(12*Z286),0)</f>
        <v>0</v>
      </c>
      <c r="AC286" s="69">
        <f t="shared" si="135"/>
        <v>1</v>
      </c>
      <c r="AD286" s="85">
        <f t="shared" si="136"/>
        <v>0</v>
      </c>
      <c r="AE286" s="140">
        <f t="shared" ca="1" si="137"/>
        <v>0</v>
      </c>
      <c r="AF286" s="75">
        <f t="shared" ca="1" si="138"/>
        <v>0</v>
      </c>
      <c r="AG286" s="109">
        <f t="shared" ca="1" si="139"/>
        <v>0</v>
      </c>
      <c r="AH286" s="617">
        <f>SUMIFS($AE286:$AE287,SP_PensionPayout,"Lump sum",$E286:$E287,"&lt;&gt;0")</f>
        <v>0</v>
      </c>
      <c r="AI286" s="617">
        <f>SUMIFS($AE286:$AE287,SP_PensionPayout,"Annuity",$E286:$E287,"&lt;&gt;0")</f>
        <v>0</v>
      </c>
      <c r="AJ286" s="617">
        <f>IF(ISBLANK(INDEX(SP_SSPBFA,1)),0,IF($J286&lt;&gt;INDEX(SP_SSPBFA,1),AJ284,SP_AdditionalRI/INDEX(SC_EA_InflationWageIdx,EAIDX)))</f>
        <v>0</v>
      </c>
      <c r="AK286" s="617">
        <f ca="1">SUMPRODUCT(AF286:AF287, --(G286:G287&lt;&gt;0))</f>
        <v>0</v>
      </c>
      <c r="AL286" s="618">
        <f ca="1">SUMPRODUCT(AG286:AG287, --(E286:E287&lt;&gt;0))+AJ286</f>
        <v>0</v>
      </c>
      <c r="AM286" s="186">
        <f t="shared" ca="1" si="141"/>
        <v>0</v>
      </c>
      <c r="AN286" t="str">
        <f t="shared" ca="1" si="142"/>
        <v/>
      </c>
    </row>
    <row r="287" spans="2:40" x14ac:dyDescent="0.25">
      <c r="B287" s="86">
        <f t="shared" si="140"/>
        <v>2094</v>
      </c>
      <c r="C287" s="80" t="s">
        <v>741</v>
      </c>
      <c r="D287" s="147" t="str">
        <f t="shared" si="143"/>
        <v/>
      </c>
      <c r="E287" s="81">
        <f t="shared" si="115"/>
        <v>0</v>
      </c>
      <c r="F287" s="82">
        <f t="shared" si="121"/>
        <v>0</v>
      </c>
      <c r="G287" s="81">
        <f t="shared" si="120"/>
        <v>2</v>
      </c>
      <c r="H287" s="82">
        <f t="shared" si="117"/>
        <v>-1</v>
      </c>
      <c r="I287" s="82">
        <f t="shared" si="118"/>
        <v>0</v>
      </c>
      <c r="J287" s="81">
        <f t="shared" si="122"/>
        <v>0</v>
      </c>
      <c r="K287" s="83">
        <f t="shared" ca="1" si="119"/>
        <v>0</v>
      </c>
      <c r="L287" s="470"/>
      <c r="M287" s="470"/>
      <c r="N287" s="470"/>
      <c r="O287" s="531"/>
      <c r="P287" s="107">
        <f t="shared" ca="1" si="123"/>
        <v>0</v>
      </c>
      <c r="Q287" s="107">
        <f t="shared" ca="1" si="124"/>
        <v>0</v>
      </c>
      <c r="R287" s="107">
        <f t="shared" ca="1" si="125"/>
        <v>0</v>
      </c>
      <c r="S287" s="107">
        <f t="shared" ca="1" si="126"/>
        <v>0</v>
      </c>
      <c r="T287" s="107">
        <f t="shared" ca="1" si="144"/>
        <v>0</v>
      </c>
      <c r="U287" s="107">
        <f t="shared" ca="1" si="128"/>
        <v>0</v>
      </c>
      <c r="V287" s="107">
        <f t="shared" ca="1" si="129"/>
        <v>0</v>
      </c>
      <c r="W287" s="107">
        <f t="shared" ca="1" si="130"/>
        <v>0</v>
      </c>
      <c r="X287" s="107">
        <f t="shared" si="131"/>
        <v>0</v>
      </c>
      <c r="Y287" s="107">
        <f t="shared" si="132"/>
        <v>0</v>
      </c>
      <c r="Z287" s="87">
        <f t="shared" si="133"/>
        <v>1</v>
      </c>
      <c r="AA287" s="88">
        <f t="shared" si="145"/>
        <v>0</v>
      </c>
      <c r="AB287" s="107">
        <f t="array" ref="AB287">ROUNDDOWN(AVERAGE(IFERROR(LARGE((X$6:X286+Y$6:Y286)*Z$6:Z286*(G$6:G286=G287), SC_SSCalcYears),0))/(12*Z287),0)</f>
        <v>0</v>
      </c>
      <c r="AC287" s="211">
        <f t="shared" si="135"/>
        <v>1</v>
      </c>
      <c r="AD287" s="89">
        <f t="shared" si="136"/>
        <v>0</v>
      </c>
      <c r="AE287" s="141">
        <f t="shared" ca="1" si="137"/>
        <v>0</v>
      </c>
      <c r="AF287" s="106">
        <f t="shared" ca="1" si="138"/>
        <v>0</v>
      </c>
      <c r="AG287" s="110">
        <f t="shared" ca="1" si="139"/>
        <v>0</v>
      </c>
      <c r="AH287" s="617"/>
      <c r="AI287" s="617"/>
      <c r="AJ287" s="617"/>
      <c r="AK287" s="617"/>
      <c r="AL287" s="618"/>
      <c r="AM287" s="186">
        <f t="shared" ca="1" si="141"/>
        <v>0</v>
      </c>
      <c r="AN287" t="str">
        <f t="shared" ca="1" si="142"/>
        <v/>
      </c>
    </row>
    <row r="288" spans="2:40" x14ac:dyDescent="0.25">
      <c r="B288" s="65">
        <f t="shared" si="140"/>
        <v>2095</v>
      </c>
      <c r="C288" s="76" t="s">
        <v>741</v>
      </c>
      <c r="D288" s="146" t="str">
        <f t="shared" si="116"/>
        <v/>
      </c>
      <c r="E288" s="77">
        <f t="shared" si="115"/>
        <v>0</v>
      </c>
      <c r="F288" s="77">
        <f t="shared" si="121"/>
        <v>0</v>
      </c>
      <c r="G288" s="77">
        <f t="shared" si="120"/>
        <v>1</v>
      </c>
      <c r="H288" s="76">
        <f t="shared" si="117"/>
        <v>1</v>
      </c>
      <c r="I288" s="76">
        <f t="shared" si="118"/>
        <v>0</v>
      </c>
      <c r="J288" s="77">
        <f t="shared" si="122"/>
        <v>0</v>
      </c>
      <c r="K288" s="78">
        <f t="shared" ca="1" si="119"/>
        <v>0</v>
      </c>
      <c r="L288" s="470"/>
      <c r="M288" s="470"/>
      <c r="N288" s="470"/>
      <c r="O288" s="531"/>
      <c r="P288" s="70">
        <f t="shared" ca="1" si="123"/>
        <v>0</v>
      </c>
      <c r="Q288" s="70">
        <f t="shared" ca="1" si="124"/>
        <v>0</v>
      </c>
      <c r="R288" s="70">
        <f t="shared" ca="1" si="125"/>
        <v>0</v>
      </c>
      <c r="S288" s="70">
        <f t="shared" ca="1" si="126"/>
        <v>0</v>
      </c>
      <c r="T288" s="70">
        <f t="shared" ca="1" si="127"/>
        <v>0</v>
      </c>
      <c r="U288" s="70">
        <f t="shared" ca="1" si="128"/>
        <v>0</v>
      </c>
      <c r="V288" s="70">
        <f t="shared" ca="1" si="129"/>
        <v>0</v>
      </c>
      <c r="W288" s="70">
        <f t="shared" ca="1" si="130"/>
        <v>0</v>
      </c>
      <c r="X288" s="70">
        <f t="shared" si="131"/>
        <v>0</v>
      </c>
      <c r="Y288" s="70">
        <f t="shared" si="132"/>
        <v>0</v>
      </c>
      <c r="Z288" s="68">
        <f t="shared" si="133"/>
        <v>1</v>
      </c>
      <c r="AA288" s="84">
        <f t="shared" si="134"/>
        <v>0</v>
      </c>
      <c r="AB288" s="488">
        <f t="array" ref="AB288">ROUNDDOWN(AVERAGE(IFERROR(LARGE((X$6:X287+Y$6:Y287)*Z$6:Z287*(G$6:G287=G288), SC_SSCalcYears),0))/(12*Z288),0)</f>
        <v>0</v>
      </c>
      <c r="AC288" s="69">
        <f t="shared" si="135"/>
        <v>1</v>
      </c>
      <c r="AD288" s="85">
        <f t="shared" si="136"/>
        <v>0</v>
      </c>
      <c r="AE288" s="140">
        <f t="shared" ca="1" si="137"/>
        <v>0</v>
      </c>
      <c r="AF288" s="75">
        <f t="shared" ca="1" si="138"/>
        <v>0</v>
      </c>
      <c r="AG288" s="109">
        <f t="shared" ca="1" si="139"/>
        <v>0</v>
      </c>
      <c r="AH288" s="617">
        <f>SUMIFS($AE288:$AE289,SP_PensionPayout,"Lump sum",$E288:$E289,"&lt;&gt;0")</f>
        <v>0</v>
      </c>
      <c r="AI288" s="617">
        <f>SUMIFS($AE288:$AE289,SP_PensionPayout,"Annuity",$E288:$E289,"&lt;&gt;0")</f>
        <v>0</v>
      </c>
      <c r="AJ288" s="617">
        <f>IF(ISBLANK(INDEX(SP_SSPBFA,1)),0,IF($J288&lt;&gt;INDEX(SP_SSPBFA,1),AJ284,SP_AdditionalRI/INDEX(SC_EA_InflationWageIdx,EAIDX)))</f>
        <v>0</v>
      </c>
      <c r="AK288" s="617">
        <f ca="1">SUMPRODUCT(AF288:AF289, --(G288:G289&lt;&gt;0))</f>
        <v>0</v>
      </c>
      <c r="AL288" s="618">
        <f ca="1">SUMPRODUCT(AG288:AG289, --(E288:E289&lt;&gt;0))+AJ288</f>
        <v>0</v>
      </c>
      <c r="AM288" s="186">
        <f t="shared" ca="1" si="141"/>
        <v>0</v>
      </c>
      <c r="AN288" t="str">
        <f t="shared" ca="1" si="142"/>
        <v/>
      </c>
    </row>
    <row r="289" spans="1:40" x14ac:dyDescent="0.25">
      <c r="B289" s="86">
        <f t="shared" si="140"/>
        <v>2095</v>
      </c>
      <c r="C289" s="80" t="s">
        <v>741</v>
      </c>
      <c r="D289" s="147" t="str">
        <f t="shared" si="116"/>
        <v/>
      </c>
      <c r="E289" s="81">
        <f t="shared" si="115"/>
        <v>0</v>
      </c>
      <c r="F289" s="82">
        <f t="shared" si="121"/>
        <v>0</v>
      </c>
      <c r="G289" s="81">
        <f t="shared" si="120"/>
        <v>2</v>
      </c>
      <c r="H289" s="82">
        <f t="shared" si="117"/>
        <v>-1</v>
      </c>
      <c r="I289" s="82">
        <f t="shared" si="118"/>
        <v>0</v>
      </c>
      <c r="J289" s="81">
        <f t="shared" si="122"/>
        <v>0</v>
      </c>
      <c r="K289" s="83">
        <f t="shared" ca="1" si="119"/>
        <v>0</v>
      </c>
      <c r="L289" s="470"/>
      <c r="M289" s="470"/>
      <c r="N289" s="470"/>
      <c r="O289" s="531"/>
      <c r="P289" s="107">
        <f t="shared" ca="1" si="123"/>
        <v>0</v>
      </c>
      <c r="Q289" s="107">
        <f t="shared" ca="1" si="124"/>
        <v>0</v>
      </c>
      <c r="R289" s="107">
        <f t="shared" ca="1" si="125"/>
        <v>0</v>
      </c>
      <c r="S289" s="107">
        <f t="shared" ca="1" si="126"/>
        <v>0</v>
      </c>
      <c r="T289" s="107">
        <f t="shared" ca="1" si="127"/>
        <v>0</v>
      </c>
      <c r="U289" s="107">
        <f t="shared" ca="1" si="128"/>
        <v>0</v>
      </c>
      <c r="V289" s="107">
        <f t="shared" ca="1" si="129"/>
        <v>0</v>
      </c>
      <c r="W289" s="107">
        <f t="shared" ca="1" si="130"/>
        <v>0</v>
      </c>
      <c r="X289" s="107">
        <f t="shared" si="131"/>
        <v>0</v>
      </c>
      <c r="Y289" s="107">
        <f t="shared" si="132"/>
        <v>0</v>
      </c>
      <c r="Z289" s="87">
        <f t="shared" si="133"/>
        <v>1</v>
      </c>
      <c r="AA289" s="88">
        <f t="shared" si="134"/>
        <v>0</v>
      </c>
      <c r="AB289" s="107">
        <f t="array" ref="AB289">ROUNDDOWN(AVERAGE(IFERROR(LARGE((X$6:X288+Y$6:Y288)*Z$6:Z288*(G$6:G288=G289), SC_SSCalcYears),0))/(12*Z289),0)</f>
        <v>0</v>
      </c>
      <c r="AC289" s="211">
        <f t="shared" si="135"/>
        <v>1</v>
      </c>
      <c r="AD289" s="89">
        <f t="shared" si="136"/>
        <v>0</v>
      </c>
      <c r="AE289" s="141">
        <f t="shared" ca="1" si="137"/>
        <v>0</v>
      </c>
      <c r="AF289" s="106">
        <f t="shared" ca="1" si="138"/>
        <v>0</v>
      </c>
      <c r="AG289" s="110">
        <f t="shared" ca="1" si="139"/>
        <v>0</v>
      </c>
      <c r="AH289" s="617"/>
      <c r="AI289" s="617"/>
      <c r="AJ289" s="617"/>
      <c r="AK289" s="617"/>
      <c r="AL289" s="618"/>
      <c r="AM289" s="186">
        <f t="shared" ca="1" si="141"/>
        <v>0</v>
      </c>
      <c r="AN289" t="str">
        <f t="shared" ca="1" si="142"/>
        <v/>
      </c>
    </row>
    <row r="290" spans="1:40" x14ac:dyDescent="0.25">
      <c r="A290" s="311"/>
      <c r="B290" s="312">
        <f t="shared" si="140"/>
        <v>2096</v>
      </c>
      <c r="C290" s="76" t="s">
        <v>741</v>
      </c>
      <c r="D290" s="146" t="str">
        <f t="shared" ref="D290:D291" si="146">INDEX(SP_Initials,G290)</f>
        <v/>
      </c>
      <c r="E290" s="77">
        <f t="shared" si="115"/>
        <v>0</v>
      </c>
      <c r="F290" s="77">
        <f t="shared" si="121"/>
        <v>0</v>
      </c>
      <c r="G290" s="77">
        <f t="shared" si="120"/>
        <v>1</v>
      </c>
      <c r="H290" s="76">
        <f t="shared" si="117"/>
        <v>1</v>
      </c>
      <c r="I290" s="76">
        <f t="shared" si="118"/>
        <v>0</v>
      </c>
      <c r="J290" s="77">
        <f t="shared" si="122"/>
        <v>0</v>
      </c>
      <c r="K290" s="78">
        <f t="shared" ca="1" si="119"/>
        <v>0</v>
      </c>
      <c r="L290" s="470"/>
      <c r="M290" s="470"/>
      <c r="N290" s="470"/>
      <c r="O290" s="531"/>
      <c r="P290" s="313">
        <f t="shared" ca="1" si="123"/>
        <v>0</v>
      </c>
      <c r="Q290" s="313">
        <f t="shared" ca="1" si="124"/>
        <v>0</v>
      </c>
      <c r="R290" s="313">
        <f t="shared" ca="1" si="125"/>
        <v>0</v>
      </c>
      <c r="S290" s="313">
        <f t="shared" ca="1" si="126"/>
        <v>0</v>
      </c>
      <c r="T290" s="313">
        <f t="shared" ref="T290:T291" ca="1" si="147">P290*ABS($K290)</f>
        <v>0</v>
      </c>
      <c r="U290" s="313">
        <f t="shared" ref="U290:U291" ca="1" si="148">Q290*ABS($K290)</f>
        <v>0</v>
      </c>
      <c r="V290" s="313">
        <f t="shared" ref="V290:V291" ca="1" si="149">MAX(T290-ABS($S290)*ABS($K290), 0)</f>
        <v>0</v>
      </c>
      <c r="W290" s="313">
        <f t="shared" ref="W290:W291" ca="1" si="150">MAX(U290-MAX(ABS($S290)*ABS($K290)-P290, 0),0)</f>
        <v>0</v>
      </c>
      <c r="X290" s="313">
        <f t="shared" si="131"/>
        <v>0</v>
      </c>
      <c r="Y290" s="313">
        <f t="shared" si="132"/>
        <v>0</v>
      </c>
      <c r="Z290" s="68">
        <f t="shared" si="133"/>
        <v>1</v>
      </c>
      <c r="AA290" s="84">
        <f t="shared" ref="AA290:AA291" si="151">IF($J290=0, 0, ROUNDDOWN(MIN((X290+Y290)*Z290,LT_SSMaxCredit*Z290)/(LT_SSOneCredit*Z290), 0))</f>
        <v>0</v>
      </c>
      <c r="AB290" s="488">
        <f t="array" ref="AB290">ROUNDDOWN(AVERAGE(IFERROR(LARGE((X$6:X289+Y$6:Y289)*Z$6:Z289*(G$6:G289=G290), SC_SSCalcYears),0))/(12*Z290),0)</f>
        <v>0</v>
      </c>
      <c r="AC290" s="69">
        <f t="shared" si="135"/>
        <v>1</v>
      </c>
      <c r="AD290" s="85">
        <f t="shared" si="136"/>
        <v>0</v>
      </c>
      <c r="AE290" s="140">
        <f t="shared" ca="1" si="137"/>
        <v>0</v>
      </c>
      <c r="AF290" s="315">
        <f t="shared" ca="1" si="138"/>
        <v>0</v>
      </c>
      <c r="AG290" s="314">
        <f t="shared" ca="1" si="139"/>
        <v>0</v>
      </c>
      <c r="AH290" s="617">
        <f>SUMIFS($AE290:$AE291,SP_PensionPayout,"Lump sum",$E290:$E291,"&lt;&gt;0")</f>
        <v>0</v>
      </c>
      <c r="AI290" s="617">
        <f>SUMIFS($AE290:$AE291,SP_PensionPayout,"Annuity",$E290:$E291,"&lt;&gt;0")</f>
        <v>0</v>
      </c>
      <c r="AJ290" s="617">
        <f>IF(ISBLANK(INDEX(SP_SSPBFA,1)),0,IF($J290&lt;&gt;INDEX(SP_SSPBFA,1),AJ286,SP_AdditionalRI/INDEX(SC_EA_InflationWageIdx,EAIDX)))</f>
        <v>0</v>
      </c>
      <c r="AK290" s="617">
        <f ca="1">SUMPRODUCT(AF290:AF291, --(G290:G291&lt;&gt;0))</f>
        <v>0</v>
      </c>
      <c r="AL290" s="618">
        <f ca="1">SUMPRODUCT(AG290:AG291, --(E290:E291&lt;&gt;0))+AJ290</f>
        <v>0</v>
      </c>
      <c r="AM290" s="186">
        <f t="shared" ca="1" si="141"/>
        <v>0</v>
      </c>
      <c r="AN290" s="311" t="str">
        <f t="shared" ref="AN290:AN291" ca="1" si="152">IFERROR(VLOOKUP(AM290,IV_CodeTable,2,FALSE),"")</f>
        <v/>
      </c>
    </row>
    <row r="291" spans="1:40" x14ac:dyDescent="0.25">
      <c r="A291" s="311"/>
      <c r="B291" s="86">
        <f t="shared" si="140"/>
        <v>2096</v>
      </c>
      <c r="C291" s="80" t="s">
        <v>741</v>
      </c>
      <c r="D291" s="147" t="str">
        <f t="shared" si="146"/>
        <v/>
      </c>
      <c r="E291" s="81">
        <f t="shared" si="115"/>
        <v>0</v>
      </c>
      <c r="F291" s="82">
        <f t="shared" si="121"/>
        <v>0</v>
      </c>
      <c r="G291" s="81">
        <f t="shared" si="120"/>
        <v>2</v>
      </c>
      <c r="H291" s="82">
        <f t="shared" si="117"/>
        <v>-1</v>
      </c>
      <c r="I291" s="82">
        <f t="shared" si="118"/>
        <v>0</v>
      </c>
      <c r="J291" s="81">
        <f t="shared" si="122"/>
        <v>0</v>
      </c>
      <c r="K291" s="83">
        <f t="shared" ca="1" si="119"/>
        <v>0</v>
      </c>
      <c r="L291" s="470"/>
      <c r="M291" s="470"/>
      <c r="N291" s="470"/>
      <c r="O291" s="531"/>
      <c r="P291" s="107">
        <f t="shared" ca="1" si="123"/>
        <v>0</v>
      </c>
      <c r="Q291" s="107">
        <f t="shared" ca="1" si="124"/>
        <v>0</v>
      </c>
      <c r="R291" s="107">
        <f t="shared" ca="1" si="125"/>
        <v>0</v>
      </c>
      <c r="S291" s="107">
        <f t="shared" ca="1" si="126"/>
        <v>0</v>
      </c>
      <c r="T291" s="107">
        <f t="shared" ca="1" si="147"/>
        <v>0</v>
      </c>
      <c r="U291" s="107">
        <f t="shared" ca="1" si="148"/>
        <v>0</v>
      </c>
      <c r="V291" s="107">
        <f t="shared" ca="1" si="149"/>
        <v>0</v>
      </c>
      <c r="W291" s="107">
        <f t="shared" ca="1" si="150"/>
        <v>0</v>
      </c>
      <c r="X291" s="107">
        <f t="shared" si="131"/>
        <v>0</v>
      </c>
      <c r="Y291" s="107">
        <f t="shared" si="132"/>
        <v>0</v>
      </c>
      <c r="Z291" s="87">
        <f t="shared" si="133"/>
        <v>1</v>
      </c>
      <c r="AA291" s="88">
        <f t="shared" si="151"/>
        <v>0</v>
      </c>
      <c r="AB291" s="107">
        <f t="array" ref="AB291">ROUNDDOWN(AVERAGE(IFERROR(LARGE((X$6:X290+Y$6:Y290)*Z$6:Z290*(G$6:G290=G291), SC_SSCalcYears),0))/(12*Z291),0)</f>
        <v>0</v>
      </c>
      <c r="AC291" s="211">
        <f t="shared" si="135"/>
        <v>1</v>
      </c>
      <c r="AD291" s="89">
        <f t="shared" si="136"/>
        <v>0</v>
      </c>
      <c r="AE291" s="141">
        <f t="shared" ca="1" si="137"/>
        <v>0</v>
      </c>
      <c r="AF291" s="106">
        <f t="shared" ca="1" si="138"/>
        <v>0</v>
      </c>
      <c r="AG291" s="110">
        <f t="shared" ca="1" si="139"/>
        <v>0</v>
      </c>
      <c r="AH291" s="617"/>
      <c r="AI291" s="617"/>
      <c r="AJ291" s="617"/>
      <c r="AK291" s="617"/>
      <c r="AL291" s="618"/>
      <c r="AM291" s="186">
        <f t="shared" ca="1" si="141"/>
        <v>0</v>
      </c>
      <c r="AN291" s="311" t="str">
        <f t="shared" ca="1" si="152"/>
        <v/>
      </c>
    </row>
    <row r="292" spans="1:40" x14ac:dyDescent="0.25">
      <c r="B292" s="411">
        <f t="shared" si="140"/>
        <v>2097</v>
      </c>
      <c r="C292" s="76" t="s">
        <v>741</v>
      </c>
      <c r="D292" s="146" t="str">
        <f t="shared" ref="D292:D297" si="153">INDEX(SP_Initials,G292)</f>
        <v/>
      </c>
      <c r="E292" s="77">
        <f t="shared" si="115"/>
        <v>0</v>
      </c>
      <c r="F292" s="77">
        <f t="shared" si="121"/>
        <v>0</v>
      </c>
      <c r="G292" s="77">
        <f t="shared" si="120"/>
        <v>1</v>
      </c>
      <c r="H292" s="76">
        <f t="shared" si="117"/>
        <v>1</v>
      </c>
      <c r="I292" s="76">
        <f t="shared" si="118"/>
        <v>0</v>
      </c>
      <c r="J292" s="77">
        <f t="shared" si="122"/>
        <v>0</v>
      </c>
      <c r="K292" s="78">
        <f t="shared" ca="1" si="119"/>
        <v>0</v>
      </c>
      <c r="L292" s="470"/>
      <c r="M292" s="470"/>
      <c r="N292" s="470"/>
      <c r="O292" s="531"/>
      <c r="P292" s="413">
        <f t="shared" ca="1" si="123"/>
        <v>0</v>
      </c>
      <c r="Q292" s="413">
        <f t="shared" ca="1" si="124"/>
        <v>0</v>
      </c>
      <c r="R292" s="413">
        <f t="shared" ca="1" si="125"/>
        <v>0</v>
      </c>
      <c r="S292" s="413">
        <f t="shared" ca="1" si="126"/>
        <v>0</v>
      </c>
      <c r="T292" s="413">
        <f t="shared" ref="T292:T297" ca="1" si="154">P292*ABS($K292)</f>
        <v>0</v>
      </c>
      <c r="U292" s="413">
        <f t="shared" ref="U292:U297" ca="1" si="155">Q292*ABS($K292)</f>
        <v>0</v>
      </c>
      <c r="V292" s="413">
        <f t="shared" ref="V292:V297" ca="1" si="156">MAX(T292-ABS($S292)*ABS($K292), 0)</f>
        <v>0</v>
      </c>
      <c r="W292" s="413">
        <f t="shared" ref="W292:W297" ca="1" si="157">MAX(U292-MAX(ABS($S292)*ABS($K292)-P292, 0),0)</f>
        <v>0</v>
      </c>
      <c r="X292" s="413">
        <f t="shared" si="131"/>
        <v>0</v>
      </c>
      <c r="Y292" s="413">
        <f t="shared" si="132"/>
        <v>0</v>
      </c>
      <c r="Z292" s="68">
        <f t="shared" si="133"/>
        <v>1</v>
      </c>
      <c r="AA292" s="84">
        <f t="shared" ref="AA292:AA297" si="158">IF($J292=0, 0, ROUNDDOWN(MIN((X292+Y292)*Z292,LT_SSMaxCredit*Z292)/(LT_SSOneCredit*Z292), 0))</f>
        <v>0</v>
      </c>
      <c r="AB292" s="488">
        <f t="array" ref="AB292">ROUNDDOWN(AVERAGE(IFERROR(LARGE((X$6:X291+Y$6:Y291)*Z$6:Z291*(G$6:G291=G292), SC_SSCalcYears),0))/(12*Z292),0)</f>
        <v>0</v>
      </c>
      <c r="AC292" s="69">
        <f t="shared" si="135"/>
        <v>1</v>
      </c>
      <c r="AD292" s="85">
        <f t="shared" si="136"/>
        <v>0</v>
      </c>
      <c r="AE292" s="140">
        <f t="shared" ca="1" si="137"/>
        <v>0</v>
      </c>
      <c r="AF292" s="412">
        <f t="shared" ca="1" si="138"/>
        <v>0</v>
      </c>
      <c r="AG292" s="414">
        <f t="shared" ca="1" si="139"/>
        <v>0</v>
      </c>
      <c r="AH292" s="617">
        <f>SUMIFS($AE292:$AE293,SP_PensionPayout,"Lump sum",$E292:$E293,"&lt;&gt;0")</f>
        <v>0</v>
      </c>
      <c r="AI292" s="617">
        <f>SUMIFS($AE292:$AE293,SP_PensionPayout,"Annuity",$E292:$E293,"&lt;&gt;0")</f>
        <v>0</v>
      </c>
      <c r="AJ292" s="617">
        <f>IF(ISBLANK(INDEX(SP_SSPBFA,1)),0,IF($J292&lt;&gt;INDEX(SP_SSPBFA,1),AJ288,SP_AdditionalRI/INDEX(SC_EA_InflationWageIdx,EAIDX)))</f>
        <v>0</v>
      </c>
      <c r="AK292" s="617">
        <f ca="1">SUMPRODUCT(AF292:AF293, --(G292:G293&lt;&gt;0))</f>
        <v>0</v>
      </c>
      <c r="AL292" s="618">
        <f ca="1">SUMPRODUCT(AG292:AG293, --(E292:E293&lt;&gt;0))+AJ292</f>
        <v>0</v>
      </c>
      <c r="AM292" s="186">
        <f t="shared" ca="1" si="141"/>
        <v>0</v>
      </c>
      <c r="AN292" s="410" t="str">
        <f t="shared" ref="AN292:AN293" ca="1" si="159">IFERROR(VLOOKUP(AM292,IV_CodeTable,2,FALSE),"")</f>
        <v/>
      </c>
    </row>
    <row r="293" spans="1:40" x14ac:dyDescent="0.25">
      <c r="B293" s="86">
        <f t="shared" si="140"/>
        <v>2097</v>
      </c>
      <c r="C293" s="80" t="s">
        <v>741</v>
      </c>
      <c r="D293" s="147" t="str">
        <f t="shared" si="153"/>
        <v/>
      </c>
      <c r="E293" s="81">
        <f t="shared" si="115"/>
        <v>0</v>
      </c>
      <c r="F293" s="82">
        <f t="shared" si="121"/>
        <v>0</v>
      </c>
      <c r="G293" s="81">
        <f t="shared" si="120"/>
        <v>2</v>
      </c>
      <c r="H293" s="82">
        <f t="shared" si="117"/>
        <v>-1</v>
      </c>
      <c r="I293" s="82">
        <f t="shared" si="118"/>
        <v>0</v>
      </c>
      <c r="J293" s="81">
        <f t="shared" si="122"/>
        <v>0</v>
      </c>
      <c r="K293" s="83">
        <f t="shared" ca="1" si="119"/>
        <v>0</v>
      </c>
      <c r="L293" s="470"/>
      <c r="M293" s="470"/>
      <c r="N293" s="470"/>
      <c r="O293" s="531"/>
      <c r="P293" s="107">
        <f t="shared" ca="1" si="123"/>
        <v>0</v>
      </c>
      <c r="Q293" s="107">
        <f t="shared" ca="1" si="124"/>
        <v>0</v>
      </c>
      <c r="R293" s="107">
        <f t="shared" ca="1" si="125"/>
        <v>0</v>
      </c>
      <c r="S293" s="107">
        <f t="shared" ca="1" si="126"/>
        <v>0</v>
      </c>
      <c r="T293" s="107">
        <f t="shared" ca="1" si="154"/>
        <v>0</v>
      </c>
      <c r="U293" s="107">
        <f t="shared" ca="1" si="155"/>
        <v>0</v>
      </c>
      <c r="V293" s="107">
        <f t="shared" ca="1" si="156"/>
        <v>0</v>
      </c>
      <c r="W293" s="107">
        <f t="shared" ca="1" si="157"/>
        <v>0</v>
      </c>
      <c r="X293" s="107">
        <f t="shared" si="131"/>
        <v>0</v>
      </c>
      <c r="Y293" s="107">
        <f t="shared" si="132"/>
        <v>0</v>
      </c>
      <c r="Z293" s="87">
        <f t="shared" si="133"/>
        <v>1</v>
      </c>
      <c r="AA293" s="88">
        <f t="shared" si="158"/>
        <v>0</v>
      </c>
      <c r="AB293" s="107">
        <f t="array" ref="AB293">ROUNDDOWN(AVERAGE(IFERROR(LARGE((X$6:X292+Y$6:Y292)*Z$6:Z292*(G$6:G292=G293), SC_SSCalcYears),0))/(12*Z293),0)</f>
        <v>0</v>
      </c>
      <c r="AC293" s="211">
        <f t="shared" si="135"/>
        <v>1</v>
      </c>
      <c r="AD293" s="89">
        <f t="shared" si="136"/>
        <v>0</v>
      </c>
      <c r="AE293" s="141">
        <f t="shared" ca="1" si="137"/>
        <v>0</v>
      </c>
      <c r="AF293" s="106">
        <f t="shared" ca="1" si="138"/>
        <v>0</v>
      </c>
      <c r="AG293" s="110">
        <f t="shared" ca="1" si="139"/>
        <v>0</v>
      </c>
      <c r="AH293" s="617"/>
      <c r="AI293" s="617"/>
      <c r="AJ293" s="617"/>
      <c r="AK293" s="617"/>
      <c r="AL293" s="618"/>
      <c r="AM293" s="186">
        <f t="shared" ca="1" si="141"/>
        <v>0</v>
      </c>
      <c r="AN293" s="410" t="str">
        <f t="shared" ca="1" si="159"/>
        <v/>
      </c>
    </row>
    <row r="294" spans="1:40" x14ac:dyDescent="0.25">
      <c r="B294" s="411">
        <f t="shared" si="140"/>
        <v>2098</v>
      </c>
      <c r="C294" s="76" t="s">
        <v>741</v>
      </c>
      <c r="D294" s="146" t="str">
        <f t="shared" si="153"/>
        <v/>
      </c>
      <c r="E294" s="77">
        <f t="shared" si="115"/>
        <v>0</v>
      </c>
      <c r="F294" s="77">
        <f t="shared" si="121"/>
        <v>0</v>
      </c>
      <c r="G294" s="77">
        <f t="shared" si="120"/>
        <v>1</v>
      </c>
      <c r="H294" s="76">
        <f t="shared" si="117"/>
        <v>1</v>
      </c>
      <c r="I294" s="76">
        <f t="shared" si="118"/>
        <v>0</v>
      </c>
      <c r="J294" s="77">
        <f t="shared" si="122"/>
        <v>0</v>
      </c>
      <c r="K294" s="78">
        <f t="shared" ca="1" si="119"/>
        <v>0</v>
      </c>
      <c r="L294" s="470"/>
      <c r="M294" s="470"/>
      <c r="N294" s="470"/>
      <c r="O294" s="531"/>
      <c r="P294" s="413">
        <f t="shared" ca="1" si="123"/>
        <v>0</v>
      </c>
      <c r="Q294" s="413">
        <f t="shared" ca="1" si="124"/>
        <v>0</v>
      </c>
      <c r="R294" s="413">
        <f t="shared" ca="1" si="125"/>
        <v>0</v>
      </c>
      <c r="S294" s="413">
        <f t="shared" ca="1" si="126"/>
        <v>0</v>
      </c>
      <c r="T294" s="413">
        <f t="shared" ca="1" si="154"/>
        <v>0</v>
      </c>
      <c r="U294" s="413">
        <f t="shared" ca="1" si="155"/>
        <v>0</v>
      </c>
      <c r="V294" s="413">
        <f t="shared" ca="1" si="156"/>
        <v>0</v>
      </c>
      <c r="W294" s="413">
        <f t="shared" ca="1" si="157"/>
        <v>0</v>
      </c>
      <c r="X294" s="413">
        <f t="shared" si="131"/>
        <v>0</v>
      </c>
      <c r="Y294" s="413">
        <f t="shared" si="132"/>
        <v>0</v>
      </c>
      <c r="Z294" s="68">
        <f t="shared" si="133"/>
        <v>1</v>
      </c>
      <c r="AA294" s="84">
        <f t="shared" si="158"/>
        <v>0</v>
      </c>
      <c r="AB294" s="488">
        <f t="array" ref="AB294">ROUNDDOWN(AVERAGE(IFERROR(LARGE((X$6:X293+Y$6:Y293)*Z$6:Z293*(G$6:G293=G294), SC_SSCalcYears),0))/(12*Z294),0)</f>
        <v>0</v>
      </c>
      <c r="AC294" s="69">
        <f t="shared" si="135"/>
        <v>1</v>
      </c>
      <c r="AD294" s="85">
        <f t="shared" si="136"/>
        <v>0</v>
      </c>
      <c r="AE294" s="140">
        <f t="shared" ca="1" si="137"/>
        <v>0</v>
      </c>
      <c r="AF294" s="412">
        <f t="shared" ca="1" si="138"/>
        <v>0</v>
      </c>
      <c r="AG294" s="414">
        <f t="shared" ca="1" si="139"/>
        <v>0</v>
      </c>
      <c r="AH294" s="617">
        <f>SUMIFS($AE294:$AE295,SP_PensionPayout,"Lump sum",$E294:$E295,"&lt;&gt;0")</f>
        <v>0</v>
      </c>
      <c r="AI294" s="617">
        <f>SUMIFS($AE294:$AE295,SP_PensionPayout,"Annuity",$E294:$E295,"&lt;&gt;0")</f>
        <v>0</v>
      </c>
      <c r="AJ294" s="617">
        <f>IF(ISBLANK(INDEX(SP_SSPBFA,1)),0,IF($J294&lt;&gt;INDEX(SP_SSPBFA,1),AJ290,SP_AdditionalRI/INDEX(SC_EA_InflationWageIdx,EAIDX)))</f>
        <v>0</v>
      </c>
      <c r="AK294" s="617">
        <f ca="1">SUMPRODUCT(AF294:AF295, --(G294:G295&lt;&gt;0))</f>
        <v>0</v>
      </c>
      <c r="AL294" s="618">
        <f ca="1">SUMPRODUCT(AG294:AG295, --(E294:E295&lt;&gt;0))+AJ294</f>
        <v>0</v>
      </c>
      <c r="AM294" s="186">
        <f t="shared" ca="1" si="141"/>
        <v>0</v>
      </c>
      <c r="AN294" s="410" t="str">
        <f t="shared" ref="AN294:AN299" ca="1" si="160">IFERROR(VLOOKUP(AM294,IV_CodeTable,2,FALSE),"")</f>
        <v/>
      </c>
    </row>
    <row r="295" spans="1:40" x14ac:dyDescent="0.25">
      <c r="B295" s="86">
        <f t="shared" si="140"/>
        <v>2098</v>
      </c>
      <c r="C295" s="80" t="s">
        <v>741</v>
      </c>
      <c r="D295" s="147" t="str">
        <f t="shared" si="153"/>
        <v/>
      </c>
      <c r="E295" s="81">
        <f t="shared" si="115"/>
        <v>0</v>
      </c>
      <c r="F295" s="82">
        <f t="shared" si="121"/>
        <v>0</v>
      </c>
      <c r="G295" s="81">
        <f t="shared" si="120"/>
        <v>2</v>
      </c>
      <c r="H295" s="82">
        <f t="shared" si="117"/>
        <v>-1</v>
      </c>
      <c r="I295" s="82">
        <f t="shared" si="118"/>
        <v>0</v>
      </c>
      <c r="J295" s="81">
        <f t="shared" si="122"/>
        <v>0</v>
      </c>
      <c r="K295" s="83">
        <f t="shared" ca="1" si="119"/>
        <v>0</v>
      </c>
      <c r="L295" s="470"/>
      <c r="M295" s="470"/>
      <c r="N295" s="470"/>
      <c r="O295" s="531"/>
      <c r="P295" s="107">
        <f t="shared" ca="1" si="123"/>
        <v>0</v>
      </c>
      <c r="Q295" s="107">
        <f t="shared" ca="1" si="124"/>
        <v>0</v>
      </c>
      <c r="R295" s="107">
        <f t="shared" ca="1" si="125"/>
        <v>0</v>
      </c>
      <c r="S295" s="107">
        <f t="shared" ca="1" si="126"/>
        <v>0</v>
      </c>
      <c r="T295" s="107">
        <f t="shared" ca="1" si="154"/>
        <v>0</v>
      </c>
      <c r="U295" s="107">
        <f t="shared" ca="1" si="155"/>
        <v>0</v>
      </c>
      <c r="V295" s="107">
        <f t="shared" ca="1" si="156"/>
        <v>0</v>
      </c>
      <c r="W295" s="107">
        <f t="shared" ca="1" si="157"/>
        <v>0</v>
      </c>
      <c r="X295" s="107">
        <f t="shared" si="131"/>
        <v>0</v>
      </c>
      <c r="Y295" s="107">
        <f t="shared" si="132"/>
        <v>0</v>
      </c>
      <c r="Z295" s="87">
        <f t="shared" si="133"/>
        <v>1</v>
      </c>
      <c r="AA295" s="88">
        <f t="shared" si="158"/>
        <v>0</v>
      </c>
      <c r="AB295" s="107">
        <f t="array" ref="AB295">ROUNDDOWN(AVERAGE(IFERROR(LARGE((X$6:X294+Y$6:Y294)*Z$6:Z294*(G$6:G294=G295), SC_SSCalcYears),0))/(12*Z295),0)</f>
        <v>0</v>
      </c>
      <c r="AC295" s="211">
        <f t="shared" si="135"/>
        <v>1</v>
      </c>
      <c r="AD295" s="89">
        <f t="shared" si="136"/>
        <v>0</v>
      </c>
      <c r="AE295" s="141">
        <f t="shared" ca="1" si="137"/>
        <v>0</v>
      </c>
      <c r="AF295" s="106">
        <f t="shared" ca="1" si="138"/>
        <v>0</v>
      </c>
      <c r="AG295" s="110">
        <f t="shared" ca="1" si="139"/>
        <v>0</v>
      </c>
      <c r="AH295" s="617"/>
      <c r="AI295" s="617"/>
      <c r="AJ295" s="617"/>
      <c r="AK295" s="617"/>
      <c r="AL295" s="618"/>
      <c r="AM295" s="186">
        <f t="shared" ca="1" si="141"/>
        <v>0</v>
      </c>
      <c r="AN295" s="410" t="str">
        <f t="shared" ca="1" si="160"/>
        <v/>
      </c>
    </row>
    <row r="296" spans="1:40" x14ac:dyDescent="0.25">
      <c r="B296" s="411">
        <f t="shared" si="140"/>
        <v>2099</v>
      </c>
      <c r="C296" s="76" t="s">
        <v>741</v>
      </c>
      <c r="D296" s="146" t="str">
        <f t="shared" si="153"/>
        <v/>
      </c>
      <c r="E296" s="77">
        <f t="shared" si="115"/>
        <v>0</v>
      </c>
      <c r="F296" s="77">
        <f t="shared" si="121"/>
        <v>0</v>
      </c>
      <c r="G296" s="77">
        <f t="shared" si="120"/>
        <v>1</v>
      </c>
      <c r="H296" s="76">
        <f t="shared" si="117"/>
        <v>1</v>
      </c>
      <c r="I296" s="76">
        <f t="shared" si="118"/>
        <v>0</v>
      </c>
      <c r="J296" s="77">
        <f t="shared" si="122"/>
        <v>0</v>
      </c>
      <c r="K296" s="78">
        <f t="shared" ca="1" si="119"/>
        <v>0</v>
      </c>
      <c r="L296" s="470"/>
      <c r="M296" s="470"/>
      <c r="N296" s="470"/>
      <c r="O296" s="531"/>
      <c r="P296" s="413">
        <f t="shared" ca="1" si="123"/>
        <v>0</v>
      </c>
      <c r="Q296" s="413">
        <f t="shared" ca="1" si="124"/>
        <v>0</v>
      </c>
      <c r="R296" s="413">
        <f t="shared" ca="1" si="125"/>
        <v>0</v>
      </c>
      <c r="S296" s="413">
        <f t="shared" ca="1" si="126"/>
        <v>0</v>
      </c>
      <c r="T296" s="413">
        <f t="shared" ca="1" si="154"/>
        <v>0</v>
      </c>
      <c r="U296" s="413">
        <f t="shared" ca="1" si="155"/>
        <v>0</v>
      </c>
      <c r="V296" s="413">
        <f t="shared" ca="1" si="156"/>
        <v>0</v>
      </c>
      <c r="W296" s="413">
        <f t="shared" ca="1" si="157"/>
        <v>0</v>
      </c>
      <c r="X296" s="413">
        <f t="shared" si="131"/>
        <v>0</v>
      </c>
      <c r="Y296" s="413">
        <f t="shared" si="132"/>
        <v>0</v>
      </c>
      <c r="Z296" s="68">
        <f t="shared" si="133"/>
        <v>1</v>
      </c>
      <c r="AA296" s="84">
        <f t="shared" si="158"/>
        <v>0</v>
      </c>
      <c r="AB296" s="488">
        <f t="array" ref="AB296">ROUNDDOWN(AVERAGE(IFERROR(LARGE((X$6:X295+Y$6:Y295)*Z$6:Z295*(G$6:G295=G296), SC_SSCalcYears),0))/(12*Z296),0)</f>
        <v>0</v>
      </c>
      <c r="AC296" s="69">
        <f t="shared" si="135"/>
        <v>1</v>
      </c>
      <c r="AD296" s="85">
        <f t="shared" si="136"/>
        <v>0</v>
      </c>
      <c r="AE296" s="140">
        <f t="shared" ca="1" si="137"/>
        <v>0</v>
      </c>
      <c r="AF296" s="412">
        <f t="shared" ca="1" si="138"/>
        <v>0</v>
      </c>
      <c r="AG296" s="414">
        <f t="shared" ca="1" si="139"/>
        <v>0</v>
      </c>
      <c r="AH296" s="617">
        <f>SUMIFS($AE296:$AE297,SP_PensionPayout,"Lump sum",$E296:$E297,"&lt;&gt;0")</f>
        <v>0</v>
      </c>
      <c r="AI296" s="617">
        <f>SUMIFS($AE296:$AE297,SP_PensionPayout,"Annuity",$E296:$E297,"&lt;&gt;0")</f>
        <v>0</v>
      </c>
      <c r="AJ296" s="617">
        <f>IF(ISBLANK(INDEX(SP_SSPBFA,1)),0,IF($J296&lt;&gt;INDEX(SP_SSPBFA,1),AJ292,SP_AdditionalRI/INDEX(SC_EA_InflationWageIdx,EAIDX)))</f>
        <v>0</v>
      </c>
      <c r="AK296" s="617">
        <f ca="1">SUMPRODUCT(AF296:AF297, --(G296:G297&lt;&gt;0))</f>
        <v>0</v>
      </c>
      <c r="AL296" s="618">
        <f ca="1">SUMPRODUCT(AG296:AG297, --(E296:E297&lt;&gt;0))+AJ296</f>
        <v>0</v>
      </c>
      <c r="AM296" s="186">
        <f t="shared" ca="1" si="141"/>
        <v>0</v>
      </c>
      <c r="AN296" s="410" t="str">
        <f t="shared" ca="1" si="160"/>
        <v/>
      </c>
    </row>
    <row r="297" spans="1:40" x14ac:dyDescent="0.25">
      <c r="B297" s="86">
        <f t="shared" si="140"/>
        <v>2099</v>
      </c>
      <c r="C297" s="80" t="s">
        <v>741</v>
      </c>
      <c r="D297" s="147" t="str">
        <f t="shared" si="153"/>
        <v/>
      </c>
      <c r="E297" s="81">
        <f t="shared" si="115"/>
        <v>0</v>
      </c>
      <c r="F297" s="82">
        <f t="shared" si="121"/>
        <v>0</v>
      </c>
      <c r="G297" s="81">
        <f t="shared" si="120"/>
        <v>2</v>
      </c>
      <c r="H297" s="82">
        <f t="shared" si="117"/>
        <v>-1</v>
      </c>
      <c r="I297" s="82">
        <f t="shared" si="118"/>
        <v>0</v>
      </c>
      <c r="J297" s="81">
        <f t="shared" si="122"/>
        <v>0</v>
      </c>
      <c r="K297" s="83">
        <f t="shared" ca="1" si="119"/>
        <v>0</v>
      </c>
      <c r="L297" s="470"/>
      <c r="M297" s="470"/>
      <c r="N297" s="470"/>
      <c r="O297" s="531"/>
      <c r="P297" s="107">
        <f t="shared" ca="1" si="123"/>
        <v>0</v>
      </c>
      <c r="Q297" s="107">
        <f t="shared" ca="1" si="124"/>
        <v>0</v>
      </c>
      <c r="R297" s="107">
        <f t="shared" ca="1" si="125"/>
        <v>0</v>
      </c>
      <c r="S297" s="107">
        <f t="shared" ca="1" si="126"/>
        <v>0</v>
      </c>
      <c r="T297" s="107">
        <f t="shared" ca="1" si="154"/>
        <v>0</v>
      </c>
      <c r="U297" s="107">
        <f t="shared" ca="1" si="155"/>
        <v>0</v>
      </c>
      <c r="V297" s="107">
        <f t="shared" ca="1" si="156"/>
        <v>0</v>
      </c>
      <c r="W297" s="107">
        <f t="shared" ca="1" si="157"/>
        <v>0</v>
      </c>
      <c r="X297" s="107">
        <f t="shared" si="131"/>
        <v>0</v>
      </c>
      <c r="Y297" s="107">
        <f t="shared" si="132"/>
        <v>0</v>
      </c>
      <c r="Z297" s="87">
        <f t="shared" si="133"/>
        <v>1</v>
      </c>
      <c r="AA297" s="88">
        <f t="shared" si="158"/>
        <v>0</v>
      </c>
      <c r="AB297" s="107">
        <f t="array" ref="AB297">ROUNDDOWN(AVERAGE(IFERROR(LARGE((X$6:X296+Y$6:Y296)*Z$6:Z296*(G$6:G296=G297), SC_SSCalcYears),0))/(12*Z297),0)</f>
        <v>0</v>
      </c>
      <c r="AC297" s="211">
        <f t="shared" si="135"/>
        <v>1</v>
      </c>
      <c r="AD297" s="89">
        <f t="shared" si="136"/>
        <v>0</v>
      </c>
      <c r="AE297" s="141">
        <f t="shared" ca="1" si="137"/>
        <v>0</v>
      </c>
      <c r="AF297" s="106">
        <f t="shared" ca="1" si="138"/>
        <v>0</v>
      </c>
      <c r="AG297" s="110">
        <f t="shared" ca="1" si="139"/>
        <v>0</v>
      </c>
      <c r="AH297" s="617"/>
      <c r="AI297" s="617"/>
      <c r="AJ297" s="617"/>
      <c r="AK297" s="617"/>
      <c r="AL297" s="618"/>
      <c r="AM297" s="186">
        <f t="shared" ca="1" si="141"/>
        <v>0</v>
      </c>
      <c r="AN297" s="410" t="str">
        <f t="shared" ca="1" si="160"/>
        <v/>
      </c>
    </row>
    <row r="298" spans="1:40" x14ac:dyDescent="0.25">
      <c r="B298" s="411">
        <f t="shared" si="140"/>
        <v>2100</v>
      </c>
      <c r="C298" s="76" t="s">
        <v>741</v>
      </c>
      <c r="D298" s="146" t="str">
        <f t="shared" ref="D298:D299" si="161">INDEX(SP_Initials,G298)</f>
        <v/>
      </c>
      <c r="E298" s="77">
        <f t="shared" si="115"/>
        <v>0</v>
      </c>
      <c r="F298" s="77">
        <f t="shared" si="121"/>
        <v>0</v>
      </c>
      <c r="G298" s="77">
        <f t="shared" si="120"/>
        <v>1</v>
      </c>
      <c r="H298" s="76">
        <f t="shared" si="117"/>
        <v>1</v>
      </c>
      <c r="I298" s="76">
        <f t="shared" si="118"/>
        <v>0</v>
      </c>
      <c r="J298" s="77">
        <f t="shared" si="122"/>
        <v>0</v>
      </c>
      <c r="K298" s="78">
        <f t="shared" ca="1" si="119"/>
        <v>0</v>
      </c>
      <c r="L298" s="470"/>
      <c r="M298" s="470"/>
      <c r="N298" s="470"/>
      <c r="O298" s="531"/>
      <c r="P298" s="413">
        <f t="shared" ca="1" si="123"/>
        <v>0</v>
      </c>
      <c r="Q298" s="413">
        <f t="shared" ca="1" si="124"/>
        <v>0</v>
      </c>
      <c r="R298" s="413">
        <f t="shared" ca="1" si="125"/>
        <v>0</v>
      </c>
      <c r="S298" s="413">
        <f t="shared" ca="1" si="126"/>
        <v>0</v>
      </c>
      <c r="T298" s="413">
        <f t="shared" ref="T298:T299" ca="1" si="162">P298*ABS($K298)</f>
        <v>0</v>
      </c>
      <c r="U298" s="413">
        <f t="shared" ref="U298:U299" ca="1" si="163">Q298*ABS($K298)</f>
        <v>0</v>
      </c>
      <c r="V298" s="413">
        <f t="shared" ref="V298:V299" ca="1" si="164">MAX(T298-ABS($S298)*ABS($K298), 0)</f>
        <v>0</v>
      </c>
      <c r="W298" s="413">
        <f t="shared" ref="W298:W299" ca="1" si="165">MAX(U298-MAX(ABS($S298)*ABS($K298)-P298, 0),0)</f>
        <v>0</v>
      </c>
      <c r="X298" s="413">
        <f t="shared" si="131"/>
        <v>0</v>
      </c>
      <c r="Y298" s="413">
        <f t="shared" si="132"/>
        <v>0</v>
      </c>
      <c r="Z298" s="68">
        <f t="shared" si="133"/>
        <v>1</v>
      </c>
      <c r="AA298" s="84">
        <f t="shared" ref="AA298:AA299" si="166">IF($J298=0, 0, ROUNDDOWN(MIN((X298+Y298)*Z298,LT_SSMaxCredit*Z298)/(LT_SSOneCredit*Z298), 0))</f>
        <v>0</v>
      </c>
      <c r="AB298" s="488">
        <f t="array" ref="AB298">ROUNDDOWN(AVERAGE(IFERROR(LARGE((X$6:X297+Y$6:Y297)*Z$6:Z297*(G$6:G297=G298), SC_SSCalcYears),0))/(12*Z298),0)</f>
        <v>0</v>
      </c>
      <c r="AC298" s="69">
        <f t="shared" si="135"/>
        <v>1</v>
      </c>
      <c r="AD298" s="85">
        <f t="shared" si="136"/>
        <v>0</v>
      </c>
      <c r="AE298" s="140">
        <f t="shared" ca="1" si="137"/>
        <v>0</v>
      </c>
      <c r="AF298" s="412">
        <f t="shared" ca="1" si="138"/>
        <v>0</v>
      </c>
      <c r="AG298" s="414">
        <f t="shared" ca="1" si="139"/>
        <v>0</v>
      </c>
      <c r="AH298" s="617">
        <f>SUMIFS($AE298:$AE299,SP_PensionPayout,"Lump sum",$E298:$E299,"&lt;&gt;0")</f>
        <v>0</v>
      </c>
      <c r="AI298" s="617">
        <f>SUMIFS($AE298:$AE299,SP_PensionPayout,"Annuity",$E298:$E299,"&lt;&gt;0")</f>
        <v>0</v>
      </c>
      <c r="AJ298" s="617">
        <f>IF(ISBLANK(INDEX(SP_SSPBFA,1)),0,IF($J298&lt;&gt;INDEX(SP_SSPBFA,1),AJ294,SP_AdditionalRI/INDEX(SC_EA_InflationWageIdx,EAIDX)))</f>
        <v>0</v>
      </c>
      <c r="AK298" s="617">
        <f ca="1">SUMPRODUCT(AF298:AF299, --(G298:G299&lt;&gt;0))</f>
        <v>0</v>
      </c>
      <c r="AL298" s="618">
        <f ca="1">SUMPRODUCT(AG298:AG299, --(E298:E299&lt;&gt;0))+AJ298</f>
        <v>0</v>
      </c>
      <c r="AM298" s="186">
        <f t="shared" ca="1" si="141"/>
        <v>0</v>
      </c>
      <c r="AN298" s="410" t="str">
        <f t="shared" ca="1" si="160"/>
        <v/>
      </c>
    </row>
    <row r="299" spans="1:40" x14ac:dyDescent="0.25">
      <c r="B299" s="86">
        <f t="shared" si="140"/>
        <v>2100</v>
      </c>
      <c r="C299" s="80" t="s">
        <v>741</v>
      </c>
      <c r="D299" s="147" t="str">
        <f t="shared" si="161"/>
        <v/>
      </c>
      <c r="E299" s="81">
        <f t="shared" si="115"/>
        <v>0</v>
      </c>
      <c r="F299" s="82">
        <f t="shared" si="121"/>
        <v>0</v>
      </c>
      <c r="G299" s="81">
        <f t="shared" si="120"/>
        <v>2</v>
      </c>
      <c r="H299" s="82">
        <f t="shared" si="117"/>
        <v>-1</v>
      </c>
      <c r="I299" s="82">
        <f t="shared" si="118"/>
        <v>0</v>
      </c>
      <c r="J299" s="81">
        <f t="shared" si="122"/>
        <v>0</v>
      </c>
      <c r="K299" s="83">
        <f t="shared" ca="1" si="119"/>
        <v>0</v>
      </c>
      <c r="L299" s="470"/>
      <c r="M299" s="470"/>
      <c r="N299" s="470"/>
      <c r="O299" s="531"/>
      <c r="P299" s="107">
        <f t="shared" ca="1" si="123"/>
        <v>0</v>
      </c>
      <c r="Q299" s="107">
        <f t="shared" ca="1" si="124"/>
        <v>0</v>
      </c>
      <c r="R299" s="107">
        <f t="shared" ca="1" si="125"/>
        <v>0</v>
      </c>
      <c r="S299" s="107">
        <f t="shared" ca="1" si="126"/>
        <v>0</v>
      </c>
      <c r="T299" s="107">
        <f t="shared" ca="1" si="162"/>
        <v>0</v>
      </c>
      <c r="U299" s="107">
        <f t="shared" ca="1" si="163"/>
        <v>0</v>
      </c>
      <c r="V299" s="107">
        <f t="shared" ca="1" si="164"/>
        <v>0</v>
      </c>
      <c r="W299" s="107">
        <f t="shared" ca="1" si="165"/>
        <v>0</v>
      </c>
      <c r="X299" s="107">
        <f t="shared" si="131"/>
        <v>0</v>
      </c>
      <c r="Y299" s="107">
        <f t="shared" si="132"/>
        <v>0</v>
      </c>
      <c r="Z299" s="87">
        <f t="shared" si="133"/>
        <v>1</v>
      </c>
      <c r="AA299" s="88">
        <f t="shared" si="166"/>
        <v>0</v>
      </c>
      <c r="AB299" s="107">
        <f t="array" ref="AB299">ROUNDDOWN(AVERAGE(IFERROR(LARGE((X$6:X298+Y$6:Y298)*Z$6:Z298*(G$6:G298=G299), SC_SSCalcYears),0))/(12*Z299),0)</f>
        <v>0</v>
      </c>
      <c r="AC299" s="211">
        <f t="shared" si="135"/>
        <v>1</v>
      </c>
      <c r="AD299" s="89">
        <f t="shared" si="136"/>
        <v>0</v>
      </c>
      <c r="AE299" s="141">
        <f t="shared" ca="1" si="137"/>
        <v>0</v>
      </c>
      <c r="AF299" s="106">
        <f t="shared" ca="1" si="138"/>
        <v>0</v>
      </c>
      <c r="AG299" s="110">
        <f t="shared" ca="1" si="139"/>
        <v>0</v>
      </c>
      <c r="AH299" s="617"/>
      <c r="AI299" s="617"/>
      <c r="AJ299" s="617"/>
      <c r="AK299" s="617"/>
      <c r="AL299" s="618"/>
      <c r="AM299" s="186">
        <f t="shared" ca="1" si="141"/>
        <v>0</v>
      </c>
      <c r="AN299" s="410" t="str">
        <f t="shared" ca="1" si="160"/>
        <v/>
      </c>
    </row>
    <row r="300" spans="1:40" x14ac:dyDescent="0.25">
      <c r="B300" s="533">
        <f t="shared" si="140"/>
        <v>2101</v>
      </c>
      <c r="C300" s="76" t="s">
        <v>741</v>
      </c>
      <c r="D300" s="146" t="str">
        <f t="shared" ref="D300:D301" si="167">INDEX(SP_Initials,G300)</f>
        <v/>
      </c>
      <c r="E300" s="77">
        <f t="shared" si="115"/>
        <v>0</v>
      </c>
      <c r="F300" s="77">
        <f t="shared" si="121"/>
        <v>0</v>
      </c>
      <c r="G300" s="77">
        <f t="shared" si="120"/>
        <v>1</v>
      </c>
      <c r="H300" s="76">
        <f t="shared" si="117"/>
        <v>1</v>
      </c>
      <c r="I300" s="76">
        <f t="shared" si="118"/>
        <v>0</v>
      </c>
      <c r="J300" s="77">
        <f t="shared" si="122"/>
        <v>0</v>
      </c>
      <c r="K300" s="78">
        <f t="shared" ca="1" si="119"/>
        <v>0</v>
      </c>
      <c r="L300" s="470"/>
      <c r="M300" s="470"/>
      <c r="N300" s="470"/>
      <c r="O300" s="531"/>
      <c r="P300" s="535">
        <f t="shared" ref="P300:P301" ca="1" si="168">IF(IF(COLUMN()=COLUMN(L300),TRUE,ISBLANK(L300)), IF(OR($F300=0,$K300=0),0,IF($B300=SP_CurrentYear, 0, IF($B300&gt;SP_CurrentYear, $P298*(1+INDEX(SP_EA_InflationWageRate, EAIDX-1)+INDEX(SP_IncomeEmployerAdj, $G300)), $P302/(1+INDEX(SP_EA_InflationWageRate, EAIDX)+INDEX(SP_IncomeEmployerAdj, $G300))))), L300)</f>
        <v>0</v>
      </c>
      <c r="Q300" s="535">
        <f t="shared" ref="Q300:Q301" ca="1" si="169">IF(IF(COLUMN()=COLUMN(M300),TRUE,ISBLANK(M300)), IF(OR($F300=0,$K300=0),0,IF($B300=SP_CurrentYear, 0, IF($B300&gt;SP_CurrentYear, $Q298*(1+INDEX(SP_EA_InflationWageRate, EAIDX-1)+INDEX(SP_IncomeSEAdj, $G300)), 0))), M300)</f>
        <v>0</v>
      </c>
      <c r="R300" s="535">
        <f t="shared" ref="R300:R301" ca="1" si="170">IF(IF(COLUMN()=COLUMN(N300),TRUE,ISBLANK(N300)), IF($B300=SP_CurrentYear, 0, IF($B300&gt;SP_CurrentYear, $R298*(1+INDEX(SP_EA_InflationWageRate, EAIDX-1)+INDEX(SP_IncomePassiveAdj, $G300)), 0)), N300)</f>
        <v>0</v>
      </c>
      <c r="S300" s="535">
        <f t="shared" ref="S300:S301" ca="1" si="171">IF(IF(COLUMN()=COLUMN(O300),TRUE,ISBLANK(O300)), IF($B300=SP_CurrentYear,(-INDEX(SC_ExpensesLivingPF,$G300,1)*ABS($K300)-INDEX(SC_ExpensesLivingPF,$G300,2)*(1-ABS($K300)))/INDEX(SC_EA_InflationCPIdx, EAIDX)*12, IF($B300&gt;SP_CurrentYear, $S298*(1+INDEX(SP_EA_InflationCPRate, EAIDX-1)), IF($P300=0, 0,$S302/(1+INDEX(SP_EA_InflationCPRate, EAIDX)))))*ABS($K300), O300)</f>
        <v>0</v>
      </c>
      <c r="T300" s="535">
        <f t="shared" ref="T300:T301" ca="1" si="172">P300*ABS($K300)</f>
        <v>0</v>
      </c>
      <c r="U300" s="535">
        <f t="shared" ref="U300:U301" ca="1" si="173">Q300*ABS($K300)</f>
        <v>0</v>
      </c>
      <c r="V300" s="535">
        <f t="shared" ref="V300:V301" ca="1" si="174">MAX(T300-ABS($S300)*ABS($K300), 0)</f>
        <v>0</v>
      </c>
      <c r="W300" s="535">
        <f t="shared" ref="W300:W301" ca="1" si="175">MAX(U300-MAX(ABS($S300)*ABS($K300)-P300, 0),0)</f>
        <v>0</v>
      </c>
      <c r="X300" s="535">
        <f t="shared" ref="X300:X301" si="176">IF($J300=0, 0, MAX(MIN(T300-ABS($S300)*ABS($K300), INDEX(SC_EA_SSWageBase, EAIDX)), 0))</f>
        <v>0</v>
      </c>
      <c r="Y300" s="535">
        <f t="shared" ref="Y300:Y301" si="177">IF($J300=0, 0, MIN(MAX(U300-MAX(ABS($S300)*ABS($K300)-P300, 0),0), INDEX(SC_EA_SSWageBase, EAIDX)-X300))</f>
        <v>0</v>
      </c>
      <c r="Z300" s="68">
        <f t="shared" si="133"/>
        <v>1</v>
      </c>
      <c r="AA300" s="84">
        <f t="shared" ref="AA300:AA301" si="178">IF($J300=0, 0, ROUNDDOWN(MIN((X300+Y300)*Z300,LT_SSMaxCredit*Z300)/(LT_SSOneCredit*Z300), 0))</f>
        <v>0</v>
      </c>
      <c r="AB300" s="535">
        <f t="array" ref="AB300">ROUNDDOWN(AVERAGE(IFERROR(LARGE((X$6:X299+Y$6:Y299)*Z$6:Z299*(G$6:G299=G300), SC_SSCalcYears),0))/(12*Z300),0)</f>
        <v>0</v>
      </c>
      <c r="AC300" s="69">
        <f t="shared" ref="AC300:AC301" si="179">IF($I300&gt;0, IF($B300&lt;=INDEX(SC_SSBaseYear,$G300)+2,Z300,1/(1/AC298*(INDEX(SC_EA_SSCOLA, EAIDX-1)+1))), 1)</f>
        <v>1</v>
      </c>
      <c r="AD300" s="85">
        <f t="shared" si="136"/>
        <v>0</v>
      </c>
      <c r="AE300" s="140">
        <f t="shared" ref="AE300:AE301" ca="1" si="180">IF(AND(AD300&gt;0, $B300=SC_TargetRY, INDEX(SP_PensionFAE,$G300)&gt;0),SUMIF(OFFSET(G300,-MIN(INDEX(SP_PensionFAE,$G300),AD300)*2,0,MIN(INDEX(SP_PensionFAE,$G300),AD300)*2),$G300,OFFSET(P300,-MIN(INDEX(SP_PensionFAE,$G300),AD300)*2,0,MIN(INDEX(SP_PensionFAE,$G300),AD300)*2))/MIN(INDEX(SP_PensionFAE,$G300),AD300)*INDEX(SP_PensionPCT,$G300)*AD300,0)</f>
        <v>0</v>
      </c>
      <c r="AF300" s="534">
        <f t="shared" ca="1" si="138"/>
        <v>0</v>
      </c>
      <c r="AG300" s="536">
        <f t="shared" ca="1" si="139"/>
        <v>0</v>
      </c>
      <c r="AH300" s="617">
        <f>SUMIFS($AE300:$AE301,SP_PensionPayout,"Lump sum",$E300:$E301,"&lt;&gt;0")</f>
        <v>0</v>
      </c>
      <c r="AI300" s="617">
        <f>SUMIFS($AE300:$AE301,SP_PensionPayout,"Annuity",$E300:$E301,"&lt;&gt;0")</f>
        <v>0</v>
      </c>
      <c r="AJ300" s="617">
        <f>IF(ISBLANK(INDEX(SP_SSPBFA,1)),0,IF($J300&lt;&gt;INDEX(SP_SSPBFA,1),AJ296,SP_AdditionalRI/INDEX(SC_EA_InflationWageIdx,EAIDX)))</f>
        <v>0</v>
      </c>
      <c r="AK300" s="617">
        <f ca="1">SUMPRODUCT(AF300:AF301, --(G300:G301&lt;&gt;0))</f>
        <v>0</v>
      </c>
      <c r="AL300" s="618">
        <f ca="1">SUMPRODUCT(AG300:AG301, --(E300:E301&lt;&gt;0))+AJ300</f>
        <v>0</v>
      </c>
    </row>
    <row r="301" spans="1:40" x14ac:dyDescent="0.25">
      <c r="B301" s="86">
        <f t="shared" si="140"/>
        <v>2101</v>
      </c>
      <c r="C301" s="80" t="s">
        <v>741</v>
      </c>
      <c r="D301" s="147" t="str">
        <f t="shared" si="167"/>
        <v/>
      </c>
      <c r="E301" s="81">
        <f t="shared" si="115"/>
        <v>0</v>
      </c>
      <c r="F301" s="82">
        <f t="shared" si="121"/>
        <v>0</v>
      </c>
      <c r="G301" s="81">
        <f t="shared" si="120"/>
        <v>2</v>
      </c>
      <c r="H301" s="82">
        <f t="shared" si="117"/>
        <v>-1</v>
      </c>
      <c r="I301" s="82">
        <f t="shared" si="118"/>
        <v>0</v>
      </c>
      <c r="J301" s="81">
        <f t="shared" si="122"/>
        <v>0</v>
      </c>
      <c r="K301" s="83">
        <f t="shared" ca="1" si="119"/>
        <v>0</v>
      </c>
      <c r="L301" s="470"/>
      <c r="M301" s="470"/>
      <c r="N301" s="470"/>
      <c r="O301" s="531"/>
      <c r="P301" s="107">
        <f t="shared" ca="1" si="168"/>
        <v>0</v>
      </c>
      <c r="Q301" s="107">
        <f t="shared" ca="1" si="169"/>
        <v>0</v>
      </c>
      <c r="R301" s="107">
        <f t="shared" ca="1" si="170"/>
        <v>0</v>
      </c>
      <c r="S301" s="107">
        <f t="shared" ca="1" si="171"/>
        <v>0</v>
      </c>
      <c r="T301" s="107">
        <f t="shared" ca="1" si="172"/>
        <v>0</v>
      </c>
      <c r="U301" s="107">
        <f t="shared" ca="1" si="173"/>
        <v>0</v>
      </c>
      <c r="V301" s="107">
        <f t="shared" ca="1" si="174"/>
        <v>0</v>
      </c>
      <c r="W301" s="107">
        <f t="shared" ca="1" si="175"/>
        <v>0</v>
      </c>
      <c r="X301" s="107">
        <f t="shared" si="176"/>
        <v>0</v>
      </c>
      <c r="Y301" s="107">
        <f t="shared" si="177"/>
        <v>0</v>
      </c>
      <c r="Z301" s="87">
        <f t="shared" si="133"/>
        <v>1</v>
      </c>
      <c r="AA301" s="88">
        <f t="shared" si="178"/>
        <v>0</v>
      </c>
      <c r="AB301" s="107">
        <f t="array" ref="AB301">ROUNDDOWN(AVERAGE(IFERROR(LARGE((X$6:X300+Y$6:Y300)*Z$6:Z300*(G$6:G300=G301), SC_SSCalcYears),0))/(12*Z301),0)</f>
        <v>0</v>
      </c>
      <c r="AC301" s="211">
        <f t="shared" si="179"/>
        <v>1</v>
      </c>
      <c r="AD301" s="89">
        <f t="shared" si="136"/>
        <v>0</v>
      </c>
      <c r="AE301" s="141">
        <f t="shared" ca="1" si="180"/>
        <v>0</v>
      </c>
      <c r="AF301" s="106">
        <f t="shared" ca="1" si="138"/>
        <v>0</v>
      </c>
      <c r="AG301" s="110">
        <f t="shared" ca="1" si="139"/>
        <v>0</v>
      </c>
      <c r="AH301" s="617"/>
      <c r="AI301" s="617"/>
      <c r="AJ301" s="617"/>
      <c r="AK301" s="617"/>
      <c r="AL301" s="618"/>
    </row>
    <row r="302" spans="1:40" x14ac:dyDescent="0.25">
      <c r="L302" s="65"/>
      <c r="M302" s="65"/>
      <c r="N302" s="65"/>
      <c r="O302" s="65"/>
    </row>
    <row r="303" spans="1:40" x14ac:dyDescent="0.25">
      <c r="L303" s="65"/>
      <c r="M303" s="65"/>
      <c r="N303" s="65"/>
      <c r="O303" s="65"/>
    </row>
    <row r="304" spans="1:40" x14ac:dyDescent="0.25">
      <c r="L304" s="65"/>
      <c r="M304" s="65"/>
      <c r="N304" s="65"/>
      <c r="O304" s="65"/>
    </row>
    <row r="305" spans="12:15" x14ac:dyDescent="0.25">
      <c r="L305" s="65"/>
      <c r="M305" s="65"/>
      <c r="N305" s="65"/>
      <c r="O305" s="65"/>
    </row>
    <row r="306" spans="12:15" x14ac:dyDescent="0.25">
      <c r="L306" s="415"/>
      <c r="M306" s="415"/>
      <c r="N306" s="65"/>
      <c r="O306" s="65"/>
    </row>
    <row r="307" spans="12:15" x14ac:dyDescent="0.25">
      <c r="L307" s="415"/>
      <c r="M307" s="415"/>
      <c r="N307" s="65"/>
      <c r="O307" s="65"/>
    </row>
    <row r="308" spans="12:15" x14ac:dyDescent="0.25">
      <c r="L308" s="415"/>
      <c r="M308" s="415"/>
      <c r="N308" s="65"/>
      <c r="O308" s="65"/>
    </row>
    <row r="309" spans="12:15" x14ac:dyDescent="0.25">
      <c r="L309" s="415"/>
      <c r="M309" s="415"/>
      <c r="N309" s="65"/>
      <c r="O309" s="65"/>
    </row>
    <row r="310" spans="12:15" x14ac:dyDescent="0.25">
      <c r="L310" s="415"/>
      <c r="M310" s="415"/>
      <c r="N310" s="65"/>
      <c r="O310" s="65"/>
    </row>
    <row r="311" spans="12:15" x14ac:dyDescent="0.25">
      <c r="L311" s="415"/>
      <c r="M311" s="415"/>
      <c r="N311" s="65"/>
      <c r="O311" s="65"/>
    </row>
    <row r="312" spans="12:15" x14ac:dyDescent="0.25">
      <c r="L312" s="415"/>
      <c r="M312" s="415"/>
      <c r="N312" s="65"/>
      <c r="O312" s="65"/>
    </row>
    <row r="313" spans="12:15" x14ac:dyDescent="0.25">
      <c r="L313" s="415"/>
      <c r="M313" s="415"/>
      <c r="N313" s="65"/>
      <c r="O313" s="65"/>
    </row>
    <row r="314" spans="12:15" x14ac:dyDescent="0.25">
      <c r="L314" s="415"/>
      <c r="M314" s="415"/>
      <c r="N314" s="65"/>
      <c r="O314" s="65"/>
    </row>
    <row r="315" spans="12:15" x14ac:dyDescent="0.25">
      <c r="L315" s="415"/>
      <c r="M315" s="415"/>
      <c r="N315" s="65"/>
      <c r="O315" s="65"/>
    </row>
    <row r="316" spans="12:15" x14ac:dyDescent="0.25">
      <c r="L316" s="415"/>
      <c r="M316" s="415"/>
      <c r="N316" s="65"/>
      <c r="O316" s="65"/>
    </row>
    <row r="317" spans="12:15" x14ac:dyDescent="0.25">
      <c r="L317" s="415"/>
      <c r="M317" s="415"/>
      <c r="N317" s="65"/>
      <c r="O317" s="65"/>
    </row>
    <row r="318" spans="12:15" x14ac:dyDescent="0.25">
      <c r="L318" s="415"/>
      <c r="M318" s="415"/>
      <c r="N318" s="65"/>
      <c r="O318" s="65"/>
    </row>
    <row r="319" spans="12:15" x14ac:dyDescent="0.25">
      <c r="L319" s="415"/>
      <c r="M319" s="415"/>
      <c r="N319" s="65"/>
      <c r="O319" s="65"/>
    </row>
    <row r="320" spans="12:15" x14ac:dyDescent="0.25">
      <c r="L320" s="415"/>
      <c r="M320" s="415"/>
      <c r="N320" s="65"/>
      <c r="O320" s="65"/>
    </row>
    <row r="321" spans="12:15" x14ac:dyDescent="0.25">
      <c r="L321" s="415"/>
      <c r="M321" s="415"/>
      <c r="N321" s="65"/>
      <c r="O321" s="65"/>
    </row>
    <row r="322" spans="12:15" x14ac:dyDescent="0.25">
      <c r="L322" s="415"/>
      <c r="M322" s="415"/>
      <c r="N322" s="65"/>
      <c r="O322" s="65"/>
    </row>
    <row r="323" spans="12:15" x14ac:dyDescent="0.25">
      <c r="L323" s="415"/>
      <c r="M323" s="415"/>
      <c r="N323" s="65"/>
      <c r="O323" s="65"/>
    </row>
    <row r="324" spans="12:15" x14ac:dyDescent="0.25">
      <c r="L324" s="415"/>
      <c r="M324" s="415"/>
      <c r="N324" s="65"/>
      <c r="O324" s="65"/>
    </row>
    <row r="325" spans="12:15" x14ac:dyDescent="0.25">
      <c r="L325" s="415"/>
      <c r="M325" s="415"/>
      <c r="N325" s="65"/>
      <c r="O325" s="65"/>
    </row>
    <row r="326" spans="12:15" x14ac:dyDescent="0.25">
      <c r="L326" s="415"/>
      <c r="M326" s="415"/>
      <c r="N326" s="65"/>
      <c r="O326" s="65"/>
    </row>
    <row r="327" spans="12:15" x14ac:dyDescent="0.25">
      <c r="L327" s="415"/>
      <c r="M327" s="415"/>
      <c r="N327" s="65"/>
      <c r="O327" s="65"/>
    </row>
    <row r="328" spans="12:15" x14ac:dyDescent="0.25">
      <c r="L328" s="415"/>
      <c r="M328" s="415"/>
      <c r="N328" s="65"/>
      <c r="O328" s="65"/>
    </row>
    <row r="329" spans="12:15" x14ac:dyDescent="0.25">
      <c r="L329" s="415"/>
      <c r="M329" s="415"/>
      <c r="N329" s="65"/>
      <c r="O329" s="65"/>
    </row>
    <row r="330" spans="12:15" x14ac:dyDescent="0.25">
      <c r="L330" s="415"/>
      <c r="M330" s="415"/>
      <c r="N330" s="65"/>
      <c r="O330" s="65"/>
    </row>
    <row r="331" spans="12:15" x14ac:dyDescent="0.25">
      <c r="L331" s="415"/>
      <c r="M331" s="415"/>
      <c r="N331" s="65"/>
      <c r="O331" s="65"/>
    </row>
    <row r="332" spans="12:15" x14ac:dyDescent="0.25">
      <c r="L332" s="415"/>
      <c r="M332" s="415"/>
      <c r="N332" s="65"/>
      <c r="O332" s="65"/>
    </row>
    <row r="333" spans="12:15" x14ac:dyDescent="0.25">
      <c r="L333" s="415"/>
      <c r="M333" s="415"/>
      <c r="N333" s="65"/>
      <c r="O333" s="65"/>
    </row>
    <row r="334" spans="12:15" x14ac:dyDescent="0.25">
      <c r="L334" s="415"/>
      <c r="M334" s="415"/>
      <c r="N334" s="65"/>
      <c r="O334" s="65"/>
    </row>
    <row r="335" spans="12:15" x14ac:dyDescent="0.25">
      <c r="L335" s="415"/>
      <c r="M335" s="415"/>
      <c r="N335" s="65"/>
      <c r="O335" s="65"/>
    </row>
    <row r="336" spans="12:15" x14ac:dyDescent="0.25">
      <c r="L336" s="415"/>
      <c r="M336" s="415"/>
      <c r="N336" s="65"/>
      <c r="O336" s="65"/>
    </row>
    <row r="337" spans="12:15" x14ac:dyDescent="0.25">
      <c r="L337" s="415"/>
      <c r="M337" s="415"/>
      <c r="N337" s="65"/>
      <c r="O337" s="65"/>
    </row>
    <row r="338" spans="12:15" x14ac:dyDescent="0.25">
      <c r="L338" s="415"/>
      <c r="M338" s="415"/>
      <c r="N338" s="65"/>
      <c r="O338" s="65"/>
    </row>
    <row r="339" spans="12:15" x14ac:dyDescent="0.25">
      <c r="L339" s="65"/>
      <c r="M339" s="65"/>
      <c r="N339" s="65"/>
      <c r="O339" s="65"/>
    </row>
    <row r="340" spans="12:15" x14ac:dyDescent="0.25">
      <c r="L340" s="65"/>
      <c r="M340" s="65"/>
      <c r="N340" s="65"/>
      <c r="O340" s="65"/>
    </row>
    <row r="341" spans="12:15" x14ac:dyDescent="0.25">
      <c r="L341" s="65"/>
      <c r="M341" s="65"/>
      <c r="N341" s="65"/>
      <c r="O341" s="65"/>
    </row>
    <row r="342" spans="12:15" x14ac:dyDescent="0.25">
      <c r="L342" s="65"/>
      <c r="M342" s="65"/>
      <c r="N342" s="65"/>
      <c r="O342" s="65"/>
    </row>
    <row r="343" spans="12:15" x14ac:dyDescent="0.25">
      <c r="L343" s="65"/>
      <c r="M343" s="65"/>
      <c r="N343" s="65"/>
      <c r="O343" s="65"/>
    </row>
    <row r="344" spans="12:15" x14ac:dyDescent="0.25">
      <c r="L344" s="65"/>
      <c r="M344" s="65"/>
      <c r="N344" s="65"/>
      <c r="O344" s="65"/>
    </row>
    <row r="345" spans="12:15" x14ac:dyDescent="0.25">
      <c r="L345" s="65"/>
      <c r="M345" s="65"/>
      <c r="N345" s="65"/>
      <c r="O345" s="65"/>
    </row>
    <row r="346" spans="12:15" x14ac:dyDescent="0.25">
      <c r="L346" s="65"/>
      <c r="M346" s="65"/>
      <c r="N346" s="65"/>
      <c r="O346" s="65"/>
    </row>
    <row r="347" spans="12:15" x14ac:dyDescent="0.25">
      <c r="L347" s="65"/>
      <c r="M347" s="65"/>
      <c r="N347" s="65"/>
      <c r="O347" s="65"/>
    </row>
    <row r="348" spans="12:15" x14ac:dyDescent="0.25">
      <c r="L348" s="65"/>
      <c r="M348" s="65"/>
      <c r="N348" s="65"/>
      <c r="O348" s="65"/>
    </row>
    <row r="349" spans="12:15" x14ac:dyDescent="0.25">
      <c r="L349" s="65"/>
      <c r="M349" s="65"/>
      <c r="N349" s="65"/>
      <c r="O349" s="65"/>
    </row>
    <row r="350" spans="12:15" x14ac:dyDescent="0.25">
      <c r="L350" s="65"/>
      <c r="M350" s="65"/>
      <c r="N350" s="65"/>
      <c r="O350" s="65"/>
    </row>
    <row r="351" spans="12:15" x14ac:dyDescent="0.25">
      <c r="L351" s="65"/>
      <c r="M351" s="65"/>
      <c r="N351" s="65"/>
      <c r="O351" s="65"/>
    </row>
    <row r="352" spans="12:15" x14ac:dyDescent="0.25">
      <c r="L352" s="65"/>
      <c r="M352" s="65"/>
      <c r="N352" s="65"/>
      <c r="O352" s="65"/>
    </row>
    <row r="353" spans="12:15" x14ac:dyDescent="0.25">
      <c r="L353" s="65"/>
      <c r="M353" s="65"/>
      <c r="N353" s="65"/>
      <c r="O353" s="65"/>
    </row>
    <row r="354" spans="12:15" x14ac:dyDescent="0.25">
      <c r="L354" s="65"/>
      <c r="M354" s="65"/>
      <c r="N354" s="65"/>
      <c r="O354" s="65"/>
    </row>
    <row r="355" spans="12:15" x14ac:dyDescent="0.25">
      <c r="L355" s="65"/>
      <c r="M355" s="65"/>
      <c r="N355" s="65"/>
      <c r="O355" s="65"/>
    </row>
    <row r="356" spans="12:15" x14ac:dyDescent="0.25">
      <c r="L356" s="65"/>
      <c r="M356" s="65"/>
      <c r="N356" s="65"/>
      <c r="O356" s="65"/>
    </row>
    <row r="357" spans="12:15" x14ac:dyDescent="0.25">
      <c r="L357" s="65"/>
      <c r="M357" s="65"/>
      <c r="N357" s="65"/>
      <c r="O357" s="65"/>
    </row>
    <row r="358" spans="12:15" x14ac:dyDescent="0.25">
      <c r="L358" s="65"/>
      <c r="M358" s="65"/>
      <c r="N358" s="65"/>
      <c r="O358" s="65"/>
    </row>
    <row r="359" spans="12:15" x14ac:dyDescent="0.25">
      <c r="L359" s="65"/>
      <c r="M359" s="65"/>
      <c r="N359" s="65"/>
      <c r="O359" s="65"/>
    </row>
    <row r="360" spans="12:15" x14ac:dyDescent="0.25">
      <c r="L360" s="65"/>
      <c r="M360" s="65"/>
      <c r="N360" s="65"/>
      <c r="O360" s="65"/>
    </row>
    <row r="361" spans="12:15" x14ac:dyDescent="0.25">
      <c r="L361" s="65"/>
      <c r="M361" s="65"/>
      <c r="N361" s="65"/>
      <c r="O361" s="65"/>
    </row>
    <row r="362" spans="12:15" x14ac:dyDescent="0.25">
      <c r="L362" s="65"/>
      <c r="M362" s="65"/>
      <c r="N362" s="65"/>
      <c r="O362" s="65"/>
    </row>
    <row r="363" spans="12:15" x14ac:dyDescent="0.25">
      <c r="L363" s="65"/>
      <c r="M363" s="65"/>
      <c r="N363" s="65"/>
      <c r="O363" s="65"/>
    </row>
    <row r="364" spans="12:15" x14ac:dyDescent="0.25">
      <c r="L364" s="65"/>
      <c r="M364" s="65"/>
      <c r="N364" s="65"/>
      <c r="O364" s="65"/>
    </row>
    <row r="365" spans="12:15" x14ac:dyDescent="0.25">
      <c r="L365" s="65"/>
      <c r="M365" s="65"/>
      <c r="N365" s="65"/>
      <c r="O365" s="65"/>
    </row>
    <row r="366" spans="12:15" x14ac:dyDescent="0.25">
      <c r="L366" s="65"/>
      <c r="M366" s="65"/>
      <c r="N366" s="65"/>
      <c r="O366" s="65"/>
    </row>
    <row r="367" spans="12:15" x14ac:dyDescent="0.25">
      <c r="L367" s="65"/>
      <c r="M367" s="65"/>
      <c r="N367" s="65"/>
      <c r="O367" s="65"/>
    </row>
    <row r="368" spans="12:15" x14ac:dyDescent="0.25">
      <c r="L368" s="65"/>
      <c r="M368" s="65"/>
      <c r="N368" s="65"/>
      <c r="O368" s="65"/>
    </row>
    <row r="369" spans="12:15" x14ac:dyDescent="0.25">
      <c r="L369" s="65"/>
      <c r="M369" s="65"/>
      <c r="N369" s="65"/>
      <c r="O369" s="65"/>
    </row>
    <row r="370" spans="12:15" x14ac:dyDescent="0.25">
      <c r="L370" s="65"/>
      <c r="M370" s="65"/>
      <c r="N370" s="65"/>
      <c r="O370" s="65"/>
    </row>
    <row r="371" spans="12:15" x14ac:dyDescent="0.25">
      <c r="L371" s="65"/>
      <c r="M371" s="65"/>
      <c r="N371" s="65"/>
      <c r="O371" s="65"/>
    </row>
    <row r="372" spans="12:15" x14ac:dyDescent="0.25">
      <c r="L372" s="65"/>
      <c r="M372" s="65"/>
      <c r="N372" s="65"/>
      <c r="O372" s="65"/>
    </row>
    <row r="373" spans="12:15" x14ac:dyDescent="0.25">
      <c r="L373" s="65"/>
      <c r="M373" s="65"/>
      <c r="N373" s="65"/>
      <c r="O373" s="65"/>
    </row>
    <row r="374" spans="12:15" x14ac:dyDescent="0.25">
      <c r="L374" s="65"/>
      <c r="M374" s="65"/>
      <c r="N374" s="65"/>
      <c r="O374" s="65"/>
    </row>
    <row r="375" spans="12:15" x14ac:dyDescent="0.25">
      <c r="L375" s="65"/>
      <c r="M375" s="65"/>
      <c r="N375" s="65"/>
      <c r="O375" s="65"/>
    </row>
    <row r="376" spans="12:15" x14ac:dyDescent="0.25">
      <c r="L376" s="65"/>
      <c r="M376" s="65"/>
      <c r="N376" s="65"/>
      <c r="O376" s="65"/>
    </row>
    <row r="377" spans="12:15" x14ac:dyDescent="0.25">
      <c r="L377" s="65"/>
      <c r="M377" s="65"/>
      <c r="N377" s="65"/>
      <c r="O377" s="65"/>
    </row>
    <row r="378" spans="12:15" x14ac:dyDescent="0.25">
      <c r="L378" s="65"/>
      <c r="M378" s="65"/>
      <c r="N378" s="65"/>
      <c r="O378" s="65"/>
    </row>
    <row r="379" spans="12:15" x14ac:dyDescent="0.25">
      <c r="L379" s="65"/>
      <c r="M379" s="65"/>
      <c r="N379" s="65"/>
      <c r="O379" s="65"/>
    </row>
    <row r="380" spans="12:15" x14ac:dyDescent="0.25">
      <c r="L380" s="65"/>
      <c r="M380" s="65"/>
      <c r="N380" s="65"/>
      <c r="O380" s="65"/>
    </row>
    <row r="381" spans="12:15" x14ac:dyDescent="0.25">
      <c r="L381" s="65"/>
      <c r="M381" s="65"/>
      <c r="N381" s="65"/>
      <c r="O381" s="65"/>
    </row>
    <row r="382" spans="12:15" x14ac:dyDescent="0.25">
      <c r="L382" s="65"/>
      <c r="M382" s="65"/>
      <c r="N382" s="65"/>
      <c r="O382" s="65"/>
    </row>
    <row r="383" spans="12:15" x14ac:dyDescent="0.25">
      <c r="L383" s="65"/>
      <c r="M383" s="65"/>
      <c r="N383" s="65"/>
      <c r="O383" s="65"/>
    </row>
    <row r="384" spans="12:15" x14ac:dyDescent="0.25">
      <c r="L384" s="65"/>
      <c r="M384" s="65"/>
      <c r="N384" s="65"/>
      <c r="O384" s="65"/>
    </row>
    <row r="385" spans="12:15" x14ac:dyDescent="0.25">
      <c r="L385" s="65"/>
      <c r="M385" s="65"/>
      <c r="N385" s="65"/>
      <c r="O385" s="65"/>
    </row>
    <row r="386" spans="12:15" x14ac:dyDescent="0.25">
      <c r="L386" s="65"/>
      <c r="M386" s="65"/>
      <c r="N386" s="65"/>
      <c r="O386" s="65"/>
    </row>
    <row r="387" spans="12:15" x14ac:dyDescent="0.25">
      <c r="L387" s="65"/>
      <c r="M387" s="65"/>
      <c r="N387" s="65"/>
      <c r="O387" s="65"/>
    </row>
    <row r="388" spans="12:15" x14ac:dyDescent="0.25">
      <c r="L388" s="65"/>
      <c r="M388" s="65"/>
      <c r="N388" s="65"/>
      <c r="O388" s="65"/>
    </row>
    <row r="389" spans="12:15" x14ac:dyDescent="0.25">
      <c r="L389" s="65"/>
      <c r="M389" s="65"/>
      <c r="N389" s="65"/>
      <c r="O389" s="65"/>
    </row>
    <row r="390" spans="12:15" x14ac:dyDescent="0.25">
      <c r="L390" s="65"/>
      <c r="M390" s="65"/>
      <c r="N390" s="65"/>
      <c r="O390" s="65"/>
    </row>
    <row r="391" spans="12:15" x14ac:dyDescent="0.25">
      <c r="L391" s="65"/>
      <c r="M391" s="65"/>
      <c r="N391" s="65"/>
      <c r="O391" s="65"/>
    </row>
    <row r="392" spans="12:15" x14ac:dyDescent="0.25">
      <c r="L392" s="65"/>
      <c r="M392" s="65"/>
      <c r="N392" s="65"/>
      <c r="O392" s="65"/>
    </row>
    <row r="393" spans="12:15" x14ac:dyDescent="0.25">
      <c r="L393" s="65"/>
      <c r="M393" s="65"/>
      <c r="N393" s="65"/>
      <c r="O393" s="65"/>
    </row>
    <row r="394" spans="12:15" x14ac:dyDescent="0.25">
      <c r="L394" s="65"/>
      <c r="M394" s="65"/>
      <c r="N394" s="65"/>
      <c r="O394" s="65"/>
    </row>
    <row r="395" spans="12:15" x14ac:dyDescent="0.25">
      <c r="L395" s="65"/>
      <c r="M395" s="65"/>
      <c r="N395" s="65"/>
      <c r="O395" s="65"/>
    </row>
    <row r="396" spans="12:15" x14ac:dyDescent="0.25">
      <c r="L396" s="65"/>
      <c r="M396" s="65"/>
      <c r="N396" s="65"/>
      <c r="O396" s="65"/>
    </row>
    <row r="397" spans="12:15" x14ac:dyDescent="0.25">
      <c r="L397" s="65"/>
      <c r="M397" s="65"/>
      <c r="N397" s="65"/>
      <c r="O397" s="65"/>
    </row>
    <row r="398" spans="12:15" x14ac:dyDescent="0.25">
      <c r="L398" s="65"/>
      <c r="M398" s="65"/>
      <c r="N398" s="65"/>
      <c r="O398" s="65"/>
    </row>
    <row r="399" spans="12:15" x14ac:dyDescent="0.25">
      <c r="L399" s="65"/>
      <c r="M399" s="65"/>
      <c r="N399" s="65"/>
      <c r="O399" s="65"/>
    </row>
    <row r="400" spans="12:15" x14ac:dyDescent="0.25">
      <c r="L400" s="65"/>
      <c r="M400" s="65"/>
      <c r="N400" s="65"/>
      <c r="O400" s="65"/>
    </row>
    <row r="401" spans="12:15" x14ac:dyDescent="0.25">
      <c r="L401" s="65"/>
      <c r="M401" s="65"/>
      <c r="N401" s="65"/>
      <c r="O401" s="65"/>
    </row>
    <row r="402" spans="12:15" x14ac:dyDescent="0.25">
      <c r="L402" s="65"/>
      <c r="M402" s="65"/>
      <c r="N402" s="65"/>
      <c r="O402" s="65"/>
    </row>
    <row r="403" spans="12:15" x14ac:dyDescent="0.25">
      <c r="L403" s="65"/>
      <c r="M403" s="65"/>
      <c r="N403" s="65"/>
      <c r="O403" s="65"/>
    </row>
    <row r="404" spans="12:15" x14ac:dyDescent="0.25">
      <c r="L404" s="65"/>
      <c r="M404" s="65"/>
      <c r="N404" s="65"/>
      <c r="O404" s="65"/>
    </row>
    <row r="405" spans="12:15" x14ac:dyDescent="0.25">
      <c r="L405" s="65"/>
      <c r="M405" s="65"/>
      <c r="N405" s="65"/>
      <c r="O405" s="65"/>
    </row>
    <row r="406" spans="12:15" x14ac:dyDescent="0.25">
      <c r="L406" s="65"/>
      <c r="M406" s="65"/>
      <c r="N406" s="65"/>
      <c r="O406" s="65"/>
    </row>
    <row r="407" spans="12:15" x14ac:dyDescent="0.25">
      <c r="L407" s="65"/>
      <c r="M407" s="65"/>
      <c r="N407" s="65"/>
      <c r="O407" s="65"/>
    </row>
    <row r="408" spans="12:15" x14ac:dyDescent="0.25">
      <c r="L408" s="65"/>
      <c r="M408" s="65"/>
      <c r="N408" s="65"/>
      <c r="O408" s="65"/>
    </row>
    <row r="409" spans="12:15" x14ac:dyDescent="0.25">
      <c r="L409" s="65"/>
      <c r="M409" s="65"/>
      <c r="N409" s="65"/>
      <c r="O409" s="65"/>
    </row>
    <row r="410" spans="12:15" x14ac:dyDescent="0.25">
      <c r="L410" s="65"/>
      <c r="M410" s="65"/>
      <c r="N410" s="65"/>
      <c r="O410" s="65"/>
    </row>
    <row r="411" spans="12:15" x14ac:dyDescent="0.25">
      <c r="L411" s="65"/>
      <c r="M411" s="65"/>
      <c r="N411" s="65"/>
      <c r="O411" s="65"/>
    </row>
    <row r="412" spans="12:15" x14ac:dyDescent="0.25">
      <c r="L412" s="65"/>
      <c r="M412" s="65"/>
      <c r="N412" s="65"/>
      <c r="O412" s="65"/>
    </row>
    <row r="413" spans="12:15" x14ac:dyDescent="0.25">
      <c r="L413" s="65"/>
      <c r="M413" s="65"/>
      <c r="N413" s="65"/>
      <c r="O413" s="65"/>
    </row>
    <row r="414" spans="12:15" x14ac:dyDescent="0.25">
      <c r="L414" s="65"/>
      <c r="M414" s="65"/>
      <c r="N414" s="65"/>
      <c r="O414" s="65"/>
    </row>
    <row r="415" spans="12:15" x14ac:dyDescent="0.25">
      <c r="L415" s="65"/>
      <c r="M415" s="65"/>
      <c r="N415" s="65"/>
      <c r="O415" s="65"/>
    </row>
    <row r="416" spans="12:15" x14ac:dyDescent="0.25">
      <c r="L416" s="65"/>
      <c r="M416" s="65"/>
      <c r="N416" s="65"/>
      <c r="O416" s="65"/>
    </row>
    <row r="417" spans="12:15" x14ac:dyDescent="0.25">
      <c r="L417" s="65"/>
      <c r="M417" s="65"/>
      <c r="N417" s="65"/>
      <c r="O417" s="65"/>
    </row>
    <row r="418" spans="12:15" x14ac:dyDescent="0.25">
      <c r="L418" s="65"/>
      <c r="M418" s="65"/>
      <c r="N418" s="65"/>
      <c r="O418" s="65"/>
    </row>
    <row r="419" spans="12:15" x14ac:dyDescent="0.25">
      <c r="L419" s="65"/>
      <c r="M419" s="65"/>
      <c r="N419" s="65"/>
      <c r="O419" s="65"/>
    </row>
    <row r="420" spans="12:15" x14ac:dyDescent="0.25">
      <c r="L420" s="65"/>
      <c r="M420" s="65"/>
      <c r="N420" s="65"/>
      <c r="O420" s="65"/>
    </row>
    <row r="421" spans="12:15" x14ac:dyDescent="0.25">
      <c r="L421" s="65"/>
      <c r="M421" s="65"/>
      <c r="N421" s="65"/>
      <c r="O421" s="65"/>
    </row>
    <row r="422" spans="12:15" x14ac:dyDescent="0.25">
      <c r="L422" s="65"/>
      <c r="M422" s="65"/>
      <c r="N422" s="65"/>
      <c r="O422" s="65"/>
    </row>
    <row r="423" spans="12:15" x14ac:dyDescent="0.25">
      <c r="L423" s="65"/>
      <c r="M423" s="65"/>
      <c r="N423" s="65"/>
      <c r="O423" s="65"/>
    </row>
    <row r="424" spans="12:15" x14ac:dyDescent="0.25">
      <c r="L424" s="65"/>
      <c r="M424" s="65"/>
      <c r="N424" s="65"/>
      <c r="O424" s="65"/>
    </row>
    <row r="425" spans="12:15" x14ac:dyDescent="0.25">
      <c r="L425" s="65"/>
      <c r="M425" s="65"/>
      <c r="N425" s="65"/>
      <c r="O425" s="65"/>
    </row>
    <row r="426" spans="12:15" x14ac:dyDescent="0.25">
      <c r="L426" s="65"/>
      <c r="M426" s="65"/>
      <c r="N426" s="65"/>
      <c r="O426" s="65"/>
    </row>
    <row r="427" spans="12:15" x14ac:dyDescent="0.25">
      <c r="L427" s="65"/>
      <c r="M427" s="65"/>
      <c r="N427" s="65"/>
      <c r="O427" s="65"/>
    </row>
    <row r="428" spans="12:15" x14ac:dyDescent="0.25">
      <c r="L428" s="65"/>
      <c r="M428" s="65"/>
      <c r="N428" s="65"/>
      <c r="O428" s="65"/>
    </row>
    <row r="429" spans="12:15" x14ac:dyDescent="0.25">
      <c r="L429" s="65"/>
      <c r="M429" s="65"/>
      <c r="N429" s="65"/>
      <c r="O429" s="65"/>
    </row>
    <row r="430" spans="12:15" x14ac:dyDescent="0.25">
      <c r="L430" s="65"/>
      <c r="M430" s="65"/>
      <c r="N430" s="65"/>
      <c r="O430" s="65"/>
    </row>
    <row r="431" spans="12:15" x14ac:dyDescent="0.25">
      <c r="L431" s="65"/>
      <c r="M431" s="65"/>
      <c r="N431" s="65"/>
      <c r="O431" s="65"/>
    </row>
    <row r="432" spans="12:15" x14ac:dyDescent="0.25">
      <c r="L432" s="65"/>
      <c r="M432" s="65"/>
      <c r="N432" s="65"/>
      <c r="O432" s="65"/>
    </row>
    <row r="433" spans="12:15" x14ac:dyDescent="0.25">
      <c r="L433" s="65"/>
      <c r="M433" s="65"/>
      <c r="N433" s="65"/>
      <c r="O433" s="65"/>
    </row>
    <row r="434" spans="12:15" x14ac:dyDescent="0.25">
      <c r="L434" s="65"/>
      <c r="M434" s="65"/>
      <c r="N434" s="65"/>
      <c r="O434" s="65"/>
    </row>
    <row r="435" spans="12:15" x14ac:dyDescent="0.25">
      <c r="L435" s="65"/>
      <c r="M435" s="65"/>
      <c r="N435" s="65"/>
      <c r="O435" s="65"/>
    </row>
    <row r="436" spans="12:15" x14ac:dyDescent="0.25">
      <c r="L436" s="65"/>
      <c r="M436" s="65"/>
      <c r="N436" s="65"/>
      <c r="O436" s="65"/>
    </row>
    <row r="437" spans="12:15" x14ac:dyDescent="0.25">
      <c r="L437" s="65"/>
      <c r="M437" s="65"/>
      <c r="N437" s="65"/>
      <c r="O437" s="65"/>
    </row>
    <row r="438" spans="12:15" x14ac:dyDescent="0.25">
      <c r="L438" s="65"/>
      <c r="M438" s="65"/>
      <c r="N438" s="65"/>
      <c r="O438" s="65"/>
    </row>
    <row r="439" spans="12:15" x14ac:dyDescent="0.25">
      <c r="L439" s="65"/>
      <c r="M439" s="65"/>
      <c r="N439" s="65"/>
      <c r="O439" s="65"/>
    </row>
    <row r="440" spans="12:15" x14ac:dyDescent="0.25">
      <c r="L440" s="65"/>
      <c r="M440" s="65"/>
      <c r="N440" s="65"/>
      <c r="O440" s="65"/>
    </row>
    <row r="441" spans="12:15" x14ac:dyDescent="0.25">
      <c r="L441" s="65"/>
      <c r="M441" s="65"/>
      <c r="N441" s="65"/>
      <c r="O441" s="65"/>
    </row>
    <row r="442" spans="12:15" x14ac:dyDescent="0.25">
      <c r="L442" s="65"/>
      <c r="M442" s="65"/>
      <c r="N442" s="65"/>
      <c r="O442" s="65"/>
    </row>
    <row r="443" spans="12:15" x14ac:dyDescent="0.25">
      <c r="L443" s="65"/>
      <c r="M443" s="65"/>
      <c r="N443" s="65"/>
      <c r="O443" s="65"/>
    </row>
    <row r="444" spans="12:15" x14ac:dyDescent="0.25">
      <c r="L444" s="65"/>
      <c r="M444" s="65"/>
      <c r="N444" s="65"/>
      <c r="O444" s="65"/>
    </row>
    <row r="445" spans="12:15" x14ac:dyDescent="0.25">
      <c r="L445" s="65"/>
      <c r="M445" s="65"/>
      <c r="N445" s="65"/>
      <c r="O445" s="65"/>
    </row>
    <row r="446" spans="12:15" x14ac:dyDescent="0.25">
      <c r="L446" s="65"/>
      <c r="M446" s="65"/>
      <c r="N446" s="65"/>
      <c r="O446" s="65"/>
    </row>
    <row r="447" spans="12:15" x14ac:dyDescent="0.25">
      <c r="L447" s="65"/>
      <c r="M447" s="65"/>
      <c r="N447" s="65"/>
      <c r="O447" s="65"/>
    </row>
    <row r="448" spans="12:15" x14ac:dyDescent="0.25">
      <c r="L448" s="65"/>
      <c r="M448" s="65"/>
      <c r="N448" s="65"/>
      <c r="O448" s="65"/>
    </row>
    <row r="449" spans="12:15" x14ac:dyDescent="0.25">
      <c r="L449" s="65"/>
      <c r="M449" s="65"/>
      <c r="N449" s="65"/>
      <c r="O449" s="65"/>
    </row>
    <row r="450" spans="12:15" x14ac:dyDescent="0.25">
      <c r="L450" s="65"/>
      <c r="M450" s="65"/>
      <c r="N450" s="65"/>
      <c r="O450" s="65"/>
    </row>
    <row r="451" spans="12:15" x14ac:dyDescent="0.25">
      <c r="L451" s="65"/>
      <c r="M451" s="65"/>
      <c r="N451" s="65"/>
      <c r="O451" s="65"/>
    </row>
    <row r="452" spans="12:15" x14ac:dyDescent="0.25">
      <c r="L452" s="65"/>
      <c r="M452" s="65"/>
      <c r="N452" s="65"/>
      <c r="O452" s="65"/>
    </row>
    <row r="453" spans="12:15" x14ac:dyDescent="0.25">
      <c r="L453" s="65"/>
      <c r="M453" s="65"/>
      <c r="N453" s="65"/>
      <c r="O453" s="65"/>
    </row>
    <row r="454" spans="12:15" x14ac:dyDescent="0.25">
      <c r="L454" s="65"/>
      <c r="M454" s="65"/>
      <c r="N454" s="65"/>
      <c r="O454" s="65"/>
    </row>
    <row r="455" spans="12:15" x14ac:dyDescent="0.25">
      <c r="L455" s="65"/>
      <c r="M455" s="65"/>
      <c r="N455" s="65"/>
      <c r="O455" s="65"/>
    </row>
    <row r="456" spans="12:15" x14ac:dyDescent="0.25">
      <c r="L456" s="65"/>
      <c r="M456" s="65"/>
      <c r="N456" s="65"/>
      <c r="O456" s="65"/>
    </row>
    <row r="457" spans="12:15" x14ac:dyDescent="0.25">
      <c r="L457" s="65"/>
      <c r="M457" s="65"/>
      <c r="N457" s="65"/>
      <c r="O457" s="65"/>
    </row>
    <row r="458" spans="12:15" x14ac:dyDescent="0.25">
      <c r="L458" s="65"/>
      <c r="M458" s="65"/>
      <c r="N458" s="65"/>
      <c r="O458" s="65"/>
    </row>
    <row r="459" spans="12:15" x14ac:dyDescent="0.25">
      <c r="L459" s="65"/>
      <c r="M459" s="65"/>
      <c r="N459" s="65"/>
      <c r="O459" s="65"/>
    </row>
    <row r="460" spans="12:15" x14ac:dyDescent="0.25">
      <c r="L460" s="65"/>
      <c r="M460" s="65"/>
      <c r="N460" s="65"/>
      <c r="O460" s="65"/>
    </row>
    <row r="461" spans="12:15" x14ac:dyDescent="0.25">
      <c r="L461" s="65"/>
      <c r="M461" s="65"/>
      <c r="N461" s="65"/>
      <c r="O461" s="65"/>
    </row>
    <row r="462" spans="12:15" x14ac:dyDescent="0.25">
      <c r="L462" s="65"/>
      <c r="M462" s="65"/>
      <c r="N462" s="65"/>
      <c r="O462" s="65"/>
    </row>
    <row r="463" spans="12:15" x14ac:dyDescent="0.25">
      <c r="L463" s="65"/>
      <c r="M463" s="65"/>
      <c r="N463" s="65"/>
      <c r="O463" s="65"/>
    </row>
    <row r="464" spans="12:15" x14ac:dyDescent="0.25">
      <c r="L464" s="65"/>
      <c r="M464" s="65"/>
      <c r="N464" s="65"/>
      <c r="O464" s="65"/>
    </row>
    <row r="465" spans="12:15" x14ac:dyDescent="0.25">
      <c r="L465" s="65"/>
      <c r="M465" s="65"/>
      <c r="N465" s="65"/>
      <c r="O465" s="65"/>
    </row>
    <row r="466" spans="12:15" x14ac:dyDescent="0.25">
      <c r="L466" s="65"/>
      <c r="M466" s="65"/>
      <c r="N466" s="65"/>
      <c r="O466" s="65"/>
    </row>
    <row r="467" spans="12:15" x14ac:dyDescent="0.25">
      <c r="L467" s="65"/>
      <c r="M467" s="65"/>
      <c r="N467" s="65"/>
      <c r="O467" s="65"/>
    </row>
    <row r="468" spans="12:15" x14ac:dyDescent="0.25">
      <c r="L468" s="65"/>
      <c r="M468" s="65"/>
      <c r="N468" s="65"/>
      <c r="O468" s="65"/>
    </row>
    <row r="469" spans="12:15" x14ac:dyDescent="0.25">
      <c r="L469" s="65"/>
      <c r="M469" s="65"/>
      <c r="N469" s="65"/>
      <c r="O469" s="65"/>
    </row>
    <row r="470" spans="12:15" x14ac:dyDescent="0.25">
      <c r="L470" s="65"/>
      <c r="M470" s="65"/>
      <c r="N470" s="65"/>
      <c r="O470" s="65"/>
    </row>
    <row r="471" spans="12:15" x14ac:dyDescent="0.25">
      <c r="L471" s="65"/>
      <c r="M471" s="65"/>
      <c r="N471" s="65"/>
      <c r="O471" s="65"/>
    </row>
    <row r="472" spans="12:15" x14ac:dyDescent="0.25">
      <c r="L472" s="65"/>
      <c r="M472" s="65"/>
      <c r="N472" s="65"/>
      <c r="O472" s="65"/>
    </row>
    <row r="473" spans="12:15" x14ac:dyDescent="0.25">
      <c r="L473" s="65"/>
      <c r="M473" s="65"/>
      <c r="N473" s="65"/>
      <c r="O473" s="65"/>
    </row>
    <row r="474" spans="12:15" x14ac:dyDescent="0.25">
      <c r="L474" s="65"/>
      <c r="M474" s="65"/>
      <c r="N474" s="65"/>
      <c r="O474" s="65"/>
    </row>
    <row r="475" spans="12:15" x14ac:dyDescent="0.25">
      <c r="L475" s="65"/>
      <c r="M475" s="65"/>
      <c r="N475" s="65"/>
      <c r="O475" s="65"/>
    </row>
    <row r="476" spans="12:15" x14ac:dyDescent="0.25">
      <c r="L476" s="65"/>
      <c r="M476" s="65"/>
      <c r="N476" s="65"/>
      <c r="O476" s="65"/>
    </row>
    <row r="477" spans="12:15" x14ac:dyDescent="0.25">
      <c r="L477" s="65"/>
      <c r="M477" s="65"/>
      <c r="N477" s="65"/>
      <c r="O477" s="65"/>
    </row>
    <row r="478" spans="12:15" x14ac:dyDescent="0.25">
      <c r="L478" s="65"/>
      <c r="M478" s="65"/>
      <c r="N478" s="65"/>
      <c r="O478" s="65"/>
    </row>
    <row r="479" spans="12:15" x14ac:dyDescent="0.25">
      <c r="L479" s="65"/>
      <c r="M479" s="65"/>
      <c r="N479" s="65"/>
      <c r="O479" s="65"/>
    </row>
    <row r="480" spans="12:15" x14ac:dyDescent="0.25">
      <c r="L480" s="65"/>
      <c r="M480" s="65"/>
      <c r="N480" s="65"/>
      <c r="O480" s="65"/>
    </row>
    <row r="481" spans="12:15" x14ac:dyDescent="0.25">
      <c r="L481" s="65"/>
      <c r="M481" s="65"/>
      <c r="N481" s="65"/>
      <c r="O481" s="65"/>
    </row>
    <row r="482" spans="12:15" x14ac:dyDescent="0.25">
      <c r="L482" s="65"/>
      <c r="M482" s="65"/>
      <c r="N482" s="65"/>
      <c r="O482" s="65"/>
    </row>
    <row r="483" spans="12:15" x14ac:dyDescent="0.25">
      <c r="L483" s="65"/>
      <c r="M483" s="65"/>
      <c r="N483" s="65"/>
      <c r="O483" s="65"/>
    </row>
    <row r="484" spans="12:15" x14ac:dyDescent="0.25">
      <c r="L484" s="65"/>
      <c r="M484" s="65"/>
      <c r="N484" s="65"/>
      <c r="O484" s="65"/>
    </row>
    <row r="485" spans="12:15" x14ac:dyDescent="0.25">
      <c r="L485" s="65"/>
      <c r="M485" s="65"/>
      <c r="N485" s="65"/>
      <c r="O485" s="65"/>
    </row>
    <row r="486" spans="12:15" x14ac:dyDescent="0.25">
      <c r="L486" s="65"/>
      <c r="M486" s="65"/>
      <c r="N486" s="65"/>
      <c r="O486" s="65"/>
    </row>
    <row r="487" spans="12:15" x14ac:dyDescent="0.25">
      <c r="L487" s="65"/>
      <c r="M487" s="65"/>
      <c r="N487" s="65"/>
      <c r="O487" s="65"/>
    </row>
    <row r="488" spans="12:15" x14ac:dyDescent="0.25">
      <c r="L488" s="65"/>
      <c r="M488" s="65"/>
      <c r="N488" s="65"/>
      <c r="O488" s="65"/>
    </row>
    <row r="489" spans="12:15" x14ac:dyDescent="0.25">
      <c r="L489" s="65"/>
      <c r="M489" s="65"/>
      <c r="N489" s="65"/>
      <c r="O489" s="65"/>
    </row>
    <row r="490" spans="12:15" x14ac:dyDescent="0.25">
      <c r="L490" s="65"/>
      <c r="M490" s="65"/>
      <c r="N490" s="65"/>
      <c r="O490" s="65"/>
    </row>
    <row r="491" spans="12:15" x14ac:dyDescent="0.25">
      <c r="L491" s="65"/>
      <c r="M491" s="65"/>
      <c r="N491" s="65"/>
      <c r="O491" s="65"/>
    </row>
    <row r="492" spans="12:15" x14ac:dyDescent="0.25">
      <c r="L492" s="65"/>
      <c r="M492" s="65"/>
      <c r="N492" s="65"/>
      <c r="O492" s="65"/>
    </row>
    <row r="493" spans="12:15" x14ac:dyDescent="0.25">
      <c r="L493" s="65"/>
      <c r="M493" s="65"/>
      <c r="N493" s="65"/>
      <c r="O493" s="65"/>
    </row>
    <row r="494" spans="12:15" x14ac:dyDescent="0.25">
      <c r="L494" s="65"/>
      <c r="M494" s="65"/>
      <c r="N494" s="65"/>
      <c r="O494" s="65"/>
    </row>
    <row r="495" spans="12:15" x14ac:dyDescent="0.25">
      <c r="L495" s="65"/>
      <c r="M495" s="65"/>
      <c r="N495" s="65"/>
      <c r="O495" s="65"/>
    </row>
    <row r="496" spans="12:15" x14ac:dyDescent="0.25">
      <c r="L496" s="65"/>
      <c r="M496" s="65"/>
      <c r="N496" s="65"/>
      <c r="O496" s="65"/>
    </row>
    <row r="497" spans="12:15" x14ac:dyDescent="0.25">
      <c r="L497" s="65"/>
      <c r="M497" s="65"/>
      <c r="N497" s="65"/>
      <c r="O497" s="65"/>
    </row>
    <row r="498" spans="12:15" x14ac:dyDescent="0.25">
      <c r="L498" s="65"/>
      <c r="M498" s="65"/>
      <c r="N498" s="65"/>
      <c r="O498" s="65"/>
    </row>
    <row r="499" spans="12:15" x14ac:dyDescent="0.25">
      <c r="L499" s="65"/>
      <c r="M499" s="65"/>
      <c r="N499" s="65"/>
      <c r="O499" s="65"/>
    </row>
    <row r="500" spans="12:15" x14ac:dyDescent="0.25">
      <c r="L500" s="65"/>
      <c r="M500" s="65"/>
      <c r="N500" s="65"/>
      <c r="O500" s="65"/>
    </row>
    <row r="501" spans="12:15" x14ac:dyDescent="0.25">
      <c r="L501" s="65"/>
      <c r="M501" s="65"/>
      <c r="N501" s="65"/>
      <c r="O501" s="65"/>
    </row>
    <row r="502" spans="12:15" x14ac:dyDescent="0.25">
      <c r="L502" s="65"/>
      <c r="M502" s="65"/>
      <c r="N502" s="65"/>
      <c r="O502" s="65"/>
    </row>
    <row r="503" spans="12:15" x14ac:dyDescent="0.25">
      <c r="L503" s="65"/>
      <c r="M503" s="65"/>
      <c r="N503" s="65"/>
      <c r="O503" s="65"/>
    </row>
    <row r="504" spans="12:15" x14ac:dyDescent="0.25">
      <c r="L504" s="65"/>
      <c r="M504" s="65"/>
      <c r="N504" s="65"/>
      <c r="O504" s="65"/>
    </row>
    <row r="505" spans="12:15" x14ac:dyDescent="0.25">
      <c r="L505" s="65"/>
      <c r="M505" s="65"/>
      <c r="N505" s="65"/>
      <c r="O505" s="65"/>
    </row>
    <row r="506" spans="12:15" x14ac:dyDescent="0.25">
      <c r="L506" s="65"/>
      <c r="M506" s="65"/>
      <c r="N506" s="65"/>
      <c r="O506" s="65"/>
    </row>
    <row r="507" spans="12:15" x14ac:dyDescent="0.25">
      <c r="L507" s="65"/>
      <c r="M507" s="65"/>
      <c r="N507" s="65"/>
      <c r="O507" s="65"/>
    </row>
    <row r="508" spans="12:15" x14ac:dyDescent="0.25">
      <c r="L508" s="65"/>
      <c r="M508" s="65"/>
      <c r="N508" s="65"/>
      <c r="O508" s="65"/>
    </row>
    <row r="509" spans="12:15" x14ac:dyDescent="0.25">
      <c r="L509" s="65"/>
      <c r="M509" s="65"/>
      <c r="N509" s="65"/>
      <c r="O509" s="65"/>
    </row>
    <row r="510" spans="12:15" x14ac:dyDescent="0.25">
      <c r="L510" s="65"/>
      <c r="M510" s="65"/>
      <c r="N510" s="65"/>
      <c r="O510" s="65"/>
    </row>
    <row r="511" spans="12:15" x14ac:dyDescent="0.25">
      <c r="L511" s="65"/>
      <c r="M511" s="65"/>
      <c r="N511" s="65"/>
      <c r="O511" s="65"/>
    </row>
    <row r="512" spans="12:15" x14ac:dyDescent="0.25">
      <c r="L512" s="65"/>
      <c r="M512" s="65"/>
      <c r="N512" s="65"/>
      <c r="O512" s="65"/>
    </row>
    <row r="513" spans="12:15" x14ac:dyDescent="0.25">
      <c r="L513" s="65"/>
      <c r="M513" s="65"/>
      <c r="N513" s="65"/>
      <c r="O513" s="65"/>
    </row>
    <row r="514" spans="12:15" x14ac:dyDescent="0.25">
      <c r="L514" s="65"/>
      <c r="M514" s="65"/>
      <c r="N514" s="65"/>
      <c r="O514" s="65"/>
    </row>
    <row r="515" spans="12:15" x14ac:dyDescent="0.25">
      <c r="L515" s="65"/>
      <c r="M515" s="65"/>
      <c r="N515" s="65"/>
      <c r="O515" s="65"/>
    </row>
    <row r="516" spans="12:15" x14ac:dyDescent="0.25">
      <c r="L516" s="65"/>
      <c r="M516" s="65"/>
      <c r="N516" s="65"/>
      <c r="O516" s="65"/>
    </row>
    <row r="517" spans="12:15" x14ac:dyDescent="0.25">
      <c r="L517" s="65"/>
      <c r="M517" s="65"/>
      <c r="N517" s="65"/>
      <c r="O517" s="65"/>
    </row>
    <row r="518" spans="12:15" x14ac:dyDescent="0.25">
      <c r="L518" s="65"/>
      <c r="M518" s="65"/>
      <c r="N518" s="65"/>
      <c r="O518" s="65"/>
    </row>
    <row r="519" spans="12:15" x14ac:dyDescent="0.25">
      <c r="L519" s="65"/>
      <c r="M519" s="65"/>
      <c r="N519" s="65"/>
      <c r="O519" s="65"/>
    </row>
    <row r="520" spans="12:15" x14ac:dyDescent="0.25">
      <c r="L520" s="65"/>
      <c r="M520" s="65"/>
      <c r="N520" s="65"/>
      <c r="O520" s="65"/>
    </row>
    <row r="521" spans="12:15" x14ac:dyDescent="0.25">
      <c r="L521" s="65"/>
      <c r="M521" s="65"/>
      <c r="N521" s="65"/>
      <c r="O521" s="65"/>
    </row>
    <row r="522" spans="12:15" x14ac:dyDescent="0.25">
      <c r="L522" s="65"/>
      <c r="M522" s="65"/>
      <c r="N522" s="65"/>
      <c r="O522" s="65"/>
    </row>
    <row r="523" spans="12:15" x14ac:dyDescent="0.25">
      <c r="L523" s="65"/>
      <c r="M523" s="65"/>
      <c r="N523" s="65"/>
      <c r="O523" s="65"/>
    </row>
    <row r="524" spans="12:15" x14ac:dyDescent="0.25">
      <c r="L524" s="65"/>
      <c r="M524" s="65"/>
      <c r="N524" s="65"/>
      <c r="O524" s="65"/>
    </row>
    <row r="525" spans="12:15" x14ac:dyDescent="0.25">
      <c r="L525" s="65"/>
      <c r="M525" s="65"/>
      <c r="N525" s="65"/>
      <c r="O525" s="65"/>
    </row>
    <row r="526" spans="12:15" x14ac:dyDescent="0.25">
      <c r="L526" s="65"/>
      <c r="M526" s="65"/>
      <c r="N526" s="65"/>
      <c r="O526" s="65"/>
    </row>
    <row r="527" spans="12:15" x14ac:dyDescent="0.25">
      <c r="L527" s="65"/>
      <c r="M527" s="65"/>
      <c r="N527" s="65"/>
      <c r="O527" s="65"/>
    </row>
    <row r="528" spans="12:15" x14ac:dyDescent="0.25">
      <c r="L528" s="65"/>
      <c r="M528" s="65"/>
      <c r="N528" s="65"/>
      <c r="O528" s="65"/>
    </row>
    <row r="529" spans="12:15" x14ac:dyDescent="0.25">
      <c r="L529" s="65"/>
      <c r="M529" s="65"/>
      <c r="N529" s="65"/>
      <c r="O529" s="65"/>
    </row>
    <row r="530" spans="12:15" x14ac:dyDescent="0.25">
      <c r="L530" s="65"/>
      <c r="M530" s="65"/>
      <c r="N530" s="65"/>
      <c r="O530" s="65"/>
    </row>
    <row r="531" spans="12:15" x14ac:dyDescent="0.25">
      <c r="L531" s="65"/>
      <c r="M531" s="65"/>
      <c r="N531" s="65"/>
      <c r="O531" s="65"/>
    </row>
    <row r="532" spans="12:15" x14ac:dyDescent="0.25">
      <c r="L532" s="65"/>
      <c r="M532" s="65"/>
      <c r="N532" s="65"/>
      <c r="O532" s="65"/>
    </row>
    <row r="533" spans="12:15" x14ac:dyDescent="0.25">
      <c r="L533" s="65"/>
      <c r="M533" s="65"/>
      <c r="N533" s="65"/>
      <c r="O533" s="65"/>
    </row>
    <row r="534" spans="12:15" x14ac:dyDescent="0.25">
      <c r="L534" s="65"/>
      <c r="M534" s="65"/>
      <c r="N534" s="65"/>
      <c r="O534" s="65"/>
    </row>
    <row r="535" spans="12:15" x14ac:dyDescent="0.25">
      <c r="L535" s="65"/>
      <c r="M535" s="65"/>
      <c r="N535" s="65"/>
      <c r="O535" s="65"/>
    </row>
    <row r="536" spans="12:15" x14ac:dyDescent="0.25">
      <c r="L536" s="65"/>
      <c r="M536" s="65"/>
      <c r="N536" s="65"/>
      <c r="O536" s="65"/>
    </row>
    <row r="537" spans="12:15" x14ac:dyDescent="0.25">
      <c r="L537" s="65"/>
      <c r="M537" s="65"/>
      <c r="N537" s="65"/>
      <c r="O537" s="65"/>
    </row>
    <row r="538" spans="12:15" x14ac:dyDescent="0.25">
      <c r="L538" s="65"/>
      <c r="M538" s="65"/>
      <c r="N538" s="65"/>
      <c r="O538" s="65"/>
    </row>
    <row r="539" spans="12:15" x14ac:dyDescent="0.25">
      <c r="L539" s="65"/>
      <c r="M539" s="65"/>
      <c r="N539" s="65"/>
      <c r="O539" s="65"/>
    </row>
    <row r="540" spans="12:15" x14ac:dyDescent="0.25">
      <c r="L540" s="65"/>
      <c r="M540" s="65"/>
      <c r="N540" s="65"/>
      <c r="O540" s="65"/>
    </row>
    <row r="541" spans="12:15" x14ac:dyDescent="0.25">
      <c r="L541" s="65"/>
      <c r="M541" s="65"/>
      <c r="N541" s="65"/>
      <c r="O541" s="65"/>
    </row>
    <row r="542" spans="12:15" x14ac:dyDescent="0.25">
      <c r="L542" s="65"/>
      <c r="M542" s="65"/>
      <c r="N542" s="65"/>
      <c r="O542" s="65"/>
    </row>
    <row r="543" spans="12:15" x14ac:dyDescent="0.25">
      <c r="L543" s="65"/>
      <c r="M543" s="65"/>
      <c r="N543" s="65"/>
      <c r="O543" s="65"/>
    </row>
    <row r="544" spans="12:15" x14ac:dyDescent="0.25">
      <c r="L544" s="65"/>
      <c r="M544" s="65"/>
      <c r="N544" s="65"/>
      <c r="O544" s="65"/>
    </row>
    <row r="545" spans="12:15" x14ac:dyDescent="0.25">
      <c r="L545" s="65"/>
      <c r="M545" s="65"/>
      <c r="N545" s="65"/>
      <c r="O545" s="65"/>
    </row>
    <row r="546" spans="12:15" x14ac:dyDescent="0.25">
      <c r="L546" s="65"/>
      <c r="M546" s="65"/>
      <c r="N546" s="65"/>
      <c r="O546" s="65"/>
    </row>
    <row r="547" spans="12:15" x14ac:dyDescent="0.25">
      <c r="L547" s="65"/>
      <c r="M547" s="65"/>
      <c r="N547" s="65"/>
      <c r="O547" s="65"/>
    </row>
    <row r="548" spans="12:15" x14ac:dyDescent="0.25">
      <c r="L548" s="65"/>
      <c r="M548" s="65"/>
      <c r="N548" s="65"/>
      <c r="O548" s="65"/>
    </row>
    <row r="549" spans="12:15" x14ac:dyDescent="0.25">
      <c r="L549" s="65"/>
      <c r="M549" s="65"/>
      <c r="N549" s="65"/>
      <c r="O549" s="65"/>
    </row>
    <row r="550" spans="12:15" x14ac:dyDescent="0.25">
      <c r="L550" s="65"/>
      <c r="M550" s="65"/>
      <c r="N550" s="65"/>
      <c r="O550" s="65"/>
    </row>
    <row r="551" spans="12:15" x14ac:dyDescent="0.25">
      <c r="L551" s="65"/>
      <c r="M551" s="65"/>
      <c r="N551" s="65"/>
      <c r="O551" s="65"/>
    </row>
    <row r="552" spans="12:15" x14ac:dyDescent="0.25">
      <c r="L552" s="65"/>
      <c r="M552" s="65"/>
      <c r="N552" s="65"/>
      <c r="O552" s="65"/>
    </row>
    <row r="553" spans="12:15" x14ac:dyDescent="0.25">
      <c r="L553" s="65"/>
      <c r="M553" s="65"/>
      <c r="N553" s="65"/>
      <c r="O553" s="65"/>
    </row>
    <row r="554" spans="12:15" x14ac:dyDescent="0.25">
      <c r="L554" s="65"/>
      <c r="M554" s="65"/>
      <c r="N554" s="65"/>
      <c r="O554" s="65"/>
    </row>
    <row r="555" spans="12:15" x14ac:dyDescent="0.25">
      <c r="L555" s="65"/>
      <c r="M555" s="65"/>
      <c r="N555" s="65"/>
      <c r="O555" s="65"/>
    </row>
    <row r="556" spans="12:15" x14ac:dyDescent="0.25">
      <c r="L556" s="65"/>
      <c r="M556" s="65"/>
      <c r="N556" s="65"/>
      <c r="O556" s="65"/>
    </row>
    <row r="557" spans="12:15" x14ac:dyDescent="0.25">
      <c r="L557" s="65"/>
      <c r="M557" s="65"/>
      <c r="N557" s="65"/>
      <c r="O557" s="65"/>
    </row>
    <row r="558" spans="12:15" x14ac:dyDescent="0.25">
      <c r="L558" s="65"/>
      <c r="M558" s="65"/>
      <c r="N558" s="65"/>
      <c r="O558" s="65"/>
    </row>
    <row r="559" spans="12:15" x14ac:dyDescent="0.25">
      <c r="L559" s="65"/>
      <c r="M559" s="65"/>
      <c r="N559" s="65"/>
      <c r="O559" s="65"/>
    </row>
    <row r="560" spans="12:15" x14ac:dyDescent="0.25">
      <c r="L560" s="65"/>
      <c r="M560" s="65"/>
      <c r="N560" s="65"/>
      <c r="O560" s="65"/>
    </row>
    <row r="561" spans="12:15" x14ac:dyDescent="0.25">
      <c r="L561" s="65"/>
      <c r="M561" s="65"/>
      <c r="N561" s="65"/>
      <c r="O561" s="65"/>
    </row>
    <row r="562" spans="12:15" x14ac:dyDescent="0.25">
      <c r="L562" s="65"/>
      <c r="M562" s="65"/>
      <c r="N562" s="65"/>
      <c r="O562" s="65"/>
    </row>
    <row r="563" spans="12:15" x14ac:dyDescent="0.25">
      <c r="L563" s="65"/>
      <c r="M563" s="65"/>
      <c r="N563" s="65"/>
      <c r="O563" s="65"/>
    </row>
    <row r="564" spans="12:15" x14ac:dyDescent="0.25">
      <c r="L564" s="65"/>
      <c r="M564" s="65"/>
      <c r="N564" s="65"/>
      <c r="O564" s="65"/>
    </row>
    <row r="565" spans="12:15" x14ac:dyDescent="0.25">
      <c r="L565" s="65"/>
      <c r="M565" s="65"/>
      <c r="N565" s="65"/>
      <c r="O565" s="65"/>
    </row>
    <row r="566" spans="12:15" x14ac:dyDescent="0.25">
      <c r="L566" s="65"/>
      <c r="M566" s="65"/>
      <c r="N566" s="65"/>
      <c r="O566" s="65"/>
    </row>
    <row r="567" spans="12:15" x14ac:dyDescent="0.25">
      <c r="L567" s="65"/>
      <c r="M567" s="65"/>
      <c r="N567" s="65"/>
      <c r="O567" s="65"/>
    </row>
    <row r="568" spans="12:15" x14ac:dyDescent="0.25">
      <c r="L568" s="65"/>
      <c r="M568" s="65"/>
      <c r="N568" s="65"/>
      <c r="O568" s="65"/>
    </row>
    <row r="569" spans="12:15" x14ac:dyDescent="0.25">
      <c r="L569" s="65"/>
      <c r="M569" s="65"/>
      <c r="N569" s="65"/>
      <c r="O569" s="65"/>
    </row>
    <row r="570" spans="12:15" x14ac:dyDescent="0.25">
      <c r="L570" s="65"/>
      <c r="M570" s="65"/>
      <c r="N570" s="65"/>
      <c r="O570" s="65"/>
    </row>
    <row r="571" spans="12:15" x14ac:dyDescent="0.25">
      <c r="L571" s="65"/>
      <c r="M571" s="65"/>
      <c r="N571" s="65"/>
      <c r="O571" s="65"/>
    </row>
    <row r="572" spans="12:15" x14ac:dyDescent="0.25">
      <c r="L572" s="65"/>
      <c r="M572" s="65"/>
      <c r="N572" s="65"/>
      <c r="O572" s="65"/>
    </row>
    <row r="573" spans="12:15" x14ac:dyDescent="0.25">
      <c r="L573" s="65"/>
      <c r="M573" s="65"/>
      <c r="N573" s="65"/>
      <c r="O573" s="65"/>
    </row>
    <row r="574" spans="12:15" x14ac:dyDescent="0.25">
      <c r="L574" s="65"/>
      <c r="M574" s="65"/>
      <c r="N574" s="65"/>
      <c r="O574" s="65"/>
    </row>
    <row r="575" spans="12:15" x14ac:dyDescent="0.25">
      <c r="L575" s="65"/>
      <c r="M575" s="65"/>
      <c r="N575" s="65"/>
      <c r="O575" s="65"/>
    </row>
    <row r="576" spans="12:15" x14ac:dyDescent="0.25">
      <c r="L576" s="65"/>
      <c r="M576" s="65"/>
      <c r="N576" s="65"/>
      <c r="O576" s="65"/>
    </row>
    <row r="577" spans="12:15" x14ac:dyDescent="0.25">
      <c r="L577" s="65"/>
      <c r="M577" s="65"/>
      <c r="N577" s="65"/>
      <c r="O577" s="65"/>
    </row>
    <row r="578" spans="12:15" x14ac:dyDescent="0.25">
      <c r="L578" s="65"/>
      <c r="M578" s="65"/>
      <c r="N578" s="65"/>
      <c r="O578" s="65"/>
    </row>
    <row r="579" spans="12:15" x14ac:dyDescent="0.25">
      <c r="L579" s="65"/>
      <c r="M579" s="65"/>
      <c r="N579" s="65"/>
      <c r="O579" s="65"/>
    </row>
    <row r="580" spans="12:15" x14ac:dyDescent="0.25">
      <c r="L580" s="65"/>
      <c r="M580" s="65"/>
      <c r="N580" s="65"/>
      <c r="O580" s="65"/>
    </row>
    <row r="581" spans="12:15" x14ac:dyDescent="0.25">
      <c r="L581" s="65"/>
      <c r="M581" s="65"/>
      <c r="N581" s="65"/>
      <c r="O581" s="65"/>
    </row>
    <row r="582" spans="12:15" x14ac:dyDescent="0.25">
      <c r="L582" s="65"/>
      <c r="M582" s="65"/>
      <c r="N582" s="65"/>
      <c r="O582" s="65"/>
    </row>
    <row r="583" spans="12:15" x14ac:dyDescent="0.25">
      <c r="L583" s="65"/>
      <c r="M583" s="65"/>
      <c r="N583" s="65"/>
      <c r="O583" s="65"/>
    </row>
    <row r="584" spans="12:15" x14ac:dyDescent="0.25">
      <c r="L584" s="65"/>
      <c r="M584" s="65"/>
      <c r="N584" s="65"/>
      <c r="O584" s="65"/>
    </row>
    <row r="585" spans="12:15" x14ac:dyDescent="0.25">
      <c r="L585" s="65"/>
      <c r="M585" s="65"/>
      <c r="N585" s="65"/>
      <c r="O585" s="65"/>
    </row>
    <row r="586" spans="12:15" x14ac:dyDescent="0.25">
      <c r="L586" s="65"/>
      <c r="M586" s="65"/>
      <c r="N586" s="65"/>
      <c r="O586" s="65"/>
    </row>
    <row r="587" spans="12:15" x14ac:dyDescent="0.25">
      <c r="L587" s="65"/>
      <c r="M587" s="65"/>
      <c r="N587" s="65"/>
      <c r="O587" s="65"/>
    </row>
    <row r="588" spans="12:15" x14ac:dyDescent="0.25">
      <c r="L588" s="65"/>
      <c r="M588" s="65"/>
      <c r="N588" s="65"/>
      <c r="O588" s="65"/>
    </row>
    <row r="589" spans="12:15" x14ac:dyDescent="0.25">
      <c r="L589" s="65"/>
      <c r="M589" s="65"/>
      <c r="N589" s="65"/>
      <c r="O589" s="65"/>
    </row>
    <row r="590" spans="12:15" x14ac:dyDescent="0.25">
      <c r="L590" s="65"/>
      <c r="M590" s="65"/>
      <c r="N590" s="65"/>
      <c r="O590" s="65"/>
    </row>
    <row r="591" spans="12:15" x14ac:dyDescent="0.25">
      <c r="L591" s="65"/>
      <c r="M591" s="65"/>
      <c r="N591" s="65"/>
      <c r="O591" s="65"/>
    </row>
    <row r="592" spans="12:15" x14ac:dyDescent="0.25">
      <c r="L592" s="65"/>
      <c r="M592" s="65"/>
      <c r="N592" s="65"/>
      <c r="O592" s="65"/>
    </row>
    <row r="593" spans="12:15" x14ac:dyDescent="0.25">
      <c r="L593" s="65"/>
      <c r="M593" s="65"/>
      <c r="N593" s="65"/>
      <c r="O593" s="65"/>
    </row>
    <row r="594" spans="12:15" x14ac:dyDescent="0.25">
      <c r="L594" s="65"/>
      <c r="M594" s="65"/>
      <c r="N594" s="65"/>
      <c r="O594" s="65"/>
    </row>
    <row r="595" spans="12:15" x14ac:dyDescent="0.25">
      <c r="L595" s="65"/>
      <c r="M595" s="65"/>
      <c r="N595" s="65"/>
      <c r="O595" s="65"/>
    </row>
    <row r="596" spans="12:15" x14ac:dyDescent="0.25">
      <c r="L596" s="65"/>
      <c r="M596" s="65"/>
      <c r="N596" s="65"/>
      <c r="O596" s="65"/>
    </row>
    <row r="597" spans="12:15" x14ac:dyDescent="0.25">
      <c r="L597" s="65"/>
      <c r="M597" s="65"/>
      <c r="N597" s="65"/>
      <c r="O597" s="65"/>
    </row>
    <row r="598" spans="12:15" x14ac:dyDescent="0.25">
      <c r="L598" s="65"/>
      <c r="M598" s="65"/>
      <c r="N598" s="65"/>
      <c r="O598" s="65"/>
    </row>
    <row r="599" spans="12:15" x14ac:dyDescent="0.25">
      <c r="L599" s="65"/>
      <c r="M599" s="65"/>
      <c r="N599" s="65"/>
      <c r="O599" s="65"/>
    </row>
    <row r="600" spans="12:15" x14ac:dyDescent="0.25">
      <c r="L600" s="65"/>
      <c r="M600" s="65"/>
      <c r="N600" s="65"/>
      <c r="O600" s="65"/>
    </row>
    <row r="601" spans="12:15" x14ac:dyDescent="0.25">
      <c r="L601" s="65"/>
      <c r="M601" s="65"/>
      <c r="N601" s="65"/>
      <c r="O601" s="65"/>
    </row>
    <row r="602" spans="12:15" x14ac:dyDescent="0.25">
      <c r="L602" s="65"/>
      <c r="M602" s="65"/>
      <c r="N602" s="65"/>
      <c r="O602" s="65"/>
    </row>
    <row r="603" spans="12:15" x14ac:dyDescent="0.25">
      <c r="L603" s="65"/>
      <c r="M603" s="65"/>
      <c r="N603" s="65"/>
      <c r="O603" s="65"/>
    </row>
    <row r="604" spans="12:15" x14ac:dyDescent="0.25">
      <c r="L604" s="65"/>
      <c r="M604" s="65"/>
      <c r="N604" s="65"/>
      <c r="O604" s="65"/>
    </row>
    <row r="605" spans="12:15" x14ac:dyDescent="0.25">
      <c r="L605" s="65"/>
      <c r="M605" s="65"/>
      <c r="N605" s="65"/>
      <c r="O605" s="65"/>
    </row>
    <row r="606" spans="12:15" x14ac:dyDescent="0.25">
      <c r="L606" s="65"/>
      <c r="M606" s="65"/>
      <c r="N606" s="65"/>
      <c r="O606" s="65"/>
    </row>
    <row r="607" spans="12:15" x14ac:dyDescent="0.25">
      <c r="L607" s="65"/>
      <c r="M607" s="65"/>
      <c r="N607" s="65"/>
      <c r="O607" s="65"/>
    </row>
    <row r="608" spans="12:15" x14ac:dyDescent="0.25">
      <c r="L608" s="65"/>
      <c r="M608" s="65"/>
      <c r="N608" s="65"/>
      <c r="O608" s="65"/>
    </row>
    <row r="609" spans="12:15" x14ac:dyDescent="0.25">
      <c r="L609" s="65"/>
      <c r="M609" s="65"/>
      <c r="N609" s="65"/>
      <c r="O609" s="65"/>
    </row>
    <row r="610" spans="12:15" x14ac:dyDescent="0.25">
      <c r="L610" s="65"/>
      <c r="M610" s="65"/>
      <c r="N610" s="65"/>
      <c r="O610" s="65"/>
    </row>
    <row r="611" spans="12:15" x14ac:dyDescent="0.25">
      <c r="L611" s="65"/>
      <c r="M611" s="65"/>
      <c r="N611" s="65"/>
      <c r="O611" s="65"/>
    </row>
    <row r="612" spans="12:15" x14ac:dyDescent="0.25">
      <c r="L612" s="65"/>
      <c r="M612" s="65"/>
      <c r="N612" s="65"/>
      <c r="O612" s="65"/>
    </row>
    <row r="613" spans="12:15" x14ac:dyDescent="0.25">
      <c r="L613" s="65"/>
      <c r="M613" s="65"/>
      <c r="N613" s="65"/>
      <c r="O613" s="65"/>
    </row>
    <row r="614" spans="12:15" x14ac:dyDescent="0.25">
      <c r="L614" s="65"/>
      <c r="M614" s="65"/>
      <c r="N614" s="65"/>
      <c r="O614" s="65"/>
    </row>
    <row r="615" spans="12:15" x14ac:dyDescent="0.25">
      <c r="L615" s="65"/>
      <c r="M615" s="65"/>
      <c r="N615" s="65"/>
      <c r="O615" s="65"/>
    </row>
    <row r="616" spans="12:15" x14ac:dyDescent="0.25">
      <c r="L616" s="65"/>
      <c r="M616" s="65"/>
      <c r="N616" s="65"/>
      <c r="O616" s="65"/>
    </row>
    <row r="617" spans="12:15" x14ac:dyDescent="0.25">
      <c r="L617" s="65"/>
      <c r="M617" s="65"/>
      <c r="N617" s="65"/>
      <c r="O617" s="65"/>
    </row>
    <row r="618" spans="12:15" x14ac:dyDescent="0.25">
      <c r="L618" s="65"/>
      <c r="M618" s="65"/>
      <c r="N618" s="65"/>
      <c r="O618" s="65"/>
    </row>
    <row r="619" spans="12:15" x14ac:dyDescent="0.25">
      <c r="L619" s="65"/>
      <c r="M619" s="65"/>
      <c r="N619" s="65"/>
      <c r="O619" s="65"/>
    </row>
    <row r="620" spans="12:15" x14ac:dyDescent="0.25">
      <c r="L620" s="65"/>
      <c r="M620" s="65"/>
      <c r="N620" s="65"/>
      <c r="O620" s="65"/>
    </row>
    <row r="621" spans="12:15" x14ac:dyDescent="0.25">
      <c r="L621" s="65"/>
      <c r="M621" s="65"/>
      <c r="N621" s="65"/>
      <c r="O621" s="65"/>
    </row>
    <row r="622" spans="12:15" x14ac:dyDescent="0.25">
      <c r="L622" s="65"/>
      <c r="M622" s="65"/>
      <c r="N622" s="65"/>
      <c r="O622" s="65"/>
    </row>
    <row r="623" spans="12:15" x14ac:dyDescent="0.25">
      <c r="L623" s="65"/>
      <c r="M623" s="65"/>
      <c r="N623" s="65"/>
      <c r="O623" s="65"/>
    </row>
    <row r="624" spans="12:15" x14ac:dyDescent="0.25">
      <c r="L624" s="65"/>
      <c r="M624" s="65"/>
      <c r="N624" s="65"/>
      <c r="O624" s="65"/>
    </row>
    <row r="625" spans="12:15" x14ac:dyDescent="0.25">
      <c r="L625" s="65"/>
      <c r="M625" s="65"/>
      <c r="N625" s="65"/>
      <c r="O625" s="65"/>
    </row>
    <row r="626" spans="12:15" x14ac:dyDescent="0.25">
      <c r="L626" s="65"/>
      <c r="M626" s="65"/>
      <c r="N626" s="65"/>
      <c r="O626" s="65"/>
    </row>
    <row r="627" spans="12:15" x14ac:dyDescent="0.25">
      <c r="L627" s="65"/>
      <c r="M627" s="65"/>
      <c r="N627" s="65"/>
      <c r="O627" s="65"/>
    </row>
    <row r="628" spans="12:15" x14ac:dyDescent="0.25">
      <c r="L628" s="65"/>
      <c r="M628" s="65"/>
      <c r="N628" s="65"/>
      <c r="O628" s="65"/>
    </row>
    <row r="629" spans="12:15" x14ac:dyDescent="0.25">
      <c r="L629" s="65"/>
      <c r="M629" s="65"/>
      <c r="N629" s="65"/>
      <c r="O629" s="65"/>
    </row>
    <row r="630" spans="12:15" x14ac:dyDescent="0.25">
      <c r="L630" s="65"/>
      <c r="M630" s="65"/>
      <c r="N630" s="65"/>
      <c r="O630" s="65"/>
    </row>
    <row r="631" spans="12:15" x14ac:dyDescent="0.25">
      <c r="L631" s="65"/>
      <c r="M631" s="65"/>
      <c r="N631" s="65"/>
      <c r="O631" s="65"/>
    </row>
    <row r="632" spans="12:15" x14ac:dyDescent="0.25">
      <c r="L632" s="65"/>
      <c r="M632" s="65"/>
      <c r="N632" s="65"/>
      <c r="O632" s="65"/>
    </row>
    <row r="633" spans="12:15" x14ac:dyDescent="0.25">
      <c r="L633" s="65"/>
      <c r="M633" s="65"/>
      <c r="N633" s="65"/>
      <c r="O633" s="65"/>
    </row>
    <row r="634" spans="12:15" x14ac:dyDescent="0.25">
      <c r="L634" s="65"/>
      <c r="M634" s="65"/>
      <c r="N634" s="65"/>
      <c r="O634" s="65"/>
    </row>
    <row r="635" spans="12:15" x14ac:dyDescent="0.25">
      <c r="L635" s="65"/>
      <c r="M635" s="65"/>
      <c r="N635" s="65"/>
      <c r="O635" s="65"/>
    </row>
    <row r="636" spans="12:15" x14ac:dyDescent="0.25">
      <c r="L636" s="65"/>
      <c r="M636" s="65"/>
      <c r="N636" s="65"/>
      <c r="O636" s="65"/>
    </row>
    <row r="637" spans="12:15" x14ac:dyDescent="0.25">
      <c r="L637" s="65"/>
      <c r="M637" s="65"/>
      <c r="N637" s="65"/>
      <c r="O637" s="65"/>
    </row>
    <row r="638" spans="12:15" x14ac:dyDescent="0.25">
      <c r="L638" s="65"/>
      <c r="M638" s="65"/>
      <c r="N638" s="65"/>
      <c r="O638" s="65"/>
    </row>
    <row r="639" spans="12:15" x14ac:dyDescent="0.25">
      <c r="L639" s="65"/>
      <c r="M639" s="65"/>
      <c r="N639" s="65"/>
      <c r="O639" s="65"/>
    </row>
    <row r="640" spans="12:15" x14ac:dyDescent="0.25">
      <c r="L640" s="65"/>
      <c r="M640" s="65"/>
      <c r="N640" s="65"/>
      <c r="O640" s="65"/>
    </row>
    <row r="641" spans="12:15" x14ac:dyDescent="0.25">
      <c r="L641" s="65"/>
      <c r="M641" s="65"/>
      <c r="N641" s="65"/>
      <c r="O641" s="65"/>
    </row>
    <row r="642" spans="12:15" x14ac:dyDescent="0.25">
      <c r="L642" s="65"/>
      <c r="M642" s="65"/>
      <c r="N642" s="65"/>
      <c r="O642" s="65"/>
    </row>
    <row r="643" spans="12:15" x14ac:dyDescent="0.25">
      <c r="L643" s="65"/>
      <c r="M643" s="65"/>
      <c r="N643" s="65"/>
      <c r="O643" s="65"/>
    </row>
    <row r="644" spans="12:15" x14ac:dyDescent="0.25">
      <c r="L644" s="65"/>
      <c r="M644" s="65"/>
      <c r="N644" s="65"/>
      <c r="O644" s="65"/>
    </row>
    <row r="645" spans="12:15" x14ac:dyDescent="0.25">
      <c r="L645" s="65"/>
      <c r="M645" s="65"/>
      <c r="N645" s="65"/>
      <c r="O645" s="65"/>
    </row>
    <row r="646" spans="12:15" x14ac:dyDescent="0.25">
      <c r="L646" s="65"/>
      <c r="M646" s="65"/>
      <c r="N646" s="65"/>
      <c r="O646" s="65"/>
    </row>
    <row r="647" spans="12:15" x14ac:dyDescent="0.25">
      <c r="L647" s="65"/>
      <c r="M647" s="65"/>
      <c r="N647" s="65"/>
      <c r="O647" s="65"/>
    </row>
    <row r="648" spans="12:15" x14ac:dyDescent="0.25">
      <c r="L648" s="65"/>
      <c r="M648" s="65"/>
      <c r="N648" s="65"/>
      <c r="O648" s="65"/>
    </row>
    <row r="649" spans="12:15" x14ac:dyDescent="0.25">
      <c r="L649" s="65"/>
      <c r="M649" s="65"/>
      <c r="N649" s="65"/>
      <c r="O649" s="65"/>
    </row>
    <row r="650" spans="12:15" x14ac:dyDescent="0.25">
      <c r="L650" s="65"/>
      <c r="M650" s="65"/>
      <c r="N650" s="65"/>
      <c r="O650" s="65"/>
    </row>
    <row r="651" spans="12:15" x14ac:dyDescent="0.25">
      <c r="L651" s="65"/>
      <c r="M651" s="65"/>
      <c r="N651" s="65"/>
      <c r="O651" s="65"/>
    </row>
    <row r="652" spans="12:15" x14ac:dyDescent="0.25">
      <c r="L652" s="65"/>
      <c r="M652" s="65"/>
      <c r="N652" s="65"/>
      <c r="O652" s="65"/>
    </row>
    <row r="653" spans="12:15" x14ac:dyDescent="0.25">
      <c r="L653" s="65"/>
      <c r="M653" s="65"/>
      <c r="N653" s="65"/>
      <c r="O653" s="65"/>
    </row>
    <row r="654" spans="12:15" x14ac:dyDescent="0.25">
      <c r="L654" s="65"/>
      <c r="M654" s="65"/>
      <c r="N654" s="65"/>
      <c r="O654" s="65"/>
    </row>
    <row r="655" spans="12:15" x14ac:dyDescent="0.25">
      <c r="L655" s="65"/>
      <c r="M655" s="65"/>
      <c r="N655" s="65"/>
      <c r="O655" s="65"/>
    </row>
    <row r="656" spans="12:15" x14ac:dyDescent="0.25">
      <c r="L656" s="65"/>
      <c r="M656" s="65"/>
      <c r="N656" s="65"/>
      <c r="O656" s="65"/>
    </row>
    <row r="657" spans="12:15" x14ac:dyDescent="0.25">
      <c r="L657" s="65"/>
      <c r="M657" s="65"/>
      <c r="N657" s="65"/>
      <c r="O657" s="65"/>
    </row>
    <row r="658" spans="12:15" x14ac:dyDescent="0.25">
      <c r="L658" s="65"/>
      <c r="M658" s="65"/>
      <c r="N658" s="65"/>
      <c r="O658" s="65"/>
    </row>
    <row r="659" spans="12:15" x14ac:dyDescent="0.25">
      <c r="L659" s="65"/>
      <c r="M659" s="65"/>
      <c r="N659" s="65"/>
      <c r="O659" s="65"/>
    </row>
    <row r="660" spans="12:15" x14ac:dyDescent="0.25">
      <c r="L660" s="65"/>
      <c r="M660" s="65"/>
      <c r="N660" s="65"/>
      <c r="O660" s="65"/>
    </row>
    <row r="661" spans="12:15" x14ac:dyDescent="0.25">
      <c r="L661" s="65"/>
      <c r="M661" s="65"/>
      <c r="N661" s="65"/>
      <c r="O661" s="65"/>
    </row>
    <row r="662" spans="12:15" x14ac:dyDescent="0.25">
      <c r="L662" s="65"/>
      <c r="M662" s="65"/>
      <c r="N662" s="65"/>
      <c r="O662" s="65"/>
    </row>
    <row r="663" spans="12:15" x14ac:dyDescent="0.25">
      <c r="L663" s="65"/>
      <c r="M663" s="65"/>
      <c r="N663" s="65"/>
      <c r="O663" s="65"/>
    </row>
    <row r="664" spans="12:15" x14ac:dyDescent="0.25">
      <c r="L664" s="65"/>
      <c r="M664" s="65"/>
      <c r="N664" s="65"/>
      <c r="O664" s="65"/>
    </row>
    <row r="665" spans="12:15" x14ac:dyDescent="0.25">
      <c r="L665" s="65"/>
      <c r="M665" s="65"/>
      <c r="N665" s="65"/>
      <c r="O665" s="65"/>
    </row>
    <row r="666" spans="12:15" x14ac:dyDescent="0.25">
      <c r="L666" s="65"/>
      <c r="M666" s="65"/>
      <c r="N666" s="65"/>
      <c r="O666" s="65"/>
    </row>
    <row r="667" spans="12:15" x14ac:dyDescent="0.25">
      <c r="L667" s="65"/>
      <c r="M667" s="65"/>
      <c r="N667" s="65"/>
      <c r="O667" s="65"/>
    </row>
    <row r="668" spans="12:15" x14ac:dyDescent="0.25">
      <c r="L668" s="65"/>
      <c r="M668" s="65"/>
      <c r="N668" s="65"/>
      <c r="O668" s="65"/>
    </row>
    <row r="669" spans="12:15" x14ac:dyDescent="0.25">
      <c r="L669" s="65"/>
      <c r="M669" s="65"/>
      <c r="N669" s="65"/>
      <c r="O669" s="65"/>
    </row>
    <row r="670" spans="12:15" x14ac:dyDescent="0.25">
      <c r="L670" s="65"/>
      <c r="M670" s="65"/>
      <c r="N670" s="65"/>
      <c r="O670" s="65"/>
    </row>
    <row r="671" spans="12:15" x14ac:dyDescent="0.25">
      <c r="L671" s="65"/>
      <c r="M671" s="65"/>
      <c r="N671" s="65"/>
      <c r="O671" s="65"/>
    </row>
    <row r="672" spans="12:15" x14ac:dyDescent="0.25">
      <c r="L672" s="65"/>
      <c r="M672" s="65"/>
      <c r="N672" s="65"/>
      <c r="O672" s="65"/>
    </row>
    <row r="673" spans="12:15" x14ac:dyDescent="0.25">
      <c r="L673" s="65"/>
      <c r="M673" s="65"/>
      <c r="N673" s="65"/>
      <c r="O673" s="65"/>
    </row>
    <row r="674" spans="12:15" x14ac:dyDescent="0.25">
      <c r="L674" s="65"/>
      <c r="M674" s="65"/>
      <c r="N674" s="65"/>
      <c r="O674" s="65"/>
    </row>
    <row r="675" spans="12:15" x14ac:dyDescent="0.25">
      <c r="L675" s="65"/>
      <c r="M675" s="65"/>
      <c r="N675" s="65"/>
      <c r="O675" s="65"/>
    </row>
    <row r="676" spans="12:15" x14ac:dyDescent="0.25">
      <c r="L676" s="65"/>
      <c r="M676" s="65"/>
      <c r="N676" s="65"/>
      <c r="O676" s="65"/>
    </row>
    <row r="677" spans="12:15" x14ac:dyDescent="0.25">
      <c r="L677" s="65"/>
      <c r="M677" s="65"/>
      <c r="N677" s="65"/>
      <c r="O677" s="65"/>
    </row>
    <row r="678" spans="12:15" x14ac:dyDescent="0.25">
      <c r="L678" s="65"/>
      <c r="M678" s="65"/>
      <c r="N678" s="65"/>
      <c r="O678" s="65"/>
    </row>
    <row r="679" spans="12:15" x14ac:dyDescent="0.25">
      <c r="L679" s="65"/>
      <c r="M679" s="65"/>
      <c r="N679" s="65"/>
      <c r="O679" s="65"/>
    </row>
    <row r="680" spans="12:15" x14ac:dyDescent="0.25">
      <c r="L680" s="65"/>
      <c r="M680" s="65"/>
      <c r="N680" s="65"/>
      <c r="O680" s="65"/>
    </row>
    <row r="681" spans="12:15" x14ac:dyDescent="0.25">
      <c r="L681" s="65"/>
      <c r="M681" s="65"/>
      <c r="N681" s="65"/>
      <c r="O681" s="65"/>
    </row>
    <row r="682" spans="12:15" x14ac:dyDescent="0.25">
      <c r="L682" s="65"/>
      <c r="M682" s="65"/>
      <c r="N682" s="65"/>
      <c r="O682" s="65"/>
    </row>
    <row r="683" spans="12:15" x14ac:dyDescent="0.25">
      <c r="L683" s="65"/>
      <c r="M683" s="65"/>
      <c r="N683" s="65"/>
      <c r="O683" s="65"/>
    </row>
    <row r="684" spans="12:15" x14ac:dyDescent="0.25">
      <c r="L684" s="65"/>
      <c r="M684" s="65"/>
      <c r="N684" s="65"/>
      <c r="O684" s="65"/>
    </row>
    <row r="685" spans="12:15" x14ac:dyDescent="0.25">
      <c r="L685" s="65"/>
      <c r="M685" s="65"/>
      <c r="N685" s="65"/>
      <c r="O685" s="65"/>
    </row>
    <row r="686" spans="12:15" x14ac:dyDescent="0.25">
      <c r="L686" s="65"/>
      <c r="M686" s="65"/>
      <c r="N686" s="65"/>
      <c r="O686" s="65"/>
    </row>
    <row r="687" spans="12:15" x14ac:dyDescent="0.25">
      <c r="L687" s="65"/>
      <c r="M687" s="65"/>
      <c r="N687" s="65"/>
      <c r="O687" s="65"/>
    </row>
    <row r="688" spans="12:15" x14ac:dyDescent="0.25">
      <c r="L688" s="65"/>
      <c r="M688" s="65"/>
      <c r="N688" s="65"/>
      <c r="O688" s="65"/>
    </row>
    <row r="689" spans="12:15" x14ac:dyDescent="0.25">
      <c r="L689" s="65"/>
      <c r="M689" s="65"/>
      <c r="N689" s="65"/>
      <c r="O689" s="65"/>
    </row>
    <row r="690" spans="12:15" x14ac:dyDescent="0.25">
      <c r="L690" s="65"/>
      <c r="M690" s="65"/>
      <c r="N690" s="65"/>
      <c r="O690" s="65"/>
    </row>
    <row r="691" spans="12:15" x14ac:dyDescent="0.25">
      <c r="L691" s="65"/>
      <c r="M691" s="65"/>
      <c r="N691" s="65"/>
      <c r="O691" s="65"/>
    </row>
    <row r="692" spans="12:15" x14ac:dyDescent="0.25">
      <c r="L692" s="65"/>
      <c r="M692" s="65"/>
      <c r="N692" s="65"/>
      <c r="O692" s="65"/>
    </row>
    <row r="693" spans="12:15" x14ac:dyDescent="0.25">
      <c r="L693" s="65"/>
      <c r="M693" s="65"/>
      <c r="N693" s="65"/>
      <c r="O693" s="65"/>
    </row>
    <row r="694" spans="12:15" x14ac:dyDescent="0.25">
      <c r="L694" s="65"/>
      <c r="M694" s="65"/>
      <c r="N694" s="65"/>
      <c r="O694" s="65"/>
    </row>
    <row r="695" spans="12:15" x14ac:dyDescent="0.25">
      <c r="L695" s="65"/>
      <c r="M695" s="65"/>
      <c r="N695" s="65"/>
      <c r="O695" s="65"/>
    </row>
    <row r="696" spans="12:15" x14ac:dyDescent="0.25">
      <c r="L696" s="65"/>
      <c r="M696" s="65"/>
      <c r="N696" s="65"/>
      <c r="O696" s="65"/>
    </row>
    <row r="697" spans="12:15" x14ac:dyDescent="0.25">
      <c r="L697" s="65"/>
      <c r="M697" s="65"/>
      <c r="N697" s="65"/>
      <c r="O697" s="65"/>
    </row>
    <row r="698" spans="12:15" x14ac:dyDescent="0.25">
      <c r="L698" s="65"/>
      <c r="M698" s="65"/>
      <c r="N698" s="65"/>
      <c r="O698" s="65"/>
    </row>
    <row r="699" spans="12:15" x14ac:dyDescent="0.25">
      <c r="L699" s="65"/>
      <c r="M699" s="65"/>
      <c r="N699" s="65"/>
      <c r="O699" s="65"/>
    </row>
    <row r="700" spans="12:15" x14ac:dyDescent="0.25">
      <c r="L700" s="65"/>
      <c r="M700" s="65"/>
      <c r="N700" s="65"/>
      <c r="O700" s="65"/>
    </row>
    <row r="701" spans="12:15" x14ac:dyDescent="0.25">
      <c r="L701" s="65"/>
      <c r="M701" s="65"/>
      <c r="N701" s="65"/>
      <c r="O701" s="65"/>
    </row>
    <row r="702" spans="12:15" x14ac:dyDescent="0.25">
      <c r="L702" s="65"/>
      <c r="M702" s="65"/>
      <c r="N702" s="65"/>
      <c r="O702" s="65"/>
    </row>
    <row r="703" spans="12:15" x14ac:dyDescent="0.25">
      <c r="L703" s="65"/>
      <c r="M703" s="65"/>
      <c r="N703" s="65"/>
      <c r="O703" s="65"/>
    </row>
    <row r="704" spans="12:15" x14ac:dyDescent="0.25">
      <c r="L704" s="65"/>
      <c r="M704" s="65"/>
      <c r="N704" s="65"/>
      <c r="O704" s="65"/>
    </row>
    <row r="705" spans="12:15" x14ac:dyDescent="0.25">
      <c r="L705" s="65"/>
      <c r="M705" s="65"/>
      <c r="N705" s="65"/>
      <c r="O705" s="65"/>
    </row>
    <row r="706" spans="12:15" x14ac:dyDescent="0.25">
      <c r="L706" s="65"/>
      <c r="M706" s="65"/>
      <c r="N706" s="65"/>
      <c r="O706" s="65"/>
    </row>
    <row r="707" spans="12:15" x14ac:dyDescent="0.25">
      <c r="L707" s="65"/>
      <c r="M707" s="65"/>
      <c r="N707" s="65"/>
      <c r="O707" s="65"/>
    </row>
    <row r="708" spans="12:15" x14ac:dyDescent="0.25">
      <c r="L708" s="65"/>
      <c r="M708" s="65"/>
      <c r="N708" s="65"/>
      <c r="O708" s="65"/>
    </row>
    <row r="709" spans="12:15" x14ac:dyDescent="0.25">
      <c r="L709" s="65"/>
      <c r="M709" s="65"/>
      <c r="N709" s="65"/>
      <c r="O709" s="65"/>
    </row>
    <row r="710" spans="12:15" x14ac:dyDescent="0.25">
      <c r="L710" s="65"/>
      <c r="M710" s="65"/>
      <c r="N710" s="65"/>
      <c r="O710" s="65"/>
    </row>
    <row r="711" spans="12:15" x14ac:dyDescent="0.25">
      <c r="L711" s="65"/>
      <c r="M711" s="65"/>
      <c r="N711" s="65"/>
      <c r="O711" s="65"/>
    </row>
    <row r="712" spans="12:15" x14ac:dyDescent="0.25">
      <c r="L712" s="65"/>
      <c r="M712" s="65"/>
      <c r="N712" s="65"/>
      <c r="O712" s="65"/>
    </row>
    <row r="713" spans="12:15" x14ac:dyDescent="0.25">
      <c r="L713" s="65"/>
      <c r="M713" s="65"/>
      <c r="N713" s="65"/>
      <c r="O713" s="65"/>
    </row>
    <row r="714" spans="12:15" x14ac:dyDescent="0.25">
      <c r="L714" s="65"/>
      <c r="M714" s="65"/>
      <c r="N714" s="65"/>
      <c r="O714" s="65"/>
    </row>
    <row r="715" spans="12:15" x14ac:dyDescent="0.25">
      <c r="L715" s="65"/>
      <c r="M715" s="65"/>
      <c r="N715" s="65"/>
      <c r="O715" s="65"/>
    </row>
    <row r="716" spans="12:15" x14ac:dyDescent="0.25">
      <c r="L716" s="65"/>
      <c r="M716" s="65"/>
      <c r="N716" s="65"/>
      <c r="O716" s="65"/>
    </row>
    <row r="717" spans="12:15" x14ac:dyDescent="0.25">
      <c r="L717" s="65"/>
      <c r="M717" s="65"/>
      <c r="N717" s="65"/>
      <c r="O717" s="65"/>
    </row>
    <row r="718" spans="12:15" x14ac:dyDescent="0.25">
      <c r="L718" s="65"/>
      <c r="M718" s="65"/>
      <c r="N718" s="65"/>
      <c r="O718" s="65"/>
    </row>
    <row r="719" spans="12:15" x14ac:dyDescent="0.25">
      <c r="L719" s="65"/>
      <c r="M719" s="65"/>
      <c r="N719" s="65"/>
      <c r="O719" s="65"/>
    </row>
    <row r="720" spans="12:15" x14ac:dyDescent="0.25">
      <c r="L720" s="65"/>
      <c r="M720" s="65"/>
      <c r="N720" s="65"/>
      <c r="O720" s="65"/>
    </row>
    <row r="721" spans="12:15" x14ac:dyDescent="0.25">
      <c r="L721" s="65"/>
      <c r="M721" s="65"/>
      <c r="N721" s="65"/>
      <c r="O721" s="65"/>
    </row>
    <row r="722" spans="12:15" x14ac:dyDescent="0.25">
      <c r="L722" s="65"/>
      <c r="M722" s="65"/>
      <c r="N722" s="65"/>
      <c r="O722" s="65"/>
    </row>
    <row r="723" spans="12:15" x14ac:dyDescent="0.25">
      <c r="L723" s="65"/>
      <c r="M723" s="65"/>
      <c r="N723" s="65"/>
      <c r="O723" s="65"/>
    </row>
    <row r="724" spans="12:15" x14ac:dyDescent="0.25">
      <c r="L724" s="65"/>
      <c r="M724" s="65"/>
      <c r="N724" s="65"/>
      <c r="O724" s="65"/>
    </row>
    <row r="725" spans="12:15" x14ac:dyDescent="0.25">
      <c r="L725" s="65"/>
      <c r="M725" s="65"/>
      <c r="N725" s="65"/>
      <c r="O725" s="65"/>
    </row>
    <row r="726" spans="12:15" x14ac:dyDescent="0.25">
      <c r="L726" s="65"/>
      <c r="M726" s="65"/>
      <c r="N726" s="65"/>
      <c r="O726" s="65"/>
    </row>
    <row r="727" spans="12:15" x14ac:dyDescent="0.25">
      <c r="L727" s="65"/>
      <c r="M727" s="65"/>
      <c r="N727" s="65"/>
      <c r="O727" s="65"/>
    </row>
    <row r="728" spans="12:15" x14ac:dyDescent="0.25">
      <c r="L728" s="65"/>
      <c r="M728" s="65"/>
      <c r="N728" s="65"/>
      <c r="O728" s="65"/>
    </row>
    <row r="729" spans="12:15" x14ac:dyDescent="0.25">
      <c r="L729" s="65"/>
      <c r="M729" s="65"/>
      <c r="N729" s="65"/>
      <c r="O729" s="65"/>
    </row>
    <row r="730" spans="12:15" x14ac:dyDescent="0.25">
      <c r="L730" s="65"/>
      <c r="M730" s="65"/>
      <c r="N730" s="65"/>
      <c r="O730" s="65"/>
    </row>
    <row r="731" spans="12:15" x14ac:dyDescent="0.25">
      <c r="L731" s="65"/>
      <c r="M731" s="65"/>
      <c r="N731" s="65"/>
      <c r="O731" s="65"/>
    </row>
    <row r="732" spans="12:15" x14ac:dyDescent="0.25">
      <c r="L732" s="65"/>
      <c r="M732" s="65"/>
      <c r="N732" s="65"/>
      <c r="O732" s="65"/>
    </row>
    <row r="733" spans="12:15" x14ac:dyDescent="0.25">
      <c r="L733" s="65"/>
      <c r="M733" s="65"/>
      <c r="N733" s="65"/>
      <c r="O733" s="65"/>
    </row>
    <row r="734" spans="12:15" x14ac:dyDescent="0.25">
      <c r="L734" s="65"/>
      <c r="M734" s="65"/>
      <c r="N734" s="65"/>
      <c r="O734" s="65"/>
    </row>
    <row r="735" spans="12:15" x14ac:dyDescent="0.25">
      <c r="L735" s="65"/>
      <c r="M735" s="65"/>
      <c r="N735" s="65"/>
      <c r="O735" s="65"/>
    </row>
    <row r="736" spans="12:15" x14ac:dyDescent="0.25">
      <c r="L736" s="65"/>
      <c r="M736" s="65"/>
      <c r="N736" s="65"/>
      <c r="O736" s="65"/>
    </row>
    <row r="737" spans="12:15" x14ac:dyDescent="0.25">
      <c r="L737" s="65"/>
      <c r="M737" s="65"/>
      <c r="N737" s="65"/>
      <c r="O737" s="65"/>
    </row>
    <row r="738" spans="12:15" x14ac:dyDescent="0.25">
      <c r="L738" s="65"/>
      <c r="M738" s="65"/>
      <c r="N738" s="65"/>
      <c r="O738" s="65"/>
    </row>
    <row r="739" spans="12:15" x14ac:dyDescent="0.25">
      <c r="L739" s="65"/>
      <c r="M739" s="65"/>
      <c r="N739" s="65"/>
      <c r="O739" s="65"/>
    </row>
    <row r="740" spans="12:15" x14ac:dyDescent="0.25">
      <c r="L740" s="65"/>
      <c r="M740" s="65"/>
      <c r="N740" s="65"/>
      <c r="O740" s="65"/>
    </row>
    <row r="741" spans="12:15" x14ac:dyDescent="0.25">
      <c r="L741" s="65"/>
      <c r="M741" s="65"/>
      <c r="N741" s="65"/>
      <c r="O741" s="65"/>
    </row>
    <row r="742" spans="12:15" x14ac:dyDescent="0.25">
      <c r="L742" s="65"/>
      <c r="M742" s="65"/>
      <c r="N742" s="65"/>
      <c r="O742" s="65"/>
    </row>
    <row r="743" spans="12:15" x14ac:dyDescent="0.25">
      <c r="L743" s="65"/>
      <c r="M743" s="65"/>
      <c r="N743" s="65"/>
      <c r="O743" s="65"/>
    </row>
    <row r="744" spans="12:15" x14ac:dyDescent="0.25">
      <c r="L744" s="65"/>
      <c r="M744" s="65"/>
      <c r="N744" s="65"/>
      <c r="O744" s="65"/>
    </row>
    <row r="745" spans="12:15" x14ac:dyDescent="0.25">
      <c r="L745" s="65"/>
      <c r="M745" s="65"/>
      <c r="N745" s="65"/>
      <c r="O745" s="65"/>
    </row>
    <row r="746" spans="12:15" x14ac:dyDescent="0.25">
      <c r="L746" s="65"/>
      <c r="M746" s="65"/>
      <c r="N746" s="65"/>
      <c r="O746" s="65"/>
    </row>
    <row r="747" spans="12:15" x14ac:dyDescent="0.25">
      <c r="L747" s="65"/>
      <c r="M747" s="65"/>
      <c r="N747" s="65"/>
      <c r="O747" s="65"/>
    </row>
    <row r="748" spans="12:15" x14ac:dyDescent="0.25">
      <c r="L748" s="65"/>
      <c r="M748" s="65"/>
      <c r="N748" s="65"/>
      <c r="O748" s="65"/>
    </row>
    <row r="749" spans="12:15" x14ac:dyDescent="0.25">
      <c r="L749" s="65"/>
      <c r="M749" s="65"/>
      <c r="N749" s="65"/>
      <c r="O749" s="65"/>
    </row>
    <row r="750" spans="12:15" x14ac:dyDescent="0.25">
      <c r="L750" s="65"/>
      <c r="M750" s="65"/>
      <c r="N750" s="65"/>
      <c r="O750" s="65"/>
    </row>
    <row r="751" spans="12:15" x14ac:dyDescent="0.25">
      <c r="L751" s="65"/>
      <c r="M751" s="65"/>
      <c r="N751" s="65"/>
      <c r="O751" s="65"/>
    </row>
    <row r="752" spans="12:15" x14ac:dyDescent="0.25">
      <c r="L752" s="65"/>
      <c r="M752" s="65"/>
      <c r="N752" s="65"/>
      <c r="O752" s="65"/>
    </row>
    <row r="753" spans="12:15" x14ac:dyDescent="0.25">
      <c r="L753" s="65"/>
      <c r="M753" s="65"/>
      <c r="N753" s="65"/>
      <c r="O753" s="65"/>
    </row>
    <row r="754" spans="12:15" x14ac:dyDescent="0.25">
      <c r="L754" s="65"/>
      <c r="M754" s="65"/>
      <c r="N754" s="65"/>
      <c r="O754" s="65"/>
    </row>
    <row r="755" spans="12:15" x14ac:dyDescent="0.25">
      <c r="L755" s="65"/>
      <c r="M755" s="65"/>
      <c r="N755" s="65"/>
      <c r="O755" s="65"/>
    </row>
    <row r="756" spans="12:15" x14ac:dyDescent="0.25">
      <c r="L756" s="65"/>
      <c r="M756" s="65"/>
      <c r="N756" s="65"/>
      <c r="O756" s="65"/>
    </row>
    <row r="757" spans="12:15" x14ac:dyDescent="0.25">
      <c r="L757" s="65"/>
      <c r="M757" s="65"/>
      <c r="N757" s="65"/>
      <c r="O757" s="65"/>
    </row>
    <row r="758" spans="12:15" x14ac:dyDescent="0.25">
      <c r="L758" s="65"/>
      <c r="M758" s="65"/>
      <c r="N758" s="65"/>
      <c r="O758" s="65"/>
    </row>
    <row r="759" spans="12:15" x14ac:dyDescent="0.25">
      <c r="L759" s="65"/>
      <c r="M759" s="65"/>
      <c r="N759" s="65"/>
      <c r="O759" s="65"/>
    </row>
    <row r="760" spans="12:15" x14ac:dyDescent="0.25">
      <c r="L760" s="65"/>
      <c r="M760" s="65"/>
      <c r="N760" s="65"/>
      <c r="O760" s="65"/>
    </row>
    <row r="761" spans="12:15" x14ac:dyDescent="0.25">
      <c r="L761" s="65"/>
      <c r="M761" s="65"/>
      <c r="N761" s="65"/>
      <c r="O761" s="65"/>
    </row>
    <row r="762" spans="12:15" x14ac:dyDescent="0.25">
      <c r="L762" s="65"/>
      <c r="M762" s="65"/>
      <c r="N762" s="65"/>
      <c r="O762" s="65"/>
    </row>
    <row r="763" spans="12:15" x14ac:dyDescent="0.25">
      <c r="L763" s="65"/>
      <c r="M763" s="65"/>
      <c r="N763" s="65"/>
      <c r="O763" s="65"/>
    </row>
    <row r="764" spans="12:15" x14ac:dyDescent="0.25">
      <c r="L764" s="65"/>
      <c r="M764" s="65"/>
      <c r="N764" s="65"/>
      <c r="O764" s="65"/>
    </row>
    <row r="765" spans="12:15" x14ac:dyDescent="0.25">
      <c r="L765" s="65"/>
      <c r="M765" s="65"/>
      <c r="N765" s="65"/>
      <c r="O765" s="65"/>
    </row>
    <row r="766" spans="12:15" x14ac:dyDescent="0.25">
      <c r="L766" s="65"/>
      <c r="M766" s="65"/>
      <c r="N766" s="65"/>
      <c r="O766" s="65"/>
    </row>
    <row r="767" spans="12:15" x14ac:dyDescent="0.25">
      <c r="L767" s="65"/>
      <c r="M767" s="65"/>
      <c r="N767" s="65"/>
      <c r="O767" s="65"/>
    </row>
    <row r="768" spans="12:15" x14ac:dyDescent="0.25">
      <c r="L768" s="65"/>
      <c r="M768" s="65"/>
      <c r="N768" s="65"/>
      <c r="O768" s="65"/>
    </row>
    <row r="769" spans="12:15" x14ac:dyDescent="0.25">
      <c r="L769" s="65"/>
      <c r="M769" s="65"/>
      <c r="N769" s="65"/>
      <c r="O769" s="65"/>
    </row>
    <row r="770" spans="12:15" x14ac:dyDescent="0.25">
      <c r="L770" s="65"/>
      <c r="M770" s="65"/>
      <c r="N770" s="65"/>
      <c r="O770" s="65"/>
    </row>
    <row r="771" spans="12:15" x14ac:dyDescent="0.25">
      <c r="L771" s="65"/>
      <c r="M771" s="65"/>
      <c r="N771" s="65"/>
      <c r="O771" s="65"/>
    </row>
    <row r="772" spans="12:15" x14ac:dyDescent="0.25">
      <c r="L772" s="65"/>
      <c r="M772" s="65"/>
      <c r="N772" s="65"/>
      <c r="O772" s="65"/>
    </row>
    <row r="773" spans="12:15" x14ac:dyDescent="0.25">
      <c r="L773" s="65"/>
      <c r="M773" s="65"/>
      <c r="N773" s="65"/>
      <c r="O773" s="65"/>
    </row>
    <row r="774" spans="12:15" x14ac:dyDescent="0.25">
      <c r="L774" s="65"/>
      <c r="M774" s="65"/>
      <c r="N774" s="65"/>
      <c r="O774" s="65"/>
    </row>
    <row r="775" spans="12:15" x14ac:dyDescent="0.25">
      <c r="L775" s="65"/>
      <c r="M775" s="65"/>
      <c r="N775" s="65"/>
      <c r="O775" s="65"/>
    </row>
    <row r="776" spans="12:15" x14ac:dyDescent="0.25">
      <c r="L776" s="65"/>
      <c r="M776" s="65"/>
      <c r="N776" s="65"/>
      <c r="O776" s="65"/>
    </row>
    <row r="777" spans="12:15" x14ac:dyDescent="0.25">
      <c r="L777" s="65"/>
      <c r="M777" s="65"/>
      <c r="N777" s="65"/>
      <c r="O777" s="65"/>
    </row>
    <row r="778" spans="12:15" x14ac:dyDescent="0.25">
      <c r="L778" s="65"/>
      <c r="M778" s="65"/>
      <c r="N778" s="65"/>
      <c r="O778" s="65"/>
    </row>
    <row r="779" spans="12:15" x14ac:dyDescent="0.25">
      <c r="L779" s="65"/>
      <c r="M779" s="65"/>
      <c r="N779" s="65"/>
      <c r="O779" s="65"/>
    </row>
    <row r="780" spans="12:15" x14ac:dyDescent="0.25">
      <c r="L780" s="65"/>
      <c r="M780" s="65"/>
      <c r="N780" s="65"/>
      <c r="O780" s="65"/>
    </row>
    <row r="781" spans="12:15" x14ac:dyDescent="0.25">
      <c r="L781" s="65"/>
      <c r="M781" s="65"/>
      <c r="N781" s="65"/>
      <c r="O781" s="65"/>
    </row>
    <row r="782" spans="12:15" x14ac:dyDescent="0.25">
      <c r="L782" s="65"/>
      <c r="M782" s="65"/>
      <c r="N782" s="65"/>
      <c r="O782" s="65"/>
    </row>
    <row r="783" spans="12:15" x14ac:dyDescent="0.25">
      <c r="L783" s="65"/>
      <c r="M783" s="65"/>
      <c r="N783" s="65"/>
      <c r="O783" s="65"/>
    </row>
    <row r="784" spans="12:15" x14ac:dyDescent="0.25">
      <c r="L784" s="65"/>
      <c r="M784" s="65"/>
      <c r="N784" s="65"/>
      <c r="O784" s="65"/>
    </row>
    <row r="785" spans="12:15" x14ac:dyDescent="0.25">
      <c r="L785" s="65"/>
      <c r="M785" s="65"/>
      <c r="N785" s="65"/>
      <c r="O785" s="65"/>
    </row>
    <row r="786" spans="12:15" x14ac:dyDescent="0.25">
      <c r="L786" s="65"/>
      <c r="M786" s="65"/>
      <c r="N786" s="65"/>
      <c r="O786" s="65"/>
    </row>
    <row r="787" spans="12:15" x14ac:dyDescent="0.25">
      <c r="L787" s="65"/>
      <c r="M787" s="65"/>
      <c r="N787" s="65"/>
      <c r="O787" s="65"/>
    </row>
    <row r="788" spans="12:15" x14ac:dyDescent="0.25">
      <c r="L788" s="65"/>
      <c r="M788" s="65"/>
      <c r="N788" s="65"/>
      <c r="O788" s="65"/>
    </row>
    <row r="789" spans="12:15" x14ac:dyDescent="0.25">
      <c r="L789" s="65"/>
      <c r="M789" s="65"/>
      <c r="N789" s="65"/>
      <c r="O789" s="65"/>
    </row>
    <row r="790" spans="12:15" x14ac:dyDescent="0.25">
      <c r="L790" s="65"/>
      <c r="M790" s="65"/>
      <c r="N790" s="65"/>
      <c r="O790" s="65"/>
    </row>
    <row r="791" spans="12:15" x14ac:dyDescent="0.25">
      <c r="L791" s="65"/>
      <c r="M791" s="65"/>
      <c r="N791" s="65"/>
      <c r="O791" s="65"/>
    </row>
    <row r="792" spans="12:15" x14ac:dyDescent="0.25">
      <c r="L792" s="65"/>
      <c r="M792" s="65"/>
      <c r="N792" s="65"/>
      <c r="O792" s="65"/>
    </row>
    <row r="793" spans="12:15" x14ac:dyDescent="0.25">
      <c r="L793" s="65"/>
      <c r="M793" s="65"/>
      <c r="N793" s="65"/>
      <c r="O793" s="65"/>
    </row>
    <row r="794" spans="12:15" x14ac:dyDescent="0.25">
      <c r="L794" s="65"/>
      <c r="M794" s="65"/>
      <c r="N794" s="65"/>
      <c r="O794" s="65"/>
    </row>
    <row r="795" spans="12:15" x14ac:dyDescent="0.25">
      <c r="L795" s="65"/>
      <c r="M795" s="65"/>
      <c r="N795" s="65"/>
      <c r="O795" s="65"/>
    </row>
    <row r="796" spans="12:15" x14ac:dyDescent="0.25">
      <c r="L796" s="65"/>
      <c r="M796" s="65"/>
      <c r="N796" s="65"/>
      <c r="O796" s="65"/>
    </row>
    <row r="797" spans="12:15" x14ac:dyDescent="0.25">
      <c r="L797" s="65"/>
      <c r="M797" s="65"/>
      <c r="N797" s="65"/>
      <c r="O797" s="65"/>
    </row>
    <row r="798" spans="12:15" x14ac:dyDescent="0.25">
      <c r="L798" s="65"/>
      <c r="M798" s="65"/>
      <c r="N798" s="65"/>
      <c r="O798" s="65"/>
    </row>
    <row r="799" spans="12:15" x14ac:dyDescent="0.25">
      <c r="L799" s="65"/>
      <c r="M799" s="65"/>
      <c r="N799" s="65"/>
      <c r="O799" s="65"/>
    </row>
    <row r="800" spans="12:15" x14ac:dyDescent="0.25">
      <c r="L800" s="65"/>
      <c r="M800" s="65"/>
      <c r="N800" s="65"/>
      <c r="O800" s="65"/>
    </row>
    <row r="801" spans="12:15" x14ac:dyDescent="0.25">
      <c r="L801" s="65"/>
      <c r="M801" s="65"/>
      <c r="N801" s="65"/>
      <c r="O801" s="65"/>
    </row>
    <row r="802" spans="12:15" x14ac:dyDescent="0.25">
      <c r="L802" s="65"/>
      <c r="M802" s="65"/>
      <c r="N802" s="65"/>
      <c r="O802" s="65"/>
    </row>
    <row r="803" spans="12:15" x14ac:dyDescent="0.25">
      <c r="L803" s="65"/>
      <c r="M803" s="65"/>
      <c r="N803" s="65"/>
      <c r="O803" s="65"/>
    </row>
    <row r="804" spans="12:15" x14ac:dyDescent="0.25">
      <c r="L804" s="65"/>
      <c r="M804" s="65"/>
      <c r="N804" s="65"/>
      <c r="O804" s="65"/>
    </row>
    <row r="805" spans="12:15" x14ac:dyDescent="0.25">
      <c r="L805" s="65"/>
      <c r="M805" s="65"/>
      <c r="N805" s="65"/>
      <c r="O805" s="65"/>
    </row>
    <row r="806" spans="12:15" x14ac:dyDescent="0.25">
      <c r="L806" s="65"/>
      <c r="M806" s="65"/>
      <c r="N806" s="65"/>
      <c r="O806" s="65"/>
    </row>
    <row r="807" spans="12:15" x14ac:dyDescent="0.25">
      <c r="L807" s="65"/>
      <c r="M807" s="65"/>
      <c r="N807" s="65"/>
      <c r="O807" s="65"/>
    </row>
    <row r="808" spans="12:15" x14ac:dyDescent="0.25">
      <c r="L808" s="65"/>
      <c r="M808" s="65"/>
      <c r="N808" s="65"/>
      <c r="O808" s="65"/>
    </row>
    <row r="809" spans="12:15" x14ac:dyDescent="0.25">
      <c r="L809" s="65"/>
      <c r="M809" s="65"/>
      <c r="N809" s="65"/>
      <c r="O809" s="65"/>
    </row>
    <row r="810" spans="12:15" x14ac:dyDescent="0.25">
      <c r="L810" s="65"/>
      <c r="M810" s="65"/>
      <c r="N810" s="65"/>
      <c r="O810" s="65"/>
    </row>
    <row r="811" spans="12:15" x14ac:dyDescent="0.25">
      <c r="L811" s="65"/>
      <c r="M811" s="65"/>
      <c r="N811" s="65"/>
      <c r="O811" s="65"/>
    </row>
    <row r="812" spans="12:15" x14ac:dyDescent="0.25">
      <c r="L812" s="65"/>
      <c r="M812" s="65"/>
      <c r="N812" s="65"/>
      <c r="O812" s="65"/>
    </row>
    <row r="813" spans="12:15" x14ac:dyDescent="0.25">
      <c r="L813" s="65"/>
      <c r="M813" s="65"/>
      <c r="N813" s="65"/>
      <c r="O813" s="65"/>
    </row>
    <row r="814" spans="12:15" x14ac:dyDescent="0.25">
      <c r="L814" s="65"/>
      <c r="M814" s="65"/>
      <c r="N814" s="65"/>
      <c r="O814" s="65"/>
    </row>
    <row r="815" spans="12:15" x14ac:dyDescent="0.25">
      <c r="L815" s="65"/>
      <c r="M815" s="65"/>
      <c r="N815" s="65"/>
      <c r="O815" s="65"/>
    </row>
    <row r="816" spans="12:15" x14ac:dyDescent="0.25">
      <c r="L816" s="65"/>
      <c r="M816" s="65"/>
      <c r="N816" s="65"/>
      <c r="O816" s="65"/>
    </row>
    <row r="817" spans="12:15" x14ac:dyDescent="0.25">
      <c r="L817" s="65"/>
      <c r="M817" s="65"/>
      <c r="N817" s="65"/>
      <c r="O817" s="65"/>
    </row>
    <row r="818" spans="12:15" x14ac:dyDescent="0.25">
      <c r="L818" s="65"/>
      <c r="M818" s="65"/>
      <c r="N818" s="65"/>
      <c r="O818" s="65"/>
    </row>
    <row r="819" spans="12:15" x14ac:dyDescent="0.25">
      <c r="L819" s="65"/>
      <c r="M819" s="65"/>
      <c r="N819" s="65"/>
      <c r="O819" s="65"/>
    </row>
    <row r="820" spans="12:15" x14ac:dyDescent="0.25">
      <c r="L820" s="65"/>
      <c r="M820" s="65"/>
      <c r="N820" s="65"/>
      <c r="O820" s="65"/>
    </row>
    <row r="821" spans="12:15" x14ac:dyDescent="0.25">
      <c r="L821" s="65"/>
      <c r="M821" s="65"/>
      <c r="N821" s="65"/>
      <c r="O821" s="65"/>
    </row>
    <row r="822" spans="12:15" x14ac:dyDescent="0.25">
      <c r="L822" s="65"/>
      <c r="M822" s="65"/>
      <c r="N822" s="65"/>
      <c r="O822" s="65"/>
    </row>
    <row r="823" spans="12:15" x14ac:dyDescent="0.25">
      <c r="L823" s="65"/>
      <c r="M823" s="65"/>
      <c r="N823" s="65"/>
      <c r="O823" s="65"/>
    </row>
    <row r="824" spans="12:15" x14ac:dyDescent="0.25">
      <c r="L824" s="65"/>
      <c r="M824" s="65"/>
      <c r="N824" s="65"/>
      <c r="O824" s="65"/>
    </row>
    <row r="825" spans="12:15" x14ac:dyDescent="0.25">
      <c r="L825" s="65"/>
      <c r="M825" s="65"/>
      <c r="N825" s="65"/>
      <c r="O825" s="65"/>
    </row>
    <row r="826" spans="12:15" x14ac:dyDescent="0.25">
      <c r="L826" s="65"/>
      <c r="M826" s="65"/>
      <c r="N826" s="65"/>
      <c r="O826" s="65"/>
    </row>
    <row r="827" spans="12:15" x14ac:dyDescent="0.25">
      <c r="L827" s="65"/>
      <c r="M827" s="65"/>
      <c r="N827" s="65"/>
      <c r="O827" s="65"/>
    </row>
    <row r="828" spans="12:15" x14ac:dyDescent="0.25">
      <c r="L828" s="65"/>
      <c r="M828" s="65"/>
      <c r="N828" s="65"/>
      <c r="O828" s="65"/>
    </row>
    <row r="829" spans="12:15" x14ac:dyDescent="0.25">
      <c r="L829" s="65"/>
      <c r="M829" s="65"/>
      <c r="N829" s="65"/>
      <c r="O829" s="65"/>
    </row>
    <row r="830" spans="12:15" x14ac:dyDescent="0.25">
      <c r="L830" s="65"/>
      <c r="M830" s="65"/>
      <c r="N830" s="65"/>
      <c r="O830" s="65"/>
    </row>
    <row r="831" spans="12:15" x14ac:dyDescent="0.25">
      <c r="L831" s="65"/>
      <c r="M831" s="65"/>
      <c r="N831" s="65"/>
      <c r="O831" s="65"/>
    </row>
    <row r="832" spans="12:15" x14ac:dyDescent="0.25">
      <c r="L832" s="65"/>
      <c r="M832" s="65"/>
      <c r="N832" s="65"/>
      <c r="O832" s="65"/>
    </row>
    <row r="833" spans="12:15" x14ac:dyDescent="0.25">
      <c r="L833" s="65"/>
      <c r="M833" s="65"/>
      <c r="N833" s="65"/>
      <c r="O833" s="65"/>
    </row>
    <row r="834" spans="12:15" x14ac:dyDescent="0.25">
      <c r="L834" s="65"/>
      <c r="M834" s="65"/>
      <c r="N834" s="65"/>
      <c r="O834" s="65"/>
    </row>
    <row r="835" spans="12:15" x14ac:dyDescent="0.25">
      <c r="L835" s="65"/>
      <c r="M835" s="65"/>
      <c r="N835" s="65"/>
      <c r="O835" s="65"/>
    </row>
    <row r="836" spans="12:15" x14ac:dyDescent="0.25">
      <c r="L836" s="65"/>
      <c r="M836" s="65"/>
      <c r="N836" s="65"/>
      <c r="O836" s="65"/>
    </row>
    <row r="837" spans="12:15" x14ac:dyDescent="0.25">
      <c r="L837" s="65"/>
      <c r="M837" s="65"/>
      <c r="N837" s="65"/>
      <c r="O837" s="65"/>
    </row>
    <row r="838" spans="12:15" x14ac:dyDescent="0.25">
      <c r="L838" s="65"/>
      <c r="M838" s="65"/>
      <c r="N838" s="65"/>
      <c r="O838" s="65"/>
    </row>
    <row r="839" spans="12:15" x14ac:dyDescent="0.25">
      <c r="L839" s="65"/>
      <c r="M839" s="65"/>
      <c r="N839" s="65"/>
      <c r="O839" s="65"/>
    </row>
    <row r="840" spans="12:15" x14ac:dyDescent="0.25">
      <c r="L840" s="65"/>
      <c r="M840" s="65"/>
      <c r="N840" s="65"/>
      <c r="O840" s="65"/>
    </row>
    <row r="841" spans="12:15" x14ac:dyDescent="0.25">
      <c r="L841" s="65"/>
      <c r="M841" s="65"/>
      <c r="N841" s="65"/>
      <c r="O841" s="65"/>
    </row>
    <row r="842" spans="12:15" x14ac:dyDescent="0.25">
      <c r="L842" s="65"/>
      <c r="M842" s="65"/>
      <c r="N842" s="65"/>
      <c r="O842" s="65"/>
    </row>
    <row r="843" spans="12:15" x14ac:dyDescent="0.25">
      <c r="L843" s="65"/>
      <c r="M843" s="65"/>
      <c r="N843" s="65"/>
      <c r="O843" s="65"/>
    </row>
    <row r="844" spans="12:15" x14ac:dyDescent="0.25">
      <c r="L844" s="65"/>
      <c r="M844" s="65"/>
      <c r="N844" s="65"/>
      <c r="O844" s="65"/>
    </row>
    <row r="845" spans="12:15" x14ac:dyDescent="0.25">
      <c r="L845" s="65"/>
      <c r="M845" s="65"/>
      <c r="N845" s="65"/>
      <c r="O845" s="65"/>
    </row>
    <row r="846" spans="12:15" x14ac:dyDescent="0.25">
      <c r="L846" s="65"/>
      <c r="M846" s="65"/>
      <c r="N846" s="65"/>
      <c r="O846" s="65"/>
    </row>
    <row r="847" spans="12:15" x14ac:dyDescent="0.25">
      <c r="L847" s="65"/>
      <c r="M847" s="65"/>
      <c r="N847" s="65"/>
      <c r="O847" s="65"/>
    </row>
    <row r="848" spans="12:15" x14ac:dyDescent="0.25">
      <c r="L848" s="65"/>
      <c r="M848" s="65"/>
      <c r="N848" s="65"/>
      <c r="O848" s="65"/>
    </row>
    <row r="849" spans="12:15" x14ac:dyDescent="0.25">
      <c r="L849" s="65"/>
      <c r="M849" s="65"/>
      <c r="N849" s="65"/>
      <c r="O849" s="65"/>
    </row>
    <row r="850" spans="12:15" x14ac:dyDescent="0.25">
      <c r="L850" s="65"/>
      <c r="M850" s="65"/>
      <c r="N850" s="65"/>
      <c r="O850" s="65"/>
    </row>
    <row r="851" spans="12:15" x14ac:dyDescent="0.25">
      <c r="L851" s="65"/>
      <c r="M851" s="65"/>
      <c r="N851" s="65"/>
      <c r="O851" s="65"/>
    </row>
    <row r="852" spans="12:15" x14ac:dyDescent="0.25">
      <c r="L852" s="65"/>
      <c r="M852" s="65"/>
      <c r="N852" s="65"/>
      <c r="O852" s="65"/>
    </row>
    <row r="853" spans="12:15" x14ac:dyDescent="0.25">
      <c r="L853" s="65"/>
      <c r="M853" s="65"/>
      <c r="N853" s="65"/>
      <c r="O853" s="65"/>
    </row>
    <row r="854" spans="12:15" x14ac:dyDescent="0.25">
      <c r="L854" s="65"/>
      <c r="M854" s="65"/>
      <c r="N854" s="65"/>
      <c r="O854" s="65"/>
    </row>
    <row r="855" spans="12:15" x14ac:dyDescent="0.25">
      <c r="L855" s="65"/>
      <c r="M855" s="65"/>
      <c r="N855" s="65"/>
      <c r="O855" s="65"/>
    </row>
    <row r="856" spans="12:15" x14ac:dyDescent="0.25">
      <c r="L856" s="65"/>
      <c r="M856" s="65"/>
      <c r="N856" s="65"/>
      <c r="O856" s="65"/>
    </row>
    <row r="857" spans="12:15" x14ac:dyDescent="0.25">
      <c r="L857" s="65"/>
      <c r="M857" s="65"/>
      <c r="N857" s="65"/>
      <c r="O857" s="65"/>
    </row>
    <row r="858" spans="12:15" x14ac:dyDescent="0.25">
      <c r="L858" s="65"/>
      <c r="M858" s="65"/>
      <c r="N858" s="65"/>
      <c r="O858" s="65"/>
    </row>
    <row r="859" spans="12:15" x14ac:dyDescent="0.25">
      <c r="L859" s="65"/>
      <c r="M859" s="65"/>
      <c r="N859" s="65"/>
      <c r="O859" s="65"/>
    </row>
    <row r="860" spans="12:15" x14ac:dyDescent="0.25">
      <c r="L860" s="65"/>
      <c r="M860" s="65"/>
      <c r="N860" s="65"/>
      <c r="O860" s="65"/>
    </row>
    <row r="861" spans="12:15" x14ac:dyDescent="0.25">
      <c r="L861" s="65"/>
      <c r="M861" s="65"/>
      <c r="N861" s="65"/>
      <c r="O861" s="65"/>
    </row>
    <row r="862" spans="12:15" x14ac:dyDescent="0.25">
      <c r="L862" s="65"/>
      <c r="M862" s="65"/>
      <c r="N862" s="65"/>
      <c r="O862" s="65"/>
    </row>
    <row r="863" spans="12:15" x14ac:dyDescent="0.25">
      <c r="L863" s="65"/>
      <c r="M863" s="65"/>
      <c r="N863" s="65"/>
      <c r="O863" s="65"/>
    </row>
    <row r="864" spans="12:15" x14ac:dyDescent="0.25">
      <c r="L864" s="65"/>
      <c r="M864" s="65"/>
      <c r="N864" s="65"/>
      <c r="O864" s="65"/>
    </row>
    <row r="865" spans="12:15" x14ac:dyDescent="0.25">
      <c r="L865" s="65"/>
      <c r="M865" s="65"/>
      <c r="N865" s="65"/>
      <c r="O865" s="65"/>
    </row>
    <row r="866" spans="12:15" x14ac:dyDescent="0.25">
      <c r="L866" s="65"/>
      <c r="M866" s="65"/>
      <c r="N866" s="65"/>
      <c r="O866" s="65"/>
    </row>
    <row r="867" spans="12:15" x14ac:dyDescent="0.25">
      <c r="L867" s="65"/>
      <c r="M867" s="65"/>
      <c r="N867" s="65"/>
      <c r="O867" s="65"/>
    </row>
    <row r="868" spans="12:15" x14ac:dyDescent="0.25">
      <c r="L868" s="65"/>
      <c r="M868" s="65"/>
      <c r="N868" s="65"/>
      <c r="O868" s="65"/>
    </row>
    <row r="869" spans="12:15" x14ac:dyDescent="0.25">
      <c r="L869" s="65"/>
      <c r="M869" s="65"/>
      <c r="N869" s="65"/>
      <c r="O869" s="65"/>
    </row>
    <row r="870" spans="12:15" x14ac:dyDescent="0.25">
      <c r="L870" s="65"/>
      <c r="M870" s="65"/>
      <c r="N870" s="65"/>
      <c r="O870" s="65"/>
    </row>
    <row r="871" spans="12:15" x14ac:dyDescent="0.25">
      <c r="L871" s="65"/>
      <c r="M871" s="65"/>
      <c r="N871" s="65"/>
      <c r="O871" s="65"/>
    </row>
    <row r="872" spans="12:15" x14ac:dyDescent="0.25">
      <c r="L872" s="65"/>
      <c r="M872" s="65"/>
      <c r="N872" s="65"/>
      <c r="O872" s="65"/>
    </row>
    <row r="873" spans="12:15" x14ac:dyDescent="0.25">
      <c r="L873" s="65"/>
      <c r="M873" s="65"/>
      <c r="N873" s="65"/>
      <c r="O873" s="65"/>
    </row>
    <row r="874" spans="12:15" x14ac:dyDescent="0.25">
      <c r="L874" s="65"/>
      <c r="M874" s="65"/>
      <c r="N874" s="65"/>
      <c r="O874" s="65"/>
    </row>
    <row r="875" spans="12:15" x14ac:dyDescent="0.25">
      <c r="L875" s="65"/>
      <c r="M875" s="65"/>
      <c r="N875" s="65"/>
      <c r="O875" s="65"/>
    </row>
    <row r="876" spans="12:15" x14ac:dyDescent="0.25">
      <c r="L876" s="65"/>
      <c r="M876" s="65"/>
      <c r="N876" s="65"/>
      <c r="O876" s="65"/>
    </row>
    <row r="877" spans="12:15" x14ac:dyDescent="0.25">
      <c r="L877" s="65"/>
      <c r="M877" s="65"/>
      <c r="N877" s="65"/>
      <c r="O877" s="65"/>
    </row>
    <row r="878" spans="12:15" x14ac:dyDescent="0.25">
      <c r="L878" s="65"/>
      <c r="M878" s="65"/>
      <c r="N878" s="65"/>
      <c r="O878" s="65"/>
    </row>
    <row r="879" spans="12:15" x14ac:dyDescent="0.25">
      <c r="L879" s="65"/>
      <c r="M879" s="65"/>
      <c r="N879" s="65"/>
      <c r="O879" s="65"/>
    </row>
    <row r="880" spans="12:15" x14ac:dyDescent="0.25">
      <c r="L880" s="65"/>
      <c r="M880" s="65"/>
      <c r="N880" s="65"/>
      <c r="O880" s="65"/>
    </row>
    <row r="881" spans="12:15" x14ac:dyDescent="0.25">
      <c r="L881" s="65"/>
      <c r="M881" s="65"/>
      <c r="N881" s="65"/>
      <c r="O881" s="65"/>
    </row>
    <row r="882" spans="12:15" x14ac:dyDescent="0.25">
      <c r="L882" s="65"/>
      <c r="M882" s="65"/>
      <c r="N882" s="65"/>
      <c r="O882" s="65"/>
    </row>
    <row r="883" spans="12:15" x14ac:dyDescent="0.25">
      <c r="L883" s="65"/>
      <c r="M883" s="65"/>
      <c r="N883" s="65"/>
      <c r="O883" s="65"/>
    </row>
    <row r="884" spans="12:15" x14ac:dyDescent="0.25">
      <c r="L884" s="65"/>
      <c r="M884" s="65"/>
      <c r="N884" s="65"/>
      <c r="O884" s="65"/>
    </row>
    <row r="885" spans="12:15" x14ac:dyDescent="0.25">
      <c r="L885" s="65"/>
      <c r="M885" s="65"/>
      <c r="N885" s="65"/>
      <c r="O885" s="65"/>
    </row>
    <row r="886" spans="12:15" x14ac:dyDescent="0.25">
      <c r="L886" s="65"/>
      <c r="M886" s="65"/>
      <c r="N886" s="65"/>
      <c r="O886" s="65"/>
    </row>
    <row r="887" spans="12:15" x14ac:dyDescent="0.25">
      <c r="L887" s="65"/>
      <c r="M887" s="65"/>
      <c r="N887" s="65"/>
      <c r="O887" s="65"/>
    </row>
    <row r="888" spans="12:15" x14ac:dyDescent="0.25">
      <c r="L888" s="65"/>
      <c r="M888" s="65"/>
      <c r="N888" s="65"/>
      <c r="O888" s="65"/>
    </row>
    <row r="889" spans="12:15" x14ac:dyDescent="0.25">
      <c r="L889" s="65"/>
      <c r="M889" s="65"/>
      <c r="N889" s="65"/>
      <c r="O889" s="65"/>
    </row>
    <row r="890" spans="12:15" x14ac:dyDescent="0.25">
      <c r="L890" s="65"/>
      <c r="M890" s="65"/>
      <c r="N890" s="65"/>
      <c r="O890" s="65"/>
    </row>
    <row r="891" spans="12:15" x14ac:dyDescent="0.25">
      <c r="L891" s="65"/>
      <c r="M891" s="65"/>
      <c r="N891" s="65"/>
      <c r="O891" s="65"/>
    </row>
    <row r="892" spans="12:15" x14ac:dyDescent="0.25">
      <c r="L892" s="65"/>
      <c r="M892" s="65"/>
      <c r="N892" s="65"/>
      <c r="O892" s="65"/>
    </row>
    <row r="893" spans="12:15" x14ac:dyDescent="0.25">
      <c r="L893" s="65"/>
      <c r="M893" s="65"/>
      <c r="N893" s="65"/>
      <c r="O893" s="65"/>
    </row>
    <row r="894" spans="12:15" x14ac:dyDescent="0.25">
      <c r="L894" s="65"/>
      <c r="M894" s="65"/>
      <c r="N894" s="65"/>
      <c r="O894" s="65"/>
    </row>
    <row r="895" spans="12:15" x14ac:dyDescent="0.25">
      <c r="L895" s="65"/>
      <c r="M895" s="65"/>
      <c r="N895" s="65"/>
      <c r="O895" s="65"/>
    </row>
    <row r="896" spans="12:15" x14ac:dyDescent="0.25">
      <c r="L896" s="65"/>
      <c r="M896" s="65"/>
      <c r="N896" s="65"/>
      <c r="O896" s="65"/>
    </row>
    <row r="897" spans="12:15" x14ac:dyDescent="0.25">
      <c r="L897" s="65"/>
      <c r="M897" s="65"/>
      <c r="N897" s="65"/>
      <c r="O897" s="65"/>
    </row>
    <row r="898" spans="12:15" x14ac:dyDescent="0.25">
      <c r="L898" s="65"/>
      <c r="M898" s="65"/>
      <c r="N898" s="65"/>
      <c r="O898" s="65"/>
    </row>
    <row r="899" spans="12:15" x14ac:dyDescent="0.25">
      <c r="L899" s="65"/>
      <c r="M899" s="65"/>
      <c r="N899" s="65"/>
      <c r="O899" s="65"/>
    </row>
    <row r="900" spans="12:15" x14ac:dyDescent="0.25">
      <c r="L900" s="65"/>
      <c r="M900" s="65"/>
      <c r="N900" s="65"/>
      <c r="O900" s="65"/>
    </row>
    <row r="901" spans="12:15" x14ac:dyDescent="0.25">
      <c r="L901" s="65"/>
      <c r="M901" s="65"/>
      <c r="N901" s="65"/>
      <c r="O901" s="65"/>
    </row>
    <row r="902" spans="12:15" x14ac:dyDescent="0.25">
      <c r="L902" s="65"/>
      <c r="M902" s="65"/>
      <c r="N902" s="65"/>
      <c r="O902" s="65"/>
    </row>
    <row r="903" spans="12:15" x14ac:dyDescent="0.25">
      <c r="L903" s="65"/>
      <c r="M903" s="65"/>
      <c r="N903" s="65"/>
      <c r="O903" s="65"/>
    </row>
    <row r="904" spans="12:15" x14ac:dyDescent="0.25">
      <c r="L904" s="65"/>
      <c r="M904" s="65"/>
      <c r="N904" s="65"/>
      <c r="O904" s="65"/>
    </row>
    <row r="905" spans="12:15" x14ac:dyDescent="0.25">
      <c r="L905" s="65"/>
      <c r="M905" s="65"/>
      <c r="N905" s="65"/>
      <c r="O905" s="65"/>
    </row>
    <row r="906" spans="12:15" x14ac:dyDescent="0.25">
      <c r="L906" s="65"/>
      <c r="M906" s="65"/>
      <c r="N906" s="65"/>
      <c r="O906" s="65"/>
    </row>
    <row r="907" spans="12:15" x14ac:dyDescent="0.25">
      <c r="L907" s="65"/>
      <c r="M907" s="65"/>
      <c r="N907" s="65"/>
      <c r="O907" s="65"/>
    </row>
    <row r="908" spans="12:15" x14ac:dyDescent="0.25">
      <c r="L908" s="65"/>
      <c r="M908" s="65"/>
      <c r="N908" s="65"/>
      <c r="O908" s="65"/>
    </row>
    <row r="909" spans="12:15" x14ac:dyDescent="0.25">
      <c r="L909" s="65"/>
      <c r="M909" s="65"/>
      <c r="N909" s="65"/>
      <c r="O909" s="65"/>
    </row>
    <row r="910" spans="12:15" x14ac:dyDescent="0.25">
      <c r="L910" s="65"/>
      <c r="M910" s="65"/>
      <c r="N910" s="65"/>
      <c r="O910" s="65"/>
    </row>
    <row r="911" spans="12:15" x14ac:dyDescent="0.25">
      <c r="L911" s="65"/>
      <c r="M911" s="65"/>
      <c r="N911" s="65"/>
      <c r="O911" s="65"/>
    </row>
    <row r="912" spans="12:15" x14ac:dyDescent="0.25">
      <c r="L912" s="65"/>
      <c r="M912" s="65"/>
      <c r="N912" s="65"/>
      <c r="O912" s="65"/>
    </row>
    <row r="913" spans="12:15" x14ac:dyDescent="0.25">
      <c r="L913" s="65"/>
      <c r="M913" s="65"/>
      <c r="N913" s="65"/>
      <c r="O913" s="65"/>
    </row>
    <row r="914" spans="12:15" x14ac:dyDescent="0.25">
      <c r="L914" s="65"/>
      <c r="M914" s="65"/>
      <c r="N914" s="65"/>
      <c r="O914" s="65"/>
    </row>
    <row r="915" spans="12:15" x14ac:dyDescent="0.25">
      <c r="L915" s="65"/>
      <c r="M915" s="65"/>
      <c r="N915" s="65"/>
      <c r="O915" s="65"/>
    </row>
    <row r="916" spans="12:15" x14ac:dyDescent="0.25">
      <c r="L916" s="65"/>
      <c r="M916" s="65"/>
      <c r="N916" s="65"/>
      <c r="O916" s="65"/>
    </row>
    <row r="917" spans="12:15" x14ac:dyDescent="0.25">
      <c r="L917" s="65"/>
      <c r="M917" s="65"/>
      <c r="N917" s="65"/>
      <c r="O917" s="65"/>
    </row>
    <row r="918" spans="12:15" x14ac:dyDescent="0.25">
      <c r="L918" s="65"/>
      <c r="M918" s="65"/>
      <c r="N918" s="65"/>
      <c r="O918" s="65"/>
    </row>
    <row r="919" spans="12:15" x14ac:dyDescent="0.25">
      <c r="L919" s="65"/>
      <c r="M919" s="65"/>
      <c r="N919" s="65"/>
      <c r="O919" s="65"/>
    </row>
    <row r="920" spans="12:15" x14ac:dyDescent="0.25">
      <c r="L920" s="65"/>
      <c r="M920" s="65"/>
      <c r="N920" s="65"/>
      <c r="O920" s="65"/>
    </row>
    <row r="921" spans="12:15" x14ac:dyDescent="0.25">
      <c r="L921" s="65"/>
      <c r="M921" s="65"/>
      <c r="N921" s="65"/>
      <c r="O921" s="65"/>
    </row>
    <row r="922" spans="12:15" x14ac:dyDescent="0.25">
      <c r="L922" s="65"/>
      <c r="M922" s="65"/>
      <c r="N922" s="65"/>
      <c r="O922" s="65"/>
    </row>
    <row r="923" spans="12:15" x14ac:dyDescent="0.25">
      <c r="L923" s="65"/>
      <c r="M923" s="65"/>
      <c r="N923" s="65"/>
      <c r="O923" s="65"/>
    </row>
    <row r="924" spans="12:15" x14ac:dyDescent="0.25">
      <c r="L924" s="65"/>
      <c r="M924" s="65"/>
      <c r="N924" s="65"/>
      <c r="O924" s="65"/>
    </row>
    <row r="925" spans="12:15" x14ac:dyDescent="0.25">
      <c r="L925" s="65"/>
      <c r="M925" s="65"/>
      <c r="N925" s="65"/>
      <c r="O925" s="65"/>
    </row>
    <row r="926" spans="12:15" x14ac:dyDescent="0.25">
      <c r="L926" s="65"/>
      <c r="M926" s="65"/>
      <c r="N926" s="65"/>
      <c r="O926" s="65"/>
    </row>
    <row r="927" spans="12:15" x14ac:dyDescent="0.25">
      <c r="L927" s="65"/>
      <c r="M927" s="65"/>
      <c r="N927" s="65"/>
      <c r="O927" s="65"/>
    </row>
    <row r="928" spans="12:15" x14ac:dyDescent="0.25">
      <c r="L928" s="65"/>
      <c r="M928" s="65"/>
      <c r="N928" s="65"/>
      <c r="O928" s="65"/>
    </row>
    <row r="929" spans="12:15" x14ac:dyDescent="0.25">
      <c r="L929" s="65"/>
      <c r="M929" s="65"/>
      <c r="N929" s="65"/>
      <c r="O929" s="65"/>
    </row>
    <row r="930" spans="12:15" x14ac:dyDescent="0.25">
      <c r="L930" s="65"/>
      <c r="M930" s="65"/>
      <c r="N930" s="65"/>
      <c r="O930" s="65"/>
    </row>
    <row r="931" spans="12:15" x14ac:dyDescent="0.25">
      <c r="L931" s="65"/>
      <c r="M931" s="65"/>
      <c r="N931" s="65"/>
      <c r="O931" s="65"/>
    </row>
    <row r="932" spans="12:15" x14ac:dyDescent="0.25">
      <c r="L932" s="65"/>
      <c r="M932" s="65"/>
      <c r="N932" s="65"/>
      <c r="O932" s="65"/>
    </row>
    <row r="933" spans="12:15" x14ac:dyDescent="0.25">
      <c r="L933" s="65"/>
      <c r="M933" s="65"/>
      <c r="N933" s="65"/>
      <c r="O933" s="65"/>
    </row>
    <row r="934" spans="12:15" x14ac:dyDescent="0.25">
      <c r="L934" s="65"/>
      <c r="M934" s="65"/>
      <c r="N934" s="65"/>
      <c r="O934" s="65"/>
    </row>
    <row r="935" spans="12:15" x14ac:dyDescent="0.25">
      <c r="L935" s="65"/>
      <c r="M935" s="65"/>
      <c r="N935" s="65"/>
      <c r="O935" s="65"/>
    </row>
    <row r="936" spans="12:15" x14ac:dyDescent="0.25">
      <c r="L936" s="65"/>
      <c r="M936" s="65"/>
      <c r="N936" s="65"/>
      <c r="O936" s="65"/>
    </row>
    <row r="937" spans="12:15" x14ac:dyDescent="0.25">
      <c r="L937" s="65"/>
      <c r="M937" s="65"/>
      <c r="N937" s="65"/>
      <c r="O937" s="65"/>
    </row>
    <row r="938" spans="12:15" x14ac:dyDescent="0.25">
      <c r="L938" s="65"/>
      <c r="M938" s="65"/>
      <c r="N938" s="65"/>
      <c r="O938" s="65"/>
    </row>
    <row r="939" spans="12:15" x14ac:dyDescent="0.25">
      <c r="L939" s="65"/>
      <c r="M939" s="65"/>
      <c r="N939" s="65"/>
      <c r="O939" s="65"/>
    </row>
    <row r="940" spans="12:15" x14ac:dyDescent="0.25">
      <c r="L940" s="65"/>
      <c r="M940" s="65"/>
      <c r="N940" s="65"/>
      <c r="O940" s="65"/>
    </row>
    <row r="941" spans="12:15" x14ac:dyDescent="0.25">
      <c r="L941" s="65"/>
      <c r="M941" s="65"/>
      <c r="N941" s="65"/>
      <c r="O941" s="65"/>
    </row>
    <row r="942" spans="12:15" x14ac:dyDescent="0.25">
      <c r="L942" s="65"/>
      <c r="M942" s="65"/>
      <c r="N942" s="65"/>
      <c r="O942" s="65"/>
    </row>
    <row r="943" spans="12:15" x14ac:dyDescent="0.25">
      <c r="L943" s="65"/>
      <c r="M943" s="65"/>
      <c r="N943" s="65"/>
      <c r="O943" s="65"/>
    </row>
    <row r="944" spans="12:15" x14ac:dyDescent="0.25">
      <c r="L944" s="65"/>
      <c r="M944" s="65"/>
      <c r="N944" s="65"/>
      <c r="O944" s="65"/>
    </row>
    <row r="945" spans="12:15" x14ac:dyDescent="0.25">
      <c r="L945" s="65"/>
      <c r="M945" s="65"/>
      <c r="N945" s="65"/>
      <c r="O945" s="65"/>
    </row>
    <row r="946" spans="12:15" x14ac:dyDescent="0.25">
      <c r="L946" s="65"/>
      <c r="M946" s="65"/>
      <c r="N946" s="65"/>
      <c r="O946" s="65"/>
    </row>
    <row r="947" spans="12:15" x14ac:dyDescent="0.25">
      <c r="L947" s="65"/>
      <c r="M947" s="65"/>
      <c r="N947" s="65"/>
      <c r="O947" s="65"/>
    </row>
    <row r="948" spans="12:15" x14ac:dyDescent="0.25">
      <c r="L948" s="65"/>
      <c r="M948" s="65"/>
      <c r="N948" s="65"/>
      <c r="O948" s="65"/>
    </row>
    <row r="949" spans="12:15" x14ac:dyDescent="0.25">
      <c r="L949" s="65"/>
      <c r="M949" s="65"/>
      <c r="N949" s="65"/>
      <c r="O949" s="65"/>
    </row>
    <row r="950" spans="12:15" x14ac:dyDescent="0.25">
      <c r="L950" s="65"/>
      <c r="M950" s="65"/>
      <c r="N950" s="65"/>
      <c r="O950" s="65"/>
    </row>
    <row r="951" spans="12:15" x14ac:dyDescent="0.25">
      <c r="L951" s="65"/>
      <c r="M951" s="65"/>
      <c r="N951" s="65"/>
      <c r="O951" s="65"/>
    </row>
    <row r="952" spans="12:15" x14ac:dyDescent="0.25">
      <c r="L952" s="65"/>
      <c r="M952" s="65"/>
      <c r="N952" s="65"/>
      <c r="O952" s="65"/>
    </row>
    <row r="953" spans="12:15" x14ac:dyDescent="0.25">
      <c r="L953" s="65"/>
      <c r="M953" s="65"/>
      <c r="N953" s="65"/>
      <c r="O953" s="65"/>
    </row>
    <row r="954" spans="12:15" x14ac:dyDescent="0.25">
      <c r="L954" s="65"/>
      <c r="M954" s="65"/>
      <c r="N954" s="65"/>
      <c r="O954" s="65"/>
    </row>
    <row r="955" spans="12:15" x14ac:dyDescent="0.25">
      <c r="L955" s="65"/>
      <c r="M955" s="65"/>
      <c r="N955" s="65"/>
      <c r="O955" s="65"/>
    </row>
    <row r="956" spans="12:15" x14ac:dyDescent="0.25">
      <c r="L956" s="65"/>
      <c r="M956" s="65"/>
      <c r="N956" s="65"/>
      <c r="O956" s="65"/>
    </row>
    <row r="957" spans="12:15" x14ac:dyDescent="0.25">
      <c r="L957" s="65"/>
      <c r="M957" s="65"/>
      <c r="N957" s="65"/>
      <c r="O957" s="65"/>
    </row>
    <row r="958" spans="12:15" x14ac:dyDescent="0.25">
      <c r="L958" s="65"/>
      <c r="M958" s="65"/>
      <c r="N958" s="65"/>
      <c r="O958" s="65"/>
    </row>
    <row r="959" spans="12:15" x14ac:dyDescent="0.25">
      <c r="L959" s="65"/>
      <c r="M959" s="65"/>
      <c r="N959" s="65"/>
      <c r="O959" s="65"/>
    </row>
    <row r="960" spans="12:15" x14ac:dyDescent="0.25">
      <c r="L960" s="65"/>
      <c r="M960" s="65"/>
      <c r="N960" s="65"/>
      <c r="O960" s="65"/>
    </row>
    <row r="961" spans="12:15" x14ac:dyDescent="0.25">
      <c r="L961" s="65"/>
      <c r="M961" s="65"/>
      <c r="N961" s="65"/>
      <c r="O961" s="65"/>
    </row>
    <row r="962" spans="12:15" x14ac:dyDescent="0.25">
      <c r="L962" s="65"/>
      <c r="M962" s="65"/>
      <c r="N962" s="65"/>
      <c r="O962" s="65"/>
    </row>
    <row r="963" spans="12:15" x14ac:dyDescent="0.25">
      <c r="L963" s="65"/>
      <c r="M963" s="65"/>
      <c r="N963" s="65"/>
      <c r="O963" s="65"/>
    </row>
    <row r="964" spans="12:15" x14ac:dyDescent="0.25">
      <c r="L964" s="65"/>
      <c r="M964" s="65"/>
      <c r="N964" s="65"/>
      <c r="O964" s="65"/>
    </row>
    <row r="965" spans="12:15" x14ac:dyDescent="0.25">
      <c r="L965" s="65"/>
      <c r="M965" s="65"/>
      <c r="N965" s="65"/>
      <c r="O965" s="65"/>
    </row>
    <row r="966" spans="12:15" x14ac:dyDescent="0.25">
      <c r="L966" s="65"/>
      <c r="M966" s="65"/>
      <c r="N966" s="65"/>
      <c r="O966" s="65"/>
    </row>
    <row r="967" spans="12:15" x14ac:dyDescent="0.25">
      <c r="L967" s="65"/>
      <c r="M967" s="65"/>
      <c r="N967" s="65"/>
      <c r="O967" s="65"/>
    </row>
    <row r="968" spans="12:15" x14ac:dyDescent="0.25">
      <c r="L968" s="65"/>
      <c r="M968" s="65"/>
      <c r="N968" s="65"/>
      <c r="O968" s="65"/>
    </row>
    <row r="969" spans="12:15" x14ac:dyDescent="0.25">
      <c r="L969" s="65"/>
      <c r="M969" s="65"/>
      <c r="N969" s="65"/>
      <c r="O969" s="65"/>
    </row>
    <row r="970" spans="12:15" x14ac:dyDescent="0.25">
      <c r="L970" s="65"/>
      <c r="M970" s="65"/>
      <c r="N970" s="65"/>
      <c r="O970" s="65"/>
    </row>
    <row r="971" spans="12:15" x14ac:dyDescent="0.25">
      <c r="L971" s="65"/>
      <c r="M971" s="65"/>
      <c r="N971" s="65"/>
      <c r="O971" s="65"/>
    </row>
    <row r="972" spans="12:15" x14ac:dyDescent="0.25">
      <c r="L972" s="65"/>
      <c r="M972" s="65"/>
      <c r="N972" s="65"/>
      <c r="O972" s="65"/>
    </row>
    <row r="973" spans="12:15" x14ac:dyDescent="0.25">
      <c r="L973" s="65"/>
      <c r="M973" s="65"/>
      <c r="N973" s="65"/>
      <c r="O973" s="65"/>
    </row>
    <row r="974" spans="12:15" x14ac:dyDescent="0.25">
      <c r="L974" s="65"/>
      <c r="M974" s="65"/>
      <c r="N974" s="65"/>
      <c r="O974" s="65"/>
    </row>
    <row r="975" spans="12:15" x14ac:dyDescent="0.25">
      <c r="L975" s="65"/>
      <c r="M975" s="65"/>
      <c r="N975" s="65"/>
      <c r="O975" s="65"/>
    </row>
    <row r="976" spans="12:15" x14ac:dyDescent="0.25">
      <c r="L976" s="65"/>
      <c r="M976" s="65"/>
      <c r="N976" s="65"/>
      <c r="O976" s="65"/>
    </row>
    <row r="977" spans="12:15" x14ac:dyDescent="0.25">
      <c r="L977" s="65"/>
      <c r="M977" s="65"/>
      <c r="N977" s="65"/>
      <c r="O977" s="65"/>
    </row>
    <row r="978" spans="12:15" x14ac:dyDescent="0.25">
      <c r="L978" s="65"/>
      <c r="M978" s="65"/>
      <c r="N978" s="65"/>
      <c r="O978" s="65"/>
    </row>
    <row r="979" spans="12:15" x14ac:dyDescent="0.25">
      <c r="L979" s="65"/>
      <c r="M979" s="65"/>
      <c r="N979" s="65"/>
      <c r="O979" s="65"/>
    </row>
    <row r="980" spans="12:15" x14ac:dyDescent="0.25">
      <c r="L980" s="65"/>
      <c r="M980" s="65"/>
      <c r="N980" s="65"/>
      <c r="O980" s="65"/>
    </row>
    <row r="981" spans="12:15" x14ac:dyDescent="0.25">
      <c r="L981" s="65"/>
      <c r="M981" s="65"/>
      <c r="N981" s="65"/>
      <c r="O981" s="65"/>
    </row>
    <row r="982" spans="12:15" x14ac:dyDescent="0.25">
      <c r="L982" s="65"/>
      <c r="M982" s="65"/>
      <c r="N982" s="65"/>
      <c r="O982" s="65"/>
    </row>
    <row r="983" spans="12:15" x14ac:dyDescent="0.25">
      <c r="L983" s="65"/>
      <c r="M983" s="65"/>
      <c r="N983" s="65"/>
      <c r="O983" s="65"/>
    </row>
    <row r="984" spans="12:15" x14ac:dyDescent="0.25">
      <c r="L984" s="65"/>
      <c r="M984" s="65"/>
      <c r="N984" s="65"/>
      <c r="O984" s="65"/>
    </row>
    <row r="985" spans="12:15" x14ac:dyDescent="0.25">
      <c r="L985" s="65"/>
      <c r="M985" s="65"/>
      <c r="N985" s="65"/>
      <c r="O985" s="65"/>
    </row>
    <row r="986" spans="12:15" x14ac:dyDescent="0.25">
      <c r="L986" s="65"/>
      <c r="M986" s="65"/>
      <c r="N986" s="65"/>
      <c r="O986" s="65"/>
    </row>
    <row r="987" spans="12:15" x14ac:dyDescent="0.25">
      <c r="L987" s="65"/>
      <c r="M987" s="65"/>
      <c r="N987" s="65"/>
      <c r="O987" s="65"/>
    </row>
    <row r="988" spans="12:15" x14ac:dyDescent="0.25">
      <c r="L988" s="65"/>
      <c r="M988" s="65"/>
      <c r="N988" s="65"/>
      <c r="O988" s="65"/>
    </row>
    <row r="989" spans="12:15" x14ac:dyDescent="0.25">
      <c r="L989" s="65"/>
      <c r="M989" s="65"/>
      <c r="N989" s="65"/>
      <c r="O989" s="65"/>
    </row>
    <row r="990" spans="12:15" x14ac:dyDescent="0.25">
      <c r="L990" s="65"/>
      <c r="M990" s="65"/>
      <c r="N990" s="65"/>
      <c r="O990" s="65"/>
    </row>
    <row r="991" spans="12:15" x14ac:dyDescent="0.25">
      <c r="L991" s="65"/>
      <c r="M991" s="65"/>
      <c r="N991" s="65"/>
      <c r="O991" s="65"/>
    </row>
    <row r="992" spans="12:15" x14ac:dyDescent="0.25">
      <c r="L992" s="65"/>
      <c r="M992" s="65"/>
      <c r="N992" s="65"/>
      <c r="O992" s="65"/>
    </row>
    <row r="993" spans="12:15" x14ac:dyDescent="0.25">
      <c r="L993" s="65"/>
      <c r="M993" s="65"/>
      <c r="N993" s="65"/>
      <c r="O993" s="65"/>
    </row>
    <row r="994" spans="12:15" x14ac:dyDescent="0.25">
      <c r="L994" s="65"/>
      <c r="M994" s="65"/>
      <c r="N994" s="65"/>
      <c r="O994" s="65"/>
    </row>
    <row r="995" spans="12:15" x14ac:dyDescent="0.25">
      <c r="L995" s="65"/>
      <c r="M995" s="65"/>
      <c r="N995" s="65"/>
      <c r="O995" s="65"/>
    </row>
    <row r="996" spans="12:15" x14ac:dyDescent="0.25">
      <c r="L996" s="65"/>
      <c r="M996" s="65"/>
      <c r="N996" s="65"/>
      <c r="O996" s="65"/>
    </row>
    <row r="997" spans="12:15" x14ac:dyDescent="0.25">
      <c r="L997" s="65"/>
      <c r="M997" s="65"/>
      <c r="N997" s="65"/>
      <c r="O997" s="65"/>
    </row>
    <row r="998" spans="12:15" x14ac:dyDescent="0.25">
      <c r="L998" s="65"/>
      <c r="M998" s="65"/>
      <c r="N998" s="65"/>
      <c r="O998" s="65"/>
    </row>
    <row r="999" spans="12:15" x14ac:dyDescent="0.25">
      <c r="L999" s="65"/>
      <c r="M999" s="65"/>
      <c r="N999" s="65"/>
      <c r="O999" s="65"/>
    </row>
    <row r="1000" spans="12:15" x14ac:dyDescent="0.25">
      <c r="L1000" s="65"/>
      <c r="M1000" s="65"/>
      <c r="N1000" s="65"/>
      <c r="O1000" s="65"/>
    </row>
    <row r="1001" spans="12:15" x14ac:dyDescent="0.25">
      <c r="L1001" s="65"/>
      <c r="M1001" s="65"/>
      <c r="N1001" s="65"/>
      <c r="O1001" s="65"/>
    </row>
    <row r="1002" spans="12:15" x14ac:dyDescent="0.25">
      <c r="L1002" s="65"/>
      <c r="M1002" s="65"/>
      <c r="N1002" s="65"/>
      <c r="O1002" s="65"/>
    </row>
    <row r="1003" spans="12:15" x14ac:dyDescent="0.25">
      <c r="L1003" s="65"/>
      <c r="M1003" s="65"/>
      <c r="N1003" s="65"/>
      <c r="O1003" s="65"/>
    </row>
    <row r="1004" spans="12:15" x14ac:dyDescent="0.25">
      <c r="L1004" s="65"/>
      <c r="M1004" s="65"/>
      <c r="N1004" s="65"/>
      <c r="O1004" s="65"/>
    </row>
    <row r="1005" spans="12:15" x14ac:dyDescent="0.25">
      <c r="L1005" s="65"/>
      <c r="M1005" s="65"/>
      <c r="N1005" s="65"/>
      <c r="O1005" s="65"/>
    </row>
    <row r="1006" spans="12:15" x14ac:dyDescent="0.25">
      <c r="L1006" s="65"/>
      <c r="M1006" s="65"/>
      <c r="N1006" s="65"/>
      <c r="O1006" s="65"/>
    </row>
    <row r="1007" spans="12:15" x14ac:dyDescent="0.25">
      <c r="L1007" s="65"/>
      <c r="M1007" s="65"/>
      <c r="N1007" s="65"/>
      <c r="O1007" s="65"/>
    </row>
    <row r="1008" spans="12:15" x14ac:dyDescent="0.25">
      <c r="L1008" s="65"/>
      <c r="M1008" s="65"/>
      <c r="N1008" s="65"/>
      <c r="O1008" s="65"/>
    </row>
    <row r="1009" spans="12:15" x14ac:dyDescent="0.25">
      <c r="L1009" s="65"/>
      <c r="M1009" s="65"/>
      <c r="N1009" s="65"/>
      <c r="O1009" s="65"/>
    </row>
    <row r="1010" spans="12:15" x14ac:dyDescent="0.25">
      <c r="L1010" s="65"/>
      <c r="M1010" s="65"/>
      <c r="N1010" s="65"/>
      <c r="O1010" s="65"/>
    </row>
    <row r="1011" spans="12:15" x14ac:dyDescent="0.25">
      <c r="L1011" s="65"/>
      <c r="M1011" s="65"/>
      <c r="N1011" s="65"/>
      <c r="O1011" s="65"/>
    </row>
    <row r="1012" spans="12:15" x14ac:dyDescent="0.25">
      <c r="L1012" s="65"/>
      <c r="M1012" s="65"/>
      <c r="N1012" s="65"/>
      <c r="O1012" s="65"/>
    </row>
    <row r="1013" spans="12:15" x14ac:dyDescent="0.25">
      <c r="L1013" s="65"/>
      <c r="M1013" s="65"/>
      <c r="N1013" s="65"/>
      <c r="O1013" s="65"/>
    </row>
    <row r="1014" spans="12:15" x14ac:dyDescent="0.25">
      <c r="L1014" s="65"/>
      <c r="M1014" s="65"/>
      <c r="N1014" s="65"/>
      <c r="O1014" s="65"/>
    </row>
    <row r="1015" spans="12:15" x14ac:dyDescent="0.25">
      <c r="L1015" s="65"/>
      <c r="M1015" s="65"/>
      <c r="N1015" s="65"/>
      <c r="O1015" s="65"/>
    </row>
    <row r="1016" spans="12:15" x14ac:dyDescent="0.25">
      <c r="L1016" s="65"/>
      <c r="M1016" s="65"/>
      <c r="N1016" s="65"/>
      <c r="O1016" s="65"/>
    </row>
    <row r="1017" spans="12:15" x14ac:dyDescent="0.25">
      <c r="L1017" s="65"/>
      <c r="M1017" s="65"/>
      <c r="N1017" s="65"/>
      <c r="O1017" s="65"/>
    </row>
    <row r="1018" spans="12:15" x14ac:dyDescent="0.25">
      <c r="L1018" s="65"/>
      <c r="M1018" s="65"/>
      <c r="N1018" s="65"/>
      <c r="O1018" s="65"/>
    </row>
    <row r="1019" spans="12:15" x14ac:dyDescent="0.25">
      <c r="L1019" s="65"/>
      <c r="M1019" s="65"/>
      <c r="N1019" s="65"/>
      <c r="O1019" s="65"/>
    </row>
    <row r="1020" spans="12:15" x14ac:dyDescent="0.25">
      <c r="L1020" s="65"/>
      <c r="M1020" s="65"/>
      <c r="N1020" s="65"/>
      <c r="O1020" s="65"/>
    </row>
    <row r="1021" spans="12:15" x14ac:dyDescent="0.25">
      <c r="L1021" s="65"/>
      <c r="M1021" s="65"/>
      <c r="N1021" s="65"/>
      <c r="O1021" s="65"/>
    </row>
    <row r="1022" spans="12:15" x14ac:dyDescent="0.25">
      <c r="L1022" s="65"/>
      <c r="M1022" s="65"/>
      <c r="N1022" s="65"/>
      <c r="O1022" s="65"/>
    </row>
    <row r="1023" spans="12:15" x14ac:dyDescent="0.25">
      <c r="L1023" s="65"/>
      <c r="M1023" s="65"/>
      <c r="N1023" s="65"/>
      <c r="O1023" s="65"/>
    </row>
    <row r="1024" spans="12:15" x14ac:dyDescent="0.25">
      <c r="L1024" s="65"/>
      <c r="M1024" s="65"/>
      <c r="N1024" s="65"/>
      <c r="O1024" s="65"/>
    </row>
    <row r="1025" spans="12:15" x14ac:dyDescent="0.25">
      <c r="L1025" s="65"/>
      <c r="M1025" s="65"/>
      <c r="N1025" s="65"/>
      <c r="O1025" s="65"/>
    </row>
    <row r="1026" spans="12:15" x14ac:dyDescent="0.25">
      <c r="L1026" s="65"/>
      <c r="M1026" s="65"/>
      <c r="N1026" s="65"/>
      <c r="O1026" s="65"/>
    </row>
    <row r="1027" spans="12:15" x14ac:dyDescent="0.25">
      <c r="L1027" s="65"/>
      <c r="M1027" s="65"/>
      <c r="N1027" s="65"/>
      <c r="O1027" s="65"/>
    </row>
    <row r="1028" spans="12:15" x14ac:dyDescent="0.25">
      <c r="L1028" s="65"/>
      <c r="M1028" s="65"/>
      <c r="N1028" s="65"/>
      <c r="O1028" s="65"/>
    </row>
    <row r="1029" spans="12:15" x14ac:dyDescent="0.25">
      <c r="L1029" s="65"/>
      <c r="M1029" s="65"/>
      <c r="N1029" s="65"/>
      <c r="O1029" s="65"/>
    </row>
    <row r="1030" spans="12:15" x14ac:dyDescent="0.25">
      <c r="L1030" s="65"/>
      <c r="M1030" s="65"/>
      <c r="N1030" s="65"/>
      <c r="O1030" s="65"/>
    </row>
    <row r="1031" spans="12:15" x14ac:dyDescent="0.25">
      <c r="L1031" s="65"/>
      <c r="M1031" s="65"/>
      <c r="N1031" s="65"/>
      <c r="O1031" s="65"/>
    </row>
    <row r="1032" spans="12:15" x14ac:dyDescent="0.25">
      <c r="L1032" s="65"/>
      <c r="M1032" s="65"/>
      <c r="N1032" s="65"/>
      <c r="O1032" s="65"/>
    </row>
    <row r="1033" spans="12:15" x14ac:dyDescent="0.25">
      <c r="L1033" s="65"/>
      <c r="M1033" s="65"/>
      <c r="N1033" s="65"/>
      <c r="O1033" s="65"/>
    </row>
    <row r="1034" spans="12:15" x14ac:dyDescent="0.25">
      <c r="L1034" s="65"/>
      <c r="M1034" s="65"/>
      <c r="N1034" s="65"/>
      <c r="O1034" s="65"/>
    </row>
    <row r="1035" spans="12:15" x14ac:dyDescent="0.25">
      <c r="L1035" s="65"/>
      <c r="M1035" s="65"/>
      <c r="N1035" s="65"/>
      <c r="O1035" s="65"/>
    </row>
    <row r="1036" spans="12:15" x14ac:dyDescent="0.25">
      <c r="L1036" s="65"/>
      <c r="M1036" s="65"/>
      <c r="N1036" s="65"/>
      <c r="O1036" s="65"/>
    </row>
    <row r="1037" spans="12:15" x14ac:dyDescent="0.25">
      <c r="L1037" s="65"/>
      <c r="M1037" s="65"/>
      <c r="N1037" s="65"/>
      <c r="O1037" s="65"/>
    </row>
    <row r="1038" spans="12:15" x14ac:dyDescent="0.25">
      <c r="L1038" s="65"/>
      <c r="M1038" s="65"/>
      <c r="N1038" s="65"/>
      <c r="O1038" s="65"/>
    </row>
    <row r="1039" spans="12:15" x14ac:dyDescent="0.25">
      <c r="L1039" s="65"/>
      <c r="M1039" s="65"/>
      <c r="N1039" s="65"/>
      <c r="O1039" s="65"/>
    </row>
    <row r="1040" spans="12:15" x14ac:dyDescent="0.25">
      <c r="L1040" s="65"/>
      <c r="M1040" s="65"/>
      <c r="N1040" s="65"/>
      <c r="O1040" s="65"/>
    </row>
    <row r="1041" spans="12:15" x14ac:dyDescent="0.25">
      <c r="L1041" s="65"/>
      <c r="M1041" s="65"/>
      <c r="N1041" s="65"/>
      <c r="O1041" s="65"/>
    </row>
    <row r="1042" spans="12:15" x14ac:dyDescent="0.25">
      <c r="L1042" s="65"/>
      <c r="M1042" s="65"/>
      <c r="N1042" s="65"/>
      <c r="O1042" s="65"/>
    </row>
    <row r="1043" spans="12:15" x14ac:dyDescent="0.25">
      <c r="L1043" s="65"/>
      <c r="M1043" s="65"/>
      <c r="N1043" s="65"/>
      <c r="O1043" s="65"/>
    </row>
    <row r="1044" spans="12:15" x14ac:dyDescent="0.25">
      <c r="L1044" s="65"/>
      <c r="M1044" s="65"/>
      <c r="N1044" s="65"/>
      <c r="O1044" s="65"/>
    </row>
    <row r="1045" spans="12:15" x14ac:dyDescent="0.25">
      <c r="L1045" s="65"/>
      <c r="M1045" s="65"/>
      <c r="N1045" s="65"/>
      <c r="O1045" s="65"/>
    </row>
    <row r="1046" spans="12:15" x14ac:dyDescent="0.25">
      <c r="L1046" s="65"/>
      <c r="M1046" s="65"/>
      <c r="N1046" s="65"/>
      <c r="O1046" s="65"/>
    </row>
    <row r="1047" spans="12:15" x14ac:dyDescent="0.25">
      <c r="L1047" s="65"/>
      <c r="M1047" s="65"/>
      <c r="N1047" s="65"/>
      <c r="O1047" s="65"/>
    </row>
    <row r="1048" spans="12:15" x14ac:dyDescent="0.25">
      <c r="L1048" s="65"/>
      <c r="M1048" s="65"/>
      <c r="N1048" s="65"/>
      <c r="O1048" s="65"/>
    </row>
    <row r="1049" spans="12:15" x14ac:dyDescent="0.25">
      <c r="L1049" s="65"/>
      <c r="M1049" s="65"/>
      <c r="N1049" s="65"/>
      <c r="O1049" s="65"/>
    </row>
    <row r="1050" spans="12:15" x14ac:dyDescent="0.25">
      <c r="L1050" s="65"/>
      <c r="M1050" s="65"/>
      <c r="N1050" s="65"/>
      <c r="O1050" s="65"/>
    </row>
    <row r="1051" spans="12:15" x14ac:dyDescent="0.25">
      <c r="L1051" s="65"/>
      <c r="M1051" s="65"/>
      <c r="N1051" s="65"/>
      <c r="O1051" s="65"/>
    </row>
    <row r="1052" spans="12:15" x14ac:dyDescent="0.25">
      <c r="L1052" s="65"/>
      <c r="M1052" s="65"/>
      <c r="N1052" s="65"/>
      <c r="O1052" s="65"/>
    </row>
    <row r="1053" spans="12:15" x14ac:dyDescent="0.25">
      <c r="L1053" s="65"/>
      <c r="M1053" s="65"/>
      <c r="N1053" s="65"/>
      <c r="O1053" s="65"/>
    </row>
    <row r="1054" spans="12:15" x14ac:dyDescent="0.25">
      <c r="L1054" s="65"/>
      <c r="M1054" s="65"/>
      <c r="N1054" s="65"/>
      <c r="O1054" s="65"/>
    </row>
    <row r="1055" spans="12:15" x14ac:dyDescent="0.25">
      <c r="L1055" s="65"/>
      <c r="M1055" s="65"/>
      <c r="N1055" s="65"/>
      <c r="O1055" s="65"/>
    </row>
    <row r="1056" spans="12:15" x14ac:dyDescent="0.25">
      <c r="L1056" s="65"/>
      <c r="M1056" s="65"/>
      <c r="N1056" s="65"/>
      <c r="O1056" s="65"/>
    </row>
    <row r="1057" spans="12:15" x14ac:dyDescent="0.25">
      <c r="L1057" s="65"/>
      <c r="M1057" s="65"/>
      <c r="N1057" s="65"/>
      <c r="O1057" s="65"/>
    </row>
    <row r="1058" spans="12:15" x14ac:dyDescent="0.25">
      <c r="L1058" s="65"/>
      <c r="M1058" s="65"/>
      <c r="N1058" s="65"/>
      <c r="O1058" s="65"/>
    </row>
    <row r="1059" spans="12:15" x14ac:dyDescent="0.25">
      <c r="L1059" s="65"/>
      <c r="M1059" s="65"/>
      <c r="N1059" s="65"/>
      <c r="O1059" s="65"/>
    </row>
    <row r="1060" spans="12:15" x14ac:dyDescent="0.25">
      <c r="L1060" s="65"/>
      <c r="M1060" s="65"/>
      <c r="N1060" s="65"/>
      <c r="O1060" s="65"/>
    </row>
    <row r="1061" spans="12:15" x14ac:dyDescent="0.25">
      <c r="L1061" s="65"/>
      <c r="M1061" s="65"/>
      <c r="N1061" s="65"/>
      <c r="O1061" s="65"/>
    </row>
    <row r="1062" spans="12:15" x14ac:dyDescent="0.25">
      <c r="L1062" s="65"/>
      <c r="M1062" s="65"/>
      <c r="N1062" s="65"/>
      <c r="O1062" s="65"/>
    </row>
    <row r="1063" spans="12:15" x14ac:dyDescent="0.25">
      <c r="L1063" s="65"/>
      <c r="M1063" s="65"/>
      <c r="N1063" s="65"/>
      <c r="O1063" s="65"/>
    </row>
    <row r="1064" spans="12:15" x14ac:dyDescent="0.25">
      <c r="L1064" s="65"/>
      <c r="M1064" s="65"/>
      <c r="N1064" s="65"/>
      <c r="O1064" s="65"/>
    </row>
    <row r="1065" spans="12:15" x14ac:dyDescent="0.25">
      <c r="L1065" s="65"/>
      <c r="M1065" s="65"/>
      <c r="N1065" s="65"/>
      <c r="O1065" s="65"/>
    </row>
    <row r="1066" spans="12:15" x14ac:dyDescent="0.25">
      <c r="L1066" s="65"/>
      <c r="M1066" s="65"/>
      <c r="N1066" s="65"/>
      <c r="O1066" s="65"/>
    </row>
    <row r="1067" spans="12:15" x14ac:dyDescent="0.25">
      <c r="L1067" s="65"/>
      <c r="M1067" s="65"/>
      <c r="N1067" s="65"/>
      <c r="O1067" s="65"/>
    </row>
    <row r="1068" spans="12:15" x14ac:dyDescent="0.25">
      <c r="L1068" s="65"/>
      <c r="M1068" s="65"/>
      <c r="N1068" s="65"/>
      <c r="O1068" s="65"/>
    </row>
    <row r="1069" spans="12:15" x14ac:dyDescent="0.25">
      <c r="L1069" s="65"/>
      <c r="M1069" s="65"/>
      <c r="N1069" s="65"/>
      <c r="O1069" s="65"/>
    </row>
    <row r="1070" spans="12:15" x14ac:dyDescent="0.25">
      <c r="L1070" s="65"/>
      <c r="M1070" s="65"/>
      <c r="N1070" s="65"/>
      <c r="O1070" s="65"/>
    </row>
    <row r="1071" spans="12:15" x14ac:dyDescent="0.25">
      <c r="L1071" s="65"/>
      <c r="M1071" s="65"/>
      <c r="N1071" s="65"/>
      <c r="O1071" s="65"/>
    </row>
    <row r="1072" spans="12:15" x14ac:dyDescent="0.25">
      <c r="L1072" s="65"/>
      <c r="M1072" s="65"/>
      <c r="N1072" s="65"/>
      <c r="O1072" s="65"/>
    </row>
    <row r="1073" spans="12:15" x14ac:dyDescent="0.25">
      <c r="L1073" s="65"/>
      <c r="M1073" s="65"/>
      <c r="N1073" s="65"/>
      <c r="O1073" s="65"/>
    </row>
    <row r="1074" spans="12:15" x14ac:dyDescent="0.25">
      <c r="L1074" s="65"/>
      <c r="M1074" s="65"/>
      <c r="N1074" s="65"/>
      <c r="O1074" s="65"/>
    </row>
    <row r="1075" spans="12:15" x14ac:dyDescent="0.25">
      <c r="L1075" s="65"/>
      <c r="M1075" s="65"/>
      <c r="N1075" s="65"/>
      <c r="O1075" s="65"/>
    </row>
    <row r="1076" spans="12:15" x14ac:dyDescent="0.25">
      <c r="L1076" s="65"/>
      <c r="M1076" s="65"/>
      <c r="N1076" s="65"/>
      <c r="O1076" s="65"/>
    </row>
    <row r="1077" spans="12:15" x14ac:dyDescent="0.25">
      <c r="L1077" s="65"/>
      <c r="M1077" s="65"/>
      <c r="N1077" s="65"/>
      <c r="O1077" s="65"/>
    </row>
    <row r="1078" spans="12:15" x14ac:dyDescent="0.25">
      <c r="L1078" s="65"/>
      <c r="M1078" s="65"/>
      <c r="N1078" s="65"/>
      <c r="O1078" s="65"/>
    </row>
    <row r="1079" spans="12:15" x14ac:dyDescent="0.25">
      <c r="L1079" s="65"/>
      <c r="M1079" s="65"/>
      <c r="N1079" s="65"/>
      <c r="O1079" s="65"/>
    </row>
    <row r="1080" spans="12:15" x14ac:dyDescent="0.25">
      <c r="L1080" s="65"/>
      <c r="M1080" s="65"/>
      <c r="N1080" s="65"/>
      <c r="O1080" s="65"/>
    </row>
    <row r="1081" spans="12:15" x14ac:dyDescent="0.25">
      <c r="L1081" s="65"/>
      <c r="M1081" s="65"/>
      <c r="N1081" s="65"/>
      <c r="O1081" s="65"/>
    </row>
    <row r="1082" spans="12:15" x14ac:dyDescent="0.25">
      <c r="L1082" s="65"/>
      <c r="M1082" s="65"/>
      <c r="N1082" s="65"/>
      <c r="O1082" s="65"/>
    </row>
    <row r="1083" spans="12:15" x14ac:dyDescent="0.25">
      <c r="L1083" s="65"/>
      <c r="M1083" s="65"/>
      <c r="N1083" s="65"/>
      <c r="O1083" s="65"/>
    </row>
    <row r="1084" spans="12:15" x14ac:dyDescent="0.25">
      <c r="L1084" s="65"/>
      <c r="M1084" s="65"/>
      <c r="N1084" s="65"/>
      <c r="O1084" s="65"/>
    </row>
    <row r="1085" spans="12:15" x14ac:dyDescent="0.25">
      <c r="L1085" s="65"/>
      <c r="M1085" s="65"/>
      <c r="N1085" s="65"/>
      <c r="O1085" s="65"/>
    </row>
    <row r="1086" spans="12:15" x14ac:dyDescent="0.25">
      <c r="L1086" s="65"/>
      <c r="M1086" s="65"/>
      <c r="N1086" s="65"/>
      <c r="O1086" s="65"/>
    </row>
    <row r="1087" spans="12:15" x14ac:dyDescent="0.25">
      <c r="L1087" s="65"/>
      <c r="M1087" s="65"/>
      <c r="N1087" s="65"/>
      <c r="O1087" s="65"/>
    </row>
    <row r="1088" spans="12:15" x14ac:dyDescent="0.25">
      <c r="L1088" s="65"/>
      <c r="M1088" s="65"/>
      <c r="N1088" s="65"/>
      <c r="O1088" s="65"/>
    </row>
    <row r="1089" spans="12:15" x14ac:dyDescent="0.25">
      <c r="L1089" s="65"/>
      <c r="M1089" s="65"/>
      <c r="N1089" s="65"/>
      <c r="O1089" s="65"/>
    </row>
    <row r="1090" spans="12:15" x14ac:dyDescent="0.25">
      <c r="L1090" s="65"/>
      <c r="M1090" s="65"/>
      <c r="N1090" s="65"/>
      <c r="O1090" s="65"/>
    </row>
    <row r="1091" spans="12:15" x14ac:dyDescent="0.25">
      <c r="L1091" s="65"/>
      <c r="M1091" s="65"/>
      <c r="N1091" s="65"/>
      <c r="O1091" s="65"/>
    </row>
    <row r="1092" spans="12:15" x14ac:dyDescent="0.25">
      <c r="L1092" s="65"/>
      <c r="M1092" s="65"/>
      <c r="N1092" s="65"/>
      <c r="O1092" s="65"/>
    </row>
    <row r="1093" spans="12:15" x14ac:dyDescent="0.25">
      <c r="L1093" s="65"/>
      <c r="M1093" s="65"/>
      <c r="N1093" s="65"/>
      <c r="O1093" s="65"/>
    </row>
    <row r="1094" spans="12:15" x14ac:dyDescent="0.25">
      <c r="L1094" s="65"/>
      <c r="M1094" s="65"/>
      <c r="N1094" s="65"/>
      <c r="O1094" s="65"/>
    </row>
    <row r="1095" spans="12:15" x14ac:dyDescent="0.25">
      <c r="L1095" s="65"/>
      <c r="M1095" s="65"/>
      <c r="N1095" s="65"/>
      <c r="O1095" s="65"/>
    </row>
    <row r="1096" spans="12:15" x14ac:dyDescent="0.25">
      <c r="L1096" s="65"/>
      <c r="M1096" s="65"/>
      <c r="N1096" s="65"/>
      <c r="O1096" s="65"/>
    </row>
    <row r="1097" spans="12:15" x14ac:dyDescent="0.25">
      <c r="L1097" s="65"/>
      <c r="M1097" s="65"/>
      <c r="N1097" s="65"/>
      <c r="O1097" s="65"/>
    </row>
    <row r="1098" spans="12:15" x14ac:dyDescent="0.25">
      <c r="L1098" s="65"/>
      <c r="M1098" s="65"/>
      <c r="N1098" s="65"/>
      <c r="O1098" s="65"/>
    </row>
    <row r="1099" spans="12:15" x14ac:dyDescent="0.25">
      <c r="L1099" s="65"/>
      <c r="M1099" s="65"/>
      <c r="N1099" s="65"/>
      <c r="O1099" s="65"/>
    </row>
    <row r="1100" spans="12:15" x14ac:dyDescent="0.25">
      <c r="L1100" s="65"/>
      <c r="M1100" s="65"/>
      <c r="N1100" s="65"/>
      <c r="O1100" s="65"/>
    </row>
    <row r="1101" spans="12:15" x14ac:dyDescent="0.25">
      <c r="L1101" s="65"/>
      <c r="M1101" s="65"/>
      <c r="N1101" s="65"/>
      <c r="O1101" s="65"/>
    </row>
    <row r="1102" spans="12:15" x14ac:dyDescent="0.25">
      <c r="L1102" s="65"/>
      <c r="M1102" s="65"/>
      <c r="N1102" s="65"/>
      <c r="O1102" s="65"/>
    </row>
    <row r="1103" spans="12:15" x14ac:dyDescent="0.25">
      <c r="L1103" s="65"/>
      <c r="M1103" s="65"/>
      <c r="N1103" s="65"/>
      <c r="O1103" s="65"/>
    </row>
    <row r="1104" spans="12:15" x14ac:dyDescent="0.25">
      <c r="L1104" s="65"/>
      <c r="M1104" s="65"/>
      <c r="N1104" s="65"/>
      <c r="O1104" s="65"/>
    </row>
    <row r="1105" spans="12:15" x14ac:dyDescent="0.25">
      <c r="L1105" s="65"/>
      <c r="M1105" s="65"/>
      <c r="N1105" s="65"/>
      <c r="O1105" s="65"/>
    </row>
    <row r="1106" spans="12:15" x14ac:dyDescent="0.25">
      <c r="L1106" s="65"/>
      <c r="M1106" s="65"/>
      <c r="N1106" s="65"/>
      <c r="O1106" s="65"/>
    </row>
    <row r="1107" spans="12:15" x14ac:dyDescent="0.25">
      <c r="L1107" s="65"/>
      <c r="M1107" s="65"/>
      <c r="N1107" s="65"/>
      <c r="O1107" s="65"/>
    </row>
    <row r="1108" spans="12:15" x14ac:dyDescent="0.25">
      <c r="L1108" s="65"/>
      <c r="M1108" s="65"/>
      <c r="N1108" s="65"/>
      <c r="O1108" s="65"/>
    </row>
    <row r="1109" spans="12:15" x14ac:dyDescent="0.25">
      <c r="L1109" s="65"/>
      <c r="M1109" s="65"/>
      <c r="N1109" s="65"/>
      <c r="O1109" s="65"/>
    </row>
    <row r="1110" spans="12:15" x14ac:dyDescent="0.25">
      <c r="L1110" s="65"/>
      <c r="M1110" s="65"/>
      <c r="N1110" s="65"/>
      <c r="O1110" s="65"/>
    </row>
    <row r="1111" spans="12:15" x14ac:dyDescent="0.25">
      <c r="L1111" s="65"/>
      <c r="M1111" s="65"/>
      <c r="N1111" s="65"/>
      <c r="O1111" s="65"/>
    </row>
    <row r="1112" spans="12:15" x14ac:dyDescent="0.25">
      <c r="L1112" s="65"/>
      <c r="M1112" s="65"/>
      <c r="N1112" s="65"/>
      <c r="O1112" s="65"/>
    </row>
    <row r="1113" spans="12:15" x14ac:dyDescent="0.25">
      <c r="L1113" s="65"/>
      <c r="M1113" s="65"/>
      <c r="N1113" s="65"/>
      <c r="O1113" s="65"/>
    </row>
    <row r="1114" spans="12:15" x14ac:dyDescent="0.25">
      <c r="L1114" s="65"/>
      <c r="M1114" s="65"/>
      <c r="N1114" s="65"/>
      <c r="O1114" s="65"/>
    </row>
    <row r="1115" spans="12:15" x14ac:dyDescent="0.25">
      <c r="L1115" s="65"/>
      <c r="M1115" s="65"/>
      <c r="N1115" s="65"/>
      <c r="O1115" s="65"/>
    </row>
    <row r="1116" spans="12:15" x14ac:dyDescent="0.25">
      <c r="L1116" s="65"/>
      <c r="M1116" s="65"/>
      <c r="N1116" s="65"/>
      <c r="O1116" s="65"/>
    </row>
    <row r="1117" spans="12:15" x14ac:dyDescent="0.25">
      <c r="L1117" s="65"/>
      <c r="M1117" s="65"/>
      <c r="N1117" s="65"/>
      <c r="O1117" s="65"/>
    </row>
    <row r="1118" spans="12:15" x14ac:dyDescent="0.25">
      <c r="L1118" s="65"/>
      <c r="M1118" s="65"/>
      <c r="N1118" s="65"/>
      <c r="O1118" s="65"/>
    </row>
    <row r="1119" spans="12:15" x14ac:dyDescent="0.25">
      <c r="L1119" s="65"/>
      <c r="M1119" s="65"/>
      <c r="N1119" s="65"/>
      <c r="O1119" s="65"/>
    </row>
    <row r="1120" spans="12:15" x14ac:dyDescent="0.25">
      <c r="L1120" s="65"/>
      <c r="M1120" s="65"/>
      <c r="N1120" s="65"/>
      <c r="O1120" s="65"/>
    </row>
    <row r="1121" spans="12:15" x14ac:dyDescent="0.25">
      <c r="L1121" s="65"/>
      <c r="M1121" s="65"/>
      <c r="N1121" s="65"/>
      <c r="O1121" s="65"/>
    </row>
    <row r="1122" spans="12:15" x14ac:dyDescent="0.25">
      <c r="L1122" s="65"/>
      <c r="M1122" s="65"/>
      <c r="N1122" s="65"/>
      <c r="O1122" s="65"/>
    </row>
    <row r="1123" spans="12:15" x14ac:dyDescent="0.25">
      <c r="L1123" s="65"/>
      <c r="M1123" s="65"/>
      <c r="N1123" s="65"/>
      <c r="O1123" s="65"/>
    </row>
    <row r="1124" spans="12:15" x14ac:dyDescent="0.25">
      <c r="L1124" s="65"/>
      <c r="M1124" s="65"/>
      <c r="N1124" s="65"/>
      <c r="O1124" s="65"/>
    </row>
    <row r="1125" spans="12:15" x14ac:dyDescent="0.25">
      <c r="L1125" s="65"/>
      <c r="M1125" s="65"/>
      <c r="N1125" s="65"/>
      <c r="O1125" s="65"/>
    </row>
    <row r="1126" spans="12:15" x14ac:dyDescent="0.25">
      <c r="L1126" s="65"/>
      <c r="M1126" s="65"/>
      <c r="N1126" s="65"/>
      <c r="O1126" s="65"/>
    </row>
    <row r="1127" spans="12:15" x14ac:dyDescent="0.25">
      <c r="L1127" s="65"/>
      <c r="M1127" s="65"/>
      <c r="N1127" s="65"/>
      <c r="O1127" s="65"/>
    </row>
    <row r="1128" spans="12:15" x14ac:dyDescent="0.25">
      <c r="L1128" s="65"/>
      <c r="M1128" s="65"/>
      <c r="N1128" s="65"/>
      <c r="O1128" s="65"/>
    </row>
    <row r="1129" spans="12:15" x14ac:dyDescent="0.25">
      <c r="L1129" s="65"/>
      <c r="M1129" s="65"/>
      <c r="N1129" s="65"/>
      <c r="O1129" s="65"/>
    </row>
    <row r="1130" spans="12:15" x14ac:dyDescent="0.25">
      <c r="L1130" s="65"/>
      <c r="M1130" s="65"/>
      <c r="N1130" s="65"/>
      <c r="O1130" s="65"/>
    </row>
    <row r="1131" spans="12:15" x14ac:dyDescent="0.25">
      <c r="L1131" s="65"/>
      <c r="M1131" s="65"/>
      <c r="N1131" s="65"/>
      <c r="O1131" s="65"/>
    </row>
    <row r="1132" spans="12:15" x14ac:dyDescent="0.25">
      <c r="L1132" s="65"/>
      <c r="M1132" s="65"/>
      <c r="N1132" s="65"/>
      <c r="O1132" s="65"/>
    </row>
    <row r="1133" spans="12:15" x14ac:dyDescent="0.25">
      <c r="L1133" s="65"/>
      <c r="M1133" s="65"/>
      <c r="N1133" s="65"/>
      <c r="O1133" s="65"/>
    </row>
    <row r="1134" spans="12:15" x14ac:dyDescent="0.25">
      <c r="L1134" s="65"/>
      <c r="M1134" s="65"/>
      <c r="N1134" s="65"/>
      <c r="O1134" s="65"/>
    </row>
    <row r="1135" spans="12:15" x14ac:dyDescent="0.25">
      <c r="L1135" s="65"/>
      <c r="M1135" s="65"/>
      <c r="N1135" s="65"/>
      <c r="O1135" s="65"/>
    </row>
    <row r="1136" spans="12:15" x14ac:dyDescent="0.25">
      <c r="L1136" s="65"/>
      <c r="M1136" s="65"/>
      <c r="N1136" s="65"/>
      <c r="O1136" s="65"/>
    </row>
    <row r="1137" spans="12:15" x14ac:dyDescent="0.25">
      <c r="L1137" s="65"/>
      <c r="M1137" s="65"/>
      <c r="N1137" s="65"/>
      <c r="O1137" s="65"/>
    </row>
    <row r="1138" spans="12:15" x14ac:dyDescent="0.25">
      <c r="L1138" s="65"/>
      <c r="M1138" s="65"/>
      <c r="N1138" s="65"/>
      <c r="O1138" s="65"/>
    </row>
    <row r="1139" spans="12:15" x14ac:dyDescent="0.25">
      <c r="L1139" s="65"/>
      <c r="M1139" s="65"/>
      <c r="N1139" s="65"/>
      <c r="O1139" s="65"/>
    </row>
    <row r="1140" spans="12:15" x14ac:dyDescent="0.25">
      <c r="L1140" s="65"/>
      <c r="M1140" s="65"/>
      <c r="N1140" s="65"/>
      <c r="O1140" s="65"/>
    </row>
    <row r="1141" spans="12:15" x14ac:dyDescent="0.25">
      <c r="L1141" s="65"/>
      <c r="M1141" s="65"/>
      <c r="N1141" s="65"/>
      <c r="O1141" s="65"/>
    </row>
    <row r="1142" spans="12:15" x14ac:dyDescent="0.25">
      <c r="L1142" s="65"/>
      <c r="M1142" s="65"/>
      <c r="N1142" s="65"/>
      <c r="O1142" s="65"/>
    </row>
    <row r="1143" spans="12:15" x14ac:dyDescent="0.25">
      <c r="L1143" s="65"/>
      <c r="M1143" s="65"/>
      <c r="N1143" s="65"/>
      <c r="O1143" s="65"/>
    </row>
    <row r="1144" spans="12:15" x14ac:dyDescent="0.25">
      <c r="L1144" s="65"/>
      <c r="M1144" s="65"/>
      <c r="N1144" s="65"/>
      <c r="O1144" s="65"/>
    </row>
    <row r="1145" spans="12:15" x14ac:dyDescent="0.25">
      <c r="L1145" s="65"/>
      <c r="M1145" s="65"/>
      <c r="N1145" s="65"/>
      <c r="O1145" s="65"/>
    </row>
    <row r="1146" spans="12:15" x14ac:dyDescent="0.25">
      <c r="L1146" s="65"/>
      <c r="M1146" s="65"/>
      <c r="N1146" s="65"/>
      <c r="O1146" s="65"/>
    </row>
    <row r="1147" spans="12:15" x14ac:dyDescent="0.25">
      <c r="L1147" s="65"/>
      <c r="M1147" s="65"/>
      <c r="N1147" s="65"/>
      <c r="O1147" s="65"/>
    </row>
    <row r="1148" spans="12:15" x14ac:dyDescent="0.25">
      <c r="L1148" s="65"/>
      <c r="M1148" s="65"/>
      <c r="N1148" s="65"/>
      <c r="O1148" s="65"/>
    </row>
    <row r="1149" spans="12:15" x14ac:dyDescent="0.25">
      <c r="L1149" s="65"/>
      <c r="M1149" s="65"/>
      <c r="N1149" s="65"/>
      <c r="O1149" s="65"/>
    </row>
    <row r="1150" spans="12:15" x14ac:dyDescent="0.25">
      <c r="L1150" s="65"/>
      <c r="M1150" s="65"/>
      <c r="N1150" s="65"/>
      <c r="O1150" s="65"/>
    </row>
    <row r="1151" spans="12:15" x14ac:dyDescent="0.25">
      <c r="L1151" s="65"/>
      <c r="M1151" s="65"/>
      <c r="N1151" s="65"/>
      <c r="O1151" s="65"/>
    </row>
    <row r="1152" spans="12:15" x14ac:dyDescent="0.25">
      <c r="L1152" s="65"/>
      <c r="M1152" s="65"/>
      <c r="N1152" s="65"/>
      <c r="O1152" s="65"/>
    </row>
    <row r="1153" spans="12:15" x14ac:dyDescent="0.25">
      <c r="L1153" s="65"/>
      <c r="M1153" s="65"/>
      <c r="N1153" s="65"/>
      <c r="O1153" s="65"/>
    </row>
    <row r="1154" spans="12:15" x14ac:dyDescent="0.25">
      <c r="L1154" s="65"/>
      <c r="M1154" s="65"/>
      <c r="N1154" s="65"/>
      <c r="O1154" s="65"/>
    </row>
    <row r="1155" spans="12:15" x14ac:dyDescent="0.25">
      <c r="L1155" s="65"/>
      <c r="M1155" s="65"/>
      <c r="N1155" s="65"/>
      <c r="O1155" s="65"/>
    </row>
    <row r="1156" spans="12:15" x14ac:dyDescent="0.25">
      <c r="L1156" s="65"/>
      <c r="M1156" s="65"/>
      <c r="N1156" s="65"/>
      <c r="O1156" s="65"/>
    </row>
    <row r="1157" spans="12:15" x14ac:dyDescent="0.25">
      <c r="L1157" s="65"/>
      <c r="M1157" s="65"/>
      <c r="N1157" s="65"/>
      <c r="O1157" s="65"/>
    </row>
    <row r="1158" spans="12:15" x14ac:dyDescent="0.25">
      <c r="L1158" s="65"/>
      <c r="M1158" s="65"/>
      <c r="N1158" s="65"/>
      <c r="O1158" s="65"/>
    </row>
    <row r="1159" spans="12:15" x14ac:dyDescent="0.25">
      <c r="L1159" s="65"/>
      <c r="M1159" s="65"/>
      <c r="N1159" s="65"/>
      <c r="O1159" s="65"/>
    </row>
    <row r="1160" spans="12:15" x14ac:dyDescent="0.25">
      <c r="L1160" s="65"/>
      <c r="M1160" s="65"/>
      <c r="N1160" s="65"/>
      <c r="O1160" s="65"/>
    </row>
    <row r="1161" spans="12:15" x14ac:dyDescent="0.25">
      <c r="L1161" s="65"/>
      <c r="M1161" s="65"/>
      <c r="N1161" s="65"/>
      <c r="O1161" s="65"/>
    </row>
    <row r="1162" spans="12:15" x14ac:dyDescent="0.25">
      <c r="L1162" s="65"/>
      <c r="M1162" s="65"/>
      <c r="N1162" s="65"/>
      <c r="O1162" s="65"/>
    </row>
    <row r="1163" spans="12:15" x14ac:dyDescent="0.25">
      <c r="L1163" s="65"/>
      <c r="M1163" s="65"/>
      <c r="N1163" s="65"/>
      <c r="O1163" s="65"/>
    </row>
    <row r="1164" spans="12:15" x14ac:dyDescent="0.25">
      <c r="L1164" s="65"/>
      <c r="M1164" s="65"/>
      <c r="N1164" s="65"/>
      <c r="O1164" s="65"/>
    </row>
    <row r="1165" spans="12:15" x14ac:dyDescent="0.25">
      <c r="L1165" s="65"/>
      <c r="M1165" s="65"/>
      <c r="N1165" s="65"/>
      <c r="O1165" s="65"/>
    </row>
    <row r="1166" spans="12:15" x14ac:dyDescent="0.25">
      <c r="L1166" s="65"/>
      <c r="M1166" s="65"/>
      <c r="N1166" s="65"/>
      <c r="O1166" s="65"/>
    </row>
    <row r="1167" spans="12:15" x14ac:dyDescent="0.25">
      <c r="L1167" s="65"/>
      <c r="M1167" s="65"/>
      <c r="N1167" s="65"/>
      <c r="O1167" s="65"/>
    </row>
    <row r="1168" spans="12:15" x14ac:dyDescent="0.25">
      <c r="L1168" s="65"/>
      <c r="M1168" s="65"/>
      <c r="N1168" s="65"/>
      <c r="O1168" s="65"/>
    </row>
    <row r="1169" spans="12:15" x14ac:dyDescent="0.25">
      <c r="L1169" s="65"/>
      <c r="M1169" s="65"/>
      <c r="N1169" s="65"/>
      <c r="O1169" s="65"/>
    </row>
    <row r="1170" spans="12:15" x14ac:dyDescent="0.25">
      <c r="L1170" s="65"/>
      <c r="M1170" s="65"/>
      <c r="N1170" s="65"/>
      <c r="O1170" s="65"/>
    </row>
    <row r="1171" spans="12:15" x14ac:dyDescent="0.25">
      <c r="L1171" s="65"/>
      <c r="M1171" s="65"/>
      <c r="N1171" s="65"/>
      <c r="O1171" s="65"/>
    </row>
    <row r="1172" spans="12:15" x14ac:dyDescent="0.25">
      <c r="L1172" s="65"/>
      <c r="M1172" s="65"/>
      <c r="N1172" s="65"/>
      <c r="O1172" s="65"/>
    </row>
    <row r="1173" spans="12:15" x14ac:dyDescent="0.25">
      <c r="L1173" s="65"/>
      <c r="M1173" s="65"/>
      <c r="N1173" s="65"/>
      <c r="O1173" s="65"/>
    </row>
    <row r="1174" spans="12:15" x14ac:dyDescent="0.25">
      <c r="L1174" s="65"/>
      <c r="M1174" s="65"/>
      <c r="N1174" s="65"/>
      <c r="O1174" s="65"/>
    </row>
    <row r="1175" spans="12:15" x14ac:dyDescent="0.25">
      <c r="L1175" s="65"/>
      <c r="M1175" s="65"/>
      <c r="N1175" s="65"/>
      <c r="O1175" s="65"/>
    </row>
    <row r="1176" spans="12:15" x14ac:dyDescent="0.25">
      <c r="L1176" s="65"/>
      <c r="M1176" s="65"/>
      <c r="N1176" s="65"/>
      <c r="O1176" s="65"/>
    </row>
    <row r="1177" spans="12:15" x14ac:dyDescent="0.25">
      <c r="L1177" s="65"/>
      <c r="M1177" s="65"/>
      <c r="N1177" s="65"/>
      <c r="O1177" s="65"/>
    </row>
    <row r="1178" spans="12:15" x14ac:dyDescent="0.25">
      <c r="L1178" s="65"/>
      <c r="M1178" s="65"/>
      <c r="N1178" s="65"/>
      <c r="O1178" s="65"/>
    </row>
    <row r="1179" spans="12:15" x14ac:dyDescent="0.25">
      <c r="L1179" s="65"/>
      <c r="M1179" s="65"/>
      <c r="N1179" s="65"/>
      <c r="O1179" s="65"/>
    </row>
    <row r="1180" spans="12:15" x14ac:dyDescent="0.25">
      <c r="L1180" s="65"/>
      <c r="M1180" s="65"/>
      <c r="N1180" s="65"/>
      <c r="O1180" s="65"/>
    </row>
    <row r="1181" spans="12:15" x14ac:dyDescent="0.25">
      <c r="L1181" s="65"/>
      <c r="M1181" s="65"/>
      <c r="N1181" s="65"/>
      <c r="O1181" s="65"/>
    </row>
    <row r="1182" spans="12:15" x14ac:dyDescent="0.25">
      <c r="L1182" s="65"/>
      <c r="M1182" s="65"/>
      <c r="N1182" s="65"/>
      <c r="O1182" s="65"/>
    </row>
    <row r="1183" spans="12:15" x14ac:dyDescent="0.25">
      <c r="L1183" s="65"/>
      <c r="M1183" s="65"/>
      <c r="N1183" s="65"/>
      <c r="O1183" s="65"/>
    </row>
    <row r="1184" spans="12:15" x14ac:dyDescent="0.25">
      <c r="L1184" s="65"/>
      <c r="M1184" s="65"/>
      <c r="N1184" s="65"/>
      <c r="O1184" s="65"/>
    </row>
    <row r="1185" spans="12:15" x14ac:dyDescent="0.25">
      <c r="L1185" s="65"/>
      <c r="M1185" s="65"/>
      <c r="N1185" s="65"/>
      <c r="O1185" s="65"/>
    </row>
    <row r="1186" spans="12:15" x14ac:dyDescent="0.25">
      <c r="L1186" s="65"/>
      <c r="M1186" s="65"/>
      <c r="N1186" s="65"/>
      <c r="O1186" s="65"/>
    </row>
    <row r="1187" spans="12:15" x14ac:dyDescent="0.25">
      <c r="L1187" s="65"/>
      <c r="M1187" s="65"/>
      <c r="N1187" s="65"/>
      <c r="O1187" s="65"/>
    </row>
    <row r="1188" spans="12:15" x14ac:dyDescent="0.25">
      <c r="L1188" s="65"/>
      <c r="M1188" s="65"/>
      <c r="N1188" s="65"/>
      <c r="O1188" s="65"/>
    </row>
    <row r="1189" spans="12:15" x14ac:dyDescent="0.25">
      <c r="L1189" s="65"/>
      <c r="M1189" s="65"/>
      <c r="N1189" s="65"/>
      <c r="O1189" s="65"/>
    </row>
    <row r="1190" spans="12:15" x14ac:dyDescent="0.25">
      <c r="L1190" s="65"/>
      <c r="M1190" s="65"/>
      <c r="N1190" s="65"/>
      <c r="O1190" s="65"/>
    </row>
    <row r="1191" spans="12:15" x14ac:dyDescent="0.25">
      <c r="L1191" s="65"/>
      <c r="M1191" s="65"/>
      <c r="N1191" s="65"/>
      <c r="O1191" s="65"/>
    </row>
    <row r="1192" spans="12:15" x14ac:dyDescent="0.25">
      <c r="L1192" s="65"/>
      <c r="M1192" s="65"/>
      <c r="N1192" s="65"/>
      <c r="O1192" s="65"/>
    </row>
    <row r="1193" spans="12:15" x14ac:dyDescent="0.25">
      <c r="L1193" s="65"/>
      <c r="M1193" s="65"/>
      <c r="N1193" s="65"/>
      <c r="O1193" s="65"/>
    </row>
    <row r="1194" spans="12:15" x14ac:dyDescent="0.25">
      <c r="L1194" s="65"/>
      <c r="M1194" s="65"/>
      <c r="N1194" s="65"/>
      <c r="O1194" s="65"/>
    </row>
    <row r="1195" spans="12:15" x14ac:dyDescent="0.25">
      <c r="L1195" s="65"/>
      <c r="M1195" s="65"/>
      <c r="N1195" s="65"/>
      <c r="O1195" s="65"/>
    </row>
    <row r="1196" spans="12:15" x14ac:dyDescent="0.25">
      <c r="L1196" s="65"/>
      <c r="M1196" s="65"/>
      <c r="N1196" s="65"/>
      <c r="O1196" s="65"/>
    </row>
    <row r="1197" spans="12:15" x14ac:dyDescent="0.25">
      <c r="L1197" s="65"/>
      <c r="M1197" s="65"/>
      <c r="N1197" s="65"/>
      <c r="O1197" s="65"/>
    </row>
    <row r="1198" spans="12:15" x14ac:dyDescent="0.25">
      <c r="L1198" s="65"/>
      <c r="M1198" s="65"/>
      <c r="N1198" s="65"/>
      <c r="O1198" s="65"/>
    </row>
    <row r="1199" spans="12:15" x14ac:dyDescent="0.25">
      <c r="L1199" s="65"/>
      <c r="M1199" s="65"/>
      <c r="N1199" s="65"/>
      <c r="O1199" s="65"/>
    </row>
    <row r="1200" spans="12:15" x14ac:dyDescent="0.25">
      <c r="L1200" s="65"/>
      <c r="M1200" s="65"/>
      <c r="N1200" s="65"/>
      <c r="O1200" s="65"/>
    </row>
    <row r="1201" spans="12:15" x14ac:dyDescent="0.25">
      <c r="L1201" s="65"/>
      <c r="M1201" s="65"/>
      <c r="N1201" s="65"/>
      <c r="O1201" s="65"/>
    </row>
    <row r="1202" spans="12:15" x14ac:dyDescent="0.25">
      <c r="L1202" s="65"/>
      <c r="M1202" s="65"/>
      <c r="N1202" s="65"/>
      <c r="O1202" s="65"/>
    </row>
    <row r="1203" spans="12:15" x14ac:dyDescent="0.25">
      <c r="L1203" s="65"/>
      <c r="M1203" s="65"/>
      <c r="N1203" s="65"/>
      <c r="O1203" s="65"/>
    </row>
    <row r="1204" spans="12:15" x14ac:dyDescent="0.25">
      <c r="L1204" s="65"/>
      <c r="M1204" s="65"/>
      <c r="N1204" s="65"/>
      <c r="O1204" s="65"/>
    </row>
    <row r="1205" spans="12:15" x14ac:dyDescent="0.25">
      <c r="L1205" s="65"/>
      <c r="M1205" s="65"/>
      <c r="N1205" s="65"/>
      <c r="O1205" s="65"/>
    </row>
    <row r="1206" spans="12:15" x14ac:dyDescent="0.25">
      <c r="L1206" s="65"/>
      <c r="M1206" s="65"/>
      <c r="N1206" s="65"/>
      <c r="O1206" s="65"/>
    </row>
    <row r="1207" spans="12:15" x14ac:dyDescent="0.25">
      <c r="L1207" s="65"/>
      <c r="M1207" s="65"/>
      <c r="N1207" s="65"/>
      <c r="O1207" s="65"/>
    </row>
    <row r="1208" spans="12:15" x14ac:dyDescent="0.25">
      <c r="L1208" s="65"/>
      <c r="M1208" s="65"/>
      <c r="N1208" s="65"/>
      <c r="O1208" s="65"/>
    </row>
    <row r="1209" spans="12:15" x14ac:dyDescent="0.25">
      <c r="L1209" s="65"/>
      <c r="M1209" s="65"/>
      <c r="N1209" s="65"/>
      <c r="O1209" s="65"/>
    </row>
    <row r="1210" spans="12:15" x14ac:dyDescent="0.25">
      <c r="L1210" s="65"/>
      <c r="M1210" s="65"/>
      <c r="N1210" s="65"/>
      <c r="O1210" s="65"/>
    </row>
    <row r="1211" spans="12:15" x14ac:dyDescent="0.25">
      <c r="L1211" s="65"/>
      <c r="M1211" s="65"/>
      <c r="N1211" s="65"/>
      <c r="O1211" s="65"/>
    </row>
    <row r="1212" spans="12:15" x14ac:dyDescent="0.25">
      <c r="L1212" s="65"/>
      <c r="M1212" s="65"/>
      <c r="N1212" s="65"/>
      <c r="O1212" s="65"/>
    </row>
    <row r="1213" spans="12:15" x14ac:dyDescent="0.25">
      <c r="L1213" s="65"/>
      <c r="M1213" s="65"/>
      <c r="N1213" s="65"/>
      <c r="O1213" s="65"/>
    </row>
    <row r="1214" spans="12:15" x14ac:dyDescent="0.25">
      <c r="L1214" s="65"/>
      <c r="M1214" s="65"/>
      <c r="N1214" s="65"/>
      <c r="O1214" s="65"/>
    </row>
    <row r="1215" spans="12:15" x14ac:dyDescent="0.25">
      <c r="L1215" s="65"/>
      <c r="M1215" s="65"/>
      <c r="N1215" s="65"/>
      <c r="O1215" s="65"/>
    </row>
    <row r="1216" spans="12:15" x14ac:dyDescent="0.25">
      <c r="L1216" s="65"/>
      <c r="M1216" s="65"/>
      <c r="N1216" s="65"/>
      <c r="O1216" s="65"/>
    </row>
    <row r="1217" spans="12:15" x14ac:dyDescent="0.25">
      <c r="L1217" s="65"/>
      <c r="M1217" s="65"/>
      <c r="N1217" s="65"/>
      <c r="O1217" s="65"/>
    </row>
    <row r="1218" spans="12:15" x14ac:dyDescent="0.25">
      <c r="L1218" s="65"/>
      <c r="M1218" s="65"/>
      <c r="N1218" s="65"/>
      <c r="O1218" s="65"/>
    </row>
    <row r="1219" spans="12:15" x14ac:dyDescent="0.25">
      <c r="L1219" s="65"/>
      <c r="M1219" s="65"/>
      <c r="N1219" s="65"/>
      <c r="O1219" s="65"/>
    </row>
    <row r="1220" spans="12:15" x14ac:dyDescent="0.25">
      <c r="L1220" s="65"/>
      <c r="M1220" s="65"/>
      <c r="N1220" s="65"/>
      <c r="O1220" s="65"/>
    </row>
    <row r="1221" spans="12:15" x14ac:dyDescent="0.25">
      <c r="L1221" s="65"/>
      <c r="M1221" s="65"/>
      <c r="N1221" s="65"/>
      <c r="O1221" s="65"/>
    </row>
    <row r="1222" spans="12:15" x14ac:dyDescent="0.25">
      <c r="L1222" s="65"/>
      <c r="M1222" s="65"/>
      <c r="N1222" s="65"/>
      <c r="O1222" s="65"/>
    </row>
    <row r="1223" spans="12:15" x14ac:dyDescent="0.25">
      <c r="L1223" s="65"/>
      <c r="M1223" s="65"/>
      <c r="N1223" s="65"/>
      <c r="O1223" s="65"/>
    </row>
    <row r="1224" spans="12:15" x14ac:dyDescent="0.25">
      <c r="L1224" s="65"/>
      <c r="M1224" s="65"/>
      <c r="N1224" s="65"/>
      <c r="O1224" s="65"/>
    </row>
    <row r="1225" spans="12:15" x14ac:dyDescent="0.25">
      <c r="L1225" s="65"/>
      <c r="M1225" s="65"/>
      <c r="N1225" s="65"/>
      <c r="O1225" s="65"/>
    </row>
    <row r="1226" spans="12:15" x14ac:dyDescent="0.25">
      <c r="L1226" s="65"/>
      <c r="M1226" s="65"/>
      <c r="N1226" s="65"/>
      <c r="O1226" s="65"/>
    </row>
    <row r="1227" spans="12:15" x14ac:dyDescent="0.25">
      <c r="L1227" s="65"/>
      <c r="M1227" s="65"/>
      <c r="N1227" s="65"/>
      <c r="O1227" s="65"/>
    </row>
    <row r="1228" spans="12:15" x14ac:dyDescent="0.25">
      <c r="L1228" s="65"/>
      <c r="M1228" s="65"/>
      <c r="N1228" s="65"/>
      <c r="O1228" s="65"/>
    </row>
    <row r="1229" spans="12:15" x14ac:dyDescent="0.25">
      <c r="L1229" s="65"/>
      <c r="M1229" s="65"/>
      <c r="N1229" s="65"/>
      <c r="O1229" s="65"/>
    </row>
    <row r="1230" spans="12:15" x14ac:dyDescent="0.25">
      <c r="L1230" s="65"/>
      <c r="M1230" s="65"/>
      <c r="N1230" s="65"/>
      <c r="O1230" s="65"/>
    </row>
    <row r="1231" spans="12:15" x14ac:dyDescent="0.25">
      <c r="L1231" s="65"/>
      <c r="M1231" s="65"/>
      <c r="N1231" s="65"/>
      <c r="O1231" s="65"/>
    </row>
    <row r="1232" spans="12:15" x14ac:dyDescent="0.25">
      <c r="L1232" s="65"/>
      <c r="M1232" s="65"/>
      <c r="N1232" s="65"/>
      <c r="O1232" s="65"/>
    </row>
    <row r="1233" spans="12:15" x14ac:dyDescent="0.25">
      <c r="L1233" s="65"/>
      <c r="M1233" s="65"/>
      <c r="N1233" s="65"/>
      <c r="O1233" s="65"/>
    </row>
    <row r="1234" spans="12:15" x14ac:dyDescent="0.25">
      <c r="L1234" s="65"/>
      <c r="M1234" s="65"/>
      <c r="N1234" s="65"/>
      <c r="O1234" s="65"/>
    </row>
    <row r="1235" spans="12:15" x14ac:dyDescent="0.25">
      <c r="L1235" s="65"/>
      <c r="M1235" s="65"/>
      <c r="N1235" s="65"/>
      <c r="O1235" s="65"/>
    </row>
    <row r="1236" spans="12:15" x14ac:dyDescent="0.25">
      <c r="L1236" s="65"/>
      <c r="M1236" s="65"/>
      <c r="N1236" s="65"/>
      <c r="O1236" s="65"/>
    </row>
    <row r="1237" spans="12:15" x14ac:dyDescent="0.25">
      <c r="L1237" s="65"/>
      <c r="M1237" s="65"/>
      <c r="N1237" s="65"/>
      <c r="O1237" s="65"/>
    </row>
    <row r="1238" spans="12:15" x14ac:dyDescent="0.25">
      <c r="L1238" s="65"/>
      <c r="M1238" s="65"/>
      <c r="N1238" s="65"/>
      <c r="O1238" s="65"/>
    </row>
    <row r="1239" spans="12:15" x14ac:dyDescent="0.25">
      <c r="L1239" s="65"/>
      <c r="M1239" s="65"/>
      <c r="N1239" s="65"/>
      <c r="O1239" s="65"/>
    </row>
    <row r="1240" spans="12:15" x14ac:dyDescent="0.25">
      <c r="L1240" s="65"/>
      <c r="M1240" s="65"/>
      <c r="N1240" s="65"/>
      <c r="O1240" s="65"/>
    </row>
    <row r="1241" spans="12:15" x14ac:dyDescent="0.25">
      <c r="L1241" s="65"/>
      <c r="M1241" s="65"/>
      <c r="N1241" s="65"/>
      <c r="O1241" s="65"/>
    </row>
    <row r="1242" spans="12:15" x14ac:dyDescent="0.25">
      <c r="L1242" s="65"/>
      <c r="M1242" s="65"/>
      <c r="N1242" s="65"/>
      <c r="O1242" s="65"/>
    </row>
    <row r="1243" spans="12:15" x14ac:dyDescent="0.25">
      <c r="L1243" s="65"/>
      <c r="M1243" s="65"/>
      <c r="N1243" s="65"/>
      <c r="O1243" s="65"/>
    </row>
    <row r="1244" spans="12:15" x14ac:dyDescent="0.25">
      <c r="L1244" s="65"/>
      <c r="M1244" s="65"/>
      <c r="N1244" s="65"/>
      <c r="O1244" s="65"/>
    </row>
    <row r="1245" spans="12:15" x14ac:dyDescent="0.25">
      <c r="L1245" s="65"/>
      <c r="M1245" s="65"/>
      <c r="N1245" s="65"/>
      <c r="O1245" s="65"/>
    </row>
    <row r="1246" spans="12:15" x14ac:dyDescent="0.25">
      <c r="L1246" s="65"/>
      <c r="M1246" s="65"/>
      <c r="N1246" s="65"/>
      <c r="O1246" s="65"/>
    </row>
    <row r="1247" spans="12:15" x14ac:dyDescent="0.25">
      <c r="L1247" s="65"/>
      <c r="M1247" s="65"/>
      <c r="N1247" s="65"/>
      <c r="O1247" s="65"/>
    </row>
    <row r="1248" spans="12:15" x14ac:dyDescent="0.25">
      <c r="L1248" s="65"/>
      <c r="M1248" s="65"/>
      <c r="N1248" s="65"/>
      <c r="O1248" s="65"/>
    </row>
    <row r="1249" spans="12:15" x14ac:dyDescent="0.25">
      <c r="L1249" s="65"/>
      <c r="M1249" s="65"/>
      <c r="N1249" s="65"/>
      <c r="O1249" s="65"/>
    </row>
    <row r="1250" spans="12:15" x14ac:dyDescent="0.25">
      <c r="L1250" s="65"/>
      <c r="M1250" s="65"/>
      <c r="N1250" s="65"/>
      <c r="O1250" s="65"/>
    </row>
    <row r="1251" spans="12:15" x14ac:dyDescent="0.25">
      <c r="L1251" s="65"/>
      <c r="M1251" s="65"/>
      <c r="N1251" s="65"/>
      <c r="O1251" s="65"/>
    </row>
    <row r="1252" spans="12:15" x14ac:dyDescent="0.25">
      <c r="L1252" s="65"/>
      <c r="M1252" s="65"/>
      <c r="N1252" s="65"/>
      <c r="O1252" s="65"/>
    </row>
    <row r="1253" spans="12:15" x14ac:dyDescent="0.25">
      <c r="L1253" s="65"/>
      <c r="M1253" s="65"/>
      <c r="N1253" s="65"/>
      <c r="O1253" s="65"/>
    </row>
    <row r="1254" spans="12:15" x14ac:dyDescent="0.25">
      <c r="L1254" s="65"/>
      <c r="M1254" s="65"/>
      <c r="N1254" s="65"/>
      <c r="O1254" s="65"/>
    </row>
    <row r="1255" spans="12:15" x14ac:dyDescent="0.25">
      <c r="L1255" s="65"/>
      <c r="M1255" s="65"/>
      <c r="N1255" s="65"/>
      <c r="O1255" s="65"/>
    </row>
    <row r="1256" spans="12:15" x14ac:dyDescent="0.25">
      <c r="L1256" s="65"/>
      <c r="M1256" s="65"/>
      <c r="N1256" s="65"/>
      <c r="O1256" s="65"/>
    </row>
    <row r="1257" spans="12:15" x14ac:dyDescent="0.25">
      <c r="L1257" s="65"/>
      <c r="M1257" s="65"/>
      <c r="N1257" s="65"/>
      <c r="O1257" s="65"/>
    </row>
    <row r="1258" spans="12:15" x14ac:dyDescent="0.25">
      <c r="L1258" s="65"/>
      <c r="M1258" s="65"/>
      <c r="N1258" s="65"/>
      <c r="O1258" s="65"/>
    </row>
    <row r="1259" spans="12:15" x14ac:dyDescent="0.25">
      <c r="L1259" s="65"/>
      <c r="M1259" s="65"/>
      <c r="N1259" s="65"/>
      <c r="O1259" s="65"/>
    </row>
    <row r="1260" spans="12:15" x14ac:dyDescent="0.25">
      <c r="L1260" s="65"/>
      <c r="M1260" s="65"/>
      <c r="N1260" s="65"/>
      <c r="O1260" s="65"/>
    </row>
    <row r="1261" spans="12:15" x14ac:dyDescent="0.25">
      <c r="L1261" s="65"/>
      <c r="M1261" s="65"/>
      <c r="N1261" s="65"/>
      <c r="O1261" s="65"/>
    </row>
    <row r="1262" spans="12:15" x14ac:dyDescent="0.25">
      <c r="L1262" s="65"/>
      <c r="M1262" s="65"/>
      <c r="N1262" s="65"/>
      <c r="O1262" s="65"/>
    </row>
    <row r="1263" spans="12:15" x14ac:dyDescent="0.25">
      <c r="L1263" s="65"/>
      <c r="M1263" s="65"/>
      <c r="N1263" s="65"/>
      <c r="O1263" s="65"/>
    </row>
    <row r="1264" spans="12:15" x14ac:dyDescent="0.25">
      <c r="L1264" s="65"/>
      <c r="M1264" s="65"/>
      <c r="N1264" s="65"/>
      <c r="O1264" s="65"/>
    </row>
    <row r="1265" spans="12:15" x14ac:dyDescent="0.25">
      <c r="L1265" s="65"/>
      <c r="M1265" s="65"/>
      <c r="N1265" s="65"/>
      <c r="O1265" s="65"/>
    </row>
    <row r="1266" spans="12:15" x14ac:dyDescent="0.25">
      <c r="L1266" s="65"/>
      <c r="M1266" s="65"/>
      <c r="N1266" s="65"/>
      <c r="O1266" s="65"/>
    </row>
    <row r="1267" spans="12:15" x14ac:dyDescent="0.25">
      <c r="L1267" s="65"/>
      <c r="M1267" s="65"/>
      <c r="N1267" s="65"/>
      <c r="O1267" s="65"/>
    </row>
    <row r="1268" spans="12:15" x14ac:dyDescent="0.25">
      <c r="L1268" s="65"/>
      <c r="M1268" s="65"/>
      <c r="N1268" s="65"/>
      <c r="O1268" s="65"/>
    </row>
    <row r="1269" spans="12:15" x14ac:dyDescent="0.25">
      <c r="L1269" s="65"/>
      <c r="M1269" s="65"/>
      <c r="N1269" s="65"/>
      <c r="O1269" s="65"/>
    </row>
    <row r="1270" spans="12:15" x14ac:dyDescent="0.25">
      <c r="L1270" s="65"/>
      <c r="M1270" s="65"/>
      <c r="N1270" s="65"/>
      <c r="O1270" s="65"/>
    </row>
    <row r="1271" spans="12:15" x14ac:dyDescent="0.25">
      <c r="L1271" s="65"/>
      <c r="M1271" s="65"/>
      <c r="N1271" s="65"/>
      <c r="O1271" s="65"/>
    </row>
    <row r="1272" spans="12:15" x14ac:dyDescent="0.25">
      <c r="L1272" s="65"/>
      <c r="M1272" s="65"/>
      <c r="N1272" s="65"/>
      <c r="O1272" s="65"/>
    </row>
    <row r="1273" spans="12:15" x14ac:dyDescent="0.25">
      <c r="L1273" s="65"/>
      <c r="M1273" s="65"/>
      <c r="N1273" s="65"/>
      <c r="O1273" s="65"/>
    </row>
    <row r="1274" spans="12:15" x14ac:dyDescent="0.25">
      <c r="L1274" s="65"/>
      <c r="M1274" s="65"/>
      <c r="N1274" s="65"/>
      <c r="O1274" s="65"/>
    </row>
    <row r="1275" spans="12:15" x14ac:dyDescent="0.25">
      <c r="L1275" s="65"/>
      <c r="M1275" s="65"/>
      <c r="N1275" s="65"/>
      <c r="O1275" s="65"/>
    </row>
    <row r="1276" spans="12:15" x14ac:dyDescent="0.25">
      <c r="L1276" s="65"/>
      <c r="M1276" s="65"/>
      <c r="N1276" s="65"/>
      <c r="O1276" s="65"/>
    </row>
    <row r="1277" spans="12:15" x14ac:dyDescent="0.25">
      <c r="L1277" s="65"/>
      <c r="M1277" s="65"/>
      <c r="N1277" s="65"/>
      <c r="O1277" s="65"/>
    </row>
    <row r="1278" spans="12:15" x14ac:dyDescent="0.25">
      <c r="L1278" s="65"/>
      <c r="M1278" s="65"/>
      <c r="N1278" s="65"/>
      <c r="O1278" s="65"/>
    </row>
    <row r="1279" spans="12:15" x14ac:dyDescent="0.25">
      <c r="L1279" s="65"/>
      <c r="M1279" s="65"/>
      <c r="N1279" s="65"/>
      <c r="O1279" s="65"/>
    </row>
    <row r="1280" spans="12:15" x14ac:dyDescent="0.25">
      <c r="L1280" s="65"/>
      <c r="M1280" s="65"/>
      <c r="N1280" s="65"/>
      <c r="O1280" s="65"/>
    </row>
    <row r="1281" spans="12:15" x14ac:dyDescent="0.25">
      <c r="L1281" s="65"/>
      <c r="M1281" s="65"/>
      <c r="N1281" s="65"/>
      <c r="O1281" s="65"/>
    </row>
    <row r="1282" spans="12:15" x14ac:dyDescent="0.25">
      <c r="L1282" s="65"/>
      <c r="M1282" s="65"/>
      <c r="N1282" s="65"/>
      <c r="O1282" s="65"/>
    </row>
    <row r="1283" spans="12:15" x14ac:dyDescent="0.25">
      <c r="L1283" s="65"/>
      <c r="M1283" s="65"/>
      <c r="N1283" s="65"/>
      <c r="O1283" s="65"/>
    </row>
    <row r="1284" spans="12:15" x14ac:dyDescent="0.25">
      <c r="L1284" s="65"/>
      <c r="M1284" s="65"/>
      <c r="N1284" s="65"/>
      <c r="O1284" s="65"/>
    </row>
    <row r="1285" spans="12:15" x14ac:dyDescent="0.25">
      <c r="L1285" s="65"/>
      <c r="M1285" s="65"/>
      <c r="N1285" s="65"/>
      <c r="O1285" s="65"/>
    </row>
    <row r="1286" spans="12:15" x14ac:dyDescent="0.25">
      <c r="L1286" s="65"/>
      <c r="M1286" s="65"/>
      <c r="N1286" s="65"/>
      <c r="O1286" s="65"/>
    </row>
    <row r="1287" spans="12:15" x14ac:dyDescent="0.25">
      <c r="L1287" s="65"/>
      <c r="M1287" s="65"/>
      <c r="N1287" s="65"/>
      <c r="O1287" s="65"/>
    </row>
    <row r="1288" spans="12:15" x14ac:dyDescent="0.25">
      <c r="L1288" s="65"/>
      <c r="M1288" s="65"/>
      <c r="N1288" s="65"/>
      <c r="O1288" s="65"/>
    </row>
    <row r="1289" spans="12:15" x14ac:dyDescent="0.25">
      <c r="L1289" s="65"/>
      <c r="M1289" s="65"/>
      <c r="N1289" s="65"/>
      <c r="O1289" s="65"/>
    </row>
    <row r="1290" spans="12:15" x14ac:dyDescent="0.25">
      <c r="L1290" s="65"/>
      <c r="M1290" s="65"/>
      <c r="N1290" s="65"/>
      <c r="O1290" s="65"/>
    </row>
    <row r="1291" spans="12:15" x14ac:dyDescent="0.25">
      <c r="L1291" s="65"/>
      <c r="M1291" s="65"/>
      <c r="N1291" s="65"/>
      <c r="O1291" s="65"/>
    </row>
    <row r="1292" spans="12:15" x14ac:dyDescent="0.25">
      <c r="L1292" s="65"/>
      <c r="M1292" s="65"/>
      <c r="N1292" s="65"/>
      <c r="O1292" s="65"/>
    </row>
    <row r="1293" spans="12:15" x14ac:dyDescent="0.25">
      <c r="L1293" s="65"/>
      <c r="M1293" s="65"/>
      <c r="N1293" s="65"/>
      <c r="O1293" s="65"/>
    </row>
    <row r="1294" spans="12:15" x14ac:dyDescent="0.25">
      <c r="L1294" s="65"/>
      <c r="M1294" s="65"/>
      <c r="N1294" s="65"/>
      <c r="O1294" s="65"/>
    </row>
    <row r="1295" spans="12:15" x14ac:dyDescent="0.25">
      <c r="L1295" s="65"/>
      <c r="M1295" s="65"/>
      <c r="N1295" s="65"/>
      <c r="O1295" s="65"/>
    </row>
    <row r="1296" spans="12:15" x14ac:dyDescent="0.25">
      <c r="L1296" s="65"/>
      <c r="M1296" s="65"/>
      <c r="N1296" s="65"/>
      <c r="O1296" s="65"/>
    </row>
    <row r="1297" spans="12:15" x14ac:dyDescent="0.25">
      <c r="L1297" s="65"/>
      <c r="M1297" s="65"/>
      <c r="N1297" s="65"/>
      <c r="O1297" s="65"/>
    </row>
    <row r="1298" spans="12:15" x14ac:dyDescent="0.25">
      <c r="L1298" s="65"/>
      <c r="M1298" s="65"/>
      <c r="N1298" s="65"/>
      <c r="O1298" s="65"/>
    </row>
    <row r="1299" spans="12:15" x14ac:dyDescent="0.25">
      <c r="L1299" s="65"/>
      <c r="M1299" s="65"/>
      <c r="N1299" s="65"/>
      <c r="O1299" s="65"/>
    </row>
    <row r="1300" spans="12:15" x14ac:dyDescent="0.25">
      <c r="L1300" s="65"/>
      <c r="M1300" s="65"/>
      <c r="N1300" s="65"/>
      <c r="O1300" s="65"/>
    </row>
    <row r="1301" spans="12:15" x14ac:dyDescent="0.25">
      <c r="L1301" s="65"/>
      <c r="M1301" s="65"/>
      <c r="N1301" s="65"/>
      <c r="O1301" s="65"/>
    </row>
    <row r="1302" spans="12:15" x14ac:dyDescent="0.25">
      <c r="L1302" s="65"/>
      <c r="M1302" s="65"/>
      <c r="N1302" s="65"/>
      <c r="O1302" s="65"/>
    </row>
    <row r="1303" spans="12:15" x14ac:dyDescent="0.25">
      <c r="L1303" s="65"/>
      <c r="M1303" s="65"/>
      <c r="N1303" s="65"/>
      <c r="O1303" s="65"/>
    </row>
    <row r="1304" spans="12:15" x14ac:dyDescent="0.25">
      <c r="L1304" s="65"/>
      <c r="M1304" s="65"/>
      <c r="N1304" s="65"/>
      <c r="O1304" s="65"/>
    </row>
    <row r="1305" spans="12:15" x14ac:dyDescent="0.25">
      <c r="L1305" s="65"/>
      <c r="M1305" s="65"/>
      <c r="N1305" s="65"/>
      <c r="O1305" s="65"/>
    </row>
    <row r="1306" spans="12:15" x14ac:dyDescent="0.25">
      <c r="L1306" s="65"/>
      <c r="M1306" s="65"/>
      <c r="N1306" s="65"/>
      <c r="O1306" s="65"/>
    </row>
    <row r="1307" spans="12:15" x14ac:dyDescent="0.25">
      <c r="L1307" s="65"/>
      <c r="M1307" s="65"/>
      <c r="N1307" s="65"/>
      <c r="O1307" s="65"/>
    </row>
    <row r="1308" spans="12:15" x14ac:dyDescent="0.25">
      <c r="L1308" s="65"/>
      <c r="M1308" s="65"/>
      <c r="N1308" s="65"/>
      <c r="O1308" s="65"/>
    </row>
    <row r="1309" spans="12:15" x14ac:dyDescent="0.25">
      <c r="L1309" s="65"/>
      <c r="M1309" s="65"/>
      <c r="N1309" s="65"/>
      <c r="O1309" s="65"/>
    </row>
    <row r="1310" spans="12:15" x14ac:dyDescent="0.25">
      <c r="L1310" s="65"/>
      <c r="M1310" s="65"/>
      <c r="N1310" s="65"/>
      <c r="O1310" s="65"/>
    </row>
    <row r="1311" spans="12:15" x14ac:dyDescent="0.25">
      <c r="L1311" s="65"/>
      <c r="M1311" s="65"/>
      <c r="N1311" s="65"/>
      <c r="O1311" s="65"/>
    </row>
    <row r="1312" spans="12:15" x14ac:dyDescent="0.25">
      <c r="L1312" s="65"/>
      <c r="M1312" s="65"/>
      <c r="N1312" s="65"/>
      <c r="O1312" s="65"/>
    </row>
    <row r="1313" spans="12:15" x14ac:dyDescent="0.25">
      <c r="L1313" s="65"/>
      <c r="M1313" s="65"/>
      <c r="N1313" s="65"/>
      <c r="O1313" s="65"/>
    </row>
    <row r="1314" spans="12:15" x14ac:dyDescent="0.25">
      <c r="L1314" s="65"/>
      <c r="M1314" s="65"/>
      <c r="N1314" s="65"/>
      <c r="O1314" s="65"/>
    </row>
    <row r="1315" spans="12:15" x14ac:dyDescent="0.25">
      <c r="L1315" s="65"/>
      <c r="M1315" s="65"/>
      <c r="N1315" s="65"/>
      <c r="O1315" s="65"/>
    </row>
    <row r="1316" spans="12:15" x14ac:dyDescent="0.25">
      <c r="L1316" s="65"/>
      <c r="M1316" s="65"/>
      <c r="N1316" s="65"/>
      <c r="O1316" s="65"/>
    </row>
    <row r="1317" spans="12:15" x14ac:dyDescent="0.25">
      <c r="L1317" s="65"/>
      <c r="M1317" s="65"/>
      <c r="N1317" s="65"/>
      <c r="O1317" s="65"/>
    </row>
    <row r="1318" spans="12:15" x14ac:dyDescent="0.25">
      <c r="L1318" s="65"/>
      <c r="M1318" s="65"/>
      <c r="N1318" s="65"/>
      <c r="O1318" s="65"/>
    </row>
    <row r="1319" spans="12:15" x14ac:dyDescent="0.25">
      <c r="L1319" s="65"/>
      <c r="M1319" s="65"/>
      <c r="N1319" s="65"/>
      <c r="O1319" s="65"/>
    </row>
    <row r="1320" spans="12:15" x14ac:dyDescent="0.25">
      <c r="L1320" s="65"/>
      <c r="M1320" s="65"/>
      <c r="N1320" s="65"/>
      <c r="O1320" s="65"/>
    </row>
    <row r="1321" spans="12:15" x14ac:dyDescent="0.25">
      <c r="L1321" s="65"/>
      <c r="M1321" s="65"/>
      <c r="N1321" s="65"/>
      <c r="O1321" s="65"/>
    </row>
    <row r="1322" spans="12:15" x14ac:dyDescent="0.25">
      <c r="L1322" s="65"/>
      <c r="M1322" s="65"/>
      <c r="N1322" s="65"/>
      <c r="O1322" s="65"/>
    </row>
    <row r="1323" spans="12:15" x14ac:dyDescent="0.25">
      <c r="L1323" s="65"/>
      <c r="M1323" s="65"/>
      <c r="N1323" s="65"/>
      <c r="O1323" s="65"/>
    </row>
    <row r="1324" spans="12:15" x14ac:dyDescent="0.25">
      <c r="L1324" s="65"/>
      <c r="M1324" s="65"/>
      <c r="N1324" s="65"/>
      <c r="O1324" s="65"/>
    </row>
    <row r="1325" spans="12:15" x14ac:dyDescent="0.25">
      <c r="L1325" s="65"/>
      <c r="M1325" s="65"/>
      <c r="N1325" s="65"/>
      <c r="O1325" s="65"/>
    </row>
    <row r="1326" spans="12:15" x14ac:dyDescent="0.25">
      <c r="L1326" s="65"/>
      <c r="M1326" s="65"/>
      <c r="N1326" s="65"/>
      <c r="O1326" s="65"/>
    </row>
    <row r="1327" spans="12:15" x14ac:dyDescent="0.25">
      <c r="L1327" s="65"/>
      <c r="M1327" s="65"/>
      <c r="N1327" s="65"/>
      <c r="O1327" s="65"/>
    </row>
    <row r="1328" spans="12:15" x14ac:dyDescent="0.25">
      <c r="L1328" s="65"/>
      <c r="M1328" s="65"/>
      <c r="N1328" s="65"/>
      <c r="O1328" s="65"/>
    </row>
    <row r="1329" spans="12:15" x14ac:dyDescent="0.25">
      <c r="L1329" s="65"/>
      <c r="M1329" s="65"/>
      <c r="N1329" s="65"/>
      <c r="O1329" s="65"/>
    </row>
    <row r="1330" spans="12:15" x14ac:dyDescent="0.25">
      <c r="L1330" s="65"/>
      <c r="M1330" s="65"/>
      <c r="N1330" s="65"/>
      <c r="O1330" s="65"/>
    </row>
    <row r="1331" spans="12:15" x14ac:dyDescent="0.25">
      <c r="L1331" s="65"/>
      <c r="M1331" s="65"/>
      <c r="N1331" s="65"/>
      <c r="O1331" s="65"/>
    </row>
    <row r="1332" spans="12:15" x14ac:dyDescent="0.25">
      <c r="L1332" s="65"/>
      <c r="M1332" s="65"/>
      <c r="N1332" s="65"/>
      <c r="O1332" s="65"/>
    </row>
    <row r="1333" spans="12:15" x14ac:dyDescent="0.25">
      <c r="L1333" s="65"/>
      <c r="M1333" s="65"/>
      <c r="N1333" s="65"/>
      <c r="O1333" s="65"/>
    </row>
    <row r="1334" spans="12:15" x14ac:dyDescent="0.25">
      <c r="L1334" s="65"/>
      <c r="M1334" s="65"/>
      <c r="N1334" s="65"/>
      <c r="O1334" s="65"/>
    </row>
    <row r="1335" spans="12:15" x14ac:dyDescent="0.25">
      <c r="L1335" s="65"/>
      <c r="M1335" s="65"/>
      <c r="N1335" s="65"/>
      <c r="O1335" s="65"/>
    </row>
    <row r="1336" spans="12:15" x14ac:dyDescent="0.25">
      <c r="L1336" s="65"/>
      <c r="M1336" s="65"/>
      <c r="N1336" s="65"/>
      <c r="O1336" s="65"/>
    </row>
    <row r="1337" spans="12:15" x14ac:dyDescent="0.25">
      <c r="L1337" s="65"/>
      <c r="M1337" s="65"/>
      <c r="N1337" s="65"/>
      <c r="O1337" s="65"/>
    </row>
    <row r="1338" spans="12:15" x14ac:dyDescent="0.25">
      <c r="L1338" s="65"/>
      <c r="M1338" s="65"/>
      <c r="N1338" s="65"/>
      <c r="O1338" s="65"/>
    </row>
    <row r="1339" spans="12:15" x14ac:dyDescent="0.25">
      <c r="L1339" s="65"/>
      <c r="M1339" s="65"/>
      <c r="N1339" s="65"/>
      <c r="O1339" s="65"/>
    </row>
    <row r="1340" spans="12:15" x14ac:dyDescent="0.25">
      <c r="L1340" s="65"/>
      <c r="M1340" s="65"/>
      <c r="N1340" s="65"/>
      <c r="O1340" s="65"/>
    </row>
    <row r="1341" spans="12:15" x14ac:dyDescent="0.25">
      <c r="L1341" s="65"/>
      <c r="M1341" s="65"/>
      <c r="N1341" s="65"/>
      <c r="O1341" s="65"/>
    </row>
    <row r="1342" spans="12:15" x14ac:dyDescent="0.25">
      <c r="L1342" s="65"/>
      <c r="M1342" s="65"/>
      <c r="N1342" s="65"/>
      <c r="O1342" s="65"/>
    </row>
    <row r="1343" spans="12:15" x14ac:dyDescent="0.25">
      <c r="L1343" s="65"/>
      <c r="M1343" s="65"/>
      <c r="N1343" s="65"/>
      <c r="O1343" s="65"/>
    </row>
    <row r="1344" spans="12:15" x14ac:dyDescent="0.25">
      <c r="L1344" s="65"/>
      <c r="M1344" s="65"/>
      <c r="N1344" s="65"/>
      <c r="O1344" s="65"/>
    </row>
    <row r="1345" spans="12:15" x14ac:dyDescent="0.25">
      <c r="L1345" s="65"/>
      <c r="M1345" s="65"/>
      <c r="N1345" s="65"/>
      <c r="O1345" s="65"/>
    </row>
    <row r="1346" spans="12:15" x14ac:dyDescent="0.25">
      <c r="L1346" s="65"/>
      <c r="M1346" s="65"/>
      <c r="N1346" s="65"/>
      <c r="O1346" s="65"/>
    </row>
    <row r="1347" spans="12:15" x14ac:dyDescent="0.25">
      <c r="L1347" s="65"/>
      <c r="M1347" s="65"/>
      <c r="N1347" s="65"/>
      <c r="O1347" s="65"/>
    </row>
    <row r="1348" spans="12:15" x14ac:dyDescent="0.25">
      <c r="L1348" s="65"/>
      <c r="M1348" s="65"/>
      <c r="N1348" s="65"/>
      <c r="O1348" s="65"/>
    </row>
    <row r="1349" spans="12:15" x14ac:dyDescent="0.25">
      <c r="L1349" s="65"/>
      <c r="M1349" s="65"/>
      <c r="N1349" s="65"/>
      <c r="O1349" s="65"/>
    </row>
    <row r="1350" spans="12:15" x14ac:dyDescent="0.25">
      <c r="L1350" s="65"/>
      <c r="M1350" s="65"/>
      <c r="N1350" s="65"/>
      <c r="O1350" s="65"/>
    </row>
    <row r="1351" spans="12:15" x14ac:dyDescent="0.25">
      <c r="L1351" s="65"/>
      <c r="M1351" s="65"/>
      <c r="N1351" s="65"/>
      <c r="O1351" s="65"/>
    </row>
    <row r="1352" spans="12:15" x14ac:dyDescent="0.25">
      <c r="L1352" s="65"/>
      <c r="M1352" s="65"/>
      <c r="N1352" s="65"/>
      <c r="O1352" s="65"/>
    </row>
    <row r="1353" spans="12:15" x14ac:dyDescent="0.25">
      <c r="L1353" s="65"/>
      <c r="M1353" s="65"/>
      <c r="N1353" s="65"/>
      <c r="O1353" s="65"/>
    </row>
    <row r="1354" spans="12:15" x14ac:dyDescent="0.25">
      <c r="L1354" s="65"/>
      <c r="M1354" s="65"/>
      <c r="N1354" s="65"/>
      <c r="O1354" s="65"/>
    </row>
    <row r="1355" spans="12:15" x14ac:dyDescent="0.25">
      <c r="L1355" s="65"/>
      <c r="M1355" s="65"/>
      <c r="N1355" s="65"/>
      <c r="O1355" s="65"/>
    </row>
    <row r="1356" spans="12:15" x14ac:dyDescent="0.25">
      <c r="L1356" s="65"/>
      <c r="M1356" s="65"/>
      <c r="N1356" s="65"/>
      <c r="O1356" s="65"/>
    </row>
    <row r="1357" spans="12:15" x14ac:dyDescent="0.25">
      <c r="L1357" s="65"/>
      <c r="M1357" s="65"/>
      <c r="N1357" s="65"/>
      <c r="O1357" s="65"/>
    </row>
    <row r="1358" spans="12:15" x14ac:dyDescent="0.25">
      <c r="L1358" s="65"/>
      <c r="M1358" s="65"/>
      <c r="N1358" s="65"/>
      <c r="O1358" s="65"/>
    </row>
    <row r="1359" spans="12:15" x14ac:dyDescent="0.25">
      <c r="L1359" s="65"/>
      <c r="M1359" s="65"/>
      <c r="N1359" s="65"/>
      <c r="O1359" s="65"/>
    </row>
    <row r="1360" spans="12:15" x14ac:dyDescent="0.25">
      <c r="L1360" s="65"/>
      <c r="M1360" s="65"/>
      <c r="N1360" s="65"/>
      <c r="O1360" s="65"/>
    </row>
    <row r="1361" spans="12:15" x14ac:dyDescent="0.25">
      <c r="L1361" s="65"/>
      <c r="M1361" s="65"/>
      <c r="N1361" s="65"/>
      <c r="O1361" s="65"/>
    </row>
    <row r="1362" spans="12:15" x14ac:dyDescent="0.25">
      <c r="L1362" s="65"/>
      <c r="M1362" s="65"/>
      <c r="N1362" s="65"/>
      <c r="O1362" s="65"/>
    </row>
    <row r="1363" spans="12:15" x14ac:dyDescent="0.25">
      <c r="L1363" s="65"/>
      <c r="M1363" s="65"/>
      <c r="N1363" s="65"/>
      <c r="O1363" s="65"/>
    </row>
    <row r="1364" spans="12:15" x14ac:dyDescent="0.25">
      <c r="L1364" s="65"/>
      <c r="M1364" s="65"/>
      <c r="N1364" s="65"/>
      <c r="O1364" s="65"/>
    </row>
    <row r="1365" spans="12:15" x14ac:dyDescent="0.25">
      <c r="L1365" s="65"/>
      <c r="M1365" s="65"/>
      <c r="N1365" s="65"/>
      <c r="O1365" s="65"/>
    </row>
    <row r="1366" spans="12:15" x14ac:dyDescent="0.25">
      <c r="L1366" s="65"/>
      <c r="M1366" s="65"/>
      <c r="N1366" s="65"/>
      <c r="O1366" s="65"/>
    </row>
    <row r="1367" spans="12:15" x14ac:dyDescent="0.25">
      <c r="L1367" s="65"/>
      <c r="M1367" s="65"/>
      <c r="N1367" s="65"/>
      <c r="O1367" s="65"/>
    </row>
    <row r="1368" spans="12:15" x14ac:dyDescent="0.25">
      <c r="L1368" s="65"/>
      <c r="M1368" s="65"/>
      <c r="N1368" s="65"/>
      <c r="O1368" s="65"/>
    </row>
    <row r="1369" spans="12:15" x14ac:dyDescent="0.25">
      <c r="L1369" s="65"/>
      <c r="M1369" s="65"/>
      <c r="N1369" s="65"/>
      <c r="O1369" s="65"/>
    </row>
    <row r="1370" spans="12:15" x14ac:dyDescent="0.25">
      <c r="L1370" s="65"/>
      <c r="M1370" s="65"/>
      <c r="N1370" s="65"/>
      <c r="O1370" s="65"/>
    </row>
    <row r="1371" spans="12:15" x14ac:dyDescent="0.25">
      <c r="L1371" s="65"/>
      <c r="M1371" s="65"/>
      <c r="N1371" s="65"/>
      <c r="O1371" s="65"/>
    </row>
    <row r="1372" spans="12:15" x14ac:dyDescent="0.25">
      <c r="L1372" s="65"/>
      <c r="M1372" s="65"/>
      <c r="N1372" s="65"/>
      <c r="O1372" s="65"/>
    </row>
    <row r="1373" spans="12:15" x14ac:dyDescent="0.25">
      <c r="L1373" s="65"/>
      <c r="M1373" s="65"/>
      <c r="N1373" s="65"/>
      <c r="O1373" s="65"/>
    </row>
    <row r="1374" spans="12:15" x14ac:dyDescent="0.25">
      <c r="L1374" s="65"/>
      <c r="M1374" s="65"/>
      <c r="N1374" s="65"/>
      <c r="O1374" s="65"/>
    </row>
    <row r="1375" spans="12:15" x14ac:dyDescent="0.25">
      <c r="L1375" s="65"/>
      <c r="M1375" s="65"/>
      <c r="N1375" s="65"/>
      <c r="O1375" s="65"/>
    </row>
    <row r="1376" spans="12:15" x14ac:dyDescent="0.25">
      <c r="L1376" s="65"/>
      <c r="M1376" s="65"/>
      <c r="N1376" s="65"/>
      <c r="O1376" s="65"/>
    </row>
    <row r="1377" spans="12:15" x14ac:dyDescent="0.25">
      <c r="L1377" s="65"/>
      <c r="M1377" s="65"/>
      <c r="N1377" s="65"/>
      <c r="O1377" s="65"/>
    </row>
    <row r="1378" spans="12:15" x14ac:dyDescent="0.25">
      <c r="L1378" s="65"/>
      <c r="M1378" s="65"/>
      <c r="N1378" s="65"/>
      <c r="O1378" s="65"/>
    </row>
    <row r="1379" spans="12:15" x14ac:dyDescent="0.25">
      <c r="L1379" s="65"/>
      <c r="M1379" s="65"/>
      <c r="N1379" s="65"/>
      <c r="O1379" s="65"/>
    </row>
    <row r="1380" spans="12:15" x14ac:dyDescent="0.25">
      <c r="L1380" s="65"/>
      <c r="M1380" s="65"/>
      <c r="N1380" s="65"/>
      <c r="O1380" s="65"/>
    </row>
    <row r="1381" spans="12:15" x14ac:dyDescent="0.25">
      <c r="L1381" s="65"/>
      <c r="M1381" s="65"/>
      <c r="N1381" s="65"/>
      <c r="O1381" s="65"/>
    </row>
    <row r="1382" spans="12:15" x14ac:dyDescent="0.25">
      <c r="L1382" s="65"/>
      <c r="M1382" s="65"/>
      <c r="N1382" s="65"/>
      <c r="O1382" s="65"/>
    </row>
    <row r="1383" spans="12:15" x14ac:dyDescent="0.25">
      <c r="L1383" s="65"/>
      <c r="M1383" s="65"/>
      <c r="N1383" s="65"/>
      <c r="O1383" s="65"/>
    </row>
    <row r="1384" spans="12:15" x14ac:dyDescent="0.25">
      <c r="L1384" s="65"/>
      <c r="M1384" s="65"/>
      <c r="N1384" s="65"/>
      <c r="O1384" s="65"/>
    </row>
    <row r="1385" spans="12:15" x14ac:dyDescent="0.25">
      <c r="L1385" s="65"/>
      <c r="M1385" s="65"/>
      <c r="N1385" s="65"/>
      <c r="O1385" s="65"/>
    </row>
    <row r="1386" spans="12:15" x14ac:dyDescent="0.25">
      <c r="L1386" s="65"/>
      <c r="M1386" s="65"/>
      <c r="N1386" s="65"/>
      <c r="O1386" s="65"/>
    </row>
    <row r="1387" spans="12:15" x14ac:dyDescent="0.25">
      <c r="L1387" s="65"/>
      <c r="M1387" s="65"/>
      <c r="N1387" s="65"/>
      <c r="O1387" s="65"/>
    </row>
    <row r="1388" spans="12:15" x14ac:dyDescent="0.25">
      <c r="L1388" s="65"/>
      <c r="M1388" s="65"/>
      <c r="N1388" s="65"/>
      <c r="O1388" s="65"/>
    </row>
    <row r="1389" spans="12:15" x14ac:dyDescent="0.25">
      <c r="L1389" s="65"/>
      <c r="M1389" s="65"/>
      <c r="N1389" s="65"/>
      <c r="O1389" s="65"/>
    </row>
    <row r="1390" spans="12:15" x14ac:dyDescent="0.25">
      <c r="L1390" s="65"/>
      <c r="M1390" s="65"/>
      <c r="N1390" s="65"/>
      <c r="O1390" s="65"/>
    </row>
    <row r="1391" spans="12:15" x14ac:dyDescent="0.25">
      <c r="L1391" s="65"/>
      <c r="M1391" s="65"/>
      <c r="N1391" s="65"/>
      <c r="O1391" s="65"/>
    </row>
    <row r="1392" spans="12:15" x14ac:dyDescent="0.25">
      <c r="L1392" s="65"/>
      <c r="M1392" s="65"/>
      <c r="N1392" s="65"/>
      <c r="O1392" s="65"/>
    </row>
    <row r="1393" spans="12:15" x14ac:dyDescent="0.25">
      <c r="L1393" s="65"/>
      <c r="M1393" s="65"/>
      <c r="N1393" s="65"/>
      <c r="O1393" s="65"/>
    </row>
    <row r="1394" spans="12:15" x14ac:dyDescent="0.25">
      <c r="L1394" s="65"/>
      <c r="M1394" s="65"/>
      <c r="N1394" s="65"/>
      <c r="O1394" s="65"/>
    </row>
    <row r="1395" spans="12:15" x14ac:dyDescent="0.25">
      <c r="L1395" s="65"/>
      <c r="M1395" s="65"/>
      <c r="N1395" s="65"/>
      <c r="O1395" s="65"/>
    </row>
    <row r="1396" spans="12:15" x14ac:dyDescent="0.25">
      <c r="L1396" s="65"/>
      <c r="M1396" s="65"/>
      <c r="N1396" s="65"/>
      <c r="O1396" s="65"/>
    </row>
    <row r="1397" spans="12:15" x14ac:dyDescent="0.25">
      <c r="L1397" s="65"/>
      <c r="M1397" s="65"/>
      <c r="N1397" s="65"/>
      <c r="O1397" s="65"/>
    </row>
    <row r="1398" spans="12:15" x14ac:dyDescent="0.25">
      <c r="L1398" s="65"/>
      <c r="M1398" s="65"/>
      <c r="N1398" s="65"/>
      <c r="O1398" s="65"/>
    </row>
    <row r="1399" spans="12:15" x14ac:dyDescent="0.25">
      <c r="L1399" s="65"/>
      <c r="M1399" s="65"/>
      <c r="N1399" s="65"/>
      <c r="O1399" s="65"/>
    </row>
    <row r="1400" spans="12:15" x14ac:dyDescent="0.25">
      <c r="L1400" s="65"/>
      <c r="M1400" s="65"/>
      <c r="N1400" s="65"/>
      <c r="O1400" s="65"/>
    </row>
    <row r="1401" spans="12:15" x14ac:dyDescent="0.25">
      <c r="L1401" s="65"/>
      <c r="M1401" s="65"/>
      <c r="N1401" s="65"/>
      <c r="O1401" s="65"/>
    </row>
    <row r="1402" spans="12:15" x14ac:dyDescent="0.25">
      <c r="L1402" s="65"/>
      <c r="M1402" s="65"/>
      <c r="N1402" s="65"/>
      <c r="O1402" s="65"/>
    </row>
    <row r="1403" spans="12:15" x14ac:dyDescent="0.25">
      <c r="L1403" s="65"/>
      <c r="M1403" s="65"/>
      <c r="N1403" s="65"/>
      <c r="O1403" s="65"/>
    </row>
    <row r="1404" spans="12:15" x14ac:dyDescent="0.25">
      <c r="L1404" s="65"/>
      <c r="M1404" s="65"/>
      <c r="N1404" s="65"/>
      <c r="O1404" s="65"/>
    </row>
    <row r="1405" spans="12:15" x14ac:dyDescent="0.25">
      <c r="L1405" s="65"/>
      <c r="M1405" s="65"/>
      <c r="N1405" s="65"/>
      <c r="O1405" s="65"/>
    </row>
    <row r="1406" spans="12:15" x14ac:dyDescent="0.25">
      <c r="L1406" s="65"/>
      <c r="M1406" s="65"/>
      <c r="N1406" s="65"/>
      <c r="O1406" s="65"/>
    </row>
    <row r="1407" spans="12:15" x14ac:dyDescent="0.25">
      <c r="L1407" s="65"/>
      <c r="M1407" s="65"/>
      <c r="N1407" s="65"/>
      <c r="O1407" s="65"/>
    </row>
    <row r="1408" spans="12:15" x14ac:dyDescent="0.25">
      <c r="L1408" s="65"/>
      <c r="M1408" s="65"/>
      <c r="N1408" s="65"/>
      <c r="O1408" s="65"/>
    </row>
    <row r="1409" spans="12:15" x14ac:dyDescent="0.25">
      <c r="L1409" s="65"/>
      <c r="M1409" s="65"/>
      <c r="N1409" s="65"/>
      <c r="O1409" s="65"/>
    </row>
    <row r="1410" spans="12:15" x14ac:dyDescent="0.25">
      <c r="L1410" s="65"/>
      <c r="M1410" s="65"/>
      <c r="N1410" s="65"/>
      <c r="O1410" s="65"/>
    </row>
    <row r="1411" spans="12:15" x14ac:dyDescent="0.25">
      <c r="L1411" s="65"/>
      <c r="M1411" s="65"/>
      <c r="N1411" s="65"/>
      <c r="O1411" s="65"/>
    </row>
    <row r="1412" spans="12:15" x14ac:dyDescent="0.25">
      <c r="L1412" s="65"/>
      <c r="M1412" s="65"/>
      <c r="N1412" s="65"/>
      <c r="O1412" s="65"/>
    </row>
    <row r="1413" spans="12:15" x14ac:dyDescent="0.25">
      <c r="L1413" s="65"/>
      <c r="M1413" s="65"/>
      <c r="N1413" s="65"/>
      <c r="O1413" s="65"/>
    </row>
    <row r="1414" spans="12:15" x14ac:dyDescent="0.25">
      <c r="L1414" s="65"/>
      <c r="M1414" s="65"/>
      <c r="N1414" s="65"/>
      <c r="O1414" s="65"/>
    </row>
    <row r="1415" spans="12:15" x14ac:dyDescent="0.25">
      <c r="L1415" s="65"/>
      <c r="M1415" s="65"/>
      <c r="N1415" s="65"/>
      <c r="O1415" s="65"/>
    </row>
    <row r="1416" spans="12:15" x14ac:dyDescent="0.25">
      <c r="L1416" s="65"/>
      <c r="M1416" s="65"/>
      <c r="N1416" s="65"/>
      <c r="O1416" s="65"/>
    </row>
    <row r="1417" spans="12:15" x14ac:dyDescent="0.25">
      <c r="L1417" s="65"/>
      <c r="M1417" s="65"/>
      <c r="N1417" s="65"/>
      <c r="O1417" s="65"/>
    </row>
    <row r="1418" spans="12:15" x14ac:dyDescent="0.25">
      <c r="L1418" s="65"/>
      <c r="M1418" s="65"/>
      <c r="N1418" s="65"/>
      <c r="O1418" s="65"/>
    </row>
    <row r="1419" spans="12:15" x14ac:dyDescent="0.25">
      <c r="L1419" s="65"/>
      <c r="M1419" s="65"/>
      <c r="N1419" s="65"/>
      <c r="O1419" s="65"/>
    </row>
    <row r="1420" spans="12:15" x14ac:dyDescent="0.25">
      <c r="L1420" s="65"/>
      <c r="M1420" s="65"/>
      <c r="N1420" s="65"/>
      <c r="O1420" s="65"/>
    </row>
    <row r="1421" spans="12:15" x14ac:dyDescent="0.25">
      <c r="L1421" s="65"/>
      <c r="M1421" s="65"/>
      <c r="N1421" s="65"/>
      <c r="O1421" s="65"/>
    </row>
    <row r="1422" spans="12:15" x14ac:dyDescent="0.25">
      <c r="L1422" s="65"/>
      <c r="M1422" s="65"/>
      <c r="N1422" s="65"/>
      <c r="O1422" s="65"/>
    </row>
    <row r="1423" spans="12:15" x14ac:dyDescent="0.25">
      <c r="L1423" s="65"/>
      <c r="M1423" s="65"/>
      <c r="N1423" s="65"/>
      <c r="O1423" s="65"/>
    </row>
    <row r="1424" spans="12:15" x14ac:dyDescent="0.25">
      <c r="L1424" s="65"/>
      <c r="M1424" s="65"/>
      <c r="N1424" s="65"/>
      <c r="O1424" s="65"/>
    </row>
    <row r="1425" spans="12:15" x14ac:dyDescent="0.25">
      <c r="L1425" s="65"/>
      <c r="M1425" s="65"/>
      <c r="N1425" s="65"/>
      <c r="O1425" s="65"/>
    </row>
    <row r="1426" spans="12:15" x14ac:dyDescent="0.25">
      <c r="L1426" s="65"/>
      <c r="M1426" s="65"/>
      <c r="N1426" s="65"/>
      <c r="O1426" s="65"/>
    </row>
    <row r="1427" spans="12:15" x14ac:dyDescent="0.25">
      <c r="L1427" s="65"/>
      <c r="M1427" s="65"/>
      <c r="N1427" s="65"/>
      <c r="O1427" s="65"/>
    </row>
    <row r="1428" spans="12:15" x14ac:dyDescent="0.25">
      <c r="L1428" s="65"/>
      <c r="M1428" s="65"/>
      <c r="N1428" s="65"/>
      <c r="O1428" s="65"/>
    </row>
    <row r="1429" spans="12:15" x14ac:dyDescent="0.25">
      <c r="L1429" s="65"/>
      <c r="M1429" s="65"/>
      <c r="N1429" s="65"/>
      <c r="O1429" s="65"/>
    </row>
    <row r="1430" spans="12:15" x14ac:dyDescent="0.25">
      <c r="L1430" s="65"/>
      <c r="M1430" s="65"/>
      <c r="N1430" s="65"/>
      <c r="O1430" s="65"/>
    </row>
    <row r="1431" spans="12:15" x14ac:dyDescent="0.25">
      <c r="L1431" s="65"/>
      <c r="M1431" s="65"/>
      <c r="N1431" s="65"/>
      <c r="O1431" s="65"/>
    </row>
    <row r="1432" spans="12:15" x14ac:dyDescent="0.25">
      <c r="L1432" s="65"/>
      <c r="M1432" s="65"/>
      <c r="N1432" s="65"/>
      <c r="O1432" s="65"/>
    </row>
    <row r="1433" spans="12:15" x14ac:dyDescent="0.25">
      <c r="L1433" s="65"/>
      <c r="M1433" s="65"/>
      <c r="N1433" s="65"/>
      <c r="O1433" s="65"/>
    </row>
    <row r="1434" spans="12:15" x14ac:dyDescent="0.25">
      <c r="L1434" s="65"/>
      <c r="M1434" s="65"/>
      <c r="N1434" s="65"/>
      <c r="O1434" s="65"/>
    </row>
    <row r="1435" spans="12:15" x14ac:dyDescent="0.25">
      <c r="L1435" s="65"/>
      <c r="M1435" s="65"/>
      <c r="N1435" s="65"/>
      <c r="O1435" s="65"/>
    </row>
    <row r="1436" spans="12:15" x14ac:dyDescent="0.25">
      <c r="L1436" s="65"/>
      <c r="M1436" s="65"/>
      <c r="N1436" s="65"/>
      <c r="O1436" s="65"/>
    </row>
    <row r="1437" spans="12:15" x14ac:dyDescent="0.25">
      <c r="L1437" s="65"/>
      <c r="M1437" s="65"/>
      <c r="N1437" s="65"/>
      <c r="O1437" s="65"/>
    </row>
    <row r="1438" spans="12:15" x14ac:dyDescent="0.25">
      <c r="L1438" s="65"/>
      <c r="M1438" s="65"/>
      <c r="N1438" s="65"/>
      <c r="O1438" s="65"/>
    </row>
    <row r="1439" spans="12:15" x14ac:dyDescent="0.25">
      <c r="L1439" s="65"/>
      <c r="M1439" s="65"/>
      <c r="N1439" s="65"/>
      <c r="O1439" s="65"/>
    </row>
    <row r="1440" spans="12:15" x14ac:dyDescent="0.25">
      <c r="L1440" s="65"/>
      <c r="M1440" s="65"/>
      <c r="N1440" s="65"/>
      <c r="O1440" s="65"/>
    </row>
    <row r="1441" spans="12:15" x14ac:dyDescent="0.25">
      <c r="L1441" s="65"/>
      <c r="M1441" s="65"/>
      <c r="N1441" s="65"/>
      <c r="O1441" s="65"/>
    </row>
    <row r="1442" spans="12:15" x14ac:dyDescent="0.25">
      <c r="L1442" s="65"/>
      <c r="M1442" s="65"/>
      <c r="N1442" s="65"/>
      <c r="O1442" s="65"/>
    </row>
    <row r="1443" spans="12:15" x14ac:dyDescent="0.25">
      <c r="L1443" s="65"/>
      <c r="M1443" s="65"/>
      <c r="N1443" s="65"/>
      <c r="O1443" s="65"/>
    </row>
    <row r="1444" spans="12:15" x14ac:dyDescent="0.25">
      <c r="L1444" s="65"/>
      <c r="M1444" s="65"/>
      <c r="N1444" s="65"/>
      <c r="O1444" s="65"/>
    </row>
    <row r="1445" spans="12:15" x14ac:dyDescent="0.25">
      <c r="L1445" s="65"/>
      <c r="M1445" s="65"/>
      <c r="N1445" s="65"/>
      <c r="O1445" s="65"/>
    </row>
    <row r="1446" spans="12:15" x14ac:dyDescent="0.25">
      <c r="L1446" s="65"/>
      <c r="M1446" s="65"/>
      <c r="N1446" s="65"/>
      <c r="O1446" s="65"/>
    </row>
    <row r="1447" spans="12:15" x14ac:dyDescent="0.25">
      <c r="L1447" s="65"/>
      <c r="M1447" s="65"/>
      <c r="N1447" s="65"/>
      <c r="O1447" s="65"/>
    </row>
    <row r="1448" spans="12:15" x14ac:dyDescent="0.25">
      <c r="L1448" s="65"/>
      <c r="M1448" s="65"/>
      <c r="N1448" s="65"/>
      <c r="O1448" s="65"/>
    </row>
    <row r="1449" spans="12:15" x14ac:dyDescent="0.25">
      <c r="L1449" s="65"/>
      <c r="M1449" s="65"/>
      <c r="N1449" s="65"/>
      <c r="O1449" s="65"/>
    </row>
    <row r="1450" spans="12:15" x14ac:dyDescent="0.25">
      <c r="L1450" s="65"/>
      <c r="M1450" s="65"/>
      <c r="N1450" s="65"/>
      <c r="O1450" s="65"/>
    </row>
    <row r="1451" spans="12:15" x14ac:dyDescent="0.25">
      <c r="L1451" s="65"/>
      <c r="M1451" s="65"/>
      <c r="N1451" s="65"/>
      <c r="O1451" s="65"/>
    </row>
    <row r="1452" spans="12:15" x14ac:dyDescent="0.25">
      <c r="L1452" s="65"/>
      <c r="M1452" s="65"/>
      <c r="N1452" s="65"/>
      <c r="O1452" s="65"/>
    </row>
    <row r="1453" spans="12:15" x14ac:dyDescent="0.25">
      <c r="L1453" s="65"/>
      <c r="M1453" s="65"/>
      <c r="N1453" s="65"/>
      <c r="O1453" s="65"/>
    </row>
    <row r="1454" spans="12:15" x14ac:dyDescent="0.25">
      <c r="L1454" s="65"/>
      <c r="M1454" s="65"/>
      <c r="N1454" s="65"/>
      <c r="O1454" s="65"/>
    </row>
    <row r="1455" spans="12:15" x14ac:dyDescent="0.25">
      <c r="L1455" s="65"/>
      <c r="M1455" s="65"/>
      <c r="N1455" s="65"/>
      <c r="O1455" s="65"/>
    </row>
    <row r="1456" spans="12:15" x14ac:dyDescent="0.25">
      <c r="L1456" s="65"/>
      <c r="M1456" s="65"/>
      <c r="N1456" s="65"/>
      <c r="O1456" s="65"/>
    </row>
    <row r="1457" spans="12:15" x14ac:dyDescent="0.25">
      <c r="L1457" s="65"/>
      <c r="M1457" s="65"/>
      <c r="N1457" s="65"/>
      <c r="O1457" s="65"/>
    </row>
    <row r="1458" spans="12:15" x14ac:dyDescent="0.25">
      <c r="L1458" s="65"/>
      <c r="M1458" s="65"/>
      <c r="N1458" s="65"/>
      <c r="O1458" s="65"/>
    </row>
    <row r="1459" spans="12:15" x14ac:dyDescent="0.25">
      <c r="L1459" s="65"/>
      <c r="M1459" s="65"/>
      <c r="N1459" s="65"/>
      <c r="O1459" s="65"/>
    </row>
    <row r="1460" spans="12:15" x14ac:dyDescent="0.25">
      <c r="L1460" s="65"/>
      <c r="M1460" s="65"/>
      <c r="N1460" s="65"/>
      <c r="O1460" s="65"/>
    </row>
    <row r="1461" spans="12:15" x14ac:dyDescent="0.25">
      <c r="L1461" s="65"/>
      <c r="M1461" s="65"/>
      <c r="N1461" s="65"/>
      <c r="O1461" s="65"/>
    </row>
    <row r="1462" spans="12:15" x14ac:dyDescent="0.25">
      <c r="L1462" s="65"/>
      <c r="M1462" s="65"/>
      <c r="N1462" s="65"/>
      <c r="O1462" s="65"/>
    </row>
    <row r="1463" spans="12:15" x14ac:dyDescent="0.25">
      <c r="L1463" s="65"/>
      <c r="M1463" s="65"/>
      <c r="N1463" s="65"/>
      <c r="O1463" s="65"/>
    </row>
    <row r="1464" spans="12:15" x14ac:dyDescent="0.25">
      <c r="L1464" s="65"/>
      <c r="M1464" s="65"/>
      <c r="N1464" s="65"/>
      <c r="O1464" s="65"/>
    </row>
    <row r="1465" spans="12:15" x14ac:dyDescent="0.25">
      <c r="L1465" s="65"/>
      <c r="M1465" s="65"/>
      <c r="N1465" s="65"/>
      <c r="O1465" s="65"/>
    </row>
    <row r="1466" spans="12:15" x14ac:dyDescent="0.25">
      <c r="L1466" s="65"/>
      <c r="M1466" s="65"/>
      <c r="N1466" s="65"/>
      <c r="O1466" s="65"/>
    </row>
    <row r="1467" spans="12:15" x14ac:dyDescent="0.25">
      <c r="L1467" s="65"/>
      <c r="M1467" s="65"/>
      <c r="N1467" s="65"/>
      <c r="O1467" s="65"/>
    </row>
    <row r="1468" spans="12:15" x14ac:dyDescent="0.25">
      <c r="L1468" s="65"/>
      <c r="M1468" s="65"/>
      <c r="N1468" s="65"/>
      <c r="O1468" s="65"/>
    </row>
    <row r="1469" spans="12:15" x14ac:dyDescent="0.25">
      <c r="L1469" s="65"/>
      <c r="M1469" s="65"/>
      <c r="N1469" s="65"/>
      <c r="O1469" s="65"/>
    </row>
    <row r="1470" spans="12:15" x14ac:dyDescent="0.25">
      <c r="L1470" s="65"/>
      <c r="M1470" s="65"/>
      <c r="N1470" s="65"/>
      <c r="O1470" s="65"/>
    </row>
    <row r="1471" spans="12:15" x14ac:dyDescent="0.25">
      <c r="L1471" s="65"/>
      <c r="M1471" s="65"/>
      <c r="N1471" s="65"/>
      <c r="O1471" s="65"/>
    </row>
    <row r="1472" spans="12:15" x14ac:dyDescent="0.25">
      <c r="L1472" s="65"/>
      <c r="M1472" s="65"/>
      <c r="N1472" s="65"/>
      <c r="O1472" s="65"/>
    </row>
    <row r="1473" spans="12:15" x14ac:dyDescent="0.25">
      <c r="L1473" s="65"/>
      <c r="M1473" s="65"/>
      <c r="N1473" s="65"/>
      <c r="O1473" s="65"/>
    </row>
    <row r="1474" spans="12:15" x14ac:dyDescent="0.25">
      <c r="L1474" s="65"/>
      <c r="M1474" s="65"/>
      <c r="N1474" s="65"/>
      <c r="O1474" s="65"/>
    </row>
    <row r="1475" spans="12:15" x14ac:dyDescent="0.25">
      <c r="L1475" s="65"/>
      <c r="M1475" s="65"/>
      <c r="N1475" s="65"/>
      <c r="O1475" s="65"/>
    </row>
    <row r="1476" spans="12:15" x14ac:dyDescent="0.25">
      <c r="L1476" s="65"/>
      <c r="M1476" s="65"/>
      <c r="N1476" s="65"/>
      <c r="O1476" s="65"/>
    </row>
    <row r="1477" spans="12:15" x14ac:dyDescent="0.25">
      <c r="L1477" s="65"/>
      <c r="M1477" s="65"/>
      <c r="N1477" s="65"/>
      <c r="O1477" s="65"/>
    </row>
    <row r="1478" spans="12:15" x14ac:dyDescent="0.25">
      <c r="L1478" s="65"/>
      <c r="M1478" s="65"/>
      <c r="N1478" s="65"/>
      <c r="O1478" s="65"/>
    </row>
    <row r="1479" spans="12:15" x14ac:dyDescent="0.25">
      <c r="L1479" s="65"/>
      <c r="M1479" s="65"/>
      <c r="N1479" s="65"/>
      <c r="O1479" s="65"/>
    </row>
    <row r="1480" spans="12:15" x14ac:dyDescent="0.25">
      <c r="L1480" s="65"/>
      <c r="M1480" s="65"/>
      <c r="N1480" s="65"/>
      <c r="O1480" s="65"/>
    </row>
    <row r="1481" spans="12:15" x14ac:dyDescent="0.25">
      <c r="L1481" s="65"/>
      <c r="M1481" s="65"/>
      <c r="N1481" s="65"/>
      <c r="O1481" s="65"/>
    </row>
    <row r="1482" spans="12:15" x14ac:dyDescent="0.25">
      <c r="L1482" s="65"/>
      <c r="M1482" s="65"/>
      <c r="N1482" s="65"/>
      <c r="O1482" s="65"/>
    </row>
    <row r="1483" spans="12:15" x14ac:dyDescent="0.25">
      <c r="L1483" s="65"/>
      <c r="M1483" s="65"/>
      <c r="N1483" s="65"/>
      <c r="O1483" s="65"/>
    </row>
    <row r="1484" spans="12:15" x14ac:dyDescent="0.25">
      <c r="L1484" s="65"/>
      <c r="M1484" s="65"/>
      <c r="N1484" s="65"/>
      <c r="O1484" s="65"/>
    </row>
    <row r="1485" spans="12:15" x14ac:dyDescent="0.25">
      <c r="L1485" s="65"/>
      <c r="M1485" s="65"/>
      <c r="N1485" s="65"/>
      <c r="O1485" s="65"/>
    </row>
    <row r="1486" spans="12:15" x14ac:dyDescent="0.25">
      <c r="L1486" s="65"/>
      <c r="M1486" s="65"/>
      <c r="N1486" s="65"/>
      <c r="O1486" s="65"/>
    </row>
    <row r="1487" spans="12:15" x14ac:dyDescent="0.25">
      <c r="L1487" s="65"/>
      <c r="M1487" s="65"/>
      <c r="N1487" s="65"/>
      <c r="O1487" s="65"/>
    </row>
    <row r="1488" spans="12:15" x14ac:dyDescent="0.25">
      <c r="L1488" s="65"/>
      <c r="M1488" s="65"/>
      <c r="N1488" s="65"/>
      <c r="O1488" s="65"/>
    </row>
    <row r="1489" spans="12:15" x14ac:dyDescent="0.25">
      <c r="L1489" s="65"/>
      <c r="M1489" s="65"/>
      <c r="N1489" s="65"/>
      <c r="O1489" s="65"/>
    </row>
    <row r="1490" spans="12:15" x14ac:dyDescent="0.25">
      <c r="L1490" s="65"/>
      <c r="M1490" s="65"/>
      <c r="N1490" s="65"/>
      <c r="O1490" s="65"/>
    </row>
    <row r="1491" spans="12:15" x14ac:dyDescent="0.25">
      <c r="L1491" s="65"/>
      <c r="M1491" s="65"/>
      <c r="N1491" s="65"/>
      <c r="O1491" s="65"/>
    </row>
    <row r="1492" spans="12:15" x14ac:dyDescent="0.25">
      <c r="L1492" s="65"/>
      <c r="M1492" s="65"/>
      <c r="N1492" s="65"/>
      <c r="O1492" s="65"/>
    </row>
    <row r="1493" spans="12:15" x14ac:dyDescent="0.25">
      <c r="L1493" s="65"/>
      <c r="M1493" s="65"/>
      <c r="N1493" s="65"/>
      <c r="O1493" s="65"/>
    </row>
    <row r="1494" spans="12:15" x14ac:dyDescent="0.25">
      <c r="L1494" s="65"/>
      <c r="M1494" s="65"/>
      <c r="N1494" s="65"/>
      <c r="O1494" s="65"/>
    </row>
    <row r="1495" spans="12:15" x14ac:dyDescent="0.25">
      <c r="L1495" s="65"/>
      <c r="M1495" s="65"/>
      <c r="N1495" s="65"/>
      <c r="O1495" s="65"/>
    </row>
    <row r="1496" spans="12:15" x14ac:dyDescent="0.25">
      <c r="L1496" s="65"/>
      <c r="M1496" s="65"/>
      <c r="N1496" s="65"/>
      <c r="O1496" s="65"/>
    </row>
    <row r="1497" spans="12:15" x14ac:dyDescent="0.25">
      <c r="L1497" s="65"/>
      <c r="M1497" s="65"/>
      <c r="N1497" s="65"/>
      <c r="O1497" s="65"/>
    </row>
    <row r="1498" spans="12:15" x14ac:dyDescent="0.25">
      <c r="L1498" s="65"/>
      <c r="M1498" s="65"/>
      <c r="N1498" s="65"/>
      <c r="O1498" s="65"/>
    </row>
    <row r="1499" spans="12:15" x14ac:dyDescent="0.25">
      <c r="L1499" s="65"/>
      <c r="M1499" s="65"/>
      <c r="N1499" s="65"/>
      <c r="O1499" s="65"/>
    </row>
    <row r="1500" spans="12:15" x14ac:dyDescent="0.25">
      <c r="L1500" s="65"/>
      <c r="M1500" s="65"/>
      <c r="N1500" s="65"/>
      <c r="O1500" s="65"/>
    </row>
    <row r="1501" spans="12:15" x14ac:dyDescent="0.25">
      <c r="L1501" s="65"/>
      <c r="M1501" s="65"/>
      <c r="N1501" s="65"/>
      <c r="O1501" s="65"/>
    </row>
    <row r="1502" spans="12:15" x14ac:dyDescent="0.25">
      <c r="L1502" s="65"/>
      <c r="M1502" s="65"/>
      <c r="N1502" s="65"/>
      <c r="O1502" s="65"/>
    </row>
    <row r="1503" spans="12:15" x14ac:dyDescent="0.25">
      <c r="L1503" s="65"/>
      <c r="M1503" s="65"/>
      <c r="N1503" s="65"/>
      <c r="O1503" s="65"/>
    </row>
    <row r="1504" spans="12:15" x14ac:dyDescent="0.25">
      <c r="L1504" s="65"/>
      <c r="M1504" s="65"/>
      <c r="N1504" s="65"/>
      <c r="O1504" s="65"/>
    </row>
    <row r="1505" spans="12:15" x14ac:dyDescent="0.25">
      <c r="L1505" s="65"/>
      <c r="M1505" s="65"/>
      <c r="N1505" s="65"/>
      <c r="O1505" s="65"/>
    </row>
    <row r="1506" spans="12:15" x14ac:dyDescent="0.25">
      <c r="L1506" s="65"/>
      <c r="M1506" s="65"/>
      <c r="N1506" s="65"/>
      <c r="O1506" s="65"/>
    </row>
    <row r="1507" spans="12:15" x14ac:dyDescent="0.25">
      <c r="L1507" s="65"/>
      <c r="M1507" s="65"/>
      <c r="N1507" s="65"/>
      <c r="O1507" s="65"/>
    </row>
    <row r="1508" spans="12:15" x14ac:dyDescent="0.25">
      <c r="L1508" s="65"/>
      <c r="M1508" s="65"/>
      <c r="N1508" s="65"/>
      <c r="O1508" s="65"/>
    </row>
    <row r="1509" spans="12:15" x14ac:dyDescent="0.25">
      <c r="L1509" s="65"/>
      <c r="M1509" s="65"/>
      <c r="N1509" s="65"/>
      <c r="O1509" s="65"/>
    </row>
    <row r="1510" spans="12:15" x14ac:dyDescent="0.25">
      <c r="L1510" s="65"/>
      <c r="M1510" s="65"/>
      <c r="N1510" s="65"/>
      <c r="O1510" s="65"/>
    </row>
    <row r="1511" spans="12:15" x14ac:dyDescent="0.25">
      <c r="L1511" s="65"/>
      <c r="M1511" s="65"/>
      <c r="N1511" s="65"/>
      <c r="O1511" s="65"/>
    </row>
    <row r="1512" spans="12:15" x14ac:dyDescent="0.25">
      <c r="L1512" s="65"/>
      <c r="M1512" s="65"/>
      <c r="N1512" s="65"/>
      <c r="O1512" s="65"/>
    </row>
    <row r="1513" spans="12:15" x14ac:dyDescent="0.25">
      <c r="L1513" s="65"/>
      <c r="M1513" s="65"/>
      <c r="N1513" s="65"/>
      <c r="O1513" s="65"/>
    </row>
    <row r="1514" spans="12:15" x14ac:dyDescent="0.25">
      <c r="L1514" s="65"/>
      <c r="M1514" s="65"/>
      <c r="N1514" s="65"/>
      <c r="O1514" s="65"/>
    </row>
    <row r="1515" spans="12:15" x14ac:dyDescent="0.25">
      <c r="L1515" s="65"/>
      <c r="M1515" s="65"/>
      <c r="N1515" s="65"/>
      <c r="O1515" s="65"/>
    </row>
    <row r="1516" spans="12:15" x14ac:dyDescent="0.25">
      <c r="L1516" s="65"/>
      <c r="M1516" s="65"/>
      <c r="N1516" s="65"/>
      <c r="O1516" s="65"/>
    </row>
    <row r="1517" spans="12:15" x14ac:dyDescent="0.25">
      <c r="L1517" s="65"/>
      <c r="M1517" s="65"/>
      <c r="N1517" s="65"/>
      <c r="O1517" s="65"/>
    </row>
    <row r="1518" spans="12:15" x14ac:dyDescent="0.25">
      <c r="L1518" s="65"/>
      <c r="M1518" s="65"/>
      <c r="N1518" s="65"/>
      <c r="O1518" s="65"/>
    </row>
    <row r="1519" spans="12:15" x14ac:dyDescent="0.25">
      <c r="L1519" s="65"/>
      <c r="M1519" s="65"/>
      <c r="N1519" s="65"/>
      <c r="O1519" s="65"/>
    </row>
    <row r="1520" spans="12:15" x14ac:dyDescent="0.25">
      <c r="L1520" s="65"/>
      <c r="M1520" s="65"/>
      <c r="N1520" s="65"/>
      <c r="O1520" s="65"/>
    </row>
    <row r="1521" spans="12:15" x14ac:dyDescent="0.25">
      <c r="L1521" s="65"/>
      <c r="M1521" s="65"/>
      <c r="N1521" s="65"/>
      <c r="O1521" s="65"/>
    </row>
    <row r="1522" spans="12:15" x14ac:dyDescent="0.25">
      <c r="L1522" s="65"/>
      <c r="M1522" s="65"/>
      <c r="N1522" s="65"/>
      <c r="O1522" s="65"/>
    </row>
    <row r="1523" spans="12:15" x14ac:dyDescent="0.25">
      <c r="L1523" s="65"/>
      <c r="M1523" s="65"/>
      <c r="N1523" s="65"/>
      <c r="O1523" s="65"/>
    </row>
    <row r="1524" spans="12:15" x14ac:dyDescent="0.25">
      <c r="L1524" s="65"/>
      <c r="M1524" s="65"/>
      <c r="N1524" s="65"/>
      <c r="O1524" s="65"/>
    </row>
    <row r="1525" spans="12:15" x14ac:dyDescent="0.25">
      <c r="L1525" s="65"/>
      <c r="M1525" s="65"/>
      <c r="N1525" s="65"/>
      <c r="O1525" s="65"/>
    </row>
    <row r="1526" spans="12:15" x14ac:dyDescent="0.25">
      <c r="L1526" s="65"/>
      <c r="M1526" s="65"/>
      <c r="N1526" s="65"/>
      <c r="O1526" s="65"/>
    </row>
    <row r="1527" spans="12:15" x14ac:dyDescent="0.25">
      <c r="L1527" s="65"/>
      <c r="M1527" s="65"/>
      <c r="N1527" s="65"/>
      <c r="O1527" s="65"/>
    </row>
    <row r="1528" spans="12:15" x14ac:dyDescent="0.25">
      <c r="L1528" s="65"/>
      <c r="M1528" s="65"/>
      <c r="N1528" s="65"/>
      <c r="O1528" s="65"/>
    </row>
    <row r="1529" spans="12:15" x14ac:dyDescent="0.25">
      <c r="L1529" s="65"/>
      <c r="M1529" s="65"/>
      <c r="N1529" s="65"/>
      <c r="O1529" s="65"/>
    </row>
    <row r="1530" spans="12:15" x14ac:dyDescent="0.25">
      <c r="L1530" s="65"/>
      <c r="M1530" s="65"/>
      <c r="N1530" s="65"/>
      <c r="O1530" s="65"/>
    </row>
    <row r="1531" spans="12:15" x14ac:dyDescent="0.25">
      <c r="L1531" s="65"/>
      <c r="M1531" s="65"/>
      <c r="N1531" s="65"/>
      <c r="O1531" s="65"/>
    </row>
    <row r="1532" spans="12:15" x14ac:dyDescent="0.25">
      <c r="L1532" s="65"/>
      <c r="M1532" s="65"/>
      <c r="N1532" s="65"/>
      <c r="O1532" s="65"/>
    </row>
    <row r="1533" spans="12:15" x14ac:dyDescent="0.25">
      <c r="L1533" s="65"/>
      <c r="M1533" s="65"/>
      <c r="N1533" s="65"/>
      <c r="O1533" s="65"/>
    </row>
    <row r="1534" spans="12:15" x14ac:dyDescent="0.25">
      <c r="L1534" s="65"/>
      <c r="M1534" s="65"/>
      <c r="N1534" s="65"/>
      <c r="O1534" s="65"/>
    </row>
    <row r="1535" spans="12:15" x14ac:dyDescent="0.25">
      <c r="L1535" s="65"/>
      <c r="M1535" s="65"/>
      <c r="N1535" s="65"/>
      <c r="O1535" s="65"/>
    </row>
    <row r="1536" spans="12:15" x14ac:dyDescent="0.25">
      <c r="L1536" s="65"/>
      <c r="M1536" s="65"/>
      <c r="N1536" s="65"/>
      <c r="O1536" s="65"/>
    </row>
    <row r="1537" spans="12:15" x14ac:dyDescent="0.25">
      <c r="L1537" s="65"/>
      <c r="M1537" s="65"/>
      <c r="N1537" s="65"/>
      <c r="O1537" s="65"/>
    </row>
    <row r="1538" spans="12:15" x14ac:dyDescent="0.25">
      <c r="L1538" s="65"/>
      <c r="M1538" s="65"/>
      <c r="N1538" s="65"/>
      <c r="O1538" s="65"/>
    </row>
    <row r="1539" spans="12:15" x14ac:dyDescent="0.25">
      <c r="L1539" s="65"/>
      <c r="M1539" s="65"/>
      <c r="N1539" s="65"/>
      <c r="O1539" s="65"/>
    </row>
    <row r="1540" spans="12:15" x14ac:dyDescent="0.25">
      <c r="L1540" s="65"/>
      <c r="M1540" s="65"/>
      <c r="N1540" s="65"/>
      <c r="O1540" s="65"/>
    </row>
    <row r="1541" spans="12:15" x14ac:dyDescent="0.25">
      <c r="L1541" s="65"/>
      <c r="M1541" s="65"/>
      <c r="N1541" s="65"/>
      <c r="O1541" s="65"/>
    </row>
    <row r="1542" spans="12:15" x14ac:dyDescent="0.25">
      <c r="L1542" s="65"/>
      <c r="M1542" s="65"/>
      <c r="N1542" s="65"/>
      <c r="O1542" s="65"/>
    </row>
    <row r="1543" spans="12:15" x14ac:dyDescent="0.25">
      <c r="L1543" s="65"/>
      <c r="M1543" s="65"/>
      <c r="N1543" s="65"/>
      <c r="O1543" s="65"/>
    </row>
    <row r="1544" spans="12:15" x14ac:dyDescent="0.25">
      <c r="L1544" s="65"/>
      <c r="M1544" s="65"/>
      <c r="N1544" s="65"/>
      <c r="O1544" s="65"/>
    </row>
    <row r="1545" spans="12:15" x14ac:dyDescent="0.25">
      <c r="L1545" s="65"/>
      <c r="M1545" s="65"/>
      <c r="N1545" s="65"/>
      <c r="O1545" s="65"/>
    </row>
    <row r="1546" spans="12:15" x14ac:dyDescent="0.25">
      <c r="L1546" s="65"/>
      <c r="M1546" s="65"/>
      <c r="N1546" s="65"/>
      <c r="O1546" s="65"/>
    </row>
    <row r="1547" spans="12:15" x14ac:dyDescent="0.25">
      <c r="L1547" s="65"/>
      <c r="M1547" s="65"/>
      <c r="N1547" s="65"/>
      <c r="O1547" s="65"/>
    </row>
    <row r="1548" spans="12:15" x14ac:dyDescent="0.25">
      <c r="L1548" s="65"/>
      <c r="M1548" s="65"/>
      <c r="N1548" s="65"/>
      <c r="O1548" s="65"/>
    </row>
    <row r="1549" spans="12:15" x14ac:dyDescent="0.25">
      <c r="L1549" s="65"/>
      <c r="M1549" s="65"/>
      <c r="N1549" s="65"/>
      <c r="O1549" s="65"/>
    </row>
    <row r="1550" spans="12:15" x14ac:dyDescent="0.25">
      <c r="L1550" s="65"/>
      <c r="M1550" s="65"/>
      <c r="N1550" s="65"/>
      <c r="O1550" s="65"/>
    </row>
    <row r="1551" spans="12:15" x14ac:dyDescent="0.25">
      <c r="L1551" s="65"/>
      <c r="M1551" s="65"/>
      <c r="N1551" s="65"/>
      <c r="O1551" s="65"/>
    </row>
    <row r="1552" spans="12:15" x14ac:dyDescent="0.25">
      <c r="L1552" s="65"/>
      <c r="M1552" s="65"/>
      <c r="N1552" s="65"/>
      <c r="O1552" s="65"/>
    </row>
    <row r="1553" spans="12:15" x14ac:dyDescent="0.25">
      <c r="L1553" s="65"/>
      <c r="M1553" s="65"/>
      <c r="N1553" s="65"/>
      <c r="O1553" s="65"/>
    </row>
    <row r="1554" spans="12:15" x14ac:dyDescent="0.25">
      <c r="L1554" s="65"/>
      <c r="M1554" s="65"/>
      <c r="N1554" s="65"/>
      <c r="O1554" s="65"/>
    </row>
    <row r="1555" spans="12:15" x14ac:dyDescent="0.25">
      <c r="L1555" s="65"/>
      <c r="M1555" s="65"/>
      <c r="N1555" s="65"/>
      <c r="O1555" s="65"/>
    </row>
    <row r="1556" spans="12:15" x14ac:dyDescent="0.25">
      <c r="L1556" s="65"/>
      <c r="M1556" s="65"/>
      <c r="N1556" s="65"/>
      <c r="O1556" s="65"/>
    </row>
    <row r="1557" spans="12:15" x14ac:dyDescent="0.25">
      <c r="L1557" s="65"/>
      <c r="M1557" s="65"/>
      <c r="N1557" s="65"/>
      <c r="O1557" s="65"/>
    </row>
    <row r="1558" spans="12:15" x14ac:dyDescent="0.25">
      <c r="L1558" s="65"/>
      <c r="M1558" s="65"/>
      <c r="N1558" s="65"/>
      <c r="O1558" s="65"/>
    </row>
    <row r="1559" spans="12:15" x14ac:dyDescent="0.25">
      <c r="L1559" s="65"/>
      <c r="M1559" s="65"/>
      <c r="N1559" s="65"/>
      <c r="O1559" s="65"/>
    </row>
    <row r="1560" spans="12:15" x14ac:dyDescent="0.25">
      <c r="L1560" s="65"/>
      <c r="M1560" s="65"/>
      <c r="N1560" s="65"/>
      <c r="O1560" s="65"/>
    </row>
    <row r="1561" spans="12:15" x14ac:dyDescent="0.25">
      <c r="L1561" s="65"/>
      <c r="M1561" s="65"/>
      <c r="N1561" s="65"/>
      <c r="O1561" s="65"/>
    </row>
    <row r="1562" spans="12:15" x14ac:dyDescent="0.25">
      <c r="L1562" s="65"/>
      <c r="M1562" s="65"/>
      <c r="N1562" s="65"/>
      <c r="O1562" s="65"/>
    </row>
    <row r="1563" spans="12:15" x14ac:dyDescent="0.25">
      <c r="L1563" s="65"/>
      <c r="M1563" s="65"/>
      <c r="N1563" s="65"/>
      <c r="O1563" s="65"/>
    </row>
    <row r="1564" spans="12:15" x14ac:dyDescent="0.25">
      <c r="L1564" s="65"/>
      <c r="M1564" s="65"/>
      <c r="N1564" s="65"/>
      <c r="O1564" s="65"/>
    </row>
    <row r="1565" spans="12:15" x14ac:dyDescent="0.25">
      <c r="L1565" s="65"/>
      <c r="M1565" s="65"/>
      <c r="N1565" s="65"/>
      <c r="O1565" s="65"/>
    </row>
    <row r="1566" spans="12:15" x14ac:dyDescent="0.25">
      <c r="L1566" s="65"/>
      <c r="M1566" s="65"/>
      <c r="N1566" s="65"/>
      <c r="O1566" s="65"/>
    </row>
    <row r="1567" spans="12:15" x14ac:dyDescent="0.25">
      <c r="L1567" s="65"/>
      <c r="M1567" s="65"/>
      <c r="N1567" s="65"/>
      <c r="O1567" s="65"/>
    </row>
    <row r="1568" spans="12:15" x14ac:dyDescent="0.25">
      <c r="L1568" s="65"/>
      <c r="M1568" s="65"/>
      <c r="N1568" s="65"/>
      <c r="O1568" s="65"/>
    </row>
    <row r="1569" spans="12:15" x14ac:dyDescent="0.25">
      <c r="L1569" s="65"/>
      <c r="M1569" s="65"/>
      <c r="N1569" s="65"/>
      <c r="O1569" s="65"/>
    </row>
    <row r="1570" spans="12:15" x14ac:dyDescent="0.25">
      <c r="L1570" s="65"/>
      <c r="M1570" s="65"/>
      <c r="N1570" s="65"/>
      <c r="O1570" s="65"/>
    </row>
    <row r="1571" spans="12:15" x14ac:dyDescent="0.25">
      <c r="L1571" s="65"/>
      <c r="M1571" s="65"/>
      <c r="N1571" s="65"/>
      <c r="O1571" s="65"/>
    </row>
    <row r="1572" spans="12:15" x14ac:dyDescent="0.25">
      <c r="L1572" s="65"/>
      <c r="M1572" s="65"/>
      <c r="N1572" s="65"/>
      <c r="O1572" s="65"/>
    </row>
    <row r="1573" spans="12:15" x14ac:dyDescent="0.25">
      <c r="L1573" s="65"/>
      <c r="M1573" s="65"/>
      <c r="N1573" s="65"/>
      <c r="O1573" s="65"/>
    </row>
    <row r="1574" spans="12:15" x14ac:dyDescent="0.25">
      <c r="L1574" s="65"/>
      <c r="M1574" s="65"/>
      <c r="N1574" s="65"/>
      <c r="O1574" s="65"/>
    </row>
    <row r="1575" spans="12:15" x14ac:dyDescent="0.25">
      <c r="L1575" s="65"/>
      <c r="M1575" s="65"/>
      <c r="N1575" s="65"/>
      <c r="O1575" s="65"/>
    </row>
    <row r="1576" spans="12:15" x14ac:dyDescent="0.25">
      <c r="L1576" s="65"/>
      <c r="M1576" s="65"/>
      <c r="N1576" s="65"/>
      <c r="O1576" s="65"/>
    </row>
    <row r="1577" spans="12:15" x14ac:dyDescent="0.25">
      <c r="L1577" s="65"/>
      <c r="M1577" s="65"/>
      <c r="N1577" s="65"/>
      <c r="O1577" s="65"/>
    </row>
    <row r="1578" spans="12:15" x14ac:dyDescent="0.25">
      <c r="L1578" s="65"/>
      <c r="M1578" s="65"/>
      <c r="N1578" s="65"/>
      <c r="O1578" s="65"/>
    </row>
    <row r="1579" spans="12:15" x14ac:dyDescent="0.25">
      <c r="L1579" s="65"/>
      <c r="M1579" s="65"/>
      <c r="N1579" s="65"/>
      <c r="O1579" s="65"/>
    </row>
    <row r="1580" spans="12:15" x14ac:dyDescent="0.25">
      <c r="L1580" s="65"/>
      <c r="M1580" s="65"/>
      <c r="N1580" s="65"/>
      <c r="O1580" s="65"/>
    </row>
    <row r="1581" spans="12:15" x14ac:dyDescent="0.25">
      <c r="L1581" s="65"/>
      <c r="M1581" s="65"/>
      <c r="N1581" s="65"/>
      <c r="O1581" s="65"/>
    </row>
    <row r="1582" spans="12:15" x14ac:dyDescent="0.25">
      <c r="L1582" s="65"/>
      <c r="M1582" s="65"/>
      <c r="N1582" s="65"/>
      <c r="O1582" s="65"/>
    </row>
    <row r="1583" spans="12:15" x14ac:dyDescent="0.25">
      <c r="L1583" s="65"/>
      <c r="M1583" s="65"/>
      <c r="N1583" s="65"/>
      <c r="O1583" s="65"/>
    </row>
    <row r="1584" spans="12:15" x14ac:dyDescent="0.25">
      <c r="L1584" s="65"/>
      <c r="M1584" s="65"/>
      <c r="N1584" s="65"/>
      <c r="O1584" s="65"/>
    </row>
    <row r="1585" spans="12:15" x14ac:dyDescent="0.25">
      <c r="L1585" s="65"/>
      <c r="M1585" s="65"/>
      <c r="N1585" s="65"/>
      <c r="O1585" s="65"/>
    </row>
    <row r="1586" spans="12:15" x14ac:dyDescent="0.25">
      <c r="L1586" s="65"/>
      <c r="M1586" s="65"/>
      <c r="N1586" s="65"/>
      <c r="O1586" s="65"/>
    </row>
    <row r="1587" spans="12:15" x14ac:dyDescent="0.25">
      <c r="L1587" s="65"/>
      <c r="M1587" s="65"/>
      <c r="N1587" s="65"/>
      <c r="O1587" s="65"/>
    </row>
    <row r="1588" spans="12:15" x14ac:dyDescent="0.25">
      <c r="L1588" s="65"/>
      <c r="M1588" s="65"/>
      <c r="N1588" s="65"/>
      <c r="O1588" s="65"/>
    </row>
    <row r="1589" spans="12:15" x14ac:dyDescent="0.25">
      <c r="L1589" s="65"/>
      <c r="M1589" s="65"/>
      <c r="N1589" s="65"/>
      <c r="O1589" s="65"/>
    </row>
    <row r="1590" spans="12:15" x14ac:dyDescent="0.25">
      <c r="L1590" s="65"/>
      <c r="M1590" s="65"/>
      <c r="N1590" s="65"/>
      <c r="O1590" s="65"/>
    </row>
    <row r="1591" spans="12:15" x14ac:dyDescent="0.25">
      <c r="L1591" s="65"/>
      <c r="M1591" s="65"/>
      <c r="N1591" s="65"/>
      <c r="O1591" s="65"/>
    </row>
    <row r="1592" spans="12:15" x14ac:dyDescent="0.25">
      <c r="L1592" s="65"/>
      <c r="M1592" s="65"/>
      <c r="N1592" s="65"/>
      <c r="O1592" s="65"/>
    </row>
    <row r="1593" spans="12:15" x14ac:dyDescent="0.25">
      <c r="L1593" s="65"/>
      <c r="M1593" s="65"/>
      <c r="N1593" s="65"/>
      <c r="O1593" s="65"/>
    </row>
    <row r="1594" spans="12:15" x14ac:dyDescent="0.25">
      <c r="L1594" s="65"/>
      <c r="M1594" s="65"/>
      <c r="N1594" s="65"/>
      <c r="O1594" s="65"/>
    </row>
    <row r="1595" spans="12:15" x14ac:dyDescent="0.25">
      <c r="L1595" s="65"/>
      <c r="M1595" s="65"/>
      <c r="N1595" s="65"/>
      <c r="O1595" s="65"/>
    </row>
    <row r="1596" spans="12:15" x14ac:dyDescent="0.25">
      <c r="L1596" s="65"/>
      <c r="M1596" s="65"/>
      <c r="N1596" s="65"/>
      <c r="O1596" s="65"/>
    </row>
    <row r="1597" spans="12:15" x14ac:dyDescent="0.25">
      <c r="L1597" s="65"/>
      <c r="M1597" s="65"/>
      <c r="N1597" s="65"/>
      <c r="O1597" s="65"/>
    </row>
    <row r="1598" spans="12:15" x14ac:dyDescent="0.25">
      <c r="L1598" s="65"/>
      <c r="M1598" s="65"/>
      <c r="N1598" s="65"/>
      <c r="O1598" s="65"/>
    </row>
    <row r="1599" spans="12:15" x14ac:dyDescent="0.25">
      <c r="L1599" s="65"/>
      <c r="M1599" s="65"/>
      <c r="N1599" s="65"/>
      <c r="O1599" s="65"/>
    </row>
    <row r="1600" spans="12:15" x14ac:dyDescent="0.25">
      <c r="L1600" s="65"/>
      <c r="M1600" s="65"/>
      <c r="N1600" s="65"/>
      <c r="O1600" s="65"/>
    </row>
    <row r="1601" spans="12:15" x14ac:dyDescent="0.25">
      <c r="L1601" s="65"/>
      <c r="M1601" s="65"/>
      <c r="N1601" s="65"/>
      <c r="O1601" s="65"/>
    </row>
    <row r="1602" spans="12:15" x14ac:dyDescent="0.25">
      <c r="L1602" s="65"/>
      <c r="M1602" s="65"/>
      <c r="N1602" s="65"/>
      <c r="O1602" s="65"/>
    </row>
    <row r="1603" spans="12:15" x14ac:dyDescent="0.25">
      <c r="L1603" s="65"/>
      <c r="M1603" s="65"/>
      <c r="N1603" s="65"/>
      <c r="O1603" s="65"/>
    </row>
    <row r="1604" spans="12:15" x14ac:dyDescent="0.25">
      <c r="L1604" s="65"/>
      <c r="M1604" s="65"/>
      <c r="N1604" s="65"/>
      <c r="O1604" s="65"/>
    </row>
    <row r="1605" spans="12:15" x14ac:dyDescent="0.25">
      <c r="L1605" s="65"/>
      <c r="M1605" s="65"/>
      <c r="N1605" s="65"/>
      <c r="O1605" s="65"/>
    </row>
    <row r="1606" spans="12:15" x14ac:dyDescent="0.25">
      <c r="L1606" s="65"/>
      <c r="M1606" s="65"/>
      <c r="N1606" s="65"/>
      <c r="O1606" s="65"/>
    </row>
    <row r="1607" spans="12:15" x14ac:dyDescent="0.25">
      <c r="L1607" s="65"/>
      <c r="M1607" s="65"/>
      <c r="N1607" s="65"/>
      <c r="O1607" s="65"/>
    </row>
    <row r="1608" spans="12:15" x14ac:dyDescent="0.25">
      <c r="L1608" s="65"/>
      <c r="M1608" s="65"/>
      <c r="N1608" s="65"/>
      <c r="O1608" s="65"/>
    </row>
    <row r="1609" spans="12:15" x14ac:dyDescent="0.25">
      <c r="L1609" s="65"/>
      <c r="M1609" s="65"/>
      <c r="N1609" s="65"/>
      <c r="O1609" s="65"/>
    </row>
    <row r="1610" spans="12:15" x14ac:dyDescent="0.25">
      <c r="L1610" s="65"/>
      <c r="M1610" s="65"/>
      <c r="N1610" s="65"/>
      <c r="O1610" s="65"/>
    </row>
    <row r="1611" spans="12:15" x14ac:dyDescent="0.25">
      <c r="L1611" s="65"/>
      <c r="M1611" s="65"/>
      <c r="N1611" s="65"/>
      <c r="O1611" s="65"/>
    </row>
    <row r="1612" spans="12:15" x14ac:dyDescent="0.25">
      <c r="L1612" s="65"/>
      <c r="M1612" s="65"/>
      <c r="N1612" s="65"/>
      <c r="O1612" s="65"/>
    </row>
    <row r="1613" spans="12:15" x14ac:dyDescent="0.25">
      <c r="L1613" s="65"/>
      <c r="M1613" s="65"/>
      <c r="N1613" s="65"/>
      <c r="O1613" s="65"/>
    </row>
    <row r="1614" spans="12:15" x14ac:dyDescent="0.25">
      <c r="L1614" s="65"/>
      <c r="M1614" s="65"/>
      <c r="N1614" s="65"/>
      <c r="O1614" s="65"/>
    </row>
    <row r="1615" spans="12:15" x14ac:dyDescent="0.25">
      <c r="L1615" s="65"/>
      <c r="M1615" s="65"/>
      <c r="N1615" s="65"/>
      <c r="O1615" s="65"/>
    </row>
    <row r="1616" spans="12:15" x14ac:dyDescent="0.25">
      <c r="L1616" s="65"/>
      <c r="M1616" s="65"/>
      <c r="N1616" s="65"/>
      <c r="O1616" s="65"/>
    </row>
    <row r="1617" spans="12:15" x14ac:dyDescent="0.25">
      <c r="L1617" s="65"/>
      <c r="M1617" s="65"/>
      <c r="N1617" s="65"/>
      <c r="O1617" s="65"/>
    </row>
    <row r="1618" spans="12:15" x14ac:dyDescent="0.25">
      <c r="L1618" s="65"/>
      <c r="M1618" s="65"/>
      <c r="N1618" s="65"/>
      <c r="O1618" s="65"/>
    </row>
    <row r="1619" spans="12:15" x14ac:dyDescent="0.25">
      <c r="L1619" s="65"/>
      <c r="M1619" s="65"/>
      <c r="N1619" s="65"/>
      <c r="O1619" s="65"/>
    </row>
    <row r="1620" spans="12:15" x14ac:dyDescent="0.25">
      <c r="L1620" s="65"/>
      <c r="M1620" s="65"/>
      <c r="N1620" s="65"/>
      <c r="O1620" s="65"/>
    </row>
    <row r="1621" spans="12:15" x14ac:dyDescent="0.25">
      <c r="L1621" s="65"/>
      <c r="M1621" s="65"/>
      <c r="N1621" s="65"/>
      <c r="O1621" s="65"/>
    </row>
    <row r="1622" spans="12:15" x14ac:dyDescent="0.25">
      <c r="L1622" s="65"/>
      <c r="M1622" s="65"/>
      <c r="N1622" s="65"/>
      <c r="O1622" s="65"/>
    </row>
    <row r="1623" spans="12:15" x14ac:dyDescent="0.25">
      <c r="L1623" s="65"/>
      <c r="M1623" s="65"/>
      <c r="N1623" s="65"/>
      <c r="O1623" s="65"/>
    </row>
    <row r="1624" spans="12:15" x14ac:dyDescent="0.25">
      <c r="L1624" s="65"/>
      <c r="M1624" s="65"/>
      <c r="N1624" s="65"/>
      <c r="O1624" s="65"/>
    </row>
    <row r="1625" spans="12:15" x14ac:dyDescent="0.25">
      <c r="L1625" s="65"/>
      <c r="M1625" s="65"/>
      <c r="N1625" s="65"/>
      <c r="O1625" s="65"/>
    </row>
    <row r="1626" spans="12:15" x14ac:dyDescent="0.25">
      <c r="L1626" s="65"/>
      <c r="M1626" s="65"/>
      <c r="N1626" s="65"/>
      <c r="O1626" s="65"/>
    </row>
    <row r="1627" spans="12:15" x14ac:dyDescent="0.25">
      <c r="L1627" s="65"/>
      <c r="M1627" s="65"/>
      <c r="N1627" s="65"/>
      <c r="O1627" s="65"/>
    </row>
    <row r="1628" spans="12:15" x14ac:dyDescent="0.25">
      <c r="L1628" s="65"/>
      <c r="M1628" s="65"/>
      <c r="N1628" s="65"/>
      <c r="O1628" s="65"/>
    </row>
    <row r="1629" spans="12:15" x14ac:dyDescent="0.25">
      <c r="L1629" s="65"/>
      <c r="M1629" s="65"/>
      <c r="N1629" s="65"/>
      <c r="O1629" s="65"/>
    </row>
    <row r="1630" spans="12:15" x14ac:dyDescent="0.25">
      <c r="L1630" s="65"/>
      <c r="M1630" s="65"/>
      <c r="N1630" s="65"/>
      <c r="O1630" s="65"/>
    </row>
    <row r="1631" spans="12:15" x14ac:dyDescent="0.25">
      <c r="L1631" s="65"/>
      <c r="M1631" s="65"/>
      <c r="N1631" s="65"/>
      <c r="O1631" s="65"/>
    </row>
    <row r="1632" spans="12:15" x14ac:dyDescent="0.25">
      <c r="L1632" s="65"/>
      <c r="M1632" s="65"/>
      <c r="N1632" s="65"/>
      <c r="O1632" s="65"/>
    </row>
    <row r="1633" spans="12:15" x14ac:dyDescent="0.25">
      <c r="L1633" s="65"/>
      <c r="M1633" s="65"/>
      <c r="N1633" s="65"/>
      <c r="O1633" s="65"/>
    </row>
    <row r="1634" spans="12:15" x14ac:dyDescent="0.25">
      <c r="L1634" s="65"/>
      <c r="M1634" s="65"/>
      <c r="N1634" s="65"/>
      <c r="O1634" s="65"/>
    </row>
    <row r="1635" spans="12:15" x14ac:dyDescent="0.25">
      <c r="L1635" s="65"/>
      <c r="M1635" s="65"/>
      <c r="N1635" s="65"/>
      <c r="O1635" s="65"/>
    </row>
    <row r="1636" spans="12:15" x14ac:dyDescent="0.25">
      <c r="L1636" s="65"/>
      <c r="M1636" s="65"/>
      <c r="N1636" s="65"/>
      <c r="O1636" s="65"/>
    </row>
    <row r="1637" spans="12:15" x14ac:dyDescent="0.25">
      <c r="L1637" s="65"/>
      <c r="M1637" s="65"/>
      <c r="N1637" s="65"/>
      <c r="O1637" s="65"/>
    </row>
    <row r="1638" spans="12:15" x14ac:dyDescent="0.25">
      <c r="L1638" s="65"/>
      <c r="M1638" s="65"/>
      <c r="N1638" s="65"/>
      <c r="O1638" s="65"/>
    </row>
    <row r="1639" spans="12:15" x14ac:dyDescent="0.25">
      <c r="L1639" s="65"/>
      <c r="M1639" s="65"/>
      <c r="N1639" s="65"/>
      <c r="O1639" s="65"/>
    </row>
    <row r="1640" spans="12:15" x14ac:dyDescent="0.25">
      <c r="L1640" s="65"/>
      <c r="M1640" s="65"/>
      <c r="N1640" s="65"/>
      <c r="O1640" s="65"/>
    </row>
    <row r="1641" spans="12:15" x14ac:dyDescent="0.25">
      <c r="L1641" s="65"/>
      <c r="M1641" s="65"/>
      <c r="N1641" s="65"/>
      <c r="O1641" s="65"/>
    </row>
    <row r="1642" spans="12:15" x14ac:dyDescent="0.25">
      <c r="L1642" s="65"/>
      <c r="M1642" s="65"/>
      <c r="N1642" s="65"/>
      <c r="O1642" s="65"/>
    </row>
    <row r="1643" spans="12:15" x14ac:dyDescent="0.25">
      <c r="L1643" s="65"/>
      <c r="M1643" s="65"/>
      <c r="N1643" s="65"/>
      <c r="O1643" s="65"/>
    </row>
    <row r="1644" spans="12:15" x14ac:dyDescent="0.25">
      <c r="L1644" s="65"/>
      <c r="M1644" s="65"/>
      <c r="N1644" s="65"/>
      <c r="O1644" s="65"/>
    </row>
    <row r="1645" spans="12:15" x14ac:dyDescent="0.25">
      <c r="L1645" s="65"/>
      <c r="M1645" s="65"/>
      <c r="N1645" s="65"/>
      <c r="O1645" s="65"/>
    </row>
    <row r="1646" spans="12:15" x14ac:dyDescent="0.25">
      <c r="L1646" s="65"/>
      <c r="M1646" s="65"/>
      <c r="N1646" s="65"/>
      <c r="O1646" s="65"/>
    </row>
    <row r="1647" spans="12:15" x14ac:dyDescent="0.25">
      <c r="L1647" s="65"/>
      <c r="M1647" s="65"/>
      <c r="N1647" s="65"/>
      <c r="O1647" s="65"/>
    </row>
    <row r="1648" spans="12:15" x14ac:dyDescent="0.25">
      <c r="L1648" s="65"/>
      <c r="M1648" s="65"/>
      <c r="N1648" s="65"/>
      <c r="O1648" s="65"/>
    </row>
    <row r="1649" spans="12:15" x14ac:dyDescent="0.25">
      <c r="L1649" s="65"/>
      <c r="M1649" s="65"/>
      <c r="N1649" s="65"/>
      <c r="O1649" s="65"/>
    </row>
    <row r="1650" spans="12:15" x14ac:dyDescent="0.25">
      <c r="L1650" s="65"/>
      <c r="M1650" s="65"/>
      <c r="N1650" s="65"/>
      <c r="O1650" s="65"/>
    </row>
    <row r="1651" spans="12:15" x14ac:dyDescent="0.25">
      <c r="L1651" s="65"/>
      <c r="M1651" s="65"/>
      <c r="N1651" s="65"/>
      <c r="O1651" s="65"/>
    </row>
    <row r="1652" spans="12:15" x14ac:dyDescent="0.25">
      <c r="L1652" s="65"/>
      <c r="M1652" s="65"/>
      <c r="N1652" s="65"/>
      <c r="O1652" s="65"/>
    </row>
    <row r="1653" spans="12:15" x14ac:dyDescent="0.25">
      <c r="L1653" s="65"/>
      <c r="M1653" s="65"/>
      <c r="N1653" s="65"/>
      <c r="O1653" s="65"/>
    </row>
    <row r="1654" spans="12:15" x14ac:dyDescent="0.25">
      <c r="L1654" s="65"/>
      <c r="M1654" s="65"/>
      <c r="N1654" s="65"/>
      <c r="O1654" s="65"/>
    </row>
    <row r="1655" spans="12:15" x14ac:dyDescent="0.25">
      <c r="L1655" s="65"/>
      <c r="M1655" s="65"/>
      <c r="N1655" s="65"/>
      <c r="O1655" s="65"/>
    </row>
    <row r="1656" spans="12:15" x14ac:dyDescent="0.25">
      <c r="L1656" s="65"/>
      <c r="M1656" s="65"/>
      <c r="N1656" s="65"/>
      <c r="O1656" s="65"/>
    </row>
    <row r="1657" spans="12:15" x14ac:dyDescent="0.25">
      <c r="L1657" s="65"/>
      <c r="M1657" s="65"/>
      <c r="N1657" s="65"/>
      <c r="O1657" s="65"/>
    </row>
    <row r="1658" spans="12:15" x14ac:dyDescent="0.25">
      <c r="L1658" s="65"/>
      <c r="M1658" s="65"/>
      <c r="N1658" s="65"/>
      <c r="O1658" s="65"/>
    </row>
    <row r="1659" spans="12:15" x14ac:dyDescent="0.25">
      <c r="L1659" s="65"/>
      <c r="M1659" s="65"/>
      <c r="N1659" s="65"/>
      <c r="O1659" s="65"/>
    </row>
    <row r="1660" spans="12:15" x14ac:dyDescent="0.25">
      <c r="L1660" s="65"/>
      <c r="M1660" s="65"/>
      <c r="N1660" s="65"/>
      <c r="O1660" s="65"/>
    </row>
    <row r="1661" spans="12:15" x14ac:dyDescent="0.25">
      <c r="L1661" s="65"/>
      <c r="M1661" s="65"/>
      <c r="N1661" s="65"/>
      <c r="O1661" s="65"/>
    </row>
    <row r="1662" spans="12:15" x14ac:dyDescent="0.25">
      <c r="L1662" s="65"/>
      <c r="M1662" s="65"/>
      <c r="N1662" s="65"/>
      <c r="O1662" s="65"/>
    </row>
    <row r="1663" spans="12:15" x14ac:dyDescent="0.25">
      <c r="L1663" s="65"/>
      <c r="M1663" s="65"/>
      <c r="N1663" s="65"/>
      <c r="O1663" s="65"/>
    </row>
    <row r="1664" spans="12:15" x14ac:dyDescent="0.25">
      <c r="L1664" s="65"/>
      <c r="M1664" s="65"/>
      <c r="N1664" s="65"/>
      <c r="O1664" s="65"/>
    </row>
    <row r="1665" spans="12:15" x14ac:dyDescent="0.25">
      <c r="L1665" s="65"/>
      <c r="M1665" s="65"/>
      <c r="N1665" s="65"/>
      <c r="O1665" s="65"/>
    </row>
    <row r="1666" spans="12:15" x14ac:dyDescent="0.25">
      <c r="L1666" s="65"/>
      <c r="M1666" s="65"/>
      <c r="N1666" s="65"/>
      <c r="O1666" s="65"/>
    </row>
    <row r="1667" spans="12:15" x14ac:dyDescent="0.25">
      <c r="L1667" s="65"/>
      <c r="M1667" s="65"/>
      <c r="N1667" s="65"/>
      <c r="O1667" s="65"/>
    </row>
    <row r="1668" spans="12:15" x14ac:dyDescent="0.25">
      <c r="L1668" s="65"/>
      <c r="M1668" s="65"/>
      <c r="N1668" s="65"/>
      <c r="O1668" s="65"/>
    </row>
    <row r="1669" spans="12:15" x14ac:dyDescent="0.25">
      <c r="L1669" s="65"/>
      <c r="M1669" s="65"/>
      <c r="N1669" s="65"/>
      <c r="O1669" s="65"/>
    </row>
    <row r="1670" spans="12:15" x14ac:dyDescent="0.25">
      <c r="L1670" s="65"/>
      <c r="M1670" s="65"/>
      <c r="N1670" s="65"/>
      <c r="O1670" s="65"/>
    </row>
    <row r="1671" spans="12:15" x14ac:dyDescent="0.25">
      <c r="L1671" s="65"/>
      <c r="M1671" s="65"/>
      <c r="N1671" s="65"/>
      <c r="O1671" s="65"/>
    </row>
    <row r="1672" spans="12:15" x14ac:dyDescent="0.25">
      <c r="L1672" s="65"/>
      <c r="M1672" s="65"/>
      <c r="N1672" s="65"/>
      <c r="O1672" s="65"/>
    </row>
    <row r="1673" spans="12:15" x14ac:dyDescent="0.25">
      <c r="L1673" s="65"/>
      <c r="M1673" s="65"/>
      <c r="N1673" s="65"/>
      <c r="O1673" s="65"/>
    </row>
    <row r="1674" spans="12:15" x14ac:dyDescent="0.25">
      <c r="L1674" s="65"/>
      <c r="M1674" s="65"/>
      <c r="N1674" s="65"/>
      <c r="O1674" s="65"/>
    </row>
    <row r="1675" spans="12:15" x14ac:dyDescent="0.25">
      <c r="L1675" s="65"/>
      <c r="M1675" s="65"/>
      <c r="N1675" s="65"/>
      <c r="O1675" s="65"/>
    </row>
    <row r="1676" spans="12:15" x14ac:dyDescent="0.25">
      <c r="L1676" s="65"/>
      <c r="M1676" s="65"/>
      <c r="N1676" s="65"/>
      <c r="O1676" s="65"/>
    </row>
    <row r="1677" spans="12:15" x14ac:dyDescent="0.25">
      <c r="L1677" s="65"/>
      <c r="M1677" s="65"/>
      <c r="N1677" s="65"/>
      <c r="O1677" s="65"/>
    </row>
    <row r="1678" spans="12:15" x14ac:dyDescent="0.25">
      <c r="L1678" s="65"/>
      <c r="M1678" s="65"/>
      <c r="N1678" s="65"/>
      <c r="O1678" s="65"/>
    </row>
    <row r="1679" spans="12:15" x14ac:dyDescent="0.25">
      <c r="L1679" s="65"/>
      <c r="M1679" s="65"/>
      <c r="N1679" s="65"/>
      <c r="O1679" s="65"/>
    </row>
    <row r="1680" spans="12:15" x14ac:dyDescent="0.25">
      <c r="L1680" s="65"/>
      <c r="M1680" s="65"/>
      <c r="N1680" s="65"/>
      <c r="O1680" s="65"/>
    </row>
    <row r="1681" spans="12:15" x14ac:dyDescent="0.25">
      <c r="L1681" s="65"/>
      <c r="M1681" s="65"/>
      <c r="N1681" s="65"/>
      <c r="O1681" s="65"/>
    </row>
    <row r="1682" spans="12:15" x14ac:dyDescent="0.25">
      <c r="L1682" s="65"/>
      <c r="M1682" s="65"/>
      <c r="N1682" s="65"/>
      <c r="O1682" s="65"/>
    </row>
    <row r="1683" spans="12:15" x14ac:dyDescent="0.25">
      <c r="L1683" s="65"/>
      <c r="M1683" s="65"/>
      <c r="N1683" s="65"/>
      <c r="O1683" s="65"/>
    </row>
    <row r="1684" spans="12:15" x14ac:dyDescent="0.25">
      <c r="L1684" s="65"/>
      <c r="M1684" s="65"/>
      <c r="N1684" s="65"/>
      <c r="O1684" s="65"/>
    </row>
    <row r="1685" spans="12:15" x14ac:dyDescent="0.25">
      <c r="L1685" s="65"/>
      <c r="M1685" s="65"/>
      <c r="N1685" s="65"/>
      <c r="O1685" s="65"/>
    </row>
    <row r="1686" spans="12:15" x14ac:dyDescent="0.25">
      <c r="L1686" s="65"/>
      <c r="M1686" s="65"/>
      <c r="N1686" s="65"/>
      <c r="O1686" s="65"/>
    </row>
    <row r="1687" spans="12:15" x14ac:dyDescent="0.25">
      <c r="L1687" s="65"/>
      <c r="M1687" s="65"/>
      <c r="N1687" s="65"/>
      <c r="O1687" s="65"/>
    </row>
    <row r="1688" spans="12:15" x14ac:dyDescent="0.25">
      <c r="L1688" s="65"/>
      <c r="M1688" s="65"/>
      <c r="N1688" s="65"/>
      <c r="O1688" s="65"/>
    </row>
    <row r="1689" spans="12:15" x14ac:dyDescent="0.25">
      <c r="L1689" s="65"/>
      <c r="M1689" s="65"/>
      <c r="N1689" s="65"/>
      <c r="O1689" s="65"/>
    </row>
    <row r="1690" spans="12:15" x14ac:dyDescent="0.25">
      <c r="L1690" s="65"/>
      <c r="M1690" s="65"/>
      <c r="N1690" s="65"/>
      <c r="O1690" s="65"/>
    </row>
    <row r="1691" spans="12:15" x14ac:dyDescent="0.25">
      <c r="L1691" s="65"/>
      <c r="M1691" s="65"/>
      <c r="N1691" s="65"/>
      <c r="O1691" s="65"/>
    </row>
    <row r="1692" spans="12:15" x14ac:dyDescent="0.25">
      <c r="L1692" s="65"/>
      <c r="M1692" s="65"/>
      <c r="N1692" s="65"/>
      <c r="O1692" s="65"/>
    </row>
    <row r="1693" spans="12:15" x14ac:dyDescent="0.25">
      <c r="L1693" s="65"/>
      <c r="M1693" s="65"/>
      <c r="N1693" s="65"/>
      <c r="O1693" s="65"/>
    </row>
    <row r="1694" spans="12:15" x14ac:dyDescent="0.25">
      <c r="L1694" s="65"/>
      <c r="M1694" s="65"/>
      <c r="N1694" s="65"/>
      <c r="O1694" s="65"/>
    </row>
    <row r="1695" spans="12:15" x14ac:dyDescent="0.25">
      <c r="L1695" s="65"/>
      <c r="M1695" s="65"/>
      <c r="N1695" s="65"/>
      <c r="O1695" s="65"/>
    </row>
    <row r="1696" spans="12:15" x14ac:dyDescent="0.25">
      <c r="L1696" s="65"/>
      <c r="M1696" s="65"/>
      <c r="N1696" s="65"/>
      <c r="O1696" s="65"/>
    </row>
    <row r="1697" spans="12:15" x14ac:dyDescent="0.25">
      <c r="L1697" s="65"/>
      <c r="M1697" s="65"/>
      <c r="N1697" s="65"/>
      <c r="O1697" s="65"/>
    </row>
    <row r="1698" spans="12:15" x14ac:dyDescent="0.25">
      <c r="L1698" s="65"/>
      <c r="M1698" s="65"/>
      <c r="N1698" s="65"/>
      <c r="O1698" s="65"/>
    </row>
    <row r="1699" spans="12:15" x14ac:dyDescent="0.25">
      <c r="L1699" s="65"/>
      <c r="M1699" s="65"/>
      <c r="N1699" s="65"/>
      <c r="O1699" s="65"/>
    </row>
    <row r="1700" spans="12:15" x14ac:dyDescent="0.25">
      <c r="L1700" s="65"/>
      <c r="M1700" s="65"/>
      <c r="N1700" s="65"/>
      <c r="O1700" s="65"/>
    </row>
    <row r="1701" spans="12:15" x14ac:dyDescent="0.25">
      <c r="L1701" s="65"/>
      <c r="M1701" s="65"/>
      <c r="N1701" s="65"/>
      <c r="O1701" s="65"/>
    </row>
    <row r="1702" spans="12:15" x14ac:dyDescent="0.25">
      <c r="L1702" s="65"/>
      <c r="M1702" s="65"/>
      <c r="N1702" s="65"/>
      <c r="O1702" s="65"/>
    </row>
    <row r="1703" spans="12:15" x14ac:dyDescent="0.25">
      <c r="L1703" s="65"/>
      <c r="M1703" s="65"/>
      <c r="N1703" s="65"/>
      <c r="O1703" s="65"/>
    </row>
    <row r="1704" spans="12:15" x14ac:dyDescent="0.25">
      <c r="L1704" s="65"/>
      <c r="M1704" s="65"/>
      <c r="N1704" s="65"/>
      <c r="O1704" s="65"/>
    </row>
    <row r="1705" spans="12:15" x14ac:dyDescent="0.25">
      <c r="L1705" s="65"/>
      <c r="M1705" s="65"/>
      <c r="N1705" s="65"/>
      <c r="O1705" s="65"/>
    </row>
    <row r="1706" spans="12:15" x14ac:dyDescent="0.25">
      <c r="L1706" s="65"/>
      <c r="M1706" s="65"/>
      <c r="N1706" s="65"/>
      <c r="O1706" s="65"/>
    </row>
    <row r="1707" spans="12:15" x14ac:dyDescent="0.25">
      <c r="L1707" s="65"/>
      <c r="M1707" s="65"/>
      <c r="N1707" s="65"/>
      <c r="O1707" s="65"/>
    </row>
    <row r="1708" spans="12:15" x14ac:dyDescent="0.25">
      <c r="L1708" s="65"/>
      <c r="M1708" s="65"/>
      <c r="N1708" s="65"/>
      <c r="O1708" s="65"/>
    </row>
    <row r="1709" spans="12:15" x14ac:dyDescent="0.25">
      <c r="L1709" s="65"/>
      <c r="M1709" s="65"/>
      <c r="N1709" s="65"/>
      <c r="O1709" s="65"/>
    </row>
    <row r="1710" spans="12:15" x14ac:dyDescent="0.25">
      <c r="L1710" s="65"/>
      <c r="M1710" s="65"/>
      <c r="N1710" s="65"/>
      <c r="O1710" s="65"/>
    </row>
    <row r="1711" spans="12:15" x14ac:dyDescent="0.25">
      <c r="L1711" s="65"/>
      <c r="M1711" s="65"/>
      <c r="N1711" s="65"/>
      <c r="O1711" s="65"/>
    </row>
    <row r="1712" spans="12:15" x14ac:dyDescent="0.25">
      <c r="L1712" s="65"/>
      <c r="M1712" s="65"/>
      <c r="N1712" s="65"/>
      <c r="O1712" s="65"/>
    </row>
    <row r="1713" spans="12:15" x14ac:dyDescent="0.25">
      <c r="L1713" s="65"/>
      <c r="M1713" s="65"/>
      <c r="N1713" s="65"/>
      <c r="O1713" s="65"/>
    </row>
    <row r="1714" spans="12:15" x14ac:dyDescent="0.25">
      <c r="L1714" s="65"/>
      <c r="M1714" s="65"/>
      <c r="N1714" s="65"/>
      <c r="O1714" s="65"/>
    </row>
    <row r="1715" spans="12:15" x14ac:dyDescent="0.25">
      <c r="L1715" s="65"/>
      <c r="M1715" s="65"/>
      <c r="N1715" s="65"/>
      <c r="O1715" s="65"/>
    </row>
    <row r="1716" spans="12:15" x14ac:dyDescent="0.25">
      <c r="L1716" s="65"/>
      <c r="M1716" s="65"/>
      <c r="N1716" s="65"/>
      <c r="O1716" s="65"/>
    </row>
    <row r="1717" spans="12:15" x14ac:dyDescent="0.25">
      <c r="L1717" s="65"/>
      <c r="M1717" s="65"/>
      <c r="N1717" s="65"/>
      <c r="O1717" s="65"/>
    </row>
    <row r="1718" spans="12:15" x14ac:dyDescent="0.25">
      <c r="L1718" s="65"/>
      <c r="M1718" s="65"/>
      <c r="N1718" s="65"/>
      <c r="O1718" s="65"/>
    </row>
    <row r="1719" spans="12:15" x14ac:dyDescent="0.25">
      <c r="L1719" s="65"/>
      <c r="M1719" s="65"/>
      <c r="N1719" s="65"/>
      <c r="O1719" s="65"/>
    </row>
    <row r="1720" spans="12:15" x14ac:dyDescent="0.25">
      <c r="L1720" s="65"/>
      <c r="M1720" s="65"/>
      <c r="N1720" s="65"/>
      <c r="O1720" s="65"/>
    </row>
    <row r="1721" spans="12:15" x14ac:dyDescent="0.25">
      <c r="L1721" s="65"/>
      <c r="M1721" s="65"/>
      <c r="N1721" s="65"/>
      <c r="O1721" s="65"/>
    </row>
    <row r="1722" spans="12:15" x14ac:dyDescent="0.25">
      <c r="L1722" s="65"/>
      <c r="M1722" s="65"/>
      <c r="N1722" s="65"/>
      <c r="O1722" s="65"/>
    </row>
    <row r="1723" spans="12:15" x14ac:dyDescent="0.25">
      <c r="L1723" s="65"/>
      <c r="M1723" s="65"/>
      <c r="N1723" s="65"/>
      <c r="O1723" s="65"/>
    </row>
    <row r="1724" spans="12:15" x14ac:dyDescent="0.25">
      <c r="L1724" s="65"/>
      <c r="M1724" s="65"/>
      <c r="N1724" s="65"/>
      <c r="O1724" s="65"/>
    </row>
    <row r="1725" spans="12:15" x14ac:dyDescent="0.25">
      <c r="L1725" s="65"/>
      <c r="M1725" s="65"/>
      <c r="N1725" s="65"/>
      <c r="O1725" s="65"/>
    </row>
    <row r="1726" spans="12:15" x14ac:dyDescent="0.25">
      <c r="L1726" s="65"/>
      <c r="M1726" s="65"/>
      <c r="N1726" s="65"/>
      <c r="O1726" s="65"/>
    </row>
    <row r="1727" spans="12:15" x14ac:dyDescent="0.25">
      <c r="L1727" s="65"/>
      <c r="M1727" s="65"/>
      <c r="N1727" s="65"/>
      <c r="O1727" s="65"/>
    </row>
    <row r="1728" spans="12:15" x14ac:dyDescent="0.25">
      <c r="L1728" s="65"/>
      <c r="M1728" s="65"/>
      <c r="N1728" s="65"/>
      <c r="O1728" s="65"/>
    </row>
    <row r="1729" spans="12:15" x14ac:dyDescent="0.25">
      <c r="L1729" s="65"/>
      <c r="M1729" s="65"/>
      <c r="N1729" s="65"/>
      <c r="O1729" s="65"/>
    </row>
    <row r="1730" spans="12:15" x14ac:dyDescent="0.25">
      <c r="L1730" s="65"/>
      <c r="M1730" s="65"/>
      <c r="N1730" s="65"/>
      <c r="O1730" s="65"/>
    </row>
    <row r="1731" spans="12:15" x14ac:dyDescent="0.25">
      <c r="L1731" s="65"/>
      <c r="M1731" s="65"/>
      <c r="N1731" s="65"/>
      <c r="O1731" s="65"/>
    </row>
    <row r="1732" spans="12:15" x14ac:dyDescent="0.25">
      <c r="L1732" s="65"/>
      <c r="M1732" s="65"/>
      <c r="N1732" s="65"/>
      <c r="O1732" s="65"/>
    </row>
    <row r="1733" spans="12:15" x14ac:dyDescent="0.25">
      <c r="L1733" s="65"/>
      <c r="M1733" s="65"/>
      <c r="N1733" s="65"/>
      <c r="O1733" s="65"/>
    </row>
    <row r="1734" spans="12:15" x14ac:dyDescent="0.25">
      <c r="L1734" s="65"/>
      <c r="M1734" s="65"/>
      <c r="N1734" s="65"/>
      <c r="O1734" s="65"/>
    </row>
    <row r="1735" spans="12:15" x14ac:dyDescent="0.25">
      <c r="L1735" s="65"/>
      <c r="M1735" s="65"/>
      <c r="N1735" s="65"/>
      <c r="O1735" s="65"/>
    </row>
    <row r="1736" spans="12:15" x14ac:dyDescent="0.25">
      <c r="L1736" s="65"/>
      <c r="M1736" s="65"/>
      <c r="N1736" s="65"/>
      <c r="O1736" s="65"/>
    </row>
    <row r="1737" spans="12:15" x14ac:dyDescent="0.25">
      <c r="L1737" s="65"/>
      <c r="M1737" s="65"/>
      <c r="N1737" s="65"/>
      <c r="O1737" s="65"/>
    </row>
    <row r="1738" spans="12:15" x14ac:dyDescent="0.25">
      <c r="L1738" s="65"/>
      <c r="M1738" s="65"/>
      <c r="N1738" s="65"/>
      <c r="O1738" s="65"/>
    </row>
    <row r="1739" spans="12:15" x14ac:dyDescent="0.25">
      <c r="L1739" s="65"/>
      <c r="M1739" s="65"/>
      <c r="N1739" s="65"/>
      <c r="O1739" s="65"/>
    </row>
    <row r="1740" spans="12:15" x14ac:dyDescent="0.25">
      <c r="L1740" s="65"/>
      <c r="M1740" s="65"/>
      <c r="N1740" s="65"/>
      <c r="O1740" s="65"/>
    </row>
    <row r="1741" spans="12:15" x14ac:dyDescent="0.25">
      <c r="L1741" s="65"/>
      <c r="M1741" s="65"/>
      <c r="N1741" s="65"/>
      <c r="O1741" s="65"/>
    </row>
    <row r="1742" spans="12:15" x14ac:dyDescent="0.25">
      <c r="L1742" s="65"/>
      <c r="M1742" s="65"/>
      <c r="N1742" s="65"/>
      <c r="O1742" s="65"/>
    </row>
    <row r="1743" spans="12:15" x14ac:dyDescent="0.25">
      <c r="L1743" s="65"/>
      <c r="M1743" s="65"/>
      <c r="N1743" s="65"/>
      <c r="O1743" s="65"/>
    </row>
    <row r="1744" spans="12:15" x14ac:dyDescent="0.25">
      <c r="L1744" s="65"/>
      <c r="M1744" s="65"/>
      <c r="N1744" s="65"/>
      <c r="O1744" s="65"/>
    </row>
    <row r="1745" spans="12:15" x14ac:dyDescent="0.25">
      <c r="L1745" s="65"/>
      <c r="M1745" s="65"/>
      <c r="N1745" s="65"/>
      <c r="O1745" s="65"/>
    </row>
    <row r="1746" spans="12:15" x14ac:dyDescent="0.25">
      <c r="L1746" s="65"/>
      <c r="M1746" s="65"/>
      <c r="N1746" s="65"/>
      <c r="O1746" s="65"/>
    </row>
    <row r="1747" spans="12:15" x14ac:dyDescent="0.25">
      <c r="L1747" s="65"/>
      <c r="M1747" s="65"/>
      <c r="N1747" s="65"/>
      <c r="O1747" s="65"/>
    </row>
    <row r="1748" spans="12:15" x14ac:dyDescent="0.25">
      <c r="L1748" s="65"/>
      <c r="M1748" s="65"/>
      <c r="N1748" s="65"/>
      <c r="O1748" s="65"/>
    </row>
    <row r="1749" spans="12:15" x14ac:dyDescent="0.25">
      <c r="L1749" s="65"/>
      <c r="M1749" s="65"/>
      <c r="N1749" s="65"/>
      <c r="O1749" s="65"/>
    </row>
    <row r="1750" spans="12:15" x14ac:dyDescent="0.25">
      <c r="L1750" s="65"/>
      <c r="M1750" s="65"/>
      <c r="N1750" s="65"/>
      <c r="O1750" s="65"/>
    </row>
    <row r="1751" spans="12:15" x14ac:dyDescent="0.25">
      <c r="L1751" s="65"/>
      <c r="M1751" s="65"/>
      <c r="N1751" s="65"/>
      <c r="O1751" s="65"/>
    </row>
    <row r="1752" spans="12:15" x14ac:dyDescent="0.25">
      <c r="L1752" s="65"/>
      <c r="M1752" s="65"/>
      <c r="N1752" s="65"/>
      <c r="O1752" s="65"/>
    </row>
    <row r="1753" spans="12:15" x14ac:dyDescent="0.25">
      <c r="L1753" s="65"/>
      <c r="M1753" s="65"/>
      <c r="N1753" s="65"/>
      <c r="O1753" s="65"/>
    </row>
    <row r="1754" spans="12:15" x14ac:dyDescent="0.25">
      <c r="L1754" s="65"/>
      <c r="M1754" s="65"/>
      <c r="N1754" s="65"/>
      <c r="O1754" s="65"/>
    </row>
    <row r="1755" spans="12:15" x14ac:dyDescent="0.25">
      <c r="L1755" s="65"/>
      <c r="M1755" s="65"/>
      <c r="N1755" s="65"/>
      <c r="O1755" s="65"/>
    </row>
    <row r="1756" spans="12:15" x14ac:dyDescent="0.25">
      <c r="L1756" s="65"/>
      <c r="M1756" s="65"/>
      <c r="N1756" s="65"/>
      <c r="O1756" s="65"/>
    </row>
    <row r="1757" spans="12:15" x14ac:dyDescent="0.25">
      <c r="L1757" s="65"/>
      <c r="M1757" s="65"/>
      <c r="N1757" s="65"/>
      <c r="O1757" s="65"/>
    </row>
    <row r="1758" spans="12:15" x14ac:dyDescent="0.25">
      <c r="L1758" s="65"/>
      <c r="M1758" s="65"/>
      <c r="N1758" s="65"/>
      <c r="O1758" s="65"/>
    </row>
    <row r="1759" spans="12:15" x14ac:dyDescent="0.25">
      <c r="L1759" s="65"/>
      <c r="M1759" s="65"/>
      <c r="N1759" s="65"/>
      <c r="O1759" s="65"/>
    </row>
    <row r="1760" spans="12:15" x14ac:dyDescent="0.25">
      <c r="L1760" s="65"/>
      <c r="M1760" s="65"/>
      <c r="N1760" s="65"/>
      <c r="O1760" s="65"/>
    </row>
    <row r="1761" spans="12:15" x14ac:dyDescent="0.25">
      <c r="L1761" s="65"/>
      <c r="M1761" s="65"/>
      <c r="N1761" s="65"/>
      <c r="O1761" s="65"/>
    </row>
    <row r="1762" spans="12:15" x14ac:dyDescent="0.25">
      <c r="L1762" s="65"/>
      <c r="M1762" s="65"/>
      <c r="N1762" s="65"/>
      <c r="O1762" s="65"/>
    </row>
    <row r="1763" spans="12:15" x14ac:dyDescent="0.25">
      <c r="L1763" s="65"/>
      <c r="M1763" s="65"/>
      <c r="N1763" s="65"/>
      <c r="O1763" s="65"/>
    </row>
    <row r="1764" spans="12:15" x14ac:dyDescent="0.25">
      <c r="L1764" s="65"/>
      <c r="M1764" s="65"/>
      <c r="N1764" s="65"/>
      <c r="O1764" s="65"/>
    </row>
    <row r="1765" spans="12:15" x14ac:dyDescent="0.25">
      <c r="L1765" s="65"/>
      <c r="M1765" s="65"/>
      <c r="N1765" s="65"/>
      <c r="O1765" s="65"/>
    </row>
    <row r="1766" spans="12:15" x14ac:dyDescent="0.25">
      <c r="L1766" s="65"/>
      <c r="M1766" s="65"/>
      <c r="N1766" s="65"/>
      <c r="O1766" s="65"/>
    </row>
    <row r="1767" spans="12:15" x14ac:dyDescent="0.25">
      <c r="L1767" s="65"/>
      <c r="M1767" s="65"/>
      <c r="N1767" s="65"/>
      <c r="O1767" s="65"/>
    </row>
    <row r="1768" spans="12:15" x14ac:dyDescent="0.25">
      <c r="L1768" s="65"/>
      <c r="M1768" s="65"/>
      <c r="N1768" s="65"/>
      <c r="O1768" s="65"/>
    </row>
    <row r="1769" spans="12:15" x14ac:dyDescent="0.25">
      <c r="L1769" s="65"/>
      <c r="M1769" s="65"/>
      <c r="N1769" s="65"/>
      <c r="O1769" s="65"/>
    </row>
    <row r="1770" spans="12:15" x14ac:dyDescent="0.25">
      <c r="L1770" s="65"/>
      <c r="M1770" s="65"/>
      <c r="N1770" s="65"/>
      <c r="O1770" s="65"/>
    </row>
    <row r="1771" spans="12:15" x14ac:dyDescent="0.25">
      <c r="L1771" s="65"/>
      <c r="M1771" s="65"/>
      <c r="N1771" s="65"/>
      <c r="O1771" s="65"/>
    </row>
    <row r="1772" spans="12:15" x14ac:dyDescent="0.25">
      <c r="L1772" s="65"/>
      <c r="M1772" s="65"/>
      <c r="N1772" s="65"/>
      <c r="O1772" s="65"/>
    </row>
    <row r="1773" spans="12:15" x14ac:dyDescent="0.25">
      <c r="L1773" s="65"/>
      <c r="M1773" s="65"/>
      <c r="N1773" s="65"/>
      <c r="O1773" s="65"/>
    </row>
    <row r="1774" spans="12:15" x14ac:dyDescent="0.25">
      <c r="L1774" s="65"/>
      <c r="M1774" s="65"/>
      <c r="N1774" s="65"/>
      <c r="O1774" s="65"/>
    </row>
    <row r="1775" spans="12:15" x14ac:dyDescent="0.25">
      <c r="L1775" s="65"/>
      <c r="M1775" s="65"/>
      <c r="N1775" s="65"/>
      <c r="O1775" s="65"/>
    </row>
    <row r="1776" spans="12:15" x14ac:dyDescent="0.25">
      <c r="L1776" s="65"/>
      <c r="M1776" s="65"/>
      <c r="N1776" s="65"/>
      <c r="O1776" s="65"/>
    </row>
    <row r="1777" spans="12:15" x14ac:dyDescent="0.25">
      <c r="L1777" s="65"/>
      <c r="M1777" s="65"/>
      <c r="N1777" s="65"/>
      <c r="O1777" s="65"/>
    </row>
    <row r="1778" spans="12:15" x14ac:dyDescent="0.25">
      <c r="L1778" s="65"/>
      <c r="M1778" s="65"/>
      <c r="N1778" s="65"/>
      <c r="O1778" s="65"/>
    </row>
    <row r="1779" spans="12:15" x14ac:dyDescent="0.25">
      <c r="L1779" s="65"/>
      <c r="M1779" s="65"/>
      <c r="N1779" s="65"/>
      <c r="O1779" s="65"/>
    </row>
    <row r="1780" spans="12:15" x14ac:dyDescent="0.25">
      <c r="L1780" s="65"/>
      <c r="M1780" s="65"/>
      <c r="N1780" s="65"/>
      <c r="O1780" s="65"/>
    </row>
    <row r="1781" spans="12:15" x14ac:dyDescent="0.25">
      <c r="L1781" s="65"/>
      <c r="M1781" s="65"/>
      <c r="N1781" s="65"/>
      <c r="O1781" s="65"/>
    </row>
    <row r="1782" spans="12:15" x14ac:dyDescent="0.25">
      <c r="L1782" s="65"/>
      <c r="M1782" s="65"/>
      <c r="N1782" s="65"/>
      <c r="O1782" s="65"/>
    </row>
    <row r="1783" spans="12:15" x14ac:dyDescent="0.25">
      <c r="L1783" s="65"/>
      <c r="M1783" s="65"/>
      <c r="N1783" s="65"/>
      <c r="O1783" s="65"/>
    </row>
    <row r="1784" spans="12:15" x14ac:dyDescent="0.25">
      <c r="L1784" s="65"/>
      <c r="M1784" s="65"/>
      <c r="N1784" s="65"/>
      <c r="O1784" s="65"/>
    </row>
    <row r="1785" spans="12:15" x14ac:dyDescent="0.25">
      <c r="L1785" s="65"/>
      <c r="M1785" s="65"/>
      <c r="N1785" s="65"/>
      <c r="O1785" s="65"/>
    </row>
    <row r="1786" spans="12:15" x14ac:dyDescent="0.25">
      <c r="L1786" s="65"/>
      <c r="M1786" s="65"/>
      <c r="N1786" s="65"/>
      <c r="O1786" s="65"/>
    </row>
    <row r="1787" spans="12:15" x14ac:dyDescent="0.25">
      <c r="L1787" s="65"/>
      <c r="M1787" s="65"/>
      <c r="N1787" s="65"/>
      <c r="O1787" s="65"/>
    </row>
    <row r="1788" spans="12:15" x14ac:dyDescent="0.25">
      <c r="L1788" s="65"/>
      <c r="M1788" s="65"/>
      <c r="N1788" s="65"/>
      <c r="O1788" s="65"/>
    </row>
    <row r="1789" spans="12:15" x14ac:dyDescent="0.25">
      <c r="L1789" s="65"/>
      <c r="M1789" s="65"/>
      <c r="N1789" s="65"/>
      <c r="O1789" s="65"/>
    </row>
    <row r="1790" spans="12:15" x14ac:dyDescent="0.25">
      <c r="L1790" s="65"/>
      <c r="M1790" s="65"/>
      <c r="N1790" s="65"/>
      <c r="O1790" s="65"/>
    </row>
    <row r="1791" spans="12:15" x14ac:dyDescent="0.25">
      <c r="L1791" s="65"/>
      <c r="M1791" s="65"/>
      <c r="N1791" s="65"/>
      <c r="O1791" s="65"/>
    </row>
    <row r="1792" spans="12:15" x14ac:dyDescent="0.25">
      <c r="L1792" s="65"/>
      <c r="M1792" s="65"/>
      <c r="N1792" s="65"/>
      <c r="O1792" s="65"/>
    </row>
    <row r="1793" spans="12:15" x14ac:dyDescent="0.25">
      <c r="L1793" s="65"/>
      <c r="M1793" s="65"/>
      <c r="N1793" s="65"/>
      <c r="O1793" s="65"/>
    </row>
    <row r="1794" spans="12:15" x14ac:dyDescent="0.25">
      <c r="L1794" s="65"/>
      <c r="M1794" s="65"/>
      <c r="N1794" s="65"/>
      <c r="O1794" s="65"/>
    </row>
    <row r="1795" spans="12:15" x14ac:dyDescent="0.25">
      <c r="L1795" s="65"/>
      <c r="M1795" s="65"/>
      <c r="N1795" s="65"/>
      <c r="O1795" s="65"/>
    </row>
    <row r="1796" spans="12:15" x14ac:dyDescent="0.25">
      <c r="L1796" s="65"/>
      <c r="M1796" s="65"/>
      <c r="N1796" s="65"/>
      <c r="O1796" s="65"/>
    </row>
    <row r="1797" spans="12:15" x14ac:dyDescent="0.25">
      <c r="L1797" s="65"/>
      <c r="M1797" s="65"/>
      <c r="N1797" s="65"/>
      <c r="O1797" s="65"/>
    </row>
    <row r="1798" spans="12:15" x14ac:dyDescent="0.25">
      <c r="L1798" s="65"/>
      <c r="M1798" s="65"/>
      <c r="N1798" s="65"/>
      <c r="O1798" s="65"/>
    </row>
    <row r="1799" spans="12:15" x14ac:dyDescent="0.25">
      <c r="L1799" s="65"/>
      <c r="M1799" s="65"/>
      <c r="N1799" s="65"/>
      <c r="O1799" s="65"/>
    </row>
    <row r="1800" spans="12:15" x14ac:dyDescent="0.25">
      <c r="L1800" s="65"/>
      <c r="M1800" s="65"/>
      <c r="N1800" s="65"/>
      <c r="O1800" s="65"/>
    </row>
    <row r="1801" spans="12:15" x14ac:dyDescent="0.25">
      <c r="L1801" s="65"/>
      <c r="M1801" s="65"/>
      <c r="N1801" s="65"/>
      <c r="O1801" s="65"/>
    </row>
    <row r="1802" spans="12:15" x14ac:dyDescent="0.25">
      <c r="L1802" s="65"/>
      <c r="M1802" s="65"/>
      <c r="N1802" s="65"/>
      <c r="O1802" s="65"/>
    </row>
    <row r="1803" spans="12:15" x14ac:dyDescent="0.25">
      <c r="L1803" s="65"/>
      <c r="M1803" s="65"/>
      <c r="N1803" s="65"/>
      <c r="O1803" s="65"/>
    </row>
    <row r="1804" spans="12:15" x14ac:dyDescent="0.25">
      <c r="L1804" s="65"/>
      <c r="M1804" s="65"/>
      <c r="N1804" s="65"/>
      <c r="O1804" s="65"/>
    </row>
    <row r="1805" spans="12:15" x14ac:dyDescent="0.25">
      <c r="L1805" s="65"/>
      <c r="M1805" s="65"/>
      <c r="N1805" s="65"/>
      <c r="O1805" s="65"/>
    </row>
    <row r="1806" spans="12:15" x14ac:dyDescent="0.25">
      <c r="L1806" s="65"/>
      <c r="M1806" s="65"/>
      <c r="N1806" s="65"/>
      <c r="O1806" s="65"/>
    </row>
    <row r="1807" spans="12:15" x14ac:dyDescent="0.25">
      <c r="L1807" s="65"/>
      <c r="M1807" s="65"/>
      <c r="N1807" s="65"/>
      <c r="O1807" s="65"/>
    </row>
    <row r="1808" spans="12:15" x14ac:dyDescent="0.25">
      <c r="L1808" s="65"/>
      <c r="M1808" s="65"/>
      <c r="N1808" s="65"/>
      <c r="O1808" s="65"/>
    </row>
    <row r="1809" spans="12:15" x14ac:dyDescent="0.25">
      <c r="L1809" s="65"/>
      <c r="M1809" s="65"/>
      <c r="N1809" s="65"/>
      <c r="O1809" s="65"/>
    </row>
    <row r="1810" spans="12:15" x14ac:dyDescent="0.25">
      <c r="L1810" s="65"/>
      <c r="M1810" s="65"/>
      <c r="N1810" s="65"/>
      <c r="O1810" s="65"/>
    </row>
    <row r="1811" spans="12:15" x14ac:dyDescent="0.25">
      <c r="L1811" s="65"/>
      <c r="M1811" s="65"/>
      <c r="N1811" s="65"/>
      <c r="O1811" s="65"/>
    </row>
    <row r="1812" spans="12:15" x14ac:dyDescent="0.25">
      <c r="L1812" s="65"/>
      <c r="M1812" s="65"/>
      <c r="N1812" s="65"/>
      <c r="O1812" s="65"/>
    </row>
    <row r="1813" spans="12:15" x14ac:dyDescent="0.25">
      <c r="L1813" s="65"/>
      <c r="M1813" s="65"/>
      <c r="N1813" s="65"/>
      <c r="O1813" s="65"/>
    </row>
    <row r="1814" spans="12:15" x14ac:dyDescent="0.25">
      <c r="L1814" s="65"/>
      <c r="M1814" s="65"/>
      <c r="N1814" s="65"/>
      <c r="O1814" s="65"/>
    </row>
    <row r="1815" spans="12:15" x14ac:dyDescent="0.25">
      <c r="L1815" s="65"/>
      <c r="M1815" s="65"/>
      <c r="N1815" s="65"/>
      <c r="O1815" s="65"/>
    </row>
    <row r="1816" spans="12:15" x14ac:dyDescent="0.25">
      <c r="L1816" s="65"/>
      <c r="M1816" s="65"/>
      <c r="N1816" s="65"/>
      <c r="O1816" s="65"/>
    </row>
    <row r="1817" spans="12:15" x14ac:dyDescent="0.25">
      <c r="L1817" s="65"/>
      <c r="M1817" s="65"/>
      <c r="N1817" s="65"/>
      <c r="O1817" s="65"/>
    </row>
    <row r="1818" spans="12:15" x14ac:dyDescent="0.25">
      <c r="L1818" s="65"/>
      <c r="M1818" s="65"/>
      <c r="N1818" s="65"/>
      <c r="O1818" s="65"/>
    </row>
    <row r="1819" spans="12:15" x14ac:dyDescent="0.25">
      <c r="L1819" s="65"/>
      <c r="M1819" s="65"/>
      <c r="N1819" s="65"/>
      <c r="O1819" s="65"/>
    </row>
    <row r="1820" spans="12:15" x14ac:dyDescent="0.25">
      <c r="L1820" s="65"/>
      <c r="M1820" s="65"/>
      <c r="N1820" s="65"/>
      <c r="O1820" s="65"/>
    </row>
    <row r="1821" spans="12:15" x14ac:dyDescent="0.25">
      <c r="L1821" s="65"/>
      <c r="M1821" s="65"/>
      <c r="N1821" s="65"/>
      <c r="O1821" s="65"/>
    </row>
    <row r="1822" spans="12:15" x14ac:dyDescent="0.25">
      <c r="L1822" s="65"/>
      <c r="M1822" s="65"/>
      <c r="N1822" s="65"/>
      <c r="O1822" s="65"/>
    </row>
    <row r="1823" spans="12:15" x14ac:dyDescent="0.25">
      <c r="L1823" s="65"/>
      <c r="M1823" s="65"/>
      <c r="N1823" s="65"/>
      <c r="O1823" s="65"/>
    </row>
    <row r="1824" spans="12:15" x14ac:dyDescent="0.25">
      <c r="L1824" s="65"/>
      <c r="M1824" s="65"/>
      <c r="N1824" s="65"/>
      <c r="O1824" s="65"/>
    </row>
    <row r="1825" spans="12:15" x14ac:dyDescent="0.25">
      <c r="L1825" s="65"/>
      <c r="M1825" s="65"/>
      <c r="N1825" s="65"/>
      <c r="O1825" s="65"/>
    </row>
    <row r="1826" spans="12:15" x14ac:dyDescent="0.25">
      <c r="L1826" s="65"/>
      <c r="M1826" s="65"/>
      <c r="N1826" s="65"/>
      <c r="O1826" s="65"/>
    </row>
    <row r="1827" spans="12:15" x14ac:dyDescent="0.25">
      <c r="L1827" s="65"/>
      <c r="M1827" s="65"/>
      <c r="N1827" s="65"/>
      <c r="O1827" s="65"/>
    </row>
    <row r="1828" spans="12:15" x14ac:dyDescent="0.25">
      <c r="L1828" s="65"/>
      <c r="M1828" s="65"/>
      <c r="N1828" s="65"/>
      <c r="O1828" s="65"/>
    </row>
    <row r="1829" spans="12:15" x14ac:dyDescent="0.25">
      <c r="L1829" s="65"/>
      <c r="M1829" s="65"/>
      <c r="N1829" s="65"/>
      <c r="O1829" s="65"/>
    </row>
    <row r="1830" spans="12:15" x14ac:dyDescent="0.25">
      <c r="L1830" s="65"/>
      <c r="M1830" s="65"/>
      <c r="N1830" s="65"/>
      <c r="O1830" s="65"/>
    </row>
    <row r="1831" spans="12:15" x14ac:dyDescent="0.25">
      <c r="L1831" s="65"/>
      <c r="M1831" s="65"/>
      <c r="N1831" s="65"/>
      <c r="O1831" s="65"/>
    </row>
    <row r="1832" spans="12:15" x14ac:dyDescent="0.25">
      <c r="L1832" s="65"/>
      <c r="M1832" s="65"/>
      <c r="N1832" s="65"/>
      <c r="O1832" s="65"/>
    </row>
    <row r="1833" spans="12:15" x14ac:dyDescent="0.25">
      <c r="L1833" s="65"/>
      <c r="M1833" s="65"/>
      <c r="N1833" s="65"/>
      <c r="O1833" s="65"/>
    </row>
    <row r="1834" spans="12:15" x14ac:dyDescent="0.25">
      <c r="L1834" s="65"/>
      <c r="M1834" s="65"/>
      <c r="N1834" s="65"/>
      <c r="O1834" s="65"/>
    </row>
    <row r="1835" spans="12:15" x14ac:dyDescent="0.25">
      <c r="L1835" s="65"/>
      <c r="M1835" s="65"/>
      <c r="N1835" s="65"/>
      <c r="O1835" s="65"/>
    </row>
    <row r="1836" spans="12:15" x14ac:dyDescent="0.25">
      <c r="L1836" s="65"/>
      <c r="M1836" s="65"/>
      <c r="N1836" s="65"/>
      <c r="O1836" s="65"/>
    </row>
    <row r="1837" spans="12:15" x14ac:dyDescent="0.25">
      <c r="L1837" s="65"/>
      <c r="M1837" s="65"/>
      <c r="N1837" s="65"/>
      <c r="O1837" s="65"/>
    </row>
    <row r="1838" spans="12:15" x14ac:dyDescent="0.25">
      <c r="L1838" s="65"/>
      <c r="M1838" s="65"/>
      <c r="N1838" s="65"/>
      <c r="O1838" s="65"/>
    </row>
    <row r="1839" spans="12:15" x14ac:dyDescent="0.25">
      <c r="L1839" s="65"/>
      <c r="M1839" s="65"/>
      <c r="N1839" s="65"/>
      <c r="O1839" s="65"/>
    </row>
    <row r="1840" spans="12:15" x14ac:dyDescent="0.25">
      <c r="L1840" s="65"/>
      <c r="M1840" s="65"/>
      <c r="N1840" s="65"/>
      <c r="O1840" s="65"/>
    </row>
    <row r="1841" spans="12:15" x14ac:dyDescent="0.25">
      <c r="L1841" s="65"/>
      <c r="M1841" s="65"/>
      <c r="N1841" s="65"/>
      <c r="O1841" s="65"/>
    </row>
    <row r="1842" spans="12:15" x14ac:dyDescent="0.25">
      <c r="L1842" s="65"/>
      <c r="M1842" s="65"/>
      <c r="N1842" s="65"/>
      <c r="O1842" s="65"/>
    </row>
    <row r="1843" spans="12:15" x14ac:dyDescent="0.25">
      <c r="L1843" s="65"/>
      <c r="M1843" s="65"/>
      <c r="N1843" s="65"/>
      <c r="O1843" s="65"/>
    </row>
    <row r="1844" spans="12:15" x14ac:dyDescent="0.25">
      <c r="L1844" s="65"/>
      <c r="M1844" s="65"/>
      <c r="N1844" s="65"/>
      <c r="O1844" s="65"/>
    </row>
    <row r="1845" spans="12:15" x14ac:dyDescent="0.25">
      <c r="L1845" s="65"/>
      <c r="M1845" s="65"/>
      <c r="N1845" s="65"/>
      <c r="O1845" s="65"/>
    </row>
    <row r="1846" spans="12:15" x14ac:dyDescent="0.25">
      <c r="L1846" s="65"/>
      <c r="M1846" s="65"/>
      <c r="N1846" s="65"/>
      <c r="O1846" s="65"/>
    </row>
    <row r="1847" spans="12:15" x14ac:dyDescent="0.25">
      <c r="L1847" s="65"/>
      <c r="M1847" s="65"/>
      <c r="N1847" s="65"/>
      <c r="O1847" s="65"/>
    </row>
    <row r="1848" spans="12:15" x14ac:dyDescent="0.25">
      <c r="L1848" s="65"/>
      <c r="M1848" s="65"/>
      <c r="N1848" s="65"/>
      <c r="O1848" s="65"/>
    </row>
    <row r="1849" spans="12:15" x14ac:dyDescent="0.25">
      <c r="L1849" s="65"/>
      <c r="M1849" s="65"/>
      <c r="N1849" s="65"/>
      <c r="O1849" s="65"/>
    </row>
    <row r="1850" spans="12:15" x14ac:dyDescent="0.25">
      <c r="L1850" s="65"/>
      <c r="M1850" s="65"/>
      <c r="N1850" s="65"/>
      <c r="O1850" s="65"/>
    </row>
    <row r="1851" spans="12:15" x14ac:dyDescent="0.25">
      <c r="L1851" s="65"/>
      <c r="M1851" s="65"/>
      <c r="N1851" s="65"/>
      <c r="O1851" s="65"/>
    </row>
    <row r="1852" spans="12:15" x14ac:dyDescent="0.25">
      <c r="L1852" s="65"/>
      <c r="M1852" s="65"/>
      <c r="N1852" s="65"/>
      <c r="O1852" s="65"/>
    </row>
    <row r="1853" spans="12:15" x14ac:dyDescent="0.25">
      <c r="L1853" s="65"/>
      <c r="M1853" s="65"/>
      <c r="N1853" s="65"/>
      <c r="O1853" s="65"/>
    </row>
    <row r="1854" spans="12:15" x14ac:dyDescent="0.25">
      <c r="L1854" s="65"/>
      <c r="M1854" s="65"/>
      <c r="N1854" s="65"/>
      <c r="O1854" s="65"/>
    </row>
    <row r="1855" spans="12:15" x14ac:dyDescent="0.25">
      <c r="L1855" s="65"/>
      <c r="M1855" s="65"/>
      <c r="N1855" s="65"/>
      <c r="O1855" s="65"/>
    </row>
    <row r="1856" spans="12:15" x14ac:dyDescent="0.25">
      <c r="L1856" s="65"/>
      <c r="M1856" s="65"/>
      <c r="N1856" s="65"/>
      <c r="O1856" s="65"/>
    </row>
    <row r="1857" spans="12:15" x14ac:dyDescent="0.25">
      <c r="L1857" s="65"/>
      <c r="M1857" s="65"/>
      <c r="N1857" s="65"/>
      <c r="O1857" s="65"/>
    </row>
    <row r="1858" spans="12:15" x14ac:dyDescent="0.25">
      <c r="L1858" s="65"/>
      <c r="M1858" s="65"/>
      <c r="N1858" s="65"/>
      <c r="O1858" s="65"/>
    </row>
    <row r="1859" spans="12:15" x14ac:dyDescent="0.25">
      <c r="L1859" s="65"/>
      <c r="M1859" s="65"/>
      <c r="N1859" s="65"/>
      <c r="O1859" s="65"/>
    </row>
    <row r="1860" spans="12:15" x14ac:dyDescent="0.25">
      <c r="L1860" s="65"/>
      <c r="M1860" s="65"/>
      <c r="N1860" s="65"/>
      <c r="O1860" s="65"/>
    </row>
    <row r="1861" spans="12:15" x14ac:dyDescent="0.25">
      <c r="L1861" s="65"/>
      <c r="M1861" s="65"/>
      <c r="N1861" s="65"/>
      <c r="O1861" s="65"/>
    </row>
    <row r="1862" spans="12:15" x14ac:dyDescent="0.25">
      <c r="L1862" s="65"/>
      <c r="M1862" s="65"/>
      <c r="N1862" s="65"/>
      <c r="O1862" s="65"/>
    </row>
    <row r="1863" spans="12:15" x14ac:dyDescent="0.25">
      <c r="L1863" s="65"/>
      <c r="M1863" s="65"/>
      <c r="N1863" s="65"/>
      <c r="O1863" s="65"/>
    </row>
    <row r="1864" spans="12:15" x14ac:dyDescent="0.25">
      <c r="L1864" s="65"/>
      <c r="M1864" s="65"/>
      <c r="N1864" s="65"/>
      <c r="O1864" s="65"/>
    </row>
    <row r="1865" spans="12:15" x14ac:dyDescent="0.25">
      <c r="L1865" s="65"/>
      <c r="M1865" s="65"/>
      <c r="N1865" s="65"/>
      <c r="O1865" s="65"/>
    </row>
    <row r="1866" spans="12:15" x14ac:dyDescent="0.25">
      <c r="L1866" s="65"/>
      <c r="M1866" s="65"/>
      <c r="N1866" s="65"/>
      <c r="O1866" s="65"/>
    </row>
    <row r="1867" spans="12:15" x14ac:dyDescent="0.25">
      <c r="L1867" s="65"/>
      <c r="M1867" s="65"/>
      <c r="N1867" s="65"/>
      <c r="O1867" s="65"/>
    </row>
    <row r="1868" spans="12:15" x14ac:dyDescent="0.25">
      <c r="L1868" s="65"/>
      <c r="M1868" s="65"/>
      <c r="N1868" s="65"/>
      <c r="O1868" s="65"/>
    </row>
    <row r="1869" spans="12:15" x14ac:dyDescent="0.25">
      <c r="L1869" s="65"/>
      <c r="M1869" s="65"/>
      <c r="N1869" s="65"/>
      <c r="O1869" s="65"/>
    </row>
    <row r="1870" spans="12:15" x14ac:dyDescent="0.25">
      <c r="L1870" s="65"/>
      <c r="M1870" s="65"/>
      <c r="N1870" s="65"/>
      <c r="O1870" s="65"/>
    </row>
    <row r="1871" spans="12:15" x14ac:dyDescent="0.25">
      <c r="L1871" s="65"/>
      <c r="M1871" s="65"/>
      <c r="N1871" s="65"/>
      <c r="O1871" s="65"/>
    </row>
    <row r="1872" spans="12:15" x14ac:dyDescent="0.25">
      <c r="L1872" s="65"/>
      <c r="M1872" s="65"/>
      <c r="N1872" s="65"/>
      <c r="O1872" s="65"/>
    </row>
    <row r="1873" spans="12:15" x14ac:dyDescent="0.25">
      <c r="L1873" s="65"/>
      <c r="M1873" s="65"/>
      <c r="N1873" s="65"/>
      <c r="O1873" s="65"/>
    </row>
    <row r="1874" spans="12:15" x14ac:dyDescent="0.25">
      <c r="L1874" s="65"/>
      <c r="M1874" s="65"/>
      <c r="N1874" s="65"/>
      <c r="O1874" s="65"/>
    </row>
    <row r="1875" spans="12:15" x14ac:dyDescent="0.25">
      <c r="L1875" s="65"/>
      <c r="M1875" s="65"/>
      <c r="N1875" s="65"/>
      <c r="O1875" s="65"/>
    </row>
    <row r="1876" spans="12:15" x14ac:dyDescent="0.25">
      <c r="L1876" s="65"/>
      <c r="M1876" s="65"/>
      <c r="N1876" s="65"/>
      <c r="O1876" s="65"/>
    </row>
    <row r="1877" spans="12:15" x14ac:dyDescent="0.25">
      <c r="L1877" s="65"/>
      <c r="M1877" s="65"/>
      <c r="N1877" s="65"/>
      <c r="O1877" s="65"/>
    </row>
    <row r="1878" spans="12:15" x14ac:dyDescent="0.25">
      <c r="L1878" s="65"/>
      <c r="M1878" s="65"/>
      <c r="N1878" s="65"/>
      <c r="O1878" s="65"/>
    </row>
    <row r="1879" spans="12:15" x14ac:dyDescent="0.25">
      <c r="L1879" s="65"/>
      <c r="M1879" s="65"/>
      <c r="N1879" s="65"/>
      <c r="O1879" s="65"/>
    </row>
    <row r="1880" spans="12:15" x14ac:dyDescent="0.25">
      <c r="L1880" s="65"/>
      <c r="M1880" s="65"/>
      <c r="N1880" s="65"/>
      <c r="O1880" s="65"/>
    </row>
    <row r="1881" spans="12:15" x14ac:dyDescent="0.25">
      <c r="L1881" s="65"/>
      <c r="M1881" s="65"/>
      <c r="N1881" s="65"/>
      <c r="O1881" s="65"/>
    </row>
    <row r="1882" spans="12:15" x14ac:dyDescent="0.25">
      <c r="L1882" s="65"/>
      <c r="M1882" s="65"/>
      <c r="N1882" s="65"/>
      <c r="O1882" s="65"/>
    </row>
    <row r="1883" spans="12:15" x14ac:dyDescent="0.25">
      <c r="L1883" s="65"/>
      <c r="M1883" s="65"/>
      <c r="N1883" s="65"/>
      <c r="O1883" s="65"/>
    </row>
    <row r="1884" spans="12:15" x14ac:dyDescent="0.25">
      <c r="L1884" s="65"/>
      <c r="M1884" s="65"/>
      <c r="N1884" s="65"/>
      <c r="O1884" s="65"/>
    </row>
    <row r="1885" spans="12:15" x14ac:dyDescent="0.25">
      <c r="L1885" s="65"/>
      <c r="M1885" s="65"/>
      <c r="N1885" s="65"/>
      <c r="O1885" s="65"/>
    </row>
    <row r="1886" spans="12:15" x14ac:dyDescent="0.25">
      <c r="L1886" s="65"/>
      <c r="M1886" s="65"/>
      <c r="N1886" s="65"/>
      <c r="O1886" s="65"/>
    </row>
    <row r="1887" spans="12:15" x14ac:dyDescent="0.25">
      <c r="L1887" s="65"/>
      <c r="M1887" s="65"/>
      <c r="N1887" s="65"/>
      <c r="O1887" s="65"/>
    </row>
    <row r="1888" spans="12:15" x14ac:dyDescent="0.25">
      <c r="L1888" s="65"/>
      <c r="M1888" s="65"/>
      <c r="N1888" s="65"/>
      <c r="O1888" s="65"/>
    </row>
    <row r="1889" spans="12:15" x14ac:dyDescent="0.25">
      <c r="L1889" s="65"/>
      <c r="M1889" s="65"/>
      <c r="N1889" s="65"/>
      <c r="O1889" s="65"/>
    </row>
    <row r="1890" spans="12:15" x14ac:dyDescent="0.25">
      <c r="L1890" s="65"/>
      <c r="M1890" s="65"/>
      <c r="N1890" s="65"/>
      <c r="O1890" s="65"/>
    </row>
    <row r="1891" spans="12:15" x14ac:dyDescent="0.25">
      <c r="L1891" s="65"/>
      <c r="M1891" s="65"/>
      <c r="N1891" s="65"/>
      <c r="O1891" s="65"/>
    </row>
    <row r="1892" spans="12:15" x14ac:dyDescent="0.25">
      <c r="L1892" s="65"/>
      <c r="M1892" s="65"/>
      <c r="N1892" s="65"/>
      <c r="O1892" s="65"/>
    </row>
    <row r="1893" spans="12:15" x14ac:dyDescent="0.25">
      <c r="L1893" s="65"/>
      <c r="M1893" s="65"/>
      <c r="N1893" s="65"/>
      <c r="O1893" s="65"/>
    </row>
    <row r="1894" spans="12:15" x14ac:dyDescent="0.25">
      <c r="L1894" s="65"/>
      <c r="M1894" s="65"/>
      <c r="N1894" s="65"/>
      <c r="O1894" s="65"/>
    </row>
    <row r="1895" spans="12:15" x14ac:dyDescent="0.25">
      <c r="L1895" s="65"/>
      <c r="M1895" s="65"/>
      <c r="N1895" s="65"/>
      <c r="O1895" s="65"/>
    </row>
    <row r="1896" spans="12:15" x14ac:dyDescent="0.25">
      <c r="L1896" s="65"/>
      <c r="M1896" s="65"/>
      <c r="N1896" s="65"/>
      <c r="O1896" s="65"/>
    </row>
    <row r="1897" spans="12:15" x14ac:dyDescent="0.25">
      <c r="L1897" s="65"/>
      <c r="M1897" s="65"/>
      <c r="N1897" s="65"/>
      <c r="O1897" s="65"/>
    </row>
    <row r="1898" spans="12:15" x14ac:dyDescent="0.25">
      <c r="L1898" s="65"/>
      <c r="M1898" s="65"/>
      <c r="N1898" s="65"/>
      <c r="O1898" s="65"/>
    </row>
    <row r="1899" spans="12:15" x14ac:dyDescent="0.25">
      <c r="L1899" s="65"/>
      <c r="M1899" s="65"/>
      <c r="N1899" s="65"/>
      <c r="O1899" s="65"/>
    </row>
    <row r="1900" spans="12:15" x14ac:dyDescent="0.25">
      <c r="L1900" s="65"/>
      <c r="M1900" s="65"/>
      <c r="N1900" s="65"/>
      <c r="O1900" s="65"/>
    </row>
    <row r="1901" spans="12:15" x14ac:dyDescent="0.25">
      <c r="L1901" s="65"/>
      <c r="M1901" s="65"/>
      <c r="N1901" s="65"/>
      <c r="O1901" s="65"/>
    </row>
    <row r="1902" spans="12:15" x14ac:dyDescent="0.25">
      <c r="L1902" s="65"/>
      <c r="M1902" s="65"/>
      <c r="N1902" s="65"/>
      <c r="O1902" s="65"/>
    </row>
    <row r="1903" spans="12:15" x14ac:dyDescent="0.25">
      <c r="L1903" s="65"/>
      <c r="M1903" s="65"/>
      <c r="N1903" s="65"/>
      <c r="O1903" s="65"/>
    </row>
    <row r="1904" spans="12:15" x14ac:dyDescent="0.25">
      <c r="L1904" s="65"/>
      <c r="M1904" s="65"/>
      <c r="N1904" s="65"/>
      <c r="O1904" s="65"/>
    </row>
    <row r="1905" spans="12:15" x14ac:dyDescent="0.25">
      <c r="L1905" s="65"/>
      <c r="M1905" s="65"/>
      <c r="N1905" s="65"/>
      <c r="O1905" s="65"/>
    </row>
    <row r="1906" spans="12:15" x14ac:dyDescent="0.25">
      <c r="L1906" s="65"/>
      <c r="M1906" s="65"/>
      <c r="N1906" s="65"/>
      <c r="O1906" s="65"/>
    </row>
    <row r="1907" spans="12:15" x14ac:dyDescent="0.25">
      <c r="L1907" s="65"/>
      <c r="M1907" s="65"/>
      <c r="N1907" s="65"/>
      <c r="O1907" s="65"/>
    </row>
    <row r="1908" spans="12:15" x14ac:dyDescent="0.25">
      <c r="L1908" s="65"/>
      <c r="M1908" s="65"/>
      <c r="N1908" s="65"/>
      <c r="O1908" s="65"/>
    </row>
    <row r="1909" spans="12:15" x14ac:dyDescent="0.25">
      <c r="L1909" s="65"/>
      <c r="M1909" s="65"/>
      <c r="N1909" s="65"/>
      <c r="O1909" s="65"/>
    </row>
    <row r="1910" spans="12:15" x14ac:dyDescent="0.25">
      <c r="L1910" s="65"/>
      <c r="M1910" s="65"/>
      <c r="N1910" s="65"/>
      <c r="O1910" s="65"/>
    </row>
    <row r="1911" spans="12:15" x14ac:dyDescent="0.25">
      <c r="L1911" s="65"/>
      <c r="M1911" s="65"/>
      <c r="N1911" s="65"/>
      <c r="O1911" s="65"/>
    </row>
    <row r="1912" spans="12:15" x14ac:dyDescent="0.25">
      <c r="L1912" s="65"/>
      <c r="M1912" s="65"/>
      <c r="N1912" s="65"/>
      <c r="O1912" s="65"/>
    </row>
    <row r="1913" spans="12:15" x14ac:dyDescent="0.25">
      <c r="L1913" s="65"/>
      <c r="M1913" s="65"/>
      <c r="N1913" s="65"/>
      <c r="O1913" s="65"/>
    </row>
    <row r="1914" spans="12:15" x14ac:dyDescent="0.25">
      <c r="L1914" s="65"/>
      <c r="M1914" s="65"/>
      <c r="N1914" s="65"/>
      <c r="O1914" s="65"/>
    </row>
    <row r="1915" spans="12:15" x14ac:dyDescent="0.25">
      <c r="L1915" s="65"/>
      <c r="M1915" s="65"/>
      <c r="N1915" s="65"/>
      <c r="O1915" s="65"/>
    </row>
    <row r="1916" spans="12:15" x14ac:dyDescent="0.25">
      <c r="L1916" s="65"/>
      <c r="M1916" s="65"/>
      <c r="N1916" s="65"/>
      <c r="O1916" s="65"/>
    </row>
    <row r="1917" spans="12:15" x14ac:dyDescent="0.25">
      <c r="L1917" s="65"/>
      <c r="M1917" s="65"/>
      <c r="N1917" s="65"/>
      <c r="O1917" s="65"/>
    </row>
    <row r="1918" spans="12:15" x14ac:dyDescent="0.25">
      <c r="L1918" s="65"/>
      <c r="M1918" s="65"/>
      <c r="N1918" s="65"/>
      <c r="O1918" s="65"/>
    </row>
    <row r="1919" spans="12:15" x14ac:dyDescent="0.25">
      <c r="L1919" s="65"/>
      <c r="M1919" s="65"/>
      <c r="N1919" s="65"/>
      <c r="O1919" s="65"/>
    </row>
    <row r="1920" spans="12:15" x14ac:dyDescent="0.25">
      <c r="L1920" s="65"/>
      <c r="M1920" s="65"/>
      <c r="N1920" s="65"/>
      <c r="O1920" s="65"/>
    </row>
    <row r="1921" spans="12:15" x14ac:dyDescent="0.25">
      <c r="L1921" s="65"/>
      <c r="M1921" s="65"/>
      <c r="N1921" s="65"/>
      <c r="O1921" s="65"/>
    </row>
    <row r="1922" spans="12:15" x14ac:dyDescent="0.25">
      <c r="L1922" s="65"/>
      <c r="M1922" s="65"/>
      <c r="N1922" s="65"/>
      <c r="O1922" s="65"/>
    </row>
    <row r="1923" spans="12:15" x14ac:dyDescent="0.25">
      <c r="L1923" s="65"/>
      <c r="M1923" s="65"/>
      <c r="N1923" s="65"/>
      <c r="O1923" s="65"/>
    </row>
    <row r="1924" spans="12:15" x14ac:dyDescent="0.25">
      <c r="L1924" s="65"/>
      <c r="M1924" s="65"/>
      <c r="N1924" s="65"/>
      <c r="O1924" s="65"/>
    </row>
    <row r="1925" spans="12:15" x14ac:dyDescent="0.25">
      <c r="L1925" s="65"/>
      <c r="M1925" s="65"/>
      <c r="N1925" s="65"/>
      <c r="O1925" s="65"/>
    </row>
    <row r="1926" spans="12:15" x14ac:dyDescent="0.25">
      <c r="L1926" s="65"/>
      <c r="M1926" s="65"/>
      <c r="N1926" s="65"/>
      <c r="O1926" s="65"/>
    </row>
    <row r="1927" spans="12:15" x14ac:dyDescent="0.25">
      <c r="L1927" s="65"/>
      <c r="M1927" s="65"/>
      <c r="N1927" s="65"/>
      <c r="O1927" s="65"/>
    </row>
    <row r="1928" spans="12:15" x14ac:dyDescent="0.25">
      <c r="L1928" s="65"/>
      <c r="M1928" s="65"/>
      <c r="N1928" s="65"/>
      <c r="O1928" s="65"/>
    </row>
    <row r="1929" spans="12:15" x14ac:dyDescent="0.25">
      <c r="L1929" s="65"/>
      <c r="M1929" s="65"/>
      <c r="N1929" s="65"/>
      <c r="O1929" s="65"/>
    </row>
  </sheetData>
  <sheetProtection sheet="1" objects="1" scenarios="1" autoFilter="0"/>
  <dataConsolidate/>
  <mergeCells count="749">
    <mergeCell ref="AH300:AH301"/>
    <mergeCell ref="AI300:AI301"/>
    <mergeCell ref="AJ300:AJ301"/>
    <mergeCell ref="AK300:AK301"/>
    <mergeCell ref="AL300:AL301"/>
    <mergeCell ref="AH296:AH297"/>
    <mergeCell ref="AI296:AI297"/>
    <mergeCell ref="AJ296:AJ297"/>
    <mergeCell ref="AK296:AK297"/>
    <mergeCell ref="AL296:AL297"/>
    <mergeCell ref="AH298:AH299"/>
    <mergeCell ref="AI298:AI299"/>
    <mergeCell ref="AJ298:AJ299"/>
    <mergeCell ref="AK298:AK299"/>
    <mergeCell ref="AL298:AL299"/>
    <mergeCell ref="AH292:AH293"/>
    <mergeCell ref="AI292:AI293"/>
    <mergeCell ref="AJ292:AJ293"/>
    <mergeCell ref="AK292:AK293"/>
    <mergeCell ref="AL292:AL293"/>
    <mergeCell ref="AH294:AH295"/>
    <mergeCell ref="AI294:AI295"/>
    <mergeCell ref="AJ294:AJ295"/>
    <mergeCell ref="AK294:AK295"/>
    <mergeCell ref="AL294:AL295"/>
    <mergeCell ref="AI286:AI287"/>
    <mergeCell ref="AI288:AI289"/>
    <mergeCell ref="AI268:AI269"/>
    <mergeCell ref="AI270:AI271"/>
    <mergeCell ref="AI272:AI273"/>
    <mergeCell ref="AI274:AI275"/>
    <mergeCell ref="AI276:AI277"/>
    <mergeCell ref="AI278:AI279"/>
    <mergeCell ref="AI280:AI281"/>
    <mergeCell ref="AI282:AI283"/>
    <mergeCell ref="AI284:AI285"/>
    <mergeCell ref="AI250:AI251"/>
    <mergeCell ref="AI252:AI253"/>
    <mergeCell ref="AI254:AI255"/>
    <mergeCell ref="AI256:AI257"/>
    <mergeCell ref="AI258:AI259"/>
    <mergeCell ref="AI260:AI261"/>
    <mergeCell ref="AI262:AI263"/>
    <mergeCell ref="AI264:AI265"/>
    <mergeCell ref="AI266:AI267"/>
    <mergeCell ref="AI232:AI233"/>
    <mergeCell ref="AI234:AI235"/>
    <mergeCell ref="AI236:AI237"/>
    <mergeCell ref="AI238:AI239"/>
    <mergeCell ref="AI240:AI241"/>
    <mergeCell ref="AI242:AI243"/>
    <mergeCell ref="AI244:AI245"/>
    <mergeCell ref="AI246:AI247"/>
    <mergeCell ref="AI248:AI249"/>
    <mergeCell ref="AI214:AI215"/>
    <mergeCell ref="AI216:AI217"/>
    <mergeCell ref="AI218:AI219"/>
    <mergeCell ref="AI220:AI221"/>
    <mergeCell ref="AI222:AI223"/>
    <mergeCell ref="AI224:AI225"/>
    <mergeCell ref="AI226:AI227"/>
    <mergeCell ref="AI228:AI229"/>
    <mergeCell ref="AI230:AI231"/>
    <mergeCell ref="AI196:AI197"/>
    <mergeCell ref="AI198:AI199"/>
    <mergeCell ref="AI200:AI201"/>
    <mergeCell ref="AI202:AI203"/>
    <mergeCell ref="AI204:AI205"/>
    <mergeCell ref="AI206:AI207"/>
    <mergeCell ref="AI208:AI209"/>
    <mergeCell ref="AI210:AI211"/>
    <mergeCell ref="AI212:AI213"/>
    <mergeCell ref="AI178:AI179"/>
    <mergeCell ref="AI180:AI181"/>
    <mergeCell ref="AI182:AI183"/>
    <mergeCell ref="AI184:AI185"/>
    <mergeCell ref="AI186:AI187"/>
    <mergeCell ref="AI188:AI189"/>
    <mergeCell ref="AI190:AI191"/>
    <mergeCell ref="AI192:AI193"/>
    <mergeCell ref="AI194:AI195"/>
    <mergeCell ref="AI160:AI161"/>
    <mergeCell ref="AI162:AI163"/>
    <mergeCell ref="AI164:AI165"/>
    <mergeCell ref="AI166:AI167"/>
    <mergeCell ref="AI168:AI169"/>
    <mergeCell ref="AI170:AI171"/>
    <mergeCell ref="AI172:AI173"/>
    <mergeCell ref="AI174:AI175"/>
    <mergeCell ref="AI176:AI177"/>
    <mergeCell ref="AI142:AI143"/>
    <mergeCell ref="AI144:AI145"/>
    <mergeCell ref="AI146:AI147"/>
    <mergeCell ref="AI148:AI149"/>
    <mergeCell ref="AI150:AI151"/>
    <mergeCell ref="AI152:AI153"/>
    <mergeCell ref="AI154:AI155"/>
    <mergeCell ref="AI156:AI157"/>
    <mergeCell ref="AI158:AI159"/>
    <mergeCell ref="AI124:AI125"/>
    <mergeCell ref="AI126:AI127"/>
    <mergeCell ref="AI128:AI129"/>
    <mergeCell ref="AI130:AI131"/>
    <mergeCell ref="AI132:AI133"/>
    <mergeCell ref="AI134:AI135"/>
    <mergeCell ref="AI136:AI137"/>
    <mergeCell ref="AI138:AI139"/>
    <mergeCell ref="AI140:AI141"/>
    <mergeCell ref="AI106:AI107"/>
    <mergeCell ref="AI108:AI109"/>
    <mergeCell ref="AI110:AI111"/>
    <mergeCell ref="AI112:AI113"/>
    <mergeCell ref="AI114:AI115"/>
    <mergeCell ref="AI116:AI117"/>
    <mergeCell ref="AI118:AI119"/>
    <mergeCell ref="AI120:AI121"/>
    <mergeCell ref="AI122:AI123"/>
    <mergeCell ref="AI88:AI89"/>
    <mergeCell ref="AI90:AI91"/>
    <mergeCell ref="AI92:AI93"/>
    <mergeCell ref="AI94:AI95"/>
    <mergeCell ref="AI96:AI97"/>
    <mergeCell ref="AI98:AI99"/>
    <mergeCell ref="AI100:AI101"/>
    <mergeCell ref="AI102:AI103"/>
    <mergeCell ref="AI104:AI105"/>
    <mergeCell ref="AI70:AI71"/>
    <mergeCell ref="AI72:AI73"/>
    <mergeCell ref="AI74:AI75"/>
    <mergeCell ref="AI76:AI77"/>
    <mergeCell ref="AI78:AI79"/>
    <mergeCell ref="AI80:AI81"/>
    <mergeCell ref="AI82:AI83"/>
    <mergeCell ref="AI84:AI85"/>
    <mergeCell ref="AI86:AI87"/>
    <mergeCell ref="AI52:AI53"/>
    <mergeCell ref="AI54:AI55"/>
    <mergeCell ref="AI56:AI57"/>
    <mergeCell ref="AI58:AI59"/>
    <mergeCell ref="AI60:AI61"/>
    <mergeCell ref="AI62:AI63"/>
    <mergeCell ref="AI64:AI65"/>
    <mergeCell ref="AI66:AI67"/>
    <mergeCell ref="AI68:AI69"/>
    <mergeCell ref="AH286:AH287"/>
    <mergeCell ref="AH288:AH289"/>
    <mergeCell ref="AI8:AI9"/>
    <mergeCell ref="AI10:AI11"/>
    <mergeCell ref="AI12:AI13"/>
    <mergeCell ref="AI14:AI15"/>
    <mergeCell ref="AI16:AI17"/>
    <mergeCell ref="AI18:AI19"/>
    <mergeCell ref="AI20:AI21"/>
    <mergeCell ref="AI22:AI23"/>
    <mergeCell ref="AI24:AI25"/>
    <mergeCell ref="AI26:AI27"/>
    <mergeCell ref="AI28:AI29"/>
    <mergeCell ref="AI30:AI31"/>
    <mergeCell ref="AI32:AI33"/>
    <mergeCell ref="AI34:AI35"/>
    <mergeCell ref="AI36:AI37"/>
    <mergeCell ref="AI38:AI39"/>
    <mergeCell ref="AI40:AI41"/>
    <mergeCell ref="AI42:AI43"/>
    <mergeCell ref="AI44:AI45"/>
    <mergeCell ref="AI46:AI47"/>
    <mergeCell ref="AI48:AI49"/>
    <mergeCell ref="AI50:AI51"/>
    <mergeCell ref="AH268:AH269"/>
    <mergeCell ref="AH270:AH271"/>
    <mergeCell ref="AH272:AH273"/>
    <mergeCell ref="AH274:AH275"/>
    <mergeCell ref="AH276:AH277"/>
    <mergeCell ref="AH278:AH279"/>
    <mergeCell ref="AH280:AH281"/>
    <mergeCell ref="AH282:AH283"/>
    <mergeCell ref="AH284:AH285"/>
    <mergeCell ref="AH250:AH251"/>
    <mergeCell ref="AH252:AH253"/>
    <mergeCell ref="AH254:AH255"/>
    <mergeCell ref="AH256:AH257"/>
    <mergeCell ref="AH258:AH259"/>
    <mergeCell ref="AH260:AH261"/>
    <mergeCell ref="AH262:AH263"/>
    <mergeCell ref="AH264:AH265"/>
    <mergeCell ref="AH266:AH267"/>
    <mergeCell ref="AH232:AH233"/>
    <mergeCell ref="AH234:AH235"/>
    <mergeCell ref="AH236:AH237"/>
    <mergeCell ref="AH238:AH239"/>
    <mergeCell ref="AH240:AH241"/>
    <mergeCell ref="AH242:AH243"/>
    <mergeCell ref="AH244:AH245"/>
    <mergeCell ref="AH246:AH247"/>
    <mergeCell ref="AH248:AH249"/>
    <mergeCell ref="AH214:AH215"/>
    <mergeCell ref="AH216:AH217"/>
    <mergeCell ref="AH218:AH219"/>
    <mergeCell ref="AH220:AH221"/>
    <mergeCell ref="AH222:AH223"/>
    <mergeCell ref="AH224:AH225"/>
    <mergeCell ref="AH226:AH227"/>
    <mergeCell ref="AH228:AH229"/>
    <mergeCell ref="AH230:AH231"/>
    <mergeCell ref="AH196:AH197"/>
    <mergeCell ref="AH198:AH199"/>
    <mergeCell ref="AH200:AH201"/>
    <mergeCell ref="AH202:AH203"/>
    <mergeCell ref="AH204:AH205"/>
    <mergeCell ref="AH206:AH207"/>
    <mergeCell ref="AH208:AH209"/>
    <mergeCell ref="AH210:AH211"/>
    <mergeCell ref="AH212:AH213"/>
    <mergeCell ref="AH178:AH179"/>
    <mergeCell ref="AH180:AH181"/>
    <mergeCell ref="AH182:AH183"/>
    <mergeCell ref="AH184:AH185"/>
    <mergeCell ref="AH186:AH187"/>
    <mergeCell ref="AH188:AH189"/>
    <mergeCell ref="AH190:AH191"/>
    <mergeCell ref="AH192:AH193"/>
    <mergeCell ref="AH194:AH195"/>
    <mergeCell ref="AH160:AH161"/>
    <mergeCell ref="AH162:AH163"/>
    <mergeCell ref="AH164:AH165"/>
    <mergeCell ref="AH166:AH167"/>
    <mergeCell ref="AH168:AH169"/>
    <mergeCell ref="AH170:AH171"/>
    <mergeCell ref="AH172:AH173"/>
    <mergeCell ref="AH174:AH175"/>
    <mergeCell ref="AH176:AH177"/>
    <mergeCell ref="AH142:AH143"/>
    <mergeCell ref="AH144:AH145"/>
    <mergeCell ref="AH146:AH147"/>
    <mergeCell ref="AH148:AH149"/>
    <mergeCell ref="AH150:AH151"/>
    <mergeCell ref="AH152:AH153"/>
    <mergeCell ref="AH154:AH155"/>
    <mergeCell ref="AH156:AH157"/>
    <mergeCell ref="AH158:AH159"/>
    <mergeCell ref="AH124:AH125"/>
    <mergeCell ref="AH126:AH127"/>
    <mergeCell ref="AH128:AH129"/>
    <mergeCell ref="AH130:AH131"/>
    <mergeCell ref="AH132:AH133"/>
    <mergeCell ref="AH134:AH135"/>
    <mergeCell ref="AH136:AH137"/>
    <mergeCell ref="AH138:AH139"/>
    <mergeCell ref="AH140:AH141"/>
    <mergeCell ref="AH106:AH107"/>
    <mergeCell ref="AH108:AH109"/>
    <mergeCell ref="AH110:AH111"/>
    <mergeCell ref="AH112:AH113"/>
    <mergeCell ref="AH114:AH115"/>
    <mergeCell ref="AH116:AH117"/>
    <mergeCell ref="AH118:AH119"/>
    <mergeCell ref="AH120:AH121"/>
    <mergeCell ref="AH122:AH123"/>
    <mergeCell ref="AH88:AH89"/>
    <mergeCell ref="AH90:AH91"/>
    <mergeCell ref="AH92:AH93"/>
    <mergeCell ref="AH94:AH95"/>
    <mergeCell ref="AH96:AH97"/>
    <mergeCell ref="AH98:AH99"/>
    <mergeCell ref="AH100:AH101"/>
    <mergeCell ref="AH102:AH103"/>
    <mergeCell ref="AH104:AH105"/>
    <mergeCell ref="AH70:AH71"/>
    <mergeCell ref="AH72:AH73"/>
    <mergeCell ref="AH74:AH75"/>
    <mergeCell ref="AH76:AH77"/>
    <mergeCell ref="AH78:AH79"/>
    <mergeCell ref="AH80:AH81"/>
    <mergeCell ref="AH82:AH83"/>
    <mergeCell ref="AH84:AH85"/>
    <mergeCell ref="AH86:AH87"/>
    <mergeCell ref="AH52:AH53"/>
    <mergeCell ref="AH54:AH55"/>
    <mergeCell ref="AH56:AH57"/>
    <mergeCell ref="AH58:AH59"/>
    <mergeCell ref="AH60:AH61"/>
    <mergeCell ref="AH62:AH63"/>
    <mergeCell ref="AH64:AH65"/>
    <mergeCell ref="AH66:AH67"/>
    <mergeCell ref="AH68:AH69"/>
    <mergeCell ref="AH34:AH35"/>
    <mergeCell ref="AH36:AH37"/>
    <mergeCell ref="AH38:AH39"/>
    <mergeCell ref="AH40:AH41"/>
    <mergeCell ref="AH42:AH43"/>
    <mergeCell ref="AH44:AH45"/>
    <mergeCell ref="AH46:AH47"/>
    <mergeCell ref="AH48:AH49"/>
    <mergeCell ref="AH50:AH51"/>
    <mergeCell ref="AH16:AH17"/>
    <mergeCell ref="AH18:AH19"/>
    <mergeCell ref="AH20:AH21"/>
    <mergeCell ref="AH22:AH23"/>
    <mergeCell ref="AH24:AH25"/>
    <mergeCell ref="AH26:AH27"/>
    <mergeCell ref="AH28:AH29"/>
    <mergeCell ref="AH30:AH31"/>
    <mergeCell ref="AH32:AH33"/>
    <mergeCell ref="AH4:AH5"/>
    <mergeCell ref="AH6:AH7"/>
    <mergeCell ref="AI4:AI5"/>
    <mergeCell ref="AI6:AI7"/>
    <mergeCell ref="AH8:AH9"/>
    <mergeCell ref="AH10:AH11"/>
    <mergeCell ref="AH12:AH13"/>
    <mergeCell ref="AH14:AH15"/>
    <mergeCell ref="L2:AC2"/>
    <mergeCell ref="AD2:AE2"/>
    <mergeCell ref="AH2:AL2"/>
    <mergeCell ref="AF2:AG2"/>
    <mergeCell ref="AL14:AL15"/>
    <mergeCell ref="AK4:AK5"/>
    <mergeCell ref="AK6:AK7"/>
    <mergeCell ref="AK8:AK9"/>
    <mergeCell ref="AK10:AK11"/>
    <mergeCell ref="AK12:AK13"/>
    <mergeCell ref="AK14:AK15"/>
    <mergeCell ref="AK16:AK17"/>
    <mergeCell ref="AK18:AK19"/>
    <mergeCell ref="AK20:AK21"/>
    <mergeCell ref="AK22:AK23"/>
    <mergeCell ref="AJ22:AJ23"/>
    <mergeCell ref="AJ4:AJ5"/>
    <mergeCell ref="AL34:AL35"/>
    <mergeCell ref="AL36:AL37"/>
    <mergeCell ref="AL38:AL39"/>
    <mergeCell ref="AJ24:AJ25"/>
    <mergeCell ref="AJ26:AJ27"/>
    <mergeCell ref="AJ28:AJ29"/>
    <mergeCell ref="AL16:AL17"/>
    <mergeCell ref="AL18:AL19"/>
    <mergeCell ref="AL20:AL21"/>
    <mergeCell ref="AL22:AL23"/>
    <mergeCell ref="AL4:AL5"/>
    <mergeCell ref="AL6:AL7"/>
    <mergeCell ref="AL8:AL9"/>
    <mergeCell ref="AL10:AL11"/>
    <mergeCell ref="AL12:AL13"/>
    <mergeCell ref="AL40:AL41"/>
    <mergeCell ref="AL42:AL43"/>
    <mergeCell ref="AL24:AL25"/>
    <mergeCell ref="AL26:AL27"/>
    <mergeCell ref="AL28:AL29"/>
    <mergeCell ref="AL30:AL31"/>
    <mergeCell ref="AL32:AL33"/>
    <mergeCell ref="AK24:AK25"/>
    <mergeCell ref="AK26:AK27"/>
    <mergeCell ref="AK28:AK29"/>
    <mergeCell ref="AK30:AK31"/>
    <mergeCell ref="AK32:AK33"/>
    <mergeCell ref="AK34:AK35"/>
    <mergeCell ref="AK36:AK37"/>
    <mergeCell ref="AK38:AK39"/>
    <mergeCell ref="AK40:AK41"/>
    <mergeCell ref="AK42:AK43"/>
    <mergeCell ref="AL54:AL55"/>
    <mergeCell ref="AL56:AL57"/>
    <mergeCell ref="AL58:AL59"/>
    <mergeCell ref="AL60:AL61"/>
    <mergeCell ref="AL62:AL63"/>
    <mergeCell ref="AL44:AL45"/>
    <mergeCell ref="AL46:AL47"/>
    <mergeCell ref="AL48:AL49"/>
    <mergeCell ref="AL50:AL51"/>
    <mergeCell ref="AL52:AL53"/>
    <mergeCell ref="AK44:AK45"/>
    <mergeCell ref="AK46:AK47"/>
    <mergeCell ref="AK48:AK49"/>
    <mergeCell ref="AK50:AK51"/>
    <mergeCell ref="AK52:AK53"/>
    <mergeCell ref="AK54:AK55"/>
    <mergeCell ref="AK56:AK57"/>
    <mergeCell ref="AK58:AK59"/>
    <mergeCell ref="AK60:AK61"/>
    <mergeCell ref="AK62:AK63"/>
    <mergeCell ref="AJ48:AJ49"/>
    <mergeCell ref="AJ50:AJ51"/>
    <mergeCell ref="AL74:AL75"/>
    <mergeCell ref="AL76:AL77"/>
    <mergeCell ref="AL78:AL79"/>
    <mergeCell ref="AL80:AL81"/>
    <mergeCell ref="AL82:AL83"/>
    <mergeCell ref="AL64:AL65"/>
    <mergeCell ref="AL66:AL67"/>
    <mergeCell ref="AL68:AL69"/>
    <mergeCell ref="AL70:AL71"/>
    <mergeCell ref="AL72:AL73"/>
    <mergeCell ref="AK64:AK65"/>
    <mergeCell ref="AK66:AK67"/>
    <mergeCell ref="AK68:AK69"/>
    <mergeCell ref="AK70:AK71"/>
    <mergeCell ref="AK72:AK73"/>
    <mergeCell ref="AK74:AK75"/>
    <mergeCell ref="AK76:AK77"/>
    <mergeCell ref="AK78:AK79"/>
    <mergeCell ref="AK80:AK81"/>
    <mergeCell ref="AK82:AK83"/>
    <mergeCell ref="AJ66:AJ67"/>
    <mergeCell ref="AL94:AL95"/>
    <mergeCell ref="AL96:AL97"/>
    <mergeCell ref="AL98:AL99"/>
    <mergeCell ref="AL100:AL101"/>
    <mergeCell ref="AL102:AL103"/>
    <mergeCell ref="AL84:AL85"/>
    <mergeCell ref="AL86:AL87"/>
    <mergeCell ref="AL88:AL89"/>
    <mergeCell ref="AL90:AL91"/>
    <mergeCell ref="AL92:AL93"/>
    <mergeCell ref="AL114:AL115"/>
    <mergeCell ref="AL116:AL117"/>
    <mergeCell ref="AL118:AL119"/>
    <mergeCell ref="AL120:AL121"/>
    <mergeCell ref="AL122:AL123"/>
    <mergeCell ref="AL104:AL105"/>
    <mergeCell ref="AL106:AL107"/>
    <mergeCell ref="AL108:AL109"/>
    <mergeCell ref="AL110:AL111"/>
    <mergeCell ref="AL112:AL113"/>
    <mergeCell ref="AL134:AL135"/>
    <mergeCell ref="AL136:AL137"/>
    <mergeCell ref="AL138:AL139"/>
    <mergeCell ref="AL140:AL141"/>
    <mergeCell ref="AL142:AL143"/>
    <mergeCell ref="AL124:AL125"/>
    <mergeCell ref="AL126:AL127"/>
    <mergeCell ref="AL128:AL129"/>
    <mergeCell ref="AL130:AL131"/>
    <mergeCell ref="AL132:AL133"/>
    <mergeCell ref="AL154:AL155"/>
    <mergeCell ref="AL156:AL157"/>
    <mergeCell ref="AL158:AL159"/>
    <mergeCell ref="AL160:AL161"/>
    <mergeCell ref="AL162:AL163"/>
    <mergeCell ref="AL144:AL145"/>
    <mergeCell ref="AL146:AL147"/>
    <mergeCell ref="AL148:AL149"/>
    <mergeCell ref="AL150:AL151"/>
    <mergeCell ref="AL152:AL153"/>
    <mergeCell ref="AL174:AL175"/>
    <mergeCell ref="AL176:AL177"/>
    <mergeCell ref="AL178:AL179"/>
    <mergeCell ref="AL180:AL181"/>
    <mergeCell ref="AL182:AL183"/>
    <mergeCell ref="AL164:AL165"/>
    <mergeCell ref="AL166:AL167"/>
    <mergeCell ref="AL168:AL169"/>
    <mergeCell ref="AL170:AL171"/>
    <mergeCell ref="AL172:AL173"/>
    <mergeCell ref="AL194:AL195"/>
    <mergeCell ref="AL196:AL197"/>
    <mergeCell ref="AL198:AL199"/>
    <mergeCell ref="AL200:AL201"/>
    <mergeCell ref="AL202:AL203"/>
    <mergeCell ref="AL184:AL185"/>
    <mergeCell ref="AL186:AL187"/>
    <mergeCell ref="AL188:AL189"/>
    <mergeCell ref="AL190:AL191"/>
    <mergeCell ref="AL192:AL193"/>
    <mergeCell ref="AL214:AL215"/>
    <mergeCell ref="AL216:AL217"/>
    <mergeCell ref="AL218:AL219"/>
    <mergeCell ref="AL220:AL221"/>
    <mergeCell ref="AL222:AL223"/>
    <mergeCell ref="AL204:AL205"/>
    <mergeCell ref="AL206:AL207"/>
    <mergeCell ref="AL208:AL209"/>
    <mergeCell ref="AL210:AL211"/>
    <mergeCell ref="AL212:AL213"/>
    <mergeCell ref="AL234:AL235"/>
    <mergeCell ref="AL236:AL237"/>
    <mergeCell ref="AL238:AL239"/>
    <mergeCell ref="AL240:AL241"/>
    <mergeCell ref="AL242:AL243"/>
    <mergeCell ref="AL224:AL225"/>
    <mergeCell ref="AL226:AL227"/>
    <mergeCell ref="AL228:AL229"/>
    <mergeCell ref="AL230:AL231"/>
    <mergeCell ref="AL232:AL233"/>
    <mergeCell ref="AL254:AL255"/>
    <mergeCell ref="AL256:AL257"/>
    <mergeCell ref="AL258:AL259"/>
    <mergeCell ref="AL260:AL261"/>
    <mergeCell ref="AL262:AL263"/>
    <mergeCell ref="AL244:AL245"/>
    <mergeCell ref="AL246:AL247"/>
    <mergeCell ref="AL248:AL249"/>
    <mergeCell ref="AL250:AL251"/>
    <mergeCell ref="AL252:AL253"/>
    <mergeCell ref="AL284:AL285"/>
    <mergeCell ref="AL288:AL289"/>
    <mergeCell ref="AL274:AL275"/>
    <mergeCell ref="AL276:AL277"/>
    <mergeCell ref="AL278:AL279"/>
    <mergeCell ref="AL280:AL281"/>
    <mergeCell ref="AL282:AL283"/>
    <mergeCell ref="AL264:AL265"/>
    <mergeCell ref="AL266:AL267"/>
    <mergeCell ref="AL268:AL269"/>
    <mergeCell ref="AL270:AL271"/>
    <mergeCell ref="AL272:AL273"/>
    <mergeCell ref="AL286:AL287"/>
    <mergeCell ref="AK84:AK85"/>
    <mergeCell ref="AK86:AK87"/>
    <mergeCell ref="AK88:AK89"/>
    <mergeCell ref="AK90:AK91"/>
    <mergeCell ref="AK92:AK93"/>
    <mergeCell ref="AK94:AK95"/>
    <mergeCell ref="AK96:AK97"/>
    <mergeCell ref="AK98:AK99"/>
    <mergeCell ref="AK100:AK101"/>
    <mergeCell ref="AK102:AK103"/>
    <mergeCell ref="AK104:AK105"/>
    <mergeCell ref="AK106:AK107"/>
    <mergeCell ref="AK108:AK109"/>
    <mergeCell ref="AK110:AK111"/>
    <mergeCell ref="AK112:AK113"/>
    <mergeCell ref="AK114:AK115"/>
    <mergeCell ref="AK116:AK117"/>
    <mergeCell ref="AK118:AK119"/>
    <mergeCell ref="AK120:AK121"/>
    <mergeCell ref="AK122:AK123"/>
    <mergeCell ref="AK124:AK125"/>
    <mergeCell ref="AK126:AK127"/>
    <mergeCell ref="AK128:AK129"/>
    <mergeCell ref="AK130:AK131"/>
    <mergeCell ref="AK132:AK133"/>
    <mergeCell ref="AK134:AK135"/>
    <mergeCell ref="AK190:AK191"/>
    <mergeCell ref="AK136:AK137"/>
    <mergeCell ref="AK138:AK139"/>
    <mergeCell ref="AK140:AK141"/>
    <mergeCell ref="AK142:AK143"/>
    <mergeCell ref="AK144:AK145"/>
    <mergeCell ref="AK146:AK147"/>
    <mergeCell ref="AK148:AK149"/>
    <mergeCell ref="AK150:AK151"/>
    <mergeCell ref="AK152:AK153"/>
    <mergeCell ref="AK186:AK187"/>
    <mergeCell ref="AK188:AK189"/>
    <mergeCell ref="AK154:AK155"/>
    <mergeCell ref="AK156:AK157"/>
    <mergeCell ref="AK158:AK159"/>
    <mergeCell ref="AK160:AK161"/>
    <mergeCell ref="AK162:AK163"/>
    <mergeCell ref="AK164:AK165"/>
    <mergeCell ref="AK166:AK167"/>
    <mergeCell ref="AK168:AK169"/>
    <mergeCell ref="AK170:AK171"/>
    <mergeCell ref="AK172:AK173"/>
    <mergeCell ref="AK174:AK175"/>
    <mergeCell ref="AK176:AK177"/>
    <mergeCell ref="AK178:AK179"/>
    <mergeCell ref="AK180:AK181"/>
    <mergeCell ref="AK182:AK183"/>
    <mergeCell ref="AK184:AK185"/>
    <mergeCell ref="AK284:AK285"/>
    <mergeCell ref="AK288:AK289"/>
    <mergeCell ref="AK258:AK259"/>
    <mergeCell ref="AK260:AK261"/>
    <mergeCell ref="AK262:AK263"/>
    <mergeCell ref="AK264:AK265"/>
    <mergeCell ref="AK266:AK267"/>
    <mergeCell ref="AK268:AK269"/>
    <mergeCell ref="AK270:AK271"/>
    <mergeCell ref="AK272:AK273"/>
    <mergeCell ref="AK274:AK275"/>
    <mergeCell ref="AK286:AK287"/>
    <mergeCell ref="AK276:AK277"/>
    <mergeCell ref="AK192:AK193"/>
    <mergeCell ref="AK194:AK195"/>
    <mergeCell ref="AK196:AK197"/>
    <mergeCell ref="AK198:AK199"/>
    <mergeCell ref="AK240:AK241"/>
    <mergeCell ref="AK242:AK243"/>
    <mergeCell ref="AK244:AK245"/>
    <mergeCell ref="AK252:AK253"/>
    <mergeCell ref="AJ68:AJ69"/>
    <mergeCell ref="AJ70:AJ71"/>
    <mergeCell ref="AJ72:AJ73"/>
    <mergeCell ref="AJ74:AJ75"/>
    <mergeCell ref="AJ76:AJ77"/>
    <mergeCell ref="AK278:AK279"/>
    <mergeCell ref="AK280:AK281"/>
    <mergeCell ref="AK282:AK283"/>
    <mergeCell ref="AK238:AK239"/>
    <mergeCell ref="AK204:AK205"/>
    <mergeCell ref="AK206:AK207"/>
    <mergeCell ref="AK208:AK209"/>
    <mergeCell ref="AK210:AK211"/>
    <mergeCell ref="AK212:AK213"/>
    <mergeCell ref="AK214:AK215"/>
    <mergeCell ref="AK216:AK217"/>
    <mergeCell ref="AK218:AK219"/>
    <mergeCell ref="AK220:AK221"/>
    <mergeCell ref="AK234:AK235"/>
    <mergeCell ref="AK236:AK237"/>
    <mergeCell ref="AK222:AK223"/>
    <mergeCell ref="AK224:AK225"/>
    <mergeCell ref="AK226:AK227"/>
    <mergeCell ref="AK250:AK251"/>
    <mergeCell ref="AJ52:AJ53"/>
    <mergeCell ref="AJ54:AJ55"/>
    <mergeCell ref="AJ56:AJ57"/>
    <mergeCell ref="AJ58:AJ59"/>
    <mergeCell ref="AJ60:AJ61"/>
    <mergeCell ref="AJ62:AJ63"/>
    <mergeCell ref="AJ64:AJ65"/>
    <mergeCell ref="AK246:AK247"/>
    <mergeCell ref="AK248:AK249"/>
    <mergeCell ref="AK228:AK229"/>
    <mergeCell ref="AK230:AK231"/>
    <mergeCell ref="AK232:AK233"/>
    <mergeCell ref="AK200:AK201"/>
    <mergeCell ref="AK202:AK203"/>
    <mergeCell ref="AJ84:AJ85"/>
    <mergeCell ref="AJ86:AJ87"/>
    <mergeCell ref="AJ88:AJ89"/>
    <mergeCell ref="AJ90:AJ91"/>
    <mergeCell ref="AJ92:AJ93"/>
    <mergeCell ref="AJ94:AJ95"/>
    <mergeCell ref="AJ96:AJ97"/>
    <mergeCell ref="AJ98:AJ99"/>
    <mergeCell ref="AJ100:AJ101"/>
    <mergeCell ref="AJ102:AJ103"/>
    <mergeCell ref="AK254:AK255"/>
    <mergeCell ref="AK256:AK257"/>
    <mergeCell ref="AJ6:AJ7"/>
    <mergeCell ref="AJ8:AJ9"/>
    <mergeCell ref="AJ10:AJ11"/>
    <mergeCell ref="AJ12:AJ13"/>
    <mergeCell ref="AJ14:AJ15"/>
    <mergeCell ref="AJ16:AJ17"/>
    <mergeCell ref="AJ18:AJ19"/>
    <mergeCell ref="AJ20:AJ21"/>
    <mergeCell ref="AJ46:AJ47"/>
    <mergeCell ref="AJ30:AJ31"/>
    <mergeCell ref="AJ32:AJ33"/>
    <mergeCell ref="AJ34:AJ35"/>
    <mergeCell ref="AJ36:AJ37"/>
    <mergeCell ref="AJ38:AJ39"/>
    <mergeCell ref="AJ40:AJ41"/>
    <mergeCell ref="AJ42:AJ43"/>
    <mergeCell ref="AJ44:AJ45"/>
    <mergeCell ref="AJ78:AJ79"/>
    <mergeCell ref="AJ80:AJ81"/>
    <mergeCell ref="AJ82:AJ83"/>
    <mergeCell ref="AJ104:AJ105"/>
    <mergeCell ref="AJ106:AJ107"/>
    <mergeCell ref="AJ108:AJ109"/>
    <mergeCell ref="AJ110:AJ111"/>
    <mergeCell ref="AJ112:AJ113"/>
    <mergeCell ref="AJ114:AJ115"/>
    <mergeCell ref="AJ116:AJ117"/>
    <mergeCell ref="AJ118:AJ119"/>
    <mergeCell ref="AJ120:AJ121"/>
    <mergeCell ref="AJ156:AJ157"/>
    <mergeCell ref="AJ122:AJ123"/>
    <mergeCell ref="AJ124:AJ125"/>
    <mergeCell ref="AJ126:AJ127"/>
    <mergeCell ref="AJ128:AJ129"/>
    <mergeCell ref="AJ130:AJ131"/>
    <mergeCell ref="AJ132:AJ133"/>
    <mergeCell ref="AJ134:AJ135"/>
    <mergeCell ref="AJ136:AJ137"/>
    <mergeCell ref="AJ138:AJ139"/>
    <mergeCell ref="AJ140:AJ141"/>
    <mergeCell ref="AJ142:AJ143"/>
    <mergeCell ref="AJ144:AJ145"/>
    <mergeCell ref="AJ146:AJ147"/>
    <mergeCell ref="AJ148:AJ149"/>
    <mergeCell ref="AJ150:AJ151"/>
    <mergeCell ref="AJ152:AJ153"/>
    <mergeCell ref="AJ154:AJ155"/>
    <mergeCell ref="AJ270:AJ271"/>
    <mergeCell ref="AJ254:AJ255"/>
    <mergeCell ref="AJ256:AJ257"/>
    <mergeCell ref="AJ258:AJ259"/>
    <mergeCell ref="AJ260:AJ261"/>
    <mergeCell ref="AJ262:AJ263"/>
    <mergeCell ref="AJ264:AJ265"/>
    <mergeCell ref="AJ286:AJ287"/>
    <mergeCell ref="AJ178:AJ179"/>
    <mergeCell ref="AJ180:AJ181"/>
    <mergeCell ref="AJ212:AJ213"/>
    <mergeCell ref="AJ214:AJ215"/>
    <mergeCell ref="AJ216:AJ217"/>
    <mergeCell ref="AJ182:AJ183"/>
    <mergeCell ref="AJ184:AJ185"/>
    <mergeCell ref="AJ186:AJ187"/>
    <mergeCell ref="AJ188:AJ189"/>
    <mergeCell ref="AJ190:AJ191"/>
    <mergeCell ref="AJ192:AJ193"/>
    <mergeCell ref="AJ194:AJ195"/>
    <mergeCell ref="AJ196:AJ197"/>
    <mergeCell ref="AJ198:AJ199"/>
    <mergeCell ref="AJ232:AJ233"/>
    <mergeCell ref="AJ234:AJ235"/>
    <mergeCell ref="AJ218:AJ219"/>
    <mergeCell ref="AJ220:AJ221"/>
    <mergeCell ref="AJ222:AJ223"/>
    <mergeCell ref="AJ224:AJ225"/>
    <mergeCell ref="AJ226:AJ227"/>
    <mergeCell ref="AJ228:AJ229"/>
    <mergeCell ref="AJ230:AJ231"/>
    <mergeCell ref="AJ158:AJ159"/>
    <mergeCell ref="AJ160:AJ161"/>
    <mergeCell ref="AJ162:AJ163"/>
    <mergeCell ref="AJ164:AJ165"/>
    <mergeCell ref="AJ166:AJ167"/>
    <mergeCell ref="AJ168:AJ169"/>
    <mergeCell ref="AJ170:AJ171"/>
    <mergeCell ref="AJ200:AJ201"/>
    <mergeCell ref="AJ202:AJ203"/>
    <mergeCell ref="AJ204:AJ205"/>
    <mergeCell ref="AJ206:AJ207"/>
    <mergeCell ref="AJ208:AJ209"/>
    <mergeCell ref="AJ210:AJ211"/>
    <mergeCell ref="AJ172:AJ173"/>
    <mergeCell ref="AJ174:AJ175"/>
    <mergeCell ref="AJ176:AJ177"/>
    <mergeCell ref="AH290:AH291"/>
    <mergeCell ref="AI290:AI291"/>
    <mergeCell ref="AJ290:AJ291"/>
    <mergeCell ref="AK290:AK291"/>
    <mergeCell ref="AL290:AL291"/>
    <mergeCell ref="AJ236:AJ237"/>
    <mergeCell ref="AJ238:AJ239"/>
    <mergeCell ref="AJ240:AJ241"/>
    <mergeCell ref="AJ242:AJ243"/>
    <mergeCell ref="AJ244:AJ245"/>
    <mergeCell ref="AJ246:AJ247"/>
    <mergeCell ref="AJ272:AJ273"/>
    <mergeCell ref="AJ274:AJ275"/>
    <mergeCell ref="AJ276:AJ277"/>
    <mergeCell ref="AJ278:AJ279"/>
    <mergeCell ref="AJ280:AJ281"/>
    <mergeCell ref="AJ282:AJ283"/>
    <mergeCell ref="AJ284:AJ285"/>
    <mergeCell ref="AJ288:AJ289"/>
    <mergeCell ref="AJ248:AJ249"/>
    <mergeCell ref="AJ250:AJ251"/>
    <mergeCell ref="AJ252:AJ253"/>
    <mergeCell ref="AJ266:AJ267"/>
    <mergeCell ref="AJ268:AJ269"/>
  </mergeCells>
  <conditionalFormatting sqref="B6:B285">
    <cfRule type="expression" dxfId="59" priority="48">
      <formula>($B6=SP_CurrentYear)</formula>
    </cfRule>
  </conditionalFormatting>
  <conditionalFormatting sqref="B286:B287">
    <cfRule type="expression" dxfId="58" priority="34">
      <formula>($B286=SP_CurrentYear)</formula>
    </cfRule>
  </conditionalFormatting>
  <conditionalFormatting sqref="B288:B289">
    <cfRule type="expression" dxfId="57" priority="33">
      <formula>($B288=SP_CurrentYear)</formula>
    </cfRule>
  </conditionalFormatting>
  <conditionalFormatting sqref="L6:O139 L140:N289">
    <cfRule type="expression" dxfId="56" priority="168" stopIfTrue="1">
      <formula>($AM6&gt;=200)</formula>
    </cfRule>
    <cfRule type="expression" dxfId="55" priority="169">
      <formula>($AM6&gt;=100)</formula>
    </cfRule>
  </conditionalFormatting>
  <conditionalFormatting sqref="AN6:AN289">
    <cfRule type="expression" dxfId="54" priority="30" stopIfTrue="1">
      <formula>($R6&gt;=200)</formula>
    </cfRule>
    <cfRule type="expression" dxfId="53" priority="31">
      <formula>($R6&gt;=100)</formula>
    </cfRule>
  </conditionalFormatting>
  <conditionalFormatting sqref="B290:B291">
    <cfRule type="expression" dxfId="52" priority="27">
      <formula>($B290=SP_CurrentYear)</formula>
    </cfRule>
  </conditionalFormatting>
  <conditionalFormatting sqref="L290:N291">
    <cfRule type="expression" dxfId="51" priority="28" stopIfTrue="1">
      <formula>($AM290&gt;=200)</formula>
    </cfRule>
    <cfRule type="expression" dxfId="50" priority="29">
      <formula>($AM290&gt;=100)</formula>
    </cfRule>
  </conditionalFormatting>
  <conditionalFormatting sqref="AN290:AN291">
    <cfRule type="expression" dxfId="49" priority="24" stopIfTrue="1">
      <formula>($R290&gt;=200)</formula>
    </cfRule>
    <cfRule type="expression" dxfId="48" priority="25">
      <formula>($R290&gt;=100)</formula>
    </cfRule>
  </conditionalFormatting>
  <conditionalFormatting sqref="B292:B293">
    <cfRule type="expression" dxfId="47" priority="19">
      <formula>($B292=SP_CurrentYear)</formula>
    </cfRule>
  </conditionalFormatting>
  <conditionalFormatting sqref="L292:N293">
    <cfRule type="expression" dxfId="46" priority="20" stopIfTrue="1">
      <formula>($AM292&gt;=200)</formula>
    </cfRule>
    <cfRule type="expression" dxfId="45" priority="21">
      <formula>($AM292&gt;=100)</formula>
    </cfRule>
  </conditionalFormatting>
  <conditionalFormatting sqref="AN292:AN293">
    <cfRule type="expression" dxfId="44" priority="16" stopIfTrue="1">
      <formula>($R292&gt;=200)</formula>
    </cfRule>
    <cfRule type="expression" dxfId="43" priority="17">
      <formula>($R292&gt;=100)</formula>
    </cfRule>
  </conditionalFormatting>
  <conditionalFormatting sqref="B294:B295">
    <cfRule type="expression" dxfId="42" priority="13">
      <formula>($B294=SP_CurrentYear)</formula>
    </cfRule>
  </conditionalFormatting>
  <conditionalFormatting sqref="L294:N295">
    <cfRule type="expression" dxfId="41" priority="14" stopIfTrue="1">
      <formula>($AM294&gt;=200)</formula>
    </cfRule>
    <cfRule type="expression" dxfId="40" priority="15">
      <formula>($AM294&gt;=100)</formula>
    </cfRule>
  </conditionalFormatting>
  <conditionalFormatting sqref="B296:B297">
    <cfRule type="expression" dxfId="39" priority="10">
      <formula>($B296=SP_CurrentYear)</formula>
    </cfRule>
  </conditionalFormatting>
  <conditionalFormatting sqref="L296:N297">
    <cfRule type="expression" dxfId="38" priority="11" stopIfTrue="1">
      <formula>($AM296&gt;=200)</formula>
    </cfRule>
    <cfRule type="expression" dxfId="37" priority="12">
      <formula>($AM296&gt;=100)</formula>
    </cfRule>
  </conditionalFormatting>
  <conditionalFormatting sqref="B298:B299">
    <cfRule type="expression" dxfId="36" priority="7">
      <formula>($B298=SP_CurrentYear)</formula>
    </cfRule>
  </conditionalFormatting>
  <conditionalFormatting sqref="L298:N299">
    <cfRule type="expression" dxfId="35" priority="8" stopIfTrue="1">
      <formula>($AM298&gt;=200)</formula>
    </cfRule>
    <cfRule type="expression" dxfId="34" priority="9">
      <formula>($AM298&gt;=100)</formula>
    </cfRule>
  </conditionalFormatting>
  <conditionalFormatting sqref="AN294:AN299">
    <cfRule type="expression" dxfId="33" priority="4" stopIfTrue="1">
      <formula>($R294&gt;=200)</formula>
    </cfRule>
    <cfRule type="expression" dxfId="32" priority="5">
      <formula>($R294&gt;=100)</formula>
    </cfRule>
  </conditionalFormatting>
  <conditionalFormatting sqref="B300:B301">
    <cfRule type="expression" dxfId="31" priority="1">
      <formula>($B300=SP_CurrentYear)</formula>
    </cfRule>
  </conditionalFormatting>
  <conditionalFormatting sqref="L300:N301">
    <cfRule type="expression" dxfId="30" priority="2" stopIfTrue="1">
      <formula>($AM300&gt;=200)</formula>
    </cfRule>
    <cfRule type="expression" dxfId="29" priority="3">
      <formula>($AM300&gt;=100)</formula>
    </cfRule>
  </conditionalFormatting>
  <hyperlinks>
    <hyperlink ref="N3" r:id="rId1" location="PassiveIncome" display="https://www.retireator.org/documentation/sp_reference/ - PassiveIncome" xr:uid="{00000000-0004-0000-0300-000000000000}"/>
    <hyperlink ref="M3" r:id="rId2" location="SelfEmploymentIncome" display="https://www.retireator.org/documentation/sp_reference/ - SelfEmploymentIncome" xr:uid="{00000000-0004-0000-0300-000001000000}"/>
    <hyperlink ref="O3" r:id="rId3" location="PreFICADeductions" display="https://www.retireator.org/documentation/sp_reference/ - PreFICADeductions" xr:uid="{00000000-0004-0000-0300-000003000000}"/>
    <hyperlink ref="L3" r:id="rId4" location="EmployerIncome" display="https://www.retireator.org/documentation/sp_reference/ - EmployerIncome" xr:uid="{18B0711F-907B-449F-A99A-972A51E9BEDF}"/>
  </hyperlinks>
  <pageMargins left="0.7" right="0.7" top="0.75" bottom="0.75" header="0.3" footer="0.3"/>
  <pageSetup orientation="portrait" horizontalDpi="4294967293" r:id="rId5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32" id="{278E9DE7-01AC-4E8D-BDEF-8E92008659CC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AM6:AM289</xm:sqref>
        </x14:conditionalFormatting>
        <x14:conditionalFormatting xmlns:xm="http://schemas.microsoft.com/office/excel/2006/main">
          <x14:cfRule type="iconSet" priority="26" id="{6883D2D5-304A-4026-A42D-AB1A9B2DEA55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AM290:AM291</xm:sqref>
        </x14:conditionalFormatting>
        <x14:conditionalFormatting xmlns:xm="http://schemas.microsoft.com/office/excel/2006/main">
          <x14:cfRule type="iconSet" priority="18" id="{380B4BC5-38A3-4867-A971-1A3484A98823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AM292:AM293</xm:sqref>
        </x14:conditionalFormatting>
        <x14:conditionalFormatting xmlns:xm="http://schemas.microsoft.com/office/excel/2006/main">
          <x14:cfRule type="iconSet" priority="6" id="{774BB8BA-4AED-42C7-B063-383767C712B6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AM294:AM299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1"/>
  <dimension ref="A1:P72"/>
  <sheetViews>
    <sheetView topLeftCell="A72" workbookViewId="0"/>
  </sheetViews>
  <sheetFormatPr defaultRowHeight="15" x14ac:dyDescent="0.25"/>
  <cols>
    <col min="1" max="2" width="9.140625" hidden="1" customWidth="1"/>
    <col min="3" max="3" width="5.42578125" hidden="1" customWidth="1"/>
    <col min="4" max="4" width="44.28515625" hidden="1" customWidth="1"/>
    <col min="5" max="6" width="13.28515625" hidden="1" customWidth="1"/>
    <col min="7" max="7" width="16.7109375" hidden="1" customWidth="1"/>
    <col min="8" max="8" width="15.85546875" hidden="1" customWidth="1"/>
    <col min="9" max="10" width="10.85546875" hidden="1" customWidth="1"/>
    <col min="11" max="11" width="16.28515625" hidden="1" customWidth="1"/>
    <col min="12" max="13" width="15.85546875" hidden="1" customWidth="1"/>
    <col min="14" max="14" width="16.28515625" hidden="1" customWidth="1"/>
    <col min="15" max="15" width="3" hidden="1" customWidth="1"/>
    <col min="16" max="16" width="8.5703125" hidden="1" customWidth="1"/>
  </cols>
  <sheetData>
    <row r="1" spans="1:16" hidden="1" x14ac:dyDescent="0.25">
      <c r="A1">
        <f>PMBASIC+PMADVANCED+VMONLINE+VMMACRO</f>
        <v>54</v>
      </c>
      <c r="B1">
        <f>PMBASIC+PMADVANCED+VMONLINE+VMMACRO</f>
        <v>54</v>
      </c>
      <c r="C1">
        <f>PMBASIC+PMADVANCED</f>
        <v>48</v>
      </c>
      <c r="D1">
        <f>PMBASIC+PMADVANCED+VMONLINE+VMMACRO</f>
        <v>54</v>
      </c>
      <c r="E1">
        <f>PMBASIC+PMADVANCED+VMONLINE+VMMACRO</f>
        <v>54</v>
      </c>
      <c r="F1">
        <f>PMBASIC+PMADVANCED+VMONLINE+VMMACRO</f>
        <v>54</v>
      </c>
      <c r="G1">
        <f>PMADVANCED+VMONLINE+VMMACRO</f>
        <v>38</v>
      </c>
      <c r="H1">
        <f t="shared" ref="H1:N1" si="0">PMBASIC+PMADVANCED</f>
        <v>48</v>
      </c>
      <c r="I1">
        <f t="shared" si="0"/>
        <v>48</v>
      </c>
      <c r="J1">
        <f t="shared" si="0"/>
        <v>48</v>
      </c>
      <c r="K1">
        <f t="shared" si="0"/>
        <v>48</v>
      </c>
      <c r="L1">
        <f t="shared" si="0"/>
        <v>48</v>
      </c>
      <c r="M1">
        <f t="shared" si="0"/>
        <v>48</v>
      </c>
      <c r="N1">
        <f t="shared" si="0"/>
        <v>48</v>
      </c>
      <c r="O1">
        <f>PMBASIC+PMADVANCED+VMONLINE+VMMACRO</f>
        <v>54</v>
      </c>
      <c r="P1">
        <f>PMBASIC+PMADVANCED+VMONLINE+VMMACRO</f>
        <v>54</v>
      </c>
    </row>
    <row r="2" spans="1:16" hidden="1" x14ac:dyDescent="0.25">
      <c r="A2">
        <f>PMBASIC+PMADVANCED+VMONLINE+VMMACRO</f>
        <v>54</v>
      </c>
      <c r="D2" s="626" t="s">
        <v>667</v>
      </c>
      <c r="E2" s="588"/>
      <c r="F2" s="588"/>
      <c r="G2" s="627"/>
      <c r="K2" s="1"/>
      <c r="L2" s="1"/>
      <c r="M2" s="1"/>
      <c r="N2" s="1"/>
      <c r="O2" s="1"/>
      <c r="P2" s="1"/>
    </row>
    <row r="3" spans="1:16" hidden="1" x14ac:dyDescent="0.25">
      <c r="A3">
        <f>PMBASIC+PMADVANCED+VMONLINE+VMMACRO</f>
        <v>54</v>
      </c>
      <c r="C3" s="26" t="s">
        <v>839</v>
      </c>
      <c r="D3" s="29"/>
      <c r="G3" s="125"/>
      <c r="H3" s="30"/>
      <c r="I3" s="54" t="s">
        <v>746</v>
      </c>
      <c r="J3" s="54"/>
      <c r="K3" s="55" t="s">
        <v>754</v>
      </c>
      <c r="L3" s="55" t="s">
        <v>751</v>
      </c>
      <c r="M3" s="55"/>
      <c r="N3" s="55" t="s">
        <v>755</v>
      </c>
      <c r="O3" s="1"/>
      <c r="P3" s="1"/>
    </row>
    <row r="4" spans="1:16" ht="15" hidden="1" customHeight="1" x14ac:dyDescent="0.25">
      <c r="A4">
        <f t="shared" ref="A4:A12" si="1">PMBASIC+PMADVANCED+IF(SP_HM, VMONLINE+VMMACRO, 0)</f>
        <v>48</v>
      </c>
      <c r="B4" s="607" t="s">
        <v>770</v>
      </c>
      <c r="C4" s="436" t="b">
        <f>IF(SC_ViewMode=VMWIPED,FALSE,IF(SC_ViewMode=VMDEBUG,TRUE,AND(MOD(INT($A4/POWER(2,LOG(SC_ParameterMode,2))),2)&lt;&gt;0,MOD(INT($A4/POWER(2,LOG(SC_ViewMode,2))),2)&lt;&gt;0)))</f>
        <v>0</v>
      </c>
      <c r="D4" s="224" t="s">
        <v>11</v>
      </c>
      <c r="E4" s="493"/>
      <c r="F4" s="442"/>
      <c r="G4" s="97"/>
      <c r="H4" s="97"/>
      <c r="I4" s="117">
        <f>IF(IF(COLUMN()=COLUMN(E4),TRUE,ISBLANK(E4)), L4, E4)</f>
        <v>0</v>
      </c>
      <c r="J4" s="57"/>
      <c r="K4" s="62"/>
      <c r="L4" s="117">
        <v>0</v>
      </c>
      <c r="M4" s="117"/>
      <c r="N4" s="57"/>
      <c r="O4" s="188">
        <f>IFERROR(IF($C4,IF(OR(NOT(ISNUMBER($I4)),$I4&lt;0),202,IF($I4=0,103,0)),0),203)</f>
        <v>0</v>
      </c>
      <c r="P4" t="str">
        <f t="shared" ref="P4:P43" si="2">IFERROR(VLOOKUP(O4,IV_CodeTable,2,FALSE),"")</f>
        <v/>
      </c>
    </row>
    <row r="5" spans="1:16" hidden="1" x14ac:dyDescent="0.25">
      <c r="A5">
        <f t="shared" si="1"/>
        <v>48</v>
      </c>
      <c r="B5" s="608"/>
      <c r="C5" s="445" t="b">
        <f>IF(SC_ViewMode=VMWIPED,FALSE,IF(SC_ViewMode=VMDEBUG,TRUE,AND(MOD(INT($A5/POWER(2,LOG(SC_ParameterMode,2))),2)&lt;&gt;0,MOD(INT($A5/POWER(2,LOG(SC_ViewMode,2))),2)&lt;&gt;0)))</f>
        <v>0</v>
      </c>
      <c r="D5" s="225" t="s">
        <v>757</v>
      </c>
      <c r="E5" s="496"/>
      <c r="F5" s="444"/>
      <c r="G5" s="444"/>
      <c r="H5" s="444"/>
      <c r="I5" s="135" t="str">
        <f>IF(IF(COLUMN()=COLUMN(E5),TRUE,ISBLANK(E5)), "", IF($E5="","",EDATE(DATE(YEAR($E5),MONTH($E5),1), IF(DAY($E5)=1, 0, 1))))</f>
        <v/>
      </c>
      <c r="J5" s="57"/>
      <c r="K5" s="62"/>
      <c r="L5" s="176"/>
      <c r="M5" s="176"/>
      <c r="N5" s="57"/>
      <c r="O5" s="188">
        <f>IFERROR(IF($C5,IF($I5="",0,IF(ISERROR(DATEVALUE(TEXT($I5,"mm/dd/yyyy"))),200,IF(YEAR($I5)&gt;SC_YearStop,206,0))),0),203)</f>
        <v>0</v>
      </c>
      <c r="P5" t="str">
        <f t="shared" si="2"/>
        <v/>
      </c>
    </row>
    <row r="6" spans="1:16" hidden="1" x14ac:dyDescent="0.25">
      <c r="A6">
        <f t="shared" si="1"/>
        <v>48</v>
      </c>
      <c r="B6" s="608"/>
      <c r="C6" s="445" t="b">
        <f>IF(SC_ViewMode=VMWIPED,FALSE,IF(SC_ViewMode=VMDEBUG,TRUE,AND(MOD(INT($A6/POWER(2,LOG(SC_ParameterMode,2))),2)&lt;&gt;0,MOD(INT($A6/POWER(2,LOG(SC_ViewMode,2))),2)&lt;&gt;0)))</f>
        <v>0</v>
      </c>
      <c r="D6" s="225" t="s">
        <v>758</v>
      </c>
      <c r="E6" s="470"/>
      <c r="F6" s="444"/>
      <c r="G6" s="98"/>
      <c r="H6" s="98"/>
      <c r="I6" s="117">
        <f>IF(IF(COLUMN()=COLUMN(E6),TRUE,ISBLANK(E6)), L6, E6)</f>
        <v>0</v>
      </c>
      <c r="J6" s="57"/>
      <c r="K6" s="62"/>
      <c r="L6" s="117">
        <v>0</v>
      </c>
      <c r="M6" s="117"/>
      <c r="N6" s="57"/>
      <c r="O6" s="188">
        <f>IFERROR(IF($C6,IF(OR(NOT(ISNUMBER($I6)),$I6&lt;0),202,0),0),203)</f>
        <v>0</v>
      </c>
      <c r="P6" t="str">
        <f t="shared" si="2"/>
        <v/>
      </c>
    </row>
    <row r="7" spans="1:16" hidden="1" x14ac:dyDescent="0.25">
      <c r="A7">
        <f t="shared" si="1"/>
        <v>48</v>
      </c>
      <c r="B7" s="608"/>
      <c r="C7" s="445" t="b">
        <f>IF(SC_ViewMode=VMWIPED,FALSE,IF(SC_ViewMode=VMDEBUG,TRUE,AND(MOD(INT($A7/POWER(2,LOG(SC_ParameterMode,2))),2)&lt;&gt;0,MOD(INT($A7/POWER(2,LOG(SC_ViewMode,2))),2)&lt;&gt;0)))</f>
        <v>0</v>
      </c>
      <c r="D7" s="225" t="s">
        <v>759</v>
      </c>
      <c r="E7" s="497"/>
      <c r="F7" s="444" t="s">
        <v>833</v>
      </c>
      <c r="G7" s="440"/>
      <c r="H7" s="440"/>
      <c r="I7" s="175">
        <f>IF(IF(COLUMN()=COLUMN(E7),TRUE,ISBLANK(E7)), L7, E7)</f>
        <v>0</v>
      </c>
      <c r="J7" s="57"/>
      <c r="K7" s="62"/>
      <c r="L7" s="175">
        <v>0</v>
      </c>
      <c r="M7" s="175"/>
      <c r="N7" s="57"/>
      <c r="O7" s="188">
        <f>IFERROR(IF($C7,IF(OR(NOT(ISNUMBER($I7)),$I7&lt;0),202,0),0),203)</f>
        <v>0</v>
      </c>
      <c r="P7" t="str">
        <f t="shared" si="2"/>
        <v/>
      </c>
    </row>
    <row r="8" spans="1:16" ht="15" hidden="1" customHeight="1" x14ac:dyDescent="0.25">
      <c r="A8">
        <f t="shared" si="1"/>
        <v>48</v>
      </c>
      <c r="B8" s="608"/>
      <c r="C8" s="445" t="b">
        <f>IF(SC_ViewMode=VMWIPED,FALSE,IF(SC_ViewMode=VMDEBUG,TRUE,AND(MOD(INT($A8/POWER(2,LOG(SC_ParameterMode,2))),2)&lt;&gt;0,MOD(INT($A8/POWER(2,LOG(SC_ViewMode,2))),2)&lt;&gt;0)))</f>
        <v>0</v>
      </c>
      <c r="D8" s="225" t="s">
        <v>4</v>
      </c>
      <c r="E8" s="472"/>
      <c r="F8" s="264" t="s">
        <v>666</v>
      </c>
      <c r="G8" s="226" t="s">
        <v>654</v>
      </c>
      <c r="H8" s="445"/>
      <c r="I8" s="178">
        <f ca="1">IF(IF(COLUMN()=COLUMN(E8),TRUE,ISBLANK(E8)), L8, E8)</f>
        <v>3.2600000000000004E-2</v>
      </c>
      <c r="J8" s="96"/>
      <c r="K8" s="96"/>
      <c r="L8" s="178">
        <f ca="1">INDEX(SC_EA_ARBonds,EAIDX)+1.5%</f>
        <v>3.2600000000000004E-2</v>
      </c>
      <c r="M8" s="178"/>
      <c r="N8" s="174"/>
      <c r="O8" s="188">
        <f>IFERROR(IF($C8,IF(OR(NOT(ISNUMBER($I8)),$I8&lt;0),202,IF($I8=0,103,0)),0),203)</f>
        <v>0</v>
      </c>
      <c r="P8" t="str">
        <f t="shared" si="2"/>
        <v/>
      </c>
    </row>
    <row r="9" spans="1:16" hidden="1" x14ac:dyDescent="0.25">
      <c r="A9">
        <f t="shared" si="1"/>
        <v>48</v>
      </c>
      <c r="B9" s="608"/>
      <c r="C9" s="445"/>
      <c r="D9" s="438" t="s">
        <v>788</v>
      </c>
      <c r="E9" s="177">
        <f ca="1">IFERROR(-PPMT(SP_MortRate/12,IFERROR(DATEDIF(SP_MortOriginDate, SP_CurrentDate, "m")+1,0),SP_MortNper,SP_MortOriginBalance,0,0),0)</f>
        <v>0</v>
      </c>
      <c r="F9" s="263"/>
      <c r="G9" s="523"/>
      <c r="H9" s="445"/>
      <c r="I9" s="96"/>
      <c r="J9" s="96"/>
      <c r="K9" s="96" t="str">
        <f>IF(IF(COLUMN()=COLUMN(G9),TRUE,ISBLANK(G9)), N9, G9)</f>
        <v>No</v>
      </c>
      <c r="L9" s="96"/>
      <c r="M9" s="96"/>
      <c r="N9" s="96" t="s">
        <v>658</v>
      </c>
      <c r="O9" s="188"/>
    </row>
    <row r="10" spans="1:16" hidden="1" x14ac:dyDescent="0.25">
      <c r="A10">
        <f t="shared" si="1"/>
        <v>48</v>
      </c>
      <c r="B10" s="608"/>
      <c r="C10" s="445"/>
      <c r="D10" s="438" t="s">
        <v>789</v>
      </c>
      <c r="E10" s="177">
        <f ca="1">IFERROR(-IPMT(SP_MortRate/12,IFERROR(DATEDIF(SP_MortOriginDate, SP_CurrentDate, "m")+1,0),SP_MortNper,SP_MortOriginBalance,0,0),0)</f>
        <v>0</v>
      </c>
      <c r="F10" s="440"/>
      <c r="G10" s="523"/>
      <c r="H10" s="445"/>
      <c r="I10" s="96"/>
      <c r="J10" s="96"/>
      <c r="K10" s="96" t="str">
        <f>IF(IF(COLUMN()=COLUMN(G10),TRUE,ISBLANK(G10)), N10, G10)</f>
        <v>Fed/State:1</v>
      </c>
      <c r="L10" s="96"/>
      <c r="M10" s="96"/>
      <c r="N10" s="96" t="s">
        <v>713</v>
      </c>
      <c r="O10" s="188"/>
    </row>
    <row r="11" spans="1:16" hidden="1" x14ac:dyDescent="0.25">
      <c r="A11">
        <f t="shared" si="1"/>
        <v>48</v>
      </c>
      <c r="B11" s="608"/>
      <c r="C11" s="445" t="b">
        <f>IF(SC_ViewMode=VMWIPED,FALSE,IF(SC_ViewMode=VMDEBUG,TRUE,AND(MOD(INT($A11/POWER(2,LOG(SC_ParameterMode,2))),2)&lt;&gt;0,MOD(INT($A11/POWER(2,LOG(SC_ViewMode,2))),2)&lt;&gt;0)))</f>
        <v>0</v>
      </c>
      <c r="D11" s="225" t="s">
        <v>643</v>
      </c>
      <c r="E11" s="470"/>
      <c r="F11" s="440"/>
      <c r="G11" s="523"/>
      <c r="H11" s="445"/>
      <c r="I11" s="117">
        <f>IF(IF(COLUMN()=COLUMN(E11),TRUE,ISBLANK(E11)), L11, E11)</f>
        <v>0</v>
      </c>
      <c r="J11" s="96"/>
      <c r="K11" s="96" t="str">
        <f>IF(IF(COLUMN()=COLUMN(G11),TRUE,ISBLANK(G11)), N11, G11)</f>
        <v>Fed/State:1</v>
      </c>
      <c r="L11" s="117">
        <f>VLOOKUP(SP_Taxes, LT_StateTax, 6, FALSE)*SP_HomeValue/12</f>
        <v>0</v>
      </c>
      <c r="M11" s="117"/>
      <c r="N11" s="96" t="s">
        <v>713</v>
      </c>
      <c r="O11" s="188">
        <f>IFERROR(IF($C11,IF(OR(NOT(ISNUMBER($I11)),$I11&lt;0),202,0),0),203)</f>
        <v>0</v>
      </c>
      <c r="P11" t="str">
        <f t="shared" si="2"/>
        <v/>
      </c>
    </row>
    <row r="12" spans="1:16" hidden="1" x14ac:dyDescent="0.25">
      <c r="A12">
        <f t="shared" si="1"/>
        <v>48</v>
      </c>
      <c r="B12" s="608"/>
      <c r="C12" s="179" t="b">
        <f>IF(SC_ViewMode=VMWIPED,FALSE,IF(SC_ViewMode=VMDEBUG,TRUE,AND(MOD(INT($A12/POWER(2,LOG(SC_ParameterMode,2))),2)&lt;&gt;0,MOD(INT($A12/POWER(2,LOG(SC_ViewMode,2))),2)&lt;&gt;0)))</f>
        <v>0</v>
      </c>
      <c r="D12" s="225" t="s">
        <v>644</v>
      </c>
      <c r="E12" s="470"/>
      <c r="F12" s="209"/>
      <c r="G12" s="523"/>
      <c r="H12" s="445"/>
      <c r="I12" s="117">
        <f>IF(IF(COLUMN()=COLUMN(E12),TRUE,ISBLANK(E12)), L12, E12)</f>
        <v>0</v>
      </c>
      <c r="J12" s="96"/>
      <c r="K12" s="96" t="str">
        <f>IF(IF(COLUMN()=COLUMN(G12),TRUE,ISBLANK(G12)), N12, G12)</f>
        <v>No</v>
      </c>
      <c r="L12" s="117">
        <f>0.35%*SP_HomeValue/12</f>
        <v>0</v>
      </c>
      <c r="M12" s="117"/>
      <c r="N12" s="96" t="s">
        <v>658</v>
      </c>
      <c r="O12" s="188">
        <f>IFERROR(IF($C12,IF(OR(NOT(ISNUMBER($I12)),$I12&lt;0),202,0),0),203)</f>
        <v>0</v>
      </c>
      <c r="P12" t="str">
        <f t="shared" si="2"/>
        <v/>
      </c>
    </row>
    <row r="13" spans="1:16" hidden="1" x14ac:dyDescent="0.25">
      <c r="A13">
        <f>PMADVANCED+IF(SP_HM, VMONLINE+VMMACRO, 0)</f>
        <v>32</v>
      </c>
      <c r="B13" s="608"/>
      <c r="C13" s="437" t="b">
        <f>IF(SC_ViewMode=VMWIPED,FALSE,IF(SC_ViewMode=VMDEBUG,TRUE,AND(MOD(INT($A13/POWER(2,LOG(SC_ParameterMode,2))),2)&lt;&gt;0,MOD(INT($A13/POWER(2,LOG(SC_ViewMode,2))),2)&lt;&gt;0)))</f>
        <v>0</v>
      </c>
      <c r="D13" s="225" t="s">
        <v>786</v>
      </c>
      <c r="E13" s="470"/>
      <c r="F13" s="210"/>
      <c r="G13" s="523"/>
      <c r="H13" s="445"/>
      <c r="I13" s="117">
        <f>IF(IF(COLUMN()=COLUMN(E13),TRUE,ISBLANK(E13)), L13, E13)</f>
        <v>0</v>
      </c>
      <c r="J13" s="96"/>
      <c r="K13" s="96" t="str">
        <f>IF(IF(COLUMN()=COLUMN(G13),TRUE,ISBLANK(G13)), N13, G13)</f>
        <v>No</v>
      </c>
      <c r="L13" s="117">
        <v>0</v>
      </c>
      <c r="M13" s="117"/>
      <c r="N13" s="96" t="s">
        <v>658</v>
      </c>
      <c r="O13" s="188">
        <f>IFERROR(IF($C13,IF(OR(NOT(ISNUMBER($I13)),$I13&lt;0),202,0),0),203)</f>
        <v>0</v>
      </c>
      <c r="P13" t="str">
        <f t="shared" si="2"/>
        <v/>
      </c>
    </row>
    <row r="14" spans="1:16" hidden="1" x14ac:dyDescent="0.25">
      <c r="A14">
        <f>PMBASIC+PMADVANCED+IF(SP_HM, VMONLINE+VMMACRO, 0)</f>
        <v>48</v>
      </c>
      <c r="B14" s="609"/>
      <c r="C14" s="298"/>
      <c r="D14" s="40" t="s">
        <v>778</v>
      </c>
      <c r="E14" s="119">
        <f ca="1">SUM(E9:E13)</f>
        <v>0</v>
      </c>
      <c r="F14" s="299"/>
      <c r="G14" s="300"/>
      <c r="H14" s="435"/>
      <c r="I14" s="96"/>
      <c r="J14" s="96"/>
      <c r="K14" s="96"/>
      <c r="L14" s="96"/>
      <c r="M14" s="96"/>
      <c r="N14" s="96"/>
      <c r="O14" s="188"/>
    </row>
    <row r="15" spans="1:16" s="265" customFormat="1" hidden="1" x14ac:dyDescent="0.25">
      <c r="A15" s="265">
        <f>PMADVANCED+IF(SP_HM, VMONLINE+VMMACRO, 0)</f>
        <v>32</v>
      </c>
      <c r="B15" s="630" t="s">
        <v>999</v>
      </c>
      <c r="C15" s="445" t="b">
        <f>IF(SC_ViewMode=VMWIPED,FALSE,IF(SC_ViewMode=VMDEBUG,TRUE,AND(MOD(INT($A15/POWER(2,LOG(SC_ParameterMode,2))),2)&lt;&gt;0,MOD(INT($A15/POWER(2,LOG(SC_ViewMode,2))),2)&lt;&gt;0)))</f>
        <v>0</v>
      </c>
      <c r="D15" s="225" t="s">
        <v>757</v>
      </c>
      <c r="E15" s="471"/>
      <c r="F15" s="444"/>
      <c r="G15" s="98"/>
      <c r="H15" s="445"/>
      <c r="I15" s="294" t="str">
        <f>IF(IF(COLUMN()=COLUMN(E15),TRUE,ISBLANK(E15)), "", IF($E15="","",EDATE(DATE(YEAR($E15),MONTH($E15),1), IF(DAY($E15)=1, 0, 1))))</f>
        <v/>
      </c>
      <c r="J15" s="295"/>
      <c r="K15" s="296"/>
      <c r="L15" s="297"/>
      <c r="M15" s="297"/>
      <c r="N15" s="295"/>
      <c r="O15" s="188">
        <f>IFERROR(IF($C15,IF($I15="",0,IF(ISERROR(DATEVALUE(TEXT($I15,"mm/dd/yyyy"))),200,IF(YEAR($I15)&gt;SC_YearStop,206,0))),0),203)</f>
        <v>0</v>
      </c>
      <c r="P15" s="270" t="str">
        <f t="shared" si="2"/>
        <v/>
      </c>
    </row>
    <row r="16" spans="1:16" s="273" customFormat="1" hidden="1" x14ac:dyDescent="0.25">
      <c r="A16" s="273">
        <f>PMADVANCED+IF(SP_HM, VMONLINE+VMMACRO, 0)</f>
        <v>32</v>
      </c>
      <c r="B16" s="630"/>
      <c r="C16" s="445" t="b">
        <f>IF(SC_ViewMode=VMWIPED,FALSE,IF(SC_ViewMode=VMDEBUG,TRUE,AND(MOD(INT($A16/POWER(2,LOG(SC_ParameterMode,2))),2)&lt;&gt;0,MOD(INT($A16/POWER(2,LOG(SC_ViewMode,2))),2)&lt;&gt;0)))</f>
        <v>0</v>
      </c>
      <c r="D16" s="225" t="s">
        <v>758</v>
      </c>
      <c r="E16" s="470"/>
      <c r="F16" s="444"/>
      <c r="G16" s="98"/>
      <c r="H16" s="98"/>
      <c r="I16" s="117">
        <f>IF(IF(COLUMN()=COLUMN(E16),TRUE,ISBLANK(E16)), L16, E16)</f>
        <v>0</v>
      </c>
      <c r="J16" s="57"/>
      <c r="K16" s="62"/>
      <c r="L16" s="117">
        <v>0</v>
      </c>
      <c r="M16" s="117"/>
      <c r="N16" s="57"/>
      <c r="O16" s="188">
        <f>IFERROR(IF($C16,IF(OR(NOT(ISNUMBER($I16)),$I16&lt;0),202,0),0),203)</f>
        <v>0</v>
      </c>
      <c r="P16" s="273" t="str">
        <f t="shared" ref="P16" si="3">IFERROR(VLOOKUP(O16,IV_CodeTable,2,FALSE),"")</f>
        <v/>
      </c>
    </row>
    <row r="17" spans="1:16" s="268" customFormat="1" hidden="1" x14ac:dyDescent="0.25">
      <c r="A17" s="269">
        <f>PMADVANCED+IF(SP_HM, VMONLINE+VMMACRO, 0)</f>
        <v>32</v>
      </c>
      <c r="B17" s="608"/>
      <c r="C17" s="445"/>
      <c r="D17" s="438" t="s">
        <v>759</v>
      </c>
      <c r="E17" s="274">
        <f ca="1">IF(SP_HECMOriginDate="",0,MAX(IF(INDEX(SC_ShowRetireatee,1),OFFSET(LT_AnnuityLifeTable,INDEX(SC_EX_Age,(YEAR(SP_HECMOriginDate)-SC_YearEpoch)*2+1),3,1,1),0),IF(INDEX(SC_ShowRetireatee,2),OFFSET(LT_AnnuityLifeTable,INDEX(SC_EX_Age,(YEAR(SP_HECMOriginDate)-SC_YearEpoch)*2+2),6,1,1),0))*12)</f>
        <v>0</v>
      </c>
      <c r="F17" s="444" t="s">
        <v>833</v>
      </c>
      <c r="G17" s="98"/>
      <c r="H17" s="445"/>
      <c r="I17" s="59"/>
      <c r="J17" s="57"/>
      <c r="K17" s="62"/>
      <c r="L17" s="176"/>
      <c r="M17" s="176"/>
      <c r="N17" s="57"/>
      <c r="O17" s="188"/>
    </row>
    <row r="18" spans="1:16" s="265" customFormat="1" hidden="1" x14ac:dyDescent="0.25">
      <c r="A18" s="265">
        <f>PMADVANCED+IF(SP_HM, VMONLINE+VMMACRO, 0)</f>
        <v>32</v>
      </c>
      <c r="B18" s="608"/>
      <c r="C18" s="445" t="b">
        <f>IF(SC_ViewMode=VMWIPED,FALSE,IF(SC_ViewMode=VMDEBUG,TRUE,AND(MOD(INT($A18/POWER(2,LOG(SC_ParameterMode,2))),2)&lt;&gt;0,MOD(INT($A18/POWER(2,LOG(SC_ViewMode,2))),2)&lt;&gt;0)))</f>
        <v>0</v>
      </c>
      <c r="D18" s="225" t="s">
        <v>4</v>
      </c>
      <c r="E18" s="472"/>
      <c r="F18" s="444" t="s">
        <v>666</v>
      </c>
      <c r="G18" s="98"/>
      <c r="H18" s="445"/>
      <c r="I18" s="178">
        <f ca="1">IF(IF(COLUMN()=COLUMN(E18),TRUE,ISBLANK(E18)), L18, E18)</f>
        <v>3.2600000000000004E-2</v>
      </c>
      <c r="J18" s="96"/>
      <c r="K18" s="96"/>
      <c r="L18" s="178">
        <f ca="1">INDEX(SP_EA_BondYield,IFERROR(YEAR(SP_HECMOriginDate)-SC_YearEpoch+1,EAIDX))+1.5%</f>
        <v>3.2600000000000004E-2</v>
      </c>
      <c r="M18" s="178"/>
      <c r="N18" s="174"/>
      <c r="O18" s="188">
        <f>IFERROR(IF($C18,IF(OR(NOT(ISNUMBER($I18)),$I18&lt;0),202,IF($I18=0,103,0)),0),203)</f>
        <v>0</v>
      </c>
      <c r="P18" s="293" t="str">
        <f t="shared" ref="P18" si="4">IFERROR(VLOOKUP(O18,IV_CodeTable,2,FALSE),"")</f>
        <v/>
      </c>
    </row>
    <row r="19" spans="1:16" s="265" customFormat="1" hidden="1" x14ac:dyDescent="0.25">
      <c r="A19" s="265">
        <f>PMADVANCED+IF(SP_HM, VMONLINE+VMMACRO, 0)</f>
        <v>32</v>
      </c>
      <c r="B19" s="609"/>
      <c r="C19" s="446"/>
      <c r="D19" s="11" t="s">
        <v>998</v>
      </c>
      <c r="E19" s="275">
        <f ca="1">0.75/POWER(1+(0.66*SP_HECMRate),SC_HECMNper/12)</f>
        <v>0.75</v>
      </c>
      <c r="F19" s="447"/>
      <c r="G19" s="272"/>
      <c r="H19" s="446"/>
      <c r="I19" s="59"/>
      <c r="J19" s="57"/>
      <c r="K19" s="62"/>
      <c r="L19" s="176"/>
      <c r="M19" s="176"/>
      <c r="N19" s="57"/>
      <c r="O19" s="188"/>
    </row>
    <row r="20" spans="1:16" hidden="1" x14ac:dyDescent="0.25">
      <c r="A20">
        <f>PMBASIC+PMADVANCED+IF(SP_HM, VMONLINE+VMMACRO, 0)</f>
        <v>48</v>
      </c>
      <c r="D20" s="10"/>
      <c r="G20" s="447"/>
      <c r="I20" s="6"/>
      <c r="O20" s="188"/>
    </row>
    <row r="21" spans="1:16" ht="30" hidden="1" customHeight="1" x14ac:dyDescent="0.25">
      <c r="A21">
        <f t="shared" ref="A21:A27" si="5">PMBASIC+PMADVANCED+VMONLINE+VMMACRO</f>
        <v>54</v>
      </c>
      <c r="C21" s="36" t="s">
        <v>839</v>
      </c>
      <c r="D21" s="29"/>
      <c r="E21" s="226" t="s">
        <v>5</v>
      </c>
      <c r="F21" s="226" t="s">
        <v>7</v>
      </c>
      <c r="G21" s="226" t="s">
        <v>654</v>
      </c>
      <c r="H21" s="124" t="s">
        <v>746</v>
      </c>
      <c r="I21" s="118" t="s">
        <v>752</v>
      </c>
      <c r="J21" s="54" t="s">
        <v>753</v>
      </c>
      <c r="K21" s="55" t="s">
        <v>754</v>
      </c>
      <c r="L21" s="55" t="s">
        <v>772</v>
      </c>
      <c r="M21" s="55" t="s">
        <v>989</v>
      </c>
      <c r="N21" s="55" t="s">
        <v>755</v>
      </c>
      <c r="O21" s="189"/>
    </row>
    <row r="22" spans="1:16" ht="15" hidden="1" customHeight="1" x14ac:dyDescent="0.25">
      <c r="A22">
        <f t="shared" si="5"/>
        <v>54</v>
      </c>
      <c r="B22" s="600" t="s">
        <v>661</v>
      </c>
      <c r="C22" s="43" t="b">
        <f>IF(SC_ViewMode=VMWIPED,FALSE,IF(SC_ViewMode=VMDEBUG,TRUE,AND(MOD(INT($A22/POWER(2,LOG(SC_ParameterMode,2))),2)&lt;&gt;0,MOD(INT($A22/POWER(2,LOG(SC_ViewMode,2))),2)&lt;&gt;0)))</f>
        <v>0</v>
      </c>
      <c r="D22" s="39" t="s">
        <v>649</v>
      </c>
      <c r="E22" s="493"/>
      <c r="F22" s="494"/>
      <c r="G22" s="515"/>
      <c r="I22" s="117">
        <f>IF(IF(COLUMN()=COLUMN(E22),TRUE,ISBLANK(E22)), M22, E22)</f>
        <v>0</v>
      </c>
      <c r="J22" s="117">
        <f t="shared" ref="J22:J43" si="6">IF(IF(COLUMN()=COLUMN(F22),TRUE,ISBLANK(F22)), I22, F22)</f>
        <v>0</v>
      </c>
      <c r="K22" s="96" t="str">
        <f t="shared" ref="K22:K43" si="7">IF(IF(COLUMN()=COLUMN(G22),TRUE,ISBLANK(G22)), N22, G22)</f>
        <v>FICA/Fed/State:1</v>
      </c>
      <c r="L22" s="96"/>
      <c r="M22" s="117">
        <v>0</v>
      </c>
      <c r="N22" s="96" t="s">
        <v>712</v>
      </c>
      <c r="O22" s="188">
        <f>IFERROR(IF(OR(NOT(ISNUMBER($I22)),$I22&lt;0,NOT(ISNUMBER($J22)),$J22&lt;0),202,0),203)</f>
        <v>0</v>
      </c>
      <c r="P22" t="str">
        <f t="shared" si="2"/>
        <v/>
      </c>
    </row>
    <row r="23" spans="1:16" hidden="1" x14ac:dyDescent="0.25">
      <c r="A23">
        <f t="shared" si="5"/>
        <v>54</v>
      </c>
      <c r="B23" s="628"/>
      <c r="C23" t="b">
        <f>IF(SC_ViewMode=VMWIPED,FALSE,IF(SC_ViewMode=VMDEBUG,TRUE,AND(MOD(INT($A23/POWER(2,LOG(SC_ParameterMode,2))),2)&lt;&gt;0,MOD(INT($A23/POWER(2,LOG(SC_ViewMode,2))),2)&lt;&gt;0)))</f>
        <v>0</v>
      </c>
      <c r="D23" s="10" t="s">
        <v>647</v>
      </c>
      <c r="E23" s="470"/>
      <c r="F23" s="495"/>
      <c r="G23" s="516"/>
      <c r="I23" s="117">
        <f t="shared" ref="I23:I43" si="8">IF(IF(COLUMN()=COLUMN(E23),TRUE,ISBLANK(E23)), M23, E23)</f>
        <v>0</v>
      </c>
      <c r="J23" s="117">
        <f t="shared" si="6"/>
        <v>0</v>
      </c>
      <c r="K23" s="96" t="str">
        <f t="shared" si="7"/>
        <v>No</v>
      </c>
      <c r="L23" s="96"/>
      <c r="M23" s="117">
        <v>0</v>
      </c>
      <c r="N23" s="96" t="s">
        <v>658</v>
      </c>
      <c r="O23" s="188">
        <f t="shared" ref="O23:O43" si="9">IFERROR(IF(OR(NOT(ISNUMBER($I23)),$I23&lt;0,NOT(ISNUMBER($J23)),$J23&lt;0),202,0),203)</f>
        <v>0</v>
      </c>
      <c r="P23" t="str">
        <f t="shared" si="2"/>
        <v/>
      </c>
    </row>
    <row r="24" spans="1:16" hidden="1" x14ac:dyDescent="0.25">
      <c r="A24">
        <f t="shared" si="5"/>
        <v>54</v>
      </c>
      <c r="B24" s="628"/>
      <c r="C24" t="b">
        <f>IF(SC_ViewMode=VMWIPED,FALSE,IF(SC_ViewMode=VMDEBUG,TRUE,AND(MOD(INT($A24/POWER(2,LOG(SC_ParameterMode,2))),2)&lt;&gt;0,MOD(INT($A24/POWER(2,LOG(SC_ViewMode,2))),2)&lt;&gt;0)))</f>
        <v>0</v>
      </c>
      <c r="D24" s="10" t="s">
        <v>652</v>
      </c>
      <c r="E24" s="470"/>
      <c r="F24" s="495"/>
      <c r="G24" s="516"/>
      <c r="I24" s="117">
        <f t="shared" si="8"/>
        <v>0</v>
      </c>
      <c r="J24" s="117">
        <f t="shared" si="6"/>
        <v>0</v>
      </c>
      <c r="K24" s="96" t="str">
        <f t="shared" si="7"/>
        <v>No</v>
      </c>
      <c r="L24" s="96"/>
      <c r="M24" s="117">
        <v>0</v>
      </c>
      <c r="N24" s="96" t="s">
        <v>658</v>
      </c>
      <c r="O24" s="188">
        <f t="shared" si="9"/>
        <v>0</v>
      </c>
      <c r="P24" t="str">
        <f t="shared" si="2"/>
        <v/>
      </c>
    </row>
    <row r="25" spans="1:16" hidden="1" x14ac:dyDescent="0.25">
      <c r="A25">
        <f t="shared" si="5"/>
        <v>54</v>
      </c>
      <c r="B25" s="628"/>
      <c r="C25" t="b">
        <f>IF(SC_ViewMode=VMWIPED,FALSE,IF(SC_ViewMode=VMDEBUG,TRUE,AND(MOD(INT($A25/POWER(2,LOG(SC_ParameterMode,2))),2)&lt;&gt;0,MOD(INT($A25/POWER(2,LOG(SC_ViewMode,2))),2)&lt;&gt;0)))</f>
        <v>0</v>
      </c>
      <c r="D25" s="10" t="s">
        <v>648</v>
      </c>
      <c r="E25" s="470"/>
      <c r="F25" s="495"/>
      <c r="G25" s="516"/>
      <c r="I25" s="117">
        <f t="shared" si="8"/>
        <v>0</v>
      </c>
      <c r="J25" s="117">
        <f t="shared" si="6"/>
        <v>0</v>
      </c>
      <c r="K25" s="96" t="str">
        <f t="shared" si="7"/>
        <v>Fed/State:1</v>
      </c>
      <c r="L25" s="96"/>
      <c r="M25" s="117">
        <v>0</v>
      </c>
      <c r="N25" s="96" t="s">
        <v>713</v>
      </c>
      <c r="O25" s="188">
        <f t="shared" si="9"/>
        <v>0</v>
      </c>
      <c r="P25" t="str">
        <f t="shared" si="2"/>
        <v/>
      </c>
    </row>
    <row r="26" spans="1:16" hidden="1" x14ac:dyDescent="0.25">
      <c r="A26">
        <f t="shared" si="5"/>
        <v>54</v>
      </c>
      <c r="B26" s="628"/>
      <c r="C26" t="b">
        <f>IF(SC_ViewMode=VMWIPED,FALSE,IF(SC_ViewMode=VMDEBUG,TRUE,AND(MOD(INT($A26/POWER(2,LOG(SC_ParameterMode,2))),2)&lt;&gt;0,MOD(INT($A26/POWER(2,LOG(SC_ViewMode,2))),2)&lt;&gt;0)))</f>
        <v>0</v>
      </c>
      <c r="D26" s="10" t="s">
        <v>651</v>
      </c>
      <c r="E26" s="470"/>
      <c r="F26" s="495"/>
      <c r="G26" s="516"/>
      <c r="I26" s="117">
        <f t="shared" si="8"/>
        <v>0</v>
      </c>
      <c r="J26" s="117">
        <f t="shared" si="6"/>
        <v>0</v>
      </c>
      <c r="K26" s="96" t="str">
        <f t="shared" si="7"/>
        <v>Fed/State:1</v>
      </c>
      <c r="L26" s="96"/>
      <c r="M26" s="117">
        <v>0</v>
      </c>
      <c r="N26" s="96" t="s">
        <v>713</v>
      </c>
      <c r="O26" s="188">
        <f t="shared" si="9"/>
        <v>0</v>
      </c>
      <c r="P26" t="str">
        <f t="shared" si="2"/>
        <v/>
      </c>
    </row>
    <row r="27" spans="1:16" hidden="1" x14ac:dyDescent="0.25">
      <c r="A27">
        <f t="shared" si="5"/>
        <v>54</v>
      </c>
      <c r="B27" s="628"/>
      <c r="C27" t="b">
        <f>IF(SC_ViewMode=VMWIPED,FALSE,IF(SC_ViewMode=VMDEBUG,TRUE,AND(MOD(INT($A27/POWER(2,LOG(SC_ParameterMode,2))),2)&lt;&gt;0,MOD(INT($A27/POWER(2,LOG(SC_ViewMode,2))),2)&lt;&gt;0)))</f>
        <v>0</v>
      </c>
      <c r="D27" s="10" t="s">
        <v>990</v>
      </c>
      <c r="E27" s="470"/>
      <c r="F27" s="495"/>
      <c r="G27" s="516"/>
      <c r="I27" s="117">
        <f t="shared" si="8"/>
        <v>0</v>
      </c>
      <c r="J27" s="117">
        <f t="shared" si="6"/>
        <v>0</v>
      </c>
      <c r="K27" s="96" t="str">
        <f t="shared" si="7"/>
        <v>No</v>
      </c>
      <c r="L27" s="96"/>
      <c r="M27" s="117">
        <v>0</v>
      </c>
      <c r="N27" s="96" t="s">
        <v>658</v>
      </c>
      <c r="O27" s="188">
        <f t="shared" si="9"/>
        <v>0</v>
      </c>
      <c r="P27" t="str">
        <f t="shared" si="2"/>
        <v/>
      </c>
    </row>
    <row r="28" spans="1:16" hidden="1" x14ac:dyDescent="0.25">
      <c r="A28">
        <f>PMBASIC+PMADVANCED+IF(SP_HM, VMONLINE+VMMACRO, 0)</f>
        <v>48</v>
      </c>
      <c r="B28" s="628"/>
      <c r="C28" t="b">
        <f>IF(SC_ViewMode=VMWIPED,FALSE,IF(SC_ViewMode=VMDEBUG,TRUE,AND(MOD(INT($A28/POWER(2,LOG(SC_ParameterMode,2))),2)&lt;&gt;0,MOD(INT($A28/POWER(2,LOG(SC_ViewMode,2))),2)&lt;&gt;0)))</f>
        <v>0</v>
      </c>
      <c r="D28" s="10" t="s">
        <v>640</v>
      </c>
      <c r="E28" s="470"/>
      <c r="F28" s="495"/>
      <c r="G28" s="516"/>
      <c r="I28" s="117">
        <f t="shared" si="8"/>
        <v>0</v>
      </c>
      <c r="J28" s="117">
        <f t="shared" si="6"/>
        <v>0</v>
      </c>
      <c r="K28" s="96" t="str">
        <f t="shared" si="7"/>
        <v>No</v>
      </c>
      <c r="L28" s="96"/>
      <c r="M28" s="117">
        <f>1%*SP_HomeValue/12</f>
        <v>0</v>
      </c>
      <c r="N28" s="96" t="s">
        <v>658</v>
      </c>
      <c r="O28" s="188">
        <f t="shared" si="9"/>
        <v>0</v>
      </c>
      <c r="P28" t="str">
        <f t="shared" si="2"/>
        <v/>
      </c>
    </row>
    <row r="29" spans="1:16" hidden="1" x14ac:dyDescent="0.25">
      <c r="A29">
        <f>PMBASIC+PMADVANCED+IF(SP_HM, 0,VMONLINE+VMMACRO)</f>
        <v>54</v>
      </c>
      <c r="B29" s="628"/>
      <c r="C29" t="b">
        <f>IF(SC_ViewMode=VMWIPED,FALSE,IF(SC_ViewMode=VMDEBUG,TRUE,AND(MOD(INT($A29/POWER(2,LOG(SC_ParameterMode,2))),2)&lt;&gt;0,MOD(INT($A29/POWER(2,LOG(SC_ViewMode,2))),2)&lt;&gt;0)))</f>
        <v>0</v>
      </c>
      <c r="D29" s="10" t="s">
        <v>633</v>
      </c>
      <c r="E29" s="470"/>
      <c r="F29" s="495"/>
      <c r="G29" s="516"/>
      <c r="I29" s="117">
        <f t="shared" si="8"/>
        <v>0</v>
      </c>
      <c r="J29" s="117">
        <f t="shared" si="6"/>
        <v>0</v>
      </c>
      <c r="K29" s="96" t="str">
        <f t="shared" si="7"/>
        <v>No</v>
      </c>
      <c r="L29" s="96"/>
      <c r="M29" s="117">
        <v>0</v>
      </c>
      <c r="N29" s="96" t="s">
        <v>658</v>
      </c>
      <c r="O29" s="188">
        <f t="shared" si="9"/>
        <v>0</v>
      </c>
      <c r="P29" t="str">
        <f t="shared" si="2"/>
        <v/>
      </c>
    </row>
    <row r="30" spans="1:16" hidden="1" x14ac:dyDescent="0.25">
      <c r="A30">
        <f>PMBASIC+PMADVANCED+IF(SP_HM, 0,VMONLINE+VMMACRO)</f>
        <v>54</v>
      </c>
      <c r="B30" s="628"/>
      <c r="C30" t="b">
        <f>IF(SC_ViewMode=VMWIPED,FALSE,IF(SC_ViewMode=VMDEBUG,TRUE,AND(MOD(INT($A30/POWER(2,LOG(SC_ParameterMode,2))),2)&lt;&gt;0,MOD(INT($A30/POWER(2,LOG(SC_ViewMode,2))),2)&lt;&gt;0)))</f>
        <v>0</v>
      </c>
      <c r="D30" s="10" t="s">
        <v>635</v>
      </c>
      <c r="E30" s="470"/>
      <c r="F30" s="495"/>
      <c r="G30" s="516"/>
      <c r="I30" s="117">
        <f t="shared" si="8"/>
        <v>0</v>
      </c>
      <c r="J30" s="117">
        <f t="shared" si="6"/>
        <v>0</v>
      </c>
      <c r="K30" s="96" t="str">
        <f t="shared" si="7"/>
        <v>No</v>
      </c>
      <c r="L30" s="96"/>
      <c r="M30" s="117">
        <v>0</v>
      </c>
      <c r="N30" s="96" t="s">
        <v>658</v>
      </c>
      <c r="O30" s="188">
        <f t="shared" si="9"/>
        <v>0</v>
      </c>
      <c r="P30" t="str">
        <f t="shared" si="2"/>
        <v/>
      </c>
    </row>
    <row r="31" spans="1:16" hidden="1" x14ac:dyDescent="0.25">
      <c r="A31">
        <f t="shared" ref="A31:A43" si="10">PMBASIC+PMADVANCED+VMONLINE+VMMACRO</f>
        <v>54</v>
      </c>
      <c r="B31" s="628"/>
      <c r="C31" t="b">
        <f>IF(SC_ViewMode=VMWIPED,FALSE,IF(SC_ViewMode=VMDEBUG,TRUE,AND(MOD(INT($A31/POWER(2,LOG(SC_ParameterMode,2))),2)&lt;&gt;0,MOD(INT($A31/POWER(2,LOG(SC_ViewMode,2))),2)&lt;&gt;0)))</f>
        <v>0</v>
      </c>
      <c r="D31" s="10" t="s">
        <v>634</v>
      </c>
      <c r="E31" s="470"/>
      <c r="F31" s="495"/>
      <c r="G31" s="516"/>
      <c r="I31" s="117">
        <f t="shared" si="8"/>
        <v>0</v>
      </c>
      <c r="J31" s="117">
        <f t="shared" si="6"/>
        <v>0</v>
      </c>
      <c r="K31" s="96" t="str">
        <f t="shared" si="7"/>
        <v>No</v>
      </c>
      <c r="L31" s="96"/>
      <c r="M31" s="117">
        <v>0</v>
      </c>
      <c r="N31" s="96" t="s">
        <v>658</v>
      </c>
      <c r="O31" s="188">
        <f t="shared" si="9"/>
        <v>0</v>
      </c>
      <c r="P31" t="str">
        <f t="shared" si="2"/>
        <v/>
      </c>
    </row>
    <row r="32" spans="1:16" hidden="1" x14ac:dyDescent="0.25">
      <c r="A32">
        <f t="shared" si="10"/>
        <v>54</v>
      </c>
      <c r="B32" s="628"/>
      <c r="C32" t="b">
        <f>IF(SC_ViewMode=VMWIPED,FALSE,IF(SC_ViewMode=VMDEBUG,TRUE,AND(MOD(INT($A32/POWER(2,LOG(SC_ParameterMode,2))),2)&lt;&gt;0,MOD(INT($A32/POWER(2,LOG(SC_ViewMode,2))),2)&lt;&gt;0)))</f>
        <v>0</v>
      </c>
      <c r="D32" s="10" t="s">
        <v>636</v>
      </c>
      <c r="E32" s="470"/>
      <c r="F32" s="495"/>
      <c r="G32" s="516"/>
      <c r="I32" s="117">
        <f t="shared" si="8"/>
        <v>0</v>
      </c>
      <c r="J32" s="117">
        <f t="shared" si="6"/>
        <v>0</v>
      </c>
      <c r="K32" s="96" t="str">
        <f t="shared" si="7"/>
        <v>No</v>
      </c>
      <c r="L32" s="96"/>
      <c r="M32" s="117">
        <v>0</v>
      </c>
      <c r="N32" s="96" t="s">
        <v>658</v>
      </c>
      <c r="O32" s="188">
        <f t="shared" si="9"/>
        <v>0</v>
      </c>
      <c r="P32" t="str">
        <f t="shared" si="2"/>
        <v/>
      </c>
    </row>
    <row r="33" spans="1:16" hidden="1" x14ac:dyDescent="0.25">
      <c r="A33">
        <f t="shared" si="10"/>
        <v>54</v>
      </c>
      <c r="B33" s="628"/>
      <c r="C33" t="b">
        <f>IF(SC_ViewMode=VMWIPED,FALSE,IF(SC_ViewMode=VMDEBUG,TRUE,AND(MOD(INT($A33/POWER(2,LOG(SC_ParameterMode,2))),2)&lt;&gt;0,MOD(INT($A33/POWER(2,LOG(SC_ViewMode,2))),2)&lt;&gt;0)))</f>
        <v>0</v>
      </c>
      <c r="D33" s="10" t="s">
        <v>638</v>
      </c>
      <c r="E33" s="470"/>
      <c r="F33" s="495"/>
      <c r="G33" s="516"/>
      <c r="I33" s="117">
        <f t="shared" si="8"/>
        <v>0</v>
      </c>
      <c r="J33" s="117">
        <f t="shared" si="6"/>
        <v>0</v>
      </c>
      <c r="K33" s="96" t="str">
        <f t="shared" si="7"/>
        <v>No</v>
      </c>
      <c r="L33" s="96"/>
      <c r="M33" s="117">
        <v>0</v>
      </c>
      <c r="N33" s="96" t="s">
        <v>658</v>
      </c>
      <c r="O33" s="188">
        <f t="shared" si="9"/>
        <v>0</v>
      </c>
      <c r="P33" t="str">
        <f t="shared" si="2"/>
        <v/>
      </c>
    </row>
    <row r="34" spans="1:16" hidden="1" x14ac:dyDescent="0.25">
      <c r="A34">
        <f t="shared" si="10"/>
        <v>54</v>
      </c>
      <c r="B34" s="628"/>
      <c r="C34" t="b">
        <f>IF(SC_ViewMode=VMWIPED,FALSE,IF(SC_ViewMode=VMDEBUG,TRUE,AND(MOD(INT($A34/POWER(2,LOG(SC_ParameterMode,2))),2)&lt;&gt;0,MOD(INT($A34/POWER(2,LOG(SC_ViewMode,2))),2)&lt;&gt;0)))</f>
        <v>0</v>
      </c>
      <c r="D34" s="10" t="s">
        <v>641</v>
      </c>
      <c r="E34" s="470"/>
      <c r="F34" s="495"/>
      <c r="G34" s="516"/>
      <c r="I34" s="117">
        <f t="shared" si="8"/>
        <v>0</v>
      </c>
      <c r="J34" s="117">
        <f t="shared" si="6"/>
        <v>0</v>
      </c>
      <c r="K34" s="96" t="str">
        <f t="shared" si="7"/>
        <v>No</v>
      </c>
      <c r="L34" s="96"/>
      <c r="M34" s="117">
        <v>0</v>
      </c>
      <c r="N34" s="96" t="s">
        <v>658</v>
      </c>
      <c r="O34" s="188">
        <f t="shared" si="9"/>
        <v>0</v>
      </c>
      <c r="P34" t="str">
        <f t="shared" si="2"/>
        <v/>
      </c>
    </row>
    <row r="35" spans="1:16" hidden="1" x14ac:dyDescent="0.25">
      <c r="A35">
        <f t="shared" si="10"/>
        <v>54</v>
      </c>
      <c r="B35" s="628"/>
      <c r="C35" t="b">
        <f>IF(SC_ViewMode=VMWIPED,FALSE,IF(SC_ViewMode=VMDEBUG,TRUE,AND(MOD(INT($A35/POWER(2,LOG(SC_ParameterMode,2))),2)&lt;&gt;0,MOD(INT($A35/POWER(2,LOG(SC_ViewMode,2))),2)&lt;&gt;0)))</f>
        <v>0</v>
      </c>
      <c r="D35" s="10" t="s">
        <v>637</v>
      </c>
      <c r="E35" s="470"/>
      <c r="F35" s="495"/>
      <c r="G35" s="516"/>
      <c r="I35" s="117">
        <f t="shared" si="8"/>
        <v>0</v>
      </c>
      <c r="J35" s="117">
        <f t="shared" si="6"/>
        <v>0</v>
      </c>
      <c r="K35" s="96" t="str">
        <f t="shared" si="7"/>
        <v>No</v>
      </c>
      <c r="L35" s="96"/>
      <c r="M35" s="117">
        <v>0</v>
      </c>
      <c r="N35" s="96" t="s">
        <v>658</v>
      </c>
      <c r="O35" s="188">
        <f t="shared" si="9"/>
        <v>0</v>
      </c>
      <c r="P35" t="str">
        <f t="shared" si="2"/>
        <v/>
      </c>
    </row>
    <row r="36" spans="1:16" hidden="1" x14ac:dyDescent="0.25">
      <c r="A36">
        <f t="shared" si="10"/>
        <v>54</v>
      </c>
      <c r="B36" s="628"/>
      <c r="C36" t="b">
        <f>IF(SC_ViewMode=VMWIPED,FALSE,IF(SC_ViewMode=VMDEBUG,TRUE,AND(MOD(INT($A36/POWER(2,LOG(SC_ParameterMode,2))),2)&lt;&gt;0,MOD(INT($A36/POWER(2,LOG(SC_ViewMode,2))),2)&lt;&gt;0)))</f>
        <v>0</v>
      </c>
      <c r="D36" s="10" t="s">
        <v>639</v>
      </c>
      <c r="E36" s="470"/>
      <c r="F36" s="495"/>
      <c r="G36" s="516"/>
      <c r="I36" s="117">
        <f t="shared" si="8"/>
        <v>0</v>
      </c>
      <c r="J36" s="117">
        <f t="shared" si="6"/>
        <v>0</v>
      </c>
      <c r="K36" s="96" t="str">
        <f t="shared" si="7"/>
        <v>No</v>
      </c>
      <c r="L36" s="96"/>
      <c r="M36" s="117">
        <v>0</v>
      </c>
      <c r="N36" s="96" t="s">
        <v>658</v>
      </c>
      <c r="O36" s="188">
        <f t="shared" si="9"/>
        <v>0</v>
      </c>
      <c r="P36" t="str">
        <f t="shared" si="2"/>
        <v/>
      </c>
    </row>
    <row r="37" spans="1:16" hidden="1" x14ac:dyDescent="0.25">
      <c r="A37">
        <f t="shared" si="10"/>
        <v>54</v>
      </c>
      <c r="B37" s="628"/>
      <c r="C37" t="b">
        <f>IF(SC_ViewMode=VMWIPED,FALSE,IF(SC_ViewMode=VMDEBUG,TRUE,AND(MOD(INT($A37/POWER(2,LOG(SC_ParameterMode,2))),2)&lt;&gt;0,MOD(INT($A37/POWER(2,LOG(SC_ViewMode,2))),2)&lt;&gt;0)))</f>
        <v>0</v>
      </c>
      <c r="D37" s="10" t="s">
        <v>642</v>
      </c>
      <c r="E37" s="470"/>
      <c r="F37" s="495"/>
      <c r="G37" s="516"/>
      <c r="I37" s="117">
        <f t="shared" si="8"/>
        <v>0</v>
      </c>
      <c r="J37" s="117">
        <f t="shared" si="6"/>
        <v>0</v>
      </c>
      <c r="K37" s="96" t="str">
        <f t="shared" si="7"/>
        <v>No</v>
      </c>
      <c r="L37" s="96"/>
      <c r="M37" s="117">
        <v>0</v>
      </c>
      <c r="N37" s="96" t="s">
        <v>658</v>
      </c>
      <c r="O37" s="188">
        <f t="shared" si="9"/>
        <v>0</v>
      </c>
      <c r="P37" t="str">
        <f t="shared" si="2"/>
        <v/>
      </c>
    </row>
    <row r="38" spans="1:16" hidden="1" x14ac:dyDescent="0.25">
      <c r="A38">
        <f t="shared" si="10"/>
        <v>54</v>
      </c>
      <c r="B38" s="628"/>
      <c r="C38" t="b">
        <f>IF(SC_ViewMode=VMWIPED,FALSE,IF(SC_ViewMode=VMDEBUG,TRUE,AND(MOD(INT($A38/POWER(2,LOG(SC_ParameterMode,2))),2)&lt;&gt;0,MOD(INT($A38/POWER(2,LOG(SC_ViewMode,2))),2)&lt;&gt;0)))</f>
        <v>0</v>
      </c>
      <c r="D38" s="10" t="s">
        <v>670</v>
      </c>
      <c r="E38" s="470"/>
      <c r="F38" s="495"/>
      <c r="G38" s="516"/>
      <c r="I38" s="117">
        <f t="shared" si="8"/>
        <v>0</v>
      </c>
      <c r="J38" s="117">
        <f>IF(IF(COLUMN()=COLUMN(F38),TRUE,ISBLANK(F38)), I38, F38)</f>
        <v>0</v>
      </c>
      <c r="K38" s="96" t="str">
        <f t="shared" si="7"/>
        <v>No</v>
      </c>
      <c r="L38" s="96"/>
      <c r="M38" s="117">
        <v>0</v>
      </c>
      <c r="N38" s="96" t="s">
        <v>658</v>
      </c>
      <c r="O38" s="188">
        <f t="shared" si="9"/>
        <v>0</v>
      </c>
      <c r="P38" t="str">
        <f t="shared" si="2"/>
        <v/>
      </c>
    </row>
    <row r="39" spans="1:16" hidden="1" x14ac:dyDescent="0.25">
      <c r="A39">
        <f t="shared" si="10"/>
        <v>54</v>
      </c>
      <c r="B39" s="628"/>
      <c r="C39" t="b">
        <f>IF(SC_ViewMode=VMWIPED,FALSE,IF(SC_ViewMode=VMDEBUG,TRUE,AND(MOD(INT($A39/POWER(2,LOG(SC_ParameterMode,2))),2)&lt;&gt;0,MOD(INT($A39/POWER(2,LOG(SC_ViewMode,2))),2)&lt;&gt;0)))</f>
        <v>0</v>
      </c>
      <c r="D39" s="520"/>
      <c r="E39" s="470"/>
      <c r="F39" s="495"/>
      <c r="G39" s="516"/>
      <c r="H39" s="96" t="str">
        <f>IF(IF(COLUMN()=COLUMN(D39),TRUE,ISBLANK(D39)), L39, D39)</f>
        <v>Miscellaneous 1:</v>
      </c>
      <c r="I39" s="117">
        <f t="shared" si="8"/>
        <v>0</v>
      </c>
      <c r="J39" s="117">
        <f t="shared" si="6"/>
        <v>0</v>
      </c>
      <c r="K39" s="96" t="str">
        <f t="shared" si="7"/>
        <v>No</v>
      </c>
      <c r="L39" s="96" t="s">
        <v>773</v>
      </c>
      <c r="M39" s="117">
        <v>0</v>
      </c>
      <c r="N39" s="96" t="s">
        <v>658</v>
      </c>
      <c r="O39" s="188">
        <f t="shared" si="9"/>
        <v>0</v>
      </c>
      <c r="P39" t="str">
        <f t="shared" si="2"/>
        <v/>
      </c>
    </row>
    <row r="40" spans="1:16" hidden="1" x14ac:dyDescent="0.25">
      <c r="A40">
        <f t="shared" si="10"/>
        <v>54</v>
      </c>
      <c r="B40" s="628"/>
      <c r="C40" t="b">
        <f>IF(SC_ViewMode=VMWIPED,FALSE,IF(SC_ViewMode=VMDEBUG,TRUE,AND(MOD(INT($A40/POWER(2,LOG(SC_ParameterMode,2))),2)&lt;&gt;0,MOD(INT($A40/POWER(2,LOG(SC_ViewMode,2))),2)&lt;&gt;0)))</f>
        <v>0</v>
      </c>
      <c r="D40" s="520"/>
      <c r="E40" s="470"/>
      <c r="F40" s="495"/>
      <c r="G40" s="516"/>
      <c r="H40" s="96" t="str">
        <f>IF(IF(COLUMN()=COLUMN(D40),TRUE,ISBLANK(D40)), L40, D40)</f>
        <v>Miscellaneous 2:</v>
      </c>
      <c r="I40" s="117">
        <f t="shared" si="8"/>
        <v>0</v>
      </c>
      <c r="J40" s="117">
        <f t="shared" si="6"/>
        <v>0</v>
      </c>
      <c r="K40" s="96" t="str">
        <f t="shared" si="7"/>
        <v>No</v>
      </c>
      <c r="L40" s="96" t="s">
        <v>774</v>
      </c>
      <c r="M40" s="117">
        <v>0</v>
      </c>
      <c r="N40" s="96" t="s">
        <v>658</v>
      </c>
      <c r="O40" s="188">
        <f t="shared" si="9"/>
        <v>0</v>
      </c>
      <c r="P40" t="str">
        <f t="shared" si="2"/>
        <v/>
      </c>
    </row>
    <row r="41" spans="1:16" hidden="1" x14ac:dyDescent="0.25">
      <c r="A41">
        <f t="shared" si="10"/>
        <v>54</v>
      </c>
      <c r="B41" s="628"/>
      <c r="C41" t="b">
        <f>IF(SC_ViewMode=VMWIPED,FALSE,IF(SC_ViewMode=VMDEBUG,TRUE,AND(MOD(INT($A41/POWER(2,LOG(SC_ParameterMode,2))),2)&lt;&gt;0,MOD(INT($A41/POWER(2,LOG(SC_ViewMode,2))),2)&lt;&gt;0)))</f>
        <v>0</v>
      </c>
      <c r="D41" s="520"/>
      <c r="E41" s="470"/>
      <c r="F41" s="495"/>
      <c r="G41" s="516"/>
      <c r="H41" s="96" t="str">
        <f>IF(IF(COLUMN()=COLUMN(D41),TRUE,ISBLANK(D41)), L41, D41)</f>
        <v>Miscellaneous 3:</v>
      </c>
      <c r="I41" s="117">
        <f t="shared" si="8"/>
        <v>0</v>
      </c>
      <c r="J41" s="117">
        <f t="shared" si="6"/>
        <v>0</v>
      </c>
      <c r="K41" s="96" t="str">
        <f t="shared" si="7"/>
        <v>No</v>
      </c>
      <c r="L41" s="96" t="s">
        <v>775</v>
      </c>
      <c r="M41" s="117">
        <v>0</v>
      </c>
      <c r="N41" s="96" t="s">
        <v>658</v>
      </c>
      <c r="O41" s="188">
        <f t="shared" si="9"/>
        <v>0</v>
      </c>
      <c r="P41" t="str">
        <f t="shared" si="2"/>
        <v/>
      </c>
    </row>
    <row r="42" spans="1:16" hidden="1" x14ac:dyDescent="0.25">
      <c r="A42">
        <f t="shared" si="10"/>
        <v>54</v>
      </c>
      <c r="B42" s="628"/>
      <c r="C42" t="b">
        <f>IF(SC_ViewMode=VMWIPED,FALSE,IF(SC_ViewMode=VMDEBUG,TRUE,AND(MOD(INT($A42/POWER(2,LOG(SC_ParameterMode,2))),2)&lt;&gt;0,MOD(INT($A42/POWER(2,LOG(SC_ViewMode,2))),2)&lt;&gt;0)))</f>
        <v>0</v>
      </c>
      <c r="D42" s="520"/>
      <c r="E42" s="470"/>
      <c r="F42" s="495"/>
      <c r="G42" s="516"/>
      <c r="H42" s="96" t="str">
        <f>IF(IF(COLUMN()=COLUMN(D42),TRUE,ISBLANK(D42)), L42, D42)</f>
        <v>Miscellaneous 4:</v>
      </c>
      <c r="I42" s="117">
        <f t="shared" si="8"/>
        <v>0</v>
      </c>
      <c r="J42" s="117">
        <f t="shared" si="6"/>
        <v>0</v>
      </c>
      <c r="K42" s="96" t="str">
        <f t="shared" si="7"/>
        <v>No</v>
      </c>
      <c r="L42" s="96" t="s">
        <v>776</v>
      </c>
      <c r="M42" s="117">
        <v>0</v>
      </c>
      <c r="N42" s="96" t="s">
        <v>658</v>
      </c>
      <c r="O42" s="188">
        <f t="shared" si="9"/>
        <v>0</v>
      </c>
      <c r="P42" t="str">
        <f t="shared" si="2"/>
        <v/>
      </c>
    </row>
    <row r="43" spans="1:16" hidden="1" x14ac:dyDescent="0.25">
      <c r="A43">
        <f t="shared" si="10"/>
        <v>54</v>
      </c>
      <c r="B43" s="629"/>
      <c r="C43" s="134" t="b">
        <f>IF(SC_ViewMode=VMWIPED,FALSE,IF(SC_ViewMode=VMDEBUG,TRUE,AND(MOD(INT($A43/POWER(2,LOG(SC_ParameterMode,2))),2)&lt;&gt;0,MOD(INT($A43/POWER(2,LOG(SC_ViewMode,2))),2)&lt;&gt;0)))</f>
        <v>0</v>
      </c>
      <c r="D43" s="521"/>
      <c r="E43" s="517"/>
      <c r="F43" s="518"/>
      <c r="G43" s="519"/>
      <c r="H43" s="96" t="str">
        <f>IF(IF(COLUMN()=COLUMN(D43),TRUE,ISBLANK(D43)), L43, D43)</f>
        <v>Miscellaneous 5:</v>
      </c>
      <c r="I43" s="117">
        <f t="shared" si="8"/>
        <v>0</v>
      </c>
      <c r="J43" s="117">
        <f t="shared" si="6"/>
        <v>0</v>
      </c>
      <c r="K43" s="96" t="str">
        <f t="shared" si="7"/>
        <v>No</v>
      </c>
      <c r="L43" s="96" t="s">
        <v>777</v>
      </c>
      <c r="M43" s="117">
        <v>0</v>
      </c>
      <c r="N43" s="96" t="s">
        <v>658</v>
      </c>
      <c r="O43" s="188">
        <f t="shared" si="9"/>
        <v>0</v>
      </c>
      <c r="P43" t="str">
        <f t="shared" si="2"/>
        <v/>
      </c>
    </row>
    <row r="44" spans="1:16" ht="15" hidden="1" customHeight="1" x14ac:dyDescent="0.25">
      <c r="A44">
        <f>PMBASIC+PMADVANCED</f>
        <v>48</v>
      </c>
      <c r="D44" s="10" t="s">
        <v>662</v>
      </c>
      <c r="E44" s="115">
        <f>-SUMPRODUCT(ABS(I$22:I$43),--($K$22:$K$43="FICA/Fed/State:1"))</f>
        <v>0</v>
      </c>
      <c r="F44" s="122">
        <f>-SUMPRODUCT(ABS(J$22:J$43),--($K$22:$K$43="FICA/Fed/State:1"))</f>
        <v>0</v>
      </c>
      <c r="G44" s="12"/>
    </row>
    <row r="45" spans="1:16" ht="15" hidden="1" customHeight="1" x14ac:dyDescent="0.25">
      <c r="A45">
        <f>PMBASIC+PMADVANCED</f>
        <v>48</v>
      </c>
      <c r="D45" s="10" t="s">
        <v>663</v>
      </c>
      <c r="E45" s="115">
        <f>-SUMPRODUCT(ABS(I$22:I$43),--($K$22:$K$43="FICA/Fed/State:2"))</f>
        <v>0</v>
      </c>
      <c r="F45" s="115">
        <f>-SUMPRODUCT(ABS(J$22:J$43),--($K$22:$K$43="FICA/Fed/State:2"))</f>
        <v>0</v>
      </c>
      <c r="G45" s="12"/>
    </row>
    <row r="46" spans="1:16" ht="15" hidden="1" customHeight="1" x14ac:dyDescent="0.25">
      <c r="A46">
        <f>PMBASIC+PMADVANCED</f>
        <v>48</v>
      </c>
      <c r="D46" s="10" t="s">
        <v>722</v>
      </c>
      <c r="E46" s="115">
        <f>-SUMPRODUCT(ABS(I$22:I$43),--($K$22:$K$43="Fed/State:1"))</f>
        <v>0</v>
      </c>
      <c r="F46" s="115">
        <f>-SUMPRODUCT(ABS(J$22:J$43),--($K$22:$K$43="Fed/State:1"))</f>
        <v>0</v>
      </c>
      <c r="G46" s="12"/>
    </row>
    <row r="47" spans="1:16" ht="15" hidden="1" customHeight="1" x14ac:dyDescent="0.25">
      <c r="A47">
        <f>PMBASIC+PMADVANCED</f>
        <v>48</v>
      </c>
      <c r="D47" s="10" t="s">
        <v>723</v>
      </c>
      <c r="E47" s="115">
        <f>-SUMPRODUCT(ABS(I$22:I$43),--($K$22:$K$43="Fed/State:2"))</f>
        <v>0</v>
      </c>
      <c r="F47" s="115">
        <f>-SUMPRODUCT(ABS(J$22:J$43),--($K$22:$K$43="Fed/State:2"))</f>
        <v>0</v>
      </c>
      <c r="G47" s="12"/>
    </row>
    <row r="48" spans="1:16" hidden="1" x14ac:dyDescent="0.25">
      <c r="A48">
        <f>PMBASIC+PMADVANCED</f>
        <v>48</v>
      </c>
      <c r="D48" s="11" t="s">
        <v>737</v>
      </c>
      <c r="E48" s="116">
        <f>-SUMPRODUCT(ABS(I$22:I$43))</f>
        <v>0</v>
      </c>
      <c r="F48" s="116">
        <f>-SUMPRODUCT(ABS(J$22:J$43))</f>
        <v>0</v>
      </c>
      <c r="G48" s="52"/>
      <c r="N48" s="2"/>
      <c r="O48" s="2"/>
      <c r="P48" s="2"/>
    </row>
    <row r="49" spans="1:16" hidden="1" x14ac:dyDescent="0.25">
      <c r="A49">
        <f t="shared" ref="A49:A61" si="11">PMBASIC+PMADVANCED+VMONLINE+VMMACRO</f>
        <v>54</v>
      </c>
      <c r="F49" s="9"/>
    </row>
    <row r="50" spans="1:16" s="439" customFormat="1" hidden="1" x14ac:dyDescent="0.25">
      <c r="A50" s="439">
        <f t="shared" si="11"/>
        <v>54</v>
      </c>
      <c r="D50" s="626" t="s">
        <v>1042</v>
      </c>
      <c r="E50" s="588"/>
      <c r="F50" s="588"/>
      <c r="G50" s="627"/>
      <c r="K50" s="1"/>
      <c r="L50" s="1"/>
      <c r="M50" s="1"/>
      <c r="N50" s="1"/>
      <c r="O50" s="1"/>
      <c r="P50" s="1"/>
    </row>
    <row r="51" spans="1:16" s="439" customFormat="1" hidden="1" x14ac:dyDescent="0.25">
      <c r="A51" s="439">
        <f t="shared" si="11"/>
        <v>54</v>
      </c>
      <c r="D51" s="441"/>
      <c r="G51" s="125"/>
      <c r="H51" s="446"/>
      <c r="I51" s="446"/>
      <c r="K51" s="1"/>
      <c r="L51" s="1"/>
      <c r="M51" s="1"/>
      <c r="N51" s="1"/>
      <c r="O51" s="1"/>
      <c r="P51" s="1"/>
    </row>
    <row r="52" spans="1:16" s="439" customFormat="1" ht="30" hidden="1" customHeight="1" x14ac:dyDescent="0.25">
      <c r="A52" s="439">
        <f t="shared" si="11"/>
        <v>54</v>
      </c>
      <c r="C52" s="36" t="s">
        <v>839</v>
      </c>
      <c r="D52" s="441"/>
      <c r="E52" s="180" t="s">
        <v>0</v>
      </c>
      <c r="F52" s="42" t="s">
        <v>1032</v>
      </c>
      <c r="G52" s="444"/>
      <c r="H52" s="124" t="s">
        <v>746</v>
      </c>
      <c r="I52" s="118" t="s">
        <v>1033</v>
      </c>
      <c r="J52" s="54" t="s">
        <v>1034</v>
      </c>
      <c r="K52" s="54"/>
      <c r="L52" s="55" t="s">
        <v>772</v>
      </c>
      <c r="M52" s="55" t="s">
        <v>1035</v>
      </c>
      <c r="N52" s="55" t="s">
        <v>1036</v>
      </c>
      <c r="O52" s="189"/>
    </row>
    <row r="53" spans="1:16" s="439" customFormat="1" hidden="1" x14ac:dyDescent="0.25">
      <c r="A53" s="439">
        <f t="shared" si="11"/>
        <v>54</v>
      </c>
      <c r="B53" s="443"/>
      <c r="C53" s="439" t="b">
        <f>IF(SC_ViewMode=VMWIPED,FALSE,IF(SC_ViewMode=VMDEBUG,TRUE,AND(MOD(INT($A53/POWER(2,LOG(SC_ParameterMode,2))),2)&lt;&gt;0,MOD(INT($A53/POWER(2,LOG(SC_ViewMode,2))),2)&lt;&gt;0)))</f>
        <v>0</v>
      </c>
      <c r="D53" s="520"/>
      <c r="E53" s="522"/>
      <c r="F53" s="495"/>
      <c r="G53" s="444"/>
      <c r="H53" s="96" t="str">
        <f t="shared" ref="H53:H57" si="12">IF(IF(COLUMN()=COLUMN(D53),TRUE,ISBLANK(D53)), L53, D53)</f>
        <v>Lump Sum 1:</v>
      </c>
      <c r="I53" s="175">
        <f t="shared" ref="I53:I57" ca="1" si="13">IF(IF(COLUMN()=COLUMN(E53),TRUE,ISBLANK(E53)), M53, E53)</f>
        <v>2022</v>
      </c>
      <c r="J53" s="117">
        <f t="shared" ref="J53:J57" si="14">IF(IF(COLUMN()=COLUMN(F53),TRUE,ISBLANK(F53)), N53, F53)</f>
        <v>0</v>
      </c>
      <c r="K53" s="57"/>
      <c r="L53" s="96" t="s">
        <v>1037</v>
      </c>
      <c r="M53" s="175">
        <f ca="1">SP_CurrentYear</f>
        <v>2022</v>
      </c>
      <c r="N53" s="117">
        <v>0</v>
      </c>
      <c r="O53" s="188">
        <f>IFERROR(IF(OR(NOT(ISNUMBER($J53))),202,0),203)</f>
        <v>0</v>
      </c>
      <c r="P53" s="439" t="str">
        <f t="shared" ref="P53:P57" si="15">IFERROR(VLOOKUP(O53,IV_CodeTable,2,FALSE),"")</f>
        <v/>
      </c>
    </row>
    <row r="54" spans="1:16" s="439" customFormat="1" hidden="1" x14ac:dyDescent="0.25">
      <c r="A54" s="439">
        <f t="shared" si="11"/>
        <v>54</v>
      </c>
      <c r="B54" s="443"/>
      <c r="C54" s="439" t="b">
        <f>IF(SC_ViewMode=VMWIPED,FALSE,IF(SC_ViewMode=VMDEBUG,TRUE,AND(MOD(INT($A54/POWER(2,LOG(SC_ParameterMode,2))),2)&lt;&gt;0,MOD(INT($A54/POWER(2,LOG(SC_ViewMode,2))),2)&lt;&gt;0)))</f>
        <v>0</v>
      </c>
      <c r="D54" s="520"/>
      <c r="E54" s="522"/>
      <c r="F54" s="495"/>
      <c r="G54" s="444"/>
      <c r="H54" s="96" t="str">
        <f t="shared" si="12"/>
        <v>Lump Sum 2:</v>
      </c>
      <c r="I54" s="175">
        <f t="shared" ca="1" si="13"/>
        <v>2022</v>
      </c>
      <c r="J54" s="117">
        <f t="shared" si="14"/>
        <v>0</v>
      </c>
      <c r="K54" s="57"/>
      <c r="L54" s="96" t="s">
        <v>1038</v>
      </c>
      <c r="M54" s="175">
        <f ca="1">SP_CurrentYear</f>
        <v>2022</v>
      </c>
      <c r="N54" s="117">
        <v>0</v>
      </c>
      <c r="O54" s="188">
        <f>IFERROR(IF(OR(NOT(ISNUMBER($J54))),202,0),203)</f>
        <v>0</v>
      </c>
      <c r="P54" s="439" t="str">
        <f t="shared" si="15"/>
        <v/>
      </c>
    </row>
    <row r="55" spans="1:16" s="439" customFormat="1" hidden="1" x14ac:dyDescent="0.25">
      <c r="A55" s="439">
        <f t="shared" si="11"/>
        <v>54</v>
      </c>
      <c r="B55" s="443"/>
      <c r="C55" s="439" t="b">
        <f>IF(SC_ViewMode=VMWIPED,FALSE,IF(SC_ViewMode=VMDEBUG,TRUE,AND(MOD(INT($A55/POWER(2,LOG(SC_ParameterMode,2))),2)&lt;&gt;0,MOD(INT($A55/POWER(2,LOG(SC_ViewMode,2))),2)&lt;&gt;0)))</f>
        <v>0</v>
      </c>
      <c r="D55" s="520"/>
      <c r="E55" s="522"/>
      <c r="F55" s="495"/>
      <c r="G55" s="444"/>
      <c r="H55" s="96" t="str">
        <f t="shared" si="12"/>
        <v>Lump Sum 3:</v>
      </c>
      <c r="I55" s="175">
        <f t="shared" ca="1" si="13"/>
        <v>2022</v>
      </c>
      <c r="J55" s="117">
        <f t="shared" si="14"/>
        <v>0</v>
      </c>
      <c r="K55" s="57"/>
      <c r="L55" s="96" t="s">
        <v>1039</v>
      </c>
      <c r="M55" s="175">
        <f ca="1">SP_CurrentYear</f>
        <v>2022</v>
      </c>
      <c r="N55" s="117">
        <v>0</v>
      </c>
      <c r="O55" s="188">
        <f>IFERROR(IF(OR(NOT(ISNUMBER($J55))),202,0),203)</f>
        <v>0</v>
      </c>
      <c r="P55" s="439" t="str">
        <f t="shared" si="15"/>
        <v/>
      </c>
    </row>
    <row r="56" spans="1:16" s="439" customFormat="1" hidden="1" x14ac:dyDescent="0.25">
      <c r="A56" s="439">
        <f t="shared" si="11"/>
        <v>54</v>
      </c>
      <c r="B56" s="443"/>
      <c r="C56" s="439" t="b">
        <f>IF(SC_ViewMode=VMWIPED,FALSE,IF(SC_ViewMode=VMDEBUG,TRUE,AND(MOD(INT($A56/POWER(2,LOG(SC_ParameterMode,2))),2)&lt;&gt;0,MOD(INT($A56/POWER(2,LOG(SC_ViewMode,2))),2)&lt;&gt;0)))</f>
        <v>0</v>
      </c>
      <c r="D56" s="520"/>
      <c r="E56" s="522"/>
      <c r="F56" s="495"/>
      <c r="G56" s="444"/>
      <c r="H56" s="96" t="str">
        <f t="shared" si="12"/>
        <v>Lump Sum 4:</v>
      </c>
      <c r="I56" s="175">
        <f t="shared" ca="1" si="13"/>
        <v>2022</v>
      </c>
      <c r="J56" s="117">
        <f t="shared" si="14"/>
        <v>0</v>
      </c>
      <c r="K56" s="57"/>
      <c r="L56" s="96" t="s">
        <v>1040</v>
      </c>
      <c r="M56" s="175">
        <f ca="1">SP_CurrentYear</f>
        <v>2022</v>
      </c>
      <c r="N56" s="117">
        <v>0</v>
      </c>
      <c r="O56" s="188">
        <f>IFERROR(IF(OR(NOT(ISNUMBER($J56))),202,0),203)</f>
        <v>0</v>
      </c>
      <c r="P56" s="439" t="str">
        <f t="shared" si="15"/>
        <v/>
      </c>
    </row>
    <row r="57" spans="1:16" s="439" customFormat="1" hidden="1" x14ac:dyDescent="0.25">
      <c r="A57" s="439">
        <f t="shared" si="11"/>
        <v>54</v>
      </c>
      <c r="B57" s="443"/>
      <c r="C57" s="445" t="b">
        <f>IF(SC_ViewMode=VMWIPED,FALSE,IF(SC_ViewMode=VMDEBUG,TRUE,AND(MOD(INT($A57/POWER(2,LOG(SC_ParameterMode,2))),2)&lt;&gt;0,MOD(INT($A57/POWER(2,LOG(SC_ViewMode,2))),2)&lt;&gt;0)))</f>
        <v>0</v>
      </c>
      <c r="D57" s="521"/>
      <c r="E57" s="522"/>
      <c r="F57" s="518"/>
      <c r="G57" s="447"/>
      <c r="H57" s="96" t="str">
        <f t="shared" si="12"/>
        <v>Lump Sum 5:</v>
      </c>
      <c r="I57" s="175">
        <f t="shared" ca="1" si="13"/>
        <v>2022</v>
      </c>
      <c r="J57" s="117">
        <f t="shared" si="14"/>
        <v>0</v>
      </c>
      <c r="K57" s="57"/>
      <c r="L57" s="96" t="s">
        <v>1041</v>
      </c>
      <c r="M57" s="175">
        <f ca="1">SP_CurrentYear</f>
        <v>2022</v>
      </c>
      <c r="N57" s="117">
        <v>0</v>
      </c>
      <c r="O57" s="188">
        <f>IFERROR(IF(OR(NOT(ISNUMBER($J57))),202,0),203)</f>
        <v>0</v>
      </c>
      <c r="P57" s="439" t="str">
        <f t="shared" si="15"/>
        <v/>
      </c>
    </row>
    <row r="58" spans="1:16" hidden="1" x14ac:dyDescent="0.25">
      <c r="A58" s="439">
        <f t="shared" si="11"/>
        <v>54</v>
      </c>
      <c r="B58" s="445"/>
      <c r="C58" s="445"/>
    </row>
    <row r="59" spans="1:16" hidden="1" x14ac:dyDescent="0.25">
      <c r="A59">
        <f t="shared" si="11"/>
        <v>54</v>
      </c>
      <c r="D59" s="626" t="s">
        <v>731</v>
      </c>
      <c r="E59" s="588"/>
      <c r="F59" s="588"/>
      <c r="G59" s="627"/>
    </row>
    <row r="60" spans="1:16" hidden="1" x14ac:dyDescent="0.25">
      <c r="A60">
        <f t="shared" si="11"/>
        <v>54</v>
      </c>
      <c r="D60" s="29"/>
      <c r="F60" s="9"/>
      <c r="G60" s="12"/>
    </row>
    <row r="61" spans="1:16" ht="30" hidden="1" x14ac:dyDescent="0.25">
      <c r="A61">
        <f t="shared" si="11"/>
        <v>54</v>
      </c>
      <c r="C61" s="12"/>
      <c r="D61" s="29"/>
      <c r="E61" s="180" t="s">
        <v>5</v>
      </c>
      <c r="F61" s="42" t="s">
        <v>7</v>
      </c>
      <c r="G61" s="12"/>
      <c r="I61" s="1"/>
      <c r="J61" s="1"/>
      <c r="K61" s="1"/>
      <c r="L61" s="1"/>
      <c r="M61" s="1"/>
      <c r="N61" s="1"/>
      <c r="O61" s="1"/>
      <c r="P61" s="1"/>
    </row>
    <row r="62" spans="1:16" hidden="1" x14ac:dyDescent="0.25">
      <c r="A62">
        <f>PMBASIC+PMADVANCED</f>
        <v>48</v>
      </c>
      <c r="D62" s="10" t="s">
        <v>734</v>
      </c>
      <c r="E62" s="121" t="s">
        <v>733</v>
      </c>
      <c r="F62" s="121" t="s">
        <v>735</v>
      </c>
      <c r="G62" s="12"/>
      <c r="I62" s="1"/>
      <c r="J62" s="1"/>
      <c r="K62" s="1"/>
      <c r="L62" s="1"/>
      <c r="M62" s="1"/>
      <c r="N62" s="1"/>
      <c r="O62" s="1"/>
      <c r="P62" s="1"/>
    </row>
    <row r="63" spans="1:16" ht="15" hidden="1" customHeight="1" x14ac:dyDescent="0.25">
      <c r="A63">
        <f t="shared" ref="A63:A71" si="16">PMBASIC+PMADVANCED+VMONLINE+VMMACRO</f>
        <v>54</v>
      </c>
      <c r="D63" s="10" t="s">
        <v>729</v>
      </c>
      <c r="E63" s="115">
        <f ca="1">IFERROR(AVERAGEIFS(SC_ZX_IncomeActive, SC_ZX_CodeA, E$62, SC_ZX_ValueType, "R"),0)/12</f>
        <v>0</v>
      </c>
      <c r="F63" s="115">
        <f ca="1">IFERROR(AVERAGEIFS(SC_ZX_IncomeActive, SC_ZX_CodeA, F$62, SC_ZX_ValueType, "R"),0)/12</f>
        <v>0</v>
      </c>
      <c r="G63" s="12"/>
      <c r="I63" s="1"/>
      <c r="J63" s="1"/>
      <c r="K63" s="1"/>
      <c r="L63" s="1"/>
      <c r="M63" s="1"/>
      <c r="N63" s="4"/>
      <c r="O63" s="2"/>
      <c r="P63" s="1"/>
    </row>
    <row r="64" spans="1:16" ht="15" hidden="1" customHeight="1" x14ac:dyDescent="0.25">
      <c r="A64">
        <f t="shared" si="16"/>
        <v>54</v>
      </c>
      <c r="D64" s="10" t="s">
        <v>653</v>
      </c>
      <c r="E64" s="115">
        <f ca="1">IFERROR(AVERAGEIFS(SC_ZX_IncomePassive, SC_ZX_CodeA, E$62, SC_ZX_ValueType, "R"),0)/12</f>
        <v>0</v>
      </c>
      <c r="F64" s="115">
        <f ca="1">IFERROR(AVERAGEIFS(SC_ZX_IncomePassive, SC_ZX_CodeA, F$62, SC_ZX_ValueType, "R"),0)/12</f>
        <v>0</v>
      </c>
      <c r="G64" s="12"/>
      <c r="I64" s="1"/>
      <c r="J64" s="1"/>
      <c r="K64" s="1"/>
      <c r="L64" s="1"/>
      <c r="M64" s="1"/>
      <c r="N64" s="1"/>
      <c r="O64" s="1"/>
      <c r="P64" s="1"/>
    </row>
    <row r="65" spans="1:16" ht="15" hidden="1" customHeight="1" x14ac:dyDescent="0.25">
      <c r="A65">
        <f t="shared" si="16"/>
        <v>54</v>
      </c>
      <c r="D65" s="10" t="s">
        <v>730</v>
      </c>
      <c r="E65" s="115">
        <f ca="1">IFERROR(AVERAGEIFS(SC_ZX_IncomeSS, SC_ZX_CodeA, E$62, SC_ZX_ValueType, "R"),0)/12</f>
        <v>0</v>
      </c>
      <c r="F65" s="115">
        <f ca="1">IFERROR(AVERAGEIFS(SC_ZX_IncomeSS, SC_ZX_CodeA, F$62, SC_ZX_ValueType, "R"),0)/12</f>
        <v>0</v>
      </c>
      <c r="G65" s="12"/>
      <c r="I65" s="1"/>
      <c r="J65" s="1"/>
      <c r="K65" s="1"/>
      <c r="L65" s="1"/>
      <c r="M65" s="1"/>
      <c r="N65" s="1"/>
      <c r="O65" s="1"/>
      <c r="P65" s="1"/>
    </row>
    <row r="66" spans="1:16" hidden="1" x14ac:dyDescent="0.25">
      <c r="A66">
        <f t="shared" si="16"/>
        <v>54</v>
      </c>
      <c r="D66" s="38" t="s">
        <v>732</v>
      </c>
      <c r="E66" s="115">
        <f ca="1">SUM(E63:E65)</f>
        <v>0</v>
      </c>
      <c r="F66" s="115">
        <f ca="1">SUM(F63:F65)</f>
        <v>0</v>
      </c>
      <c r="G66" s="12"/>
      <c r="O66" s="2"/>
    </row>
    <row r="67" spans="1:16" ht="15" hidden="1" customHeight="1" x14ac:dyDescent="0.25">
      <c r="A67">
        <f t="shared" si="16"/>
        <v>54</v>
      </c>
      <c r="D67" s="10" t="s">
        <v>894</v>
      </c>
      <c r="E67" s="115">
        <f ca="1">IFERROR(AVERAGEIFS(SC_ZX_SavingsContrib, SC_ZX_CodeA, E$62, SC_ZX_ValueType, "R"),0)/12</f>
        <v>0</v>
      </c>
      <c r="F67" s="115">
        <f ca="1">IFERROR(AVERAGEIFS(SC_ZX_SavingsContrib, SC_ZX_CodeA, F$62, SC_ZX_ValueType, "R"),0)/12</f>
        <v>0</v>
      </c>
      <c r="G67" s="12"/>
      <c r="O67" s="2"/>
    </row>
    <row r="68" spans="1:16" hidden="1" x14ac:dyDescent="0.25">
      <c r="A68">
        <f t="shared" si="16"/>
        <v>54</v>
      </c>
      <c r="D68" s="10" t="s">
        <v>738</v>
      </c>
      <c r="E68" s="115">
        <f ca="1">IFERROR(AVERAGEIFS(SC_ZX_Expenses, SC_ZX_CodeA, E$62, SC_ZX_ValueType, "R"),0)/12</f>
        <v>0</v>
      </c>
      <c r="F68" s="115">
        <f ca="1">IFERROR(AVERAGEIFS(SC_ZX_Expenses, SC_ZX_CodeA, F$62, SC_ZX_ValueType, "R"),0)/12</f>
        <v>0</v>
      </c>
      <c r="G68" s="12"/>
      <c r="N68" s="2"/>
      <c r="O68" s="2"/>
      <c r="P68" s="2"/>
    </row>
    <row r="69" spans="1:16" hidden="1" x14ac:dyDescent="0.25">
      <c r="A69">
        <f t="shared" si="16"/>
        <v>54</v>
      </c>
      <c r="D69" s="10" t="s">
        <v>736</v>
      </c>
      <c r="E69" s="115">
        <f ca="1">IFERROR(AVERAGEIFS(SC_ZX_TotalTaxes, SC_ZX_CodeA, E$62, SC_ZX_ValueType, "R"),0)/12</f>
        <v>0</v>
      </c>
      <c r="F69" s="115">
        <f ca="1">IFERROR(AVERAGEIFS(SC_ZX_TotalTaxes, SC_ZX_CodeA, F$62, SC_ZX_ValueType, "R"),0)/12</f>
        <v>0</v>
      </c>
      <c r="G69" s="12"/>
      <c r="N69" s="2"/>
      <c r="O69" s="2"/>
      <c r="P69" s="2"/>
    </row>
    <row r="70" spans="1:16" hidden="1" x14ac:dyDescent="0.25">
      <c r="A70">
        <f t="shared" si="16"/>
        <v>54</v>
      </c>
      <c r="D70" s="10" t="s">
        <v>660</v>
      </c>
      <c r="E70" s="115">
        <f ca="1">IFERROR(AVERAGEIFS(SC_ZX_Debt, SC_ZX_CodeA, E$62, SC_ZX_ValueType, "R"),0)*SP_DebtRate/12</f>
        <v>0</v>
      </c>
      <c r="F70" s="115">
        <f ca="1">IFERROR(AVERAGEIFS(SC_ZX_Debt, SC_ZX_CodeA, F$62, SC_ZX_ValueType, "R"),0)*SP_DebtRate/12</f>
        <v>0</v>
      </c>
      <c r="G70" s="12"/>
      <c r="O70" s="2"/>
    </row>
    <row r="71" spans="1:16" ht="15" hidden="1" customHeight="1" x14ac:dyDescent="0.25">
      <c r="A71">
        <f t="shared" si="16"/>
        <v>54</v>
      </c>
      <c r="D71" s="40" t="s">
        <v>659</v>
      </c>
      <c r="E71" s="119">
        <f ca="1">SUM(E66:E70)</f>
        <v>0</v>
      </c>
      <c r="F71" s="119">
        <f ca="1">SUM(F66:F70)</f>
        <v>0</v>
      </c>
      <c r="G71" s="30"/>
      <c r="N71" s="2"/>
      <c r="O71" s="2"/>
      <c r="P71" s="2"/>
    </row>
    <row r="72" spans="1:16" x14ac:dyDescent="0.25">
      <c r="F72" s="9"/>
    </row>
  </sheetData>
  <sheetProtection sheet="1" objects="1" scenarios="1" autoFilter="0"/>
  <mergeCells count="6">
    <mergeCell ref="D50:G50"/>
    <mergeCell ref="B22:B43"/>
    <mergeCell ref="B4:B14"/>
    <mergeCell ref="D2:G2"/>
    <mergeCell ref="D59:G59"/>
    <mergeCell ref="B15:B19"/>
  </mergeCells>
  <conditionalFormatting sqref="P4:P15 P17 P19:P43 P52:P57">
    <cfRule type="expression" dxfId="28" priority="88" stopIfTrue="1">
      <formula>($O4&gt;=200)</formula>
    </cfRule>
    <cfRule type="expression" dxfId="27" priority="89">
      <formula>($O4&gt;=100)</formula>
    </cfRule>
  </conditionalFormatting>
  <conditionalFormatting sqref="G9:G13 E4:E8 D53:F57">
    <cfRule type="expression" dxfId="26" priority="81" stopIfTrue="1">
      <formula>($O4&gt;=200)</formula>
    </cfRule>
    <cfRule type="expression" dxfId="25" priority="82">
      <formula>($O4&gt;=100)</formula>
    </cfRule>
  </conditionalFormatting>
  <conditionalFormatting sqref="E11:E13">
    <cfRule type="expression" dxfId="24" priority="79" stopIfTrue="1">
      <formula>($O11&gt;=200)</formula>
    </cfRule>
    <cfRule type="expression" dxfId="23" priority="80">
      <formula>($O11&gt;=100)</formula>
    </cfRule>
  </conditionalFormatting>
  <conditionalFormatting sqref="E22:F43">
    <cfRule type="expression" dxfId="22" priority="75" stopIfTrue="1">
      <formula>($O22&gt;=200)</formula>
    </cfRule>
    <cfRule type="expression" dxfId="21" priority="76">
      <formula>($O22&gt;=100)</formula>
    </cfRule>
  </conditionalFormatting>
  <conditionalFormatting sqref="D39:D43">
    <cfRule type="expression" dxfId="20" priority="73" stopIfTrue="1">
      <formula>($O39&gt;=200)</formula>
    </cfRule>
    <cfRule type="expression" dxfId="19" priority="74">
      <formula>($O39&gt;=100)</formula>
    </cfRule>
  </conditionalFormatting>
  <conditionalFormatting sqref="G22:G43">
    <cfRule type="expression" dxfId="18" priority="66" stopIfTrue="1">
      <formula>($O22&gt;=200)</formula>
    </cfRule>
    <cfRule type="expression" dxfId="17" priority="67">
      <formula>($O22&gt;=100)</formula>
    </cfRule>
  </conditionalFormatting>
  <conditionalFormatting sqref="E18">
    <cfRule type="expression" dxfId="16" priority="32" stopIfTrue="1">
      <formula>($O18&gt;=200)</formula>
    </cfRule>
    <cfRule type="expression" dxfId="15" priority="33">
      <formula>($O18&gt;=100)</formula>
    </cfRule>
  </conditionalFormatting>
  <conditionalFormatting sqref="E15">
    <cfRule type="expression" dxfId="14" priority="37" stopIfTrue="1">
      <formula>($O15&gt;=200)</formula>
    </cfRule>
    <cfRule type="expression" dxfId="13" priority="38">
      <formula>($O15&gt;=100)</formula>
    </cfRule>
  </conditionalFormatting>
  <conditionalFormatting sqref="P16">
    <cfRule type="expression" dxfId="12" priority="30" stopIfTrue="1">
      <formula>($O16&gt;=200)</formula>
    </cfRule>
    <cfRule type="expression" dxfId="11" priority="31">
      <formula>($O16&gt;=100)</formula>
    </cfRule>
  </conditionalFormatting>
  <conditionalFormatting sqref="E16">
    <cfRule type="expression" dxfId="10" priority="27" stopIfTrue="1">
      <formula>($O16&gt;=200)</formula>
    </cfRule>
    <cfRule type="expression" dxfId="9" priority="28">
      <formula>($O16&gt;=100)</formula>
    </cfRule>
  </conditionalFormatting>
  <conditionalFormatting sqref="P18">
    <cfRule type="expression" dxfId="8" priority="25" stopIfTrue="1">
      <formula>($O18&gt;=200)</formula>
    </cfRule>
    <cfRule type="expression" dxfId="7" priority="26">
      <formula>($O18&gt;=100)</formula>
    </cfRule>
  </conditionalFormatting>
  <dataValidations disablePrompts="1" count="2">
    <dataValidation type="list" showInputMessage="1" showErrorMessage="1" sqref="G22:G43 G9:G13" xr:uid="{00000000-0002-0000-0700-000000000000}">
      <formula1>"FICA/Fed/State:1,FICA/Fed/State:2,Fed/State:1,Fed/State:2,No"</formula1>
    </dataValidation>
    <dataValidation type="list" showInputMessage="1" showErrorMessage="1" sqref="E53:E57" xr:uid="{9496AFC0-E0F4-4475-86FE-3AAC658D306B}">
      <formula1>SC_ForecastYears</formula1>
    </dataValidation>
  </dataValidations>
  <hyperlinks>
    <hyperlink ref="D4" r:id="rId1" location="HomeValue" display="https://www.retireator.org/documentation/sp_reference/ - HomeValue" xr:uid="{00000000-0004-0000-0700-000000000000}"/>
    <hyperlink ref="D5" r:id="rId2" location="OriginationDate" display="https://www.retireator.org/documentation/sp_reference/ - OriginationDate" xr:uid="{00000000-0004-0000-0700-000001000000}"/>
    <hyperlink ref="D6" r:id="rId3" location="OriginalBalance" display="https://www.retireator.org/documentation/sp_reference/ - OriginalBalance" xr:uid="{00000000-0004-0000-0700-000002000000}"/>
    <hyperlink ref="D7" r:id="rId4" location="Term" display="https://www.retireator.org/documentation/sp_reference/ - Term" xr:uid="{00000000-0004-0000-0700-000004000000}"/>
    <hyperlink ref="D8" r:id="rId5" location="InterestRate" display="https://www.retireator.org/documentation/sp_reference/ - InterestRate" xr:uid="{00000000-0004-0000-0700-000005000000}"/>
    <hyperlink ref="D11" r:id="rId6" location="RealEstateTax" display="https://www.retireator.org/documentation/sp_reference/ - RealEstateTax" xr:uid="{00000000-0004-0000-0700-000006000000}"/>
    <hyperlink ref="D12" r:id="rId7" location="HomeInsurance" display="https://www.retireator.org/documentation/sp_reference/ - HomeInsurance" xr:uid="{00000000-0004-0000-0700-000007000000}"/>
    <hyperlink ref="D13" r:id="rId8" location="ExtraPayment" display="https://www.retireator.org/documentation/sp_reference/ - ExtraPayment" xr:uid="{00000000-0004-0000-0700-000008000000}"/>
    <hyperlink ref="E21:F21" r:id="rId9" location="LivingExpense" display="Accumulation Phase" xr:uid="{00000000-0004-0000-0700-000009000000}"/>
    <hyperlink ref="G21" r:id="rId10" location="TaxDeductible" display="https://www.retireator.org/documentation/sp_reference/ - TaxDeductible" xr:uid="{00000000-0004-0000-0700-00000A000000}"/>
    <hyperlink ref="G8" r:id="rId11" location="TaxDeductible" display="https://www.retireator.org/documentation/sp_reference/ - TaxDeductible" xr:uid="{00000000-0004-0000-0700-00000B000000}"/>
    <hyperlink ref="D15" r:id="rId12" location="HECMOriginationDate" display="https://www.retireator.org/documentation/sp_reference/ - HECMOriginationDate" xr:uid="{9FDFEA61-84EA-419D-A453-C04403998DD5}"/>
    <hyperlink ref="D16" r:id="rId13" location="HECMOriginalBalance" display="https://www.retireator.org/documentation/sp_reference/ - HECMOriginalBalance" xr:uid="{758E39F2-E3D9-449B-8C03-434B6D1689FA}"/>
    <hyperlink ref="D18" r:id="rId14" location="HECMInterestRate" display="https://www.retireator.org/documentation/sp_reference/ - HECMInterestRate" xr:uid="{F02BDE28-313E-4F0D-B519-C20864A772A0}"/>
  </hyperlinks>
  <pageMargins left="0.7" right="0.7" top="0.75" bottom="0.75" header="0.3" footer="0.3"/>
  <pageSetup orientation="portrait" horizontalDpi="4294967293" r:id="rId15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90" id="{38E7333A-2F14-47CB-8218-7FAF751BC5E7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O5</xm:sqref>
        </x14:conditionalFormatting>
        <x14:conditionalFormatting xmlns:xm="http://schemas.microsoft.com/office/excel/2006/main">
          <x14:cfRule type="iconSet" priority="87" id="{AE78C6DA-FDA1-4A1F-93EF-EBA1D7372642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O6</xm:sqref>
        </x14:conditionalFormatting>
        <x14:conditionalFormatting xmlns:xm="http://schemas.microsoft.com/office/excel/2006/main">
          <x14:cfRule type="iconSet" priority="84" id="{0692344E-E19A-4516-8A12-B9594FEE0A49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O11:O13</xm:sqref>
        </x14:conditionalFormatting>
        <x14:conditionalFormatting xmlns:xm="http://schemas.microsoft.com/office/excel/2006/main">
          <x14:cfRule type="iconSet" priority="83" id="{16277C6F-7DD9-445C-93B8-DDB6B30572D7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O22:O43</xm:sqref>
        </x14:conditionalFormatting>
        <x14:conditionalFormatting xmlns:xm="http://schemas.microsoft.com/office/excel/2006/main">
          <x14:cfRule type="iconSet" priority="72" id="{3E04E62C-0975-4376-A1B2-D1316D5A4041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O7</xm:sqref>
        </x14:conditionalFormatting>
        <x14:conditionalFormatting xmlns:xm="http://schemas.microsoft.com/office/excel/2006/main">
          <x14:cfRule type="iconSet" priority="71" id="{89D062B0-9880-46CE-84E4-8751D12E7A3A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O8</xm:sqref>
        </x14:conditionalFormatting>
        <x14:conditionalFormatting xmlns:xm="http://schemas.microsoft.com/office/excel/2006/main">
          <x14:cfRule type="iconSet" priority="70" id="{52484CD1-EE99-4ED7-9F76-1691845AF7CB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O4</xm:sqref>
        </x14:conditionalFormatting>
        <x14:conditionalFormatting xmlns:xm="http://schemas.microsoft.com/office/excel/2006/main">
          <x14:cfRule type="iconSet" priority="69" id="{B609848C-5FA5-46AC-B6ED-AC29AE0D0FB4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O9</xm:sqref>
        </x14:conditionalFormatting>
        <x14:conditionalFormatting xmlns:xm="http://schemas.microsoft.com/office/excel/2006/main">
          <x14:cfRule type="iconSet" priority="68" id="{32054CE1-CD20-4BB8-8318-ADF42DB063D9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O10</xm:sqref>
        </x14:conditionalFormatting>
        <x14:conditionalFormatting xmlns:xm="http://schemas.microsoft.com/office/excel/2006/main">
          <x14:cfRule type="iconSet" priority="274" id="{1ADEBE78-22C4-42B6-95B0-4E9E259BF0B9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O15 O17 O19</xm:sqref>
        </x14:conditionalFormatting>
        <x14:conditionalFormatting xmlns:xm="http://schemas.microsoft.com/office/excel/2006/main">
          <x14:cfRule type="iconSet" priority="29" id="{65FC44DD-C43C-491A-8AAA-4A2A78AACB95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O16</xm:sqref>
        </x14:conditionalFormatting>
        <x14:conditionalFormatting xmlns:xm="http://schemas.microsoft.com/office/excel/2006/main">
          <x14:cfRule type="iconSet" priority="24" id="{874A3D73-BA0C-409F-AAD2-F2C2AD749DC0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O18</xm:sqref>
        </x14:conditionalFormatting>
        <x14:conditionalFormatting xmlns:xm="http://schemas.microsoft.com/office/excel/2006/main">
          <x14:cfRule type="iconSet" priority="283" id="{46286F11-18FF-421B-A000-9F0E6BA632EA}">
            <x14:iconSet iconSet="3Symbols2" custom="1">
              <x14:cfvo type="percent">
                <xm:f>0</xm:f>
              </x14:cfvo>
              <x14:cfvo type="num">
                <xm:f>100</xm:f>
              </x14:cfvo>
              <x14:cfvo type="num">
                <xm:f>200</xm:f>
              </x14:cfvo>
              <x14:cfIcon iconSet="NoIcons" iconId="0"/>
              <x14:cfIcon iconSet="3Symbols2" iconId="1"/>
              <x14:cfIcon iconSet="3Symbols2" iconId="0"/>
            </x14:iconSet>
          </x14:cfRule>
          <xm:sqref>O53:O57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A1:CO169"/>
  <sheetViews>
    <sheetView workbookViewId="0">
      <pane xSplit="9" ySplit="3" topLeftCell="J4" activePane="bottomRight" state="frozen"/>
      <selection activeCell="A3" sqref="A3"/>
      <selection pane="topRight" activeCell="A3" sqref="A3"/>
      <selection pane="bottomLeft" activeCell="A3" sqref="A3"/>
      <selection pane="bottomRight"/>
    </sheetView>
  </sheetViews>
  <sheetFormatPr defaultRowHeight="15" x14ac:dyDescent="0.25"/>
  <cols>
    <col min="1" max="1" width="9.140625" hidden="1" customWidth="1"/>
    <col min="2" max="2" width="5" hidden="1" customWidth="1"/>
    <col min="3" max="3" width="4.28515625" hidden="1" customWidth="1"/>
    <col min="4" max="4" width="6.5703125" hidden="1" customWidth="1"/>
    <col min="5" max="6" width="3.42578125" hidden="1" customWidth="1"/>
    <col min="7" max="7" width="3.5703125" hidden="1" customWidth="1"/>
    <col min="8" max="8" width="6.7109375" style="333" hidden="1" customWidth="1"/>
    <col min="9" max="9" width="6.7109375" hidden="1" customWidth="1"/>
    <col min="10" max="11" width="5.28515625" hidden="1" customWidth="1"/>
    <col min="12" max="12" width="4.5703125" hidden="1" customWidth="1"/>
    <col min="13" max="13" width="3.5703125" hidden="1" customWidth="1"/>
    <col min="14" max="14" width="11.140625" hidden="1" customWidth="1"/>
    <col min="15" max="15" width="8.5703125" hidden="1" customWidth="1"/>
    <col min="16" max="76" width="13" hidden="1" customWidth="1"/>
    <col min="93" max="93" width="12.7109375" customWidth="1"/>
  </cols>
  <sheetData>
    <row r="1" spans="1:93" hidden="1" x14ac:dyDescent="0.25">
      <c r="A1">
        <f>PMADVANCED+VMONLINE+VMMACRO</f>
        <v>38</v>
      </c>
      <c r="B1">
        <f>PMBASIC+PMADVANCED+VMONLINE+VMMACRO</f>
        <v>54</v>
      </c>
      <c r="C1">
        <f>PMBASIC+PMADVANCED+VMONLINE+VMMACRO</f>
        <v>54</v>
      </c>
      <c r="D1">
        <f>PMBASIC+PMADVANCED+IF(INDEX(SC_ShowRetireatee,2), VMONLINE+VMMACRO, 0)</f>
        <v>48</v>
      </c>
      <c r="E1">
        <f>PMBASIC+PMADVANCED</f>
        <v>48</v>
      </c>
      <c r="F1">
        <f>PMBASIC+PMADVANCED</f>
        <v>48</v>
      </c>
      <c r="G1">
        <f>PMBASIC+PMADVANCED</f>
        <v>48</v>
      </c>
      <c r="H1" s="333">
        <f>PMBASIC+PMADVANCED+VMONLINE+VMMACRO</f>
        <v>54</v>
      </c>
      <c r="I1" s="333">
        <f t="shared" ref="I1:N1" si="0">PMBASIC+PMADVANCED</f>
        <v>48</v>
      </c>
      <c r="J1">
        <f t="shared" si="0"/>
        <v>48</v>
      </c>
      <c r="K1">
        <f t="shared" si="0"/>
        <v>48</v>
      </c>
      <c r="L1">
        <f t="shared" si="0"/>
        <v>48</v>
      </c>
      <c r="M1">
        <f t="shared" si="0"/>
        <v>48</v>
      </c>
      <c r="N1">
        <f t="shared" si="0"/>
        <v>48</v>
      </c>
      <c r="O1">
        <f>PMBASIC+PMADVANCED+VMONLINE+VMMACRO</f>
        <v>54</v>
      </c>
      <c r="P1">
        <f>PMBASIC+PMADVANCED+VMONLINE+VMMACRO</f>
        <v>54</v>
      </c>
      <c r="Q1">
        <f>PMBASIC+PMADVANCED+VMONLINE+VMMACRO</f>
        <v>54</v>
      </c>
      <c r="R1">
        <f>PMBASIC+PMADVANCED+VMONLINE+VMMACRO</f>
        <v>54</v>
      </c>
      <c r="S1">
        <f>PMBASIC+PMADVANCED+VMONLINE+VMMACRO</f>
        <v>54</v>
      </c>
      <c r="T1">
        <f>PMBASIC+PMADVANCED</f>
        <v>48</v>
      </c>
      <c r="U1">
        <f>PMBASIC+PMADVANCED</f>
        <v>48</v>
      </c>
      <c r="V1">
        <f>PMBASIC+PMADVANCED+VMONLINE+VMMACRO</f>
        <v>54</v>
      </c>
      <c r="W1">
        <f>PMBASIC+PMADVANCED+VMONLINE+VMMACRO</f>
        <v>54</v>
      </c>
      <c r="X1">
        <f>PMBASIC+PMADVANCED+IF(SP_EI, VMONLINE+VMMACRO, 0)</f>
        <v>48</v>
      </c>
      <c r="Y1">
        <f>PMBASIC+PMADVANCED+IF(SP_EI, VMONLINE+VMMACRO, 0)</f>
        <v>48</v>
      </c>
      <c r="Z1">
        <f>PMBASIC+PMADVANCED+IF(SP_EI, VMONLINE+VMMACRO, 0)</f>
        <v>48</v>
      </c>
      <c r="AA1">
        <f>PMBASIC+PMADVANCED</f>
        <v>48</v>
      </c>
      <c r="AB1">
        <f>PMBASIC+PMADVANCED</f>
        <v>48</v>
      </c>
      <c r="AC1">
        <f>PMBASIC+PMADVANCED+IF(SP_EI, VMONLINE+VMMACRO, 0)</f>
        <v>48</v>
      </c>
      <c r="AD1">
        <f>PMBASIC+PMADVANCED+IF(SP_EI, VMONLINE+VMMACRO, 0)</f>
        <v>48</v>
      </c>
      <c r="AE1">
        <f>PMBASIC+PMADVANCED+IF(SP_EI, VMONLINE+VMMACRO, 0)</f>
        <v>48</v>
      </c>
      <c r="AF1">
        <f>PMBASIC+PMADVANCED+IF(SP_EI, VMONLINE+VMMACRO, 0)</f>
        <v>48</v>
      </c>
      <c r="AG1">
        <f>PMBASIC+PMADVANCED+IF(SP_EI, VMONLINE+VMMACRO, 0)</f>
        <v>48</v>
      </c>
      <c r="AH1">
        <f>PMBASIC+PMADVANCED</f>
        <v>48</v>
      </c>
      <c r="AI1">
        <f>PMBASIC+PMADVANCED</f>
        <v>48</v>
      </c>
      <c r="AJ1">
        <f>PMBASIC+PMADVANCED+IF(SP_EI, VMONLINE+VMMACRO, 0)</f>
        <v>48</v>
      </c>
      <c r="AK1">
        <f>PMBASIC+PMADVANCED+IF(SP_EI, VMONLINE+VMMACRO, 0)</f>
        <v>48</v>
      </c>
      <c r="AL1">
        <f>PMBASIC+PMADVANCED+IF(SP_SEI, VMONLINE+VMMACRO, 0)</f>
        <v>48</v>
      </c>
      <c r="AM1">
        <f>PMBASIC+PMADVANCED+IF(SP_SEI, VMONLINE+VMMACRO, 0)</f>
        <v>48</v>
      </c>
      <c r="AN1">
        <f>PMBASIC+PMADVANCED+IF(SP_SEI, VMONLINE+VMMACRO, 0)</f>
        <v>48</v>
      </c>
      <c r="AO1">
        <f>PMBASIC+PMADVANCED</f>
        <v>48</v>
      </c>
      <c r="AP1">
        <f>PMBASIC+PMADVANCED</f>
        <v>48</v>
      </c>
      <c r="AQ1">
        <f>PMBASIC+PMADVANCED+IF(SP_SEI, VMONLINE+VMMACRO, 0)</f>
        <v>48</v>
      </c>
      <c r="AR1">
        <f>PMBASIC+PMADVANCED+IF(SP_SEI, VMONLINE+VMMACRO, 0)</f>
        <v>48</v>
      </c>
      <c r="AS1">
        <f>PMBASIC+PMADVANCED+IF(SP_SEI, VMONLINE+VMMACRO, 0)</f>
        <v>48</v>
      </c>
      <c r="AT1">
        <f>PMBASIC+PMADVANCED+IF(SP_SEI, VMONLINE+VMMACRO, 0)</f>
        <v>48</v>
      </c>
      <c r="AU1">
        <f>PMBASIC+PMADVANCED+IF(SP_SEI, VMONLINE+VMMACRO, 0)</f>
        <v>48</v>
      </c>
      <c r="AV1">
        <f>PMBASIC+PMADVANCED</f>
        <v>48</v>
      </c>
      <c r="AW1">
        <f>PMBASIC+PMADVANCED</f>
        <v>48</v>
      </c>
      <c r="AX1">
        <f>PMBASIC+PMADVANCED+IF(SP_SEI, VMONLINE+VMMACRO, 0)</f>
        <v>48</v>
      </c>
      <c r="AY1">
        <f>PMBASIC+PMADVANCED+IF(SP_SEI, VMONLINE+VMMACRO, 0)</f>
        <v>48</v>
      </c>
      <c r="AZ1">
        <f>PMBASIC+PMADVANCED+IF(SP_PIIRP, VMONLINE+VMMACRO, 0)</f>
        <v>48</v>
      </c>
      <c r="BA1">
        <f>PMBASIC+PMADVANCED+IF(SP_PIIRP, VMONLINE+VMMACRO, 0)</f>
        <v>48</v>
      </c>
      <c r="BB1">
        <f>PMADVANCED+IF(AND(SP_PIIRP,INDEX(SC_ShowRetireatee,2)), VMONLINE+VMMACRO, 0)</f>
        <v>32</v>
      </c>
      <c r="BC1">
        <f>PMBASIC+PMADVANCED</f>
        <v>48</v>
      </c>
      <c r="BD1">
        <f>PMBASIC+PMADVANCED</f>
        <v>48</v>
      </c>
      <c r="BE1">
        <f>PMBASIC+PMADVANCED+IF(SP_PIIRP, VMONLINE+VMMACRO, 0)</f>
        <v>48</v>
      </c>
      <c r="BF1">
        <f>PMBASIC+PMADVANCED+IF(SP_PIIRP, VMONLINE+VMMACRO, 0)</f>
        <v>48</v>
      </c>
      <c r="BG1">
        <f>PMBASIC+PMADVANCED+IF(SP_PIIRP, VMONLINE+VMMACRO, 0)</f>
        <v>48</v>
      </c>
      <c r="BH1">
        <f>PMBASIC+PMADVANCED+IF(SP_PIIRP, VMONLINE+VMMACRO, 0)</f>
        <v>48</v>
      </c>
      <c r="BI1">
        <f>PMBASIC+PMADVANCED+IF(SP_PIIRP, VMONLINE+VMMACRO, 0)</f>
        <v>48</v>
      </c>
      <c r="BJ1">
        <f>PMBASIC+PMADVANCED</f>
        <v>48</v>
      </c>
      <c r="BK1">
        <f>PMBASIC+PMADVANCED</f>
        <v>48</v>
      </c>
      <c r="BL1">
        <f>PMBASIC+PMADVANCED+IF(SP_PIIRP, VMONLINE+VMMACRO, 0)</f>
        <v>48</v>
      </c>
      <c r="BM1">
        <f>PMBASIC+PMADVANCED+IF(SP_PIIRP, VMONLINE+VMMACRO, 0)</f>
        <v>48</v>
      </c>
      <c r="BN1">
        <f t="shared" ref="BN1:BU1" si="1">PMBASIC+PMADVANCED+VMONLINE+VMMACRO</f>
        <v>54</v>
      </c>
      <c r="BO1">
        <f t="shared" si="1"/>
        <v>54</v>
      </c>
      <c r="BP1">
        <f t="shared" si="1"/>
        <v>54</v>
      </c>
      <c r="BQ1">
        <f t="shared" si="1"/>
        <v>54</v>
      </c>
      <c r="BR1">
        <f t="shared" si="1"/>
        <v>54</v>
      </c>
      <c r="BS1">
        <f t="shared" si="1"/>
        <v>54</v>
      </c>
      <c r="BT1">
        <f t="shared" si="1"/>
        <v>54</v>
      </c>
      <c r="BU1">
        <f t="shared" si="1"/>
        <v>54</v>
      </c>
      <c r="BV1">
        <f>PMBASIC+PMADVANCED</f>
        <v>48</v>
      </c>
      <c r="BW1">
        <f>PMBASIC+PMADVANCED+VMONLINE+VMMACRO</f>
        <v>54</v>
      </c>
      <c r="BX1">
        <f>PMBASIC+PMADVANCED+VMONLINE+VMMACRO</f>
        <v>54</v>
      </c>
    </row>
    <row r="2" spans="1:93" hidden="1" x14ac:dyDescent="0.25">
      <c r="A2">
        <f>PMBASIC+PMADVANCED+VMONLINE+VMMACRO</f>
        <v>54</v>
      </c>
      <c r="I2" s="12"/>
      <c r="O2" s="12"/>
      <c r="P2" s="582" t="s">
        <v>709</v>
      </c>
      <c r="Q2" s="647"/>
      <c r="R2" s="647"/>
      <c r="S2" s="647"/>
      <c r="T2" s="647"/>
      <c r="U2" s="647"/>
      <c r="V2" s="647"/>
      <c r="W2" s="648"/>
      <c r="X2" s="582" t="s">
        <v>1006</v>
      </c>
      <c r="Y2" s="647"/>
      <c r="Z2" s="647"/>
      <c r="AA2" s="647"/>
      <c r="AB2" s="647"/>
      <c r="AC2" s="647"/>
      <c r="AD2" s="648"/>
      <c r="AE2" s="582" t="s">
        <v>1007</v>
      </c>
      <c r="AF2" s="647"/>
      <c r="AG2" s="647"/>
      <c r="AH2" s="647"/>
      <c r="AI2" s="647"/>
      <c r="AJ2" s="647"/>
      <c r="AK2" s="648"/>
      <c r="AL2" s="582" t="s">
        <v>763</v>
      </c>
      <c r="AM2" s="647"/>
      <c r="AN2" s="647"/>
      <c r="AO2" s="647"/>
      <c r="AP2" s="647"/>
      <c r="AQ2" s="647"/>
      <c r="AR2" s="648"/>
      <c r="AS2" s="582" t="s">
        <v>764</v>
      </c>
      <c r="AT2" s="647"/>
      <c r="AU2" s="647"/>
      <c r="AV2" s="647"/>
      <c r="AW2" s="647"/>
      <c r="AX2" s="647"/>
      <c r="AY2" s="648"/>
      <c r="AZ2" s="582" t="s">
        <v>696</v>
      </c>
      <c r="BA2" s="647"/>
      <c r="BB2" s="647"/>
      <c r="BC2" s="647"/>
      <c r="BD2" s="647"/>
      <c r="BE2" s="647"/>
      <c r="BF2" s="648"/>
      <c r="BG2" s="582" t="s">
        <v>697</v>
      </c>
      <c r="BH2" s="647"/>
      <c r="BI2" s="647"/>
      <c r="BJ2" s="647"/>
      <c r="BK2" s="647"/>
      <c r="BL2" s="647"/>
      <c r="BM2" s="648"/>
      <c r="BN2" s="582" t="s">
        <v>717</v>
      </c>
      <c r="BO2" s="614"/>
      <c r="BP2" s="614"/>
      <c r="BQ2" s="614"/>
      <c r="BR2" s="614"/>
      <c r="BS2" s="614"/>
      <c r="BT2" s="582" t="s">
        <v>716</v>
      </c>
      <c r="BU2" s="614"/>
      <c r="BV2" s="614"/>
      <c r="BW2" s="614"/>
      <c r="BX2" s="615"/>
    </row>
    <row r="3" spans="1:93" s="3" customFormat="1" ht="45" hidden="1" x14ac:dyDescent="0.25">
      <c r="A3">
        <f>PMBASIC+PMADVANCED+VMONLINE+VMMACRO</f>
        <v>54</v>
      </c>
      <c r="B3" s="22" t="s">
        <v>0</v>
      </c>
      <c r="C3" s="47" t="s">
        <v>740</v>
      </c>
      <c r="D3" s="47" t="s">
        <v>690</v>
      </c>
      <c r="E3" s="22" t="s">
        <v>708</v>
      </c>
      <c r="F3" s="22" t="s">
        <v>655</v>
      </c>
      <c r="G3" s="22" t="s">
        <v>656</v>
      </c>
      <c r="H3" s="22" t="s">
        <v>62</v>
      </c>
      <c r="I3" s="22" t="s">
        <v>1008</v>
      </c>
      <c r="J3" s="22" t="s">
        <v>63</v>
      </c>
      <c r="K3" s="22" t="s">
        <v>826</v>
      </c>
      <c r="L3" s="22" t="s">
        <v>827</v>
      </c>
      <c r="M3" s="22" t="s">
        <v>825</v>
      </c>
      <c r="N3" s="22" t="s">
        <v>853</v>
      </c>
      <c r="O3" s="21" t="s">
        <v>852</v>
      </c>
      <c r="P3" s="139" t="s">
        <v>822</v>
      </c>
      <c r="Q3" s="26" t="s">
        <v>742</v>
      </c>
      <c r="R3" s="26" t="s">
        <v>883</v>
      </c>
      <c r="S3" s="26" t="s">
        <v>888</v>
      </c>
      <c r="T3" s="17" t="s">
        <v>1</v>
      </c>
      <c r="U3" s="26" t="s">
        <v>2</v>
      </c>
      <c r="V3" s="26" t="s">
        <v>30</v>
      </c>
      <c r="W3" s="31" t="s">
        <v>8</v>
      </c>
      <c r="X3" s="18" t="s">
        <v>822</v>
      </c>
      <c r="Y3" s="17" t="s">
        <v>883</v>
      </c>
      <c r="Z3" s="17" t="s">
        <v>664</v>
      </c>
      <c r="AA3" s="17" t="s">
        <v>1</v>
      </c>
      <c r="AB3" s="17" t="s">
        <v>2</v>
      </c>
      <c r="AC3" s="17" t="s">
        <v>882</v>
      </c>
      <c r="AD3" s="17" t="s">
        <v>8</v>
      </c>
      <c r="AE3" s="18" t="s">
        <v>822</v>
      </c>
      <c r="AF3" s="17" t="s">
        <v>742</v>
      </c>
      <c r="AG3" s="26" t="s">
        <v>883</v>
      </c>
      <c r="AH3" s="17" t="s">
        <v>1</v>
      </c>
      <c r="AI3" s="26" t="s">
        <v>2</v>
      </c>
      <c r="AJ3" s="26" t="s">
        <v>882</v>
      </c>
      <c r="AK3" s="31" t="s">
        <v>8</v>
      </c>
      <c r="AL3" s="18" t="s">
        <v>822</v>
      </c>
      <c r="AM3" s="17" t="s">
        <v>883</v>
      </c>
      <c r="AN3" s="17" t="s">
        <v>664</v>
      </c>
      <c r="AO3" s="17" t="s">
        <v>1</v>
      </c>
      <c r="AP3" s="17" t="s">
        <v>2</v>
      </c>
      <c r="AQ3" s="17" t="s">
        <v>882</v>
      </c>
      <c r="AR3" s="17" t="s">
        <v>8</v>
      </c>
      <c r="AS3" s="18" t="s">
        <v>822</v>
      </c>
      <c r="AT3" s="17" t="s">
        <v>742</v>
      </c>
      <c r="AU3" s="26" t="s">
        <v>883</v>
      </c>
      <c r="AV3" s="17" t="s">
        <v>1</v>
      </c>
      <c r="AW3" s="26" t="s">
        <v>2</v>
      </c>
      <c r="AX3" s="26" t="s">
        <v>882</v>
      </c>
      <c r="AY3" s="31" t="s">
        <v>8</v>
      </c>
      <c r="AZ3" s="18" t="s">
        <v>822</v>
      </c>
      <c r="BA3" s="17" t="s">
        <v>883</v>
      </c>
      <c r="BB3" s="17" t="s">
        <v>916</v>
      </c>
      <c r="BC3" s="17" t="s">
        <v>1</v>
      </c>
      <c r="BD3" s="17" t="s">
        <v>2</v>
      </c>
      <c r="BE3" s="17" t="s">
        <v>882</v>
      </c>
      <c r="BF3" s="25" t="s">
        <v>8</v>
      </c>
      <c r="BG3" s="18" t="s">
        <v>822</v>
      </c>
      <c r="BH3" s="17" t="s">
        <v>742</v>
      </c>
      <c r="BI3" s="17" t="s">
        <v>883</v>
      </c>
      <c r="BJ3" s="17" t="s">
        <v>1</v>
      </c>
      <c r="BK3" s="17" t="s">
        <v>2</v>
      </c>
      <c r="BL3" s="17" t="s">
        <v>882</v>
      </c>
      <c r="BM3" s="17" t="s">
        <v>8</v>
      </c>
      <c r="BN3" s="18" t="s">
        <v>721</v>
      </c>
      <c r="BO3" s="17" t="s">
        <v>720</v>
      </c>
      <c r="BP3" s="17" t="s">
        <v>705</v>
      </c>
      <c r="BQ3" s="17" t="s">
        <v>706</v>
      </c>
      <c r="BR3" s="17" t="s">
        <v>702</v>
      </c>
      <c r="BS3" s="17" t="s">
        <v>703</v>
      </c>
      <c r="BT3" s="45" t="s">
        <v>725</v>
      </c>
      <c r="BU3" s="22" t="s">
        <v>711</v>
      </c>
      <c r="BV3" s="22" t="s">
        <v>1</v>
      </c>
      <c r="BW3" s="22" t="s">
        <v>698</v>
      </c>
      <c r="BX3" s="36" t="s">
        <v>699</v>
      </c>
    </row>
    <row r="4" spans="1:93" x14ac:dyDescent="0.25">
      <c r="B4" s="90">
        <v>0</v>
      </c>
      <c r="C4" s="76"/>
      <c r="D4" s="146"/>
      <c r="E4" s="77"/>
      <c r="F4" s="77"/>
      <c r="G4" s="76"/>
      <c r="H4" s="76"/>
      <c r="I4" s="77"/>
      <c r="J4" s="193">
        <f ca="1">IF(YEAR(SP_AdjustedDate)&lt;SC_TargetRY,1,IF(YEAR(SP_AdjustedDate)=SC_TargetRY,-(1-YEARFRAC(SP_TargetRD,DATE(SC_TargetRY+1,1,1))),0))</f>
        <v>1</v>
      </c>
      <c r="K4" s="193">
        <f ca="1">-(1-YEARFRAC(SP_AdjustedDate,DATE(YEAR(SP_AdjustedDate)+1,1,1)))</f>
        <v>-0.1166666666666667</v>
      </c>
      <c r="L4" s="194">
        <f ca="1">(YEAR(SP_AdjustedDate)-SP_CurrentYear)*2+ROW()-ROW($A$4)</f>
        <v>0</v>
      </c>
      <c r="M4" s="194">
        <v>1</v>
      </c>
      <c r="N4" s="632"/>
      <c r="O4" s="246">
        <f ca="1">IF(INDEX(SC_ZX_CodeA,1)="X",0,ABS($K4)*OFFSET(O$10,$L4,0))</f>
        <v>5.5160000000000018E-3</v>
      </c>
      <c r="P4" s="640">
        <f ca="1">OFFSET(P$10,$L4,0)</f>
        <v>0</v>
      </c>
      <c r="Q4" s="619">
        <f ca="1">OFFSET(Q$10,$L4,0)</f>
        <v>0</v>
      </c>
      <c r="R4" s="619">
        <f ca="1">IF(INDEX(SC_ZX_CodeA,1)="X",0,IF(ABS($J4)&lt;(1/12),ABS($K4),MAX(ABS(MAX(IF($J4&lt;=0,$J4,-1),IF($K4&lt;=0,$K4,-1)))+MIN(IF($J4&gt;=0,$J4,1),IF($K4&gt;=0,$K4,1))-1,0)/ABS($J4))*OFFSET(R$10,$L4,0)*$M4)</f>
        <v>0</v>
      </c>
      <c r="S4" s="619">
        <v>0</v>
      </c>
      <c r="T4" s="631"/>
      <c r="U4" s="642"/>
      <c r="V4" s="619">
        <f ca="1">IF(INDEX(SC_ZX_CodeA,1)="X",0,IF(ABS($J4)&gt;(11/12),ABS($K4),MAX(ABS(MAX(IF($J4&gt;=0,-1+$J4,-1),IF($K4&lt;=0,$K4,-1)))+MIN(IF($J4&lt;=0,1+$J4,1),IF($K4&gt;=0,$K4,1))-1,0)/(1-ABS($J4)))*OFFSET(V$10,$L4,0)*$M4)</f>
        <v>0</v>
      </c>
      <c r="W4" s="644">
        <f ca="1">(P4+R4+S4+V4)*$O4*$M4</f>
        <v>0</v>
      </c>
      <c r="X4" s="72">
        <f ca="1">OFFSET(X$10,$L4,0)</f>
        <v>0</v>
      </c>
      <c r="Y4" s="73">
        <f ca="1">IF(INDEX(SC_ZX_CodeA,1)="X",0,IF(ABS($J4)&lt;(1/12),ABS($K4),MAX(ABS(MAX(IF($J4&lt;=0,$J4,-1),IF($K4&lt;=0,$K4,-1)))+MIN(IF($J4&gt;=0,$J4,1),IF($K4&gt;=0,$K4,1))-1,0)/ABS($J4))*OFFSET(Y$10,$L4,0)*$M4)</f>
        <v>0</v>
      </c>
      <c r="Z4" s="73">
        <f ca="1">IF(INDEX(SC_ZX_CodeA,1)="X",0,IF(ABS($J4)&lt;(1/12),ABS($K4),MAX(ABS(MAX(IF($J4&lt;=0,$J4,-1),IF($K4&lt;=0,$K4,-1)))+MIN(IF($J4&gt;=0,$J4,1),IF($K4&gt;=0,$K4,1))-1,0)/ABS($J4))*OFFSET(Z$10,$L4,0)*$M4)</f>
        <v>0</v>
      </c>
      <c r="AA4" s="70"/>
      <c r="AB4" s="67"/>
      <c r="AC4" s="73">
        <f ca="1">IF(INDEX(SC_ZX_CodeA,1)="X",0,IF(ABS($J4)&gt;(11/12),ABS($K4),MAX(ABS(MAX(IF($J4&gt;=0,-1+$J4,-1),IF($K4&lt;=0,$K4,-1)))+MIN(IF($J4&lt;=0,1+$J4,1),IF($K4&gt;=0,$K4,1))-1,0)/(1-ABS($J4)))*OFFSET(AC$10,$L4,0)*$M4)</f>
        <v>0</v>
      </c>
      <c r="AD4" s="108">
        <f ca="1">(X4+Y4+Z4+AC4)*$O4*$M4</f>
        <v>0</v>
      </c>
      <c r="AE4" s="72">
        <f ca="1">OFFSET(AE$10,$L4,0)</f>
        <v>0</v>
      </c>
      <c r="AF4" s="195">
        <f t="shared" ref="AF4:AF5" ca="1" si="2">OFFSET(AF$10,$L4,0)</f>
        <v>0</v>
      </c>
      <c r="AG4" s="73">
        <f ca="1">IF(INDEX(SC_ZX_CodeA,1)="X",0,IF(ABS($J4)&lt;(1/12),ABS($K4),MAX(ABS(MAX(IF($J4&lt;=0,$J4,-1),IF($K4&lt;=0,$K4,-1)))+MIN(IF($J4&gt;=0,$J4,1),IF($K4&gt;=0,$K4,1))-1,0)/ABS($J4))*OFFSET(AG$10,$L4,0)*$M4)</f>
        <v>0</v>
      </c>
      <c r="AH4" s="70"/>
      <c r="AI4" s="67"/>
      <c r="AJ4" s="73">
        <f ca="1">IF(INDEX(SC_ZX_CodeA,1)="X",0,IF(ABS($J4)&gt;(11/12),ABS($K4),MAX(ABS(MAX(IF($J4&gt;=0,-1+$J4,-1),IF($K4&lt;=0,$K4,-1)))+MIN(IF($J4&lt;=0,1+$J4,1),IF($K4&gt;=0,$K4,1))-1,0)/(1-ABS($J4)))*OFFSET(AJ$10,$L4,0)*$M4)</f>
        <v>0</v>
      </c>
      <c r="AK4" s="108">
        <f ca="1">(AE4+AG4+AJ4)*$O4*$M4</f>
        <v>0</v>
      </c>
      <c r="AL4" s="72">
        <f ca="1">OFFSET(AL$10,$L4,0)</f>
        <v>0</v>
      </c>
      <c r="AM4" s="73">
        <f ca="1">IF(INDEX(SC_ZX_CodeA,1)="X",0,IF(ABS($J4)&lt;(1/12),ABS($K4),MAX(ABS(MAX(IF($J4&lt;=0,$J4,-1),IF($K4&lt;=0,$K4,-1)))+MIN(IF($J4&gt;=0,$J4,1),IF($K4&gt;=0,$K4,1))-1,0)/ABS($J4))*OFFSET(AM$10,$L4,0)*$M4)</f>
        <v>0</v>
      </c>
      <c r="AN4" s="73">
        <f ca="1">IF(INDEX(SC_ZX_CodeA,1)="X",0,IF(ABS($J4)&lt;(1/12),ABS($K4),MAX(ABS(MAX(IF($J4&lt;=0,$J4,-1),IF($K4&lt;=0,$K4,-1)))+MIN(IF($J4&gt;=0,$J4,1),IF($K4&gt;=0,$K4,1))-1,0)/ABS($J4))*OFFSET(AN$10,$L4,0)*$M4)</f>
        <v>0</v>
      </c>
      <c r="AQ4" s="73">
        <f ca="1">IF(INDEX(SC_ZX_CodeA,1)="X",0,IF(ABS($J4)&gt;(11/12),ABS($K4),MAX(ABS(MAX(IF($J4&gt;=0,-1+$J4,-1),IF($K4&lt;=0,$K4,-1)))+MIN(IF($J4&lt;=0,1+$J4,1),IF($K4&gt;=0,$K4,1))-1,0)/(1-ABS($J4)))*OFFSET(AQ$10,$L4,0)*$M4)</f>
        <v>0</v>
      </c>
      <c r="AR4" s="108">
        <f ca="1">(AL4+AM4+AN4+AQ4)*$O4*$M4</f>
        <v>0</v>
      </c>
      <c r="AS4" s="72">
        <f ca="1">OFFSET(AS$10,$L4,0)</f>
        <v>0</v>
      </c>
      <c r="AT4" s="195">
        <f ca="1">OFFSET(AT$10,$L4,0)</f>
        <v>0</v>
      </c>
      <c r="AU4" s="73">
        <f ca="1">IF(INDEX(SC_ZX_CodeA,1)="X",0,IF(ABS($J4)&lt;(1/12),ABS($K4),MAX(ABS(MAX(IF($J4&lt;=0,$J4,-1),IF($K4&lt;=0,$K4,-1)))+MIN(IF($J4&gt;=0,$J4,1),IF($K4&gt;=0,$K4,1))-1,0)/ABS($J4))*OFFSET(AU$10,$L4,0)*$M4)</f>
        <v>0</v>
      </c>
      <c r="AX4" s="73">
        <f ca="1">IF(INDEX(SC_ZX_CodeA,1)="X",0,IF(ABS($J4)&gt;(11/12),ABS($K4),MAX(ABS(MAX(IF($J4&gt;=0,-1+$J4,-1),IF($K4&lt;=0,$K4,-1)))+MIN(IF($J4&lt;=0,1+$J4,1),IF($K4&gt;=0,$K4,1))-1,0)/(1-ABS($J4)))*OFFSET(AX$10,$L4,0)*$M4)</f>
        <v>0</v>
      </c>
      <c r="AY4" s="108">
        <f ca="1">(AS4+AU4+AX4)*$O4*$M4</f>
        <v>0</v>
      </c>
      <c r="AZ4" s="72">
        <f ca="1">OFFSET(AZ$10,$L4,0)</f>
        <v>0</v>
      </c>
      <c r="BA4" s="73">
        <f ca="1">IF(INDEX(SC_ZX_CodeA,1)="X",0,IF(ABS($J4)&lt;(1/12),ABS($K4),MAX(ABS(MAX(IF($J4&lt;=0,$J4,-1),IF($K4&lt;=0,$K4,-1)))+MIN(IF($J4&gt;=0,$J4,1),IF($K4&gt;=0,$K4,1))-1,0)/ABS($J4))*OFFSET(BA$10,$L4,0)*$M4)</f>
        <v>0</v>
      </c>
      <c r="BB4" s="73">
        <f ca="1">IF(INDEX(SC_ZX_CodeA,1)="X",0,IF(ABS($J4)&lt;(1/12),ABS($K4),MAX(ABS(MAX(IF($J4&lt;=0,$J4,-1),IF($K4&lt;=0,$K4,-1)))+MIN(IF($J4&gt;=0,$J4,1),IF($K4&gt;=0,$K4,1))-1,0)/ABS($J4))*OFFSET(BB$10,$L4,0)*$M4)</f>
        <v>0</v>
      </c>
      <c r="BC4" s="70"/>
      <c r="BD4" s="67"/>
      <c r="BE4" s="73">
        <f ca="1">IF(INDEX(SC_ZX_CodeA,1)="X",0,IF(ABS($J4)&gt;(11/12),ABS($K4),MAX(ABS(MAX(IF($J4&gt;=0,-1+$J4,-1),IF($K4&lt;=0,$K4,-1)))+MIN(IF($J4&lt;=0,1+$J4,1),IF($K4&gt;=0,$K4,1))-1,0)/(1-ABS($J4)))*OFFSET(BE$10,$L4,0)*$M4)</f>
        <v>0</v>
      </c>
      <c r="BF4" s="108">
        <f ca="1">(AZ4+BA4+BB4+BE4)*$O4*$M4</f>
        <v>0</v>
      </c>
      <c r="BG4" s="72">
        <f ca="1">OFFSET(BG$10,$L4,0)</f>
        <v>0</v>
      </c>
      <c r="BH4" s="73">
        <f ca="1">OFFSET(BH$10,$L4,0)</f>
        <v>0</v>
      </c>
      <c r="BI4" s="73">
        <f ca="1">IF(INDEX(SC_ZX_CodeA,1)="X",0,IF(ABS($J4)&lt;(1/12),ABS($K4),MAX(ABS(MAX(IF($J4&lt;=0,$J4,-1),IF($K4&lt;=0,$K4,-1)))+MIN(IF($J4&gt;=0,$J4,1),IF($K4&gt;=0,$K4,1))-1,0)/ABS($J4))*OFFSET(BI$10,$L4,0)*$M4)</f>
        <v>0</v>
      </c>
      <c r="BJ4" s="70"/>
      <c r="BK4" s="67"/>
      <c r="BL4" s="73">
        <f ca="1">IF(INDEX(SC_ZX_CodeA,1)="X",0,IF(ABS($J4)&gt;(11/12),ABS($K4),MAX(ABS(MAX(IF($J4&gt;=0,-1+$J4,-1),IF($K4&lt;=0,$K4,-1)))+MIN(IF($J4&lt;=0,1+$J4,1),IF($K4&gt;=0,$K4,1))-1,0)/(1-ABS($J4)))*OFFSET(BL$10,$L4,0)*$M4)</f>
        <v>0</v>
      </c>
      <c r="BM4" s="108">
        <f ca="1">(BG4+BI4+BL4)*$O4*$M4</f>
        <v>0</v>
      </c>
      <c r="BN4" s="191"/>
      <c r="BO4" s="190"/>
      <c r="BP4" s="190"/>
      <c r="BQ4" s="190"/>
      <c r="BR4" s="190"/>
      <c r="BS4" s="190"/>
      <c r="BT4" s="646"/>
      <c r="BU4" s="636"/>
      <c r="BV4" s="636"/>
      <c r="BW4" s="636"/>
      <c r="BX4" s="638"/>
    </row>
    <row r="5" spans="1:93" x14ac:dyDescent="0.25">
      <c r="B5" s="90">
        <v>0</v>
      </c>
      <c r="C5" s="76"/>
      <c r="D5" s="146"/>
      <c r="E5" s="77"/>
      <c r="F5" s="77"/>
      <c r="G5" s="76"/>
      <c r="H5" s="76"/>
      <c r="I5" s="77"/>
      <c r="J5" s="193">
        <f ca="1">IF(YEAR(SP_AdjustedDate)&lt;SC_TargetRY,1,IF(YEAR(SP_AdjustedDate)=SC_TargetRY,-(1-YEARFRAC(SP_TargetRD,DATE(SC_TargetRY+1,1,1))),0))</f>
        <v>1</v>
      </c>
      <c r="K5" s="193">
        <f ca="1">-(1-YEARFRAC(SP_AdjustedDate,DATE(YEAR(SP_AdjustedDate)+1,1,1)))</f>
        <v>-0.1166666666666667</v>
      </c>
      <c r="L5" s="194">
        <f ca="1">(YEAR(SP_AdjustedDate)-SP_CurrentYear)*2+ROW()-ROW($A$4)</f>
        <v>1</v>
      </c>
      <c r="M5" s="194">
        <v>1</v>
      </c>
      <c r="N5" s="633"/>
      <c r="O5" s="245">
        <f ca="1">IF(INDEX(SC_ZX_CodeA,1)="X",0,ABS($K5)*OFFSET(O$10,$L5,0))</f>
        <v>5.5160000000000018E-3</v>
      </c>
      <c r="P5" s="641"/>
      <c r="Q5" s="635"/>
      <c r="R5" s="635"/>
      <c r="S5" s="635"/>
      <c r="T5" s="631"/>
      <c r="U5" s="643"/>
      <c r="V5" s="635"/>
      <c r="W5" s="645"/>
      <c r="X5" s="72">
        <f ca="1">OFFSET(X$10,$L5,0)</f>
        <v>0</v>
      </c>
      <c r="Y5" s="73">
        <f ca="1">IF(INDEX(SC_ZX_CodeA,1)="X",0,IF(ABS($J5)&lt;(1/12),ABS($K5),MAX(ABS(MAX(IF($J5&lt;=0,$J5,-1),IF($K5&lt;=0,$K5,-1)))+MIN(IF($J5&gt;=0,$J5,1),IF($K5&gt;=0,$K5,1))-1,0)/ABS($J5))*OFFSET(Y$10,$L5,0)*$M5)</f>
        <v>0</v>
      </c>
      <c r="Z5" s="73">
        <f ca="1">IF(INDEX(SC_ZX_CodeA,1)="X",0,IF(ABS($J5)&lt;(1/12),ABS($K5),MAX(ABS(MAX(IF($J5&lt;=0,$J5,-1),IF($K5&lt;=0,$K5,-1)))+MIN(IF($J5&gt;=0,$J5,1),IF($K5&gt;=0,$K5,1))-1,0)/ABS($J5))*OFFSET(Z$10,$L5,0)*$M5)</f>
        <v>0</v>
      </c>
      <c r="AA5" s="70"/>
      <c r="AB5" s="67"/>
      <c r="AC5" s="73">
        <f ca="1">IF(INDEX(SC_ZX_CodeA,1)="X",0,IF(ABS($J5)&gt;(11/12),ABS($K5),MAX(ABS(MAX(IF($J5&gt;=0,-1+$J5,-1),IF($K5&lt;=0,$K5,-1)))+MIN(IF($J5&lt;=0,1+$J5,1),IF($K5&gt;=0,$K5,1))-1,0)/(1-ABS($J5)))*OFFSET(AC$10,$L5,0)*$M5)</f>
        <v>0</v>
      </c>
      <c r="AD5" s="108">
        <f ca="1">(X5+Y5+Z5+AC5)*$O5*$M5</f>
        <v>0</v>
      </c>
      <c r="AE5" s="72">
        <f ca="1">OFFSET(AE$10,$L5,0)</f>
        <v>0</v>
      </c>
      <c r="AF5" s="73">
        <f t="shared" ca="1" si="2"/>
        <v>0</v>
      </c>
      <c r="AG5" s="73">
        <f ca="1">IF(INDEX(SC_ZX_CodeA,1)="X",0,IF(ABS($J5)&lt;(1/12),ABS($K5),MAX(ABS(MAX(IF($J5&lt;=0,$J5,-1),IF($K5&lt;=0,$K5,-1)))+MIN(IF($J5&gt;=0,$J5,1),IF($K5&gt;=0,$K5,1))-1,0)/ABS($J5))*OFFSET(AG$10,$L5,0)*$M5)</f>
        <v>0</v>
      </c>
      <c r="AH5" s="70"/>
      <c r="AI5" s="67"/>
      <c r="AJ5" s="73">
        <f ca="1">IF(INDEX(SC_ZX_CodeA,1)="X",0,IF(ABS($J5)&gt;(11/12),ABS($K5),MAX(ABS(MAX(IF($J5&gt;=0,-1+$J5,-1),IF($K5&lt;=0,$K5,-1)))+MIN(IF($J5&lt;=0,1+$J5,1),IF($K5&gt;=0,$K5,1))-1,0)/(1-ABS($J5)))*OFFSET(AJ$10,$L5,0)*$M5)</f>
        <v>0</v>
      </c>
      <c r="AK5" s="108">
        <f ca="1">(AE5+AG5+AJ5)*$O5*$M5</f>
        <v>0</v>
      </c>
      <c r="AL5" s="72">
        <f ca="1">OFFSET(AL$10,$L5,0)</f>
        <v>0</v>
      </c>
      <c r="AM5" s="73">
        <f ca="1">IF(INDEX(SC_ZX_CodeA,1)="X",0,IF(ABS($J5)&lt;(1/12),ABS($K5),MAX(ABS(MAX(IF($J5&lt;=0,$J5,-1),IF($K5&lt;=0,$K5,-1)))+MIN(IF($J5&gt;=0,$J5,1),IF($K5&gt;=0,$K5,1))-1,0)/ABS($J5))*OFFSET(AM$10,$L5,0)*$M5)</f>
        <v>0</v>
      </c>
      <c r="AN5" s="73">
        <f ca="1">IF(INDEX(SC_ZX_CodeA,1)="X",0,IF(ABS($J5)&lt;(1/12),ABS($K5),MAX(ABS(MAX(IF($J5&lt;=0,$J5,-1),IF($K5&lt;=0,$K5,-1)))+MIN(IF($J5&gt;=0,$J5,1),IF($K5&gt;=0,$K5,1))-1,0)/ABS($J5))*OFFSET(AN$10,$L5,0)*$M5)</f>
        <v>0</v>
      </c>
      <c r="AQ5" s="73">
        <f ca="1">IF(INDEX(SC_ZX_CodeA,1)="X",0,IF(ABS($J5)&gt;(11/12),ABS($K5),MAX(ABS(MAX(IF($J5&gt;=0,-1+$J5,-1),IF($K5&lt;=0,$K5,-1)))+MIN(IF($J5&lt;=0,1+$J5,1),IF($K5&gt;=0,$K5,1))-1,0)/(1-ABS($J5)))*OFFSET(AQ$10,$L5,0)*$M5)</f>
        <v>0</v>
      </c>
      <c r="AR5" s="108">
        <f ca="1">(AL5+AM5+AN5+AQ5)*$O5*$M5</f>
        <v>0</v>
      </c>
      <c r="AS5" s="72">
        <f ca="1">OFFSET(AS$10,$L5,0)</f>
        <v>0</v>
      </c>
      <c r="AT5" s="73">
        <f ca="1">OFFSET(AT$10,$L5,0)</f>
        <v>0</v>
      </c>
      <c r="AU5" s="73">
        <f ca="1">IF(INDEX(SC_ZX_CodeA,1)="X",0,IF(ABS($J5)&lt;(1/12),ABS($K5),MAX(ABS(MAX(IF($J5&lt;=0,$J5,-1),IF($K5&lt;=0,$K5,-1)))+MIN(IF($J5&gt;=0,$J5,1),IF($K5&gt;=0,$K5,1))-1,0)/ABS($J5))*OFFSET(AU$10,$L5,0)*$M5)</f>
        <v>0</v>
      </c>
      <c r="AX5" s="73">
        <f ca="1">IF(INDEX(SC_ZX_CodeA,1)="X",0,IF(ABS($J5)&gt;(11/12),ABS($K5),MAX(ABS(MAX(IF($J5&gt;=0,-1+$J5,-1),IF($K5&lt;=0,$K5,-1)))+MIN(IF($J5&lt;=0,1+$J5,1),IF($K5&gt;=0,$K5,1))-1,0)/(1-ABS($J5)))*OFFSET(AX$10,$L5,0)*$M5)</f>
        <v>0</v>
      </c>
      <c r="AY5" s="108">
        <f ca="1">(AS5+AU5+AX5)*$O5*$M5</f>
        <v>0</v>
      </c>
      <c r="AZ5" s="72">
        <f ca="1">OFFSET(AZ$10,$L5,0)</f>
        <v>0</v>
      </c>
      <c r="BA5" s="73">
        <f ca="1">IF(INDEX(SC_ZX_CodeA,1)="X",0,IF(ABS($J5)&lt;(1/12),ABS($K5),MAX(ABS(MAX(IF($J5&lt;=0,$J5,-1),IF($K5&lt;=0,$K5,-1)))+MIN(IF($J5&gt;=0,$J5,1),IF($K5&gt;=0,$K5,1))-1,0)/ABS($J5))*OFFSET(BA$10,$L5,0)*$M5)</f>
        <v>0</v>
      </c>
      <c r="BB5" s="73">
        <f ca="1">IF(INDEX(SC_ZX_CodeA,1)="X",0,IF(ABS($J5)&lt;(1/12),ABS($K5),MAX(ABS(MAX(IF($J5&lt;=0,$J5,-1),IF($K5&lt;=0,$K5,-1)))+MIN(IF($J5&gt;=0,$J5,1),IF($K5&gt;=0,$K5,1))-1,0)/ABS($J5))*OFFSET(BB$10,$L5,0)*$M5)</f>
        <v>0</v>
      </c>
      <c r="BC5" s="70"/>
      <c r="BD5" s="67"/>
      <c r="BE5" s="73">
        <f ca="1">IF(INDEX(SC_ZX_CodeA,1)="X",0,IF(ABS($J5)&gt;(11/12),ABS($K5),MAX(ABS(MAX(IF($J5&gt;=0,-1+$J5,-1),IF($K5&lt;=0,$K5,-1)))+MIN(IF($J5&lt;=0,1+$J5,1),IF($K5&gt;=0,$K5,1))-1,0)/(1-ABS($J5)))*OFFSET(BE$10,$L5,0)*$M5)</f>
        <v>0</v>
      </c>
      <c r="BF5" s="108">
        <f ca="1">(AZ5+BA5+BB5+BE5)*$O5*$M5</f>
        <v>0</v>
      </c>
      <c r="BG5" s="72">
        <f ca="1">OFFSET(BG$10,$L5,0)</f>
        <v>0</v>
      </c>
      <c r="BH5" s="73">
        <f ca="1">OFFSET(BH$10,$L5,0)</f>
        <v>0</v>
      </c>
      <c r="BI5" s="73">
        <f ca="1">IF(INDEX(SC_ZX_CodeA,1)="X",0,IF(ABS($J5)&lt;(1/12),ABS($K5),MAX(ABS(MAX(IF($J5&lt;=0,$J5,-1),IF($K5&lt;=0,$K5,-1)))+MIN(IF($J5&gt;=0,$J5,1),IF($K5&gt;=0,$K5,1))-1,0)/ABS($J5))*OFFSET(BI$10,$L5,0)*$M5)</f>
        <v>0</v>
      </c>
      <c r="BJ5" s="70"/>
      <c r="BK5" s="67"/>
      <c r="BL5" s="73">
        <f ca="1">IF(INDEX(SC_ZX_CodeA,1)="X",0,IF(ABS($J5)&gt;(11/12),ABS($K5),MAX(ABS(MAX(IF($J5&gt;=0,-1+$J5,-1),IF($K5&lt;=0,$K5,-1)))+MIN(IF($J5&lt;=0,1+$J5,1),IF($K5&gt;=0,$K5,1))-1,0)/(1-ABS($J5)))*OFFSET(BL$10,$L5,0)*$M5)</f>
        <v>0</v>
      </c>
      <c r="BM5" s="108">
        <f ca="1">(BG5+BI5+BL5)*$O5*$M5</f>
        <v>0</v>
      </c>
      <c r="BN5" s="75"/>
      <c r="BO5" s="70"/>
      <c r="BP5" s="70"/>
      <c r="BQ5" s="70"/>
      <c r="BR5" s="70"/>
      <c r="BS5" s="70"/>
      <c r="BT5" s="634"/>
      <c r="BU5" s="637"/>
      <c r="BV5" s="637"/>
      <c r="BW5" s="637"/>
      <c r="BX5" s="639"/>
      <c r="CO5" s="8"/>
    </row>
    <row r="6" spans="1:93" x14ac:dyDescent="0.25">
      <c r="B6" s="90">
        <v>0</v>
      </c>
      <c r="C6" s="76"/>
      <c r="D6" s="146"/>
      <c r="E6" s="77"/>
      <c r="F6" s="77"/>
      <c r="G6" s="76"/>
      <c r="H6" s="76"/>
      <c r="I6" s="77"/>
      <c r="N6" s="632"/>
      <c r="O6" s="243"/>
      <c r="P6" s="640">
        <f ca="1">MAX(P4+R4+S4+V4+W4,0)</f>
        <v>0</v>
      </c>
      <c r="Q6" s="619">
        <f ca="1">MAX(Q4+R4+IF((P4+R4+S4)&gt;0,MAX(V4/(P4+R4+S4)*(Q4+R4),V4),0),0)</f>
        <v>0</v>
      </c>
      <c r="R6" s="631"/>
      <c r="S6" s="631"/>
      <c r="T6" s="631"/>
      <c r="U6" s="642"/>
      <c r="V6" s="631"/>
      <c r="W6" s="631"/>
      <c r="X6" s="72">
        <f t="shared" ref="X6:X7" ca="1" si="3">MAX(X4+Y4+Z4+AC4+AD4,0)</f>
        <v>0</v>
      </c>
      <c r="AA6" s="70"/>
      <c r="AB6" s="67"/>
      <c r="AE6" s="72">
        <f t="shared" ref="AE6:AE7" ca="1" si="4">MAX(AE4+AG4+AJ4+AK4,0)</f>
        <v>0</v>
      </c>
      <c r="AF6" s="73">
        <f t="shared" ref="AF6:AF7" ca="1" si="5">MAX(AF4+AG4+AJ4,0)</f>
        <v>0</v>
      </c>
      <c r="AH6" s="70"/>
      <c r="AI6" s="67"/>
      <c r="AL6" s="72">
        <f ca="1">MAX(AL4+AM4+AN4+AQ4+AR4,0)</f>
        <v>0</v>
      </c>
      <c r="AS6" s="72">
        <f ca="1">MAX(AS4+AU4+AX4+AY4,0)</f>
        <v>0</v>
      </c>
      <c r="AT6" s="73">
        <f ca="1">MAX(AT4+AU4+AX4,0)</f>
        <v>0</v>
      </c>
      <c r="AZ6" s="72">
        <f ca="1">MAX(AZ4+BA4+BB4+BE4+BF4,0)</f>
        <v>0</v>
      </c>
      <c r="BG6" s="72">
        <f ca="1">MAX(BG4+BI4+BL4+BM4,0)</f>
        <v>0</v>
      </c>
      <c r="BH6" s="73">
        <f ca="1">MAX(BH4+BI4+BL4,0)</f>
        <v>0</v>
      </c>
      <c r="BN6" s="111"/>
      <c r="BO6" s="112"/>
      <c r="BP6" s="112"/>
      <c r="BQ6" s="112"/>
      <c r="BR6" s="112"/>
      <c r="BS6" s="112"/>
      <c r="BT6" s="634"/>
      <c r="BU6" s="617"/>
      <c r="BV6" s="617"/>
      <c r="BW6" s="617"/>
      <c r="BX6" s="618"/>
    </row>
    <row r="7" spans="1:93" x14ac:dyDescent="0.25">
      <c r="B7" s="90">
        <v>0</v>
      </c>
      <c r="C7" s="76"/>
      <c r="D7" s="146"/>
      <c r="E7" s="77"/>
      <c r="F7" s="77"/>
      <c r="G7" s="76"/>
      <c r="H7" s="76"/>
      <c r="I7" s="77"/>
      <c r="N7" s="633"/>
      <c r="O7" s="244"/>
      <c r="P7" s="640"/>
      <c r="Q7" s="635"/>
      <c r="R7" s="631"/>
      <c r="S7" s="631"/>
      <c r="T7" s="631"/>
      <c r="U7" s="643"/>
      <c r="V7" s="631"/>
      <c r="W7" s="631"/>
      <c r="X7" s="72">
        <f t="shared" ca="1" si="3"/>
        <v>0</v>
      </c>
      <c r="AA7" s="70"/>
      <c r="AB7" s="67"/>
      <c r="AE7" s="72">
        <f t="shared" ca="1" si="4"/>
        <v>0</v>
      </c>
      <c r="AF7" s="73">
        <f t="shared" ca="1" si="5"/>
        <v>0</v>
      </c>
      <c r="AH7" s="70"/>
      <c r="AI7" s="67"/>
      <c r="AL7" s="72">
        <f ca="1">MAX(AL5+AM5+AN5+AQ5+AR5,0)</f>
        <v>0</v>
      </c>
      <c r="AS7" s="72">
        <f ca="1">MAX(AS5+AU5+AX5+AY5,0)</f>
        <v>0</v>
      </c>
      <c r="AT7" s="73">
        <f ca="1">MAX(AT5+AU5+AX5,0)</f>
        <v>0</v>
      </c>
      <c r="AZ7" s="72">
        <f ca="1">MAX(AZ5+BA5+BB5+BE5+BF5,0)</f>
        <v>0</v>
      </c>
      <c r="BG7" s="72">
        <f ca="1">MAX(BG5+BI5+BL5+BM5,0)</f>
        <v>0</v>
      </c>
      <c r="BH7" s="73">
        <f ca="1">MAX(BH5+BI5+BL5,0)</f>
        <v>0</v>
      </c>
      <c r="BN7" s="75"/>
      <c r="BO7" s="70"/>
      <c r="BP7" s="70"/>
      <c r="BQ7" s="70"/>
      <c r="BR7" s="70"/>
      <c r="BS7" s="70"/>
      <c r="BT7" s="634"/>
      <c r="BU7" s="637"/>
      <c r="BV7" s="637"/>
      <c r="BW7" s="637"/>
      <c r="BX7" s="639"/>
      <c r="CO7" s="8"/>
    </row>
    <row r="8" spans="1:93" x14ac:dyDescent="0.25">
      <c r="B8" s="90">
        <f t="shared" ref="B8:B9" ca="1" si="6">SP_CurrentYear-1</f>
        <v>2021</v>
      </c>
      <c r="C8" s="76" t="s">
        <v>741</v>
      </c>
      <c r="D8" s="146" t="str">
        <f t="shared" ref="D8:D39" si="7">INDEX(SP_Initials,F8)</f>
        <v/>
      </c>
      <c r="E8" s="77">
        <f t="shared" ref="E8:E71" si="8">INDEX(SC_TaxIndex,$F8)</f>
        <v>0</v>
      </c>
      <c r="F8" s="77">
        <f>MOD(ROW(),2)+1</f>
        <v>1</v>
      </c>
      <c r="G8" s="76">
        <f t="shared" ref="G8:G71" si="9">MOD($F8,2)-($F8-1)</f>
        <v>1</v>
      </c>
      <c r="H8" s="76">
        <f t="shared" ref="H8:H39" si="10">IF(INDEX(SC_ShowRetireatee,$F8),IF($B8&lt;YEAR(INDEX(SP_BirthDate,$F8)),0,$B8-YEAR(INDEX(SP_BirthDate,$F8))),0)</f>
        <v>0</v>
      </c>
      <c r="I8" s="77" t="b">
        <f t="shared" ref="I8:I39" si="11">IF(INDEX(SC_ShowRetireatee,$F8),IF($B8&gt;(YEAR(INDEX(SP_BirthDate,$F8))+INDEX(SP_LifeExp,$F8)),0,$H8))</f>
        <v>0</v>
      </c>
      <c r="J8" s="193">
        <f ca="1">INDEX(SC_EX_APW,EXIDX+2)</f>
        <v>1</v>
      </c>
      <c r="K8" s="193">
        <f ca="1">-(1-SC_CurrentDatePr)</f>
        <v>-0.1166666666666667</v>
      </c>
      <c r="L8" s="194">
        <f>ROW()-ROW($A$8)</f>
        <v>0</v>
      </c>
      <c r="M8" s="194">
        <v>-1</v>
      </c>
      <c r="N8" s="632"/>
      <c r="O8" s="245">
        <f ca="1">IF(INDEX(SC_ZX_CodeA,1)="X",0,(ABS($K8)*OFFSET(O$10,$L8,0))/(1+ABS($K8)*OFFSET(O$10,$L8,0)))</f>
        <v>5.485740654549506E-3</v>
      </c>
      <c r="P8" s="640">
        <f>SP_CoreBalance</f>
        <v>0</v>
      </c>
      <c r="Q8" s="619">
        <f>SP_CoreCostBasis</f>
        <v>0</v>
      </c>
      <c r="R8" s="619">
        <f ca="1">IF(INDEX(SC_ZX_CodeA,1)="X",0,IF(ABS($J8)&lt;(1/12),ABS($K8),MAX(ABS(MAX(IF($J8&lt;=0,$J8,-1),IF($K8&lt;=0,$K8,-1)))+MIN(IF($J8&gt;=0,$J8,1),IF($K8&gt;=0,$K8,1))-1,0)/ABS($J8))*OFFSET(R$10,$L8,0)*$M8)</f>
        <v>0</v>
      </c>
      <c r="S8" s="619">
        <v>0</v>
      </c>
      <c r="T8" s="631"/>
      <c r="U8" s="642"/>
      <c r="V8" s="619">
        <f ca="1">IF(INDEX(SC_ZX_CodeA,1)="X",0,IF(ABS($J8)&gt;(11/12),ABS($K8),MAX(ABS(MAX(IF($J8&gt;=0,-1+$J8,-1),IF($K8&lt;=0,$K8,-1)))+MIN(IF($J8&lt;=0,1+$J8,1),IF($K8&gt;=0,$K8,1))-1,0)/(1-ABS($J8)))*OFFSET(V$10,$L8,0)*$M8)</f>
        <v>0</v>
      </c>
      <c r="W8" s="644">
        <f ca="1">P8*$O8*$M8</f>
        <v>0</v>
      </c>
      <c r="X8" s="72">
        <f t="shared" ref="X8:X9" si="12">INDEX(SP_401KBalance,$F8)</f>
        <v>0</v>
      </c>
      <c r="Y8" s="73">
        <f ca="1">IF(INDEX(SC_ZX_CodeA,1)="X",0,IF(ABS($J8)&lt;(1/12),ABS($K8),MAX(ABS(MAX(IF($J8&lt;=0,$J8,-1),IF($K8&lt;=0,$K8,-1)))+MIN(IF($J8&gt;=0,$J8,1),IF($K8&gt;=0,$K8,1))-1,0)/ABS($J8))*OFFSET(Y$10,$L8,0)*$M8)</f>
        <v>0</v>
      </c>
      <c r="Z8" s="73">
        <f ca="1">IF(INDEX(SC_ZX_CodeA,1)="X",0,IF(ABS($J8)&lt;(1/12),ABS($K8),MAX(ABS(MAX(IF($J8&lt;=0,$J8,-1),IF($K8&lt;=0,$K8,-1)))+MIN(IF($J8&gt;=0,$J8,1),IF($K8&gt;=0,$K8,1))-1,0)/ABS($J8))*OFFSET(Z$10,$L8,0)*$M8)</f>
        <v>0</v>
      </c>
      <c r="AA8" s="70"/>
      <c r="AB8" s="67"/>
      <c r="AC8" s="73">
        <f ca="1">IF(INDEX(SC_ZX_CodeA,1)="X",0,IF(ABS($J8)&gt;(11/12),ABS($K8),MAX(ABS(MAX(IF($J8&gt;=0,-1+$J8,-1),IF($K8&lt;=0,$K8,-1)))+MIN(IF($J8&lt;=0,1+$J8,1),IF($K8&gt;=0,$K8,1))-1,0)/(1-ABS($J8)))*OFFSET(AC$10,$L8,0)*$M8)</f>
        <v>0</v>
      </c>
      <c r="AD8" s="108">
        <f ca="1">X8*$O8*$M8</f>
        <v>0</v>
      </c>
      <c r="AE8" s="72">
        <f t="shared" ref="AE8:AE9" si="13">INDEX(SP_Roth401KBalance,$F8)</f>
        <v>0</v>
      </c>
      <c r="AF8" s="73">
        <f>INDEX(SP_Roth401KCostBasis,$F8)</f>
        <v>0</v>
      </c>
      <c r="AG8" s="73">
        <f ca="1">IF(INDEX(SC_ZX_CodeA,1)="X",0,IF(ABS($J8)&lt;(1/12),ABS($K8),MAX(ABS(MAX(IF($J8&lt;=0,$J8,-1),IF($K8&lt;=0,$K8,-1)))+MIN(IF($J8&gt;=0,$J8,1),IF($K8&gt;=0,$K8,1))-1,0)/ABS($J8))*OFFSET(AG$10,$L8,0)*$M8)</f>
        <v>0</v>
      </c>
      <c r="AH8" s="70"/>
      <c r="AI8" s="67"/>
      <c r="AJ8" s="73">
        <f ca="1">IF(INDEX(SC_ZX_CodeA,1)="X",0,IF(ABS($J8)&gt;(11/12),ABS($K8),MAX(ABS(MAX(IF($J8&gt;=0,-1+$J8,-1),IF($K8&lt;=0,$K8,-1)))+MIN(IF($J8&lt;=0,1+$J8,1),IF($K8&gt;=0,$K8,1))-1,0)/(1-ABS($J8)))*OFFSET(AJ$10,$L8,0)*$M8)</f>
        <v>0</v>
      </c>
      <c r="AK8" s="108">
        <f ca="1">AE8*$O8*$M8</f>
        <v>0</v>
      </c>
      <c r="AL8" s="72">
        <f t="shared" ref="AL8:AL9" si="14">INDEX(SP_Solo401KBalance,$F8)</f>
        <v>0</v>
      </c>
      <c r="AM8" s="73">
        <f ca="1">IF(INDEX(SC_ZX_CodeA,1)="X",0,IF(ABS($J8)&lt;(1/12),ABS($K8),MAX(ABS(MAX(IF($J8&lt;=0,$J8,-1),IF($K8&lt;=0,$K8,-1)))+MIN(IF($J8&gt;=0,$J8,1),IF($K8&gt;=0,$K8,1))-1,0)/ABS($J8))*OFFSET(AM$10,$L8,0)*$M8)</f>
        <v>0</v>
      </c>
      <c r="AN8" s="73">
        <f ca="1">IF(INDEX(SC_ZX_CodeA,1)="X",0,IF(ABS($J8)&lt;(1/12),ABS($K8),MAX(ABS(MAX(IF($J8&lt;=0,$J8,-1),IF($K8&lt;=0,$K8,-1)))+MIN(IF($J8&gt;=0,$J8,1),IF($K8&gt;=0,$K8,1))-1,0)/ABS($J8))*OFFSET(AN$10,$L8,0)*$M8)</f>
        <v>0</v>
      </c>
      <c r="AO8" s="70"/>
      <c r="AP8" s="67"/>
      <c r="AQ8" s="73">
        <f ca="1">IF(INDEX(SC_ZX_CodeA,1)="X",0,IF(ABS($J8)&gt;(11/12),ABS($K8),MAX(ABS(MAX(IF($J8&gt;=0,-1+$J8,-1),IF($K8&lt;=0,$K8,-1)))+MIN(IF($J8&lt;=0,1+$J8,1),IF($K8&gt;=0,$K8,1))-1,0)/(1-ABS($J8)))*OFFSET(AQ$10,$L8,0)*$M8)</f>
        <v>0</v>
      </c>
      <c r="AR8" s="108">
        <f ca="1">AL8*$O8*$M8</f>
        <v>0</v>
      </c>
      <c r="AS8" s="72">
        <f t="shared" ref="AS8:AS9" si="15">INDEX(SP_RothSolo401KBalance,$F8)</f>
        <v>0</v>
      </c>
      <c r="AT8" s="73">
        <f>INDEX(SP_RothSolo401KCostBasis,$F8)</f>
        <v>0</v>
      </c>
      <c r="AU8" s="73">
        <f ca="1">IF(INDEX(SC_ZX_CodeA,1)="X",0,IF(ABS($J8)&lt;(1/12),ABS($K8),MAX(ABS(MAX(IF($J8&lt;=0,$J8,-1),IF($K8&lt;=0,$K8,-1)))+MIN(IF($J8&gt;=0,$J8,1),IF($K8&gt;=0,$K8,1))-1,0)/ABS($J8))*OFFSET(AU$10,$L8,0)*$M8)</f>
        <v>0</v>
      </c>
      <c r="AV8" s="70"/>
      <c r="AW8" s="67"/>
      <c r="AX8" s="73">
        <f ca="1">IF(INDEX(SC_ZX_CodeA,1)="X",0,IF(ABS($J8)&gt;(11/12),ABS($K8),MAX(ABS(MAX(IF($J8&gt;=0,-1+$J8,-1),IF($K8&lt;=0,$K8,-1)))+MIN(IF($J8&lt;=0,1+$J8,1),IF($K8&gt;=0,$K8,1))-1,0)/(1-ABS($J8)))*OFFSET(AX$10,$L8,0)*$M8)</f>
        <v>0</v>
      </c>
      <c r="AY8" s="108">
        <f ca="1">AS8*$O8*$M8</f>
        <v>0</v>
      </c>
      <c r="AZ8" s="72">
        <f t="shared" ref="AZ8:AZ9" si="16">INDEX(SP_IRABalance,$F8)</f>
        <v>0</v>
      </c>
      <c r="BA8" s="73">
        <f ca="1">IF(INDEX(SC_ZX_CodeA,1)="X",0,IF(ABS($J8)&lt;(1/12),ABS($K8),MAX(ABS(MAX(IF($J8&lt;=0,$J8,-1),IF($K8&lt;=0,$K8,-1)))+MIN(IF($J8&gt;=0,$J8,1),IF($K8&gt;=0,$K8,1))-1,0)/ABS($J8))*OFFSET(BA$10,$L8,0)*$M8)</f>
        <v>0</v>
      </c>
      <c r="BB8" s="73">
        <f ca="1">IF(INDEX(SC_ZX_CodeA,1)="X",0,IF(ABS($J8)&lt;(1/12),ABS($K8),MAX(ABS(MAX(IF($J8&lt;=0,$J8,-1),IF($K8&lt;=0,$K8,-1)))+MIN(IF($J8&gt;=0,$J8,1),IF($K8&gt;=0,$K8,1))-1,0)/ABS($J8))*OFFSET(BB$10,$L8,0)*$M8)</f>
        <v>0</v>
      </c>
      <c r="BC8" s="70"/>
      <c r="BD8" s="67"/>
      <c r="BE8" s="73">
        <f ca="1">IF(INDEX(SC_ZX_CodeA,1)="X",0,IF(ABS($J8)&gt;(11/12),ABS($K8),MAX(ABS(MAX(IF($J8&gt;=0,-1+$J8,-1),IF($K8&lt;=0,$K8,-1)))+MIN(IF($J8&lt;=0,1+$J8,1),IF($K8&gt;=0,$K8,1))-1,0)/(1-ABS($J8)))*OFFSET(BE$10,$L8,0)*$M8)</f>
        <v>0</v>
      </c>
      <c r="BF8" s="108">
        <f ca="1">AZ8*$O8*$M8</f>
        <v>0</v>
      </c>
      <c r="BG8" s="72">
        <f t="shared" ref="BG8:BG9" si="17">INDEX(SP_RothIRABalance,$F8)</f>
        <v>0</v>
      </c>
      <c r="BH8" s="73">
        <f>INDEX(SP_RothIRACostBasis,$F8)</f>
        <v>0</v>
      </c>
      <c r="BI8" s="73">
        <f ca="1">IF(INDEX(SC_ZX_CodeA,1)="X",0,IF(ABS($J8)&lt;(1/12),ABS($K8),MAX(ABS(MAX(IF($J8&lt;=0,$J8,-1),IF($K8&lt;=0,$K8,-1)))+MIN(IF($J8&gt;=0,$J8,1),IF($K8&gt;=0,$K8,1))-1,0)/ABS($J8))*OFFSET(BI$10,$L8,0)*$M8)</f>
        <v>0</v>
      </c>
      <c r="BJ8" s="70"/>
      <c r="BK8" s="67"/>
      <c r="BL8" s="73">
        <f ca="1">IF(INDEX(SC_ZX_CodeA,1)="X",0,IF(ABS($J8)&gt;(11/12),ABS($K8),MAX(ABS(MAX(IF($J8&gt;=0,-1+$J8,-1),IF($K8&lt;=0,$K8,-1)))+MIN(IF($J8&lt;=0,1+$J8,1),IF($K8&gt;=0,$K8,1))-1,0)/(1-ABS($J8)))*OFFSET(BL$10,$L8,0)*$M8)</f>
        <v>0</v>
      </c>
      <c r="BM8" s="108">
        <f ca="1">BG8*$O8*$M8</f>
        <v>0</v>
      </c>
      <c r="BN8" s="111"/>
      <c r="BO8" s="112"/>
      <c r="BP8" s="112"/>
      <c r="BQ8" s="112"/>
      <c r="BR8" s="112"/>
      <c r="BS8" s="112"/>
      <c r="BT8" s="634"/>
      <c r="BU8" s="617"/>
      <c r="BV8" s="617"/>
      <c r="BW8" s="617"/>
      <c r="BX8" s="618"/>
    </row>
    <row r="9" spans="1:93" x14ac:dyDescent="0.25">
      <c r="B9" s="90">
        <f t="shared" ca="1" si="6"/>
        <v>2021</v>
      </c>
      <c r="C9" s="80" t="s">
        <v>741</v>
      </c>
      <c r="D9" s="147" t="str">
        <f t="shared" si="7"/>
        <v/>
      </c>
      <c r="E9" s="81">
        <f t="shared" si="8"/>
        <v>0</v>
      </c>
      <c r="F9" s="81">
        <f t="shared" ref="F9:F72" si="18">MOD(ROW(),2)+1</f>
        <v>2</v>
      </c>
      <c r="G9" s="82">
        <f t="shared" si="9"/>
        <v>-1</v>
      </c>
      <c r="H9" s="82">
        <f t="shared" si="10"/>
        <v>0</v>
      </c>
      <c r="I9" s="81" t="b">
        <f t="shared" si="11"/>
        <v>0</v>
      </c>
      <c r="J9" s="193">
        <f ca="1">INDEX(SC_EX_APW,EXIDX+2)</f>
        <v>1</v>
      </c>
      <c r="K9" s="193">
        <f ca="1">-(1-SC_CurrentDatePr)</f>
        <v>-0.1166666666666667</v>
      </c>
      <c r="L9" s="194">
        <f>ROW()-ROW($A$8)</f>
        <v>1</v>
      </c>
      <c r="M9" s="194">
        <v>-1</v>
      </c>
      <c r="N9" s="633"/>
      <c r="O9" s="245">
        <f ca="1">IF(INDEX(SC_ZX_CodeA,1)="X",0,(ABS($K9)*OFFSET(O$10,$L9,0))/(1+ABS($K9)*OFFSET(O$10,$L9,0)))</f>
        <v>5.485740654549506E-3</v>
      </c>
      <c r="P9" s="634"/>
      <c r="Q9" s="617"/>
      <c r="R9" s="635"/>
      <c r="S9" s="635"/>
      <c r="T9" s="631"/>
      <c r="U9" s="643"/>
      <c r="V9" s="635"/>
      <c r="W9" s="645"/>
      <c r="X9" s="72">
        <f t="shared" si="12"/>
        <v>0</v>
      </c>
      <c r="Y9" s="73">
        <f ca="1">IF(INDEX(SC_ZX_CodeA,1)="X",0,IF(ABS($J9)&lt;(1/12),ABS($K9),MAX(ABS(MAX(IF($J9&lt;=0,$J9,-1),IF($K9&lt;=0,$K9,-1)))+MIN(IF($J9&gt;=0,$J9,1),IF($K9&gt;=0,$K9,1))-1,0)/ABS($J9))*OFFSET(Y$10,$L9,0)*$M9)</f>
        <v>0</v>
      </c>
      <c r="Z9" s="73">
        <f ca="1">IF(INDEX(SC_ZX_CodeA,1)="X",0,IF(ABS($J9)&lt;(1/12),ABS($K9),MAX(ABS(MAX(IF($J9&lt;=0,$J9,-1),IF($K9&lt;=0,$K9,-1)))+MIN(IF($J9&gt;=0,$J9,1),IF($K9&gt;=0,$K9,1))-1,0)/ABS($J9))*OFFSET(Z$10,$L9,0)*$M9)</f>
        <v>0</v>
      </c>
      <c r="AA9" s="70"/>
      <c r="AB9" s="67"/>
      <c r="AC9" s="73">
        <f ca="1">IF(INDEX(SC_ZX_CodeA,1)="X",0,IF(ABS($J9)&gt;(11/12),ABS($K9),MAX(ABS(MAX(IF($J9&gt;=0,-1+$J9,-1),IF($K9&lt;=0,$K9,-1)))+MIN(IF($J9&lt;=0,1+$J9,1),IF($K9&gt;=0,$K9,1))-1,0)/(1-ABS($J9)))*OFFSET(AC$10,$L9,0)*$M9)</f>
        <v>0</v>
      </c>
      <c r="AD9" s="108">
        <f ca="1">X9*$O9*$M9</f>
        <v>0</v>
      </c>
      <c r="AE9" s="72">
        <f t="shared" si="13"/>
        <v>0</v>
      </c>
      <c r="AF9" s="73">
        <f>INDEX(SP_Roth401KCostBasis,$F9)</f>
        <v>0</v>
      </c>
      <c r="AG9" s="73">
        <f ca="1">IF(INDEX(SC_ZX_CodeA,1)="X",0,IF(ABS($J9)&lt;(1/12),ABS($K9),MAX(ABS(MAX(IF($J9&lt;=0,$J9,-1),IF($K9&lt;=0,$K9,-1)))+MIN(IF($J9&gt;=0,$J9,1),IF($K9&gt;=0,$K9,1))-1,0)/ABS($J9))*OFFSET(AG$10,$L9,0)*$M9)</f>
        <v>0</v>
      </c>
      <c r="AH9" s="70"/>
      <c r="AI9" s="67"/>
      <c r="AJ9" s="73">
        <f ca="1">IF(INDEX(SC_ZX_CodeA,1)="X",0,IF(ABS($J9)&gt;(11/12),ABS($K9),MAX(ABS(MAX(IF($J9&gt;=0,-1+$J9,-1),IF($K9&lt;=0,$K9,-1)))+MIN(IF($J9&lt;=0,1+$J9,1),IF($K9&gt;=0,$K9,1))-1,0)/(1-ABS($J9)))*OFFSET(AJ$10,$L9,0)*$M9)</f>
        <v>0</v>
      </c>
      <c r="AK9" s="108">
        <f ca="1">AE9*$O9*$M9</f>
        <v>0</v>
      </c>
      <c r="AL9" s="72">
        <f t="shared" si="14"/>
        <v>0</v>
      </c>
      <c r="AM9" s="73">
        <f ca="1">IF(INDEX(SC_ZX_CodeA,1)="X",0,IF(ABS($J9)&lt;(1/12),ABS($K9),MAX(ABS(MAX(IF($J9&lt;=0,$J9,-1),IF($K9&lt;=0,$K9,-1)))+MIN(IF($J9&gt;=0,$J9,1),IF($K9&gt;=0,$K9,1))-1,0)/ABS($J9))*OFFSET(AM$10,$L9,0)*$M9)</f>
        <v>0</v>
      </c>
      <c r="AN9" s="73">
        <f ca="1">IF(INDEX(SC_ZX_CodeA,1)="X",0,IF(ABS($J9)&lt;(1/12),ABS($K9),MAX(ABS(MAX(IF($J9&lt;=0,$J9,-1),IF($K9&lt;=0,$K9,-1)))+MIN(IF($J9&gt;=0,$J9,1),IF($K9&gt;=0,$K9,1))-1,0)/ABS($J9))*OFFSET(AN$10,$L9,0)*$M9)</f>
        <v>0</v>
      </c>
      <c r="AO9" s="70"/>
      <c r="AP9" s="67"/>
      <c r="AQ9" s="73">
        <f ca="1">IF(INDEX(SC_ZX_CodeA,1)="X",0,IF(ABS($J9)&gt;(11/12),ABS($K9),MAX(ABS(MAX(IF($J9&gt;=0,-1+$J9,-1),IF($K9&lt;=0,$K9,-1)))+MIN(IF($J9&lt;=0,1+$J9,1),IF($K9&gt;=0,$K9,1))-1,0)/(1-ABS($J9)))*OFFSET(AQ$10,$L9,0)*$M9)</f>
        <v>0</v>
      </c>
      <c r="AR9" s="108">
        <f ca="1">AL9*$O9*$M9</f>
        <v>0</v>
      </c>
      <c r="AS9" s="72">
        <f t="shared" si="15"/>
        <v>0</v>
      </c>
      <c r="AT9" s="73">
        <f>INDEX(SP_RothSolo401KCostBasis,$F9)</f>
        <v>0</v>
      </c>
      <c r="AU9" s="73">
        <f ca="1">IF(INDEX(SC_ZX_CodeA,1)="X",0,IF(ABS($J9)&lt;(1/12),ABS($K9),MAX(ABS(MAX(IF($J9&lt;=0,$J9,-1),IF($K9&lt;=0,$K9,-1)))+MIN(IF($J9&gt;=0,$J9,1),IF($K9&gt;=0,$K9,1))-1,0)/ABS($J9))*OFFSET(AU$10,$L9,0)*$M9)</f>
        <v>0</v>
      </c>
      <c r="AV9" s="70"/>
      <c r="AW9" s="67"/>
      <c r="AX9" s="73">
        <f ca="1">IF(INDEX(SC_ZX_CodeA,1)="X",0,IF(ABS($J9)&gt;(11/12),ABS($K9),MAX(ABS(MAX(IF($J9&gt;=0,-1+$J9,-1),IF($K9&lt;=0,$K9,-1)))+MIN(IF($J9&lt;=0,1+$J9,1),IF($K9&gt;=0,$K9,1))-1,0)/(1-ABS($J9)))*OFFSET(AX$10,$L9,0)*$M9)</f>
        <v>0</v>
      </c>
      <c r="AY9" s="108">
        <f ca="1">AS9*$O9*$M9</f>
        <v>0</v>
      </c>
      <c r="AZ9" s="72">
        <f t="shared" si="16"/>
        <v>0</v>
      </c>
      <c r="BA9" s="73">
        <f ca="1">IF(INDEX(SC_ZX_CodeA,1)="X",0,IF(ABS($J9)&lt;(1/12),ABS($K9),MAX(ABS(MAX(IF($J9&lt;=0,$J9,-1),IF($K9&lt;=0,$K9,-1)))+MIN(IF($J9&gt;=0,$J9,1),IF($K9&gt;=0,$K9,1))-1,0)/ABS($J9))*OFFSET(BA$10,$L9,0)*$M9)</f>
        <v>0</v>
      </c>
      <c r="BB9" s="73">
        <f ca="1">IF(INDEX(SC_ZX_CodeA,1)="X",0,IF(ABS($J9)&lt;(1/12),ABS($K9),MAX(ABS(MAX(IF($J9&lt;=0,$J9,-1),IF($K9&lt;=0,$K9,-1)))+MIN(IF($J9&gt;=0,$J9,1),IF($K9&gt;=0,$K9,1))-1,0)/ABS($J9))*OFFSET(BB$10,$L9,0)*$M9)</f>
        <v>0</v>
      </c>
      <c r="BC9" s="70"/>
      <c r="BD9" s="67"/>
      <c r="BE9" s="73">
        <f ca="1">IF(INDEX(SC_ZX_CodeA,1)="X",0,IF(ABS($J9)&gt;(11/12),ABS($K9),MAX(ABS(MAX(IF($J9&gt;=0,-1+$J9,-1),IF($K9&lt;=0,$K9,-1)))+MIN(IF($J9&lt;=0,1+$J9,1),IF($K9&gt;=0,$K9,1))-1,0)/(1-ABS($J9)))*OFFSET(BE$10,$L9,0)*$M9)</f>
        <v>0</v>
      </c>
      <c r="BF9" s="108">
        <f ca="1">AZ9*$O9*$M9</f>
        <v>0</v>
      </c>
      <c r="BG9" s="72">
        <f t="shared" si="17"/>
        <v>0</v>
      </c>
      <c r="BH9" s="73">
        <f>INDEX(SP_RothIRACostBasis,$F9)</f>
        <v>0</v>
      </c>
      <c r="BI9" s="73">
        <f ca="1">IF(INDEX(SC_ZX_CodeA,1)="X",0,IF(ABS($J9)&lt;(1/12),ABS($K9),MAX(ABS(MAX(IF($J9&lt;=0,$J9,-1),IF($K9&lt;=0,$K9,-1)))+MIN(IF($J9&gt;=0,$J9,1),IF($K9&gt;=0,$K9,1))-1,0)/ABS($J9))*OFFSET(BI$10,$L9,0)*$M9)</f>
        <v>0</v>
      </c>
      <c r="BJ9" s="70"/>
      <c r="BK9" s="67"/>
      <c r="BL9" s="73">
        <f ca="1">IF(INDEX(SC_ZX_CodeA,1)="X",0,IF(ABS($J9)&gt;(11/12),ABS($K9),MAX(ABS(MAX(IF($J9&gt;=0,-1+$J9,-1),IF($K9&lt;=0,$K9,-1)))+MIN(IF($J9&lt;=0,1+$J9,1),IF($K9&gt;=0,$K9,1))-1,0)/(1-ABS($J9)))*OFFSET(BL$10,$L9,0)*$M9)</f>
        <v>0</v>
      </c>
      <c r="BM9" s="108">
        <f ca="1">BG9*$O9*$M9</f>
        <v>0</v>
      </c>
      <c r="BN9" s="75"/>
      <c r="BO9" s="70"/>
      <c r="BP9" s="70"/>
      <c r="BQ9" s="70"/>
      <c r="BR9" s="70"/>
      <c r="BS9" s="70"/>
      <c r="BT9" s="634"/>
      <c r="BU9" s="637"/>
      <c r="BV9" s="637"/>
      <c r="BW9" s="637"/>
      <c r="BX9" s="639"/>
      <c r="CO9" s="8"/>
    </row>
    <row r="10" spans="1:93" x14ac:dyDescent="0.25">
      <c r="B10" s="65">
        <f ca="1">B8+1</f>
        <v>2022</v>
      </c>
      <c r="C10" s="76" t="s">
        <v>741</v>
      </c>
      <c r="D10" s="146" t="str">
        <f t="shared" si="7"/>
        <v/>
      </c>
      <c r="E10" s="77">
        <f t="shared" si="8"/>
        <v>0</v>
      </c>
      <c r="F10" s="77">
        <f t="shared" si="18"/>
        <v>1</v>
      </c>
      <c r="G10" s="76">
        <f t="shared" si="9"/>
        <v>1</v>
      </c>
      <c r="H10" s="76">
        <f t="shared" si="10"/>
        <v>0</v>
      </c>
      <c r="I10" s="77" t="b">
        <f t="shared" si="11"/>
        <v>0</v>
      </c>
      <c r="J10" s="77"/>
      <c r="K10" s="77"/>
      <c r="L10" s="77"/>
      <c r="M10" s="77"/>
      <c r="N10" s="632">
        <f ca="1">YEAR(SP_TargetRD)-$B10</f>
        <v>1</v>
      </c>
      <c r="O10" s="243">
        <f ca="1">LT_InvestmentStocks*INDEX(SP_EA_ARStocks,EAIDX)+LT_InvestmentBonds*INDEX(SC_EA_ARBonds,EAIDX)</f>
        <v>4.7280000000000003E-2</v>
      </c>
      <c r="P10" s="634">
        <f ca="1">MAX(P8+R8+S8+V8+W8,0)</f>
        <v>0</v>
      </c>
      <c r="Q10" s="617">
        <f ca="1">MAX(Q8+R8+IF((P8+R8+S8)&gt;0,MAX(V8/(P8+R8+S8)*(Q8+R8),V8),0),0)</f>
        <v>0</v>
      </c>
      <c r="R10" s="617">
        <f ca="1">IF(SC_ZX_CodeA="X", 0, MAX(INDEX(SC_ZX_IncomeSurplus,ZXIDX2)+INDEX(SC_ZX_Debt,ZXIDX2),0))</f>
        <v>0</v>
      </c>
      <c r="S10" s="617">
        <f ca="1">IF(SC_ZX_CodeA="X", 0, INDEX(SC_EX_RolloverCore,EXIDX))</f>
        <v>0</v>
      </c>
      <c r="T10" s="617">
        <f ca="1">P10+R10+S10</f>
        <v>0</v>
      </c>
      <c r="U10" s="642">
        <f ca="1">IF(SC_ZX_BalanceAccessibleA&gt;0, T10/SC_ZX_BalanceAccessibleA, 0)</f>
        <v>0</v>
      </c>
      <c r="V10" s="617">
        <f ca="1">-IF(SC_ZX_CodeA="X",0,MIN(U10*MAX(INDEX(SC_ZX_Drawdown,ZXIDX2),0),T10))</f>
        <v>0</v>
      </c>
      <c r="W10" s="618">
        <f ca="1">(P10+R10+S10+V10)*$O10</f>
        <v>0</v>
      </c>
      <c r="X10" s="75">
        <f t="shared" ref="X10:X41" ca="1" si="19">MAX(X8+Y8+Z8+AC8+AD8,0)</f>
        <v>0</v>
      </c>
      <c r="Y10" s="70">
        <f t="shared" ref="Y10:Y41" ca="1" si="20">MAX(INDEX(SC_EX_IncomeEmployer,EXIDX)*INDEX(SP_401KContrib,$F10),0)</f>
        <v>0</v>
      </c>
      <c r="Z10" s="70">
        <f t="shared" ref="Z10:Z41" ca="1" si="21">MAX(INDEX(SC_EX_IncomeEmployer,EXIDX)*INDEX(SP_401KMatch,$F10),0)</f>
        <v>0</v>
      </c>
      <c r="AA10" s="70">
        <f t="shared" ref="AA10:AA41" ca="1" si="22">(X10+Y10+Z10)*IF($H10&gt;=INDEX(SP_401KDistribAge,$F10),1,0)</f>
        <v>0</v>
      </c>
      <c r="AB10" s="67">
        <f t="shared" ref="AB10" ca="1" si="23">IF(INDEX(SC_ZX_BalanceAccessibleA,ZXIDX1)&gt;0, AA10/INDEX(SC_ZX_BalanceAccessibleA,ZXIDX1), 0)</f>
        <v>0</v>
      </c>
      <c r="AC10" s="70">
        <f ca="1">-IF(INDEX(SC_ZX_CodeA,ZXIDX1)="X", 0, MIN(AB10*MAX(INDEX(SC_ZX_Drawdown,ZXIDX2),0),AA10))</f>
        <v>0</v>
      </c>
      <c r="AD10" s="109">
        <f t="shared" ref="AD10:AD41" ca="1" si="24">(X10+Y10+Z10+AC10)*$O10</f>
        <v>0</v>
      </c>
      <c r="AE10" s="75">
        <f t="shared" ref="AE10:AE41" ca="1" si="25">MAX(AE8+AG8+AJ8+AK8,0)</f>
        <v>0</v>
      </c>
      <c r="AF10" s="70">
        <f t="shared" ref="AF10:AF41" ca="1" si="26">MAX(AF8+AG8+AJ8,0)</f>
        <v>0</v>
      </c>
      <c r="AG10" s="70">
        <f t="shared" ref="AG10:AG41" ca="1" si="27">MAX(INDEX(SC_EX_IncomeEmployer, EXIDX)*INDEX(SP_Roth401KContrib,$F10),0)</f>
        <v>0</v>
      </c>
      <c r="AH10" s="70">
        <f t="shared" ref="AH10:AH41" ca="1" si="28">(AE10+AG10)*IF($H10&gt;=INDEX(SP_401KDistribAge,$F10),1,0)</f>
        <v>0</v>
      </c>
      <c r="AI10" s="67">
        <f t="shared" ref="AI10" ca="1" si="29">IF(INDEX(SC_ZX_BalanceAccessibleA,ZXIDX1)&gt;0, AH10/INDEX(SC_ZX_BalanceAccessibleA,ZXIDX1), 0)</f>
        <v>0</v>
      </c>
      <c r="AJ10" s="70">
        <f ca="1">-IF(INDEX(SC_ZX_CodeA,ZXIDX1)="X", 0, MIN(AI10*MAX(INDEX(SC_ZX_Drawdown,ZXIDX2),0),AH10))</f>
        <v>0</v>
      </c>
      <c r="AK10" s="109">
        <f t="shared" ref="AK10:AK41" ca="1" si="30">(AE10+AG10+AJ10)*$O10</f>
        <v>0</v>
      </c>
      <c r="AL10" s="75">
        <f t="shared" ref="AL10:AL41" ca="1" si="31">MAX(AL8+AM8+AN8+AQ8+AR8,0)</f>
        <v>0</v>
      </c>
      <c r="AM10" s="70">
        <f t="shared" ref="AM10:AM41" ca="1" si="32">MAX(INDEX(SC_EX_IncomeSE,EXIDX)*INDEX(SP_Solo401KContrib,$F10),0)</f>
        <v>0</v>
      </c>
      <c r="AN10" s="70">
        <f t="shared" ref="AN10:AN41" ca="1" si="33">MAX(INDEX(SC_EX_IncomeSE,EXIDX)*INDEX(SP_Solo401KMatch,$F10),0)</f>
        <v>0</v>
      </c>
      <c r="AO10" s="70">
        <f t="shared" ref="AO10:AO41" ca="1" si="34">(AL10+AM10+AN10)*IF($H10&gt;=INDEX(SP_Solo401KDistribAge,$F10),1,0)</f>
        <v>0</v>
      </c>
      <c r="AP10" s="67">
        <f t="shared" ref="AP10:AP12" ca="1" si="35">IF(INDEX(SC_ZX_BalanceAccessibleA,ZXIDX1)&gt;0, AO10/INDEX(SC_ZX_BalanceAccessibleA,ZXIDX1), 0)</f>
        <v>0</v>
      </c>
      <c r="AQ10" s="70">
        <f ca="1">-IF(INDEX(SC_ZX_CodeA,ZXIDX1)="X", 0, MIN(AP10*MAX(INDEX(SC_ZX_Drawdown,ZXIDX2),0),AO10))</f>
        <v>0</v>
      </c>
      <c r="AR10" s="109">
        <f t="shared" ref="AR10:AR41" ca="1" si="36">(AL10+AM10+AN10+AQ10)*$O10</f>
        <v>0</v>
      </c>
      <c r="AS10" s="75">
        <f t="shared" ref="AS10:AS41" ca="1" si="37">MAX(AS8+AU8+AX8+AY8,0)</f>
        <v>0</v>
      </c>
      <c r="AT10" s="70">
        <f t="shared" ref="AT10:AT41" ca="1" si="38">MAX(AT8+AU8+AX8,0)</f>
        <v>0</v>
      </c>
      <c r="AU10" s="70">
        <f t="shared" ref="AU10:AU41" ca="1" si="39">MAX(INDEX(SC_EX_IncomeSE, EXIDX)*INDEX(SP_RothSolo401KContrib,$F10),0)</f>
        <v>0</v>
      </c>
      <c r="AV10" s="70">
        <f t="shared" ref="AV10:AV41" ca="1" si="40">(AS10+AU10)*IF($H10&gt;=INDEX(SP_401KDistribAge,$F10),1,0)</f>
        <v>0</v>
      </c>
      <c r="AW10" s="67">
        <f t="shared" ref="AW10" ca="1" si="41">IF(INDEX(SC_ZX_BalanceAccessibleA,ZXIDX1)&gt;0, AV10/INDEX(SC_ZX_BalanceAccessibleA,ZXIDX1), 0)</f>
        <v>0</v>
      </c>
      <c r="AX10" s="70">
        <f ca="1">-IF(INDEX(SC_ZX_CodeA,ZXIDX1)="X", 0, MIN(AW10*MAX(INDEX(SC_ZX_Drawdown,ZXIDX2),0),AV10))</f>
        <v>0</v>
      </c>
      <c r="AY10" s="109">
        <f t="shared" ref="AY10:AY41" ca="1" si="42">(AS10+AU10+AX10)*$O10</f>
        <v>0</v>
      </c>
      <c r="AZ10" s="75">
        <f t="shared" ref="AZ10:AZ41" ca="1" si="43">MAX(AZ8+BA8+BB8+BE8+BF8,0)</f>
        <v>0</v>
      </c>
      <c r="BA10" s="70">
        <f t="shared" ref="BA10:BA41" ca="1" si="44">MAX(INDEX(SP_IRAContrib,$F10)/INDEX(SC_EA_InflationWageIdx, EAIDX)*ABS(INDEX(SC_EX_APW, EXIDX)),0)</f>
        <v>0</v>
      </c>
      <c r="BB10" s="70">
        <f t="shared" ref="BB10:BB41" ca="1" si="45">MAX(INDEX(SP_IRASpousalContrib, OFFSET($F10,$G10,0))/INDEX(SC_EA_InflationWageIdx, EAIDX)*ABS(INDEX(SC_EX_APW, EXIDX)),0)</f>
        <v>0</v>
      </c>
      <c r="BC10" s="70">
        <f t="shared" ref="BC10:BC41" ca="1" si="46">(AZ10+BA10+BB10)*IF($H10&gt;=INDEX(SP_IRADistribAge,$F10),1,0)</f>
        <v>0</v>
      </c>
      <c r="BD10" s="67">
        <f t="shared" ref="BD10" ca="1" si="47">IF(INDEX(SC_ZX_BalanceAccessibleA,ZXIDX1)&gt;0, BC10/INDEX(SC_ZX_BalanceAccessibleA,ZXIDX1), 0)</f>
        <v>0</v>
      </c>
      <c r="BE10" s="70">
        <f ca="1">-IF(INDEX(SC_ZX_CodeA,ZXIDX1)="X", 0, MIN(BD10*MAX(INDEX(SC_ZX_Drawdown,ZXIDX2),0),AZ10))</f>
        <v>0</v>
      </c>
      <c r="BF10" s="109">
        <f t="shared" ref="BF10:BF41" ca="1" si="48">(AZ10+BA10+BB10+BE10)*$O10</f>
        <v>0</v>
      </c>
      <c r="BG10" s="75">
        <f t="shared" ref="BG10:BG41" ca="1" si="49">MAX(BG8+BI8+BL8+BM8,0)</f>
        <v>0</v>
      </c>
      <c r="BH10" s="70">
        <f t="shared" ref="BH10:BH41" ca="1" si="50">MAX(BH8+BI8+BL8,0)</f>
        <v>0</v>
      </c>
      <c r="BI10" s="70">
        <f t="shared" ref="BI10:BI41" ca="1" si="51">MAX(INDEX(SP_RothIRAContrib,$F10)/INDEX(SC_EA_InflationWageIdx, EAIDX)*ABS(INDEX(SC_EX_APW, EXIDX)),0)</f>
        <v>0</v>
      </c>
      <c r="BJ10" s="70">
        <f t="shared" ref="BJ10:BJ41" ca="1" si="52">IF($H10&gt;=INDEX(SP_IRADistribAge,$F10),BG10+BI10,MIN(BG10+BI10,BH10+BI10))</f>
        <v>0</v>
      </c>
      <c r="BK10" s="67">
        <f t="shared" ref="BK10" ca="1" si="53">IF(INDEX(SC_ZX_BalanceAccessibleA,ZXIDX1)&gt;0, BJ10/INDEX(SC_ZX_BalanceAccessibleA,ZXIDX1), 0)</f>
        <v>0</v>
      </c>
      <c r="BL10" s="70">
        <f ca="1">-IF(INDEX(SC_ZX_CodeA,ZXIDX1)="X", 0, MIN(BK10*MAX(INDEX(SC_ZX_Drawdown,ZXIDX2),0),BJ10))</f>
        <v>0</v>
      </c>
      <c r="BM10" s="70">
        <f t="shared" ref="BM10:BM41" ca="1" si="54">(BG10+BI10+BL10)*$O10</f>
        <v>0</v>
      </c>
      <c r="BN10" s="111">
        <f t="shared" ref="BN10:BN41" ca="1" si="55">-(Y10+AM10+BA10)-OFFSET(BB10,$G10,0)</f>
        <v>0</v>
      </c>
      <c r="BO10" s="112">
        <f t="shared" ref="BO10:BO41" ca="1" si="56">-(AG10+AU10+BI10)</f>
        <v>0</v>
      </c>
      <c r="BP10" s="112">
        <f ca="1">-($V10-IF(($P10+$R10+$S10)&gt;0,MAX($V10/($P10+$R10+$S10)*($Q10+$R10),$V10),0))*LT_InvestmentQDI</f>
        <v>0</v>
      </c>
      <c r="BQ10" s="112">
        <f ca="1">-($V10-IF(($P10+$R10+$S10)&gt;0,MAX($V10/($P10+$R10+$S10)*($Q10+$R10),$V10),0))*(1-LT_InvestmentQDI)</f>
        <v>0</v>
      </c>
      <c r="BR10" s="112">
        <f t="shared" ref="BR10:BR41" ca="1" si="57">BP10+BQ10-AC10-AQ10-BE10</f>
        <v>0</v>
      </c>
      <c r="BS10" s="112">
        <f t="shared" ref="BS10:BS41" ca="1" si="58">-V10-BP10-BQ10-AJ10-AX10-BL10</f>
        <v>0</v>
      </c>
      <c r="BT10" s="634">
        <f ca="1">SUMPRODUCT($BN10:$BN11+$BO10:$BO11, --($E10:$E11&lt;&gt;0))</f>
        <v>0</v>
      </c>
      <c r="BU10" s="617">
        <f ca="1">SUMPRODUCT($BR10:$BR11+$BS10:$BS11, --($E10:$E11&lt;&gt;0))</f>
        <v>0</v>
      </c>
      <c r="BV10" s="617">
        <f ca="1">$T10+SUMPRODUCT($AA10:$AA11+$AH10:$AH11+$AO10:$AO11+$AV10:$AV11+$BC10:$BC11+$BJ10:$BJ11, --($E10:$E11&lt;&gt;0))</f>
        <v>0</v>
      </c>
      <c r="BW10" s="617">
        <f ca="1">MAX($P10-$Q10,0)+SUMPRODUCT($X10:$X11+$AL10:$AL11+$AZ10:$AZ11, --($E10:$E11&lt;&gt;0))</f>
        <v>0</v>
      </c>
      <c r="BX10" s="618">
        <f ca="1">MIN($P10,$Q10)+SUMPRODUCT($AE10:$AE11+$AS10:$AS11+$BG10:$BG11, --($E10:$E11&lt;&gt;0))</f>
        <v>0</v>
      </c>
      <c r="BZ10" s="2"/>
      <c r="CO10" s="8"/>
    </row>
    <row r="11" spans="1:93" x14ac:dyDescent="0.25">
      <c r="B11" s="86">
        <f t="shared" ref="B11:B73" ca="1" si="59">B9+1</f>
        <v>2022</v>
      </c>
      <c r="C11" s="80" t="s">
        <v>741</v>
      </c>
      <c r="D11" s="147" t="str">
        <f t="shared" si="7"/>
        <v/>
      </c>
      <c r="E11" s="81">
        <f t="shared" si="8"/>
        <v>0</v>
      </c>
      <c r="F11" s="81">
        <f t="shared" si="18"/>
        <v>2</v>
      </c>
      <c r="G11" s="82">
        <f t="shared" si="9"/>
        <v>-1</v>
      </c>
      <c r="H11" s="82">
        <f t="shared" si="10"/>
        <v>0</v>
      </c>
      <c r="I11" s="81" t="b">
        <f t="shared" si="11"/>
        <v>0</v>
      </c>
      <c r="J11" s="81"/>
      <c r="K11" s="81"/>
      <c r="L11" s="81"/>
      <c r="M11" s="81"/>
      <c r="N11" s="633"/>
      <c r="O11" s="243">
        <f ca="1">LT_InvestmentStocks*INDEX(SP_EA_ARStocks,EAIDX)+LT_InvestmentBonds*INDEX(SC_EA_ARBonds,EAIDX)</f>
        <v>4.7280000000000003E-2</v>
      </c>
      <c r="P11" s="634"/>
      <c r="Q11" s="617"/>
      <c r="R11" s="617"/>
      <c r="S11" s="617"/>
      <c r="T11" s="617"/>
      <c r="U11" s="643"/>
      <c r="V11" s="617"/>
      <c r="W11" s="639"/>
      <c r="X11" s="106">
        <f t="shared" ca="1" si="19"/>
        <v>0</v>
      </c>
      <c r="Y11" s="107">
        <f t="shared" ca="1" si="20"/>
        <v>0</v>
      </c>
      <c r="Z11" s="107">
        <f t="shared" ca="1" si="21"/>
        <v>0</v>
      </c>
      <c r="AA11" s="107">
        <f t="shared" ca="1" si="22"/>
        <v>0</v>
      </c>
      <c r="AB11" s="91">
        <f t="shared" ref="AB11:AB12" ca="1" si="60">IF(INDEX(SC_ZX_BalanceAccessibleA,ZXIDX1)&gt;0, AA11/INDEX(SC_ZX_BalanceAccessibleA,ZXIDX1), 0)</f>
        <v>0</v>
      </c>
      <c r="AC11" s="107">
        <f ca="1">-IF(INDEX(SC_ZX_CodeA,ZXIDX1)="X", 0, MIN(AB11*MAX(INDEX(SC_ZX_Drawdown,ZXIDX2),0),AA11))</f>
        <v>0</v>
      </c>
      <c r="AD11" s="110">
        <f t="shared" ca="1" si="24"/>
        <v>0</v>
      </c>
      <c r="AE11" s="106">
        <f t="shared" ca="1" si="25"/>
        <v>0</v>
      </c>
      <c r="AF11" s="107">
        <f t="shared" ca="1" si="26"/>
        <v>0</v>
      </c>
      <c r="AG11" s="107">
        <f t="shared" ca="1" si="27"/>
        <v>0</v>
      </c>
      <c r="AH11" s="107">
        <f t="shared" ca="1" si="28"/>
        <v>0</v>
      </c>
      <c r="AI11" s="91">
        <f t="shared" ref="AI11:AI12" ca="1" si="61">IF(INDEX(SC_ZX_BalanceAccessibleA,ZXIDX1)&gt;0, AH11/INDEX(SC_ZX_BalanceAccessibleA,ZXIDX1), 0)</f>
        <v>0</v>
      </c>
      <c r="AJ11" s="107">
        <f ca="1">-IF(INDEX(SC_ZX_CodeA,ZXIDX1)="X", 0, MIN(AI11*MAX(INDEX(SC_ZX_Drawdown,ZXIDX2),0),AH11))</f>
        <v>0</v>
      </c>
      <c r="AK11" s="110">
        <f t="shared" ca="1" si="30"/>
        <v>0</v>
      </c>
      <c r="AL11" s="106">
        <f t="shared" ca="1" si="31"/>
        <v>0</v>
      </c>
      <c r="AM11" s="107">
        <f t="shared" ca="1" si="32"/>
        <v>0</v>
      </c>
      <c r="AN11" s="107">
        <f t="shared" ca="1" si="33"/>
        <v>0</v>
      </c>
      <c r="AO11" s="107">
        <f t="shared" ca="1" si="34"/>
        <v>0</v>
      </c>
      <c r="AP11" s="91">
        <f t="shared" ca="1" si="35"/>
        <v>0</v>
      </c>
      <c r="AQ11" s="107">
        <f ca="1">-IF(INDEX(SC_ZX_CodeA,ZXIDX1)="X", 0, MIN(AP11*MAX(INDEX(SC_ZX_Drawdown,ZXIDX2),0),AO11))</f>
        <v>0</v>
      </c>
      <c r="AR11" s="110">
        <f t="shared" ca="1" si="36"/>
        <v>0</v>
      </c>
      <c r="AS11" s="106">
        <f t="shared" ca="1" si="37"/>
        <v>0</v>
      </c>
      <c r="AT11" s="107">
        <f t="shared" ca="1" si="38"/>
        <v>0</v>
      </c>
      <c r="AU11" s="107">
        <f t="shared" ca="1" si="39"/>
        <v>0</v>
      </c>
      <c r="AV11" s="107">
        <f t="shared" ca="1" si="40"/>
        <v>0</v>
      </c>
      <c r="AW11" s="91">
        <f t="shared" ref="AW11:AW12" ca="1" si="62">IF(INDEX(SC_ZX_BalanceAccessibleA,ZXIDX1)&gt;0, AV11/INDEX(SC_ZX_BalanceAccessibleA,ZXIDX1), 0)</f>
        <v>0</v>
      </c>
      <c r="AX11" s="107">
        <f ca="1">-IF(INDEX(SC_ZX_CodeA,ZXIDX1)="X", 0, MIN(AW11*MAX(INDEX(SC_ZX_Drawdown,ZXIDX2),0),AV11))</f>
        <v>0</v>
      </c>
      <c r="AY11" s="110">
        <f t="shared" ca="1" si="42"/>
        <v>0</v>
      </c>
      <c r="AZ11" s="106">
        <f t="shared" ca="1" si="43"/>
        <v>0</v>
      </c>
      <c r="BA11" s="107">
        <f t="shared" ca="1" si="44"/>
        <v>0</v>
      </c>
      <c r="BB11" s="107">
        <f t="shared" ca="1" si="45"/>
        <v>0</v>
      </c>
      <c r="BC11" s="107">
        <f t="shared" ca="1" si="46"/>
        <v>0</v>
      </c>
      <c r="BD11" s="91">
        <f t="shared" ref="BD11:BD12" ca="1" si="63">IF(INDEX(SC_ZX_BalanceAccessibleA,ZXIDX1)&gt;0, BC11/INDEX(SC_ZX_BalanceAccessibleA,ZXIDX1), 0)</f>
        <v>0</v>
      </c>
      <c r="BE11" s="107">
        <f ca="1">-IF(INDEX(SC_ZX_CodeA,ZXIDX1)="X", 0, MIN(BD11*MAX(INDEX(SC_ZX_Drawdown,ZXIDX2),0),AZ11))</f>
        <v>0</v>
      </c>
      <c r="BF11" s="110">
        <f t="shared" ca="1" si="48"/>
        <v>0</v>
      </c>
      <c r="BG11" s="106">
        <f t="shared" ca="1" si="49"/>
        <v>0</v>
      </c>
      <c r="BH11" s="107">
        <f t="shared" ca="1" si="50"/>
        <v>0</v>
      </c>
      <c r="BI11" s="107">
        <f t="shared" ca="1" si="51"/>
        <v>0</v>
      </c>
      <c r="BJ11" s="107">
        <f t="shared" ca="1" si="52"/>
        <v>0</v>
      </c>
      <c r="BK11" s="91">
        <f t="shared" ref="BK11:BK12" ca="1" si="64">IF(INDEX(SC_ZX_BalanceAccessibleA,ZXIDX1)&gt;0, BJ11/INDEX(SC_ZX_BalanceAccessibleA,ZXIDX1), 0)</f>
        <v>0</v>
      </c>
      <c r="BL11" s="107">
        <f ca="1">-IF(INDEX(SC_ZX_CodeA,ZXIDX1)="X", 0, MIN(BK11*MAX(INDEX(SC_ZX_Drawdown,ZXIDX2),0),BJ11))</f>
        <v>0</v>
      </c>
      <c r="BM11" s="107">
        <f t="shared" ca="1" si="54"/>
        <v>0</v>
      </c>
      <c r="BN11" s="113">
        <f t="shared" ca="1" si="55"/>
        <v>0</v>
      </c>
      <c r="BO11" s="114">
        <f t="shared" ca="1" si="56"/>
        <v>0</v>
      </c>
      <c r="BP11" s="114">
        <f ca="1">-($V11-IF(($P11+$R11+$S11)&gt;0,MAX($V11/($P11+$R11+$S11)*($Q11+$R11),$V11),0))*LT_InvestmentQDI</f>
        <v>0</v>
      </c>
      <c r="BQ11" s="114">
        <f ca="1">-($V11-IF(($P11+$R11+$S11)&gt;0,MAX($V11/($P11+$R11+$S11)*($Q11+$R11),$V11),0))*(1-LT_InvestmentQDI)</f>
        <v>0</v>
      </c>
      <c r="BR11" s="114">
        <f t="shared" ca="1" si="57"/>
        <v>0</v>
      </c>
      <c r="BS11" s="114">
        <f t="shared" ca="1" si="58"/>
        <v>0</v>
      </c>
      <c r="BT11" s="649"/>
      <c r="BU11" s="637"/>
      <c r="BV11" s="637"/>
      <c r="BW11" s="637"/>
      <c r="BX11" s="639"/>
      <c r="BZ11" s="2"/>
      <c r="CO11" s="8"/>
    </row>
    <row r="12" spans="1:93" x14ac:dyDescent="0.25">
      <c r="B12" s="65">
        <f ca="1">B10+1</f>
        <v>2023</v>
      </c>
      <c r="C12" s="76" t="s">
        <v>741</v>
      </c>
      <c r="D12" s="146" t="str">
        <f t="shared" si="7"/>
        <v/>
      </c>
      <c r="E12" s="77">
        <f t="shared" si="8"/>
        <v>0</v>
      </c>
      <c r="F12" s="77">
        <f t="shared" si="18"/>
        <v>1</v>
      </c>
      <c r="G12" s="76">
        <f t="shared" si="9"/>
        <v>1</v>
      </c>
      <c r="H12" s="76">
        <f t="shared" si="10"/>
        <v>0</v>
      </c>
      <c r="I12" s="77" t="b">
        <f t="shared" si="11"/>
        <v>0</v>
      </c>
      <c r="J12" s="77"/>
      <c r="K12" s="77"/>
      <c r="L12" s="77"/>
      <c r="M12" s="77"/>
      <c r="N12" s="632">
        <f ca="1">YEAR(SP_TargetRD)-$B12</f>
        <v>0</v>
      </c>
      <c r="O12" s="243" t="e">
        <f ca="1">LT_InvestmentStocks*INDEX(SP_EA_ARStocks,EAIDX)+LT_InvestmentBonds*INDEX(SC_EA_ARBonds,EAIDX)</f>
        <v>#REF!</v>
      </c>
      <c r="P12" s="634">
        <f ca="1">MAX(P10+R10+S10+V10+W10,0)</f>
        <v>0</v>
      </c>
      <c r="Q12" s="617">
        <f ca="1">MAX(Q10+R10+IF((P10+R10+S10)&gt;0,MAX(V10/(P10+R10+S10)*(Q10+R10),V10),0),0)</f>
        <v>0</v>
      </c>
      <c r="R12" s="617" t="e">
        <f ca="1">IF(SC_ZX_CodeA="X", 0, MAX(INDEX(SC_ZX_IncomeSurplus,ZXIDX2)+INDEX(SC_ZX_Debt,ZXIDX2),0))</f>
        <v>#VALUE!</v>
      </c>
      <c r="S12" s="617" t="e">
        <f ca="1">IF(SC_ZX_CodeA="X", 0, INDEX(SC_EX_RolloverCore,EXIDX))</f>
        <v>#VALUE!</v>
      </c>
      <c r="T12" s="617" t="e">
        <f ca="1">P12+R12+S12</f>
        <v>#VALUE!</v>
      </c>
      <c r="U12" s="642" t="e">
        <f ca="1">IF(SC_ZX_BalanceAccessibleA&gt;0, T12/SC_ZX_BalanceAccessibleA, 0)</f>
        <v>#VALUE!</v>
      </c>
      <c r="V12" s="617" t="e">
        <f ca="1">-IF(SC_ZX_CodeA="X",0,MIN(U12*MAX(INDEX(SC_ZX_Drawdown,ZXIDX2),0),T12))</f>
        <v>#VALUE!</v>
      </c>
      <c r="W12" s="618" t="e">
        <f ca="1">(P12+R12+S12+V12)*$O12</f>
        <v>#VALUE!</v>
      </c>
      <c r="X12" s="75">
        <f t="shared" ca="1" si="19"/>
        <v>0</v>
      </c>
      <c r="Y12" s="70" t="e">
        <f t="shared" ca="1" si="20"/>
        <v>#REF!</v>
      </c>
      <c r="Z12" s="70" t="e">
        <f t="shared" ca="1" si="21"/>
        <v>#REF!</v>
      </c>
      <c r="AA12" s="70" t="e">
        <f t="shared" ca="1" si="22"/>
        <v>#REF!</v>
      </c>
      <c r="AB12" s="67" t="e">
        <f t="shared" ca="1" si="60"/>
        <v>#REF!</v>
      </c>
      <c r="AC12" s="70" t="e">
        <f ca="1">-IF(INDEX(SC_ZX_CodeA,ZXIDX1)="X", 0, MIN(AB12*MAX(INDEX(SC_ZX_Drawdown,ZXIDX2),0),AA12))</f>
        <v>#REF!</v>
      </c>
      <c r="AD12" s="109" t="e">
        <f t="shared" ca="1" si="24"/>
        <v>#REF!</v>
      </c>
      <c r="AE12" s="75">
        <f t="shared" ca="1" si="25"/>
        <v>0</v>
      </c>
      <c r="AF12" s="70">
        <f t="shared" ca="1" si="26"/>
        <v>0</v>
      </c>
      <c r="AG12" s="70" t="e">
        <f t="shared" ca="1" si="27"/>
        <v>#REF!</v>
      </c>
      <c r="AH12" s="70" t="e">
        <f t="shared" ca="1" si="28"/>
        <v>#REF!</v>
      </c>
      <c r="AI12" s="67" t="e">
        <f t="shared" ca="1" si="61"/>
        <v>#REF!</v>
      </c>
      <c r="AJ12" s="70" t="e">
        <f ca="1">-IF(INDEX(SC_ZX_CodeA,ZXIDX1)="X", 0, MIN(AI12*MAX(INDEX(SC_ZX_Drawdown,ZXIDX2),0),AH12))</f>
        <v>#REF!</v>
      </c>
      <c r="AK12" s="109" t="e">
        <f t="shared" ca="1" si="30"/>
        <v>#REF!</v>
      </c>
      <c r="AL12" s="75">
        <f t="shared" ca="1" si="31"/>
        <v>0</v>
      </c>
      <c r="AM12" s="70" t="e">
        <f t="shared" ca="1" si="32"/>
        <v>#REF!</v>
      </c>
      <c r="AN12" s="70" t="e">
        <f t="shared" ca="1" si="33"/>
        <v>#REF!</v>
      </c>
      <c r="AO12" s="70" t="e">
        <f t="shared" ca="1" si="34"/>
        <v>#REF!</v>
      </c>
      <c r="AP12" s="67" t="e">
        <f t="shared" ca="1" si="35"/>
        <v>#REF!</v>
      </c>
      <c r="AQ12" s="70" t="e">
        <f ca="1">-IF(INDEX(SC_ZX_CodeA,ZXIDX1)="X", 0, MIN(AP12*MAX(INDEX(SC_ZX_Drawdown,ZXIDX2),0),AO12))</f>
        <v>#REF!</v>
      </c>
      <c r="AR12" s="109" t="e">
        <f t="shared" ca="1" si="36"/>
        <v>#REF!</v>
      </c>
      <c r="AS12" s="75">
        <f t="shared" ca="1" si="37"/>
        <v>0</v>
      </c>
      <c r="AT12" s="70">
        <f t="shared" ca="1" si="38"/>
        <v>0</v>
      </c>
      <c r="AU12" s="70" t="e">
        <f t="shared" ca="1" si="39"/>
        <v>#REF!</v>
      </c>
      <c r="AV12" s="70" t="e">
        <f t="shared" ca="1" si="40"/>
        <v>#REF!</v>
      </c>
      <c r="AW12" s="67" t="e">
        <f t="shared" ca="1" si="62"/>
        <v>#REF!</v>
      </c>
      <c r="AX12" s="70" t="e">
        <f ca="1">-IF(INDEX(SC_ZX_CodeA,ZXIDX1)="X", 0, MIN(AW12*MAX(INDEX(SC_ZX_Drawdown,ZXIDX2),0),AV12))</f>
        <v>#REF!</v>
      </c>
      <c r="AY12" s="109" t="e">
        <f t="shared" ca="1" si="42"/>
        <v>#REF!</v>
      </c>
      <c r="AZ12" s="75">
        <f t="shared" ca="1" si="43"/>
        <v>0</v>
      </c>
      <c r="BA12" s="70" t="e">
        <f t="shared" ca="1" si="44"/>
        <v>#REF!</v>
      </c>
      <c r="BB12" s="70" t="e">
        <f t="shared" ca="1" si="45"/>
        <v>#REF!</v>
      </c>
      <c r="BC12" s="70" t="e">
        <f t="shared" ca="1" si="46"/>
        <v>#REF!</v>
      </c>
      <c r="BD12" s="67" t="e">
        <f t="shared" ca="1" si="63"/>
        <v>#REF!</v>
      </c>
      <c r="BE12" s="70" t="e">
        <f ca="1">-IF(INDEX(SC_ZX_CodeA,ZXIDX1)="X", 0, MIN(BD12*MAX(INDEX(SC_ZX_Drawdown,ZXIDX2),0),AZ12))</f>
        <v>#REF!</v>
      </c>
      <c r="BF12" s="109" t="e">
        <f t="shared" ca="1" si="48"/>
        <v>#REF!</v>
      </c>
      <c r="BG12" s="75">
        <f t="shared" ca="1" si="49"/>
        <v>0</v>
      </c>
      <c r="BH12" s="70">
        <f t="shared" ca="1" si="50"/>
        <v>0</v>
      </c>
      <c r="BI12" s="70" t="e">
        <f t="shared" ca="1" si="51"/>
        <v>#REF!</v>
      </c>
      <c r="BJ12" s="70" t="e">
        <f t="shared" ca="1" si="52"/>
        <v>#REF!</v>
      </c>
      <c r="BK12" s="67" t="e">
        <f t="shared" ca="1" si="64"/>
        <v>#REF!</v>
      </c>
      <c r="BL12" s="70" t="e">
        <f ca="1">-IF(INDEX(SC_ZX_CodeA,ZXIDX1)="X", 0, MIN(BK12*MAX(INDEX(SC_ZX_Drawdown,ZXIDX2),0),BJ12))</f>
        <v>#REF!</v>
      </c>
      <c r="BM12" s="70" t="e">
        <f t="shared" ca="1" si="54"/>
        <v>#REF!</v>
      </c>
      <c r="BN12" s="111" t="e">
        <f t="shared" ca="1" si="55"/>
        <v>#REF!</v>
      </c>
      <c r="BO12" s="112" t="e">
        <f t="shared" ca="1" si="56"/>
        <v>#REF!</v>
      </c>
      <c r="BP12" s="112" t="e">
        <f ca="1">-($V12-IF(($P12+$R12+$S12)&gt;0,MAX($V12/($P12+$R12+$S12)*($Q12+$R12),$V12),0))*LT_InvestmentQDI</f>
        <v>#VALUE!</v>
      </c>
      <c r="BQ12" s="112" t="e">
        <f ca="1">-($V12-IF(($P12+$R12+$S12)&gt;0,MAX($V12/($P12+$R12+$S12)*($Q12+$R12),$V12),0))*(1-LT_InvestmentQDI)</f>
        <v>#VALUE!</v>
      </c>
      <c r="BR12" s="112" t="e">
        <f t="shared" ca="1" si="57"/>
        <v>#VALUE!</v>
      </c>
      <c r="BS12" s="112" t="e">
        <f t="shared" ca="1" si="58"/>
        <v>#VALUE!</v>
      </c>
      <c r="BT12" s="634" t="e">
        <f ca="1">SUMPRODUCT($BN12:$BN13+$BO12:$BO13, --($E12:$E13&lt;&gt;0))</f>
        <v>#REF!</v>
      </c>
      <c r="BU12" s="617" t="e">
        <f ca="1">SUMPRODUCT($BR12:$BR13+$BS12:$BS13, --($E12:$E13&lt;&gt;0))</f>
        <v>#VALUE!</v>
      </c>
      <c r="BV12" s="617" t="e">
        <f ca="1">$T12+SUMPRODUCT($AA12:$AA13+$AH12:$AH13+$AO12:$AO13+$AV12:$AV13+$BC12:$BC13+$BJ12:$BJ13, --($E12:$E13&lt;&gt;0))</f>
        <v>#VALUE!</v>
      </c>
      <c r="BW12" s="617">
        <f ca="1">MAX($P12-$Q12,0)+SUMPRODUCT($X12:$X13+$AL12:$AL13+$AZ12:$AZ13, --($E12:$E13&lt;&gt;0))</f>
        <v>0</v>
      </c>
      <c r="BX12" s="618">
        <f ca="1">MIN($P12,$Q12)+SUMPRODUCT($AE12:$AE13+$AS12:$AS13+$BG12:$BG13, --($E12:$E13&lt;&gt;0))</f>
        <v>0</v>
      </c>
      <c r="BZ12" s="2"/>
      <c r="CO12" s="8"/>
    </row>
    <row r="13" spans="1:93" x14ac:dyDescent="0.25">
      <c r="B13" s="86">
        <f t="shared" ca="1" si="59"/>
        <v>2023</v>
      </c>
      <c r="C13" s="80" t="s">
        <v>741</v>
      </c>
      <c r="D13" s="147" t="str">
        <f t="shared" si="7"/>
        <v/>
      </c>
      <c r="E13" s="81">
        <f t="shared" si="8"/>
        <v>0</v>
      </c>
      <c r="F13" s="81">
        <f t="shared" si="18"/>
        <v>2</v>
      </c>
      <c r="G13" s="82">
        <f t="shared" si="9"/>
        <v>-1</v>
      </c>
      <c r="H13" s="82">
        <f t="shared" si="10"/>
        <v>0</v>
      </c>
      <c r="I13" s="81" t="b">
        <f t="shared" si="11"/>
        <v>0</v>
      </c>
      <c r="J13" s="81"/>
      <c r="K13" s="81"/>
      <c r="L13" s="81"/>
      <c r="M13" s="81"/>
      <c r="N13" s="633"/>
      <c r="O13" s="243" t="e">
        <f ca="1">LT_InvestmentStocks*INDEX(SP_EA_ARStocks,EAIDX)+LT_InvestmentBonds*INDEX(SC_EA_ARBonds,EAIDX)</f>
        <v>#REF!</v>
      </c>
      <c r="P13" s="634"/>
      <c r="Q13" s="617"/>
      <c r="R13" s="617"/>
      <c r="S13" s="617"/>
      <c r="T13" s="617"/>
      <c r="U13" s="643"/>
      <c r="V13" s="617"/>
      <c r="W13" s="639"/>
      <c r="X13" s="106">
        <f t="shared" ca="1" si="19"/>
        <v>0</v>
      </c>
      <c r="Y13" s="107" t="e">
        <f t="shared" ca="1" si="20"/>
        <v>#REF!</v>
      </c>
      <c r="Z13" s="107" t="e">
        <f t="shared" ca="1" si="21"/>
        <v>#REF!</v>
      </c>
      <c r="AA13" s="107" t="e">
        <f t="shared" ca="1" si="22"/>
        <v>#REF!</v>
      </c>
      <c r="AB13" s="91" t="e">
        <f t="shared" ref="AB13:AB76" ca="1" si="65">IF(INDEX(SC_ZX_BalanceAccessibleA,ZXIDX1)&gt;0, AA13/INDEX(SC_ZX_BalanceAccessibleA,ZXIDX1), 0)</f>
        <v>#REF!</v>
      </c>
      <c r="AC13" s="107" t="e">
        <f ca="1">-IF(INDEX(SC_ZX_CodeA,ZXIDX1)="X", 0, MIN(AB13*MAX(INDEX(SC_ZX_Drawdown,ZXIDX2),0),AA13))</f>
        <v>#REF!</v>
      </c>
      <c r="AD13" s="110" t="e">
        <f t="shared" ca="1" si="24"/>
        <v>#REF!</v>
      </c>
      <c r="AE13" s="106">
        <f t="shared" ca="1" si="25"/>
        <v>0</v>
      </c>
      <c r="AF13" s="107">
        <f t="shared" ca="1" si="26"/>
        <v>0</v>
      </c>
      <c r="AG13" s="107" t="e">
        <f t="shared" ca="1" si="27"/>
        <v>#REF!</v>
      </c>
      <c r="AH13" s="107" t="e">
        <f t="shared" ca="1" si="28"/>
        <v>#REF!</v>
      </c>
      <c r="AI13" s="91" t="e">
        <f t="shared" ref="AI13:AI76" ca="1" si="66">IF(INDEX(SC_ZX_BalanceAccessibleA,ZXIDX1)&gt;0, AH13/INDEX(SC_ZX_BalanceAccessibleA,ZXIDX1), 0)</f>
        <v>#REF!</v>
      </c>
      <c r="AJ13" s="107" t="e">
        <f ca="1">-IF(INDEX(SC_ZX_CodeA,ZXIDX1)="X", 0, MIN(AI13*MAX(INDEX(SC_ZX_Drawdown,ZXIDX2),0),AH13))</f>
        <v>#REF!</v>
      </c>
      <c r="AK13" s="110" t="e">
        <f t="shared" ca="1" si="30"/>
        <v>#REF!</v>
      </c>
      <c r="AL13" s="106">
        <f t="shared" ca="1" si="31"/>
        <v>0</v>
      </c>
      <c r="AM13" s="107" t="e">
        <f t="shared" ca="1" si="32"/>
        <v>#REF!</v>
      </c>
      <c r="AN13" s="107" t="e">
        <f t="shared" ca="1" si="33"/>
        <v>#REF!</v>
      </c>
      <c r="AO13" s="107" t="e">
        <f t="shared" ca="1" si="34"/>
        <v>#REF!</v>
      </c>
      <c r="AP13" s="91" t="e">
        <f t="shared" ref="AP13:AP76" ca="1" si="67">IF(INDEX(SC_ZX_BalanceAccessibleA,ZXIDX1)&gt;0, AO13/INDEX(SC_ZX_BalanceAccessibleA,ZXIDX1), 0)</f>
        <v>#REF!</v>
      </c>
      <c r="AQ13" s="107" t="e">
        <f ca="1">-IF(INDEX(SC_ZX_CodeA,ZXIDX1)="X", 0, MIN(AP13*MAX(INDEX(SC_ZX_Drawdown,ZXIDX2),0),AO13))</f>
        <v>#REF!</v>
      </c>
      <c r="AR13" s="110" t="e">
        <f t="shared" ca="1" si="36"/>
        <v>#REF!</v>
      </c>
      <c r="AS13" s="106">
        <f t="shared" ca="1" si="37"/>
        <v>0</v>
      </c>
      <c r="AT13" s="107">
        <f t="shared" ca="1" si="38"/>
        <v>0</v>
      </c>
      <c r="AU13" s="107" t="e">
        <f t="shared" ca="1" si="39"/>
        <v>#REF!</v>
      </c>
      <c r="AV13" s="107" t="e">
        <f t="shared" ca="1" si="40"/>
        <v>#REF!</v>
      </c>
      <c r="AW13" s="91" t="e">
        <f t="shared" ref="AW13:AW76" ca="1" si="68">IF(INDEX(SC_ZX_BalanceAccessibleA,ZXIDX1)&gt;0, AV13/INDEX(SC_ZX_BalanceAccessibleA,ZXIDX1), 0)</f>
        <v>#REF!</v>
      </c>
      <c r="AX13" s="107" t="e">
        <f ca="1">-IF(INDEX(SC_ZX_CodeA,ZXIDX1)="X", 0, MIN(AW13*MAX(INDEX(SC_ZX_Drawdown,ZXIDX2),0),AV13))</f>
        <v>#REF!</v>
      </c>
      <c r="AY13" s="110" t="e">
        <f t="shared" ca="1" si="42"/>
        <v>#REF!</v>
      </c>
      <c r="AZ13" s="106">
        <f t="shared" ca="1" si="43"/>
        <v>0</v>
      </c>
      <c r="BA13" s="107" t="e">
        <f t="shared" ca="1" si="44"/>
        <v>#REF!</v>
      </c>
      <c r="BB13" s="107" t="e">
        <f t="shared" ca="1" si="45"/>
        <v>#REF!</v>
      </c>
      <c r="BC13" s="107" t="e">
        <f t="shared" ca="1" si="46"/>
        <v>#REF!</v>
      </c>
      <c r="BD13" s="91" t="e">
        <f t="shared" ref="BD13:BD76" ca="1" si="69">IF(INDEX(SC_ZX_BalanceAccessibleA,ZXIDX1)&gt;0, BC13/INDEX(SC_ZX_BalanceAccessibleA,ZXIDX1), 0)</f>
        <v>#REF!</v>
      </c>
      <c r="BE13" s="107" t="e">
        <f ca="1">-IF(INDEX(SC_ZX_CodeA,ZXIDX1)="X", 0, MIN(BD13*MAX(INDEX(SC_ZX_Drawdown,ZXIDX2),0),AZ13))</f>
        <v>#REF!</v>
      </c>
      <c r="BF13" s="110" t="e">
        <f t="shared" ca="1" si="48"/>
        <v>#REF!</v>
      </c>
      <c r="BG13" s="106">
        <f t="shared" ca="1" si="49"/>
        <v>0</v>
      </c>
      <c r="BH13" s="107">
        <f t="shared" ca="1" si="50"/>
        <v>0</v>
      </c>
      <c r="BI13" s="107" t="e">
        <f t="shared" ca="1" si="51"/>
        <v>#REF!</v>
      </c>
      <c r="BJ13" s="107" t="e">
        <f t="shared" ca="1" si="52"/>
        <v>#REF!</v>
      </c>
      <c r="BK13" s="91" t="e">
        <f t="shared" ref="BK13:BK76" ca="1" si="70">IF(INDEX(SC_ZX_BalanceAccessibleA,ZXIDX1)&gt;0, BJ13/INDEX(SC_ZX_BalanceAccessibleA,ZXIDX1), 0)</f>
        <v>#REF!</v>
      </c>
      <c r="BL13" s="107" t="e">
        <f ca="1">-IF(INDEX(SC_ZX_CodeA,ZXIDX1)="X", 0, MIN(BK13*MAX(INDEX(SC_ZX_Drawdown,ZXIDX2),0),BJ13))</f>
        <v>#REF!</v>
      </c>
      <c r="BM13" s="107" t="e">
        <f t="shared" ca="1" si="54"/>
        <v>#REF!</v>
      </c>
      <c r="BN13" s="113" t="e">
        <f t="shared" ca="1" si="55"/>
        <v>#REF!</v>
      </c>
      <c r="BO13" s="114" t="e">
        <f t="shared" ca="1" si="56"/>
        <v>#REF!</v>
      </c>
      <c r="BP13" s="114" t="e">
        <f ca="1">-($V13-IF(($P13+$R13+$S13)&gt;0,MAX($V13/($P13+$R13+$S13)*($Q13+$R13),$V13),0))*LT_InvestmentQDI</f>
        <v>#REF!</v>
      </c>
      <c r="BQ13" s="114" t="e">
        <f ca="1">-($V13-IF(($P13+$R13+$S13)&gt;0,MAX($V13/($P13+$R13+$S13)*($Q13+$R13),$V13),0))*(1-LT_InvestmentQDI)</f>
        <v>#REF!</v>
      </c>
      <c r="BR13" s="114" t="e">
        <f t="shared" ca="1" si="57"/>
        <v>#REF!</v>
      </c>
      <c r="BS13" s="114" t="e">
        <f t="shared" ca="1" si="58"/>
        <v>#REF!</v>
      </c>
      <c r="BT13" s="649"/>
      <c r="BU13" s="637"/>
      <c r="BV13" s="637"/>
      <c r="BW13" s="637"/>
      <c r="BX13" s="639"/>
      <c r="BZ13" s="2"/>
      <c r="CO13" s="8"/>
    </row>
    <row r="14" spans="1:93" x14ac:dyDescent="0.25">
      <c r="B14" s="65">
        <f ca="1">B12+1</f>
        <v>2024</v>
      </c>
      <c r="C14" s="76" t="s">
        <v>741</v>
      </c>
      <c r="D14" s="146" t="str">
        <f t="shared" si="7"/>
        <v/>
      </c>
      <c r="E14" s="77">
        <f t="shared" si="8"/>
        <v>0</v>
      </c>
      <c r="F14" s="77">
        <f t="shared" si="18"/>
        <v>1</v>
      </c>
      <c r="G14" s="76">
        <f t="shared" si="9"/>
        <v>1</v>
      </c>
      <c r="H14" s="76">
        <f t="shared" si="10"/>
        <v>0</v>
      </c>
      <c r="I14" s="77" t="b">
        <f t="shared" si="11"/>
        <v>0</v>
      </c>
      <c r="J14" s="77"/>
      <c r="K14" s="77"/>
      <c r="L14" s="77"/>
      <c r="M14" s="77"/>
      <c r="N14" s="632">
        <f ca="1">YEAR(SP_TargetRD)-$B14</f>
        <v>-1</v>
      </c>
      <c r="O14" s="243" t="e">
        <f ca="1">LT_InvestmentStocks*INDEX(SP_EA_ARStocks,EAIDX)+LT_InvestmentBonds*INDEX(SC_EA_ARBonds,EAIDX)</f>
        <v>#REF!</v>
      </c>
      <c r="P14" s="634" t="e">
        <f ca="1">MAX(P12+R12+S12+V12+W12,0)</f>
        <v>#VALUE!</v>
      </c>
      <c r="Q14" s="617" t="e">
        <f t="shared" ref="Q14" ca="1" si="71">MAX(Q12+R12+IF((P12+R12+S12)&gt;0,MAX(V12/(P12+R12+S12)*(Q12+R12),V12),0),0)</f>
        <v>#VALUE!</v>
      </c>
      <c r="R14" s="617" t="e">
        <f ca="1">IF(SC_ZX_CodeA="X", 0, MAX(INDEX(SC_ZX_IncomeSurplus,ZXIDX2)+INDEX(SC_ZX_Debt,ZXIDX2),0))</f>
        <v>#VALUE!</v>
      </c>
      <c r="S14" s="617" t="e">
        <f ca="1">IF(SC_ZX_CodeA="X", 0, INDEX(SC_EX_RolloverCore,EXIDX))</f>
        <v>#VALUE!</v>
      </c>
      <c r="T14" s="617" t="e">
        <f ca="1">P14+R14+S14</f>
        <v>#VALUE!</v>
      </c>
      <c r="U14" s="642" t="e">
        <f ca="1">IF(SC_ZX_BalanceAccessibleA&gt;0, T14/SC_ZX_BalanceAccessibleA, 0)</f>
        <v>#VALUE!</v>
      </c>
      <c r="V14" s="617" t="e">
        <f ca="1">-IF(SC_ZX_CodeA="X",0,MIN(U14*MAX(INDEX(SC_ZX_Drawdown,ZXIDX2),0),T14))</f>
        <v>#VALUE!</v>
      </c>
      <c r="W14" s="618" t="e">
        <f ca="1">(P14+R14+S14+V14)*$O14</f>
        <v>#VALUE!</v>
      </c>
      <c r="X14" s="75" t="e">
        <f t="shared" ca="1" si="19"/>
        <v>#REF!</v>
      </c>
      <c r="Y14" s="70" t="e">
        <f t="shared" ca="1" si="20"/>
        <v>#REF!</v>
      </c>
      <c r="Z14" s="70" t="e">
        <f t="shared" ca="1" si="21"/>
        <v>#REF!</v>
      </c>
      <c r="AA14" s="70" t="e">
        <f t="shared" ca="1" si="22"/>
        <v>#REF!</v>
      </c>
      <c r="AB14" s="67" t="e">
        <f t="shared" ca="1" si="65"/>
        <v>#REF!</v>
      </c>
      <c r="AC14" s="70" t="e">
        <f ca="1">-IF(INDEX(SC_ZX_CodeA,ZXIDX1)="X", 0, MIN(AB14*MAX(INDEX(SC_ZX_Drawdown,ZXIDX2),0),AA14))</f>
        <v>#REF!</v>
      </c>
      <c r="AD14" s="109" t="e">
        <f t="shared" ca="1" si="24"/>
        <v>#REF!</v>
      </c>
      <c r="AE14" s="75" t="e">
        <f t="shared" ca="1" si="25"/>
        <v>#REF!</v>
      </c>
      <c r="AF14" s="70" t="e">
        <f t="shared" ca="1" si="26"/>
        <v>#REF!</v>
      </c>
      <c r="AG14" s="70" t="e">
        <f t="shared" ca="1" si="27"/>
        <v>#REF!</v>
      </c>
      <c r="AH14" s="70" t="e">
        <f t="shared" ca="1" si="28"/>
        <v>#REF!</v>
      </c>
      <c r="AI14" s="67" t="e">
        <f t="shared" ca="1" si="66"/>
        <v>#REF!</v>
      </c>
      <c r="AJ14" s="70" t="e">
        <f ca="1">-IF(INDEX(SC_ZX_CodeA,ZXIDX1)="X", 0, MIN(AI14*MAX(INDEX(SC_ZX_Drawdown,ZXIDX2),0),AH14))</f>
        <v>#REF!</v>
      </c>
      <c r="AK14" s="109" t="e">
        <f t="shared" ca="1" si="30"/>
        <v>#REF!</v>
      </c>
      <c r="AL14" s="75" t="e">
        <f t="shared" ca="1" si="31"/>
        <v>#REF!</v>
      </c>
      <c r="AM14" s="70" t="e">
        <f t="shared" ca="1" si="32"/>
        <v>#REF!</v>
      </c>
      <c r="AN14" s="70" t="e">
        <f t="shared" ca="1" si="33"/>
        <v>#REF!</v>
      </c>
      <c r="AO14" s="70" t="e">
        <f t="shared" ca="1" si="34"/>
        <v>#REF!</v>
      </c>
      <c r="AP14" s="67" t="e">
        <f t="shared" ca="1" si="67"/>
        <v>#REF!</v>
      </c>
      <c r="AQ14" s="70" t="e">
        <f ca="1">-IF(INDEX(SC_ZX_CodeA,ZXIDX1)="X", 0, MIN(AP14*MAX(INDEX(SC_ZX_Drawdown,ZXIDX2),0),AO14))</f>
        <v>#REF!</v>
      </c>
      <c r="AR14" s="109" t="e">
        <f t="shared" ca="1" si="36"/>
        <v>#REF!</v>
      </c>
      <c r="AS14" s="75" t="e">
        <f t="shared" ca="1" si="37"/>
        <v>#REF!</v>
      </c>
      <c r="AT14" s="70" t="e">
        <f t="shared" ca="1" si="38"/>
        <v>#REF!</v>
      </c>
      <c r="AU14" s="70" t="e">
        <f t="shared" ca="1" si="39"/>
        <v>#REF!</v>
      </c>
      <c r="AV14" s="70" t="e">
        <f t="shared" ca="1" si="40"/>
        <v>#REF!</v>
      </c>
      <c r="AW14" s="67" t="e">
        <f t="shared" ca="1" si="68"/>
        <v>#REF!</v>
      </c>
      <c r="AX14" s="70" t="e">
        <f ca="1">-IF(INDEX(SC_ZX_CodeA,ZXIDX1)="X", 0, MIN(AW14*MAX(INDEX(SC_ZX_Drawdown,ZXIDX2),0),AV14))</f>
        <v>#REF!</v>
      </c>
      <c r="AY14" s="109" t="e">
        <f t="shared" ca="1" si="42"/>
        <v>#REF!</v>
      </c>
      <c r="AZ14" s="75" t="e">
        <f t="shared" ca="1" si="43"/>
        <v>#REF!</v>
      </c>
      <c r="BA14" s="70" t="e">
        <f t="shared" ca="1" si="44"/>
        <v>#REF!</v>
      </c>
      <c r="BB14" s="70" t="e">
        <f t="shared" ca="1" si="45"/>
        <v>#REF!</v>
      </c>
      <c r="BC14" s="70" t="e">
        <f t="shared" ca="1" si="46"/>
        <v>#REF!</v>
      </c>
      <c r="BD14" s="67" t="e">
        <f t="shared" ca="1" si="69"/>
        <v>#REF!</v>
      </c>
      <c r="BE14" s="70" t="e">
        <f ca="1">-IF(INDEX(SC_ZX_CodeA,ZXIDX1)="X", 0, MIN(BD14*MAX(INDEX(SC_ZX_Drawdown,ZXIDX2),0),AZ14))</f>
        <v>#REF!</v>
      </c>
      <c r="BF14" s="109" t="e">
        <f t="shared" ca="1" si="48"/>
        <v>#REF!</v>
      </c>
      <c r="BG14" s="75" t="e">
        <f t="shared" ca="1" si="49"/>
        <v>#REF!</v>
      </c>
      <c r="BH14" s="70" t="e">
        <f t="shared" ca="1" si="50"/>
        <v>#REF!</v>
      </c>
      <c r="BI14" s="70" t="e">
        <f t="shared" ca="1" si="51"/>
        <v>#REF!</v>
      </c>
      <c r="BJ14" s="70" t="e">
        <f t="shared" ca="1" si="52"/>
        <v>#REF!</v>
      </c>
      <c r="BK14" s="67" t="e">
        <f t="shared" ca="1" si="70"/>
        <v>#REF!</v>
      </c>
      <c r="BL14" s="70" t="e">
        <f ca="1">-IF(INDEX(SC_ZX_CodeA,ZXIDX1)="X", 0, MIN(BK14*MAX(INDEX(SC_ZX_Drawdown,ZXIDX2),0),BJ14))</f>
        <v>#REF!</v>
      </c>
      <c r="BM14" s="70" t="e">
        <f t="shared" ca="1" si="54"/>
        <v>#REF!</v>
      </c>
      <c r="BN14" s="111" t="e">
        <f t="shared" ca="1" si="55"/>
        <v>#REF!</v>
      </c>
      <c r="BO14" s="112" t="e">
        <f t="shared" ca="1" si="56"/>
        <v>#REF!</v>
      </c>
      <c r="BP14" s="112" t="e">
        <f ca="1">-($V14-IF(($P14+$R14+$S14)&gt;0,MAX($V14/($P14+$R14+$S14)*($Q14+$R14),$V14),0))*LT_InvestmentQDI</f>
        <v>#VALUE!</v>
      </c>
      <c r="BQ14" s="112" t="e">
        <f ca="1">-($V14-IF(($P14+$R14+$S14)&gt;0,MAX($V14/($P14+$R14+$S14)*($Q14+$R14),$V14),0))*(1-LT_InvestmentQDI)</f>
        <v>#VALUE!</v>
      </c>
      <c r="BR14" s="112" t="e">
        <f t="shared" ca="1" si="57"/>
        <v>#VALUE!</v>
      </c>
      <c r="BS14" s="112" t="e">
        <f t="shared" ca="1" si="58"/>
        <v>#VALUE!</v>
      </c>
      <c r="BT14" s="634" t="e">
        <f ca="1">SUMPRODUCT($BN14:$BN15+$BO14:$BO15, --($E14:$E15&lt;&gt;0))</f>
        <v>#REF!</v>
      </c>
      <c r="BU14" s="617" t="e">
        <f ca="1">SUMPRODUCT($BR14:$BR15+$BS14:$BS15, --($E14:$E15&lt;&gt;0))</f>
        <v>#VALUE!</v>
      </c>
      <c r="BV14" s="617" t="e">
        <f ca="1">$T14+SUMPRODUCT($AA14:$AA15+$AH14:$AH15+$AO14:$AO15+$AV14:$AV15+$BC14:$BC15+$BJ14:$BJ15, --($E14:$E15&lt;&gt;0))</f>
        <v>#VALUE!</v>
      </c>
      <c r="BW14" s="617" t="e">
        <f ca="1">MAX($P14-$Q14,0)+SUMPRODUCT($X14:$X15+$AL14:$AL15+$AZ14:$AZ15, --($E14:$E15&lt;&gt;0))</f>
        <v>#VALUE!</v>
      </c>
      <c r="BX14" s="618" t="e">
        <f ca="1">MIN($P14,$Q14)+SUMPRODUCT($AE14:$AE15+$AS14:$AS15+$BG14:$BG15, --($E14:$E15&lt;&gt;0))</f>
        <v>#VALUE!</v>
      </c>
      <c r="BZ14" s="2"/>
      <c r="CO14" s="8"/>
    </row>
    <row r="15" spans="1:93" x14ac:dyDescent="0.25">
      <c r="B15" s="86">
        <f t="shared" ca="1" si="59"/>
        <v>2024</v>
      </c>
      <c r="C15" s="80" t="s">
        <v>741</v>
      </c>
      <c r="D15" s="147" t="str">
        <f t="shared" si="7"/>
        <v/>
      </c>
      <c r="E15" s="81">
        <f t="shared" si="8"/>
        <v>0</v>
      </c>
      <c r="F15" s="81">
        <f t="shared" si="18"/>
        <v>2</v>
      </c>
      <c r="G15" s="82">
        <f t="shared" si="9"/>
        <v>-1</v>
      </c>
      <c r="H15" s="82">
        <f t="shared" si="10"/>
        <v>0</v>
      </c>
      <c r="I15" s="81" t="b">
        <f t="shared" si="11"/>
        <v>0</v>
      </c>
      <c r="J15" s="81"/>
      <c r="K15" s="81"/>
      <c r="L15" s="81"/>
      <c r="M15" s="81"/>
      <c r="N15" s="633"/>
      <c r="O15" s="243" t="e">
        <f ca="1">LT_InvestmentStocks*INDEX(SP_EA_ARStocks,EAIDX)+LT_InvestmentBonds*INDEX(SC_EA_ARBonds,EAIDX)</f>
        <v>#REF!</v>
      </c>
      <c r="P15" s="634"/>
      <c r="Q15" s="617"/>
      <c r="R15" s="617"/>
      <c r="S15" s="617"/>
      <c r="T15" s="617"/>
      <c r="U15" s="643"/>
      <c r="V15" s="617"/>
      <c r="W15" s="639"/>
      <c r="X15" s="106" t="e">
        <f t="shared" ca="1" si="19"/>
        <v>#REF!</v>
      </c>
      <c r="Y15" s="107" t="e">
        <f t="shared" ca="1" si="20"/>
        <v>#REF!</v>
      </c>
      <c r="Z15" s="107" t="e">
        <f t="shared" ca="1" si="21"/>
        <v>#REF!</v>
      </c>
      <c r="AA15" s="107" t="e">
        <f t="shared" ca="1" si="22"/>
        <v>#REF!</v>
      </c>
      <c r="AB15" s="91" t="e">
        <f t="shared" ca="1" si="65"/>
        <v>#REF!</v>
      </c>
      <c r="AC15" s="107" t="e">
        <f ca="1">-IF(INDEX(SC_ZX_CodeA,ZXIDX1)="X", 0, MIN(AB15*MAX(INDEX(SC_ZX_Drawdown,ZXIDX2),0),AA15))</f>
        <v>#REF!</v>
      </c>
      <c r="AD15" s="110" t="e">
        <f t="shared" ca="1" si="24"/>
        <v>#REF!</v>
      </c>
      <c r="AE15" s="106" t="e">
        <f t="shared" ca="1" si="25"/>
        <v>#REF!</v>
      </c>
      <c r="AF15" s="107" t="e">
        <f t="shared" ca="1" si="26"/>
        <v>#REF!</v>
      </c>
      <c r="AG15" s="107" t="e">
        <f t="shared" ca="1" si="27"/>
        <v>#REF!</v>
      </c>
      <c r="AH15" s="107" t="e">
        <f t="shared" ca="1" si="28"/>
        <v>#REF!</v>
      </c>
      <c r="AI15" s="91" t="e">
        <f t="shared" ca="1" si="66"/>
        <v>#REF!</v>
      </c>
      <c r="AJ15" s="107" t="e">
        <f ca="1">-IF(INDEX(SC_ZX_CodeA,ZXIDX1)="X", 0, MIN(AI15*MAX(INDEX(SC_ZX_Drawdown,ZXIDX2),0),AH15))</f>
        <v>#REF!</v>
      </c>
      <c r="AK15" s="110" t="e">
        <f t="shared" ca="1" si="30"/>
        <v>#REF!</v>
      </c>
      <c r="AL15" s="106" t="e">
        <f t="shared" ca="1" si="31"/>
        <v>#REF!</v>
      </c>
      <c r="AM15" s="107" t="e">
        <f t="shared" ca="1" si="32"/>
        <v>#REF!</v>
      </c>
      <c r="AN15" s="107" t="e">
        <f t="shared" ca="1" si="33"/>
        <v>#REF!</v>
      </c>
      <c r="AO15" s="107" t="e">
        <f t="shared" ca="1" si="34"/>
        <v>#REF!</v>
      </c>
      <c r="AP15" s="91" t="e">
        <f t="shared" ca="1" si="67"/>
        <v>#REF!</v>
      </c>
      <c r="AQ15" s="107" t="e">
        <f ca="1">-IF(INDEX(SC_ZX_CodeA,ZXIDX1)="X", 0, MIN(AP15*MAX(INDEX(SC_ZX_Drawdown,ZXIDX2),0),AO15))</f>
        <v>#REF!</v>
      </c>
      <c r="AR15" s="110" t="e">
        <f t="shared" ca="1" si="36"/>
        <v>#REF!</v>
      </c>
      <c r="AS15" s="106" t="e">
        <f t="shared" ca="1" si="37"/>
        <v>#REF!</v>
      </c>
      <c r="AT15" s="107" t="e">
        <f t="shared" ca="1" si="38"/>
        <v>#REF!</v>
      </c>
      <c r="AU15" s="107" t="e">
        <f t="shared" ca="1" si="39"/>
        <v>#REF!</v>
      </c>
      <c r="AV15" s="107" t="e">
        <f t="shared" ca="1" si="40"/>
        <v>#REF!</v>
      </c>
      <c r="AW15" s="91" t="e">
        <f t="shared" ca="1" si="68"/>
        <v>#REF!</v>
      </c>
      <c r="AX15" s="107" t="e">
        <f ca="1">-IF(INDEX(SC_ZX_CodeA,ZXIDX1)="X", 0, MIN(AW15*MAX(INDEX(SC_ZX_Drawdown,ZXIDX2),0),AV15))</f>
        <v>#REF!</v>
      </c>
      <c r="AY15" s="110" t="e">
        <f t="shared" ca="1" si="42"/>
        <v>#REF!</v>
      </c>
      <c r="AZ15" s="106" t="e">
        <f t="shared" ca="1" si="43"/>
        <v>#REF!</v>
      </c>
      <c r="BA15" s="107" t="e">
        <f t="shared" ca="1" si="44"/>
        <v>#REF!</v>
      </c>
      <c r="BB15" s="107" t="e">
        <f t="shared" ca="1" si="45"/>
        <v>#REF!</v>
      </c>
      <c r="BC15" s="107" t="e">
        <f t="shared" ca="1" si="46"/>
        <v>#REF!</v>
      </c>
      <c r="BD15" s="91" t="e">
        <f t="shared" ca="1" si="69"/>
        <v>#REF!</v>
      </c>
      <c r="BE15" s="107" t="e">
        <f ca="1">-IF(INDEX(SC_ZX_CodeA,ZXIDX1)="X", 0, MIN(BD15*MAX(INDEX(SC_ZX_Drawdown,ZXIDX2),0),AZ15))</f>
        <v>#REF!</v>
      </c>
      <c r="BF15" s="110" t="e">
        <f t="shared" ca="1" si="48"/>
        <v>#REF!</v>
      </c>
      <c r="BG15" s="106" t="e">
        <f t="shared" ca="1" si="49"/>
        <v>#REF!</v>
      </c>
      <c r="BH15" s="107" t="e">
        <f t="shared" ca="1" si="50"/>
        <v>#REF!</v>
      </c>
      <c r="BI15" s="107" t="e">
        <f t="shared" ca="1" si="51"/>
        <v>#REF!</v>
      </c>
      <c r="BJ15" s="107" t="e">
        <f t="shared" ca="1" si="52"/>
        <v>#REF!</v>
      </c>
      <c r="BK15" s="91" t="e">
        <f t="shared" ca="1" si="70"/>
        <v>#REF!</v>
      </c>
      <c r="BL15" s="107" t="e">
        <f ca="1">-IF(INDEX(SC_ZX_CodeA,ZXIDX1)="X", 0, MIN(BK15*MAX(INDEX(SC_ZX_Drawdown,ZXIDX2),0),BJ15))</f>
        <v>#REF!</v>
      </c>
      <c r="BM15" s="107" t="e">
        <f t="shared" ca="1" si="54"/>
        <v>#REF!</v>
      </c>
      <c r="BN15" s="113" t="e">
        <f t="shared" ca="1" si="55"/>
        <v>#REF!</v>
      </c>
      <c r="BO15" s="114" t="e">
        <f t="shared" ca="1" si="56"/>
        <v>#REF!</v>
      </c>
      <c r="BP15" s="114" t="e">
        <f ca="1">-($V15-IF(($P15+$R15+$S15)&gt;0,MAX($V15/($P15+$R15+$S15)*($Q15+$R15),$V15),0))*LT_InvestmentQDI</f>
        <v>#REF!</v>
      </c>
      <c r="BQ15" s="114" t="e">
        <f ca="1">-($V15-IF(($P15+$R15+$S15)&gt;0,MAX($V15/($P15+$R15+$S15)*($Q15+$R15),$V15),0))*(1-LT_InvestmentQDI)</f>
        <v>#REF!</v>
      </c>
      <c r="BR15" s="114" t="e">
        <f t="shared" ca="1" si="57"/>
        <v>#REF!</v>
      </c>
      <c r="BS15" s="114" t="e">
        <f t="shared" ca="1" si="58"/>
        <v>#REF!</v>
      </c>
      <c r="BT15" s="649"/>
      <c r="BU15" s="637"/>
      <c r="BV15" s="637"/>
      <c r="BW15" s="637"/>
      <c r="BX15" s="639"/>
      <c r="BZ15" s="2"/>
      <c r="CO15" s="8"/>
    </row>
    <row r="16" spans="1:93" x14ac:dyDescent="0.25">
      <c r="B16" s="65">
        <f ca="1">B14+1</f>
        <v>2025</v>
      </c>
      <c r="C16" s="76" t="s">
        <v>741</v>
      </c>
      <c r="D16" s="146" t="str">
        <f t="shared" si="7"/>
        <v/>
      </c>
      <c r="E16" s="77">
        <f t="shared" si="8"/>
        <v>0</v>
      </c>
      <c r="F16" s="77">
        <f t="shared" si="18"/>
        <v>1</v>
      </c>
      <c r="G16" s="76">
        <f t="shared" si="9"/>
        <v>1</v>
      </c>
      <c r="H16" s="76">
        <f t="shared" si="10"/>
        <v>0</v>
      </c>
      <c r="I16" s="77" t="b">
        <f t="shared" si="11"/>
        <v>0</v>
      </c>
      <c r="J16" s="77"/>
      <c r="K16" s="77"/>
      <c r="L16" s="77"/>
      <c r="M16" s="77"/>
      <c r="N16" s="632">
        <f ca="1">YEAR(SP_TargetRD)-$B16</f>
        <v>-2</v>
      </c>
      <c r="O16" s="243" t="e">
        <f ca="1">LT_InvestmentStocks*INDEX(SP_EA_ARStocks,EAIDX)+LT_InvestmentBonds*INDEX(SC_EA_ARBonds,EAIDX)</f>
        <v>#REF!</v>
      </c>
      <c r="P16" s="634" t="e">
        <f ca="1">MAX(P14+R14+S14+V14+W14,0)</f>
        <v>#VALUE!</v>
      </c>
      <c r="Q16" s="617" t="e">
        <f t="shared" ref="Q16" ca="1" si="72">MAX(Q14+R14+IF((P14+R14+S14)&gt;0,MAX(V14/(P14+R14+S14)*(Q14+R14),V14),0),0)</f>
        <v>#VALUE!</v>
      </c>
      <c r="R16" s="617" t="e">
        <f ca="1">IF(SC_ZX_CodeA="X", 0, MAX(INDEX(SC_ZX_IncomeSurplus,ZXIDX2)+INDEX(SC_ZX_Debt,ZXIDX2),0))</f>
        <v>#VALUE!</v>
      </c>
      <c r="S16" s="617" t="e">
        <f ca="1">IF(SC_ZX_CodeA="X", 0, INDEX(SC_EX_RolloverCore,EXIDX))</f>
        <v>#VALUE!</v>
      </c>
      <c r="T16" s="617" t="e">
        <f ca="1">P16+R16+S16</f>
        <v>#VALUE!</v>
      </c>
      <c r="U16" s="642" t="e">
        <f ca="1">IF(SC_ZX_BalanceAccessibleA&gt;0, T16/SC_ZX_BalanceAccessibleA, 0)</f>
        <v>#VALUE!</v>
      </c>
      <c r="V16" s="617" t="e">
        <f ca="1">-IF(SC_ZX_CodeA="X",0,MIN(U16*MAX(INDEX(SC_ZX_Drawdown,ZXIDX2),0),T16))</f>
        <v>#VALUE!</v>
      </c>
      <c r="W16" s="618" t="e">
        <f ca="1">(P16+R16+S16+V16)*$O16</f>
        <v>#VALUE!</v>
      </c>
      <c r="X16" s="75" t="e">
        <f t="shared" ca="1" si="19"/>
        <v>#REF!</v>
      </c>
      <c r="Y16" s="70" t="e">
        <f t="shared" ca="1" si="20"/>
        <v>#REF!</v>
      </c>
      <c r="Z16" s="70" t="e">
        <f t="shared" ca="1" si="21"/>
        <v>#REF!</v>
      </c>
      <c r="AA16" s="70" t="e">
        <f t="shared" ca="1" si="22"/>
        <v>#REF!</v>
      </c>
      <c r="AB16" s="67" t="e">
        <f t="shared" ca="1" si="65"/>
        <v>#REF!</v>
      </c>
      <c r="AC16" s="70" t="e">
        <f ca="1">-IF(INDEX(SC_ZX_CodeA,ZXIDX1)="X", 0, MIN(AB16*MAX(INDEX(SC_ZX_Drawdown,ZXIDX2),0),AA16))</f>
        <v>#REF!</v>
      </c>
      <c r="AD16" s="109" t="e">
        <f t="shared" ca="1" si="24"/>
        <v>#REF!</v>
      </c>
      <c r="AE16" s="75" t="e">
        <f t="shared" ca="1" si="25"/>
        <v>#REF!</v>
      </c>
      <c r="AF16" s="70" t="e">
        <f t="shared" ca="1" si="26"/>
        <v>#REF!</v>
      </c>
      <c r="AG16" s="70" t="e">
        <f t="shared" ca="1" si="27"/>
        <v>#REF!</v>
      </c>
      <c r="AH16" s="70" t="e">
        <f t="shared" ca="1" si="28"/>
        <v>#REF!</v>
      </c>
      <c r="AI16" s="67" t="e">
        <f t="shared" ca="1" si="66"/>
        <v>#REF!</v>
      </c>
      <c r="AJ16" s="70" t="e">
        <f ca="1">-IF(INDEX(SC_ZX_CodeA,ZXIDX1)="X", 0, MIN(AI16*MAX(INDEX(SC_ZX_Drawdown,ZXIDX2),0),AH16))</f>
        <v>#REF!</v>
      </c>
      <c r="AK16" s="109" t="e">
        <f t="shared" ca="1" si="30"/>
        <v>#REF!</v>
      </c>
      <c r="AL16" s="75" t="e">
        <f t="shared" ca="1" si="31"/>
        <v>#REF!</v>
      </c>
      <c r="AM16" s="70" t="e">
        <f t="shared" ca="1" si="32"/>
        <v>#REF!</v>
      </c>
      <c r="AN16" s="70" t="e">
        <f t="shared" ca="1" si="33"/>
        <v>#REF!</v>
      </c>
      <c r="AO16" s="70" t="e">
        <f t="shared" ca="1" si="34"/>
        <v>#REF!</v>
      </c>
      <c r="AP16" s="67" t="e">
        <f t="shared" ca="1" si="67"/>
        <v>#REF!</v>
      </c>
      <c r="AQ16" s="70" t="e">
        <f ca="1">-IF(INDEX(SC_ZX_CodeA,ZXIDX1)="X", 0, MIN(AP16*MAX(INDEX(SC_ZX_Drawdown,ZXIDX2),0),AO16))</f>
        <v>#REF!</v>
      </c>
      <c r="AR16" s="109" t="e">
        <f t="shared" ca="1" si="36"/>
        <v>#REF!</v>
      </c>
      <c r="AS16" s="75" t="e">
        <f t="shared" ca="1" si="37"/>
        <v>#REF!</v>
      </c>
      <c r="AT16" s="70" t="e">
        <f t="shared" ca="1" si="38"/>
        <v>#REF!</v>
      </c>
      <c r="AU16" s="70" t="e">
        <f t="shared" ca="1" si="39"/>
        <v>#REF!</v>
      </c>
      <c r="AV16" s="70" t="e">
        <f t="shared" ca="1" si="40"/>
        <v>#REF!</v>
      </c>
      <c r="AW16" s="67" t="e">
        <f t="shared" ca="1" si="68"/>
        <v>#REF!</v>
      </c>
      <c r="AX16" s="70" t="e">
        <f ca="1">-IF(INDEX(SC_ZX_CodeA,ZXIDX1)="X", 0, MIN(AW16*MAX(INDEX(SC_ZX_Drawdown,ZXIDX2),0),AV16))</f>
        <v>#REF!</v>
      </c>
      <c r="AY16" s="109" t="e">
        <f t="shared" ca="1" si="42"/>
        <v>#REF!</v>
      </c>
      <c r="AZ16" s="75" t="e">
        <f t="shared" ca="1" si="43"/>
        <v>#REF!</v>
      </c>
      <c r="BA16" s="70" t="e">
        <f t="shared" ca="1" si="44"/>
        <v>#REF!</v>
      </c>
      <c r="BB16" s="70" t="e">
        <f t="shared" ca="1" si="45"/>
        <v>#REF!</v>
      </c>
      <c r="BC16" s="70" t="e">
        <f t="shared" ca="1" si="46"/>
        <v>#REF!</v>
      </c>
      <c r="BD16" s="67" t="e">
        <f t="shared" ca="1" si="69"/>
        <v>#REF!</v>
      </c>
      <c r="BE16" s="70" t="e">
        <f ca="1">-IF(INDEX(SC_ZX_CodeA,ZXIDX1)="X", 0, MIN(BD16*MAX(INDEX(SC_ZX_Drawdown,ZXIDX2),0),AZ16))</f>
        <v>#REF!</v>
      </c>
      <c r="BF16" s="109" t="e">
        <f t="shared" ca="1" si="48"/>
        <v>#REF!</v>
      </c>
      <c r="BG16" s="75" t="e">
        <f t="shared" ca="1" si="49"/>
        <v>#REF!</v>
      </c>
      <c r="BH16" s="70" t="e">
        <f t="shared" ca="1" si="50"/>
        <v>#REF!</v>
      </c>
      <c r="BI16" s="70" t="e">
        <f t="shared" ca="1" si="51"/>
        <v>#REF!</v>
      </c>
      <c r="BJ16" s="70" t="e">
        <f t="shared" ca="1" si="52"/>
        <v>#REF!</v>
      </c>
      <c r="BK16" s="67" t="e">
        <f t="shared" ca="1" si="70"/>
        <v>#REF!</v>
      </c>
      <c r="BL16" s="70" t="e">
        <f ca="1">-IF(INDEX(SC_ZX_CodeA,ZXIDX1)="X", 0, MIN(BK16*MAX(INDEX(SC_ZX_Drawdown,ZXIDX2),0),BJ16))</f>
        <v>#REF!</v>
      </c>
      <c r="BM16" s="70" t="e">
        <f t="shared" ca="1" si="54"/>
        <v>#REF!</v>
      </c>
      <c r="BN16" s="111" t="e">
        <f t="shared" ca="1" si="55"/>
        <v>#REF!</v>
      </c>
      <c r="BO16" s="112" t="e">
        <f t="shared" ca="1" si="56"/>
        <v>#REF!</v>
      </c>
      <c r="BP16" s="112" t="e">
        <f ca="1">-($V16-IF(($P16+$R16+$S16)&gt;0,MAX($V16/($P16+$R16+$S16)*($Q16+$R16),$V16),0))*LT_InvestmentQDI</f>
        <v>#VALUE!</v>
      </c>
      <c r="BQ16" s="112" t="e">
        <f ca="1">-($V16-IF(($P16+$R16+$S16)&gt;0,MAX($V16/($P16+$R16+$S16)*($Q16+$R16),$V16),0))*(1-LT_InvestmentQDI)</f>
        <v>#VALUE!</v>
      </c>
      <c r="BR16" s="112" t="e">
        <f t="shared" ca="1" si="57"/>
        <v>#VALUE!</v>
      </c>
      <c r="BS16" s="112" t="e">
        <f t="shared" ca="1" si="58"/>
        <v>#VALUE!</v>
      </c>
      <c r="BT16" s="634" t="e">
        <f ca="1">SUMPRODUCT($BN16:$BN17+$BO16:$BO17, --($E16:$E17&lt;&gt;0))</f>
        <v>#REF!</v>
      </c>
      <c r="BU16" s="617" t="e">
        <f ca="1">SUMPRODUCT($BR16:$BR17+$BS16:$BS17, --($E16:$E17&lt;&gt;0))</f>
        <v>#VALUE!</v>
      </c>
      <c r="BV16" s="617" t="e">
        <f ca="1">$T16+SUMPRODUCT($AA16:$AA17+$AH16:$AH17+$AO16:$AO17+$AV16:$AV17+$BC16:$BC17+$BJ16:$BJ17, --($E16:$E17&lt;&gt;0))</f>
        <v>#VALUE!</v>
      </c>
      <c r="BW16" s="617" t="e">
        <f ca="1">MAX($P16-$Q16,0)+SUMPRODUCT($X16:$X17+$AL16:$AL17+$AZ16:$AZ17, --($E16:$E17&lt;&gt;0))</f>
        <v>#VALUE!</v>
      </c>
      <c r="BX16" s="618" t="e">
        <f ca="1">MIN($P16,$Q16)+SUMPRODUCT($AE16:$AE17+$AS16:$AS17+$BG16:$BG17, --($E16:$E17&lt;&gt;0))</f>
        <v>#VALUE!</v>
      </c>
      <c r="BZ16" s="2"/>
      <c r="CO16" s="8"/>
    </row>
    <row r="17" spans="2:93" x14ac:dyDescent="0.25">
      <c r="B17" s="86">
        <f t="shared" ca="1" si="59"/>
        <v>2025</v>
      </c>
      <c r="C17" s="80" t="s">
        <v>741</v>
      </c>
      <c r="D17" s="147" t="str">
        <f t="shared" si="7"/>
        <v/>
      </c>
      <c r="E17" s="81">
        <f t="shared" si="8"/>
        <v>0</v>
      </c>
      <c r="F17" s="81">
        <f t="shared" si="18"/>
        <v>2</v>
      </c>
      <c r="G17" s="82">
        <f t="shared" si="9"/>
        <v>-1</v>
      </c>
      <c r="H17" s="82">
        <f t="shared" si="10"/>
        <v>0</v>
      </c>
      <c r="I17" s="81" t="b">
        <f t="shared" si="11"/>
        <v>0</v>
      </c>
      <c r="J17" s="81"/>
      <c r="K17" s="81"/>
      <c r="L17" s="81"/>
      <c r="M17" s="81"/>
      <c r="N17" s="633"/>
      <c r="O17" s="243" t="e">
        <f ca="1">LT_InvestmentStocks*INDEX(SP_EA_ARStocks,EAIDX)+LT_InvestmentBonds*INDEX(SC_EA_ARBonds,EAIDX)</f>
        <v>#REF!</v>
      </c>
      <c r="P17" s="634"/>
      <c r="Q17" s="617"/>
      <c r="R17" s="617"/>
      <c r="S17" s="617"/>
      <c r="T17" s="617"/>
      <c r="U17" s="643"/>
      <c r="V17" s="617"/>
      <c r="W17" s="639"/>
      <c r="X17" s="106" t="e">
        <f t="shared" ca="1" si="19"/>
        <v>#REF!</v>
      </c>
      <c r="Y17" s="107" t="e">
        <f t="shared" ca="1" si="20"/>
        <v>#REF!</v>
      </c>
      <c r="Z17" s="107" t="e">
        <f t="shared" ca="1" si="21"/>
        <v>#REF!</v>
      </c>
      <c r="AA17" s="107" t="e">
        <f t="shared" ca="1" si="22"/>
        <v>#REF!</v>
      </c>
      <c r="AB17" s="91" t="e">
        <f t="shared" ca="1" si="65"/>
        <v>#REF!</v>
      </c>
      <c r="AC17" s="107" t="e">
        <f ca="1">-IF(INDEX(SC_ZX_CodeA,ZXIDX1)="X", 0, MIN(AB17*MAX(INDEX(SC_ZX_Drawdown,ZXIDX2),0),AA17))</f>
        <v>#REF!</v>
      </c>
      <c r="AD17" s="110" t="e">
        <f t="shared" ca="1" si="24"/>
        <v>#REF!</v>
      </c>
      <c r="AE17" s="106" t="e">
        <f t="shared" ca="1" si="25"/>
        <v>#REF!</v>
      </c>
      <c r="AF17" s="107" t="e">
        <f t="shared" ca="1" si="26"/>
        <v>#REF!</v>
      </c>
      <c r="AG17" s="107" t="e">
        <f t="shared" ca="1" si="27"/>
        <v>#REF!</v>
      </c>
      <c r="AH17" s="107" t="e">
        <f t="shared" ca="1" si="28"/>
        <v>#REF!</v>
      </c>
      <c r="AI17" s="91" t="e">
        <f t="shared" ca="1" si="66"/>
        <v>#REF!</v>
      </c>
      <c r="AJ17" s="107" t="e">
        <f ca="1">-IF(INDEX(SC_ZX_CodeA,ZXIDX1)="X", 0, MIN(AI17*MAX(INDEX(SC_ZX_Drawdown,ZXIDX2),0),AH17))</f>
        <v>#REF!</v>
      </c>
      <c r="AK17" s="110" t="e">
        <f t="shared" ca="1" si="30"/>
        <v>#REF!</v>
      </c>
      <c r="AL17" s="106" t="e">
        <f t="shared" ca="1" si="31"/>
        <v>#REF!</v>
      </c>
      <c r="AM17" s="107" t="e">
        <f t="shared" ca="1" si="32"/>
        <v>#REF!</v>
      </c>
      <c r="AN17" s="107" t="e">
        <f t="shared" ca="1" si="33"/>
        <v>#REF!</v>
      </c>
      <c r="AO17" s="107" t="e">
        <f t="shared" ca="1" si="34"/>
        <v>#REF!</v>
      </c>
      <c r="AP17" s="91" t="e">
        <f t="shared" ca="1" si="67"/>
        <v>#REF!</v>
      </c>
      <c r="AQ17" s="107" t="e">
        <f ca="1">-IF(INDEX(SC_ZX_CodeA,ZXIDX1)="X", 0, MIN(AP17*MAX(INDEX(SC_ZX_Drawdown,ZXIDX2),0),AO17))</f>
        <v>#REF!</v>
      </c>
      <c r="AR17" s="110" t="e">
        <f t="shared" ca="1" si="36"/>
        <v>#REF!</v>
      </c>
      <c r="AS17" s="106" t="e">
        <f t="shared" ca="1" si="37"/>
        <v>#REF!</v>
      </c>
      <c r="AT17" s="107" t="e">
        <f t="shared" ca="1" si="38"/>
        <v>#REF!</v>
      </c>
      <c r="AU17" s="107" t="e">
        <f t="shared" ca="1" si="39"/>
        <v>#REF!</v>
      </c>
      <c r="AV17" s="107" t="e">
        <f t="shared" ca="1" si="40"/>
        <v>#REF!</v>
      </c>
      <c r="AW17" s="91" t="e">
        <f t="shared" ca="1" si="68"/>
        <v>#REF!</v>
      </c>
      <c r="AX17" s="107" t="e">
        <f ca="1">-IF(INDEX(SC_ZX_CodeA,ZXIDX1)="X", 0, MIN(AW17*MAX(INDEX(SC_ZX_Drawdown,ZXIDX2),0),AV17))</f>
        <v>#REF!</v>
      </c>
      <c r="AY17" s="110" t="e">
        <f t="shared" ca="1" si="42"/>
        <v>#REF!</v>
      </c>
      <c r="AZ17" s="106" t="e">
        <f t="shared" ca="1" si="43"/>
        <v>#REF!</v>
      </c>
      <c r="BA17" s="107" t="e">
        <f t="shared" ca="1" si="44"/>
        <v>#REF!</v>
      </c>
      <c r="BB17" s="107" t="e">
        <f t="shared" ca="1" si="45"/>
        <v>#REF!</v>
      </c>
      <c r="BC17" s="107" t="e">
        <f t="shared" ca="1" si="46"/>
        <v>#REF!</v>
      </c>
      <c r="BD17" s="91" t="e">
        <f t="shared" ca="1" si="69"/>
        <v>#REF!</v>
      </c>
      <c r="BE17" s="107" t="e">
        <f ca="1">-IF(INDEX(SC_ZX_CodeA,ZXIDX1)="X", 0, MIN(BD17*MAX(INDEX(SC_ZX_Drawdown,ZXIDX2),0),AZ17))</f>
        <v>#REF!</v>
      </c>
      <c r="BF17" s="110" t="e">
        <f t="shared" ca="1" si="48"/>
        <v>#REF!</v>
      </c>
      <c r="BG17" s="106" t="e">
        <f t="shared" ca="1" si="49"/>
        <v>#REF!</v>
      </c>
      <c r="BH17" s="107" t="e">
        <f t="shared" ca="1" si="50"/>
        <v>#REF!</v>
      </c>
      <c r="BI17" s="107" t="e">
        <f t="shared" ca="1" si="51"/>
        <v>#REF!</v>
      </c>
      <c r="BJ17" s="107" t="e">
        <f t="shared" ca="1" si="52"/>
        <v>#REF!</v>
      </c>
      <c r="BK17" s="91" t="e">
        <f t="shared" ca="1" si="70"/>
        <v>#REF!</v>
      </c>
      <c r="BL17" s="107" t="e">
        <f ca="1">-IF(INDEX(SC_ZX_CodeA,ZXIDX1)="X", 0, MIN(BK17*MAX(INDEX(SC_ZX_Drawdown,ZXIDX2),0),BJ17))</f>
        <v>#REF!</v>
      </c>
      <c r="BM17" s="107" t="e">
        <f t="shared" ca="1" si="54"/>
        <v>#REF!</v>
      </c>
      <c r="BN17" s="113" t="e">
        <f t="shared" ca="1" si="55"/>
        <v>#REF!</v>
      </c>
      <c r="BO17" s="114" t="e">
        <f t="shared" ca="1" si="56"/>
        <v>#REF!</v>
      </c>
      <c r="BP17" s="114" t="e">
        <f ca="1">-($V17-IF(($P17+$R17+$S17)&gt;0,MAX($V17/($P17+$R17+$S17)*($Q17+$R17),$V17),0))*LT_InvestmentQDI</f>
        <v>#REF!</v>
      </c>
      <c r="BQ17" s="114" t="e">
        <f ca="1">-($V17-IF(($P17+$R17+$S17)&gt;0,MAX($V17/($P17+$R17+$S17)*($Q17+$R17),$V17),0))*(1-LT_InvestmentQDI)</f>
        <v>#REF!</v>
      </c>
      <c r="BR17" s="114" t="e">
        <f t="shared" ca="1" si="57"/>
        <v>#REF!</v>
      </c>
      <c r="BS17" s="114" t="e">
        <f t="shared" ca="1" si="58"/>
        <v>#REF!</v>
      </c>
      <c r="BT17" s="649"/>
      <c r="BU17" s="637"/>
      <c r="BV17" s="637"/>
      <c r="BW17" s="637"/>
      <c r="BX17" s="639"/>
      <c r="BZ17" s="2"/>
      <c r="CO17" s="8"/>
    </row>
    <row r="18" spans="2:93" x14ac:dyDescent="0.25">
      <c r="B18" s="65">
        <f ca="1">B16+1</f>
        <v>2026</v>
      </c>
      <c r="C18" s="76" t="s">
        <v>741</v>
      </c>
      <c r="D18" s="146" t="str">
        <f t="shared" si="7"/>
        <v/>
      </c>
      <c r="E18" s="77">
        <f t="shared" si="8"/>
        <v>0</v>
      </c>
      <c r="F18" s="77">
        <f t="shared" si="18"/>
        <v>1</v>
      </c>
      <c r="G18" s="76">
        <f t="shared" si="9"/>
        <v>1</v>
      </c>
      <c r="H18" s="76">
        <f t="shared" si="10"/>
        <v>0</v>
      </c>
      <c r="I18" s="77" t="b">
        <f t="shared" si="11"/>
        <v>0</v>
      </c>
      <c r="J18" s="77"/>
      <c r="K18" s="77"/>
      <c r="L18" s="77"/>
      <c r="M18" s="77"/>
      <c r="N18" s="632">
        <f ca="1">YEAR(SP_TargetRD)-$B18</f>
        <v>-3</v>
      </c>
      <c r="O18" s="243" t="e">
        <f ca="1">LT_InvestmentStocks*INDEX(SP_EA_ARStocks,EAIDX)+LT_InvestmentBonds*INDEX(SC_EA_ARBonds,EAIDX)</f>
        <v>#REF!</v>
      </c>
      <c r="P18" s="634" t="e">
        <f ca="1">MAX(P16+R16+S16+V16+W16,0)</f>
        <v>#VALUE!</v>
      </c>
      <c r="Q18" s="617" t="e">
        <f t="shared" ref="Q18" ca="1" si="73">MAX(Q16+R16+IF((P16+R16+S16)&gt;0,MAX(V16/(P16+R16+S16)*(Q16+R16),V16),0),0)</f>
        <v>#VALUE!</v>
      </c>
      <c r="R18" s="617" t="e">
        <f ca="1">IF(SC_ZX_CodeA="X", 0, MAX(INDEX(SC_ZX_IncomeSurplus,ZXIDX2)+INDEX(SC_ZX_Debt,ZXIDX2),0))</f>
        <v>#VALUE!</v>
      </c>
      <c r="S18" s="617" t="e">
        <f ca="1">IF(SC_ZX_CodeA="X", 0, INDEX(SC_EX_RolloverCore,EXIDX))</f>
        <v>#VALUE!</v>
      </c>
      <c r="T18" s="617" t="e">
        <f ca="1">P18+R18+S18</f>
        <v>#VALUE!</v>
      </c>
      <c r="U18" s="642" t="e">
        <f ca="1">IF(SC_ZX_BalanceAccessibleA&gt;0, T18/SC_ZX_BalanceAccessibleA, 0)</f>
        <v>#VALUE!</v>
      </c>
      <c r="V18" s="617" t="e">
        <f ca="1">-IF(SC_ZX_CodeA="X",0,MIN(U18*MAX(INDEX(SC_ZX_Drawdown,ZXIDX2),0),T18))</f>
        <v>#VALUE!</v>
      </c>
      <c r="W18" s="618" t="e">
        <f ca="1">(P18+R18+S18+V18)*$O18</f>
        <v>#VALUE!</v>
      </c>
      <c r="X18" s="75" t="e">
        <f t="shared" ca="1" si="19"/>
        <v>#REF!</v>
      </c>
      <c r="Y18" s="70" t="e">
        <f t="shared" ca="1" si="20"/>
        <v>#REF!</v>
      </c>
      <c r="Z18" s="70" t="e">
        <f t="shared" ca="1" si="21"/>
        <v>#REF!</v>
      </c>
      <c r="AA18" s="70" t="e">
        <f t="shared" ca="1" si="22"/>
        <v>#REF!</v>
      </c>
      <c r="AB18" s="67" t="e">
        <f t="shared" ca="1" si="65"/>
        <v>#REF!</v>
      </c>
      <c r="AC18" s="70" t="e">
        <f ca="1">-IF(INDEX(SC_ZX_CodeA,ZXIDX1)="X", 0, MIN(AB18*MAX(INDEX(SC_ZX_Drawdown,ZXIDX2),0),AA18))</f>
        <v>#REF!</v>
      </c>
      <c r="AD18" s="109" t="e">
        <f t="shared" ca="1" si="24"/>
        <v>#REF!</v>
      </c>
      <c r="AE18" s="75" t="e">
        <f t="shared" ca="1" si="25"/>
        <v>#REF!</v>
      </c>
      <c r="AF18" s="70" t="e">
        <f t="shared" ca="1" si="26"/>
        <v>#REF!</v>
      </c>
      <c r="AG18" s="70" t="e">
        <f t="shared" ca="1" si="27"/>
        <v>#REF!</v>
      </c>
      <c r="AH18" s="70" t="e">
        <f t="shared" ca="1" si="28"/>
        <v>#REF!</v>
      </c>
      <c r="AI18" s="67" t="e">
        <f t="shared" ca="1" si="66"/>
        <v>#REF!</v>
      </c>
      <c r="AJ18" s="70" t="e">
        <f ca="1">-IF(INDEX(SC_ZX_CodeA,ZXIDX1)="X", 0, MIN(AI18*MAX(INDEX(SC_ZX_Drawdown,ZXIDX2),0),AH18))</f>
        <v>#REF!</v>
      </c>
      <c r="AK18" s="109" t="e">
        <f t="shared" ca="1" si="30"/>
        <v>#REF!</v>
      </c>
      <c r="AL18" s="75" t="e">
        <f t="shared" ca="1" si="31"/>
        <v>#REF!</v>
      </c>
      <c r="AM18" s="70" t="e">
        <f t="shared" ca="1" si="32"/>
        <v>#REF!</v>
      </c>
      <c r="AN18" s="70" t="e">
        <f t="shared" ca="1" si="33"/>
        <v>#REF!</v>
      </c>
      <c r="AO18" s="70" t="e">
        <f t="shared" ca="1" si="34"/>
        <v>#REF!</v>
      </c>
      <c r="AP18" s="67" t="e">
        <f t="shared" ca="1" si="67"/>
        <v>#REF!</v>
      </c>
      <c r="AQ18" s="70" t="e">
        <f ca="1">-IF(INDEX(SC_ZX_CodeA,ZXIDX1)="X", 0, MIN(AP18*MAX(INDEX(SC_ZX_Drawdown,ZXIDX2),0),AO18))</f>
        <v>#REF!</v>
      </c>
      <c r="AR18" s="109" t="e">
        <f t="shared" ca="1" si="36"/>
        <v>#REF!</v>
      </c>
      <c r="AS18" s="75" t="e">
        <f t="shared" ca="1" si="37"/>
        <v>#REF!</v>
      </c>
      <c r="AT18" s="70" t="e">
        <f t="shared" ca="1" si="38"/>
        <v>#REF!</v>
      </c>
      <c r="AU18" s="70" t="e">
        <f t="shared" ca="1" si="39"/>
        <v>#REF!</v>
      </c>
      <c r="AV18" s="70" t="e">
        <f t="shared" ca="1" si="40"/>
        <v>#REF!</v>
      </c>
      <c r="AW18" s="67" t="e">
        <f t="shared" ca="1" si="68"/>
        <v>#REF!</v>
      </c>
      <c r="AX18" s="70" t="e">
        <f ca="1">-IF(INDEX(SC_ZX_CodeA,ZXIDX1)="X", 0, MIN(AW18*MAX(INDEX(SC_ZX_Drawdown,ZXIDX2),0),AV18))</f>
        <v>#REF!</v>
      </c>
      <c r="AY18" s="109" t="e">
        <f t="shared" ca="1" si="42"/>
        <v>#REF!</v>
      </c>
      <c r="AZ18" s="75" t="e">
        <f t="shared" ca="1" si="43"/>
        <v>#REF!</v>
      </c>
      <c r="BA18" s="70" t="e">
        <f t="shared" ca="1" si="44"/>
        <v>#REF!</v>
      </c>
      <c r="BB18" s="70" t="e">
        <f t="shared" ca="1" si="45"/>
        <v>#REF!</v>
      </c>
      <c r="BC18" s="70" t="e">
        <f t="shared" ca="1" si="46"/>
        <v>#REF!</v>
      </c>
      <c r="BD18" s="67" t="e">
        <f t="shared" ca="1" si="69"/>
        <v>#REF!</v>
      </c>
      <c r="BE18" s="70" t="e">
        <f ca="1">-IF(INDEX(SC_ZX_CodeA,ZXIDX1)="X", 0, MIN(BD18*MAX(INDEX(SC_ZX_Drawdown,ZXIDX2),0),AZ18))</f>
        <v>#REF!</v>
      </c>
      <c r="BF18" s="109" t="e">
        <f t="shared" ca="1" si="48"/>
        <v>#REF!</v>
      </c>
      <c r="BG18" s="75" t="e">
        <f t="shared" ca="1" si="49"/>
        <v>#REF!</v>
      </c>
      <c r="BH18" s="70" t="e">
        <f t="shared" ca="1" si="50"/>
        <v>#REF!</v>
      </c>
      <c r="BI18" s="70" t="e">
        <f t="shared" ca="1" si="51"/>
        <v>#REF!</v>
      </c>
      <c r="BJ18" s="70" t="e">
        <f t="shared" ca="1" si="52"/>
        <v>#REF!</v>
      </c>
      <c r="BK18" s="67" t="e">
        <f t="shared" ca="1" si="70"/>
        <v>#REF!</v>
      </c>
      <c r="BL18" s="70" t="e">
        <f ca="1">-IF(INDEX(SC_ZX_CodeA,ZXIDX1)="X", 0, MIN(BK18*MAX(INDEX(SC_ZX_Drawdown,ZXIDX2),0),BJ18))</f>
        <v>#REF!</v>
      </c>
      <c r="BM18" s="70" t="e">
        <f t="shared" ca="1" si="54"/>
        <v>#REF!</v>
      </c>
      <c r="BN18" s="111" t="e">
        <f t="shared" ca="1" si="55"/>
        <v>#REF!</v>
      </c>
      <c r="BO18" s="112" t="e">
        <f t="shared" ca="1" si="56"/>
        <v>#REF!</v>
      </c>
      <c r="BP18" s="112" t="e">
        <f ca="1">-($V18-IF(($P18+$R18+$S18)&gt;0,MAX($V18/($P18+$R18+$S18)*($Q18+$R18),$V18),0))*LT_InvestmentQDI</f>
        <v>#VALUE!</v>
      </c>
      <c r="BQ18" s="112" t="e">
        <f ca="1">-($V18-IF(($P18+$R18+$S18)&gt;0,MAX($V18/($P18+$R18+$S18)*($Q18+$R18),$V18),0))*(1-LT_InvestmentQDI)</f>
        <v>#VALUE!</v>
      </c>
      <c r="BR18" s="112" t="e">
        <f t="shared" ca="1" si="57"/>
        <v>#VALUE!</v>
      </c>
      <c r="BS18" s="112" t="e">
        <f t="shared" ca="1" si="58"/>
        <v>#VALUE!</v>
      </c>
      <c r="BT18" s="634" t="e">
        <f ca="1">SUMPRODUCT($BN18:$BN19+$BO18:$BO19, --($E18:$E19&lt;&gt;0))</f>
        <v>#REF!</v>
      </c>
      <c r="BU18" s="617" t="e">
        <f ca="1">SUMPRODUCT($BR18:$BR19+$BS18:$BS19, --($E18:$E19&lt;&gt;0))</f>
        <v>#VALUE!</v>
      </c>
      <c r="BV18" s="617" t="e">
        <f ca="1">$T18+SUMPRODUCT($AA18:$AA19+$AH18:$AH19+$AO18:$AO19+$AV18:$AV19+$BC18:$BC19+$BJ18:$BJ19, --($E18:$E19&lt;&gt;0))</f>
        <v>#VALUE!</v>
      </c>
      <c r="BW18" s="617" t="e">
        <f ca="1">MAX($P18-$Q18,0)+SUMPRODUCT($X18:$X19+$AL18:$AL19+$AZ18:$AZ19, --($E18:$E19&lt;&gt;0))</f>
        <v>#VALUE!</v>
      </c>
      <c r="BX18" s="618" t="e">
        <f ca="1">MIN($P18,$Q18)+SUMPRODUCT($AE18:$AE19+$AS18:$AS19+$BG18:$BG19, --($E18:$E19&lt;&gt;0))</f>
        <v>#VALUE!</v>
      </c>
      <c r="BZ18" s="2"/>
      <c r="CO18" s="8"/>
    </row>
    <row r="19" spans="2:93" x14ac:dyDescent="0.25">
      <c r="B19" s="86">
        <f t="shared" ca="1" si="59"/>
        <v>2026</v>
      </c>
      <c r="C19" s="80" t="s">
        <v>741</v>
      </c>
      <c r="D19" s="147" t="str">
        <f t="shared" si="7"/>
        <v/>
      </c>
      <c r="E19" s="81">
        <f t="shared" si="8"/>
        <v>0</v>
      </c>
      <c r="F19" s="81">
        <f t="shared" si="18"/>
        <v>2</v>
      </c>
      <c r="G19" s="82">
        <f t="shared" si="9"/>
        <v>-1</v>
      </c>
      <c r="H19" s="82">
        <f t="shared" si="10"/>
        <v>0</v>
      </c>
      <c r="I19" s="81" t="b">
        <f t="shared" si="11"/>
        <v>0</v>
      </c>
      <c r="J19" s="81"/>
      <c r="K19" s="81"/>
      <c r="L19" s="81"/>
      <c r="M19" s="81"/>
      <c r="N19" s="633"/>
      <c r="O19" s="243" t="e">
        <f ca="1">LT_InvestmentStocks*INDEX(SP_EA_ARStocks,EAIDX)+LT_InvestmentBonds*INDEX(SC_EA_ARBonds,EAIDX)</f>
        <v>#REF!</v>
      </c>
      <c r="P19" s="634"/>
      <c r="Q19" s="617"/>
      <c r="R19" s="617"/>
      <c r="S19" s="617"/>
      <c r="T19" s="617"/>
      <c r="U19" s="643"/>
      <c r="V19" s="617"/>
      <c r="W19" s="639"/>
      <c r="X19" s="106" t="e">
        <f t="shared" ca="1" si="19"/>
        <v>#REF!</v>
      </c>
      <c r="Y19" s="107" t="e">
        <f t="shared" ca="1" si="20"/>
        <v>#REF!</v>
      </c>
      <c r="Z19" s="107" t="e">
        <f t="shared" ca="1" si="21"/>
        <v>#REF!</v>
      </c>
      <c r="AA19" s="107" t="e">
        <f t="shared" ca="1" si="22"/>
        <v>#REF!</v>
      </c>
      <c r="AB19" s="91" t="e">
        <f t="shared" ca="1" si="65"/>
        <v>#REF!</v>
      </c>
      <c r="AC19" s="107" t="e">
        <f ca="1">-IF(INDEX(SC_ZX_CodeA,ZXIDX1)="X", 0, MIN(AB19*MAX(INDEX(SC_ZX_Drawdown,ZXIDX2),0),AA19))</f>
        <v>#REF!</v>
      </c>
      <c r="AD19" s="110" t="e">
        <f t="shared" ca="1" si="24"/>
        <v>#REF!</v>
      </c>
      <c r="AE19" s="106" t="e">
        <f t="shared" ca="1" si="25"/>
        <v>#REF!</v>
      </c>
      <c r="AF19" s="107" t="e">
        <f t="shared" ca="1" si="26"/>
        <v>#REF!</v>
      </c>
      <c r="AG19" s="107" t="e">
        <f t="shared" ca="1" si="27"/>
        <v>#REF!</v>
      </c>
      <c r="AH19" s="107" t="e">
        <f t="shared" ca="1" si="28"/>
        <v>#REF!</v>
      </c>
      <c r="AI19" s="91" t="e">
        <f t="shared" ca="1" si="66"/>
        <v>#REF!</v>
      </c>
      <c r="AJ19" s="107" t="e">
        <f ca="1">-IF(INDEX(SC_ZX_CodeA,ZXIDX1)="X", 0, MIN(AI19*MAX(INDEX(SC_ZX_Drawdown,ZXIDX2),0),AH19))</f>
        <v>#REF!</v>
      </c>
      <c r="AK19" s="110" t="e">
        <f t="shared" ca="1" si="30"/>
        <v>#REF!</v>
      </c>
      <c r="AL19" s="106" t="e">
        <f t="shared" ca="1" si="31"/>
        <v>#REF!</v>
      </c>
      <c r="AM19" s="107" t="e">
        <f t="shared" ca="1" si="32"/>
        <v>#REF!</v>
      </c>
      <c r="AN19" s="107" t="e">
        <f t="shared" ca="1" si="33"/>
        <v>#REF!</v>
      </c>
      <c r="AO19" s="107" t="e">
        <f t="shared" ca="1" si="34"/>
        <v>#REF!</v>
      </c>
      <c r="AP19" s="91" t="e">
        <f t="shared" ca="1" si="67"/>
        <v>#REF!</v>
      </c>
      <c r="AQ19" s="107" t="e">
        <f ca="1">-IF(INDEX(SC_ZX_CodeA,ZXIDX1)="X", 0, MIN(AP19*MAX(INDEX(SC_ZX_Drawdown,ZXIDX2),0),AO19))</f>
        <v>#REF!</v>
      </c>
      <c r="AR19" s="110" t="e">
        <f t="shared" ca="1" si="36"/>
        <v>#REF!</v>
      </c>
      <c r="AS19" s="106" t="e">
        <f t="shared" ca="1" si="37"/>
        <v>#REF!</v>
      </c>
      <c r="AT19" s="107" t="e">
        <f t="shared" ca="1" si="38"/>
        <v>#REF!</v>
      </c>
      <c r="AU19" s="107" t="e">
        <f t="shared" ca="1" si="39"/>
        <v>#REF!</v>
      </c>
      <c r="AV19" s="107" t="e">
        <f t="shared" ca="1" si="40"/>
        <v>#REF!</v>
      </c>
      <c r="AW19" s="91" t="e">
        <f t="shared" ca="1" si="68"/>
        <v>#REF!</v>
      </c>
      <c r="AX19" s="107" t="e">
        <f ca="1">-IF(INDEX(SC_ZX_CodeA,ZXIDX1)="X", 0, MIN(AW19*MAX(INDEX(SC_ZX_Drawdown,ZXIDX2),0),AV19))</f>
        <v>#REF!</v>
      </c>
      <c r="AY19" s="110" t="e">
        <f t="shared" ca="1" si="42"/>
        <v>#REF!</v>
      </c>
      <c r="AZ19" s="106" t="e">
        <f t="shared" ca="1" si="43"/>
        <v>#REF!</v>
      </c>
      <c r="BA19" s="107" t="e">
        <f t="shared" ca="1" si="44"/>
        <v>#REF!</v>
      </c>
      <c r="BB19" s="107" t="e">
        <f t="shared" ca="1" si="45"/>
        <v>#REF!</v>
      </c>
      <c r="BC19" s="107" t="e">
        <f t="shared" ca="1" si="46"/>
        <v>#REF!</v>
      </c>
      <c r="BD19" s="91" t="e">
        <f t="shared" ca="1" si="69"/>
        <v>#REF!</v>
      </c>
      <c r="BE19" s="107" t="e">
        <f ca="1">-IF(INDEX(SC_ZX_CodeA,ZXIDX1)="X", 0, MIN(BD19*MAX(INDEX(SC_ZX_Drawdown,ZXIDX2),0),AZ19))</f>
        <v>#REF!</v>
      </c>
      <c r="BF19" s="110" t="e">
        <f t="shared" ca="1" si="48"/>
        <v>#REF!</v>
      </c>
      <c r="BG19" s="106" t="e">
        <f t="shared" ca="1" si="49"/>
        <v>#REF!</v>
      </c>
      <c r="BH19" s="107" t="e">
        <f t="shared" ca="1" si="50"/>
        <v>#REF!</v>
      </c>
      <c r="BI19" s="107" t="e">
        <f t="shared" ca="1" si="51"/>
        <v>#REF!</v>
      </c>
      <c r="BJ19" s="107" t="e">
        <f t="shared" ca="1" si="52"/>
        <v>#REF!</v>
      </c>
      <c r="BK19" s="91" t="e">
        <f t="shared" ca="1" si="70"/>
        <v>#REF!</v>
      </c>
      <c r="BL19" s="107" t="e">
        <f ca="1">-IF(INDEX(SC_ZX_CodeA,ZXIDX1)="X", 0, MIN(BK19*MAX(INDEX(SC_ZX_Drawdown,ZXIDX2),0),BJ19))</f>
        <v>#REF!</v>
      </c>
      <c r="BM19" s="107" t="e">
        <f t="shared" ca="1" si="54"/>
        <v>#REF!</v>
      </c>
      <c r="BN19" s="113" t="e">
        <f t="shared" ca="1" si="55"/>
        <v>#REF!</v>
      </c>
      <c r="BO19" s="114" t="e">
        <f t="shared" ca="1" si="56"/>
        <v>#REF!</v>
      </c>
      <c r="BP19" s="114" t="e">
        <f ca="1">-($V19-IF(($P19+$R19+$S19)&gt;0,MAX($V19/($P19+$R19+$S19)*($Q19+$R19),$V19),0))*LT_InvestmentQDI</f>
        <v>#REF!</v>
      </c>
      <c r="BQ19" s="114" t="e">
        <f ca="1">-($V19-IF(($P19+$R19+$S19)&gt;0,MAX($V19/($P19+$R19+$S19)*($Q19+$R19),$V19),0))*(1-LT_InvestmentQDI)</f>
        <v>#REF!</v>
      </c>
      <c r="BR19" s="114" t="e">
        <f t="shared" ca="1" si="57"/>
        <v>#REF!</v>
      </c>
      <c r="BS19" s="114" t="e">
        <f t="shared" ca="1" si="58"/>
        <v>#REF!</v>
      </c>
      <c r="BT19" s="649"/>
      <c r="BU19" s="637"/>
      <c r="BV19" s="637"/>
      <c r="BW19" s="637"/>
      <c r="BX19" s="639"/>
      <c r="BZ19" s="2"/>
      <c r="CO19" s="8"/>
    </row>
    <row r="20" spans="2:93" x14ac:dyDescent="0.25">
      <c r="B20" s="65">
        <f ca="1">B18+1</f>
        <v>2027</v>
      </c>
      <c r="C20" s="76" t="s">
        <v>741</v>
      </c>
      <c r="D20" s="146" t="str">
        <f t="shared" si="7"/>
        <v/>
      </c>
      <c r="E20" s="77">
        <f t="shared" si="8"/>
        <v>0</v>
      </c>
      <c r="F20" s="77">
        <f t="shared" si="18"/>
        <v>1</v>
      </c>
      <c r="G20" s="76">
        <f t="shared" si="9"/>
        <v>1</v>
      </c>
      <c r="H20" s="76">
        <f t="shared" si="10"/>
        <v>0</v>
      </c>
      <c r="I20" s="77" t="b">
        <f t="shared" si="11"/>
        <v>0</v>
      </c>
      <c r="J20" s="77"/>
      <c r="K20" s="77"/>
      <c r="L20" s="77"/>
      <c r="M20" s="77"/>
      <c r="N20" s="632">
        <f ca="1">YEAR(SP_TargetRD)-$B20</f>
        <v>-4</v>
      </c>
      <c r="O20" s="243" t="e">
        <f ca="1">LT_InvestmentStocks*INDEX(SP_EA_ARStocks,EAIDX)+LT_InvestmentBonds*INDEX(SC_EA_ARBonds,EAIDX)</f>
        <v>#REF!</v>
      </c>
      <c r="P20" s="634" t="e">
        <f ca="1">MAX(P18+R18+S18+V18+W18,0)</f>
        <v>#VALUE!</v>
      </c>
      <c r="Q20" s="617" t="e">
        <f t="shared" ref="Q20" ca="1" si="74">MAX(Q18+R18+IF((P18+R18+S18)&gt;0,MAX(V18/(P18+R18+S18)*(Q18+R18),V18),0),0)</f>
        <v>#VALUE!</v>
      </c>
      <c r="R20" s="617" t="e">
        <f ca="1">IF(SC_ZX_CodeA="X", 0, MAX(INDEX(SC_ZX_IncomeSurplus,ZXIDX2)+INDEX(SC_ZX_Debt,ZXIDX2),0))</f>
        <v>#VALUE!</v>
      </c>
      <c r="S20" s="617" t="e">
        <f ca="1">IF(SC_ZX_CodeA="X", 0, INDEX(SC_EX_RolloverCore,EXIDX))</f>
        <v>#VALUE!</v>
      </c>
      <c r="T20" s="617" t="e">
        <f ca="1">P20+R20+S20</f>
        <v>#VALUE!</v>
      </c>
      <c r="U20" s="642" t="e">
        <f ca="1">IF(SC_ZX_BalanceAccessibleA&gt;0, T20/SC_ZX_BalanceAccessibleA, 0)</f>
        <v>#VALUE!</v>
      </c>
      <c r="V20" s="617" t="e">
        <f ca="1">-IF(SC_ZX_CodeA="X",0,MIN(U20*MAX(INDEX(SC_ZX_Drawdown,ZXIDX2),0),T20))</f>
        <v>#VALUE!</v>
      </c>
      <c r="W20" s="618" t="e">
        <f ca="1">(P20+R20+S20+V20)*$O20</f>
        <v>#VALUE!</v>
      </c>
      <c r="X20" s="75" t="e">
        <f t="shared" ca="1" si="19"/>
        <v>#REF!</v>
      </c>
      <c r="Y20" s="70" t="e">
        <f t="shared" ca="1" si="20"/>
        <v>#REF!</v>
      </c>
      <c r="Z20" s="70" t="e">
        <f t="shared" ca="1" si="21"/>
        <v>#REF!</v>
      </c>
      <c r="AA20" s="70" t="e">
        <f t="shared" ca="1" si="22"/>
        <v>#REF!</v>
      </c>
      <c r="AB20" s="67" t="e">
        <f t="shared" ca="1" si="65"/>
        <v>#REF!</v>
      </c>
      <c r="AC20" s="70" t="e">
        <f ca="1">-IF(INDEX(SC_ZX_CodeA,ZXIDX1)="X", 0, MIN(AB20*MAX(INDEX(SC_ZX_Drawdown,ZXIDX2),0),AA20))</f>
        <v>#REF!</v>
      </c>
      <c r="AD20" s="109" t="e">
        <f t="shared" ca="1" si="24"/>
        <v>#REF!</v>
      </c>
      <c r="AE20" s="75" t="e">
        <f t="shared" ca="1" si="25"/>
        <v>#REF!</v>
      </c>
      <c r="AF20" s="70" t="e">
        <f t="shared" ca="1" si="26"/>
        <v>#REF!</v>
      </c>
      <c r="AG20" s="70" t="e">
        <f t="shared" ca="1" si="27"/>
        <v>#REF!</v>
      </c>
      <c r="AH20" s="70" t="e">
        <f t="shared" ca="1" si="28"/>
        <v>#REF!</v>
      </c>
      <c r="AI20" s="67" t="e">
        <f t="shared" ca="1" si="66"/>
        <v>#REF!</v>
      </c>
      <c r="AJ20" s="70" t="e">
        <f ca="1">-IF(INDEX(SC_ZX_CodeA,ZXIDX1)="X", 0, MIN(AI20*MAX(INDEX(SC_ZX_Drawdown,ZXIDX2),0),AH20))</f>
        <v>#REF!</v>
      </c>
      <c r="AK20" s="109" t="e">
        <f t="shared" ca="1" si="30"/>
        <v>#REF!</v>
      </c>
      <c r="AL20" s="75" t="e">
        <f t="shared" ca="1" si="31"/>
        <v>#REF!</v>
      </c>
      <c r="AM20" s="70" t="e">
        <f t="shared" ca="1" si="32"/>
        <v>#REF!</v>
      </c>
      <c r="AN20" s="70" t="e">
        <f t="shared" ca="1" si="33"/>
        <v>#REF!</v>
      </c>
      <c r="AO20" s="70" t="e">
        <f t="shared" ca="1" si="34"/>
        <v>#REF!</v>
      </c>
      <c r="AP20" s="67" t="e">
        <f t="shared" ca="1" si="67"/>
        <v>#REF!</v>
      </c>
      <c r="AQ20" s="70" t="e">
        <f ca="1">-IF(INDEX(SC_ZX_CodeA,ZXIDX1)="X", 0, MIN(AP20*MAX(INDEX(SC_ZX_Drawdown,ZXIDX2),0),AO20))</f>
        <v>#REF!</v>
      </c>
      <c r="AR20" s="109" t="e">
        <f t="shared" ca="1" si="36"/>
        <v>#REF!</v>
      </c>
      <c r="AS20" s="75" t="e">
        <f t="shared" ca="1" si="37"/>
        <v>#REF!</v>
      </c>
      <c r="AT20" s="70" t="e">
        <f t="shared" ca="1" si="38"/>
        <v>#REF!</v>
      </c>
      <c r="AU20" s="70" t="e">
        <f t="shared" ca="1" si="39"/>
        <v>#REF!</v>
      </c>
      <c r="AV20" s="70" t="e">
        <f t="shared" ca="1" si="40"/>
        <v>#REF!</v>
      </c>
      <c r="AW20" s="67" t="e">
        <f t="shared" ca="1" si="68"/>
        <v>#REF!</v>
      </c>
      <c r="AX20" s="70" t="e">
        <f ca="1">-IF(INDEX(SC_ZX_CodeA,ZXIDX1)="X", 0, MIN(AW20*MAX(INDEX(SC_ZX_Drawdown,ZXIDX2),0),AV20))</f>
        <v>#REF!</v>
      </c>
      <c r="AY20" s="109" t="e">
        <f t="shared" ca="1" si="42"/>
        <v>#REF!</v>
      </c>
      <c r="AZ20" s="75" t="e">
        <f t="shared" ca="1" si="43"/>
        <v>#REF!</v>
      </c>
      <c r="BA20" s="70" t="e">
        <f t="shared" ca="1" si="44"/>
        <v>#REF!</v>
      </c>
      <c r="BB20" s="70" t="e">
        <f t="shared" ca="1" si="45"/>
        <v>#REF!</v>
      </c>
      <c r="BC20" s="70" t="e">
        <f t="shared" ca="1" si="46"/>
        <v>#REF!</v>
      </c>
      <c r="BD20" s="67" t="e">
        <f t="shared" ca="1" si="69"/>
        <v>#REF!</v>
      </c>
      <c r="BE20" s="70" t="e">
        <f ca="1">-IF(INDEX(SC_ZX_CodeA,ZXIDX1)="X", 0, MIN(BD20*MAX(INDEX(SC_ZX_Drawdown,ZXIDX2),0),AZ20))</f>
        <v>#REF!</v>
      </c>
      <c r="BF20" s="109" t="e">
        <f t="shared" ca="1" si="48"/>
        <v>#REF!</v>
      </c>
      <c r="BG20" s="75" t="e">
        <f t="shared" ca="1" si="49"/>
        <v>#REF!</v>
      </c>
      <c r="BH20" s="70" t="e">
        <f t="shared" ca="1" si="50"/>
        <v>#REF!</v>
      </c>
      <c r="BI20" s="70" t="e">
        <f t="shared" ca="1" si="51"/>
        <v>#REF!</v>
      </c>
      <c r="BJ20" s="70" t="e">
        <f t="shared" ca="1" si="52"/>
        <v>#REF!</v>
      </c>
      <c r="BK20" s="67" t="e">
        <f t="shared" ca="1" si="70"/>
        <v>#REF!</v>
      </c>
      <c r="BL20" s="70" t="e">
        <f ca="1">-IF(INDEX(SC_ZX_CodeA,ZXIDX1)="X", 0, MIN(BK20*MAX(INDEX(SC_ZX_Drawdown,ZXIDX2),0),BJ20))</f>
        <v>#REF!</v>
      </c>
      <c r="BM20" s="70" t="e">
        <f t="shared" ca="1" si="54"/>
        <v>#REF!</v>
      </c>
      <c r="BN20" s="111" t="e">
        <f t="shared" ca="1" si="55"/>
        <v>#REF!</v>
      </c>
      <c r="BO20" s="112" t="e">
        <f t="shared" ca="1" si="56"/>
        <v>#REF!</v>
      </c>
      <c r="BP20" s="112" t="e">
        <f ca="1">-($V20-IF(($P20+$R20+$S20)&gt;0,MAX($V20/($P20+$R20+$S20)*($Q20+$R20),$V20),0))*LT_InvestmentQDI</f>
        <v>#VALUE!</v>
      </c>
      <c r="BQ20" s="112" t="e">
        <f ca="1">-($V20-IF(($P20+$R20+$S20)&gt;0,MAX($V20/($P20+$R20+$S20)*($Q20+$R20),$V20),0))*(1-LT_InvestmentQDI)</f>
        <v>#VALUE!</v>
      </c>
      <c r="BR20" s="112" t="e">
        <f t="shared" ca="1" si="57"/>
        <v>#VALUE!</v>
      </c>
      <c r="BS20" s="112" t="e">
        <f t="shared" ca="1" si="58"/>
        <v>#VALUE!</v>
      </c>
      <c r="BT20" s="634" t="e">
        <f ca="1">SUMPRODUCT($BN20:$BN21+$BO20:$BO21, --($E20:$E21&lt;&gt;0))</f>
        <v>#REF!</v>
      </c>
      <c r="BU20" s="617" t="e">
        <f ca="1">SUMPRODUCT($BR20:$BR21+$BS20:$BS21, --($E20:$E21&lt;&gt;0))</f>
        <v>#VALUE!</v>
      </c>
      <c r="BV20" s="617" t="e">
        <f ca="1">$T20+SUMPRODUCT($AA20:$AA21+$AH20:$AH21+$AO20:$AO21+$AV20:$AV21+$BC20:$BC21+$BJ20:$BJ21, --($E20:$E21&lt;&gt;0))</f>
        <v>#VALUE!</v>
      </c>
      <c r="BW20" s="617" t="e">
        <f ca="1">MAX($P20-$Q20,0)+SUMPRODUCT($X20:$X21+$AL20:$AL21+$AZ20:$AZ21, --($E20:$E21&lt;&gt;0))</f>
        <v>#VALUE!</v>
      </c>
      <c r="BX20" s="618" t="e">
        <f ca="1">MIN($P20,$Q20)+SUMPRODUCT($AE20:$AE21+$AS20:$AS21+$BG20:$BG21, --($E20:$E21&lt;&gt;0))</f>
        <v>#VALUE!</v>
      </c>
      <c r="BZ20" s="2"/>
      <c r="CO20" s="8"/>
    </row>
    <row r="21" spans="2:93" x14ac:dyDescent="0.25">
      <c r="B21" s="86">
        <f t="shared" ca="1" si="59"/>
        <v>2027</v>
      </c>
      <c r="C21" s="80" t="s">
        <v>741</v>
      </c>
      <c r="D21" s="147" t="str">
        <f t="shared" si="7"/>
        <v/>
      </c>
      <c r="E21" s="81">
        <f t="shared" si="8"/>
        <v>0</v>
      </c>
      <c r="F21" s="81">
        <f t="shared" si="18"/>
        <v>2</v>
      </c>
      <c r="G21" s="82">
        <f t="shared" si="9"/>
        <v>-1</v>
      </c>
      <c r="H21" s="82">
        <f t="shared" si="10"/>
        <v>0</v>
      </c>
      <c r="I21" s="81" t="b">
        <f t="shared" si="11"/>
        <v>0</v>
      </c>
      <c r="J21" s="81"/>
      <c r="K21" s="81"/>
      <c r="L21" s="81"/>
      <c r="M21" s="81"/>
      <c r="N21" s="633"/>
      <c r="O21" s="243" t="e">
        <f ca="1">LT_InvestmentStocks*INDEX(SP_EA_ARStocks,EAIDX)+LT_InvestmentBonds*INDEX(SC_EA_ARBonds,EAIDX)</f>
        <v>#REF!</v>
      </c>
      <c r="P21" s="634"/>
      <c r="Q21" s="617"/>
      <c r="R21" s="617"/>
      <c r="S21" s="617"/>
      <c r="T21" s="617"/>
      <c r="U21" s="643"/>
      <c r="V21" s="617"/>
      <c r="W21" s="639"/>
      <c r="X21" s="106" t="e">
        <f t="shared" ca="1" si="19"/>
        <v>#REF!</v>
      </c>
      <c r="Y21" s="107" t="e">
        <f t="shared" ca="1" si="20"/>
        <v>#REF!</v>
      </c>
      <c r="Z21" s="107" t="e">
        <f t="shared" ca="1" si="21"/>
        <v>#REF!</v>
      </c>
      <c r="AA21" s="107" t="e">
        <f t="shared" ca="1" si="22"/>
        <v>#REF!</v>
      </c>
      <c r="AB21" s="91" t="e">
        <f t="shared" ca="1" si="65"/>
        <v>#REF!</v>
      </c>
      <c r="AC21" s="107" t="e">
        <f ca="1">-IF(INDEX(SC_ZX_CodeA,ZXIDX1)="X", 0, MIN(AB21*MAX(INDEX(SC_ZX_Drawdown,ZXIDX2),0),AA21))</f>
        <v>#REF!</v>
      </c>
      <c r="AD21" s="110" t="e">
        <f t="shared" ca="1" si="24"/>
        <v>#REF!</v>
      </c>
      <c r="AE21" s="106" t="e">
        <f t="shared" ca="1" si="25"/>
        <v>#REF!</v>
      </c>
      <c r="AF21" s="107" t="e">
        <f t="shared" ca="1" si="26"/>
        <v>#REF!</v>
      </c>
      <c r="AG21" s="107" t="e">
        <f t="shared" ca="1" si="27"/>
        <v>#REF!</v>
      </c>
      <c r="AH21" s="107" t="e">
        <f t="shared" ca="1" si="28"/>
        <v>#REF!</v>
      </c>
      <c r="AI21" s="91" t="e">
        <f t="shared" ca="1" si="66"/>
        <v>#REF!</v>
      </c>
      <c r="AJ21" s="107" t="e">
        <f ca="1">-IF(INDEX(SC_ZX_CodeA,ZXIDX1)="X", 0, MIN(AI21*MAX(INDEX(SC_ZX_Drawdown,ZXIDX2),0),AH21))</f>
        <v>#REF!</v>
      </c>
      <c r="AK21" s="110" t="e">
        <f t="shared" ca="1" si="30"/>
        <v>#REF!</v>
      </c>
      <c r="AL21" s="106" t="e">
        <f t="shared" ca="1" si="31"/>
        <v>#REF!</v>
      </c>
      <c r="AM21" s="107" t="e">
        <f t="shared" ca="1" si="32"/>
        <v>#REF!</v>
      </c>
      <c r="AN21" s="107" t="e">
        <f t="shared" ca="1" si="33"/>
        <v>#REF!</v>
      </c>
      <c r="AO21" s="107" t="e">
        <f t="shared" ca="1" si="34"/>
        <v>#REF!</v>
      </c>
      <c r="AP21" s="91" t="e">
        <f t="shared" ca="1" si="67"/>
        <v>#REF!</v>
      </c>
      <c r="AQ21" s="107" t="e">
        <f ca="1">-IF(INDEX(SC_ZX_CodeA,ZXIDX1)="X", 0, MIN(AP21*MAX(INDEX(SC_ZX_Drawdown,ZXIDX2),0),AO21))</f>
        <v>#REF!</v>
      </c>
      <c r="AR21" s="110" t="e">
        <f t="shared" ca="1" si="36"/>
        <v>#REF!</v>
      </c>
      <c r="AS21" s="106" t="e">
        <f t="shared" ca="1" si="37"/>
        <v>#REF!</v>
      </c>
      <c r="AT21" s="107" t="e">
        <f t="shared" ca="1" si="38"/>
        <v>#REF!</v>
      </c>
      <c r="AU21" s="107" t="e">
        <f t="shared" ca="1" si="39"/>
        <v>#REF!</v>
      </c>
      <c r="AV21" s="107" t="e">
        <f t="shared" ca="1" si="40"/>
        <v>#REF!</v>
      </c>
      <c r="AW21" s="91" t="e">
        <f t="shared" ca="1" si="68"/>
        <v>#REF!</v>
      </c>
      <c r="AX21" s="107" t="e">
        <f ca="1">-IF(INDEX(SC_ZX_CodeA,ZXIDX1)="X", 0, MIN(AW21*MAX(INDEX(SC_ZX_Drawdown,ZXIDX2),0),AV21))</f>
        <v>#REF!</v>
      </c>
      <c r="AY21" s="110" t="e">
        <f t="shared" ca="1" si="42"/>
        <v>#REF!</v>
      </c>
      <c r="AZ21" s="106" t="e">
        <f t="shared" ca="1" si="43"/>
        <v>#REF!</v>
      </c>
      <c r="BA21" s="107" t="e">
        <f t="shared" ca="1" si="44"/>
        <v>#REF!</v>
      </c>
      <c r="BB21" s="107" t="e">
        <f t="shared" ca="1" si="45"/>
        <v>#REF!</v>
      </c>
      <c r="BC21" s="107" t="e">
        <f t="shared" ca="1" si="46"/>
        <v>#REF!</v>
      </c>
      <c r="BD21" s="91" t="e">
        <f t="shared" ca="1" si="69"/>
        <v>#REF!</v>
      </c>
      <c r="BE21" s="107" t="e">
        <f ca="1">-IF(INDEX(SC_ZX_CodeA,ZXIDX1)="X", 0, MIN(BD21*MAX(INDEX(SC_ZX_Drawdown,ZXIDX2),0),AZ21))</f>
        <v>#REF!</v>
      </c>
      <c r="BF21" s="110" t="e">
        <f t="shared" ca="1" si="48"/>
        <v>#REF!</v>
      </c>
      <c r="BG21" s="106" t="e">
        <f t="shared" ca="1" si="49"/>
        <v>#REF!</v>
      </c>
      <c r="BH21" s="107" t="e">
        <f t="shared" ca="1" si="50"/>
        <v>#REF!</v>
      </c>
      <c r="BI21" s="107" t="e">
        <f t="shared" ca="1" si="51"/>
        <v>#REF!</v>
      </c>
      <c r="BJ21" s="107" t="e">
        <f t="shared" ca="1" si="52"/>
        <v>#REF!</v>
      </c>
      <c r="BK21" s="91" t="e">
        <f t="shared" ca="1" si="70"/>
        <v>#REF!</v>
      </c>
      <c r="BL21" s="107" t="e">
        <f ca="1">-IF(INDEX(SC_ZX_CodeA,ZXIDX1)="X", 0, MIN(BK21*MAX(INDEX(SC_ZX_Drawdown,ZXIDX2),0),BJ21))</f>
        <v>#REF!</v>
      </c>
      <c r="BM21" s="107" t="e">
        <f t="shared" ca="1" si="54"/>
        <v>#REF!</v>
      </c>
      <c r="BN21" s="113" t="e">
        <f t="shared" ca="1" si="55"/>
        <v>#REF!</v>
      </c>
      <c r="BO21" s="114" t="e">
        <f t="shared" ca="1" si="56"/>
        <v>#REF!</v>
      </c>
      <c r="BP21" s="114" t="e">
        <f ca="1">-($V21-IF(($P21+$R21+$S21)&gt;0,MAX($V21/($P21+$R21+$S21)*($Q21+$R21),$V21),0))*LT_InvestmentQDI</f>
        <v>#REF!</v>
      </c>
      <c r="BQ21" s="114" t="e">
        <f ca="1">-($V21-IF(($P21+$R21+$S21)&gt;0,MAX($V21/($P21+$R21+$S21)*($Q21+$R21),$V21),0))*(1-LT_InvestmentQDI)</f>
        <v>#REF!</v>
      </c>
      <c r="BR21" s="114" t="e">
        <f t="shared" ca="1" si="57"/>
        <v>#REF!</v>
      </c>
      <c r="BS21" s="114" t="e">
        <f t="shared" ca="1" si="58"/>
        <v>#REF!</v>
      </c>
      <c r="BT21" s="649"/>
      <c r="BU21" s="637"/>
      <c r="BV21" s="637"/>
      <c r="BW21" s="637"/>
      <c r="BX21" s="639"/>
      <c r="CO21" s="8"/>
    </row>
    <row r="22" spans="2:93" x14ac:dyDescent="0.25">
      <c r="B22" s="65">
        <f ca="1">B20+1</f>
        <v>2028</v>
      </c>
      <c r="C22" s="76" t="s">
        <v>741</v>
      </c>
      <c r="D22" s="146" t="str">
        <f t="shared" si="7"/>
        <v/>
      </c>
      <c r="E22" s="77">
        <f t="shared" si="8"/>
        <v>0</v>
      </c>
      <c r="F22" s="77">
        <f t="shared" si="18"/>
        <v>1</v>
      </c>
      <c r="G22" s="76">
        <f t="shared" si="9"/>
        <v>1</v>
      </c>
      <c r="H22" s="76">
        <f t="shared" si="10"/>
        <v>0</v>
      </c>
      <c r="I22" s="77" t="b">
        <f t="shared" si="11"/>
        <v>0</v>
      </c>
      <c r="J22" s="77"/>
      <c r="K22" s="77"/>
      <c r="L22" s="77"/>
      <c r="M22" s="77"/>
      <c r="N22" s="632">
        <f ca="1">YEAR(SP_TargetRD)-$B22</f>
        <v>-5</v>
      </c>
      <c r="O22" s="243" t="e">
        <f ca="1">LT_InvestmentStocks*INDEX(SP_EA_ARStocks,EAIDX)+LT_InvestmentBonds*INDEX(SC_EA_ARBonds,EAIDX)</f>
        <v>#REF!</v>
      </c>
      <c r="P22" s="634" t="e">
        <f ca="1">MAX(P20+R20+S20+V20+W20,0)</f>
        <v>#VALUE!</v>
      </c>
      <c r="Q22" s="617" t="e">
        <f t="shared" ref="Q22" ca="1" si="75">MAX(Q20+R20+IF((P20+R20+S20)&gt;0,MAX(V20/(P20+R20+S20)*(Q20+R20),V20),0),0)</f>
        <v>#VALUE!</v>
      </c>
      <c r="R22" s="617" t="e">
        <f ca="1">IF(SC_ZX_CodeA="X", 0, MAX(INDEX(SC_ZX_IncomeSurplus,ZXIDX2)+INDEX(SC_ZX_Debt,ZXIDX2),0))</f>
        <v>#VALUE!</v>
      </c>
      <c r="S22" s="617" t="e">
        <f ca="1">IF(SC_ZX_CodeA="X", 0, INDEX(SC_EX_RolloverCore,EXIDX))</f>
        <v>#VALUE!</v>
      </c>
      <c r="T22" s="617" t="e">
        <f ca="1">P22+R22+S22</f>
        <v>#VALUE!</v>
      </c>
      <c r="U22" s="642" t="e">
        <f ca="1">IF(SC_ZX_BalanceAccessibleA&gt;0, T22/SC_ZX_BalanceAccessibleA, 0)</f>
        <v>#VALUE!</v>
      </c>
      <c r="V22" s="617" t="e">
        <f ca="1">-IF(SC_ZX_CodeA="X",0,MIN(U22*MAX(INDEX(SC_ZX_Drawdown,ZXIDX2),0),T22))</f>
        <v>#VALUE!</v>
      </c>
      <c r="W22" s="618" t="e">
        <f ca="1">(P22+R22+S22+V22)*$O22</f>
        <v>#VALUE!</v>
      </c>
      <c r="X22" s="75" t="e">
        <f t="shared" ca="1" si="19"/>
        <v>#REF!</v>
      </c>
      <c r="Y22" s="70" t="e">
        <f t="shared" ca="1" si="20"/>
        <v>#REF!</v>
      </c>
      <c r="Z22" s="70" t="e">
        <f t="shared" ca="1" si="21"/>
        <v>#REF!</v>
      </c>
      <c r="AA22" s="70" t="e">
        <f t="shared" ca="1" si="22"/>
        <v>#REF!</v>
      </c>
      <c r="AB22" s="67" t="e">
        <f t="shared" ca="1" si="65"/>
        <v>#REF!</v>
      </c>
      <c r="AC22" s="70" t="e">
        <f ca="1">-IF(INDEX(SC_ZX_CodeA,ZXIDX1)="X", 0, MIN(AB22*MAX(INDEX(SC_ZX_Drawdown,ZXIDX2),0),AA22))</f>
        <v>#REF!</v>
      </c>
      <c r="AD22" s="109" t="e">
        <f t="shared" ca="1" si="24"/>
        <v>#REF!</v>
      </c>
      <c r="AE22" s="75" t="e">
        <f t="shared" ca="1" si="25"/>
        <v>#REF!</v>
      </c>
      <c r="AF22" s="70" t="e">
        <f t="shared" ca="1" si="26"/>
        <v>#REF!</v>
      </c>
      <c r="AG22" s="70" t="e">
        <f t="shared" ca="1" si="27"/>
        <v>#REF!</v>
      </c>
      <c r="AH22" s="70" t="e">
        <f t="shared" ca="1" si="28"/>
        <v>#REF!</v>
      </c>
      <c r="AI22" s="67" t="e">
        <f t="shared" ca="1" si="66"/>
        <v>#REF!</v>
      </c>
      <c r="AJ22" s="70" t="e">
        <f ca="1">-IF(INDEX(SC_ZX_CodeA,ZXIDX1)="X", 0, MIN(AI22*MAX(INDEX(SC_ZX_Drawdown,ZXIDX2),0),AH22))</f>
        <v>#REF!</v>
      </c>
      <c r="AK22" s="109" t="e">
        <f t="shared" ca="1" si="30"/>
        <v>#REF!</v>
      </c>
      <c r="AL22" s="75" t="e">
        <f t="shared" ca="1" si="31"/>
        <v>#REF!</v>
      </c>
      <c r="AM22" s="70" t="e">
        <f t="shared" ca="1" si="32"/>
        <v>#REF!</v>
      </c>
      <c r="AN22" s="70" t="e">
        <f t="shared" ca="1" si="33"/>
        <v>#REF!</v>
      </c>
      <c r="AO22" s="70" t="e">
        <f t="shared" ca="1" si="34"/>
        <v>#REF!</v>
      </c>
      <c r="AP22" s="67" t="e">
        <f t="shared" ca="1" si="67"/>
        <v>#REF!</v>
      </c>
      <c r="AQ22" s="70" t="e">
        <f ca="1">-IF(INDEX(SC_ZX_CodeA,ZXIDX1)="X", 0, MIN(AP22*MAX(INDEX(SC_ZX_Drawdown,ZXIDX2),0),AO22))</f>
        <v>#REF!</v>
      </c>
      <c r="AR22" s="109" t="e">
        <f t="shared" ca="1" si="36"/>
        <v>#REF!</v>
      </c>
      <c r="AS22" s="75" t="e">
        <f t="shared" ca="1" si="37"/>
        <v>#REF!</v>
      </c>
      <c r="AT22" s="70" t="e">
        <f t="shared" ca="1" si="38"/>
        <v>#REF!</v>
      </c>
      <c r="AU22" s="70" t="e">
        <f t="shared" ca="1" si="39"/>
        <v>#REF!</v>
      </c>
      <c r="AV22" s="70" t="e">
        <f t="shared" ca="1" si="40"/>
        <v>#REF!</v>
      </c>
      <c r="AW22" s="67" t="e">
        <f t="shared" ca="1" si="68"/>
        <v>#REF!</v>
      </c>
      <c r="AX22" s="70" t="e">
        <f ca="1">-IF(INDEX(SC_ZX_CodeA,ZXIDX1)="X", 0, MIN(AW22*MAX(INDEX(SC_ZX_Drawdown,ZXIDX2),0),AV22))</f>
        <v>#REF!</v>
      </c>
      <c r="AY22" s="109" t="e">
        <f t="shared" ca="1" si="42"/>
        <v>#REF!</v>
      </c>
      <c r="AZ22" s="75" t="e">
        <f t="shared" ca="1" si="43"/>
        <v>#REF!</v>
      </c>
      <c r="BA22" s="70" t="e">
        <f t="shared" ca="1" si="44"/>
        <v>#REF!</v>
      </c>
      <c r="BB22" s="70" t="e">
        <f t="shared" ca="1" si="45"/>
        <v>#REF!</v>
      </c>
      <c r="BC22" s="70" t="e">
        <f t="shared" ca="1" si="46"/>
        <v>#REF!</v>
      </c>
      <c r="BD22" s="67" t="e">
        <f t="shared" ca="1" si="69"/>
        <v>#REF!</v>
      </c>
      <c r="BE22" s="70" t="e">
        <f ca="1">-IF(INDEX(SC_ZX_CodeA,ZXIDX1)="X", 0, MIN(BD22*MAX(INDEX(SC_ZX_Drawdown,ZXIDX2),0),AZ22))</f>
        <v>#REF!</v>
      </c>
      <c r="BF22" s="109" t="e">
        <f t="shared" ca="1" si="48"/>
        <v>#REF!</v>
      </c>
      <c r="BG22" s="75" t="e">
        <f t="shared" ca="1" si="49"/>
        <v>#REF!</v>
      </c>
      <c r="BH22" s="70" t="e">
        <f t="shared" ca="1" si="50"/>
        <v>#REF!</v>
      </c>
      <c r="BI22" s="70" t="e">
        <f t="shared" ca="1" si="51"/>
        <v>#REF!</v>
      </c>
      <c r="BJ22" s="70" t="e">
        <f t="shared" ca="1" si="52"/>
        <v>#REF!</v>
      </c>
      <c r="BK22" s="67" t="e">
        <f t="shared" ca="1" si="70"/>
        <v>#REF!</v>
      </c>
      <c r="BL22" s="70" t="e">
        <f ca="1">-IF(INDEX(SC_ZX_CodeA,ZXIDX1)="X", 0, MIN(BK22*MAX(INDEX(SC_ZX_Drawdown,ZXIDX2),0),BJ22))</f>
        <v>#REF!</v>
      </c>
      <c r="BM22" s="70" t="e">
        <f t="shared" ca="1" si="54"/>
        <v>#REF!</v>
      </c>
      <c r="BN22" s="111" t="e">
        <f t="shared" ca="1" si="55"/>
        <v>#REF!</v>
      </c>
      <c r="BO22" s="112" t="e">
        <f t="shared" ca="1" si="56"/>
        <v>#REF!</v>
      </c>
      <c r="BP22" s="112" t="e">
        <f ca="1">-($V22-IF(($P22+$R22+$S22)&gt;0,MAX($V22/($P22+$R22+$S22)*($Q22+$R22),$V22),0))*LT_InvestmentQDI</f>
        <v>#VALUE!</v>
      </c>
      <c r="BQ22" s="112" t="e">
        <f ca="1">-($V22-IF(($P22+$R22+$S22)&gt;0,MAX($V22/($P22+$R22+$S22)*($Q22+$R22),$V22),0))*(1-LT_InvestmentQDI)</f>
        <v>#VALUE!</v>
      </c>
      <c r="BR22" s="112" t="e">
        <f t="shared" ca="1" si="57"/>
        <v>#VALUE!</v>
      </c>
      <c r="BS22" s="112" t="e">
        <f t="shared" ca="1" si="58"/>
        <v>#VALUE!</v>
      </c>
      <c r="BT22" s="634" t="e">
        <f ca="1">SUMPRODUCT($BN22:$BN23+$BO22:$BO23, --($E22:$E23&lt;&gt;0))</f>
        <v>#REF!</v>
      </c>
      <c r="BU22" s="617" t="e">
        <f ca="1">SUMPRODUCT($BR22:$BR23+$BS22:$BS23, --($E22:$E23&lt;&gt;0))</f>
        <v>#VALUE!</v>
      </c>
      <c r="BV22" s="617" t="e">
        <f ca="1">$T22+SUMPRODUCT($AA22:$AA23+$AH22:$AH23+$AO22:$AO23+$AV22:$AV23+$BC22:$BC23+$BJ22:$BJ23, --($E22:$E23&lt;&gt;0))</f>
        <v>#VALUE!</v>
      </c>
      <c r="BW22" s="617" t="e">
        <f ca="1">MAX($P22-$Q22,0)+SUMPRODUCT($X22:$X23+$AL22:$AL23+$AZ22:$AZ23, --($E22:$E23&lt;&gt;0))</f>
        <v>#VALUE!</v>
      </c>
      <c r="BX22" s="618" t="e">
        <f ca="1">MIN($P22,$Q22)+SUMPRODUCT($AE22:$AE23+$AS22:$AS23+$BG22:$BG23, --($E22:$E23&lt;&gt;0))</f>
        <v>#VALUE!</v>
      </c>
      <c r="CO22" s="8"/>
    </row>
    <row r="23" spans="2:93" x14ac:dyDescent="0.25">
      <c r="B23" s="86">
        <f t="shared" ca="1" si="59"/>
        <v>2028</v>
      </c>
      <c r="C23" s="80" t="s">
        <v>741</v>
      </c>
      <c r="D23" s="147" t="str">
        <f t="shared" si="7"/>
        <v/>
      </c>
      <c r="E23" s="81">
        <f t="shared" si="8"/>
        <v>0</v>
      </c>
      <c r="F23" s="81">
        <f t="shared" si="18"/>
        <v>2</v>
      </c>
      <c r="G23" s="82">
        <f t="shared" si="9"/>
        <v>-1</v>
      </c>
      <c r="H23" s="82">
        <f t="shared" si="10"/>
        <v>0</v>
      </c>
      <c r="I23" s="81" t="b">
        <f t="shared" si="11"/>
        <v>0</v>
      </c>
      <c r="J23" s="81"/>
      <c r="K23" s="81"/>
      <c r="L23" s="81"/>
      <c r="M23" s="81"/>
      <c r="N23" s="633"/>
      <c r="O23" s="243" t="e">
        <f ca="1">LT_InvestmentStocks*INDEX(SP_EA_ARStocks,EAIDX)+LT_InvestmentBonds*INDEX(SC_EA_ARBonds,EAIDX)</f>
        <v>#REF!</v>
      </c>
      <c r="P23" s="634"/>
      <c r="Q23" s="617"/>
      <c r="R23" s="617"/>
      <c r="S23" s="617"/>
      <c r="T23" s="617"/>
      <c r="U23" s="643"/>
      <c r="V23" s="617"/>
      <c r="W23" s="639"/>
      <c r="X23" s="106" t="e">
        <f t="shared" ca="1" si="19"/>
        <v>#REF!</v>
      </c>
      <c r="Y23" s="107" t="e">
        <f t="shared" ca="1" si="20"/>
        <v>#REF!</v>
      </c>
      <c r="Z23" s="107" t="e">
        <f t="shared" ca="1" si="21"/>
        <v>#REF!</v>
      </c>
      <c r="AA23" s="107" t="e">
        <f t="shared" ca="1" si="22"/>
        <v>#REF!</v>
      </c>
      <c r="AB23" s="91" t="e">
        <f t="shared" ca="1" si="65"/>
        <v>#REF!</v>
      </c>
      <c r="AC23" s="107" t="e">
        <f ca="1">-IF(INDEX(SC_ZX_CodeA,ZXIDX1)="X", 0, MIN(AB23*MAX(INDEX(SC_ZX_Drawdown,ZXIDX2),0),AA23))</f>
        <v>#REF!</v>
      </c>
      <c r="AD23" s="110" t="e">
        <f t="shared" ca="1" si="24"/>
        <v>#REF!</v>
      </c>
      <c r="AE23" s="106" t="e">
        <f t="shared" ca="1" si="25"/>
        <v>#REF!</v>
      </c>
      <c r="AF23" s="107" t="e">
        <f t="shared" ca="1" si="26"/>
        <v>#REF!</v>
      </c>
      <c r="AG23" s="107" t="e">
        <f t="shared" ca="1" si="27"/>
        <v>#REF!</v>
      </c>
      <c r="AH23" s="107" t="e">
        <f t="shared" ca="1" si="28"/>
        <v>#REF!</v>
      </c>
      <c r="AI23" s="91" t="e">
        <f t="shared" ca="1" si="66"/>
        <v>#REF!</v>
      </c>
      <c r="AJ23" s="107" t="e">
        <f ca="1">-IF(INDEX(SC_ZX_CodeA,ZXIDX1)="X", 0, MIN(AI23*MAX(INDEX(SC_ZX_Drawdown,ZXIDX2),0),AH23))</f>
        <v>#REF!</v>
      </c>
      <c r="AK23" s="110" t="e">
        <f t="shared" ca="1" si="30"/>
        <v>#REF!</v>
      </c>
      <c r="AL23" s="106" t="e">
        <f t="shared" ca="1" si="31"/>
        <v>#REF!</v>
      </c>
      <c r="AM23" s="107" t="e">
        <f t="shared" ca="1" si="32"/>
        <v>#REF!</v>
      </c>
      <c r="AN23" s="107" t="e">
        <f t="shared" ca="1" si="33"/>
        <v>#REF!</v>
      </c>
      <c r="AO23" s="107" t="e">
        <f t="shared" ca="1" si="34"/>
        <v>#REF!</v>
      </c>
      <c r="AP23" s="91" t="e">
        <f t="shared" ca="1" si="67"/>
        <v>#REF!</v>
      </c>
      <c r="AQ23" s="107" t="e">
        <f ca="1">-IF(INDEX(SC_ZX_CodeA,ZXIDX1)="X", 0, MIN(AP23*MAX(INDEX(SC_ZX_Drawdown,ZXIDX2),0),AO23))</f>
        <v>#REF!</v>
      </c>
      <c r="AR23" s="110" t="e">
        <f t="shared" ca="1" si="36"/>
        <v>#REF!</v>
      </c>
      <c r="AS23" s="106" t="e">
        <f t="shared" ca="1" si="37"/>
        <v>#REF!</v>
      </c>
      <c r="AT23" s="107" t="e">
        <f t="shared" ca="1" si="38"/>
        <v>#REF!</v>
      </c>
      <c r="AU23" s="107" t="e">
        <f t="shared" ca="1" si="39"/>
        <v>#REF!</v>
      </c>
      <c r="AV23" s="107" t="e">
        <f t="shared" ca="1" si="40"/>
        <v>#REF!</v>
      </c>
      <c r="AW23" s="91" t="e">
        <f t="shared" ca="1" si="68"/>
        <v>#REF!</v>
      </c>
      <c r="AX23" s="107" t="e">
        <f ca="1">-IF(INDEX(SC_ZX_CodeA,ZXIDX1)="X", 0, MIN(AW23*MAX(INDEX(SC_ZX_Drawdown,ZXIDX2),0),AV23))</f>
        <v>#REF!</v>
      </c>
      <c r="AY23" s="110" t="e">
        <f t="shared" ca="1" si="42"/>
        <v>#REF!</v>
      </c>
      <c r="AZ23" s="106" t="e">
        <f t="shared" ca="1" si="43"/>
        <v>#REF!</v>
      </c>
      <c r="BA23" s="107" t="e">
        <f t="shared" ca="1" si="44"/>
        <v>#REF!</v>
      </c>
      <c r="BB23" s="107" t="e">
        <f t="shared" ca="1" si="45"/>
        <v>#REF!</v>
      </c>
      <c r="BC23" s="107" t="e">
        <f t="shared" ca="1" si="46"/>
        <v>#REF!</v>
      </c>
      <c r="BD23" s="91" t="e">
        <f t="shared" ca="1" si="69"/>
        <v>#REF!</v>
      </c>
      <c r="BE23" s="107" t="e">
        <f ca="1">-IF(INDEX(SC_ZX_CodeA,ZXIDX1)="X", 0, MIN(BD23*MAX(INDEX(SC_ZX_Drawdown,ZXIDX2),0),AZ23))</f>
        <v>#REF!</v>
      </c>
      <c r="BF23" s="110" t="e">
        <f t="shared" ca="1" si="48"/>
        <v>#REF!</v>
      </c>
      <c r="BG23" s="106" t="e">
        <f t="shared" ca="1" si="49"/>
        <v>#REF!</v>
      </c>
      <c r="BH23" s="107" t="e">
        <f t="shared" ca="1" si="50"/>
        <v>#REF!</v>
      </c>
      <c r="BI23" s="107" t="e">
        <f t="shared" ca="1" si="51"/>
        <v>#REF!</v>
      </c>
      <c r="BJ23" s="107" t="e">
        <f t="shared" ca="1" si="52"/>
        <v>#REF!</v>
      </c>
      <c r="BK23" s="91" t="e">
        <f t="shared" ca="1" si="70"/>
        <v>#REF!</v>
      </c>
      <c r="BL23" s="107" t="e">
        <f ca="1">-IF(INDEX(SC_ZX_CodeA,ZXIDX1)="X", 0, MIN(BK23*MAX(INDEX(SC_ZX_Drawdown,ZXIDX2),0),BJ23))</f>
        <v>#REF!</v>
      </c>
      <c r="BM23" s="107" t="e">
        <f t="shared" ca="1" si="54"/>
        <v>#REF!</v>
      </c>
      <c r="BN23" s="113" t="e">
        <f t="shared" ca="1" si="55"/>
        <v>#REF!</v>
      </c>
      <c r="BO23" s="114" t="e">
        <f t="shared" ca="1" si="56"/>
        <v>#REF!</v>
      </c>
      <c r="BP23" s="114" t="e">
        <f ca="1">-($V23-IF(($P23+$R23+$S23)&gt;0,MAX($V23/($P23+$R23+$S23)*($Q23+$R23),$V23),0))*LT_InvestmentQDI</f>
        <v>#REF!</v>
      </c>
      <c r="BQ23" s="114" t="e">
        <f ca="1">-($V23-IF(($P23+$R23+$S23)&gt;0,MAX($V23/($P23+$R23+$S23)*($Q23+$R23),$V23),0))*(1-LT_InvestmentQDI)</f>
        <v>#REF!</v>
      </c>
      <c r="BR23" s="114" t="e">
        <f t="shared" ca="1" si="57"/>
        <v>#REF!</v>
      </c>
      <c r="BS23" s="114" t="e">
        <f t="shared" ca="1" si="58"/>
        <v>#REF!</v>
      </c>
      <c r="BT23" s="649"/>
      <c r="BU23" s="637"/>
      <c r="BV23" s="637"/>
      <c r="BW23" s="637"/>
      <c r="BX23" s="639"/>
      <c r="CO23" s="8"/>
    </row>
    <row r="24" spans="2:93" x14ac:dyDescent="0.25">
      <c r="B24" s="65">
        <f ca="1">B22+1</f>
        <v>2029</v>
      </c>
      <c r="C24" s="76" t="s">
        <v>741</v>
      </c>
      <c r="D24" s="146" t="str">
        <f t="shared" si="7"/>
        <v/>
      </c>
      <c r="E24" s="77">
        <f t="shared" si="8"/>
        <v>0</v>
      </c>
      <c r="F24" s="77">
        <f t="shared" si="18"/>
        <v>1</v>
      </c>
      <c r="G24" s="76">
        <f t="shared" si="9"/>
        <v>1</v>
      </c>
      <c r="H24" s="76">
        <f t="shared" si="10"/>
        <v>0</v>
      </c>
      <c r="I24" s="77" t="b">
        <f t="shared" si="11"/>
        <v>0</v>
      </c>
      <c r="J24" s="77"/>
      <c r="K24" s="77"/>
      <c r="L24" s="77"/>
      <c r="M24" s="77"/>
      <c r="N24" s="632">
        <f ca="1">YEAR(SP_TargetRD)-$B24</f>
        <v>-6</v>
      </c>
      <c r="O24" s="243" t="e">
        <f ca="1">LT_InvestmentStocks*INDEX(SP_EA_ARStocks,EAIDX)+LT_InvestmentBonds*INDEX(SC_EA_ARBonds,EAIDX)</f>
        <v>#REF!</v>
      </c>
      <c r="P24" s="634" t="e">
        <f ca="1">MAX(P22+R22+S22+V22+W22,0)</f>
        <v>#VALUE!</v>
      </c>
      <c r="Q24" s="617" t="e">
        <f t="shared" ref="Q24" ca="1" si="76">MAX(Q22+R22+IF((P22+R22+S22)&gt;0,MAX(V22/(P22+R22+S22)*(Q22+R22),V22),0),0)</f>
        <v>#VALUE!</v>
      </c>
      <c r="R24" s="617" t="e">
        <f ca="1">IF(SC_ZX_CodeA="X", 0, MAX(INDEX(SC_ZX_IncomeSurplus,ZXIDX2)+INDEX(SC_ZX_Debt,ZXIDX2),0))</f>
        <v>#VALUE!</v>
      </c>
      <c r="S24" s="617" t="e">
        <f ca="1">IF(SC_ZX_CodeA="X", 0, INDEX(SC_EX_RolloverCore,EXIDX))</f>
        <v>#VALUE!</v>
      </c>
      <c r="T24" s="617" t="e">
        <f ca="1">P24+R24+S24</f>
        <v>#VALUE!</v>
      </c>
      <c r="U24" s="642" t="e">
        <f ca="1">IF(SC_ZX_BalanceAccessibleA&gt;0, T24/SC_ZX_BalanceAccessibleA, 0)</f>
        <v>#VALUE!</v>
      </c>
      <c r="V24" s="617" t="e">
        <f ca="1">-IF(SC_ZX_CodeA="X",0,MIN(U24*MAX(INDEX(SC_ZX_Drawdown,ZXIDX2),0),T24))</f>
        <v>#VALUE!</v>
      </c>
      <c r="W24" s="618" t="e">
        <f ca="1">(P24+R24+S24+V24)*$O24</f>
        <v>#VALUE!</v>
      </c>
      <c r="X24" s="75" t="e">
        <f t="shared" ca="1" si="19"/>
        <v>#REF!</v>
      </c>
      <c r="Y24" s="70" t="e">
        <f t="shared" ca="1" si="20"/>
        <v>#REF!</v>
      </c>
      <c r="Z24" s="70" t="e">
        <f t="shared" ca="1" si="21"/>
        <v>#REF!</v>
      </c>
      <c r="AA24" s="70" t="e">
        <f t="shared" ca="1" si="22"/>
        <v>#REF!</v>
      </c>
      <c r="AB24" s="67" t="e">
        <f t="shared" ca="1" si="65"/>
        <v>#REF!</v>
      </c>
      <c r="AC24" s="70" t="e">
        <f ca="1">-IF(INDEX(SC_ZX_CodeA,ZXIDX1)="X", 0, MIN(AB24*MAX(INDEX(SC_ZX_Drawdown,ZXIDX2),0),AA24))</f>
        <v>#REF!</v>
      </c>
      <c r="AD24" s="109" t="e">
        <f t="shared" ca="1" si="24"/>
        <v>#REF!</v>
      </c>
      <c r="AE24" s="75" t="e">
        <f t="shared" ca="1" si="25"/>
        <v>#REF!</v>
      </c>
      <c r="AF24" s="70" t="e">
        <f t="shared" ca="1" si="26"/>
        <v>#REF!</v>
      </c>
      <c r="AG24" s="70" t="e">
        <f t="shared" ca="1" si="27"/>
        <v>#REF!</v>
      </c>
      <c r="AH24" s="70" t="e">
        <f t="shared" ca="1" si="28"/>
        <v>#REF!</v>
      </c>
      <c r="AI24" s="67" t="e">
        <f t="shared" ca="1" si="66"/>
        <v>#REF!</v>
      </c>
      <c r="AJ24" s="70" t="e">
        <f ca="1">-IF(INDEX(SC_ZX_CodeA,ZXIDX1)="X", 0, MIN(AI24*MAX(INDEX(SC_ZX_Drawdown,ZXIDX2),0),AH24))</f>
        <v>#REF!</v>
      </c>
      <c r="AK24" s="109" t="e">
        <f t="shared" ca="1" si="30"/>
        <v>#REF!</v>
      </c>
      <c r="AL24" s="75" t="e">
        <f t="shared" ca="1" si="31"/>
        <v>#REF!</v>
      </c>
      <c r="AM24" s="70" t="e">
        <f t="shared" ca="1" si="32"/>
        <v>#REF!</v>
      </c>
      <c r="AN24" s="70" t="e">
        <f t="shared" ca="1" si="33"/>
        <v>#REF!</v>
      </c>
      <c r="AO24" s="70" t="e">
        <f t="shared" ca="1" si="34"/>
        <v>#REF!</v>
      </c>
      <c r="AP24" s="67" t="e">
        <f t="shared" ca="1" si="67"/>
        <v>#REF!</v>
      </c>
      <c r="AQ24" s="70" t="e">
        <f ca="1">-IF(INDEX(SC_ZX_CodeA,ZXIDX1)="X", 0, MIN(AP24*MAX(INDEX(SC_ZX_Drawdown,ZXIDX2),0),AO24))</f>
        <v>#REF!</v>
      </c>
      <c r="AR24" s="109" t="e">
        <f t="shared" ca="1" si="36"/>
        <v>#REF!</v>
      </c>
      <c r="AS24" s="75" t="e">
        <f t="shared" ca="1" si="37"/>
        <v>#REF!</v>
      </c>
      <c r="AT24" s="70" t="e">
        <f t="shared" ca="1" si="38"/>
        <v>#REF!</v>
      </c>
      <c r="AU24" s="70" t="e">
        <f t="shared" ca="1" si="39"/>
        <v>#REF!</v>
      </c>
      <c r="AV24" s="70" t="e">
        <f t="shared" ca="1" si="40"/>
        <v>#REF!</v>
      </c>
      <c r="AW24" s="67" t="e">
        <f t="shared" ca="1" si="68"/>
        <v>#REF!</v>
      </c>
      <c r="AX24" s="70" t="e">
        <f ca="1">-IF(INDEX(SC_ZX_CodeA,ZXIDX1)="X", 0, MIN(AW24*MAX(INDEX(SC_ZX_Drawdown,ZXIDX2),0),AV24))</f>
        <v>#REF!</v>
      </c>
      <c r="AY24" s="109" t="e">
        <f t="shared" ca="1" si="42"/>
        <v>#REF!</v>
      </c>
      <c r="AZ24" s="75" t="e">
        <f t="shared" ca="1" si="43"/>
        <v>#REF!</v>
      </c>
      <c r="BA24" s="70" t="e">
        <f t="shared" ca="1" si="44"/>
        <v>#REF!</v>
      </c>
      <c r="BB24" s="70" t="e">
        <f t="shared" ca="1" si="45"/>
        <v>#REF!</v>
      </c>
      <c r="BC24" s="70" t="e">
        <f t="shared" ca="1" si="46"/>
        <v>#REF!</v>
      </c>
      <c r="BD24" s="67" t="e">
        <f t="shared" ca="1" si="69"/>
        <v>#REF!</v>
      </c>
      <c r="BE24" s="70" t="e">
        <f ca="1">-IF(INDEX(SC_ZX_CodeA,ZXIDX1)="X", 0, MIN(BD24*MAX(INDEX(SC_ZX_Drawdown,ZXIDX2),0),AZ24))</f>
        <v>#REF!</v>
      </c>
      <c r="BF24" s="109" t="e">
        <f t="shared" ca="1" si="48"/>
        <v>#REF!</v>
      </c>
      <c r="BG24" s="75" t="e">
        <f t="shared" ca="1" si="49"/>
        <v>#REF!</v>
      </c>
      <c r="BH24" s="70" t="e">
        <f t="shared" ca="1" si="50"/>
        <v>#REF!</v>
      </c>
      <c r="BI24" s="70" t="e">
        <f t="shared" ca="1" si="51"/>
        <v>#REF!</v>
      </c>
      <c r="BJ24" s="70" t="e">
        <f t="shared" ca="1" si="52"/>
        <v>#REF!</v>
      </c>
      <c r="BK24" s="67" t="e">
        <f t="shared" ca="1" si="70"/>
        <v>#REF!</v>
      </c>
      <c r="BL24" s="70" t="e">
        <f ca="1">-IF(INDEX(SC_ZX_CodeA,ZXIDX1)="X", 0, MIN(BK24*MAX(INDEX(SC_ZX_Drawdown,ZXIDX2),0),BJ24))</f>
        <v>#REF!</v>
      </c>
      <c r="BM24" s="70" t="e">
        <f t="shared" ca="1" si="54"/>
        <v>#REF!</v>
      </c>
      <c r="BN24" s="111" t="e">
        <f t="shared" ca="1" si="55"/>
        <v>#REF!</v>
      </c>
      <c r="BO24" s="112" t="e">
        <f t="shared" ca="1" si="56"/>
        <v>#REF!</v>
      </c>
      <c r="BP24" s="112" t="e">
        <f ca="1">-($V24-IF(($P24+$R24+$S24)&gt;0,MAX($V24/($P24+$R24+$S24)*($Q24+$R24),$V24),0))*LT_InvestmentQDI</f>
        <v>#VALUE!</v>
      </c>
      <c r="BQ24" s="112" t="e">
        <f ca="1">-($V24-IF(($P24+$R24+$S24)&gt;0,MAX($V24/($P24+$R24+$S24)*($Q24+$R24),$V24),0))*(1-LT_InvestmentQDI)</f>
        <v>#VALUE!</v>
      </c>
      <c r="BR24" s="112" t="e">
        <f t="shared" ca="1" si="57"/>
        <v>#VALUE!</v>
      </c>
      <c r="BS24" s="112" t="e">
        <f t="shared" ca="1" si="58"/>
        <v>#VALUE!</v>
      </c>
      <c r="BT24" s="634" t="e">
        <f ca="1">SUMPRODUCT($BN24:$BN25+$BO24:$BO25, --($E24:$E25&lt;&gt;0))</f>
        <v>#REF!</v>
      </c>
      <c r="BU24" s="617" t="e">
        <f ca="1">SUMPRODUCT($BR24:$BR25+$BS24:$BS25, --($E24:$E25&lt;&gt;0))</f>
        <v>#VALUE!</v>
      </c>
      <c r="BV24" s="617" t="e">
        <f ca="1">$T24+SUMPRODUCT($AA24:$AA25+$AH24:$AH25+$AO24:$AO25+$AV24:$AV25+$BC24:$BC25+$BJ24:$BJ25, --($E24:$E25&lt;&gt;0))</f>
        <v>#VALUE!</v>
      </c>
      <c r="BW24" s="617" t="e">
        <f ca="1">MAX($P24-$Q24,0)+SUMPRODUCT($X24:$X25+$AL24:$AL25+$AZ24:$AZ25, --($E24:$E25&lt;&gt;0))</f>
        <v>#VALUE!</v>
      </c>
      <c r="BX24" s="618" t="e">
        <f ca="1">MIN($P24,$Q24)+SUMPRODUCT($AE24:$AE25+$AS24:$AS25+$BG24:$BG25, --($E24:$E25&lt;&gt;0))</f>
        <v>#VALUE!</v>
      </c>
      <c r="CO24" s="8"/>
    </row>
    <row r="25" spans="2:93" x14ac:dyDescent="0.25">
      <c r="B25" s="86">
        <f t="shared" ca="1" si="59"/>
        <v>2029</v>
      </c>
      <c r="C25" s="80" t="s">
        <v>741</v>
      </c>
      <c r="D25" s="147" t="str">
        <f t="shared" si="7"/>
        <v/>
      </c>
      <c r="E25" s="81">
        <f t="shared" si="8"/>
        <v>0</v>
      </c>
      <c r="F25" s="81">
        <f t="shared" si="18"/>
        <v>2</v>
      </c>
      <c r="G25" s="82">
        <f t="shared" si="9"/>
        <v>-1</v>
      </c>
      <c r="H25" s="82">
        <f t="shared" si="10"/>
        <v>0</v>
      </c>
      <c r="I25" s="81" t="b">
        <f t="shared" si="11"/>
        <v>0</v>
      </c>
      <c r="J25" s="81"/>
      <c r="K25" s="81"/>
      <c r="L25" s="81"/>
      <c r="M25" s="81"/>
      <c r="N25" s="633"/>
      <c r="O25" s="243" t="e">
        <f ca="1">LT_InvestmentStocks*INDEX(SP_EA_ARStocks,EAIDX)+LT_InvestmentBonds*INDEX(SC_EA_ARBonds,EAIDX)</f>
        <v>#REF!</v>
      </c>
      <c r="P25" s="634"/>
      <c r="Q25" s="617"/>
      <c r="R25" s="617"/>
      <c r="S25" s="617"/>
      <c r="T25" s="617"/>
      <c r="U25" s="643"/>
      <c r="V25" s="617"/>
      <c r="W25" s="639"/>
      <c r="X25" s="106" t="e">
        <f t="shared" ca="1" si="19"/>
        <v>#REF!</v>
      </c>
      <c r="Y25" s="107" t="e">
        <f t="shared" ca="1" si="20"/>
        <v>#REF!</v>
      </c>
      <c r="Z25" s="107" t="e">
        <f t="shared" ca="1" si="21"/>
        <v>#REF!</v>
      </c>
      <c r="AA25" s="107" t="e">
        <f t="shared" ca="1" si="22"/>
        <v>#REF!</v>
      </c>
      <c r="AB25" s="91" t="e">
        <f t="shared" ca="1" si="65"/>
        <v>#REF!</v>
      </c>
      <c r="AC25" s="107" t="e">
        <f ca="1">-IF(INDEX(SC_ZX_CodeA,ZXIDX1)="X", 0, MIN(AB25*MAX(INDEX(SC_ZX_Drawdown,ZXIDX2),0),AA25))</f>
        <v>#REF!</v>
      </c>
      <c r="AD25" s="110" t="e">
        <f t="shared" ca="1" si="24"/>
        <v>#REF!</v>
      </c>
      <c r="AE25" s="106" t="e">
        <f t="shared" ca="1" si="25"/>
        <v>#REF!</v>
      </c>
      <c r="AF25" s="107" t="e">
        <f t="shared" ca="1" si="26"/>
        <v>#REF!</v>
      </c>
      <c r="AG25" s="107" t="e">
        <f t="shared" ca="1" si="27"/>
        <v>#REF!</v>
      </c>
      <c r="AH25" s="107" t="e">
        <f t="shared" ca="1" si="28"/>
        <v>#REF!</v>
      </c>
      <c r="AI25" s="91" t="e">
        <f t="shared" ca="1" si="66"/>
        <v>#REF!</v>
      </c>
      <c r="AJ25" s="107" t="e">
        <f ca="1">-IF(INDEX(SC_ZX_CodeA,ZXIDX1)="X", 0, MIN(AI25*MAX(INDEX(SC_ZX_Drawdown,ZXIDX2),0),AH25))</f>
        <v>#REF!</v>
      </c>
      <c r="AK25" s="110" t="e">
        <f t="shared" ca="1" si="30"/>
        <v>#REF!</v>
      </c>
      <c r="AL25" s="106" t="e">
        <f t="shared" ca="1" si="31"/>
        <v>#REF!</v>
      </c>
      <c r="AM25" s="107" t="e">
        <f t="shared" ca="1" si="32"/>
        <v>#REF!</v>
      </c>
      <c r="AN25" s="107" t="e">
        <f t="shared" ca="1" si="33"/>
        <v>#REF!</v>
      </c>
      <c r="AO25" s="107" t="e">
        <f t="shared" ca="1" si="34"/>
        <v>#REF!</v>
      </c>
      <c r="AP25" s="91" t="e">
        <f t="shared" ca="1" si="67"/>
        <v>#REF!</v>
      </c>
      <c r="AQ25" s="107" t="e">
        <f ca="1">-IF(INDEX(SC_ZX_CodeA,ZXIDX1)="X", 0, MIN(AP25*MAX(INDEX(SC_ZX_Drawdown,ZXIDX2),0),AO25))</f>
        <v>#REF!</v>
      </c>
      <c r="AR25" s="110" t="e">
        <f t="shared" ca="1" si="36"/>
        <v>#REF!</v>
      </c>
      <c r="AS25" s="106" t="e">
        <f t="shared" ca="1" si="37"/>
        <v>#REF!</v>
      </c>
      <c r="AT25" s="107" t="e">
        <f t="shared" ca="1" si="38"/>
        <v>#REF!</v>
      </c>
      <c r="AU25" s="107" t="e">
        <f t="shared" ca="1" si="39"/>
        <v>#REF!</v>
      </c>
      <c r="AV25" s="107" t="e">
        <f t="shared" ca="1" si="40"/>
        <v>#REF!</v>
      </c>
      <c r="AW25" s="91" t="e">
        <f t="shared" ca="1" si="68"/>
        <v>#REF!</v>
      </c>
      <c r="AX25" s="107" t="e">
        <f ca="1">-IF(INDEX(SC_ZX_CodeA,ZXIDX1)="X", 0, MIN(AW25*MAX(INDEX(SC_ZX_Drawdown,ZXIDX2),0),AV25))</f>
        <v>#REF!</v>
      </c>
      <c r="AY25" s="110" t="e">
        <f t="shared" ca="1" si="42"/>
        <v>#REF!</v>
      </c>
      <c r="AZ25" s="106" t="e">
        <f t="shared" ca="1" si="43"/>
        <v>#REF!</v>
      </c>
      <c r="BA25" s="107" t="e">
        <f t="shared" ca="1" si="44"/>
        <v>#REF!</v>
      </c>
      <c r="BB25" s="107" t="e">
        <f t="shared" ca="1" si="45"/>
        <v>#REF!</v>
      </c>
      <c r="BC25" s="107" t="e">
        <f t="shared" ca="1" si="46"/>
        <v>#REF!</v>
      </c>
      <c r="BD25" s="91" t="e">
        <f t="shared" ca="1" si="69"/>
        <v>#REF!</v>
      </c>
      <c r="BE25" s="107" t="e">
        <f ca="1">-IF(INDEX(SC_ZX_CodeA,ZXIDX1)="X", 0, MIN(BD25*MAX(INDEX(SC_ZX_Drawdown,ZXIDX2),0),AZ25))</f>
        <v>#REF!</v>
      </c>
      <c r="BF25" s="110" t="e">
        <f t="shared" ca="1" si="48"/>
        <v>#REF!</v>
      </c>
      <c r="BG25" s="106" t="e">
        <f t="shared" ca="1" si="49"/>
        <v>#REF!</v>
      </c>
      <c r="BH25" s="107" t="e">
        <f t="shared" ca="1" si="50"/>
        <v>#REF!</v>
      </c>
      <c r="BI25" s="107" t="e">
        <f t="shared" ca="1" si="51"/>
        <v>#REF!</v>
      </c>
      <c r="BJ25" s="107" t="e">
        <f t="shared" ca="1" si="52"/>
        <v>#REF!</v>
      </c>
      <c r="BK25" s="91" t="e">
        <f t="shared" ca="1" si="70"/>
        <v>#REF!</v>
      </c>
      <c r="BL25" s="107" t="e">
        <f ca="1">-IF(INDEX(SC_ZX_CodeA,ZXIDX1)="X", 0, MIN(BK25*MAX(INDEX(SC_ZX_Drawdown,ZXIDX2),0),BJ25))</f>
        <v>#REF!</v>
      </c>
      <c r="BM25" s="107" t="e">
        <f t="shared" ca="1" si="54"/>
        <v>#REF!</v>
      </c>
      <c r="BN25" s="113" t="e">
        <f t="shared" ca="1" si="55"/>
        <v>#REF!</v>
      </c>
      <c r="BO25" s="114" t="e">
        <f t="shared" ca="1" si="56"/>
        <v>#REF!</v>
      </c>
      <c r="BP25" s="114" t="e">
        <f ca="1">-($V25-IF(($P25+$R25+$S25)&gt;0,MAX($V25/($P25+$R25+$S25)*($Q25+$R25),$V25),0))*LT_InvestmentQDI</f>
        <v>#REF!</v>
      </c>
      <c r="BQ25" s="114" t="e">
        <f ca="1">-($V25-IF(($P25+$R25+$S25)&gt;0,MAX($V25/($P25+$R25+$S25)*($Q25+$R25),$V25),0))*(1-LT_InvestmentQDI)</f>
        <v>#REF!</v>
      </c>
      <c r="BR25" s="114" t="e">
        <f t="shared" ca="1" si="57"/>
        <v>#REF!</v>
      </c>
      <c r="BS25" s="114" t="e">
        <f t="shared" ca="1" si="58"/>
        <v>#REF!</v>
      </c>
      <c r="BT25" s="649"/>
      <c r="BU25" s="637"/>
      <c r="BV25" s="637"/>
      <c r="BW25" s="637"/>
      <c r="BX25" s="639"/>
      <c r="CO25" s="8"/>
    </row>
    <row r="26" spans="2:93" x14ac:dyDescent="0.25">
      <c r="B26" s="65">
        <f ca="1">B24+1</f>
        <v>2030</v>
      </c>
      <c r="C26" s="76" t="s">
        <v>741</v>
      </c>
      <c r="D26" s="146" t="str">
        <f t="shared" si="7"/>
        <v/>
      </c>
      <c r="E26" s="77">
        <f t="shared" si="8"/>
        <v>0</v>
      </c>
      <c r="F26" s="77">
        <f t="shared" si="18"/>
        <v>1</v>
      </c>
      <c r="G26" s="76">
        <f t="shared" si="9"/>
        <v>1</v>
      </c>
      <c r="H26" s="76">
        <f t="shared" si="10"/>
        <v>0</v>
      </c>
      <c r="I26" s="77" t="b">
        <f t="shared" si="11"/>
        <v>0</v>
      </c>
      <c r="J26" s="77"/>
      <c r="K26" s="77"/>
      <c r="L26" s="77"/>
      <c r="M26" s="77"/>
      <c r="N26" s="632">
        <f ca="1">YEAR(SP_TargetRD)-$B26</f>
        <v>-7</v>
      </c>
      <c r="O26" s="243" t="e">
        <f ca="1">LT_InvestmentStocks*INDEX(SP_EA_ARStocks,EAIDX)+LT_InvestmentBonds*INDEX(SC_EA_ARBonds,EAIDX)</f>
        <v>#REF!</v>
      </c>
      <c r="P26" s="634" t="e">
        <f ca="1">MAX(P24+R24+S24+V24+W24,0)</f>
        <v>#VALUE!</v>
      </c>
      <c r="Q26" s="617" t="e">
        <f t="shared" ref="Q26" ca="1" si="77">MAX(Q24+R24+IF((P24+R24+S24)&gt;0,MAX(V24/(P24+R24+S24)*(Q24+R24),V24),0),0)</f>
        <v>#VALUE!</v>
      </c>
      <c r="R26" s="617" t="e">
        <f ca="1">IF(SC_ZX_CodeA="X", 0, MAX(INDEX(SC_ZX_IncomeSurplus,ZXIDX2)+INDEX(SC_ZX_Debt,ZXIDX2),0))</f>
        <v>#VALUE!</v>
      </c>
      <c r="S26" s="617" t="e">
        <f ca="1">IF(SC_ZX_CodeA="X", 0, INDEX(SC_EX_RolloverCore,EXIDX))</f>
        <v>#VALUE!</v>
      </c>
      <c r="T26" s="617" t="e">
        <f ca="1">P26+R26+S26</f>
        <v>#VALUE!</v>
      </c>
      <c r="U26" s="642" t="e">
        <f ca="1">IF(SC_ZX_BalanceAccessibleA&gt;0, T26/SC_ZX_BalanceAccessibleA, 0)</f>
        <v>#VALUE!</v>
      </c>
      <c r="V26" s="617" t="e">
        <f ca="1">-IF(SC_ZX_CodeA="X",0,MIN(U26*MAX(INDEX(SC_ZX_Drawdown,ZXIDX2),0),T26))</f>
        <v>#VALUE!</v>
      </c>
      <c r="W26" s="618" t="e">
        <f ca="1">(P26+R26+S26+V26)*$O26</f>
        <v>#VALUE!</v>
      </c>
      <c r="X26" s="75" t="e">
        <f t="shared" ca="1" si="19"/>
        <v>#REF!</v>
      </c>
      <c r="Y26" s="70" t="e">
        <f t="shared" ca="1" si="20"/>
        <v>#REF!</v>
      </c>
      <c r="Z26" s="70" t="e">
        <f t="shared" ca="1" si="21"/>
        <v>#REF!</v>
      </c>
      <c r="AA26" s="70" t="e">
        <f t="shared" ca="1" si="22"/>
        <v>#REF!</v>
      </c>
      <c r="AB26" s="67" t="e">
        <f t="shared" ca="1" si="65"/>
        <v>#REF!</v>
      </c>
      <c r="AC26" s="70" t="e">
        <f ca="1">-IF(INDEX(SC_ZX_CodeA,ZXIDX1)="X", 0, MIN(AB26*MAX(INDEX(SC_ZX_Drawdown,ZXIDX2),0),AA26))</f>
        <v>#REF!</v>
      </c>
      <c r="AD26" s="109" t="e">
        <f t="shared" ca="1" si="24"/>
        <v>#REF!</v>
      </c>
      <c r="AE26" s="75" t="e">
        <f t="shared" ca="1" si="25"/>
        <v>#REF!</v>
      </c>
      <c r="AF26" s="70" t="e">
        <f t="shared" ca="1" si="26"/>
        <v>#REF!</v>
      </c>
      <c r="AG26" s="70" t="e">
        <f t="shared" ca="1" si="27"/>
        <v>#REF!</v>
      </c>
      <c r="AH26" s="70" t="e">
        <f t="shared" ca="1" si="28"/>
        <v>#REF!</v>
      </c>
      <c r="AI26" s="67" t="e">
        <f t="shared" ca="1" si="66"/>
        <v>#REF!</v>
      </c>
      <c r="AJ26" s="70" t="e">
        <f ca="1">-IF(INDEX(SC_ZX_CodeA,ZXIDX1)="X", 0, MIN(AI26*MAX(INDEX(SC_ZX_Drawdown,ZXIDX2),0),AH26))</f>
        <v>#REF!</v>
      </c>
      <c r="AK26" s="109" t="e">
        <f t="shared" ca="1" si="30"/>
        <v>#REF!</v>
      </c>
      <c r="AL26" s="75" t="e">
        <f t="shared" ca="1" si="31"/>
        <v>#REF!</v>
      </c>
      <c r="AM26" s="70" t="e">
        <f t="shared" ca="1" si="32"/>
        <v>#REF!</v>
      </c>
      <c r="AN26" s="70" t="e">
        <f t="shared" ca="1" si="33"/>
        <v>#REF!</v>
      </c>
      <c r="AO26" s="70" t="e">
        <f t="shared" ca="1" si="34"/>
        <v>#REF!</v>
      </c>
      <c r="AP26" s="67" t="e">
        <f t="shared" ca="1" si="67"/>
        <v>#REF!</v>
      </c>
      <c r="AQ26" s="70" t="e">
        <f ca="1">-IF(INDEX(SC_ZX_CodeA,ZXIDX1)="X", 0, MIN(AP26*MAX(INDEX(SC_ZX_Drawdown,ZXIDX2),0),AO26))</f>
        <v>#REF!</v>
      </c>
      <c r="AR26" s="109" t="e">
        <f t="shared" ca="1" si="36"/>
        <v>#REF!</v>
      </c>
      <c r="AS26" s="75" t="e">
        <f t="shared" ca="1" si="37"/>
        <v>#REF!</v>
      </c>
      <c r="AT26" s="70" t="e">
        <f t="shared" ca="1" si="38"/>
        <v>#REF!</v>
      </c>
      <c r="AU26" s="70" t="e">
        <f t="shared" ca="1" si="39"/>
        <v>#REF!</v>
      </c>
      <c r="AV26" s="70" t="e">
        <f t="shared" ca="1" si="40"/>
        <v>#REF!</v>
      </c>
      <c r="AW26" s="67" t="e">
        <f t="shared" ca="1" si="68"/>
        <v>#REF!</v>
      </c>
      <c r="AX26" s="70" t="e">
        <f ca="1">-IF(INDEX(SC_ZX_CodeA,ZXIDX1)="X", 0, MIN(AW26*MAX(INDEX(SC_ZX_Drawdown,ZXIDX2),0),AV26))</f>
        <v>#REF!</v>
      </c>
      <c r="AY26" s="109" t="e">
        <f t="shared" ca="1" si="42"/>
        <v>#REF!</v>
      </c>
      <c r="AZ26" s="75" t="e">
        <f t="shared" ca="1" si="43"/>
        <v>#REF!</v>
      </c>
      <c r="BA26" s="70" t="e">
        <f t="shared" ca="1" si="44"/>
        <v>#REF!</v>
      </c>
      <c r="BB26" s="70" t="e">
        <f t="shared" ca="1" si="45"/>
        <v>#REF!</v>
      </c>
      <c r="BC26" s="70" t="e">
        <f t="shared" ca="1" si="46"/>
        <v>#REF!</v>
      </c>
      <c r="BD26" s="67" t="e">
        <f t="shared" ca="1" si="69"/>
        <v>#REF!</v>
      </c>
      <c r="BE26" s="70" t="e">
        <f ca="1">-IF(INDEX(SC_ZX_CodeA,ZXIDX1)="X", 0, MIN(BD26*MAX(INDEX(SC_ZX_Drawdown,ZXIDX2),0),AZ26))</f>
        <v>#REF!</v>
      </c>
      <c r="BF26" s="109" t="e">
        <f t="shared" ca="1" si="48"/>
        <v>#REF!</v>
      </c>
      <c r="BG26" s="75" t="e">
        <f t="shared" ca="1" si="49"/>
        <v>#REF!</v>
      </c>
      <c r="BH26" s="70" t="e">
        <f t="shared" ca="1" si="50"/>
        <v>#REF!</v>
      </c>
      <c r="BI26" s="70" t="e">
        <f t="shared" ca="1" si="51"/>
        <v>#REF!</v>
      </c>
      <c r="BJ26" s="70" t="e">
        <f t="shared" ca="1" si="52"/>
        <v>#REF!</v>
      </c>
      <c r="BK26" s="67" t="e">
        <f t="shared" ca="1" si="70"/>
        <v>#REF!</v>
      </c>
      <c r="BL26" s="70" t="e">
        <f ca="1">-IF(INDEX(SC_ZX_CodeA,ZXIDX1)="X", 0, MIN(BK26*MAX(INDEX(SC_ZX_Drawdown,ZXIDX2),0),BJ26))</f>
        <v>#REF!</v>
      </c>
      <c r="BM26" s="70" t="e">
        <f t="shared" ca="1" si="54"/>
        <v>#REF!</v>
      </c>
      <c r="BN26" s="111" t="e">
        <f t="shared" ca="1" si="55"/>
        <v>#REF!</v>
      </c>
      <c r="BO26" s="112" t="e">
        <f t="shared" ca="1" si="56"/>
        <v>#REF!</v>
      </c>
      <c r="BP26" s="112" t="e">
        <f ca="1">-($V26-IF(($P26+$R26+$S26)&gt;0,MAX($V26/($P26+$R26+$S26)*($Q26+$R26),$V26),0))*LT_InvestmentQDI</f>
        <v>#VALUE!</v>
      </c>
      <c r="BQ26" s="112" t="e">
        <f ca="1">-($V26-IF(($P26+$R26+$S26)&gt;0,MAX($V26/($P26+$R26+$S26)*($Q26+$R26),$V26),0))*(1-LT_InvestmentQDI)</f>
        <v>#VALUE!</v>
      </c>
      <c r="BR26" s="112" t="e">
        <f t="shared" ca="1" si="57"/>
        <v>#VALUE!</v>
      </c>
      <c r="BS26" s="112" t="e">
        <f t="shared" ca="1" si="58"/>
        <v>#VALUE!</v>
      </c>
      <c r="BT26" s="634" t="e">
        <f ca="1">SUMPRODUCT($BN26:$BN27+$BO26:$BO27, --($E26:$E27&lt;&gt;0))</f>
        <v>#REF!</v>
      </c>
      <c r="BU26" s="617" t="e">
        <f ca="1">SUMPRODUCT($BR26:$BR27+$BS26:$BS27, --($E26:$E27&lt;&gt;0))</f>
        <v>#VALUE!</v>
      </c>
      <c r="BV26" s="617" t="e">
        <f ca="1">$T26+SUMPRODUCT($AA26:$AA27+$AH26:$AH27+$AO26:$AO27+$AV26:$AV27+$BC26:$BC27+$BJ26:$BJ27, --($E26:$E27&lt;&gt;0))</f>
        <v>#VALUE!</v>
      </c>
      <c r="BW26" s="617" t="e">
        <f ca="1">MAX($P26-$Q26,0)+SUMPRODUCT($X26:$X27+$AL26:$AL27+$AZ26:$AZ27, --($E26:$E27&lt;&gt;0))</f>
        <v>#VALUE!</v>
      </c>
      <c r="BX26" s="618" t="e">
        <f ca="1">MIN($P26,$Q26)+SUMPRODUCT($AE26:$AE27+$AS26:$AS27+$BG26:$BG27, --($E26:$E27&lt;&gt;0))</f>
        <v>#VALUE!</v>
      </c>
      <c r="CO26" s="8"/>
    </row>
    <row r="27" spans="2:93" x14ac:dyDescent="0.25">
      <c r="B27" s="86">
        <f t="shared" ca="1" si="59"/>
        <v>2030</v>
      </c>
      <c r="C27" s="80" t="s">
        <v>741</v>
      </c>
      <c r="D27" s="147" t="str">
        <f t="shared" si="7"/>
        <v/>
      </c>
      <c r="E27" s="81">
        <f t="shared" si="8"/>
        <v>0</v>
      </c>
      <c r="F27" s="81">
        <f t="shared" si="18"/>
        <v>2</v>
      </c>
      <c r="G27" s="82">
        <f t="shared" si="9"/>
        <v>-1</v>
      </c>
      <c r="H27" s="82">
        <f t="shared" si="10"/>
        <v>0</v>
      </c>
      <c r="I27" s="81" t="b">
        <f t="shared" si="11"/>
        <v>0</v>
      </c>
      <c r="J27" s="81"/>
      <c r="K27" s="81"/>
      <c r="L27" s="81"/>
      <c r="M27" s="81"/>
      <c r="N27" s="633"/>
      <c r="O27" s="243" t="e">
        <f ca="1">LT_InvestmentStocks*INDEX(SP_EA_ARStocks,EAIDX)+LT_InvestmentBonds*INDEX(SC_EA_ARBonds,EAIDX)</f>
        <v>#REF!</v>
      </c>
      <c r="P27" s="634"/>
      <c r="Q27" s="617"/>
      <c r="R27" s="617"/>
      <c r="S27" s="617"/>
      <c r="T27" s="617"/>
      <c r="U27" s="643"/>
      <c r="V27" s="617"/>
      <c r="W27" s="639"/>
      <c r="X27" s="106" t="e">
        <f t="shared" ca="1" si="19"/>
        <v>#REF!</v>
      </c>
      <c r="Y27" s="107" t="e">
        <f t="shared" ca="1" si="20"/>
        <v>#REF!</v>
      </c>
      <c r="Z27" s="107" t="e">
        <f t="shared" ca="1" si="21"/>
        <v>#REF!</v>
      </c>
      <c r="AA27" s="107" t="e">
        <f t="shared" ca="1" si="22"/>
        <v>#REF!</v>
      </c>
      <c r="AB27" s="91" t="e">
        <f t="shared" ca="1" si="65"/>
        <v>#REF!</v>
      </c>
      <c r="AC27" s="107" t="e">
        <f ca="1">-IF(INDEX(SC_ZX_CodeA,ZXIDX1)="X", 0, MIN(AB27*MAX(INDEX(SC_ZX_Drawdown,ZXIDX2),0),AA27))</f>
        <v>#REF!</v>
      </c>
      <c r="AD27" s="110" t="e">
        <f t="shared" ca="1" si="24"/>
        <v>#REF!</v>
      </c>
      <c r="AE27" s="106" t="e">
        <f t="shared" ca="1" si="25"/>
        <v>#REF!</v>
      </c>
      <c r="AF27" s="107" t="e">
        <f t="shared" ca="1" si="26"/>
        <v>#REF!</v>
      </c>
      <c r="AG27" s="107" t="e">
        <f t="shared" ca="1" si="27"/>
        <v>#REF!</v>
      </c>
      <c r="AH27" s="107" t="e">
        <f t="shared" ca="1" si="28"/>
        <v>#REF!</v>
      </c>
      <c r="AI27" s="91" t="e">
        <f t="shared" ca="1" si="66"/>
        <v>#REF!</v>
      </c>
      <c r="AJ27" s="107" t="e">
        <f ca="1">-IF(INDEX(SC_ZX_CodeA,ZXIDX1)="X", 0, MIN(AI27*MAX(INDEX(SC_ZX_Drawdown,ZXIDX2),0),AH27))</f>
        <v>#REF!</v>
      </c>
      <c r="AK27" s="110" t="e">
        <f t="shared" ca="1" si="30"/>
        <v>#REF!</v>
      </c>
      <c r="AL27" s="106" t="e">
        <f t="shared" ca="1" si="31"/>
        <v>#REF!</v>
      </c>
      <c r="AM27" s="107" t="e">
        <f t="shared" ca="1" si="32"/>
        <v>#REF!</v>
      </c>
      <c r="AN27" s="107" t="e">
        <f t="shared" ca="1" si="33"/>
        <v>#REF!</v>
      </c>
      <c r="AO27" s="107" t="e">
        <f t="shared" ca="1" si="34"/>
        <v>#REF!</v>
      </c>
      <c r="AP27" s="91" t="e">
        <f t="shared" ca="1" si="67"/>
        <v>#REF!</v>
      </c>
      <c r="AQ27" s="107" t="e">
        <f ca="1">-IF(INDEX(SC_ZX_CodeA,ZXIDX1)="X", 0, MIN(AP27*MAX(INDEX(SC_ZX_Drawdown,ZXIDX2),0),AO27))</f>
        <v>#REF!</v>
      </c>
      <c r="AR27" s="110" t="e">
        <f t="shared" ca="1" si="36"/>
        <v>#REF!</v>
      </c>
      <c r="AS27" s="106" t="e">
        <f t="shared" ca="1" si="37"/>
        <v>#REF!</v>
      </c>
      <c r="AT27" s="107" t="e">
        <f t="shared" ca="1" si="38"/>
        <v>#REF!</v>
      </c>
      <c r="AU27" s="107" t="e">
        <f t="shared" ca="1" si="39"/>
        <v>#REF!</v>
      </c>
      <c r="AV27" s="107" t="e">
        <f t="shared" ca="1" si="40"/>
        <v>#REF!</v>
      </c>
      <c r="AW27" s="91" t="e">
        <f t="shared" ca="1" si="68"/>
        <v>#REF!</v>
      </c>
      <c r="AX27" s="107" t="e">
        <f ca="1">-IF(INDEX(SC_ZX_CodeA,ZXIDX1)="X", 0, MIN(AW27*MAX(INDEX(SC_ZX_Drawdown,ZXIDX2),0),AV27))</f>
        <v>#REF!</v>
      </c>
      <c r="AY27" s="110" t="e">
        <f t="shared" ca="1" si="42"/>
        <v>#REF!</v>
      </c>
      <c r="AZ27" s="106" t="e">
        <f t="shared" ca="1" si="43"/>
        <v>#REF!</v>
      </c>
      <c r="BA27" s="107" t="e">
        <f t="shared" ca="1" si="44"/>
        <v>#REF!</v>
      </c>
      <c r="BB27" s="107" t="e">
        <f t="shared" ca="1" si="45"/>
        <v>#REF!</v>
      </c>
      <c r="BC27" s="107" t="e">
        <f t="shared" ca="1" si="46"/>
        <v>#REF!</v>
      </c>
      <c r="BD27" s="91" t="e">
        <f t="shared" ca="1" si="69"/>
        <v>#REF!</v>
      </c>
      <c r="BE27" s="107" t="e">
        <f ca="1">-IF(INDEX(SC_ZX_CodeA,ZXIDX1)="X", 0, MIN(BD27*MAX(INDEX(SC_ZX_Drawdown,ZXIDX2),0),AZ27))</f>
        <v>#REF!</v>
      </c>
      <c r="BF27" s="110" t="e">
        <f t="shared" ca="1" si="48"/>
        <v>#REF!</v>
      </c>
      <c r="BG27" s="106" t="e">
        <f t="shared" ca="1" si="49"/>
        <v>#REF!</v>
      </c>
      <c r="BH27" s="107" t="e">
        <f t="shared" ca="1" si="50"/>
        <v>#REF!</v>
      </c>
      <c r="BI27" s="107" t="e">
        <f t="shared" ca="1" si="51"/>
        <v>#REF!</v>
      </c>
      <c r="BJ27" s="107" t="e">
        <f t="shared" ca="1" si="52"/>
        <v>#REF!</v>
      </c>
      <c r="BK27" s="91" t="e">
        <f t="shared" ca="1" si="70"/>
        <v>#REF!</v>
      </c>
      <c r="BL27" s="107" t="e">
        <f ca="1">-IF(INDEX(SC_ZX_CodeA,ZXIDX1)="X", 0, MIN(BK27*MAX(INDEX(SC_ZX_Drawdown,ZXIDX2),0),BJ27))</f>
        <v>#REF!</v>
      </c>
      <c r="BM27" s="107" t="e">
        <f t="shared" ca="1" si="54"/>
        <v>#REF!</v>
      </c>
      <c r="BN27" s="113" t="e">
        <f t="shared" ca="1" si="55"/>
        <v>#REF!</v>
      </c>
      <c r="BO27" s="114" t="e">
        <f t="shared" ca="1" si="56"/>
        <v>#REF!</v>
      </c>
      <c r="BP27" s="114" t="e">
        <f ca="1">-($V27-IF(($P27+$R27+$S27)&gt;0,MAX($V27/($P27+$R27+$S27)*($Q27+$R27),$V27),0))*LT_InvestmentQDI</f>
        <v>#REF!</v>
      </c>
      <c r="BQ27" s="114" t="e">
        <f ca="1">-($V27-IF(($P27+$R27+$S27)&gt;0,MAX($V27/($P27+$R27+$S27)*($Q27+$R27),$V27),0))*(1-LT_InvestmentQDI)</f>
        <v>#REF!</v>
      </c>
      <c r="BR27" s="114" t="e">
        <f t="shared" ca="1" si="57"/>
        <v>#REF!</v>
      </c>
      <c r="BS27" s="114" t="e">
        <f t="shared" ca="1" si="58"/>
        <v>#REF!</v>
      </c>
      <c r="BT27" s="649"/>
      <c r="BU27" s="637"/>
      <c r="BV27" s="637"/>
      <c r="BW27" s="637"/>
      <c r="BX27" s="639"/>
      <c r="CO27" s="8"/>
    </row>
    <row r="28" spans="2:93" x14ac:dyDescent="0.25">
      <c r="B28" s="65">
        <f ca="1">B26+1</f>
        <v>2031</v>
      </c>
      <c r="C28" s="76" t="s">
        <v>741</v>
      </c>
      <c r="D28" s="146" t="str">
        <f t="shared" si="7"/>
        <v/>
      </c>
      <c r="E28" s="77">
        <f t="shared" si="8"/>
        <v>0</v>
      </c>
      <c r="F28" s="77">
        <f t="shared" si="18"/>
        <v>1</v>
      </c>
      <c r="G28" s="76">
        <f t="shared" si="9"/>
        <v>1</v>
      </c>
      <c r="H28" s="76">
        <f t="shared" si="10"/>
        <v>0</v>
      </c>
      <c r="I28" s="77" t="b">
        <f t="shared" si="11"/>
        <v>0</v>
      </c>
      <c r="J28" s="77"/>
      <c r="K28" s="77"/>
      <c r="L28" s="77"/>
      <c r="M28" s="77"/>
      <c r="N28" s="632">
        <f ca="1">YEAR(SP_TargetRD)-$B28</f>
        <v>-8</v>
      </c>
      <c r="O28" s="243" t="e">
        <f ca="1">LT_InvestmentStocks*INDEX(SP_EA_ARStocks,EAIDX)+LT_InvestmentBonds*INDEX(SC_EA_ARBonds,EAIDX)</f>
        <v>#REF!</v>
      </c>
      <c r="P28" s="634" t="e">
        <f ca="1">MAX(P26+R26+S26+V26+W26,0)</f>
        <v>#VALUE!</v>
      </c>
      <c r="Q28" s="617" t="e">
        <f t="shared" ref="Q28" ca="1" si="78">MAX(Q26+R26+IF((P26+R26+S26)&gt;0,MAX(V26/(P26+R26+S26)*(Q26+R26),V26),0),0)</f>
        <v>#VALUE!</v>
      </c>
      <c r="R28" s="617" t="e">
        <f ca="1">IF(SC_ZX_CodeA="X", 0, MAX(INDEX(SC_ZX_IncomeSurplus,ZXIDX2)+INDEX(SC_ZX_Debt,ZXIDX2),0))</f>
        <v>#VALUE!</v>
      </c>
      <c r="S28" s="617" t="e">
        <f ca="1">IF(SC_ZX_CodeA="X", 0, INDEX(SC_EX_RolloverCore,EXIDX))</f>
        <v>#VALUE!</v>
      </c>
      <c r="T28" s="617" t="e">
        <f ca="1">P28+R28+S28</f>
        <v>#VALUE!</v>
      </c>
      <c r="U28" s="642" t="e">
        <f ca="1">IF(SC_ZX_BalanceAccessibleA&gt;0, T28/SC_ZX_BalanceAccessibleA, 0)</f>
        <v>#VALUE!</v>
      </c>
      <c r="V28" s="617" t="e">
        <f ca="1">-IF(SC_ZX_CodeA="X",0,MIN(U28*MAX(INDEX(SC_ZX_Drawdown,ZXIDX2),0),T28))</f>
        <v>#VALUE!</v>
      </c>
      <c r="W28" s="618" t="e">
        <f ca="1">(P28+R28+S28+V28)*$O28</f>
        <v>#VALUE!</v>
      </c>
      <c r="X28" s="75" t="e">
        <f t="shared" ca="1" si="19"/>
        <v>#REF!</v>
      </c>
      <c r="Y28" s="70" t="e">
        <f t="shared" ca="1" si="20"/>
        <v>#REF!</v>
      </c>
      <c r="Z28" s="70" t="e">
        <f t="shared" ca="1" si="21"/>
        <v>#REF!</v>
      </c>
      <c r="AA28" s="70" t="e">
        <f t="shared" ca="1" si="22"/>
        <v>#REF!</v>
      </c>
      <c r="AB28" s="67" t="e">
        <f t="shared" ca="1" si="65"/>
        <v>#REF!</v>
      </c>
      <c r="AC28" s="70" t="e">
        <f ca="1">-IF(INDEX(SC_ZX_CodeA,ZXIDX1)="X", 0, MIN(AB28*MAX(INDEX(SC_ZX_Drawdown,ZXIDX2),0),AA28))</f>
        <v>#REF!</v>
      </c>
      <c r="AD28" s="109" t="e">
        <f t="shared" ca="1" si="24"/>
        <v>#REF!</v>
      </c>
      <c r="AE28" s="75" t="e">
        <f t="shared" ca="1" si="25"/>
        <v>#REF!</v>
      </c>
      <c r="AF28" s="70" t="e">
        <f t="shared" ca="1" si="26"/>
        <v>#REF!</v>
      </c>
      <c r="AG28" s="70" t="e">
        <f t="shared" ca="1" si="27"/>
        <v>#REF!</v>
      </c>
      <c r="AH28" s="70" t="e">
        <f t="shared" ca="1" si="28"/>
        <v>#REF!</v>
      </c>
      <c r="AI28" s="67" t="e">
        <f t="shared" ca="1" si="66"/>
        <v>#REF!</v>
      </c>
      <c r="AJ28" s="70" t="e">
        <f ca="1">-IF(INDEX(SC_ZX_CodeA,ZXIDX1)="X", 0, MIN(AI28*MAX(INDEX(SC_ZX_Drawdown,ZXIDX2),0),AH28))</f>
        <v>#REF!</v>
      </c>
      <c r="AK28" s="109" t="e">
        <f t="shared" ca="1" si="30"/>
        <v>#REF!</v>
      </c>
      <c r="AL28" s="75" t="e">
        <f t="shared" ca="1" si="31"/>
        <v>#REF!</v>
      </c>
      <c r="AM28" s="70" t="e">
        <f t="shared" ca="1" si="32"/>
        <v>#REF!</v>
      </c>
      <c r="AN28" s="70" t="e">
        <f t="shared" ca="1" si="33"/>
        <v>#REF!</v>
      </c>
      <c r="AO28" s="70" t="e">
        <f t="shared" ca="1" si="34"/>
        <v>#REF!</v>
      </c>
      <c r="AP28" s="67" t="e">
        <f t="shared" ca="1" si="67"/>
        <v>#REF!</v>
      </c>
      <c r="AQ28" s="70" t="e">
        <f ca="1">-IF(INDEX(SC_ZX_CodeA,ZXIDX1)="X", 0, MIN(AP28*MAX(INDEX(SC_ZX_Drawdown,ZXIDX2),0),AO28))</f>
        <v>#REF!</v>
      </c>
      <c r="AR28" s="109" t="e">
        <f t="shared" ca="1" si="36"/>
        <v>#REF!</v>
      </c>
      <c r="AS28" s="75" t="e">
        <f t="shared" ca="1" si="37"/>
        <v>#REF!</v>
      </c>
      <c r="AT28" s="70" t="e">
        <f t="shared" ca="1" si="38"/>
        <v>#REF!</v>
      </c>
      <c r="AU28" s="70" t="e">
        <f t="shared" ca="1" si="39"/>
        <v>#REF!</v>
      </c>
      <c r="AV28" s="70" t="e">
        <f t="shared" ca="1" si="40"/>
        <v>#REF!</v>
      </c>
      <c r="AW28" s="67" t="e">
        <f t="shared" ca="1" si="68"/>
        <v>#REF!</v>
      </c>
      <c r="AX28" s="70" t="e">
        <f ca="1">-IF(INDEX(SC_ZX_CodeA,ZXIDX1)="X", 0, MIN(AW28*MAX(INDEX(SC_ZX_Drawdown,ZXIDX2),0),AV28))</f>
        <v>#REF!</v>
      </c>
      <c r="AY28" s="109" t="e">
        <f t="shared" ca="1" si="42"/>
        <v>#REF!</v>
      </c>
      <c r="AZ28" s="75" t="e">
        <f t="shared" ca="1" si="43"/>
        <v>#REF!</v>
      </c>
      <c r="BA28" s="70" t="e">
        <f t="shared" ca="1" si="44"/>
        <v>#REF!</v>
      </c>
      <c r="BB28" s="70" t="e">
        <f t="shared" ca="1" si="45"/>
        <v>#REF!</v>
      </c>
      <c r="BC28" s="70" t="e">
        <f t="shared" ca="1" si="46"/>
        <v>#REF!</v>
      </c>
      <c r="BD28" s="67" t="e">
        <f t="shared" ca="1" si="69"/>
        <v>#REF!</v>
      </c>
      <c r="BE28" s="70" t="e">
        <f ca="1">-IF(INDEX(SC_ZX_CodeA,ZXIDX1)="X", 0, MIN(BD28*MAX(INDEX(SC_ZX_Drawdown,ZXIDX2),0),AZ28))</f>
        <v>#REF!</v>
      </c>
      <c r="BF28" s="109" t="e">
        <f t="shared" ca="1" si="48"/>
        <v>#REF!</v>
      </c>
      <c r="BG28" s="75" t="e">
        <f t="shared" ca="1" si="49"/>
        <v>#REF!</v>
      </c>
      <c r="BH28" s="70" t="e">
        <f t="shared" ca="1" si="50"/>
        <v>#REF!</v>
      </c>
      <c r="BI28" s="70" t="e">
        <f t="shared" ca="1" si="51"/>
        <v>#REF!</v>
      </c>
      <c r="BJ28" s="70" t="e">
        <f t="shared" ca="1" si="52"/>
        <v>#REF!</v>
      </c>
      <c r="BK28" s="67" t="e">
        <f t="shared" ca="1" si="70"/>
        <v>#REF!</v>
      </c>
      <c r="BL28" s="70" t="e">
        <f ca="1">-IF(INDEX(SC_ZX_CodeA,ZXIDX1)="X", 0, MIN(BK28*MAX(INDEX(SC_ZX_Drawdown,ZXIDX2),0),BJ28))</f>
        <v>#REF!</v>
      </c>
      <c r="BM28" s="70" t="e">
        <f t="shared" ca="1" si="54"/>
        <v>#REF!</v>
      </c>
      <c r="BN28" s="111" t="e">
        <f t="shared" ca="1" si="55"/>
        <v>#REF!</v>
      </c>
      <c r="BO28" s="112" t="e">
        <f t="shared" ca="1" si="56"/>
        <v>#REF!</v>
      </c>
      <c r="BP28" s="112" t="e">
        <f ca="1">-($V28-IF(($P28+$R28+$S28)&gt;0,MAX($V28/($P28+$R28+$S28)*($Q28+$R28),$V28),0))*LT_InvestmentQDI</f>
        <v>#VALUE!</v>
      </c>
      <c r="BQ28" s="112" t="e">
        <f ca="1">-($V28-IF(($P28+$R28+$S28)&gt;0,MAX($V28/($P28+$R28+$S28)*($Q28+$R28),$V28),0))*(1-LT_InvestmentQDI)</f>
        <v>#VALUE!</v>
      </c>
      <c r="BR28" s="112" t="e">
        <f t="shared" ca="1" si="57"/>
        <v>#VALUE!</v>
      </c>
      <c r="BS28" s="112" t="e">
        <f t="shared" ca="1" si="58"/>
        <v>#VALUE!</v>
      </c>
      <c r="BT28" s="634" t="e">
        <f ca="1">SUMPRODUCT($BN28:$BN29+$BO28:$BO29, --($E28:$E29&lt;&gt;0))</f>
        <v>#REF!</v>
      </c>
      <c r="BU28" s="617" t="e">
        <f ca="1">SUMPRODUCT($BR28:$BR29+$BS28:$BS29, --($E28:$E29&lt;&gt;0))</f>
        <v>#VALUE!</v>
      </c>
      <c r="BV28" s="617" t="e">
        <f ca="1">$T28+SUMPRODUCT($AA28:$AA29+$AH28:$AH29+$AO28:$AO29+$AV28:$AV29+$BC28:$BC29+$BJ28:$BJ29, --($E28:$E29&lt;&gt;0))</f>
        <v>#VALUE!</v>
      </c>
      <c r="BW28" s="617" t="e">
        <f ca="1">MAX($P28-$Q28,0)+SUMPRODUCT($X28:$X29+$AL28:$AL29+$AZ28:$AZ29, --($E28:$E29&lt;&gt;0))</f>
        <v>#VALUE!</v>
      </c>
      <c r="BX28" s="618" t="e">
        <f ca="1">MIN($P28,$Q28)+SUMPRODUCT($AE28:$AE29+$AS28:$AS29+$BG28:$BG29, --($E28:$E29&lt;&gt;0))</f>
        <v>#VALUE!</v>
      </c>
      <c r="CO28" s="8"/>
    </row>
    <row r="29" spans="2:93" x14ac:dyDescent="0.25">
      <c r="B29" s="86">
        <f t="shared" ca="1" si="59"/>
        <v>2031</v>
      </c>
      <c r="C29" s="80" t="s">
        <v>741</v>
      </c>
      <c r="D29" s="147" t="str">
        <f t="shared" si="7"/>
        <v/>
      </c>
      <c r="E29" s="81">
        <f t="shared" si="8"/>
        <v>0</v>
      </c>
      <c r="F29" s="81">
        <f t="shared" si="18"/>
        <v>2</v>
      </c>
      <c r="G29" s="82">
        <f t="shared" si="9"/>
        <v>-1</v>
      </c>
      <c r="H29" s="82">
        <f t="shared" si="10"/>
        <v>0</v>
      </c>
      <c r="I29" s="81" t="b">
        <f t="shared" si="11"/>
        <v>0</v>
      </c>
      <c r="J29" s="81"/>
      <c r="K29" s="81"/>
      <c r="L29" s="81"/>
      <c r="M29" s="81"/>
      <c r="N29" s="633"/>
      <c r="O29" s="243" t="e">
        <f ca="1">LT_InvestmentStocks*INDEX(SP_EA_ARStocks,EAIDX)+LT_InvestmentBonds*INDEX(SC_EA_ARBonds,EAIDX)</f>
        <v>#REF!</v>
      </c>
      <c r="P29" s="634"/>
      <c r="Q29" s="617"/>
      <c r="R29" s="617"/>
      <c r="S29" s="617"/>
      <c r="T29" s="617"/>
      <c r="U29" s="643"/>
      <c r="V29" s="617"/>
      <c r="W29" s="639"/>
      <c r="X29" s="106" t="e">
        <f t="shared" ca="1" si="19"/>
        <v>#REF!</v>
      </c>
      <c r="Y29" s="107" t="e">
        <f t="shared" ca="1" si="20"/>
        <v>#REF!</v>
      </c>
      <c r="Z29" s="107" t="e">
        <f t="shared" ca="1" si="21"/>
        <v>#REF!</v>
      </c>
      <c r="AA29" s="107" t="e">
        <f t="shared" ca="1" si="22"/>
        <v>#REF!</v>
      </c>
      <c r="AB29" s="91" t="e">
        <f t="shared" ca="1" si="65"/>
        <v>#REF!</v>
      </c>
      <c r="AC29" s="107" t="e">
        <f ca="1">-IF(INDEX(SC_ZX_CodeA,ZXIDX1)="X", 0, MIN(AB29*MAX(INDEX(SC_ZX_Drawdown,ZXIDX2),0),AA29))</f>
        <v>#REF!</v>
      </c>
      <c r="AD29" s="110" t="e">
        <f t="shared" ca="1" si="24"/>
        <v>#REF!</v>
      </c>
      <c r="AE29" s="106" t="e">
        <f t="shared" ca="1" si="25"/>
        <v>#REF!</v>
      </c>
      <c r="AF29" s="107" t="e">
        <f t="shared" ca="1" si="26"/>
        <v>#REF!</v>
      </c>
      <c r="AG29" s="107" t="e">
        <f t="shared" ca="1" si="27"/>
        <v>#REF!</v>
      </c>
      <c r="AH29" s="107" t="e">
        <f t="shared" ca="1" si="28"/>
        <v>#REF!</v>
      </c>
      <c r="AI29" s="91" t="e">
        <f t="shared" ca="1" si="66"/>
        <v>#REF!</v>
      </c>
      <c r="AJ29" s="107" t="e">
        <f ca="1">-IF(INDEX(SC_ZX_CodeA,ZXIDX1)="X", 0, MIN(AI29*MAX(INDEX(SC_ZX_Drawdown,ZXIDX2),0),AH29))</f>
        <v>#REF!</v>
      </c>
      <c r="AK29" s="110" t="e">
        <f t="shared" ca="1" si="30"/>
        <v>#REF!</v>
      </c>
      <c r="AL29" s="106" t="e">
        <f t="shared" ca="1" si="31"/>
        <v>#REF!</v>
      </c>
      <c r="AM29" s="107" t="e">
        <f t="shared" ca="1" si="32"/>
        <v>#REF!</v>
      </c>
      <c r="AN29" s="107" t="e">
        <f t="shared" ca="1" si="33"/>
        <v>#REF!</v>
      </c>
      <c r="AO29" s="107" t="e">
        <f t="shared" ca="1" si="34"/>
        <v>#REF!</v>
      </c>
      <c r="AP29" s="91" t="e">
        <f t="shared" ca="1" si="67"/>
        <v>#REF!</v>
      </c>
      <c r="AQ29" s="107" t="e">
        <f ca="1">-IF(INDEX(SC_ZX_CodeA,ZXIDX1)="X", 0, MIN(AP29*MAX(INDEX(SC_ZX_Drawdown,ZXIDX2),0),AO29))</f>
        <v>#REF!</v>
      </c>
      <c r="AR29" s="110" t="e">
        <f t="shared" ca="1" si="36"/>
        <v>#REF!</v>
      </c>
      <c r="AS29" s="106" t="e">
        <f t="shared" ca="1" si="37"/>
        <v>#REF!</v>
      </c>
      <c r="AT29" s="107" t="e">
        <f t="shared" ca="1" si="38"/>
        <v>#REF!</v>
      </c>
      <c r="AU29" s="107" t="e">
        <f t="shared" ca="1" si="39"/>
        <v>#REF!</v>
      </c>
      <c r="AV29" s="107" t="e">
        <f t="shared" ca="1" si="40"/>
        <v>#REF!</v>
      </c>
      <c r="AW29" s="91" t="e">
        <f t="shared" ca="1" si="68"/>
        <v>#REF!</v>
      </c>
      <c r="AX29" s="107" t="e">
        <f ca="1">-IF(INDEX(SC_ZX_CodeA,ZXIDX1)="X", 0, MIN(AW29*MAX(INDEX(SC_ZX_Drawdown,ZXIDX2),0),AV29))</f>
        <v>#REF!</v>
      </c>
      <c r="AY29" s="110" t="e">
        <f t="shared" ca="1" si="42"/>
        <v>#REF!</v>
      </c>
      <c r="AZ29" s="106" t="e">
        <f t="shared" ca="1" si="43"/>
        <v>#REF!</v>
      </c>
      <c r="BA29" s="107" t="e">
        <f t="shared" ca="1" si="44"/>
        <v>#REF!</v>
      </c>
      <c r="BB29" s="107" t="e">
        <f t="shared" ca="1" si="45"/>
        <v>#REF!</v>
      </c>
      <c r="BC29" s="107" t="e">
        <f t="shared" ca="1" si="46"/>
        <v>#REF!</v>
      </c>
      <c r="BD29" s="91" t="e">
        <f t="shared" ca="1" si="69"/>
        <v>#REF!</v>
      </c>
      <c r="BE29" s="107" t="e">
        <f ca="1">-IF(INDEX(SC_ZX_CodeA,ZXIDX1)="X", 0, MIN(BD29*MAX(INDEX(SC_ZX_Drawdown,ZXIDX2),0),AZ29))</f>
        <v>#REF!</v>
      </c>
      <c r="BF29" s="110" t="e">
        <f t="shared" ca="1" si="48"/>
        <v>#REF!</v>
      </c>
      <c r="BG29" s="106" t="e">
        <f t="shared" ca="1" si="49"/>
        <v>#REF!</v>
      </c>
      <c r="BH29" s="107" t="e">
        <f t="shared" ca="1" si="50"/>
        <v>#REF!</v>
      </c>
      <c r="BI29" s="107" t="e">
        <f t="shared" ca="1" si="51"/>
        <v>#REF!</v>
      </c>
      <c r="BJ29" s="107" t="e">
        <f t="shared" ca="1" si="52"/>
        <v>#REF!</v>
      </c>
      <c r="BK29" s="91" t="e">
        <f t="shared" ca="1" si="70"/>
        <v>#REF!</v>
      </c>
      <c r="BL29" s="107" t="e">
        <f ca="1">-IF(INDEX(SC_ZX_CodeA,ZXIDX1)="X", 0, MIN(BK29*MAX(INDEX(SC_ZX_Drawdown,ZXIDX2),0),BJ29))</f>
        <v>#REF!</v>
      </c>
      <c r="BM29" s="107" t="e">
        <f t="shared" ca="1" si="54"/>
        <v>#REF!</v>
      </c>
      <c r="BN29" s="113" t="e">
        <f t="shared" ca="1" si="55"/>
        <v>#REF!</v>
      </c>
      <c r="BO29" s="114" t="e">
        <f t="shared" ca="1" si="56"/>
        <v>#REF!</v>
      </c>
      <c r="BP29" s="114" t="e">
        <f ca="1">-($V29-IF(($P29+$R29+$S29)&gt;0,MAX($V29/($P29+$R29+$S29)*($Q29+$R29),$V29),0))*LT_InvestmentQDI</f>
        <v>#REF!</v>
      </c>
      <c r="BQ29" s="114" t="e">
        <f ca="1">-($V29-IF(($P29+$R29+$S29)&gt;0,MAX($V29/($P29+$R29+$S29)*($Q29+$R29),$V29),0))*(1-LT_InvestmentQDI)</f>
        <v>#REF!</v>
      </c>
      <c r="BR29" s="114" t="e">
        <f t="shared" ca="1" si="57"/>
        <v>#REF!</v>
      </c>
      <c r="BS29" s="114" t="e">
        <f t="shared" ca="1" si="58"/>
        <v>#REF!</v>
      </c>
      <c r="BT29" s="649"/>
      <c r="BU29" s="637"/>
      <c r="BV29" s="637"/>
      <c r="BW29" s="637"/>
      <c r="BX29" s="639"/>
      <c r="CO29" s="8"/>
    </row>
    <row r="30" spans="2:93" x14ac:dyDescent="0.25">
      <c r="B30" s="65">
        <f ca="1">B28+1</f>
        <v>2032</v>
      </c>
      <c r="C30" s="76" t="s">
        <v>741</v>
      </c>
      <c r="D30" s="146" t="str">
        <f t="shared" si="7"/>
        <v/>
      </c>
      <c r="E30" s="77">
        <f t="shared" si="8"/>
        <v>0</v>
      </c>
      <c r="F30" s="77">
        <f t="shared" si="18"/>
        <v>1</v>
      </c>
      <c r="G30" s="76">
        <f t="shared" si="9"/>
        <v>1</v>
      </c>
      <c r="H30" s="76">
        <f t="shared" si="10"/>
        <v>0</v>
      </c>
      <c r="I30" s="77" t="b">
        <f t="shared" si="11"/>
        <v>0</v>
      </c>
      <c r="J30" s="77"/>
      <c r="K30" s="77"/>
      <c r="L30" s="77"/>
      <c r="M30" s="77"/>
      <c r="N30" s="632">
        <f ca="1">YEAR(SP_TargetRD)-$B30</f>
        <v>-9</v>
      </c>
      <c r="O30" s="243" t="e">
        <f ca="1">LT_InvestmentStocks*INDEX(SP_EA_ARStocks,EAIDX)+LT_InvestmentBonds*INDEX(SC_EA_ARBonds,EAIDX)</f>
        <v>#REF!</v>
      </c>
      <c r="P30" s="634" t="e">
        <f ca="1">MAX(P28+R28+S28+V28+W28,0)</f>
        <v>#VALUE!</v>
      </c>
      <c r="Q30" s="617" t="e">
        <f t="shared" ref="Q30" ca="1" si="79">MAX(Q28+R28+IF((P28+R28+S28)&gt;0,MAX(V28/(P28+R28+S28)*(Q28+R28),V28),0),0)</f>
        <v>#VALUE!</v>
      </c>
      <c r="R30" s="617" t="e">
        <f ca="1">IF(SC_ZX_CodeA="X", 0, MAX(INDEX(SC_ZX_IncomeSurplus,ZXIDX2)+INDEX(SC_ZX_Debt,ZXIDX2),0))</f>
        <v>#VALUE!</v>
      </c>
      <c r="S30" s="617" t="e">
        <f ca="1">IF(SC_ZX_CodeA="X", 0, INDEX(SC_EX_RolloverCore,EXIDX))</f>
        <v>#VALUE!</v>
      </c>
      <c r="T30" s="617" t="e">
        <f ca="1">P30+R30+S30</f>
        <v>#VALUE!</v>
      </c>
      <c r="U30" s="642" t="e">
        <f ca="1">IF(SC_ZX_BalanceAccessibleA&gt;0, T30/SC_ZX_BalanceAccessibleA, 0)</f>
        <v>#VALUE!</v>
      </c>
      <c r="V30" s="617" t="e">
        <f ca="1">-IF(SC_ZX_CodeA="X",0,MIN(U30*MAX(INDEX(SC_ZX_Drawdown,ZXIDX2),0),T30))</f>
        <v>#VALUE!</v>
      </c>
      <c r="W30" s="618" t="e">
        <f ca="1">(P30+R30+S30+V30)*$O30</f>
        <v>#VALUE!</v>
      </c>
      <c r="X30" s="75" t="e">
        <f t="shared" ca="1" si="19"/>
        <v>#REF!</v>
      </c>
      <c r="Y30" s="70" t="e">
        <f t="shared" ca="1" si="20"/>
        <v>#REF!</v>
      </c>
      <c r="Z30" s="70" t="e">
        <f t="shared" ca="1" si="21"/>
        <v>#REF!</v>
      </c>
      <c r="AA30" s="70" t="e">
        <f t="shared" ca="1" si="22"/>
        <v>#REF!</v>
      </c>
      <c r="AB30" s="67" t="e">
        <f t="shared" ca="1" si="65"/>
        <v>#REF!</v>
      </c>
      <c r="AC30" s="70" t="e">
        <f ca="1">-IF(INDEX(SC_ZX_CodeA,ZXIDX1)="X", 0, MIN(AB30*MAX(INDEX(SC_ZX_Drawdown,ZXIDX2),0),AA30))</f>
        <v>#REF!</v>
      </c>
      <c r="AD30" s="109" t="e">
        <f t="shared" ca="1" si="24"/>
        <v>#REF!</v>
      </c>
      <c r="AE30" s="75" t="e">
        <f t="shared" ca="1" si="25"/>
        <v>#REF!</v>
      </c>
      <c r="AF30" s="70" t="e">
        <f t="shared" ca="1" si="26"/>
        <v>#REF!</v>
      </c>
      <c r="AG30" s="70" t="e">
        <f t="shared" ca="1" si="27"/>
        <v>#REF!</v>
      </c>
      <c r="AH30" s="70" t="e">
        <f t="shared" ca="1" si="28"/>
        <v>#REF!</v>
      </c>
      <c r="AI30" s="67" t="e">
        <f t="shared" ca="1" si="66"/>
        <v>#REF!</v>
      </c>
      <c r="AJ30" s="70" t="e">
        <f ca="1">-IF(INDEX(SC_ZX_CodeA,ZXIDX1)="X", 0, MIN(AI30*MAX(INDEX(SC_ZX_Drawdown,ZXIDX2),0),AH30))</f>
        <v>#REF!</v>
      </c>
      <c r="AK30" s="109" t="e">
        <f t="shared" ca="1" si="30"/>
        <v>#REF!</v>
      </c>
      <c r="AL30" s="75" t="e">
        <f t="shared" ca="1" si="31"/>
        <v>#REF!</v>
      </c>
      <c r="AM30" s="70" t="e">
        <f t="shared" ca="1" si="32"/>
        <v>#REF!</v>
      </c>
      <c r="AN30" s="70" t="e">
        <f t="shared" ca="1" si="33"/>
        <v>#REF!</v>
      </c>
      <c r="AO30" s="70" t="e">
        <f t="shared" ca="1" si="34"/>
        <v>#REF!</v>
      </c>
      <c r="AP30" s="67" t="e">
        <f t="shared" ca="1" si="67"/>
        <v>#REF!</v>
      </c>
      <c r="AQ30" s="70" t="e">
        <f ca="1">-IF(INDEX(SC_ZX_CodeA,ZXIDX1)="X", 0, MIN(AP30*MAX(INDEX(SC_ZX_Drawdown,ZXIDX2),0),AO30))</f>
        <v>#REF!</v>
      </c>
      <c r="AR30" s="109" t="e">
        <f t="shared" ca="1" si="36"/>
        <v>#REF!</v>
      </c>
      <c r="AS30" s="75" t="e">
        <f t="shared" ca="1" si="37"/>
        <v>#REF!</v>
      </c>
      <c r="AT30" s="70" t="e">
        <f t="shared" ca="1" si="38"/>
        <v>#REF!</v>
      </c>
      <c r="AU30" s="70" t="e">
        <f t="shared" ca="1" si="39"/>
        <v>#REF!</v>
      </c>
      <c r="AV30" s="70" t="e">
        <f t="shared" ca="1" si="40"/>
        <v>#REF!</v>
      </c>
      <c r="AW30" s="67" t="e">
        <f t="shared" ca="1" si="68"/>
        <v>#REF!</v>
      </c>
      <c r="AX30" s="70" t="e">
        <f ca="1">-IF(INDEX(SC_ZX_CodeA,ZXIDX1)="X", 0, MIN(AW30*MAX(INDEX(SC_ZX_Drawdown,ZXIDX2),0),AV30))</f>
        <v>#REF!</v>
      </c>
      <c r="AY30" s="109" t="e">
        <f t="shared" ca="1" si="42"/>
        <v>#REF!</v>
      </c>
      <c r="AZ30" s="75" t="e">
        <f t="shared" ca="1" si="43"/>
        <v>#REF!</v>
      </c>
      <c r="BA30" s="70" t="e">
        <f t="shared" ca="1" si="44"/>
        <v>#REF!</v>
      </c>
      <c r="BB30" s="70" t="e">
        <f t="shared" ca="1" si="45"/>
        <v>#REF!</v>
      </c>
      <c r="BC30" s="70" t="e">
        <f t="shared" ca="1" si="46"/>
        <v>#REF!</v>
      </c>
      <c r="BD30" s="67" t="e">
        <f t="shared" ca="1" si="69"/>
        <v>#REF!</v>
      </c>
      <c r="BE30" s="70" t="e">
        <f ca="1">-IF(INDEX(SC_ZX_CodeA,ZXIDX1)="X", 0, MIN(BD30*MAX(INDEX(SC_ZX_Drawdown,ZXIDX2),0),AZ30))</f>
        <v>#REF!</v>
      </c>
      <c r="BF30" s="109" t="e">
        <f t="shared" ca="1" si="48"/>
        <v>#REF!</v>
      </c>
      <c r="BG30" s="75" t="e">
        <f t="shared" ca="1" si="49"/>
        <v>#REF!</v>
      </c>
      <c r="BH30" s="70" t="e">
        <f t="shared" ca="1" si="50"/>
        <v>#REF!</v>
      </c>
      <c r="BI30" s="70" t="e">
        <f t="shared" ca="1" si="51"/>
        <v>#REF!</v>
      </c>
      <c r="BJ30" s="70" t="e">
        <f t="shared" ca="1" si="52"/>
        <v>#REF!</v>
      </c>
      <c r="BK30" s="67" t="e">
        <f t="shared" ca="1" si="70"/>
        <v>#REF!</v>
      </c>
      <c r="BL30" s="70" t="e">
        <f ca="1">-IF(INDEX(SC_ZX_CodeA,ZXIDX1)="X", 0, MIN(BK30*MAX(INDEX(SC_ZX_Drawdown,ZXIDX2),0),BJ30))</f>
        <v>#REF!</v>
      </c>
      <c r="BM30" s="70" t="e">
        <f t="shared" ca="1" si="54"/>
        <v>#REF!</v>
      </c>
      <c r="BN30" s="111" t="e">
        <f t="shared" ca="1" si="55"/>
        <v>#REF!</v>
      </c>
      <c r="BO30" s="112" t="e">
        <f t="shared" ca="1" si="56"/>
        <v>#REF!</v>
      </c>
      <c r="BP30" s="112" t="e">
        <f ca="1">-($V30-IF(($P30+$R30+$S30)&gt;0,MAX($V30/($P30+$R30+$S30)*($Q30+$R30),$V30),0))*LT_InvestmentQDI</f>
        <v>#VALUE!</v>
      </c>
      <c r="BQ30" s="112" t="e">
        <f ca="1">-($V30-IF(($P30+$R30+$S30)&gt;0,MAX($V30/($P30+$R30+$S30)*($Q30+$R30),$V30),0))*(1-LT_InvestmentQDI)</f>
        <v>#VALUE!</v>
      </c>
      <c r="BR30" s="112" t="e">
        <f t="shared" ca="1" si="57"/>
        <v>#VALUE!</v>
      </c>
      <c r="BS30" s="112" t="e">
        <f t="shared" ca="1" si="58"/>
        <v>#VALUE!</v>
      </c>
      <c r="BT30" s="634" t="e">
        <f ca="1">SUMPRODUCT($BN30:$BN31+$BO30:$BO31, --($E30:$E31&lt;&gt;0))</f>
        <v>#REF!</v>
      </c>
      <c r="BU30" s="617" t="e">
        <f ca="1">SUMPRODUCT($BR30:$BR31+$BS30:$BS31, --($E30:$E31&lt;&gt;0))</f>
        <v>#VALUE!</v>
      </c>
      <c r="BV30" s="617" t="e">
        <f ca="1">$T30+SUMPRODUCT($AA30:$AA31+$AH30:$AH31+$AO30:$AO31+$AV30:$AV31+$BC30:$BC31+$BJ30:$BJ31, --($E30:$E31&lt;&gt;0))</f>
        <v>#VALUE!</v>
      </c>
      <c r="BW30" s="617" t="e">
        <f ca="1">MAX($P30-$Q30,0)+SUMPRODUCT($X30:$X31+$AL30:$AL31+$AZ30:$AZ31, --($E30:$E31&lt;&gt;0))</f>
        <v>#VALUE!</v>
      </c>
      <c r="BX30" s="618" t="e">
        <f ca="1">MIN($P30,$Q30)+SUMPRODUCT($AE30:$AE31+$AS30:$AS31+$BG30:$BG31, --($E30:$E31&lt;&gt;0))</f>
        <v>#VALUE!</v>
      </c>
      <c r="CO30" s="8"/>
    </row>
    <row r="31" spans="2:93" x14ac:dyDescent="0.25">
      <c r="B31" s="86">
        <f t="shared" ca="1" si="59"/>
        <v>2032</v>
      </c>
      <c r="C31" s="80" t="s">
        <v>741</v>
      </c>
      <c r="D31" s="147" t="str">
        <f t="shared" si="7"/>
        <v/>
      </c>
      <c r="E31" s="81">
        <f t="shared" si="8"/>
        <v>0</v>
      </c>
      <c r="F31" s="81">
        <f t="shared" si="18"/>
        <v>2</v>
      </c>
      <c r="G31" s="82">
        <f t="shared" si="9"/>
        <v>-1</v>
      </c>
      <c r="H31" s="82">
        <f t="shared" si="10"/>
        <v>0</v>
      </c>
      <c r="I31" s="81" t="b">
        <f t="shared" si="11"/>
        <v>0</v>
      </c>
      <c r="J31" s="81"/>
      <c r="K31" s="81"/>
      <c r="L31" s="81"/>
      <c r="M31" s="81"/>
      <c r="N31" s="633"/>
      <c r="O31" s="243" t="e">
        <f ca="1">LT_InvestmentStocks*INDEX(SP_EA_ARStocks,EAIDX)+LT_InvestmentBonds*INDEX(SC_EA_ARBonds,EAIDX)</f>
        <v>#REF!</v>
      </c>
      <c r="P31" s="634"/>
      <c r="Q31" s="617"/>
      <c r="R31" s="617"/>
      <c r="S31" s="617"/>
      <c r="T31" s="617"/>
      <c r="U31" s="643"/>
      <c r="V31" s="617"/>
      <c r="W31" s="639"/>
      <c r="X31" s="106" t="e">
        <f t="shared" ca="1" si="19"/>
        <v>#REF!</v>
      </c>
      <c r="Y31" s="107" t="e">
        <f t="shared" ca="1" si="20"/>
        <v>#REF!</v>
      </c>
      <c r="Z31" s="107" t="e">
        <f t="shared" ca="1" si="21"/>
        <v>#REF!</v>
      </c>
      <c r="AA31" s="107" t="e">
        <f t="shared" ca="1" si="22"/>
        <v>#REF!</v>
      </c>
      <c r="AB31" s="91" t="e">
        <f t="shared" ca="1" si="65"/>
        <v>#REF!</v>
      </c>
      <c r="AC31" s="107" t="e">
        <f ca="1">-IF(INDEX(SC_ZX_CodeA,ZXIDX1)="X", 0, MIN(AB31*MAX(INDEX(SC_ZX_Drawdown,ZXIDX2),0),AA31))</f>
        <v>#REF!</v>
      </c>
      <c r="AD31" s="110" t="e">
        <f t="shared" ca="1" si="24"/>
        <v>#REF!</v>
      </c>
      <c r="AE31" s="106" t="e">
        <f t="shared" ca="1" si="25"/>
        <v>#REF!</v>
      </c>
      <c r="AF31" s="107" t="e">
        <f t="shared" ca="1" si="26"/>
        <v>#REF!</v>
      </c>
      <c r="AG31" s="107" t="e">
        <f t="shared" ca="1" si="27"/>
        <v>#REF!</v>
      </c>
      <c r="AH31" s="107" t="e">
        <f t="shared" ca="1" si="28"/>
        <v>#REF!</v>
      </c>
      <c r="AI31" s="91" t="e">
        <f t="shared" ca="1" si="66"/>
        <v>#REF!</v>
      </c>
      <c r="AJ31" s="107" t="e">
        <f ca="1">-IF(INDEX(SC_ZX_CodeA,ZXIDX1)="X", 0, MIN(AI31*MAX(INDEX(SC_ZX_Drawdown,ZXIDX2),0),AH31))</f>
        <v>#REF!</v>
      </c>
      <c r="AK31" s="110" t="e">
        <f t="shared" ca="1" si="30"/>
        <v>#REF!</v>
      </c>
      <c r="AL31" s="106" t="e">
        <f t="shared" ca="1" si="31"/>
        <v>#REF!</v>
      </c>
      <c r="AM31" s="107" t="e">
        <f t="shared" ca="1" si="32"/>
        <v>#REF!</v>
      </c>
      <c r="AN31" s="107" t="e">
        <f t="shared" ca="1" si="33"/>
        <v>#REF!</v>
      </c>
      <c r="AO31" s="107" t="e">
        <f t="shared" ca="1" si="34"/>
        <v>#REF!</v>
      </c>
      <c r="AP31" s="91" t="e">
        <f t="shared" ca="1" si="67"/>
        <v>#REF!</v>
      </c>
      <c r="AQ31" s="107" t="e">
        <f ca="1">-IF(INDEX(SC_ZX_CodeA,ZXIDX1)="X", 0, MIN(AP31*MAX(INDEX(SC_ZX_Drawdown,ZXIDX2),0),AO31))</f>
        <v>#REF!</v>
      </c>
      <c r="AR31" s="110" t="e">
        <f t="shared" ca="1" si="36"/>
        <v>#REF!</v>
      </c>
      <c r="AS31" s="106" t="e">
        <f t="shared" ca="1" si="37"/>
        <v>#REF!</v>
      </c>
      <c r="AT31" s="107" t="e">
        <f t="shared" ca="1" si="38"/>
        <v>#REF!</v>
      </c>
      <c r="AU31" s="107" t="e">
        <f t="shared" ca="1" si="39"/>
        <v>#REF!</v>
      </c>
      <c r="AV31" s="107" t="e">
        <f t="shared" ca="1" si="40"/>
        <v>#REF!</v>
      </c>
      <c r="AW31" s="91" t="e">
        <f t="shared" ca="1" si="68"/>
        <v>#REF!</v>
      </c>
      <c r="AX31" s="107" t="e">
        <f ca="1">-IF(INDEX(SC_ZX_CodeA,ZXIDX1)="X", 0, MIN(AW31*MAX(INDEX(SC_ZX_Drawdown,ZXIDX2),0),AV31))</f>
        <v>#REF!</v>
      </c>
      <c r="AY31" s="110" t="e">
        <f t="shared" ca="1" si="42"/>
        <v>#REF!</v>
      </c>
      <c r="AZ31" s="106" t="e">
        <f t="shared" ca="1" si="43"/>
        <v>#REF!</v>
      </c>
      <c r="BA31" s="107" t="e">
        <f t="shared" ca="1" si="44"/>
        <v>#REF!</v>
      </c>
      <c r="BB31" s="107" t="e">
        <f t="shared" ca="1" si="45"/>
        <v>#REF!</v>
      </c>
      <c r="BC31" s="107" t="e">
        <f t="shared" ca="1" si="46"/>
        <v>#REF!</v>
      </c>
      <c r="BD31" s="91" t="e">
        <f t="shared" ca="1" si="69"/>
        <v>#REF!</v>
      </c>
      <c r="BE31" s="107" t="e">
        <f ca="1">-IF(INDEX(SC_ZX_CodeA,ZXIDX1)="X", 0, MIN(BD31*MAX(INDEX(SC_ZX_Drawdown,ZXIDX2),0),AZ31))</f>
        <v>#REF!</v>
      </c>
      <c r="BF31" s="110" t="e">
        <f t="shared" ca="1" si="48"/>
        <v>#REF!</v>
      </c>
      <c r="BG31" s="106" t="e">
        <f t="shared" ca="1" si="49"/>
        <v>#REF!</v>
      </c>
      <c r="BH31" s="107" t="e">
        <f t="shared" ca="1" si="50"/>
        <v>#REF!</v>
      </c>
      <c r="BI31" s="107" t="e">
        <f t="shared" ca="1" si="51"/>
        <v>#REF!</v>
      </c>
      <c r="BJ31" s="107" t="e">
        <f t="shared" ca="1" si="52"/>
        <v>#REF!</v>
      </c>
      <c r="BK31" s="91" t="e">
        <f t="shared" ca="1" si="70"/>
        <v>#REF!</v>
      </c>
      <c r="BL31" s="107" t="e">
        <f ca="1">-IF(INDEX(SC_ZX_CodeA,ZXIDX1)="X", 0, MIN(BK31*MAX(INDEX(SC_ZX_Drawdown,ZXIDX2),0),BJ31))</f>
        <v>#REF!</v>
      </c>
      <c r="BM31" s="107" t="e">
        <f t="shared" ca="1" si="54"/>
        <v>#REF!</v>
      </c>
      <c r="BN31" s="113" t="e">
        <f t="shared" ca="1" si="55"/>
        <v>#REF!</v>
      </c>
      <c r="BO31" s="114" t="e">
        <f t="shared" ca="1" si="56"/>
        <v>#REF!</v>
      </c>
      <c r="BP31" s="114" t="e">
        <f ca="1">-($V31-IF(($P31+$R31+$S31)&gt;0,MAX($V31/($P31+$R31+$S31)*($Q31+$R31),$V31),0))*LT_InvestmentQDI</f>
        <v>#REF!</v>
      </c>
      <c r="BQ31" s="114" t="e">
        <f ca="1">-($V31-IF(($P31+$R31+$S31)&gt;0,MAX($V31/($P31+$R31+$S31)*($Q31+$R31),$V31),0))*(1-LT_InvestmentQDI)</f>
        <v>#REF!</v>
      </c>
      <c r="BR31" s="114" t="e">
        <f t="shared" ca="1" si="57"/>
        <v>#REF!</v>
      </c>
      <c r="BS31" s="114" t="e">
        <f t="shared" ca="1" si="58"/>
        <v>#REF!</v>
      </c>
      <c r="BT31" s="649"/>
      <c r="BU31" s="637"/>
      <c r="BV31" s="637"/>
      <c r="BW31" s="637"/>
      <c r="BX31" s="639"/>
      <c r="CO31" s="8"/>
    </row>
    <row r="32" spans="2:93" x14ac:dyDescent="0.25">
      <c r="B32" s="65">
        <f ca="1">B30+1</f>
        <v>2033</v>
      </c>
      <c r="C32" s="76" t="s">
        <v>741</v>
      </c>
      <c r="D32" s="146" t="str">
        <f t="shared" si="7"/>
        <v/>
      </c>
      <c r="E32" s="77">
        <f t="shared" si="8"/>
        <v>0</v>
      </c>
      <c r="F32" s="77">
        <f t="shared" si="18"/>
        <v>1</v>
      </c>
      <c r="G32" s="76">
        <f t="shared" si="9"/>
        <v>1</v>
      </c>
      <c r="H32" s="76">
        <f t="shared" si="10"/>
        <v>0</v>
      </c>
      <c r="I32" s="77" t="b">
        <f t="shared" si="11"/>
        <v>0</v>
      </c>
      <c r="J32" s="77"/>
      <c r="K32" s="77"/>
      <c r="L32" s="77"/>
      <c r="M32" s="77"/>
      <c r="N32" s="632">
        <f ca="1">YEAR(SP_TargetRD)-$B32</f>
        <v>-10</v>
      </c>
      <c r="O32" s="243" t="e">
        <f ca="1">LT_InvestmentStocks*INDEX(SP_EA_ARStocks,EAIDX)+LT_InvestmentBonds*INDEX(SC_EA_ARBonds,EAIDX)</f>
        <v>#REF!</v>
      </c>
      <c r="P32" s="634" t="e">
        <f ca="1">MAX(P30+R30+S30+V30+W30,0)</f>
        <v>#VALUE!</v>
      </c>
      <c r="Q32" s="617" t="e">
        <f t="shared" ref="Q32" ca="1" si="80">MAX(Q30+R30+IF((P30+R30+S30)&gt;0,MAX(V30/(P30+R30+S30)*(Q30+R30),V30),0),0)</f>
        <v>#VALUE!</v>
      </c>
      <c r="R32" s="617" t="e">
        <f ca="1">IF(SC_ZX_CodeA="X", 0, MAX(INDEX(SC_ZX_IncomeSurplus,ZXIDX2)+INDEX(SC_ZX_Debt,ZXIDX2),0))</f>
        <v>#VALUE!</v>
      </c>
      <c r="S32" s="617" t="e">
        <f ca="1">IF(SC_ZX_CodeA="X", 0, INDEX(SC_EX_RolloverCore,EXIDX))</f>
        <v>#VALUE!</v>
      </c>
      <c r="T32" s="617" t="e">
        <f ca="1">P32+R32+S32</f>
        <v>#VALUE!</v>
      </c>
      <c r="U32" s="642" t="e">
        <f ca="1">IF(SC_ZX_BalanceAccessibleA&gt;0, T32/SC_ZX_BalanceAccessibleA, 0)</f>
        <v>#VALUE!</v>
      </c>
      <c r="V32" s="617" t="e">
        <f ca="1">-IF(SC_ZX_CodeA="X",0,MIN(U32*MAX(INDEX(SC_ZX_Drawdown,ZXIDX2),0),T32))</f>
        <v>#VALUE!</v>
      </c>
      <c r="W32" s="618" t="e">
        <f ca="1">(P32+R32+S32+V32)*$O32</f>
        <v>#VALUE!</v>
      </c>
      <c r="X32" s="75" t="e">
        <f t="shared" ca="1" si="19"/>
        <v>#REF!</v>
      </c>
      <c r="Y32" s="70" t="e">
        <f t="shared" ca="1" si="20"/>
        <v>#REF!</v>
      </c>
      <c r="Z32" s="70" t="e">
        <f t="shared" ca="1" si="21"/>
        <v>#REF!</v>
      </c>
      <c r="AA32" s="70" t="e">
        <f t="shared" ca="1" si="22"/>
        <v>#REF!</v>
      </c>
      <c r="AB32" s="67" t="e">
        <f t="shared" ca="1" si="65"/>
        <v>#REF!</v>
      </c>
      <c r="AC32" s="70" t="e">
        <f ca="1">-IF(INDEX(SC_ZX_CodeA,ZXIDX1)="X", 0, MIN(AB32*MAX(INDEX(SC_ZX_Drawdown,ZXIDX2),0),AA32))</f>
        <v>#REF!</v>
      </c>
      <c r="AD32" s="109" t="e">
        <f t="shared" ca="1" si="24"/>
        <v>#REF!</v>
      </c>
      <c r="AE32" s="75" t="e">
        <f t="shared" ca="1" si="25"/>
        <v>#REF!</v>
      </c>
      <c r="AF32" s="70" t="e">
        <f t="shared" ca="1" si="26"/>
        <v>#REF!</v>
      </c>
      <c r="AG32" s="70" t="e">
        <f t="shared" ca="1" si="27"/>
        <v>#REF!</v>
      </c>
      <c r="AH32" s="70" t="e">
        <f t="shared" ca="1" si="28"/>
        <v>#REF!</v>
      </c>
      <c r="AI32" s="67" t="e">
        <f t="shared" ca="1" si="66"/>
        <v>#REF!</v>
      </c>
      <c r="AJ32" s="70" t="e">
        <f ca="1">-IF(INDEX(SC_ZX_CodeA,ZXIDX1)="X", 0, MIN(AI32*MAX(INDEX(SC_ZX_Drawdown,ZXIDX2),0),AH32))</f>
        <v>#REF!</v>
      </c>
      <c r="AK32" s="109" t="e">
        <f t="shared" ca="1" si="30"/>
        <v>#REF!</v>
      </c>
      <c r="AL32" s="75" t="e">
        <f t="shared" ca="1" si="31"/>
        <v>#REF!</v>
      </c>
      <c r="AM32" s="70" t="e">
        <f t="shared" ca="1" si="32"/>
        <v>#REF!</v>
      </c>
      <c r="AN32" s="70" t="e">
        <f t="shared" ca="1" si="33"/>
        <v>#REF!</v>
      </c>
      <c r="AO32" s="70" t="e">
        <f t="shared" ca="1" si="34"/>
        <v>#REF!</v>
      </c>
      <c r="AP32" s="67" t="e">
        <f t="shared" ca="1" si="67"/>
        <v>#REF!</v>
      </c>
      <c r="AQ32" s="70" t="e">
        <f ca="1">-IF(INDEX(SC_ZX_CodeA,ZXIDX1)="X", 0, MIN(AP32*MAX(INDEX(SC_ZX_Drawdown,ZXIDX2),0),AO32))</f>
        <v>#REF!</v>
      </c>
      <c r="AR32" s="109" t="e">
        <f t="shared" ca="1" si="36"/>
        <v>#REF!</v>
      </c>
      <c r="AS32" s="75" t="e">
        <f t="shared" ca="1" si="37"/>
        <v>#REF!</v>
      </c>
      <c r="AT32" s="70" t="e">
        <f t="shared" ca="1" si="38"/>
        <v>#REF!</v>
      </c>
      <c r="AU32" s="70" t="e">
        <f t="shared" ca="1" si="39"/>
        <v>#REF!</v>
      </c>
      <c r="AV32" s="70" t="e">
        <f t="shared" ca="1" si="40"/>
        <v>#REF!</v>
      </c>
      <c r="AW32" s="67" t="e">
        <f t="shared" ca="1" si="68"/>
        <v>#REF!</v>
      </c>
      <c r="AX32" s="70" t="e">
        <f ca="1">-IF(INDEX(SC_ZX_CodeA,ZXIDX1)="X", 0, MIN(AW32*MAX(INDEX(SC_ZX_Drawdown,ZXIDX2),0),AV32))</f>
        <v>#REF!</v>
      </c>
      <c r="AY32" s="109" t="e">
        <f t="shared" ca="1" si="42"/>
        <v>#REF!</v>
      </c>
      <c r="AZ32" s="75" t="e">
        <f t="shared" ca="1" si="43"/>
        <v>#REF!</v>
      </c>
      <c r="BA32" s="70" t="e">
        <f t="shared" ca="1" si="44"/>
        <v>#REF!</v>
      </c>
      <c r="BB32" s="70" t="e">
        <f t="shared" ca="1" si="45"/>
        <v>#REF!</v>
      </c>
      <c r="BC32" s="70" t="e">
        <f t="shared" ca="1" si="46"/>
        <v>#REF!</v>
      </c>
      <c r="BD32" s="67" t="e">
        <f t="shared" ca="1" si="69"/>
        <v>#REF!</v>
      </c>
      <c r="BE32" s="70" t="e">
        <f ca="1">-IF(INDEX(SC_ZX_CodeA,ZXIDX1)="X", 0, MIN(BD32*MAX(INDEX(SC_ZX_Drawdown,ZXIDX2),0),AZ32))</f>
        <v>#REF!</v>
      </c>
      <c r="BF32" s="109" t="e">
        <f t="shared" ca="1" si="48"/>
        <v>#REF!</v>
      </c>
      <c r="BG32" s="75" t="e">
        <f t="shared" ca="1" si="49"/>
        <v>#REF!</v>
      </c>
      <c r="BH32" s="70" t="e">
        <f t="shared" ca="1" si="50"/>
        <v>#REF!</v>
      </c>
      <c r="BI32" s="70" t="e">
        <f t="shared" ca="1" si="51"/>
        <v>#REF!</v>
      </c>
      <c r="BJ32" s="70" t="e">
        <f t="shared" ca="1" si="52"/>
        <v>#REF!</v>
      </c>
      <c r="BK32" s="67" t="e">
        <f t="shared" ca="1" si="70"/>
        <v>#REF!</v>
      </c>
      <c r="BL32" s="70" t="e">
        <f ca="1">-IF(INDEX(SC_ZX_CodeA,ZXIDX1)="X", 0, MIN(BK32*MAX(INDEX(SC_ZX_Drawdown,ZXIDX2),0),BJ32))</f>
        <v>#REF!</v>
      </c>
      <c r="BM32" s="70" t="e">
        <f t="shared" ca="1" si="54"/>
        <v>#REF!</v>
      </c>
      <c r="BN32" s="111" t="e">
        <f t="shared" ca="1" si="55"/>
        <v>#REF!</v>
      </c>
      <c r="BO32" s="112" t="e">
        <f t="shared" ca="1" si="56"/>
        <v>#REF!</v>
      </c>
      <c r="BP32" s="112" t="e">
        <f ca="1">-($V32-IF(($P32+$R32+$S32)&gt;0,MAX($V32/($P32+$R32+$S32)*($Q32+$R32),$V32),0))*LT_InvestmentQDI</f>
        <v>#VALUE!</v>
      </c>
      <c r="BQ32" s="112" t="e">
        <f ca="1">-($V32-IF(($P32+$R32+$S32)&gt;0,MAX($V32/($P32+$R32+$S32)*($Q32+$R32),$V32),0))*(1-LT_InvestmentQDI)</f>
        <v>#VALUE!</v>
      </c>
      <c r="BR32" s="112" t="e">
        <f t="shared" ca="1" si="57"/>
        <v>#VALUE!</v>
      </c>
      <c r="BS32" s="112" t="e">
        <f t="shared" ca="1" si="58"/>
        <v>#VALUE!</v>
      </c>
      <c r="BT32" s="634" t="e">
        <f ca="1">SUMPRODUCT($BN32:$BN33+$BO32:$BO33, --($E32:$E33&lt;&gt;0))</f>
        <v>#REF!</v>
      </c>
      <c r="BU32" s="617" t="e">
        <f ca="1">SUMPRODUCT($BR32:$BR33+$BS32:$BS33, --($E32:$E33&lt;&gt;0))</f>
        <v>#VALUE!</v>
      </c>
      <c r="BV32" s="617" t="e">
        <f ca="1">$T32+SUMPRODUCT($AA32:$AA33+$AH32:$AH33+$AO32:$AO33+$AV32:$AV33+$BC32:$BC33+$BJ32:$BJ33, --($E32:$E33&lt;&gt;0))</f>
        <v>#VALUE!</v>
      </c>
      <c r="BW32" s="617" t="e">
        <f ca="1">MAX($P32-$Q32,0)+SUMPRODUCT($X32:$X33+$AL32:$AL33+$AZ32:$AZ33, --($E32:$E33&lt;&gt;0))</f>
        <v>#VALUE!</v>
      </c>
      <c r="BX32" s="618" t="e">
        <f ca="1">MIN($P32,$Q32)+SUMPRODUCT($AE32:$AE33+$AS32:$AS33+$BG32:$BG33, --($E32:$E33&lt;&gt;0))</f>
        <v>#VALUE!</v>
      </c>
      <c r="CO32" s="8"/>
    </row>
    <row r="33" spans="2:93" x14ac:dyDescent="0.25">
      <c r="B33" s="86">
        <f t="shared" ca="1" si="59"/>
        <v>2033</v>
      </c>
      <c r="C33" s="80" t="s">
        <v>741</v>
      </c>
      <c r="D33" s="147" t="str">
        <f t="shared" si="7"/>
        <v/>
      </c>
      <c r="E33" s="81">
        <f t="shared" si="8"/>
        <v>0</v>
      </c>
      <c r="F33" s="81">
        <f t="shared" si="18"/>
        <v>2</v>
      </c>
      <c r="G33" s="82">
        <f t="shared" si="9"/>
        <v>-1</v>
      </c>
      <c r="H33" s="82">
        <f t="shared" si="10"/>
        <v>0</v>
      </c>
      <c r="I33" s="81" t="b">
        <f t="shared" si="11"/>
        <v>0</v>
      </c>
      <c r="J33" s="81"/>
      <c r="K33" s="81"/>
      <c r="L33" s="81"/>
      <c r="M33" s="81"/>
      <c r="N33" s="633"/>
      <c r="O33" s="243" t="e">
        <f ca="1">LT_InvestmentStocks*INDEX(SP_EA_ARStocks,EAIDX)+LT_InvestmentBonds*INDEX(SC_EA_ARBonds,EAIDX)</f>
        <v>#REF!</v>
      </c>
      <c r="P33" s="634"/>
      <c r="Q33" s="617"/>
      <c r="R33" s="617"/>
      <c r="S33" s="617"/>
      <c r="T33" s="617"/>
      <c r="U33" s="643"/>
      <c r="V33" s="617"/>
      <c r="W33" s="639"/>
      <c r="X33" s="106" t="e">
        <f t="shared" ca="1" si="19"/>
        <v>#REF!</v>
      </c>
      <c r="Y33" s="107" t="e">
        <f t="shared" ca="1" si="20"/>
        <v>#REF!</v>
      </c>
      <c r="Z33" s="107" t="e">
        <f t="shared" ca="1" si="21"/>
        <v>#REF!</v>
      </c>
      <c r="AA33" s="107" t="e">
        <f t="shared" ca="1" si="22"/>
        <v>#REF!</v>
      </c>
      <c r="AB33" s="91" t="e">
        <f t="shared" ca="1" si="65"/>
        <v>#REF!</v>
      </c>
      <c r="AC33" s="107" t="e">
        <f ca="1">-IF(INDEX(SC_ZX_CodeA,ZXIDX1)="X", 0, MIN(AB33*MAX(INDEX(SC_ZX_Drawdown,ZXIDX2),0),AA33))</f>
        <v>#REF!</v>
      </c>
      <c r="AD33" s="110" t="e">
        <f t="shared" ca="1" si="24"/>
        <v>#REF!</v>
      </c>
      <c r="AE33" s="106" t="e">
        <f t="shared" ca="1" si="25"/>
        <v>#REF!</v>
      </c>
      <c r="AF33" s="107" t="e">
        <f t="shared" ca="1" si="26"/>
        <v>#REF!</v>
      </c>
      <c r="AG33" s="107" t="e">
        <f t="shared" ca="1" si="27"/>
        <v>#REF!</v>
      </c>
      <c r="AH33" s="107" t="e">
        <f t="shared" ca="1" si="28"/>
        <v>#REF!</v>
      </c>
      <c r="AI33" s="91" t="e">
        <f t="shared" ca="1" si="66"/>
        <v>#REF!</v>
      </c>
      <c r="AJ33" s="107" t="e">
        <f ca="1">-IF(INDEX(SC_ZX_CodeA,ZXIDX1)="X", 0, MIN(AI33*MAX(INDEX(SC_ZX_Drawdown,ZXIDX2),0),AH33))</f>
        <v>#REF!</v>
      </c>
      <c r="AK33" s="110" t="e">
        <f t="shared" ca="1" si="30"/>
        <v>#REF!</v>
      </c>
      <c r="AL33" s="106" t="e">
        <f t="shared" ca="1" si="31"/>
        <v>#REF!</v>
      </c>
      <c r="AM33" s="107" t="e">
        <f t="shared" ca="1" si="32"/>
        <v>#REF!</v>
      </c>
      <c r="AN33" s="107" t="e">
        <f t="shared" ca="1" si="33"/>
        <v>#REF!</v>
      </c>
      <c r="AO33" s="107" t="e">
        <f t="shared" ca="1" si="34"/>
        <v>#REF!</v>
      </c>
      <c r="AP33" s="91" t="e">
        <f t="shared" ca="1" si="67"/>
        <v>#REF!</v>
      </c>
      <c r="AQ33" s="107" t="e">
        <f ca="1">-IF(INDEX(SC_ZX_CodeA,ZXIDX1)="X", 0, MIN(AP33*MAX(INDEX(SC_ZX_Drawdown,ZXIDX2),0),AO33))</f>
        <v>#REF!</v>
      </c>
      <c r="AR33" s="110" t="e">
        <f t="shared" ca="1" si="36"/>
        <v>#REF!</v>
      </c>
      <c r="AS33" s="106" t="e">
        <f t="shared" ca="1" si="37"/>
        <v>#REF!</v>
      </c>
      <c r="AT33" s="107" t="e">
        <f t="shared" ca="1" si="38"/>
        <v>#REF!</v>
      </c>
      <c r="AU33" s="107" t="e">
        <f t="shared" ca="1" si="39"/>
        <v>#REF!</v>
      </c>
      <c r="AV33" s="107" t="e">
        <f t="shared" ca="1" si="40"/>
        <v>#REF!</v>
      </c>
      <c r="AW33" s="91" t="e">
        <f t="shared" ca="1" si="68"/>
        <v>#REF!</v>
      </c>
      <c r="AX33" s="107" t="e">
        <f ca="1">-IF(INDEX(SC_ZX_CodeA,ZXIDX1)="X", 0, MIN(AW33*MAX(INDEX(SC_ZX_Drawdown,ZXIDX2),0),AV33))</f>
        <v>#REF!</v>
      </c>
      <c r="AY33" s="110" t="e">
        <f t="shared" ca="1" si="42"/>
        <v>#REF!</v>
      </c>
      <c r="AZ33" s="106" t="e">
        <f t="shared" ca="1" si="43"/>
        <v>#REF!</v>
      </c>
      <c r="BA33" s="107" t="e">
        <f t="shared" ca="1" si="44"/>
        <v>#REF!</v>
      </c>
      <c r="BB33" s="107" t="e">
        <f t="shared" ca="1" si="45"/>
        <v>#REF!</v>
      </c>
      <c r="BC33" s="107" t="e">
        <f t="shared" ca="1" si="46"/>
        <v>#REF!</v>
      </c>
      <c r="BD33" s="91" t="e">
        <f t="shared" ca="1" si="69"/>
        <v>#REF!</v>
      </c>
      <c r="BE33" s="107" t="e">
        <f ca="1">-IF(INDEX(SC_ZX_CodeA,ZXIDX1)="X", 0, MIN(BD33*MAX(INDEX(SC_ZX_Drawdown,ZXIDX2),0),AZ33))</f>
        <v>#REF!</v>
      </c>
      <c r="BF33" s="110" t="e">
        <f t="shared" ca="1" si="48"/>
        <v>#REF!</v>
      </c>
      <c r="BG33" s="106" t="e">
        <f t="shared" ca="1" si="49"/>
        <v>#REF!</v>
      </c>
      <c r="BH33" s="107" t="e">
        <f t="shared" ca="1" si="50"/>
        <v>#REF!</v>
      </c>
      <c r="BI33" s="107" t="e">
        <f t="shared" ca="1" si="51"/>
        <v>#REF!</v>
      </c>
      <c r="BJ33" s="107" t="e">
        <f t="shared" ca="1" si="52"/>
        <v>#REF!</v>
      </c>
      <c r="BK33" s="91" t="e">
        <f t="shared" ca="1" si="70"/>
        <v>#REF!</v>
      </c>
      <c r="BL33" s="107" t="e">
        <f ca="1">-IF(INDEX(SC_ZX_CodeA,ZXIDX1)="X", 0, MIN(BK33*MAX(INDEX(SC_ZX_Drawdown,ZXIDX2),0),BJ33))</f>
        <v>#REF!</v>
      </c>
      <c r="BM33" s="107" t="e">
        <f t="shared" ca="1" si="54"/>
        <v>#REF!</v>
      </c>
      <c r="BN33" s="113" t="e">
        <f t="shared" ca="1" si="55"/>
        <v>#REF!</v>
      </c>
      <c r="BO33" s="114" t="e">
        <f t="shared" ca="1" si="56"/>
        <v>#REF!</v>
      </c>
      <c r="BP33" s="114" t="e">
        <f ca="1">-($V33-IF(($P33+$R33+$S33)&gt;0,MAX($V33/($P33+$R33+$S33)*($Q33+$R33),$V33),0))*LT_InvestmentQDI</f>
        <v>#REF!</v>
      </c>
      <c r="BQ33" s="114" t="e">
        <f ca="1">-($V33-IF(($P33+$R33+$S33)&gt;0,MAX($V33/($P33+$R33+$S33)*($Q33+$R33),$V33),0))*(1-LT_InvestmentQDI)</f>
        <v>#REF!</v>
      </c>
      <c r="BR33" s="114" t="e">
        <f t="shared" ca="1" si="57"/>
        <v>#REF!</v>
      </c>
      <c r="BS33" s="114" t="e">
        <f t="shared" ca="1" si="58"/>
        <v>#REF!</v>
      </c>
      <c r="BT33" s="649"/>
      <c r="BU33" s="637"/>
      <c r="BV33" s="637"/>
      <c r="BW33" s="637"/>
      <c r="BX33" s="639"/>
      <c r="CO33" s="8"/>
    </row>
    <row r="34" spans="2:93" x14ac:dyDescent="0.25">
      <c r="B34" s="65">
        <f ca="1">B32+1</f>
        <v>2034</v>
      </c>
      <c r="C34" s="76" t="s">
        <v>741</v>
      </c>
      <c r="D34" s="146" t="str">
        <f t="shared" si="7"/>
        <v/>
      </c>
      <c r="E34" s="77">
        <f t="shared" si="8"/>
        <v>0</v>
      </c>
      <c r="F34" s="77">
        <f t="shared" si="18"/>
        <v>1</v>
      </c>
      <c r="G34" s="76">
        <f t="shared" si="9"/>
        <v>1</v>
      </c>
      <c r="H34" s="76">
        <f t="shared" si="10"/>
        <v>0</v>
      </c>
      <c r="I34" s="77" t="b">
        <f t="shared" si="11"/>
        <v>0</v>
      </c>
      <c r="J34" s="77"/>
      <c r="K34" s="77"/>
      <c r="L34" s="77"/>
      <c r="M34" s="77"/>
      <c r="N34" s="632">
        <f ca="1">YEAR(SP_TargetRD)-$B34</f>
        <v>-11</v>
      </c>
      <c r="O34" s="243" t="e">
        <f ca="1">LT_InvestmentStocks*INDEX(SP_EA_ARStocks,EAIDX)+LT_InvestmentBonds*INDEX(SC_EA_ARBonds,EAIDX)</f>
        <v>#REF!</v>
      </c>
      <c r="P34" s="634" t="e">
        <f ca="1">MAX(P32+R32+S32+V32+W32,0)</f>
        <v>#VALUE!</v>
      </c>
      <c r="Q34" s="617" t="e">
        <f t="shared" ref="Q34" ca="1" si="81">MAX(Q32+R32+IF((P32+R32+S32)&gt;0,MAX(V32/(P32+R32+S32)*(Q32+R32),V32),0),0)</f>
        <v>#VALUE!</v>
      </c>
      <c r="R34" s="617" t="e">
        <f ca="1">IF(SC_ZX_CodeA="X", 0, MAX(INDEX(SC_ZX_IncomeSurplus,ZXIDX2)+INDEX(SC_ZX_Debt,ZXIDX2),0))</f>
        <v>#VALUE!</v>
      </c>
      <c r="S34" s="617" t="e">
        <f ca="1">IF(SC_ZX_CodeA="X", 0, INDEX(SC_EX_RolloverCore,EXIDX))</f>
        <v>#VALUE!</v>
      </c>
      <c r="T34" s="617" t="e">
        <f ca="1">P34+R34+S34</f>
        <v>#VALUE!</v>
      </c>
      <c r="U34" s="642" t="e">
        <f ca="1">IF(SC_ZX_BalanceAccessibleA&gt;0, T34/SC_ZX_BalanceAccessibleA, 0)</f>
        <v>#VALUE!</v>
      </c>
      <c r="V34" s="617" t="e">
        <f ca="1">-IF(SC_ZX_CodeA="X",0,MIN(U34*MAX(INDEX(SC_ZX_Drawdown,ZXIDX2),0),T34))</f>
        <v>#VALUE!</v>
      </c>
      <c r="W34" s="618" t="e">
        <f ca="1">(P34+R34+S34+V34)*$O34</f>
        <v>#VALUE!</v>
      </c>
      <c r="X34" s="75" t="e">
        <f t="shared" ca="1" si="19"/>
        <v>#REF!</v>
      </c>
      <c r="Y34" s="70" t="e">
        <f t="shared" ca="1" si="20"/>
        <v>#REF!</v>
      </c>
      <c r="Z34" s="70" t="e">
        <f t="shared" ca="1" si="21"/>
        <v>#REF!</v>
      </c>
      <c r="AA34" s="70" t="e">
        <f t="shared" ca="1" si="22"/>
        <v>#REF!</v>
      </c>
      <c r="AB34" s="67" t="e">
        <f t="shared" ca="1" si="65"/>
        <v>#REF!</v>
      </c>
      <c r="AC34" s="70" t="e">
        <f ca="1">-IF(INDEX(SC_ZX_CodeA,ZXIDX1)="X", 0, MIN(AB34*MAX(INDEX(SC_ZX_Drawdown,ZXIDX2),0),AA34))</f>
        <v>#REF!</v>
      </c>
      <c r="AD34" s="109" t="e">
        <f t="shared" ca="1" si="24"/>
        <v>#REF!</v>
      </c>
      <c r="AE34" s="75" t="e">
        <f t="shared" ca="1" si="25"/>
        <v>#REF!</v>
      </c>
      <c r="AF34" s="70" t="e">
        <f t="shared" ca="1" si="26"/>
        <v>#REF!</v>
      </c>
      <c r="AG34" s="70" t="e">
        <f t="shared" ca="1" si="27"/>
        <v>#REF!</v>
      </c>
      <c r="AH34" s="70" t="e">
        <f t="shared" ca="1" si="28"/>
        <v>#REF!</v>
      </c>
      <c r="AI34" s="67" t="e">
        <f t="shared" ca="1" si="66"/>
        <v>#REF!</v>
      </c>
      <c r="AJ34" s="70" t="e">
        <f ca="1">-IF(INDEX(SC_ZX_CodeA,ZXIDX1)="X", 0, MIN(AI34*MAX(INDEX(SC_ZX_Drawdown,ZXIDX2),0),AH34))</f>
        <v>#REF!</v>
      </c>
      <c r="AK34" s="109" t="e">
        <f t="shared" ca="1" si="30"/>
        <v>#REF!</v>
      </c>
      <c r="AL34" s="75" t="e">
        <f t="shared" ca="1" si="31"/>
        <v>#REF!</v>
      </c>
      <c r="AM34" s="70" t="e">
        <f t="shared" ca="1" si="32"/>
        <v>#REF!</v>
      </c>
      <c r="AN34" s="70" t="e">
        <f t="shared" ca="1" si="33"/>
        <v>#REF!</v>
      </c>
      <c r="AO34" s="70" t="e">
        <f t="shared" ca="1" si="34"/>
        <v>#REF!</v>
      </c>
      <c r="AP34" s="67" t="e">
        <f t="shared" ca="1" si="67"/>
        <v>#REF!</v>
      </c>
      <c r="AQ34" s="70" t="e">
        <f ca="1">-IF(INDEX(SC_ZX_CodeA,ZXIDX1)="X", 0, MIN(AP34*MAX(INDEX(SC_ZX_Drawdown,ZXIDX2),0),AO34))</f>
        <v>#REF!</v>
      </c>
      <c r="AR34" s="109" t="e">
        <f t="shared" ca="1" si="36"/>
        <v>#REF!</v>
      </c>
      <c r="AS34" s="75" t="e">
        <f t="shared" ca="1" si="37"/>
        <v>#REF!</v>
      </c>
      <c r="AT34" s="70" t="e">
        <f t="shared" ca="1" si="38"/>
        <v>#REF!</v>
      </c>
      <c r="AU34" s="70" t="e">
        <f t="shared" ca="1" si="39"/>
        <v>#REF!</v>
      </c>
      <c r="AV34" s="70" t="e">
        <f t="shared" ca="1" si="40"/>
        <v>#REF!</v>
      </c>
      <c r="AW34" s="67" t="e">
        <f t="shared" ca="1" si="68"/>
        <v>#REF!</v>
      </c>
      <c r="AX34" s="70" t="e">
        <f ca="1">-IF(INDEX(SC_ZX_CodeA,ZXIDX1)="X", 0, MIN(AW34*MAX(INDEX(SC_ZX_Drawdown,ZXIDX2),0),AV34))</f>
        <v>#REF!</v>
      </c>
      <c r="AY34" s="109" t="e">
        <f t="shared" ca="1" si="42"/>
        <v>#REF!</v>
      </c>
      <c r="AZ34" s="75" t="e">
        <f t="shared" ca="1" si="43"/>
        <v>#REF!</v>
      </c>
      <c r="BA34" s="70" t="e">
        <f t="shared" ca="1" si="44"/>
        <v>#REF!</v>
      </c>
      <c r="BB34" s="70" t="e">
        <f t="shared" ca="1" si="45"/>
        <v>#REF!</v>
      </c>
      <c r="BC34" s="70" t="e">
        <f t="shared" ca="1" si="46"/>
        <v>#REF!</v>
      </c>
      <c r="BD34" s="67" t="e">
        <f t="shared" ca="1" si="69"/>
        <v>#REF!</v>
      </c>
      <c r="BE34" s="70" t="e">
        <f ca="1">-IF(INDEX(SC_ZX_CodeA,ZXIDX1)="X", 0, MIN(BD34*MAX(INDEX(SC_ZX_Drawdown,ZXIDX2),0),AZ34))</f>
        <v>#REF!</v>
      </c>
      <c r="BF34" s="109" t="e">
        <f t="shared" ca="1" si="48"/>
        <v>#REF!</v>
      </c>
      <c r="BG34" s="75" t="e">
        <f t="shared" ca="1" si="49"/>
        <v>#REF!</v>
      </c>
      <c r="BH34" s="70" t="e">
        <f t="shared" ca="1" si="50"/>
        <v>#REF!</v>
      </c>
      <c r="BI34" s="70" t="e">
        <f t="shared" ca="1" si="51"/>
        <v>#REF!</v>
      </c>
      <c r="BJ34" s="70" t="e">
        <f t="shared" ca="1" si="52"/>
        <v>#REF!</v>
      </c>
      <c r="BK34" s="67" t="e">
        <f t="shared" ca="1" si="70"/>
        <v>#REF!</v>
      </c>
      <c r="BL34" s="70" t="e">
        <f ca="1">-IF(INDEX(SC_ZX_CodeA,ZXIDX1)="X", 0, MIN(BK34*MAX(INDEX(SC_ZX_Drawdown,ZXIDX2),0),BJ34))</f>
        <v>#REF!</v>
      </c>
      <c r="BM34" s="70" t="e">
        <f t="shared" ca="1" si="54"/>
        <v>#REF!</v>
      </c>
      <c r="BN34" s="111" t="e">
        <f t="shared" ca="1" si="55"/>
        <v>#REF!</v>
      </c>
      <c r="BO34" s="112" t="e">
        <f t="shared" ca="1" si="56"/>
        <v>#REF!</v>
      </c>
      <c r="BP34" s="112" t="e">
        <f ca="1">-($V34-IF(($P34+$R34+$S34)&gt;0,MAX($V34/($P34+$R34+$S34)*($Q34+$R34),$V34),0))*LT_InvestmentQDI</f>
        <v>#VALUE!</v>
      </c>
      <c r="BQ34" s="112" t="e">
        <f ca="1">-($V34-IF(($P34+$R34+$S34)&gt;0,MAX($V34/($P34+$R34+$S34)*($Q34+$R34),$V34),0))*(1-LT_InvestmentQDI)</f>
        <v>#VALUE!</v>
      </c>
      <c r="BR34" s="112" t="e">
        <f t="shared" ca="1" si="57"/>
        <v>#VALUE!</v>
      </c>
      <c r="BS34" s="112" t="e">
        <f t="shared" ca="1" si="58"/>
        <v>#VALUE!</v>
      </c>
      <c r="BT34" s="634" t="e">
        <f ca="1">SUMPRODUCT($BN34:$BN35+$BO34:$BO35, --($E34:$E35&lt;&gt;0))</f>
        <v>#REF!</v>
      </c>
      <c r="BU34" s="617" t="e">
        <f ca="1">SUMPRODUCT($BR34:$BR35+$BS34:$BS35, --($E34:$E35&lt;&gt;0))</f>
        <v>#VALUE!</v>
      </c>
      <c r="BV34" s="617" t="e">
        <f ca="1">$T34+SUMPRODUCT($AA34:$AA35+$AH34:$AH35+$AO34:$AO35+$AV34:$AV35+$BC34:$BC35+$BJ34:$BJ35, --($E34:$E35&lt;&gt;0))</f>
        <v>#VALUE!</v>
      </c>
      <c r="BW34" s="617" t="e">
        <f ca="1">MAX($P34-$Q34,0)+SUMPRODUCT($X34:$X35+$AL34:$AL35+$AZ34:$AZ35, --($E34:$E35&lt;&gt;0))</f>
        <v>#VALUE!</v>
      </c>
      <c r="BX34" s="618" t="e">
        <f ca="1">MIN($P34,$Q34)+SUMPRODUCT($AE34:$AE35+$AS34:$AS35+$BG34:$BG35, --($E34:$E35&lt;&gt;0))</f>
        <v>#VALUE!</v>
      </c>
      <c r="CO34" s="8"/>
    </row>
    <row r="35" spans="2:93" x14ac:dyDescent="0.25">
      <c r="B35" s="86">
        <f t="shared" ca="1" si="59"/>
        <v>2034</v>
      </c>
      <c r="C35" s="80" t="s">
        <v>741</v>
      </c>
      <c r="D35" s="147" t="str">
        <f t="shared" si="7"/>
        <v/>
      </c>
      <c r="E35" s="81">
        <f t="shared" si="8"/>
        <v>0</v>
      </c>
      <c r="F35" s="81">
        <f t="shared" si="18"/>
        <v>2</v>
      </c>
      <c r="G35" s="82">
        <f t="shared" si="9"/>
        <v>-1</v>
      </c>
      <c r="H35" s="82">
        <f t="shared" si="10"/>
        <v>0</v>
      </c>
      <c r="I35" s="81" t="b">
        <f t="shared" si="11"/>
        <v>0</v>
      </c>
      <c r="J35" s="81"/>
      <c r="K35" s="81"/>
      <c r="L35" s="81"/>
      <c r="M35" s="81"/>
      <c r="N35" s="633"/>
      <c r="O35" s="243" t="e">
        <f ca="1">LT_InvestmentStocks*INDEX(SP_EA_ARStocks,EAIDX)+LT_InvestmentBonds*INDEX(SC_EA_ARBonds,EAIDX)</f>
        <v>#REF!</v>
      </c>
      <c r="P35" s="634"/>
      <c r="Q35" s="617"/>
      <c r="R35" s="617"/>
      <c r="S35" s="617"/>
      <c r="T35" s="617"/>
      <c r="U35" s="643"/>
      <c r="V35" s="617"/>
      <c r="W35" s="639"/>
      <c r="X35" s="106" t="e">
        <f t="shared" ca="1" si="19"/>
        <v>#REF!</v>
      </c>
      <c r="Y35" s="107" t="e">
        <f t="shared" ca="1" si="20"/>
        <v>#REF!</v>
      </c>
      <c r="Z35" s="107" t="e">
        <f t="shared" ca="1" si="21"/>
        <v>#REF!</v>
      </c>
      <c r="AA35" s="107" t="e">
        <f t="shared" ca="1" si="22"/>
        <v>#REF!</v>
      </c>
      <c r="AB35" s="91" t="e">
        <f t="shared" ca="1" si="65"/>
        <v>#REF!</v>
      </c>
      <c r="AC35" s="107" t="e">
        <f ca="1">-IF(INDEX(SC_ZX_CodeA,ZXIDX1)="X", 0, MIN(AB35*MAX(INDEX(SC_ZX_Drawdown,ZXIDX2),0),AA35))</f>
        <v>#REF!</v>
      </c>
      <c r="AD35" s="110" t="e">
        <f t="shared" ca="1" si="24"/>
        <v>#REF!</v>
      </c>
      <c r="AE35" s="106" t="e">
        <f t="shared" ca="1" si="25"/>
        <v>#REF!</v>
      </c>
      <c r="AF35" s="107" t="e">
        <f t="shared" ca="1" si="26"/>
        <v>#REF!</v>
      </c>
      <c r="AG35" s="107" t="e">
        <f t="shared" ca="1" si="27"/>
        <v>#REF!</v>
      </c>
      <c r="AH35" s="107" t="e">
        <f t="shared" ca="1" si="28"/>
        <v>#REF!</v>
      </c>
      <c r="AI35" s="91" t="e">
        <f t="shared" ca="1" si="66"/>
        <v>#REF!</v>
      </c>
      <c r="AJ35" s="107" t="e">
        <f ca="1">-IF(INDEX(SC_ZX_CodeA,ZXIDX1)="X", 0, MIN(AI35*MAX(INDEX(SC_ZX_Drawdown,ZXIDX2),0),AH35))</f>
        <v>#REF!</v>
      </c>
      <c r="AK35" s="110" t="e">
        <f t="shared" ca="1" si="30"/>
        <v>#REF!</v>
      </c>
      <c r="AL35" s="106" t="e">
        <f t="shared" ca="1" si="31"/>
        <v>#REF!</v>
      </c>
      <c r="AM35" s="107" t="e">
        <f t="shared" ca="1" si="32"/>
        <v>#REF!</v>
      </c>
      <c r="AN35" s="107" t="e">
        <f t="shared" ca="1" si="33"/>
        <v>#REF!</v>
      </c>
      <c r="AO35" s="107" t="e">
        <f t="shared" ca="1" si="34"/>
        <v>#REF!</v>
      </c>
      <c r="AP35" s="91" t="e">
        <f t="shared" ca="1" si="67"/>
        <v>#REF!</v>
      </c>
      <c r="AQ35" s="107" t="e">
        <f ca="1">-IF(INDEX(SC_ZX_CodeA,ZXIDX1)="X", 0, MIN(AP35*MAX(INDEX(SC_ZX_Drawdown,ZXIDX2),0),AO35))</f>
        <v>#REF!</v>
      </c>
      <c r="AR35" s="110" t="e">
        <f t="shared" ca="1" si="36"/>
        <v>#REF!</v>
      </c>
      <c r="AS35" s="106" t="e">
        <f t="shared" ca="1" si="37"/>
        <v>#REF!</v>
      </c>
      <c r="AT35" s="107" t="e">
        <f t="shared" ca="1" si="38"/>
        <v>#REF!</v>
      </c>
      <c r="AU35" s="107" t="e">
        <f t="shared" ca="1" si="39"/>
        <v>#REF!</v>
      </c>
      <c r="AV35" s="107" t="e">
        <f t="shared" ca="1" si="40"/>
        <v>#REF!</v>
      </c>
      <c r="AW35" s="91" t="e">
        <f t="shared" ca="1" si="68"/>
        <v>#REF!</v>
      </c>
      <c r="AX35" s="107" t="e">
        <f ca="1">-IF(INDEX(SC_ZX_CodeA,ZXIDX1)="X", 0, MIN(AW35*MAX(INDEX(SC_ZX_Drawdown,ZXIDX2),0),AV35))</f>
        <v>#REF!</v>
      </c>
      <c r="AY35" s="110" t="e">
        <f t="shared" ca="1" si="42"/>
        <v>#REF!</v>
      </c>
      <c r="AZ35" s="106" t="e">
        <f t="shared" ca="1" si="43"/>
        <v>#REF!</v>
      </c>
      <c r="BA35" s="107" t="e">
        <f t="shared" ca="1" si="44"/>
        <v>#REF!</v>
      </c>
      <c r="BB35" s="107" t="e">
        <f t="shared" ca="1" si="45"/>
        <v>#REF!</v>
      </c>
      <c r="BC35" s="107" t="e">
        <f t="shared" ca="1" si="46"/>
        <v>#REF!</v>
      </c>
      <c r="BD35" s="91" t="e">
        <f t="shared" ca="1" si="69"/>
        <v>#REF!</v>
      </c>
      <c r="BE35" s="107" t="e">
        <f ca="1">-IF(INDEX(SC_ZX_CodeA,ZXIDX1)="X", 0, MIN(BD35*MAX(INDEX(SC_ZX_Drawdown,ZXIDX2),0),AZ35))</f>
        <v>#REF!</v>
      </c>
      <c r="BF35" s="110" t="e">
        <f t="shared" ca="1" si="48"/>
        <v>#REF!</v>
      </c>
      <c r="BG35" s="106" t="e">
        <f t="shared" ca="1" si="49"/>
        <v>#REF!</v>
      </c>
      <c r="BH35" s="107" t="e">
        <f t="shared" ca="1" si="50"/>
        <v>#REF!</v>
      </c>
      <c r="BI35" s="107" t="e">
        <f t="shared" ca="1" si="51"/>
        <v>#REF!</v>
      </c>
      <c r="BJ35" s="107" t="e">
        <f t="shared" ca="1" si="52"/>
        <v>#REF!</v>
      </c>
      <c r="BK35" s="91" t="e">
        <f t="shared" ca="1" si="70"/>
        <v>#REF!</v>
      </c>
      <c r="BL35" s="107" t="e">
        <f ca="1">-IF(INDEX(SC_ZX_CodeA,ZXIDX1)="X", 0, MIN(BK35*MAX(INDEX(SC_ZX_Drawdown,ZXIDX2),0),BJ35))</f>
        <v>#REF!</v>
      </c>
      <c r="BM35" s="107" t="e">
        <f t="shared" ca="1" si="54"/>
        <v>#REF!</v>
      </c>
      <c r="BN35" s="113" t="e">
        <f t="shared" ca="1" si="55"/>
        <v>#REF!</v>
      </c>
      <c r="BO35" s="114" t="e">
        <f t="shared" ca="1" si="56"/>
        <v>#REF!</v>
      </c>
      <c r="BP35" s="114" t="e">
        <f ca="1">-($V35-IF(($P35+$R35+$S35)&gt;0,MAX($V35/($P35+$R35+$S35)*($Q35+$R35),$V35),0))*LT_InvestmentQDI</f>
        <v>#REF!</v>
      </c>
      <c r="BQ35" s="114" t="e">
        <f ca="1">-($V35-IF(($P35+$R35+$S35)&gt;0,MAX($V35/($P35+$R35+$S35)*($Q35+$R35),$V35),0))*(1-LT_InvestmentQDI)</f>
        <v>#REF!</v>
      </c>
      <c r="BR35" s="114" t="e">
        <f t="shared" ca="1" si="57"/>
        <v>#REF!</v>
      </c>
      <c r="BS35" s="114" t="e">
        <f t="shared" ca="1" si="58"/>
        <v>#REF!</v>
      </c>
      <c r="BT35" s="649"/>
      <c r="BU35" s="637"/>
      <c r="BV35" s="637"/>
      <c r="BW35" s="637"/>
      <c r="BX35" s="639"/>
      <c r="CO35" s="8"/>
    </row>
    <row r="36" spans="2:93" x14ac:dyDescent="0.25">
      <c r="B36" s="65">
        <f ca="1">B34+1</f>
        <v>2035</v>
      </c>
      <c r="C36" s="76" t="s">
        <v>741</v>
      </c>
      <c r="D36" s="146" t="str">
        <f t="shared" si="7"/>
        <v/>
      </c>
      <c r="E36" s="77">
        <f t="shared" si="8"/>
        <v>0</v>
      </c>
      <c r="F36" s="77">
        <f t="shared" si="18"/>
        <v>1</v>
      </c>
      <c r="G36" s="76">
        <f t="shared" si="9"/>
        <v>1</v>
      </c>
      <c r="H36" s="76">
        <f t="shared" si="10"/>
        <v>0</v>
      </c>
      <c r="I36" s="77" t="b">
        <f t="shared" si="11"/>
        <v>0</v>
      </c>
      <c r="J36" s="77"/>
      <c r="K36" s="77"/>
      <c r="L36" s="77"/>
      <c r="M36" s="77"/>
      <c r="N36" s="632">
        <f ca="1">YEAR(SP_TargetRD)-$B36</f>
        <v>-12</v>
      </c>
      <c r="O36" s="243" t="e">
        <f ca="1">LT_InvestmentStocks*INDEX(SP_EA_ARStocks,EAIDX)+LT_InvestmentBonds*INDEX(SC_EA_ARBonds,EAIDX)</f>
        <v>#REF!</v>
      </c>
      <c r="P36" s="634" t="e">
        <f ca="1">MAX(P34+R34+S34+V34+W34,0)</f>
        <v>#VALUE!</v>
      </c>
      <c r="Q36" s="617" t="e">
        <f t="shared" ref="Q36" ca="1" si="82">MAX(Q34+R34+IF((P34+R34+S34)&gt;0,MAX(V34/(P34+R34+S34)*(Q34+R34),V34),0),0)</f>
        <v>#VALUE!</v>
      </c>
      <c r="R36" s="617" t="e">
        <f ca="1">IF(SC_ZX_CodeA="X", 0, MAX(INDEX(SC_ZX_IncomeSurplus,ZXIDX2)+INDEX(SC_ZX_Debt,ZXIDX2),0))</f>
        <v>#VALUE!</v>
      </c>
      <c r="S36" s="617" t="e">
        <f ca="1">IF(SC_ZX_CodeA="X", 0, INDEX(SC_EX_RolloverCore,EXIDX))</f>
        <v>#VALUE!</v>
      </c>
      <c r="T36" s="617" t="e">
        <f ca="1">P36+R36+S36</f>
        <v>#VALUE!</v>
      </c>
      <c r="U36" s="642" t="e">
        <f ca="1">IF(SC_ZX_BalanceAccessibleA&gt;0, T36/SC_ZX_BalanceAccessibleA, 0)</f>
        <v>#VALUE!</v>
      </c>
      <c r="V36" s="617" t="e">
        <f ca="1">-IF(SC_ZX_CodeA="X",0,MIN(U36*MAX(INDEX(SC_ZX_Drawdown,ZXIDX2),0),T36))</f>
        <v>#VALUE!</v>
      </c>
      <c r="W36" s="618" t="e">
        <f ca="1">(P36+R36+S36+V36)*$O36</f>
        <v>#VALUE!</v>
      </c>
      <c r="X36" s="75" t="e">
        <f t="shared" ca="1" si="19"/>
        <v>#REF!</v>
      </c>
      <c r="Y36" s="70" t="e">
        <f t="shared" ca="1" si="20"/>
        <v>#REF!</v>
      </c>
      <c r="Z36" s="70" t="e">
        <f t="shared" ca="1" si="21"/>
        <v>#REF!</v>
      </c>
      <c r="AA36" s="70" t="e">
        <f t="shared" ca="1" si="22"/>
        <v>#REF!</v>
      </c>
      <c r="AB36" s="67" t="e">
        <f t="shared" ca="1" si="65"/>
        <v>#REF!</v>
      </c>
      <c r="AC36" s="70" t="e">
        <f ca="1">-IF(INDEX(SC_ZX_CodeA,ZXIDX1)="X", 0, MIN(AB36*MAX(INDEX(SC_ZX_Drawdown,ZXIDX2),0),AA36))</f>
        <v>#REF!</v>
      </c>
      <c r="AD36" s="109" t="e">
        <f t="shared" ca="1" si="24"/>
        <v>#REF!</v>
      </c>
      <c r="AE36" s="75" t="e">
        <f t="shared" ca="1" si="25"/>
        <v>#REF!</v>
      </c>
      <c r="AF36" s="70" t="e">
        <f t="shared" ca="1" si="26"/>
        <v>#REF!</v>
      </c>
      <c r="AG36" s="70" t="e">
        <f t="shared" ca="1" si="27"/>
        <v>#REF!</v>
      </c>
      <c r="AH36" s="70" t="e">
        <f t="shared" ca="1" si="28"/>
        <v>#REF!</v>
      </c>
      <c r="AI36" s="67" t="e">
        <f t="shared" ca="1" si="66"/>
        <v>#REF!</v>
      </c>
      <c r="AJ36" s="70" t="e">
        <f ca="1">-IF(INDEX(SC_ZX_CodeA,ZXIDX1)="X", 0, MIN(AI36*MAX(INDEX(SC_ZX_Drawdown,ZXIDX2),0),AH36))</f>
        <v>#REF!</v>
      </c>
      <c r="AK36" s="109" t="e">
        <f t="shared" ca="1" si="30"/>
        <v>#REF!</v>
      </c>
      <c r="AL36" s="75" t="e">
        <f t="shared" ca="1" si="31"/>
        <v>#REF!</v>
      </c>
      <c r="AM36" s="70" t="e">
        <f t="shared" ca="1" si="32"/>
        <v>#REF!</v>
      </c>
      <c r="AN36" s="70" t="e">
        <f t="shared" ca="1" si="33"/>
        <v>#REF!</v>
      </c>
      <c r="AO36" s="70" t="e">
        <f t="shared" ca="1" si="34"/>
        <v>#REF!</v>
      </c>
      <c r="AP36" s="67" t="e">
        <f t="shared" ca="1" si="67"/>
        <v>#REF!</v>
      </c>
      <c r="AQ36" s="70" t="e">
        <f ca="1">-IF(INDEX(SC_ZX_CodeA,ZXIDX1)="X", 0, MIN(AP36*MAX(INDEX(SC_ZX_Drawdown,ZXIDX2),0),AO36))</f>
        <v>#REF!</v>
      </c>
      <c r="AR36" s="109" t="e">
        <f t="shared" ca="1" si="36"/>
        <v>#REF!</v>
      </c>
      <c r="AS36" s="75" t="e">
        <f t="shared" ca="1" si="37"/>
        <v>#REF!</v>
      </c>
      <c r="AT36" s="70" t="e">
        <f t="shared" ca="1" si="38"/>
        <v>#REF!</v>
      </c>
      <c r="AU36" s="70" t="e">
        <f t="shared" ca="1" si="39"/>
        <v>#REF!</v>
      </c>
      <c r="AV36" s="70" t="e">
        <f t="shared" ca="1" si="40"/>
        <v>#REF!</v>
      </c>
      <c r="AW36" s="67" t="e">
        <f t="shared" ca="1" si="68"/>
        <v>#REF!</v>
      </c>
      <c r="AX36" s="70" t="e">
        <f ca="1">-IF(INDEX(SC_ZX_CodeA,ZXIDX1)="X", 0, MIN(AW36*MAX(INDEX(SC_ZX_Drawdown,ZXIDX2),0),AV36))</f>
        <v>#REF!</v>
      </c>
      <c r="AY36" s="109" t="e">
        <f t="shared" ca="1" si="42"/>
        <v>#REF!</v>
      </c>
      <c r="AZ36" s="75" t="e">
        <f t="shared" ca="1" si="43"/>
        <v>#REF!</v>
      </c>
      <c r="BA36" s="70" t="e">
        <f t="shared" ca="1" si="44"/>
        <v>#REF!</v>
      </c>
      <c r="BB36" s="70" t="e">
        <f t="shared" ca="1" si="45"/>
        <v>#REF!</v>
      </c>
      <c r="BC36" s="70" t="e">
        <f t="shared" ca="1" si="46"/>
        <v>#REF!</v>
      </c>
      <c r="BD36" s="67" t="e">
        <f t="shared" ca="1" si="69"/>
        <v>#REF!</v>
      </c>
      <c r="BE36" s="70" t="e">
        <f ca="1">-IF(INDEX(SC_ZX_CodeA,ZXIDX1)="X", 0, MIN(BD36*MAX(INDEX(SC_ZX_Drawdown,ZXIDX2),0),AZ36))</f>
        <v>#REF!</v>
      </c>
      <c r="BF36" s="109" t="e">
        <f t="shared" ca="1" si="48"/>
        <v>#REF!</v>
      </c>
      <c r="BG36" s="75" t="e">
        <f t="shared" ca="1" si="49"/>
        <v>#REF!</v>
      </c>
      <c r="BH36" s="70" t="e">
        <f t="shared" ca="1" si="50"/>
        <v>#REF!</v>
      </c>
      <c r="BI36" s="70" t="e">
        <f t="shared" ca="1" si="51"/>
        <v>#REF!</v>
      </c>
      <c r="BJ36" s="70" t="e">
        <f t="shared" ca="1" si="52"/>
        <v>#REF!</v>
      </c>
      <c r="BK36" s="67" t="e">
        <f t="shared" ca="1" si="70"/>
        <v>#REF!</v>
      </c>
      <c r="BL36" s="70" t="e">
        <f ca="1">-IF(INDEX(SC_ZX_CodeA,ZXIDX1)="X", 0, MIN(BK36*MAX(INDEX(SC_ZX_Drawdown,ZXIDX2),0),BJ36))</f>
        <v>#REF!</v>
      </c>
      <c r="BM36" s="70" t="e">
        <f t="shared" ca="1" si="54"/>
        <v>#REF!</v>
      </c>
      <c r="BN36" s="111" t="e">
        <f t="shared" ca="1" si="55"/>
        <v>#REF!</v>
      </c>
      <c r="BO36" s="112" t="e">
        <f t="shared" ca="1" si="56"/>
        <v>#REF!</v>
      </c>
      <c r="BP36" s="112" t="e">
        <f ca="1">-($V36-IF(($P36+$R36+$S36)&gt;0,MAX($V36/($P36+$R36+$S36)*($Q36+$R36),$V36),0))*LT_InvestmentQDI</f>
        <v>#VALUE!</v>
      </c>
      <c r="BQ36" s="112" t="e">
        <f ca="1">-($V36-IF(($P36+$R36+$S36)&gt;0,MAX($V36/($P36+$R36+$S36)*($Q36+$R36),$V36),0))*(1-LT_InvestmentQDI)</f>
        <v>#VALUE!</v>
      </c>
      <c r="BR36" s="112" t="e">
        <f t="shared" ca="1" si="57"/>
        <v>#VALUE!</v>
      </c>
      <c r="BS36" s="112" t="e">
        <f t="shared" ca="1" si="58"/>
        <v>#VALUE!</v>
      </c>
      <c r="BT36" s="634" t="e">
        <f ca="1">SUMPRODUCT($BN36:$BN37+$BO36:$BO37, --($E36:$E37&lt;&gt;0))</f>
        <v>#REF!</v>
      </c>
      <c r="BU36" s="617" t="e">
        <f ca="1">SUMPRODUCT($BR36:$BR37+$BS36:$BS37, --($E36:$E37&lt;&gt;0))</f>
        <v>#VALUE!</v>
      </c>
      <c r="BV36" s="617" t="e">
        <f ca="1">$T36+SUMPRODUCT($AA36:$AA37+$AH36:$AH37+$AO36:$AO37+$AV36:$AV37+$BC36:$BC37+$BJ36:$BJ37, --($E36:$E37&lt;&gt;0))</f>
        <v>#VALUE!</v>
      </c>
      <c r="BW36" s="617" t="e">
        <f ca="1">MAX($P36-$Q36,0)+SUMPRODUCT($X36:$X37+$AL36:$AL37+$AZ36:$AZ37, --($E36:$E37&lt;&gt;0))</f>
        <v>#VALUE!</v>
      </c>
      <c r="BX36" s="618" t="e">
        <f ca="1">MIN($P36,$Q36)+SUMPRODUCT($AE36:$AE37+$AS36:$AS37+$BG36:$BG37, --($E36:$E37&lt;&gt;0))</f>
        <v>#VALUE!</v>
      </c>
      <c r="CO36" s="8"/>
    </row>
    <row r="37" spans="2:93" x14ac:dyDescent="0.25">
      <c r="B37" s="86">
        <f t="shared" ca="1" si="59"/>
        <v>2035</v>
      </c>
      <c r="C37" s="80" t="s">
        <v>741</v>
      </c>
      <c r="D37" s="147" t="str">
        <f t="shared" si="7"/>
        <v/>
      </c>
      <c r="E37" s="81">
        <f t="shared" si="8"/>
        <v>0</v>
      </c>
      <c r="F37" s="81">
        <f t="shared" si="18"/>
        <v>2</v>
      </c>
      <c r="G37" s="82">
        <f t="shared" si="9"/>
        <v>-1</v>
      </c>
      <c r="H37" s="82">
        <f t="shared" si="10"/>
        <v>0</v>
      </c>
      <c r="I37" s="81" t="b">
        <f t="shared" si="11"/>
        <v>0</v>
      </c>
      <c r="J37" s="81"/>
      <c r="K37" s="81"/>
      <c r="L37" s="81"/>
      <c r="M37" s="81"/>
      <c r="N37" s="633"/>
      <c r="O37" s="243" t="e">
        <f ca="1">LT_InvestmentStocks*INDEX(SP_EA_ARStocks,EAIDX)+LT_InvestmentBonds*INDEX(SC_EA_ARBonds,EAIDX)</f>
        <v>#REF!</v>
      </c>
      <c r="P37" s="634"/>
      <c r="Q37" s="617"/>
      <c r="R37" s="617"/>
      <c r="S37" s="617"/>
      <c r="T37" s="617"/>
      <c r="U37" s="643"/>
      <c r="V37" s="617"/>
      <c r="W37" s="639"/>
      <c r="X37" s="106" t="e">
        <f t="shared" ca="1" si="19"/>
        <v>#REF!</v>
      </c>
      <c r="Y37" s="107" t="e">
        <f t="shared" ca="1" si="20"/>
        <v>#REF!</v>
      </c>
      <c r="Z37" s="107" t="e">
        <f t="shared" ca="1" si="21"/>
        <v>#REF!</v>
      </c>
      <c r="AA37" s="107" t="e">
        <f t="shared" ca="1" si="22"/>
        <v>#REF!</v>
      </c>
      <c r="AB37" s="91" t="e">
        <f t="shared" ca="1" si="65"/>
        <v>#REF!</v>
      </c>
      <c r="AC37" s="107" t="e">
        <f ca="1">-IF(INDEX(SC_ZX_CodeA,ZXIDX1)="X", 0, MIN(AB37*MAX(INDEX(SC_ZX_Drawdown,ZXIDX2),0),AA37))</f>
        <v>#REF!</v>
      </c>
      <c r="AD37" s="110" t="e">
        <f t="shared" ca="1" si="24"/>
        <v>#REF!</v>
      </c>
      <c r="AE37" s="106" t="e">
        <f t="shared" ca="1" si="25"/>
        <v>#REF!</v>
      </c>
      <c r="AF37" s="107" t="e">
        <f t="shared" ca="1" si="26"/>
        <v>#REF!</v>
      </c>
      <c r="AG37" s="107" t="e">
        <f t="shared" ca="1" si="27"/>
        <v>#REF!</v>
      </c>
      <c r="AH37" s="107" t="e">
        <f t="shared" ca="1" si="28"/>
        <v>#REF!</v>
      </c>
      <c r="AI37" s="91" t="e">
        <f t="shared" ca="1" si="66"/>
        <v>#REF!</v>
      </c>
      <c r="AJ37" s="107" t="e">
        <f ca="1">-IF(INDEX(SC_ZX_CodeA,ZXIDX1)="X", 0, MIN(AI37*MAX(INDEX(SC_ZX_Drawdown,ZXIDX2),0),AH37))</f>
        <v>#REF!</v>
      </c>
      <c r="AK37" s="110" t="e">
        <f t="shared" ca="1" si="30"/>
        <v>#REF!</v>
      </c>
      <c r="AL37" s="106" t="e">
        <f t="shared" ca="1" si="31"/>
        <v>#REF!</v>
      </c>
      <c r="AM37" s="107" t="e">
        <f t="shared" ca="1" si="32"/>
        <v>#REF!</v>
      </c>
      <c r="AN37" s="107" t="e">
        <f t="shared" ca="1" si="33"/>
        <v>#REF!</v>
      </c>
      <c r="AO37" s="107" t="e">
        <f t="shared" ca="1" si="34"/>
        <v>#REF!</v>
      </c>
      <c r="AP37" s="91" t="e">
        <f t="shared" ca="1" si="67"/>
        <v>#REF!</v>
      </c>
      <c r="AQ37" s="107" t="e">
        <f ca="1">-IF(INDEX(SC_ZX_CodeA,ZXIDX1)="X", 0, MIN(AP37*MAX(INDEX(SC_ZX_Drawdown,ZXIDX2),0),AO37))</f>
        <v>#REF!</v>
      </c>
      <c r="AR37" s="110" t="e">
        <f t="shared" ca="1" si="36"/>
        <v>#REF!</v>
      </c>
      <c r="AS37" s="106" t="e">
        <f t="shared" ca="1" si="37"/>
        <v>#REF!</v>
      </c>
      <c r="AT37" s="107" t="e">
        <f t="shared" ca="1" si="38"/>
        <v>#REF!</v>
      </c>
      <c r="AU37" s="107" t="e">
        <f t="shared" ca="1" si="39"/>
        <v>#REF!</v>
      </c>
      <c r="AV37" s="107" t="e">
        <f t="shared" ca="1" si="40"/>
        <v>#REF!</v>
      </c>
      <c r="AW37" s="91" t="e">
        <f t="shared" ca="1" si="68"/>
        <v>#REF!</v>
      </c>
      <c r="AX37" s="107" t="e">
        <f ca="1">-IF(INDEX(SC_ZX_CodeA,ZXIDX1)="X", 0, MIN(AW37*MAX(INDEX(SC_ZX_Drawdown,ZXIDX2),0),AV37))</f>
        <v>#REF!</v>
      </c>
      <c r="AY37" s="110" t="e">
        <f t="shared" ca="1" si="42"/>
        <v>#REF!</v>
      </c>
      <c r="AZ37" s="106" t="e">
        <f t="shared" ca="1" si="43"/>
        <v>#REF!</v>
      </c>
      <c r="BA37" s="107" t="e">
        <f t="shared" ca="1" si="44"/>
        <v>#REF!</v>
      </c>
      <c r="BB37" s="107" t="e">
        <f t="shared" ca="1" si="45"/>
        <v>#REF!</v>
      </c>
      <c r="BC37" s="107" t="e">
        <f t="shared" ca="1" si="46"/>
        <v>#REF!</v>
      </c>
      <c r="BD37" s="91" t="e">
        <f t="shared" ca="1" si="69"/>
        <v>#REF!</v>
      </c>
      <c r="BE37" s="107" t="e">
        <f ca="1">-IF(INDEX(SC_ZX_CodeA,ZXIDX1)="X", 0, MIN(BD37*MAX(INDEX(SC_ZX_Drawdown,ZXIDX2),0),AZ37))</f>
        <v>#REF!</v>
      </c>
      <c r="BF37" s="110" t="e">
        <f t="shared" ca="1" si="48"/>
        <v>#REF!</v>
      </c>
      <c r="BG37" s="106" t="e">
        <f t="shared" ca="1" si="49"/>
        <v>#REF!</v>
      </c>
      <c r="BH37" s="107" t="e">
        <f t="shared" ca="1" si="50"/>
        <v>#REF!</v>
      </c>
      <c r="BI37" s="107" t="e">
        <f t="shared" ca="1" si="51"/>
        <v>#REF!</v>
      </c>
      <c r="BJ37" s="107" t="e">
        <f t="shared" ca="1" si="52"/>
        <v>#REF!</v>
      </c>
      <c r="BK37" s="91" t="e">
        <f t="shared" ca="1" si="70"/>
        <v>#REF!</v>
      </c>
      <c r="BL37" s="107" t="e">
        <f ca="1">-IF(INDEX(SC_ZX_CodeA,ZXIDX1)="X", 0, MIN(BK37*MAX(INDEX(SC_ZX_Drawdown,ZXIDX2),0),BJ37))</f>
        <v>#REF!</v>
      </c>
      <c r="BM37" s="107" t="e">
        <f t="shared" ca="1" si="54"/>
        <v>#REF!</v>
      </c>
      <c r="BN37" s="113" t="e">
        <f t="shared" ca="1" si="55"/>
        <v>#REF!</v>
      </c>
      <c r="BO37" s="114" t="e">
        <f t="shared" ca="1" si="56"/>
        <v>#REF!</v>
      </c>
      <c r="BP37" s="114" t="e">
        <f ca="1">-($V37-IF(($P37+$R37+$S37)&gt;0,MAX($V37/($P37+$R37+$S37)*($Q37+$R37),$V37),0))*LT_InvestmentQDI</f>
        <v>#REF!</v>
      </c>
      <c r="BQ37" s="114" t="e">
        <f ca="1">-($V37-IF(($P37+$R37+$S37)&gt;0,MAX($V37/($P37+$R37+$S37)*($Q37+$R37),$V37),0))*(1-LT_InvestmentQDI)</f>
        <v>#REF!</v>
      </c>
      <c r="BR37" s="114" t="e">
        <f t="shared" ca="1" si="57"/>
        <v>#REF!</v>
      </c>
      <c r="BS37" s="114" t="e">
        <f t="shared" ca="1" si="58"/>
        <v>#REF!</v>
      </c>
      <c r="BT37" s="649"/>
      <c r="BU37" s="637"/>
      <c r="BV37" s="637"/>
      <c r="BW37" s="637"/>
      <c r="BX37" s="639"/>
      <c r="CO37" s="8"/>
    </row>
    <row r="38" spans="2:93" x14ac:dyDescent="0.25">
      <c r="B38" s="65">
        <f ca="1">B36+1</f>
        <v>2036</v>
      </c>
      <c r="C38" s="76" t="s">
        <v>741</v>
      </c>
      <c r="D38" s="146" t="str">
        <f t="shared" si="7"/>
        <v/>
      </c>
      <c r="E38" s="77">
        <f t="shared" si="8"/>
        <v>0</v>
      </c>
      <c r="F38" s="77">
        <f t="shared" si="18"/>
        <v>1</v>
      </c>
      <c r="G38" s="76">
        <f t="shared" si="9"/>
        <v>1</v>
      </c>
      <c r="H38" s="76">
        <f t="shared" si="10"/>
        <v>0</v>
      </c>
      <c r="I38" s="77" t="b">
        <f t="shared" si="11"/>
        <v>0</v>
      </c>
      <c r="J38" s="77"/>
      <c r="K38" s="77"/>
      <c r="L38" s="77"/>
      <c r="M38" s="77"/>
      <c r="N38" s="632">
        <f ca="1">YEAR(SP_TargetRD)-$B38</f>
        <v>-13</v>
      </c>
      <c r="O38" s="243" t="e">
        <f ca="1">LT_InvestmentStocks*INDEX(SP_EA_ARStocks,EAIDX)+LT_InvestmentBonds*INDEX(SC_EA_ARBonds,EAIDX)</f>
        <v>#REF!</v>
      </c>
      <c r="P38" s="634" t="e">
        <f ca="1">MAX(P36+R36+S36+V36+W36,0)</f>
        <v>#VALUE!</v>
      </c>
      <c r="Q38" s="617" t="e">
        <f t="shared" ref="Q38" ca="1" si="83">MAX(Q36+R36+IF((P36+R36+S36)&gt;0,MAX(V36/(P36+R36+S36)*(Q36+R36),V36),0),0)</f>
        <v>#VALUE!</v>
      </c>
      <c r="R38" s="617" t="e">
        <f ca="1">IF(SC_ZX_CodeA="X", 0, MAX(INDEX(SC_ZX_IncomeSurplus,ZXIDX2)+INDEX(SC_ZX_Debt,ZXIDX2),0))</f>
        <v>#VALUE!</v>
      </c>
      <c r="S38" s="617" t="e">
        <f ca="1">IF(SC_ZX_CodeA="X", 0, INDEX(SC_EX_RolloverCore,EXIDX))</f>
        <v>#VALUE!</v>
      </c>
      <c r="T38" s="617" t="e">
        <f ca="1">P38+R38+S38</f>
        <v>#VALUE!</v>
      </c>
      <c r="U38" s="642" t="e">
        <f ca="1">IF(SC_ZX_BalanceAccessibleA&gt;0, T38/SC_ZX_BalanceAccessibleA, 0)</f>
        <v>#VALUE!</v>
      </c>
      <c r="V38" s="617" t="e">
        <f ca="1">-IF(SC_ZX_CodeA="X",0,MIN(U38*MAX(INDEX(SC_ZX_Drawdown,ZXIDX2),0),T38))</f>
        <v>#VALUE!</v>
      </c>
      <c r="W38" s="618" t="e">
        <f ca="1">(P38+R38+S38+V38)*$O38</f>
        <v>#VALUE!</v>
      </c>
      <c r="X38" s="75" t="e">
        <f t="shared" ca="1" si="19"/>
        <v>#REF!</v>
      </c>
      <c r="Y38" s="70" t="e">
        <f t="shared" ca="1" si="20"/>
        <v>#REF!</v>
      </c>
      <c r="Z38" s="70" t="e">
        <f t="shared" ca="1" si="21"/>
        <v>#REF!</v>
      </c>
      <c r="AA38" s="70" t="e">
        <f t="shared" ca="1" si="22"/>
        <v>#REF!</v>
      </c>
      <c r="AB38" s="67" t="e">
        <f t="shared" ca="1" si="65"/>
        <v>#REF!</v>
      </c>
      <c r="AC38" s="70" t="e">
        <f ca="1">-IF(INDEX(SC_ZX_CodeA,ZXIDX1)="X", 0, MIN(AB38*MAX(INDEX(SC_ZX_Drawdown,ZXIDX2),0),AA38))</f>
        <v>#REF!</v>
      </c>
      <c r="AD38" s="109" t="e">
        <f t="shared" ca="1" si="24"/>
        <v>#REF!</v>
      </c>
      <c r="AE38" s="75" t="e">
        <f t="shared" ca="1" si="25"/>
        <v>#REF!</v>
      </c>
      <c r="AF38" s="70" t="e">
        <f t="shared" ca="1" si="26"/>
        <v>#REF!</v>
      </c>
      <c r="AG38" s="70" t="e">
        <f t="shared" ca="1" si="27"/>
        <v>#REF!</v>
      </c>
      <c r="AH38" s="70" t="e">
        <f t="shared" ca="1" si="28"/>
        <v>#REF!</v>
      </c>
      <c r="AI38" s="67" t="e">
        <f t="shared" ca="1" si="66"/>
        <v>#REF!</v>
      </c>
      <c r="AJ38" s="70" t="e">
        <f ca="1">-IF(INDEX(SC_ZX_CodeA,ZXIDX1)="X", 0, MIN(AI38*MAX(INDEX(SC_ZX_Drawdown,ZXIDX2),0),AH38))</f>
        <v>#REF!</v>
      </c>
      <c r="AK38" s="109" t="e">
        <f t="shared" ca="1" si="30"/>
        <v>#REF!</v>
      </c>
      <c r="AL38" s="75" t="e">
        <f t="shared" ca="1" si="31"/>
        <v>#REF!</v>
      </c>
      <c r="AM38" s="70" t="e">
        <f t="shared" ca="1" si="32"/>
        <v>#REF!</v>
      </c>
      <c r="AN38" s="70" t="e">
        <f t="shared" ca="1" si="33"/>
        <v>#REF!</v>
      </c>
      <c r="AO38" s="70" t="e">
        <f t="shared" ca="1" si="34"/>
        <v>#REF!</v>
      </c>
      <c r="AP38" s="67" t="e">
        <f t="shared" ca="1" si="67"/>
        <v>#REF!</v>
      </c>
      <c r="AQ38" s="70" t="e">
        <f ca="1">-IF(INDEX(SC_ZX_CodeA,ZXIDX1)="X", 0, MIN(AP38*MAX(INDEX(SC_ZX_Drawdown,ZXIDX2),0),AO38))</f>
        <v>#REF!</v>
      </c>
      <c r="AR38" s="109" t="e">
        <f t="shared" ca="1" si="36"/>
        <v>#REF!</v>
      </c>
      <c r="AS38" s="75" t="e">
        <f t="shared" ca="1" si="37"/>
        <v>#REF!</v>
      </c>
      <c r="AT38" s="70" t="e">
        <f t="shared" ca="1" si="38"/>
        <v>#REF!</v>
      </c>
      <c r="AU38" s="70" t="e">
        <f t="shared" ca="1" si="39"/>
        <v>#REF!</v>
      </c>
      <c r="AV38" s="70" t="e">
        <f t="shared" ca="1" si="40"/>
        <v>#REF!</v>
      </c>
      <c r="AW38" s="67" t="e">
        <f t="shared" ca="1" si="68"/>
        <v>#REF!</v>
      </c>
      <c r="AX38" s="70" t="e">
        <f ca="1">-IF(INDEX(SC_ZX_CodeA,ZXIDX1)="X", 0, MIN(AW38*MAX(INDEX(SC_ZX_Drawdown,ZXIDX2),0),AV38))</f>
        <v>#REF!</v>
      </c>
      <c r="AY38" s="109" t="e">
        <f t="shared" ca="1" si="42"/>
        <v>#REF!</v>
      </c>
      <c r="AZ38" s="75" t="e">
        <f t="shared" ca="1" si="43"/>
        <v>#REF!</v>
      </c>
      <c r="BA38" s="70" t="e">
        <f t="shared" ca="1" si="44"/>
        <v>#REF!</v>
      </c>
      <c r="BB38" s="70" t="e">
        <f t="shared" ca="1" si="45"/>
        <v>#REF!</v>
      </c>
      <c r="BC38" s="70" t="e">
        <f t="shared" ca="1" si="46"/>
        <v>#REF!</v>
      </c>
      <c r="BD38" s="67" t="e">
        <f t="shared" ca="1" si="69"/>
        <v>#REF!</v>
      </c>
      <c r="BE38" s="70" t="e">
        <f ca="1">-IF(INDEX(SC_ZX_CodeA,ZXIDX1)="X", 0, MIN(BD38*MAX(INDEX(SC_ZX_Drawdown,ZXIDX2),0),AZ38))</f>
        <v>#REF!</v>
      </c>
      <c r="BF38" s="109" t="e">
        <f t="shared" ca="1" si="48"/>
        <v>#REF!</v>
      </c>
      <c r="BG38" s="75" t="e">
        <f t="shared" ca="1" si="49"/>
        <v>#REF!</v>
      </c>
      <c r="BH38" s="70" t="e">
        <f t="shared" ca="1" si="50"/>
        <v>#REF!</v>
      </c>
      <c r="BI38" s="70" t="e">
        <f t="shared" ca="1" si="51"/>
        <v>#REF!</v>
      </c>
      <c r="BJ38" s="70" t="e">
        <f t="shared" ca="1" si="52"/>
        <v>#REF!</v>
      </c>
      <c r="BK38" s="67" t="e">
        <f t="shared" ca="1" si="70"/>
        <v>#REF!</v>
      </c>
      <c r="BL38" s="70" t="e">
        <f ca="1">-IF(INDEX(SC_ZX_CodeA,ZXIDX1)="X", 0, MIN(BK38*MAX(INDEX(SC_ZX_Drawdown,ZXIDX2),0),BJ38))</f>
        <v>#REF!</v>
      </c>
      <c r="BM38" s="70" t="e">
        <f t="shared" ca="1" si="54"/>
        <v>#REF!</v>
      </c>
      <c r="BN38" s="111" t="e">
        <f t="shared" ca="1" si="55"/>
        <v>#REF!</v>
      </c>
      <c r="BO38" s="112" t="e">
        <f t="shared" ca="1" si="56"/>
        <v>#REF!</v>
      </c>
      <c r="BP38" s="112" t="e">
        <f ca="1">-($V38-IF(($P38+$R38+$S38)&gt;0,MAX($V38/($P38+$R38+$S38)*($Q38+$R38),$V38),0))*LT_InvestmentQDI</f>
        <v>#VALUE!</v>
      </c>
      <c r="BQ38" s="112" t="e">
        <f ca="1">-($V38-IF(($P38+$R38+$S38)&gt;0,MAX($V38/($P38+$R38+$S38)*($Q38+$R38),$V38),0))*(1-LT_InvestmentQDI)</f>
        <v>#VALUE!</v>
      </c>
      <c r="BR38" s="112" t="e">
        <f t="shared" ca="1" si="57"/>
        <v>#VALUE!</v>
      </c>
      <c r="BS38" s="112" t="e">
        <f t="shared" ca="1" si="58"/>
        <v>#VALUE!</v>
      </c>
      <c r="BT38" s="634" t="e">
        <f ca="1">SUMPRODUCT($BN38:$BN39+$BO38:$BO39, --($E38:$E39&lt;&gt;0))</f>
        <v>#REF!</v>
      </c>
      <c r="BU38" s="617" t="e">
        <f ca="1">SUMPRODUCT($BR38:$BR39+$BS38:$BS39, --($E38:$E39&lt;&gt;0))</f>
        <v>#VALUE!</v>
      </c>
      <c r="BV38" s="617" t="e">
        <f ca="1">$T38+SUMPRODUCT($AA38:$AA39+$AH38:$AH39+$AO38:$AO39+$AV38:$AV39+$BC38:$BC39+$BJ38:$BJ39, --($E38:$E39&lt;&gt;0))</f>
        <v>#VALUE!</v>
      </c>
      <c r="BW38" s="617" t="e">
        <f ca="1">MAX($P38-$Q38,0)+SUMPRODUCT($X38:$X39+$AL38:$AL39+$AZ38:$AZ39, --($E38:$E39&lt;&gt;0))</f>
        <v>#VALUE!</v>
      </c>
      <c r="BX38" s="618" t="e">
        <f ca="1">MIN($P38,$Q38)+SUMPRODUCT($AE38:$AE39+$AS38:$AS39+$BG38:$BG39, --($E38:$E39&lt;&gt;0))</f>
        <v>#VALUE!</v>
      </c>
      <c r="CO38" s="8"/>
    </row>
    <row r="39" spans="2:93" x14ac:dyDescent="0.25">
      <c r="B39" s="86">
        <f t="shared" ca="1" si="59"/>
        <v>2036</v>
      </c>
      <c r="C39" s="80" t="s">
        <v>741</v>
      </c>
      <c r="D39" s="147" t="str">
        <f t="shared" si="7"/>
        <v/>
      </c>
      <c r="E39" s="81">
        <f t="shared" si="8"/>
        <v>0</v>
      </c>
      <c r="F39" s="81">
        <f t="shared" si="18"/>
        <v>2</v>
      </c>
      <c r="G39" s="82">
        <f t="shared" si="9"/>
        <v>-1</v>
      </c>
      <c r="H39" s="82">
        <f t="shared" si="10"/>
        <v>0</v>
      </c>
      <c r="I39" s="81" t="b">
        <f t="shared" si="11"/>
        <v>0</v>
      </c>
      <c r="J39" s="81"/>
      <c r="K39" s="81"/>
      <c r="L39" s="81"/>
      <c r="M39" s="81"/>
      <c r="N39" s="633"/>
      <c r="O39" s="243" t="e">
        <f ca="1">LT_InvestmentStocks*INDEX(SP_EA_ARStocks,EAIDX)+LT_InvestmentBonds*INDEX(SC_EA_ARBonds,EAIDX)</f>
        <v>#REF!</v>
      </c>
      <c r="P39" s="634"/>
      <c r="Q39" s="617"/>
      <c r="R39" s="617"/>
      <c r="S39" s="617"/>
      <c r="T39" s="617"/>
      <c r="U39" s="643"/>
      <c r="V39" s="617"/>
      <c r="W39" s="639"/>
      <c r="X39" s="106" t="e">
        <f t="shared" ca="1" si="19"/>
        <v>#REF!</v>
      </c>
      <c r="Y39" s="107" t="e">
        <f t="shared" ca="1" si="20"/>
        <v>#REF!</v>
      </c>
      <c r="Z39" s="107" t="e">
        <f t="shared" ca="1" si="21"/>
        <v>#REF!</v>
      </c>
      <c r="AA39" s="107" t="e">
        <f t="shared" ca="1" si="22"/>
        <v>#REF!</v>
      </c>
      <c r="AB39" s="91" t="e">
        <f t="shared" ca="1" si="65"/>
        <v>#REF!</v>
      </c>
      <c r="AC39" s="107" t="e">
        <f ca="1">-IF(INDEX(SC_ZX_CodeA,ZXIDX1)="X", 0, MIN(AB39*MAX(INDEX(SC_ZX_Drawdown,ZXIDX2),0),AA39))</f>
        <v>#REF!</v>
      </c>
      <c r="AD39" s="110" t="e">
        <f t="shared" ca="1" si="24"/>
        <v>#REF!</v>
      </c>
      <c r="AE39" s="106" t="e">
        <f t="shared" ca="1" si="25"/>
        <v>#REF!</v>
      </c>
      <c r="AF39" s="107" t="e">
        <f t="shared" ca="1" si="26"/>
        <v>#REF!</v>
      </c>
      <c r="AG39" s="107" t="e">
        <f t="shared" ca="1" si="27"/>
        <v>#REF!</v>
      </c>
      <c r="AH39" s="107" t="e">
        <f t="shared" ca="1" si="28"/>
        <v>#REF!</v>
      </c>
      <c r="AI39" s="91" t="e">
        <f t="shared" ca="1" si="66"/>
        <v>#REF!</v>
      </c>
      <c r="AJ39" s="107" t="e">
        <f ca="1">-IF(INDEX(SC_ZX_CodeA,ZXIDX1)="X", 0, MIN(AI39*MAX(INDEX(SC_ZX_Drawdown,ZXIDX2),0),AH39))</f>
        <v>#REF!</v>
      </c>
      <c r="AK39" s="110" t="e">
        <f t="shared" ca="1" si="30"/>
        <v>#REF!</v>
      </c>
      <c r="AL39" s="106" t="e">
        <f t="shared" ca="1" si="31"/>
        <v>#REF!</v>
      </c>
      <c r="AM39" s="107" t="e">
        <f t="shared" ca="1" si="32"/>
        <v>#REF!</v>
      </c>
      <c r="AN39" s="107" t="e">
        <f t="shared" ca="1" si="33"/>
        <v>#REF!</v>
      </c>
      <c r="AO39" s="107" t="e">
        <f t="shared" ca="1" si="34"/>
        <v>#REF!</v>
      </c>
      <c r="AP39" s="91" t="e">
        <f t="shared" ca="1" si="67"/>
        <v>#REF!</v>
      </c>
      <c r="AQ39" s="107" t="e">
        <f ca="1">-IF(INDEX(SC_ZX_CodeA,ZXIDX1)="X", 0, MIN(AP39*MAX(INDEX(SC_ZX_Drawdown,ZXIDX2),0),AO39))</f>
        <v>#REF!</v>
      </c>
      <c r="AR39" s="110" t="e">
        <f t="shared" ca="1" si="36"/>
        <v>#REF!</v>
      </c>
      <c r="AS39" s="106" t="e">
        <f t="shared" ca="1" si="37"/>
        <v>#REF!</v>
      </c>
      <c r="AT39" s="107" t="e">
        <f t="shared" ca="1" si="38"/>
        <v>#REF!</v>
      </c>
      <c r="AU39" s="107" t="e">
        <f t="shared" ca="1" si="39"/>
        <v>#REF!</v>
      </c>
      <c r="AV39" s="107" t="e">
        <f t="shared" ca="1" si="40"/>
        <v>#REF!</v>
      </c>
      <c r="AW39" s="91" t="e">
        <f t="shared" ca="1" si="68"/>
        <v>#REF!</v>
      </c>
      <c r="AX39" s="107" t="e">
        <f ca="1">-IF(INDEX(SC_ZX_CodeA,ZXIDX1)="X", 0, MIN(AW39*MAX(INDEX(SC_ZX_Drawdown,ZXIDX2),0),AV39))</f>
        <v>#REF!</v>
      </c>
      <c r="AY39" s="110" t="e">
        <f t="shared" ca="1" si="42"/>
        <v>#REF!</v>
      </c>
      <c r="AZ39" s="106" t="e">
        <f t="shared" ca="1" si="43"/>
        <v>#REF!</v>
      </c>
      <c r="BA39" s="107" t="e">
        <f t="shared" ca="1" si="44"/>
        <v>#REF!</v>
      </c>
      <c r="BB39" s="107" t="e">
        <f t="shared" ca="1" si="45"/>
        <v>#REF!</v>
      </c>
      <c r="BC39" s="107" t="e">
        <f t="shared" ca="1" si="46"/>
        <v>#REF!</v>
      </c>
      <c r="BD39" s="91" t="e">
        <f t="shared" ca="1" si="69"/>
        <v>#REF!</v>
      </c>
      <c r="BE39" s="107" t="e">
        <f ca="1">-IF(INDEX(SC_ZX_CodeA,ZXIDX1)="X", 0, MIN(BD39*MAX(INDEX(SC_ZX_Drawdown,ZXIDX2),0),AZ39))</f>
        <v>#REF!</v>
      </c>
      <c r="BF39" s="110" t="e">
        <f t="shared" ca="1" si="48"/>
        <v>#REF!</v>
      </c>
      <c r="BG39" s="106" t="e">
        <f t="shared" ca="1" si="49"/>
        <v>#REF!</v>
      </c>
      <c r="BH39" s="107" t="e">
        <f t="shared" ca="1" si="50"/>
        <v>#REF!</v>
      </c>
      <c r="BI39" s="107" t="e">
        <f t="shared" ca="1" si="51"/>
        <v>#REF!</v>
      </c>
      <c r="BJ39" s="107" t="e">
        <f t="shared" ca="1" si="52"/>
        <v>#REF!</v>
      </c>
      <c r="BK39" s="91" t="e">
        <f t="shared" ca="1" si="70"/>
        <v>#REF!</v>
      </c>
      <c r="BL39" s="107" t="e">
        <f ca="1">-IF(INDEX(SC_ZX_CodeA,ZXIDX1)="X", 0, MIN(BK39*MAX(INDEX(SC_ZX_Drawdown,ZXIDX2),0),BJ39))</f>
        <v>#REF!</v>
      </c>
      <c r="BM39" s="107" t="e">
        <f t="shared" ca="1" si="54"/>
        <v>#REF!</v>
      </c>
      <c r="BN39" s="113" t="e">
        <f t="shared" ca="1" si="55"/>
        <v>#REF!</v>
      </c>
      <c r="BO39" s="114" t="e">
        <f t="shared" ca="1" si="56"/>
        <v>#REF!</v>
      </c>
      <c r="BP39" s="114" t="e">
        <f ca="1">-($V39-IF(($P39+$R39+$S39)&gt;0,MAX($V39/($P39+$R39+$S39)*($Q39+$R39),$V39),0))*LT_InvestmentQDI</f>
        <v>#REF!</v>
      </c>
      <c r="BQ39" s="114" t="e">
        <f ca="1">-($V39-IF(($P39+$R39+$S39)&gt;0,MAX($V39/($P39+$R39+$S39)*($Q39+$R39),$V39),0))*(1-LT_InvestmentQDI)</f>
        <v>#REF!</v>
      </c>
      <c r="BR39" s="114" t="e">
        <f t="shared" ca="1" si="57"/>
        <v>#REF!</v>
      </c>
      <c r="BS39" s="114" t="e">
        <f t="shared" ca="1" si="58"/>
        <v>#REF!</v>
      </c>
      <c r="BT39" s="649"/>
      <c r="BU39" s="637"/>
      <c r="BV39" s="637"/>
      <c r="BW39" s="637"/>
      <c r="BX39" s="639"/>
      <c r="CO39" s="8"/>
    </row>
    <row r="40" spans="2:93" x14ac:dyDescent="0.25">
      <c r="B40" s="65">
        <f ca="1">B38+1</f>
        <v>2037</v>
      </c>
      <c r="C40" s="76" t="s">
        <v>741</v>
      </c>
      <c r="D40" s="146" t="str">
        <f t="shared" ref="D40:D71" si="84">INDEX(SP_Initials,F40)</f>
        <v/>
      </c>
      <c r="E40" s="77">
        <f t="shared" si="8"/>
        <v>0</v>
      </c>
      <c r="F40" s="77">
        <f t="shared" si="18"/>
        <v>1</v>
      </c>
      <c r="G40" s="76">
        <f t="shared" si="9"/>
        <v>1</v>
      </c>
      <c r="H40" s="76">
        <f t="shared" ref="H40:H71" si="85">IF(INDEX(SC_ShowRetireatee,$F40),IF($B40&lt;YEAR(INDEX(SP_BirthDate,$F40)),0,$B40-YEAR(INDEX(SP_BirthDate,$F40))),0)</f>
        <v>0</v>
      </c>
      <c r="I40" s="77" t="b">
        <f t="shared" ref="I40:I71" si="86">IF(INDEX(SC_ShowRetireatee,$F40),IF($B40&gt;(YEAR(INDEX(SP_BirthDate,$F40))+INDEX(SP_LifeExp,$F40)),0,$H40))</f>
        <v>0</v>
      </c>
      <c r="J40" s="77"/>
      <c r="K40" s="77"/>
      <c r="L40" s="77"/>
      <c r="M40" s="77"/>
      <c r="N40" s="632">
        <f ca="1">YEAR(SP_TargetRD)-$B40</f>
        <v>-14</v>
      </c>
      <c r="O40" s="243" t="e">
        <f ca="1">LT_InvestmentStocks*INDEX(SP_EA_ARStocks,EAIDX)+LT_InvestmentBonds*INDEX(SC_EA_ARBonds,EAIDX)</f>
        <v>#REF!</v>
      </c>
      <c r="P40" s="634" t="e">
        <f ca="1">MAX(P38+R38+S38+V38+W38,0)</f>
        <v>#VALUE!</v>
      </c>
      <c r="Q40" s="617" t="e">
        <f t="shared" ref="Q40" ca="1" si="87">MAX(Q38+R38+IF((P38+R38+S38)&gt;0,MAX(V38/(P38+R38+S38)*(Q38+R38),V38),0),0)</f>
        <v>#VALUE!</v>
      </c>
      <c r="R40" s="617" t="e">
        <f ca="1">IF(SC_ZX_CodeA="X", 0, MAX(INDEX(SC_ZX_IncomeSurplus,ZXIDX2)+INDEX(SC_ZX_Debt,ZXIDX2),0))</f>
        <v>#VALUE!</v>
      </c>
      <c r="S40" s="617" t="e">
        <f ca="1">IF(SC_ZX_CodeA="X", 0, INDEX(SC_EX_RolloverCore,EXIDX))</f>
        <v>#VALUE!</v>
      </c>
      <c r="T40" s="617" t="e">
        <f ca="1">P40+R40+S40</f>
        <v>#VALUE!</v>
      </c>
      <c r="U40" s="642" t="e">
        <f ca="1">IF(SC_ZX_BalanceAccessibleA&gt;0, T40/SC_ZX_BalanceAccessibleA, 0)</f>
        <v>#VALUE!</v>
      </c>
      <c r="V40" s="617" t="e">
        <f ca="1">-IF(SC_ZX_CodeA="X",0,MIN(U40*MAX(INDEX(SC_ZX_Drawdown,ZXIDX2),0),T40))</f>
        <v>#VALUE!</v>
      </c>
      <c r="W40" s="618" t="e">
        <f ca="1">(P40+R40+S40+V40)*$O40</f>
        <v>#VALUE!</v>
      </c>
      <c r="X40" s="75" t="e">
        <f t="shared" ca="1" si="19"/>
        <v>#REF!</v>
      </c>
      <c r="Y40" s="70" t="e">
        <f t="shared" ca="1" si="20"/>
        <v>#REF!</v>
      </c>
      <c r="Z40" s="70" t="e">
        <f t="shared" ca="1" si="21"/>
        <v>#REF!</v>
      </c>
      <c r="AA40" s="70" t="e">
        <f t="shared" ca="1" si="22"/>
        <v>#REF!</v>
      </c>
      <c r="AB40" s="67" t="e">
        <f t="shared" ca="1" si="65"/>
        <v>#REF!</v>
      </c>
      <c r="AC40" s="70" t="e">
        <f ca="1">-IF(INDEX(SC_ZX_CodeA,ZXIDX1)="X", 0, MIN(AB40*MAX(INDEX(SC_ZX_Drawdown,ZXIDX2),0),AA40))</f>
        <v>#REF!</v>
      </c>
      <c r="AD40" s="109" t="e">
        <f t="shared" ca="1" si="24"/>
        <v>#REF!</v>
      </c>
      <c r="AE40" s="75" t="e">
        <f t="shared" ca="1" si="25"/>
        <v>#REF!</v>
      </c>
      <c r="AF40" s="70" t="e">
        <f t="shared" ca="1" si="26"/>
        <v>#REF!</v>
      </c>
      <c r="AG40" s="70" t="e">
        <f t="shared" ca="1" si="27"/>
        <v>#REF!</v>
      </c>
      <c r="AH40" s="70" t="e">
        <f t="shared" ca="1" si="28"/>
        <v>#REF!</v>
      </c>
      <c r="AI40" s="67" t="e">
        <f t="shared" ca="1" si="66"/>
        <v>#REF!</v>
      </c>
      <c r="AJ40" s="70" t="e">
        <f ca="1">-IF(INDEX(SC_ZX_CodeA,ZXIDX1)="X", 0, MIN(AI40*MAX(INDEX(SC_ZX_Drawdown,ZXIDX2),0),AH40))</f>
        <v>#REF!</v>
      </c>
      <c r="AK40" s="109" t="e">
        <f t="shared" ca="1" si="30"/>
        <v>#REF!</v>
      </c>
      <c r="AL40" s="75" t="e">
        <f t="shared" ca="1" si="31"/>
        <v>#REF!</v>
      </c>
      <c r="AM40" s="70" t="e">
        <f t="shared" ca="1" si="32"/>
        <v>#REF!</v>
      </c>
      <c r="AN40" s="70" t="e">
        <f t="shared" ca="1" si="33"/>
        <v>#REF!</v>
      </c>
      <c r="AO40" s="70" t="e">
        <f t="shared" ca="1" si="34"/>
        <v>#REF!</v>
      </c>
      <c r="AP40" s="67" t="e">
        <f t="shared" ca="1" si="67"/>
        <v>#REF!</v>
      </c>
      <c r="AQ40" s="70" t="e">
        <f ca="1">-IF(INDEX(SC_ZX_CodeA,ZXIDX1)="X", 0, MIN(AP40*MAX(INDEX(SC_ZX_Drawdown,ZXIDX2),0),AO40))</f>
        <v>#REF!</v>
      </c>
      <c r="AR40" s="109" t="e">
        <f t="shared" ca="1" si="36"/>
        <v>#REF!</v>
      </c>
      <c r="AS40" s="75" t="e">
        <f t="shared" ca="1" si="37"/>
        <v>#REF!</v>
      </c>
      <c r="AT40" s="70" t="e">
        <f t="shared" ca="1" si="38"/>
        <v>#REF!</v>
      </c>
      <c r="AU40" s="70" t="e">
        <f t="shared" ca="1" si="39"/>
        <v>#REF!</v>
      </c>
      <c r="AV40" s="70" t="e">
        <f t="shared" ca="1" si="40"/>
        <v>#REF!</v>
      </c>
      <c r="AW40" s="67" t="e">
        <f t="shared" ca="1" si="68"/>
        <v>#REF!</v>
      </c>
      <c r="AX40" s="70" t="e">
        <f ca="1">-IF(INDEX(SC_ZX_CodeA,ZXIDX1)="X", 0, MIN(AW40*MAX(INDEX(SC_ZX_Drawdown,ZXIDX2),0),AV40))</f>
        <v>#REF!</v>
      </c>
      <c r="AY40" s="109" t="e">
        <f t="shared" ca="1" si="42"/>
        <v>#REF!</v>
      </c>
      <c r="AZ40" s="75" t="e">
        <f t="shared" ca="1" si="43"/>
        <v>#REF!</v>
      </c>
      <c r="BA40" s="70" t="e">
        <f t="shared" ca="1" si="44"/>
        <v>#REF!</v>
      </c>
      <c r="BB40" s="70" t="e">
        <f t="shared" ca="1" si="45"/>
        <v>#REF!</v>
      </c>
      <c r="BC40" s="70" t="e">
        <f t="shared" ca="1" si="46"/>
        <v>#REF!</v>
      </c>
      <c r="BD40" s="67" t="e">
        <f t="shared" ca="1" si="69"/>
        <v>#REF!</v>
      </c>
      <c r="BE40" s="70" t="e">
        <f ca="1">-IF(INDEX(SC_ZX_CodeA,ZXIDX1)="X", 0, MIN(BD40*MAX(INDEX(SC_ZX_Drawdown,ZXIDX2),0),AZ40))</f>
        <v>#REF!</v>
      </c>
      <c r="BF40" s="109" t="e">
        <f t="shared" ca="1" si="48"/>
        <v>#REF!</v>
      </c>
      <c r="BG40" s="75" t="e">
        <f t="shared" ca="1" si="49"/>
        <v>#REF!</v>
      </c>
      <c r="BH40" s="70" t="e">
        <f t="shared" ca="1" si="50"/>
        <v>#REF!</v>
      </c>
      <c r="BI40" s="70" t="e">
        <f t="shared" ca="1" si="51"/>
        <v>#REF!</v>
      </c>
      <c r="BJ40" s="70" t="e">
        <f t="shared" ca="1" si="52"/>
        <v>#REF!</v>
      </c>
      <c r="BK40" s="67" t="e">
        <f t="shared" ca="1" si="70"/>
        <v>#REF!</v>
      </c>
      <c r="BL40" s="70" t="e">
        <f ca="1">-IF(INDEX(SC_ZX_CodeA,ZXIDX1)="X", 0, MIN(BK40*MAX(INDEX(SC_ZX_Drawdown,ZXIDX2),0),BJ40))</f>
        <v>#REF!</v>
      </c>
      <c r="BM40" s="70" t="e">
        <f t="shared" ca="1" si="54"/>
        <v>#REF!</v>
      </c>
      <c r="BN40" s="111" t="e">
        <f t="shared" ca="1" si="55"/>
        <v>#REF!</v>
      </c>
      <c r="BO40" s="112" t="e">
        <f t="shared" ca="1" si="56"/>
        <v>#REF!</v>
      </c>
      <c r="BP40" s="112" t="e">
        <f ca="1">-($V40-IF(($P40+$R40+$S40)&gt;0,MAX($V40/($P40+$R40+$S40)*($Q40+$R40),$V40),0))*LT_InvestmentQDI</f>
        <v>#VALUE!</v>
      </c>
      <c r="BQ40" s="112" t="e">
        <f ca="1">-($V40-IF(($P40+$R40+$S40)&gt;0,MAX($V40/($P40+$R40+$S40)*($Q40+$R40),$V40),0))*(1-LT_InvestmentQDI)</f>
        <v>#VALUE!</v>
      </c>
      <c r="BR40" s="112" t="e">
        <f t="shared" ca="1" si="57"/>
        <v>#VALUE!</v>
      </c>
      <c r="BS40" s="112" t="e">
        <f t="shared" ca="1" si="58"/>
        <v>#VALUE!</v>
      </c>
      <c r="BT40" s="634" t="e">
        <f ca="1">SUMPRODUCT($BN40:$BN41+$BO40:$BO41, --($E40:$E41&lt;&gt;0))</f>
        <v>#REF!</v>
      </c>
      <c r="BU40" s="617" t="e">
        <f ca="1">SUMPRODUCT($BR40:$BR41+$BS40:$BS41, --($E40:$E41&lt;&gt;0))</f>
        <v>#VALUE!</v>
      </c>
      <c r="BV40" s="617" t="e">
        <f ca="1">$T40+SUMPRODUCT($AA40:$AA41+$AH40:$AH41+$AO40:$AO41+$AV40:$AV41+$BC40:$BC41+$BJ40:$BJ41, --($E40:$E41&lt;&gt;0))</f>
        <v>#VALUE!</v>
      </c>
      <c r="BW40" s="617" t="e">
        <f ca="1">MAX($P40-$Q40,0)+SUMPRODUCT($X40:$X41+$AL40:$AL41+$AZ40:$AZ41, --($E40:$E41&lt;&gt;0))</f>
        <v>#VALUE!</v>
      </c>
      <c r="BX40" s="618" t="e">
        <f ca="1">MIN($P40,$Q40)+SUMPRODUCT($AE40:$AE41+$AS40:$AS41+$BG40:$BG41, --($E40:$E41&lt;&gt;0))</f>
        <v>#VALUE!</v>
      </c>
      <c r="CO40" s="8"/>
    </row>
    <row r="41" spans="2:93" x14ac:dyDescent="0.25">
      <c r="B41" s="86">
        <f t="shared" ca="1" si="59"/>
        <v>2037</v>
      </c>
      <c r="C41" s="80" t="s">
        <v>741</v>
      </c>
      <c r="D41" s="147" t="str">
        <f t="shared" si="84"/>
        <v/>
      </c>
      <c r="E41" s="81">
        <f t="shared" si="8"/>
        <v>0</v>
      </c>
      <c r="F41" s="81">
        <f t="shared" si="18"/>
        <v>2</v>
      </c>
      <c r="G41" s="82">
        <f t="shared" si="9"/>
        <v>-1</v>
      </c>
      <c r="H41" s="82">
        <f t="shared" si="85"/>
        <v>0</v>
      </c>
      <c r="I41" s="81" t="b">
        <f t="shared" si="86"/>
        <v>0</v>
      </c>
      <c r="J41" s="81"/>
      <c r="K41" s="81"/>
      <c r="L41" s="81"/>
      <c r="M41" s="81"/>
      <c r="N41" s="633"/>
      <c r="O41" s="243" t="e">
        <f ca="1">LT_InvestmentStocks*INDEX(SP_EA_ARStocks,EAIDX)+LT_InvestmentBonds*INDEX(SC_EA_ARBonds,EAIDX)</f>
        <v>#REF!</v>
      </c>
      <c r="P41" s="634"/>
      <c r="Q41" s="617"/>
      <c r="R41" s="617"/>
      <c r="S41" s="617"/>
      <c r="T41" s="617"/>
      <c r="U41" s="643"/>
      <c r="V41" s="617"/>
      <c r="W41" s="639"/>
      <c r="X41" s="106" t="e">
        <f t="shared" ca="1" si="19"/>
        <v>#REF!</v>
      </c>
      <c r="Y41" s="107" t="e">
        <f t="shared" ca="1" si="20"/>
        <v>#REF!</v>
      </c>
      <c r="Z41" s="107" t="e">
        <f t="shared" ca="1" si="21"/>
        <v>#REF!</v>
      </c>
      <c r="AA41" s="107" t="e">
        <f t="shared" ca="1" si="22"/>
        <v>#REF!</v>
      </c>
      <c r="AB41" s="91" t="e">
        <f t="shared" ca="1" si="65"/>
        <v>#REF!</v>
      </c>
      <c r="AC41" s="107" t="e">
        <f ca="1">-IF(INDEX(SC_ZX_CodeA,ZXIDX1)="X", 0, MIN(AB41*MAX(INDEX(SC_ZX_Drawdown,ZXIDX2),0),AA41))</f>
        <v>#REF!</v>
      </c>
      <c r="AD41" s="110" t="e">
        <f t="shared" ca="1" si="24"/>
        <v>#REF!</v>
      </c>
      <c r="AE41" s="106" t="e">
        <f t="shared" ca="1" si="25"/>
        <v>#REF!</v>
      </c>
      <c r="AF41" s="107" t="e">
        <f t="shared" ca="1" si="26"/>
        <v>#REF!</v>
      </c>
      <c r="AG41" s="107" t="e">
        <f t="shared" ca="1" si="27"/>
        <v>#REF!</v>
      </c>
      <c r="AH41" s="107" t="e">
        <f t="shared" ca="1" si="28"/>
        <v>#REF!</v>
      </c>
      <c r="AI41" s="91" t="e">
        <f t="shared" ca="1" si="66"/>
        <v>#REF!</v>
      </c>
      <c r="AJ41" s="107" t="e">
        <f ca="1">-IF(INDEX(SC_ZX_CodeA,ZXIDX1)="X", 0, MIN(AI41*MAX(INDEX(SC_ZX_Drawdown,ZXIDX2),0),AH41))</f>
        <v>#REF!</v>
      </c>
      <c r="AK41" s="110" t="e">
        <f t="shared" ca="1" si="30"/>
        <v>#REF!</v>
      </c>
      <c r="AL41" s="106" t="e">
        <f t="shared" ca="1" si="31"/>
        <v>#REF!</v>
      </c>
      <c r="AM41" s="107" t="e">
        <f t="shared" ca="1" si="32"/>
        <v>#REF!</v>
      </c>
      <c r="AN41" s="107" t="e">
        <f t="shared" ca="1" si="33"/>
        <v>#REF!</v>
      </c>
      <c r="AO41" s="107" t="e">
        <f t="shared" ca="1" si="34"/>
        <v>#REF!</v>
      </c>
      <c r="AP41" s="91" t="e">
        <f t="shared" ca="1" si="67"/>
        <v>#REF!</v>
      </c>
      <c r="AQ41" s="107" t="e">
        <f ca="1">-IF(INDEX(SC_ZX_CodeA,ZXIDX1)="X", 0, MIN(AP41*MAX(INDEX(SC_ZX_Drawdown,ZXIDX2),0),AO41))</f>
        <v>#REF!</v>
      </c>
      <c r="AR41" s="110" t="e">
        <f t="shared" ca="1" si="36"/>
        <v>#REF!</v>
      </c>
      <c r="AS41" s="106" t="e">
        <f t="shared" ca="1" si="37"/>
        <v>#REF!</v>
      </c>
      <c r="AT41" s="107" t="e">
        <f t="shared" ca="1" si="38"/>
        <v>#REF!</v>
      </c>
      <c r="AU41" s="107" t="e">
        <f t="shared" ca="1" si="39"/>
        <v>#REF!</v>
      </c>
      <c r="AV41" s="107" t="e">
        <f t="shared" ca="1" si="40"/>
        <v>#REF!</v>
      </c>
      <c r="AW41" s="91" t="e">
        <f t="shared" ca="1" si="68"/>
        <v>#REF!</v>
      </c>
      <c r="AX41" s="107" t="e">
        <f ca="1">-IF(INDEX(SC_ZX_CodeA,ZXIDX1)="X", 0, MIN(AW41*MAX(INDEX(SC_ZX_Drawdown,ZXIDX2),0),AV41))</f>
        <v>#REF!</v>
      </c>
      <c r="AY41" s="110" t="e">
        <f t="shared" ca="1" si="42"/>
        <v>#REF!</v>
      </c>
      <c r="AZ41" s="106" t="e">
        <f t="shared" ca="1" si="43"/>
        <v>#REF!</v>
      </c>
      <c r="BA41" s="107" t="e">
        <f t="shared" ca="1" si="44"/>
        <v>#REF!</v>
      </c>
      <c r="BB41" s="107" t="e">
        <f t="shared" ca="1" si="45"/>
        <v>#REF!</v>
      </c>
      <c r="BC41" s="107" t="e">
        <f t="shared" ca="1" si="46"/>
        <v>#REF!</v>
      </c>
      <c r="BD41" s="91" t="e">
        <f t="shared" ca="1" si="69"/>
        <v>#REF!</v>
      </c>
      <c r="BE41" s="107" t="e">
        <f ca="1">-IF(INDEX(SC_ZX_CodeA,ZXIDX1)="X", 0, MIN(BD41*MAX(INDEX(SC_ZX_Drawdown,ZXIDX2),0),AZ41))</f>
        <v>#REF!</v>
      </c>
      <c r="BF41" s="110" t="e">
        <f t="shared" ca="1" si="48"/>
        <v>#REF!</v>
      </c>
      <c r="BG41" s="106" t="e">
        <f t="shared" ca="1" si="49"/>
        <v>#REF!</v>
      </c>
      <c r="BH41" s="107" t="e">
        <f t="shared" ca="1" si="50"/>
        <v>#REF!</v>
      </c>
      <c r="BI41" s="107" t="e">
        <f t="shared" ca="1" si="51"/>
        <v>#REF!</v>
      </c>
      <c r="BJ41" s="107" t="e">
        <f t="shared" ca="1" si="52"/>
        <v>#REF!</v>
      </c>
      <c r="BK41" s="91" t="e">
        <f t="shared" ca="1" si="70"/>
        <v>#REF!</v>
      </c>
      <c r="BL41" s="107" t="e">
        <f ca="1">-IF(INDEX(SC_ZX_CodeA,ZXIDX1)="X", 0, MIN(BK41*MAX(INDEX(SC_ZX_Drawdown,ZXIDX2),0),BJ41))</f>
        <v>#REF!</v>
      </c>
      <c r="BM41" s="107" t="e">
        <f t="shared" ca="1" si="54"/>
        <v>#REF!</v>
      </c>
      <c r="BN41" s="113" t="e">
        <f t="shared" ca="1" si="55"/>
        <v>#REF!</v>
      </c>
      <c r="BO41" s="114" t="e">
        <f t="shared" ca="1" si="56"/>
        <v>#REF!</v>
      </c>
      <c r="BP41" s="114" t="e">
        <f ca="1">-($V41-IF(($P41+$R41+$S41)&gt;0,MAX($V41/($P41+$R41+$S41)*($Q41+$R41),$V41),0))*LT_InvestmentQDI</f>
        <v>#REF!</v>
      </c>
      <c r="BQ41" s="114" t="e">
        <f ca="1">-($V41-IF(($P41+$R41+$S41)&gt;0,MAX($V41/($P41+$R41+$S41)*($Q41+$R41),$V41),0))*(1-LT_InvestmentQDI)</f>
        <v>#REF!</v>
      </c>
      <c r="BR41" s="114" t="e">
        <f t="shared" ca="1" si="57"/>
        <v>#REF!</v>
      </c>
      <c r="BS41" s="114" t="e">
        <f t="shared" ca="1" si="58"/>
        <v>#REF!</v>
      </c>
      <c r="BT41" s="649"/>
      <c r="BU41" s="637"/>
      <c r="BV41" s="637"/>
      <c r="BW41" s="637"/>
      <c r="BX41" s="639"/>
      <c r="CO41" s="8"/>
    </row>
    <row r="42" spans="2:93" x14ac:dyDescent="0.25">
      <c r="B42" s="65">
        <f ca="1">B40+1</f>
        <v>2038</v>
      </c>
      <c r="C42" s="76" t="s">
        <v>741</v>
      </c>
      <c r="D42" s="146" t="str">
        <f t="shared" si="84"/>
        <v/>
      </c>
      <c r="E42" s="77">
        <f t="shared" si="8"/>
        <v>0</v>
      </c>
      <c r="F42" s="77">
        <f t="shared" si="18"/>
        <v>1</v>
      </c>
      <c r="G42" s="76">
        <f t="shared" si="9"/>
        <v>1</v>
      </c>
      <c r="H42" s="76">
        <f t="shared" si="85"/>
        <v>0</v>
      </c>
      <c r="I42" s="77" t="b">
        <f t="shared" si="86"/>
        <v>0</v>
      </c>
      <c r="J42" s="77"/>
      <c r="K42" s="77"/>
      <c r="L42" s="77"/>
      <c r="M42" s="77"/>
      <c r="N42" s="632">
        <f ca="1">YEAR(SP_TargetRD)-$B42</f>
        <v>-15</v>
      </c>
      <c r="O42" s="243" t="e">
        <f ca="1">LT_InvestmentStocks*INDEX(SP_EA_ARStocks,EAIDX)+LT_InvestmentBonds*INDEX(SC_EA_ARBonds,EAIDX)</f>
        <v>#REF!</v>
      </c>
      <c r="P42" s="634" t="e">
        <f ca="1">MAX(P40+R40+S40+V40+W40,0)</f>
        <v>#VALUE!</v>
      </c>
      <c r="Q42" s="617" t="e">
        <f t="shared" ref="Q42" ca="1" si="88">MAX(Q40+R40+IF((P40+R40+S40)&gt;0,MAX(V40/(P40+R40+S40)*(Q40+R40),V40),0),0)</f>
        <v>#VALUE!</v>
      </c>
      <c r="R42" s="617" t="e">
        <f ca="1">IF(SC_ZX_CodeA="X", 0, MAX(INDEX(SC_ZX_IncomeSurplus,ZXIDX2)+INDEX(SC_ZX_Debt,ZXIDX2),0))</f>
        <v>#VALUE!</v>
      </c>
      <c r="S42" s="617" t="e">
        <f ca="1">IF(SC_ZX_CodeA="X", 0, INDEX(SC_EX_RolloverCore,EXIDX))</f>
        <v>#VALUE!</v>
      </c>
      <c r="T42" s="617" t="e">
        <f ca="1">P42+R42+S42</f>
        <v>#VALUE!</v>
      </c>
      <c r="U42" s="642" t="e">
        <f ca="1">IF(SC_ZX_BalanceAccessibleA&gt;0, T42/SC_ZX_BalanceAccessibleA, 0)</f>
        <v>#VALUE!</v>
      </c>
      <c r="V42" s="617" t="e">
        <f ca="1">-IF(SC_ZX_CodeA="X",0,MIN(U42*MAX(INDEX(SC_ZX_Drawdown,ZXIDX2),0),T42))</f>
        <v>#VALUE!</v>
      </c>
      <c r="W42" s="618" t="e">
        <f ca="1">(P42+R42+S42+V42)*$O42</f>
        <v>#VALUE!</v>
      </c>
      <c r="X42" s="75" t="e">
        <f t="shared" ref="X42:X73" ca="1" si="89">MAX(X40+Y40+Z40+AC40+AD40,0)</f>
        <v>#REF!</v>
      </c>
      <c r="Y42" s="70" t="e">
        <f t="shared" ref="Y42:Y73" ca="1" si="90">MAX(INDEX(SC_EX_IncomeEmployer,EXIDX)*INDEX(SP_401KContrib,$F42),0)</f>
        <v>#REF!</v>
      </c>
      <c r="Z42" s="70" t="e">
        <f t="shared" ref="Z42:Z73" ca="1" si="91">MAX(INDEX(SC_EX_IncomeEmployer,EXIDX)*INDEX(SP_401KMatch,$F42),0)</f>
        <v>#REF!</v>
      </c>
      <c r="AA42" s="70" t="e">
        <f t="shared" ref="AA42:AA73" ca="1" si="92">(X42+Y42+Z42)*IF($H42&gt;=INDEX(SP_401KDistribAge,$F42),1,0)</f>
        <v>#REF!</v>
      </c>
      <c r="AB42" s="67" t="e">
        <f t="shared" ca="1" si="65"/>
        <v>#REF!</v>
      </c>
      <c r="AC42" s="70" t="e">
        <f ca="1">-IF(INDEX(SC_ZX_CodeA,ZXIDX1)="X", 0, MIN(AB42*MAX(INDEX(SC_ZX_Drawdown,ZXIDX2),0),AA42))</f>
        <v>#REF!</v>
      </c>
      <c r="AD42" s="109" t="e">
        <f t="shared" ref="AD42:AD73" ca="1" si="93">(X42+Y42+Z42+AC42)*$O42</f>
        <v>#REF!</v>
      </c>
      <c r="AE42" s="75" t="e">
        <f t="shared" ref="AE42:AE73" ca="1" si="94">MAX(AE40+AG40+AJ40+AK40,0)</f>
        <v>#REF!</v>
      </c>
      <c r="AF42" s="70" t="e">
        <f t="shared" ref="AF42:AF73" ca="1" si="95">MAX(AF40+AG40+AJ40,0)</f>
        <v>#REF!</v>
      </c>
      <c r="AG42" s="70" t="e">
        <f t="shared" ref="AG42:AG73" ca="1" si="96">MAX(INDEX(SC_EX_IncomeEmployer, EXIDX)*INDEX(SP_Roth401KContrib,$F42),0)</f>
        <v>#REF!</v>
      </c>
      <c r="AH42" s="70" t="e">
        <f t="shared" ref="AH42:AH73" ca="1" si="97">(AE42+AG42)*IF($H42&gt;=INDEX(SP_401KDistribAge,$F42),1,0)</f>
        <v>#REF!</v>
      </c>
      <c r="AI42" s="67" t="e">
        <f t="shared" ca="1" si="66"/>
        <v>#REF!</v>
      </c>
      <c r="AJ42" s="70" t="e">
        <f ca="1">-IF(INDEX(SC_ZX_CodeA,ZXIDX1)="X", 0, MIN(AI42*MAX(INDEX(SC_ZX_Drawdown,ZXIDX2),0),AH42))</f>
        <v>#REF!</v>
      </c>
      <c r="AK42" s="109" t="e">
        <f t="shared" ref="AK42:AK73" ca="1" si="98">(AE42+AG42+AJ42)*$O42</f>
        <v>#REF!</v>
      </c>
      <c r="AL42" s="75" t="e">
        <f t="shared" ref="AL42:AL73" ca="1" si="99">MAX(AL40+AM40+AN40+AQ40+AR40,0)</f>
        <v>#REF!</v>
      </c>
      <c r="AM42" s="70" t="e">
        <f t="shared" ref="AM42:AM73" ca="1" si="100">MAX(INDEX(SC_EX_IncomeSE,EXIDX)*INDEX(SP_Solo401KContrib,$F42),0)</f>
        <v>#REF!</v>
      </c>
      <c r="AN42" s="70" t="e">
        <f t="shared" ref="AN42:AN73" ca="1" si="101">MAX(INDEX(SC_EX_IncomeSE,EXIDX)*INDEX(SP_Solo401KMatch,$F42),0)</f>
        <v>#REF!</v>
      </c>
      <c r="AO42" s="70" t="e">
        <f t="shared" ref="AO42:AO73" ca="1" si="102">(AL42+AM42+AN42)*IF($H42&gt;=INDEX(SP_Solo401KDistribAge,$F42),1,0)</f>
        <v>#REF!</v>
      </c>
      <c r="AP42" s="67" t="e">
        <f t="shared" ca="1" si="67"/>
        <v>#REF!</v>
      </c>
      <c r="AQ42" s="70" t="e">
        <f ca="1">-IF(INDEX(SC_ZX_CodeA,ZXIDX1)="X", 0, MIN(AP42*MAX(INDEX(SC_ZX_Drawdown,ZXIDX2),0),AO42))</f>
        <v>#REF!</v>
      </c>
      <c r="AR42" s="109" t="e">
        <f t="shared" ref="AR42:AR73" ca="1" si="103">(AL42+AM42+AN42+AQ42)*$O42</f>
        <v>#REF!</v>
      </c>
      <c r="AS42" s="75" t="e">
        <f t="shared" ref="AS42:AS73" ca="1" si="104">MAX(AS40+AU40+AX40+AY40,0)</f>
        <v>#REF!</v>
      </c>
      <c r="AT42" s="70" t="e">
        <f t="shared" ref="AT42:AT73" ca="1" si="105">MAX(AT40+AU40+AX40,0)</f>
        <v>#REF!</v>
      </c>
      <c r="AU42" s="70" t="e">
        <f t="shared" ref="AU42:AU73" ca="1" si="106">MAX(INDEX(SC_EX_IncomeSE, EXIDX)*INDEX(SP_RothSolo401KContrib,$F42),0)</f>
        <v>#REF!</v>
      </c>
      <c r="AV42" s="70" t="e">
        <f t="shared" ref="AV42:AV73" ca="1" si="107">(AS42+AU42)*IF($H42&gt;=INDEX(SP_401KDistribAge,$F42),1,0)</f>
        <v>#REF!</v>
      </c>
      <c r="AW42" s="67" t="e">
        <f t="shared" ca="1" si="68"/>
        <v>#REF!</v>
      </c>
      <c r="AX42" s="70" t="e">
        <f ca="1">-IF(INDEX(SC_ZX_CodeA,ZXIDX1)="X", 0, MIN(AW42*MAX(INDEX(SC_ZX_Drawdown,ZXIDX2),0),AV42))</f>
        <v>#REF!</v>
      </c>
      <c r="AY42" s="109" t="e">
        <f t="shared" ref="AY42:AY73" ca="1" si="108">(AS42+AU42+AX42)*$O42</f>
        <v>#REF!</v>
      </c>
      <c r="AZ42" s="75" t="e">
        <f t="shared" ref="AZ42:AZ73" ca="1" si="109">MAX(AZ40+BA40+BB40+BE40+BF40,0)</f>
        <v>#REF!</v>
      </c>
      <c r="BA42" s="70" t="e">
        <f t="shared" ref="BA42:BA73" ca="1" si="110">MAX(INDEX(SP_IRAContrib,$F42)/INDEX(SC_EA_InflationWageIdx, EAIDX)*ABS(INDEX(SC_EX_APW, EXIDX)),0)</f>
        <v>#REF!</v>
      </c>
      <c r="BB42" s="70" t="e">
        <f t="shared" ref="BB42:BB73" ca="1" si="111">MAX(INDEX(SP_IRASpousalContrib, OFFSET($F42,$G42,0))/INDEX(SC_EA_InflationWageIdx, EAIDX)*ABS(INDEX(SC_EX_APW, EXIDX)),0)</f>
        <v>#REF!</v>
      </c>
      <c r="BC42" s="70" t="e">
        <f t="shared" ref="BC42:BC73" ca="1" si="112">(AZ42+BA42+BB42)*IF($H42&gt;=INDEX(SP_IRADistribAge,$F42),1,0)</f>
        <v>#REF!</v>
      </c>
      <c r="BD42" s="67" t="e">
        <f t="shared" ca="1" si="69"/>
        <v>#REF!</v>
      </c>
      <c r="BE42" s="70" t="e">
        <f ca="1">-IF(INDEX(SC_ZX_CodeA,ZXIDX1)="X", 0, MIN(BD42*MAX(INDEX(SC_ZX_Drawdown,ZXIDX2),0),AZ42))</f>
        <v>#REF!</v>
      </c>
      <c r="BF42" s="109" t="e">
        <f t="shared" ref="BF42:BF73" ca="1" si="113">(AZ42+BA42+BB42+BE42)*$O42</f>
        <v>#REF!</v>
      </c>
      <c r="BG42" s="75" t="e">
        <f t="shared" ref="BG42:BG73" ca="1" si="114">MAX(BG40+BI40+BL40+BM40,0)</f>
        <v>#REF!</v>
      </c>
      <c r="BH42" s="70" t="e">
        <f t="shared" ref="BH42:BH73" ca="1" si="115">MAX(BH40+BI40+BL40,0)</f>
        <v>#REF!</v>
      </c>
      <c r="BI42" s="70" t="e">
        <f t="shared" ref="BI42:BI73" ca="1" si="116">MAX(INDEX(SP_RothIRAContrib,$F42)/INDEX(SC_EA_InflationWageIdx, EAIDX)*ABS(INDEX(SC_EX_APW, EXIDX)),0)</f>
        <v>#REF!</v>
      </c>
      <c r="BJ42" s="70" t="e">
        <f t="shared" ref="BJ42:BJ73" ca="1" si="117">IF($H42&gt;=INDEX(SP_IRADistribAge,$F42),BG42+BI42,MIN(BG42+BI42,BH42+BI42))</f>
        <v>#REF!</v>
      </c>
      <c r="BK42" s="67" t="e">
        <f t="shared" ca="1" si="70"/>
        <v>#REF!</v>
      </c>
      <c r="BL42" s="70" t="e">
        <f ca="1">-IF(INDEX(SC_ZX_CodeA,ZXIDX1)="X", 0, MIN(BK42*MAX(INDEX(SC_ZX_Drawdown,ZXIDX2),0),BJ42))</f>
        <v>#REF!</v>
      </c>
      <c r="BM42" s="70" t="e">
        <f t="shared" ref="BM42:BM73" ca="1" si="118">(BG42+BI42+BL42)*$O42</f>
        <v>#REF!</v>
      </c>
      <c r="BN42" s="111" t="e">
        <f t="shared" ref="BN42:BN73" ca="1" si="119">-(Y42+AM42+BA42)-OFFSET(BB42,$G42,0)</f>
        <v>#REF!</v>
      </c>
      <c r="BO42" s="112" t="e">
        <f t="shared" ref="BO42:BO73" ca="1" si="120">-(AG42+AU42+BI42)</f>
        <v>#REF!</v>
      </c>
      <c r="BP42" s="112" t="e">
        <f ca="1">-($V42-IF(($P42+$R42+$S42)&gt;0,MAX($V42/($P42+$R42+$S42)*($Q42+$R42),$V42),0))*LT_InvestmentQDI</f>
        <v>#VALUE!</v>
      </c>
      <c r="BQ42" s="112" t="e">
        <f ca="1">-($V42-IF(($P42+$R42+$S42)&gt;0,MAX($V42/($P42+$R42+$S42)*($Q42+$R42),$V42),0))*(1-LT_InvestmentQDI)</f>
        <v>#VALUE!</v>
      </c>
      <c r="BR42" s="112" t="e">
        <f t="shared" ref="BR42:BR73" ca="1" si="121">BP42+BQ42-AC42-AQ42-BE42</f>
        <v>#VALUE!</v>
      </c>
      <c r="BS42" s="112" t="e">
        <f t="shared" ref="BS42:BS73" ca="1" si="122">-V42-BP42-BQ42-AJ42-AX42-BL42</f>
        <v>#VALUE!</v>
      </c>
      <c r="BT42" s="634" t="e">
        <f ca="1">SUMPRODUCT($BN42:$BN43+$BO42:$BO43, --($E42:$E43&lt;&gt;0))</f>
        <v>#REF!</v>
      </c>
      <c r="BU42" s="617" t="e">
        <f ca="1">SUMPRODUCT($BR42:$BR43+$BS42:$BS43, --($E42:$E43&lt;&gt;0))</f>
        <v>#VALUE!</v>
      </c>
      <c r="BV42" s="617" t="e">
        <f ca="1">$T42+SUMPRODUCT($AA42:$AA43+$AH42:$AH43+$AO42:$AO43+$AV42:$AV43+$BC42:$BC43+$BJ42:$BJ43, --($E42:$E43&lt;&gt;0))</f>
        <v>#VALUE!</v>
      </c>
      <c r="BW42" s="617" t="e">
        <f ca="1">MAX($P42-$Q42,0)+SUMPRODUCT($X42:$X43+$AL42:$AL43+$AZ42:$AZ43, --($E42:$E43&lt;&gt;0))</f>
        <v>#VALUE!</v>
      </c>
      <c r="BX42" s="618" t="e">
        <f ca="1">MIN($P42,$Q42)+SUMPRODUCT($AE42:$AE43+$AS42:$AS43+$BG42:$BG43, --($E42:$E43&lt;&gt;0))</f>
        <v>#VALUE!</v>
      </c>
      <c r="CO42" s="8"/>
    </row>
    <row r="43" spans="2:93" x14ac:dyDescent="0.25">
      <c r="B43" s="86">
        <f t="shared" ca="1" si="59"/>
        <v>2038</v>
      </c>
      <c r="C43" s="80" t="s">
        <v>741</v>
      </c>
      <c r="D43" s="147" t="str">
        <f t="shared" si="84"/>
        <v/>
      </c>
      <c r="E43" s="81">
        <f t="shared" si="8"/>
        <v>0</v>
      </c>
      <c r="F43" s="81">
        <f t="shared" si="18"/>
        <v>2</v>
      </c>
      <c r="G43" s="82">
        <f t="shared" si="9"/>
        <v>-1</v>
      </c>
      <c r="H43" s="82">
        <f t="shared" si="85"/>
        <v>0</v>
      </c>
      <c r="I43" s="81" t="b">
        <f t="shared" si="86"/>
        <v>0</v>
      </c>
      <c r="J43" s="81"/>
      <c r="K43" s="81"/>
      <c r="L43" s="81"/>
      <c r="M43" s="81"/>
      <c r="N43" s="633"/>
      <c r="O43" s="243" t="e">
        <f ca="1">LT_InvestmentStocks*INDEX(SP_EA_ARStocks,EAIDX)+LT_InvestmentBonds*INDEX(SC_EA_ARBonds,EAIDX)</f>
        <v>#REF!</v>
      </c>
      <c r="P43" s="634"/>
      <c r="Q43" s="617"/>
      <c r="R43" s="617"/>
      <c r="S43" s="617"/>
      <c r="T43" s="617"/>
      <c r="U43" s="643"/>
      <c r="V43" s="617"/>
      <c r="W43" s="639"/>
      <c r="X43" s="106" t="e">
        <f t="shared" ca="1" si="89"/>
        <v>#REF!</v>
      </c>
      <c r="Y43" s="107" t="e">
        <f t="shared" ca="1" si="90"/>
        <v>#REF!</v>
      </c>
      <c r="Z43" s="107" t="e">
        <f t="shared" ca="1" si="91"/>
        <v>#REF!</v>
      </c>
      <c r="AA43" s="107" t="e">
        <f t="shared" ca="1" si="92"/>
        <v>#REF!</v>
      </c>
      <c r="AB43" s="91" t="e">
        <f t="shared" ca="1" si="65"/>
        <v>#REF!</v>
      </c>
      <c r="AC43" s="107" t="e">
        <f ca="1">-IF(INDEX(SC_ZX_CodeA,ZXIDX1)="X", 0, MIN(AB43*MAX(INDEX(SC_ZX_Drawdown,ZXIDX2),0),AA43))</f>
        <v>#REF!</v>
      </c>
      <c r="AD43" s="110" t="e">
        <f t="shared" ca="1" si="93"/>
        <v>#REF!</v>
      </c>
      <c r="AE43" s="106" t="e">
        <f t="shared" ca="1" si="94"/>
        <v>#REF!</v>
      </c>
      <c r="AF43" s="107" t="e">
        <f t="shared" ca="1" si="95"/>
        <v>#REF!</v>
      </c>
      <c r="AG43" s="107" t="e">
        <f t="shared" ca="1" si="96"/>
        <v>#REF!</v>
      </c>
      <c r="AH43" s="107" t="e">
        <f t="shared" ca="1" si="97"/>
        <v>#REF!</v>
      </c>
      <c r="AI43" s="91" t="e">
        <f t="shared" ca="1" si="66"/>
        <v>#REF!</v>
      </c>
      <c r="AJ43" s="107" t="e">
        <f ca="1">-IF(INDEX(SC_ZX_CodeA,ZXIDX1)="X", 0, MIN(AI43*MAX(INDEX(SC_ZX_Drawdown,ZXIDX2),0),AH43))</f>
        <v>#REF!</v>
      </c>
      <c r="AK43" s="110" t="e">
        <f t="shared" ca="1" si="98"/>
        <v>#REF!</v>
      </c>
      <c r="AL43" s="106" t="e">
        <f t="shared" ca="1" si="99"/>
        <v>#REF!</v>
      </c>
      <c r="AM43" s="107" t="e">
        <f t="shared" ca="1" si="100"/>
        <v>#REF!</v>
      </c>
      <c r="AN43" s="107" t="e">
        <f t="shared" ca="1" si="101"/>
        <v>#REF!</v>
      </c>
      <c r="AO43" s="107" t="e">
        <f t="shared" ca="1" si="102"/>
        <v>#REF!</v>
      </c>
      <c r="AP43" s="91" t="e">
        <f t="shared" ca="1" si="67"/>
        <v>#REF!</v>
      </c>
      <c r="AQ43" s="107" t="e">
        <f ca="1">-IF(INDEX(SC_ZX_CodeA,ZXIDX1)="X", 0, MIN(AP43*MAX(INDEX(SC_ZX_Drawdown,ZXIDX2),0),AO43))</f>
        <v>#REF!</v>
      </c>
      <c r="AR43" s="110" t="e">
        <f t="shared" ca="1" si="103"/>
        <v>#REF!</v>
      </c>
      <c r="AS43" s="106" t="e">
        <f t="shared" ca="1" si="104"/>
        <v>#REF!</v>
      </c>
      <c r="AT43" s="107" t="e">
        <f t="shared" ca="1" si="105"/>
        <v>#REF!</v>
      </c>
      <c r="AU43" s="107" t="e">
        <f t="shared" ca="1" si="106"/>
        <v>#REF!</v>
      </c>
      <c r="AV43" s="107" t="e">
        <f t="shared" ca="1" si="107"/>
        <v>#REF!</v>
      </c>
      <c r="AW43" s="91" t="e">
        <f t="shared" ca="1" si="68"/>
        <v>#REF!</v>
      </c>
      <c r="AX43" s="107" t="e">
        <f ca="1">-IF(INDEX(SC_ZX_CodeA,ZXIDX1)="X", 0, MIN(AW43*MAX(INDEX(SC_ZX_Drawdown,ZXIDX2),0),AV43))</f>
        <v>#REF!</v>
      </c>
      <c r="AY43" s="110" t="e">
        <f t="shared" ca="1" si="108"/>
        <v>#REF!</v>
      </c>
      <c r="AZ43" s="106" t="e">
        <f t="shared" ca="1" si="109"/>
        <v>#REF!</v>
      </c>
      <c r="BA43" s="107" t="e">
        <f t="shared" ca="1" si="110"/>
        <v>#REF!</v>
      </c>
      <c r="BB43" s="107" t="e">
        <f t="shared" ca="1" si="111"/>
        <v>#REF!</v>
      </c>
      <c r="BC43" s="107" t="e">
        <f t="shared" ca="1" si="112"/>
        <v>#REF!</v>
      </c>
      <c r="BD43" s="91" t="e">
        <f t="shared" ca="1" si="69"/>
        <v>#REF!</v>
      </c>
      <c r="BE43" s="107" t="e">
        <f ca="1">-IF(INDEX(SC_ZX_CodeA,ZXIDX1)="X", 0, MIN(BD43*MAX(INDEX(SC_ZX_Drawdown,ZXIDX2),0),AZ43))</f>
        <v>#REF!</v>
      </c>
      <c r="BF43" s="110" t="e">
        <f t="shared" ca="1" si="113"/>
        <v>#REF!</v>
      </c>
      <c r="BG43" s="106" t="e">
        <f t="shared" ca="1" si="114"/>
        <v>#REF!</v>
      </c>
      <c r="BH43" s="107" t="e">
        <f t="shared" ca="1" si="115"/>
        <v>#REF!</v>
      </c>
      <c r="BI43" s="107" t="e">
        <f t="shared" ca="1" si="116"/>
        <v>#REF!</v>
      </c>
      <c r="BJ43" s="107" t="e">
        <f t="shared" ca="1" si="117"/>
        <v>#REF!</v>
      </c>
      <c r="BK43" s="91" t="e">
        <f t="shared" ca="1" si="70"/>
        <v>#REF!</v>
      </c>
      <c r="BL43" s="107" t="e">
        <f ca="1">-IF(INDEX(SC_ZX_CodeA,ZXIDX1)="X", 0, MIN(BK43*MAX(INDEX(SC_ZX_Drawdown,ZXIDX2),0),BJ43))</f>
        <v>#REF!</v>
      </c>
      <c r="BM43" s="107" t="e">
        <f t="shared" ca="1" si="118"/>
        <v>#REF!</v>
      </c>
      <c r="BN43" s="113" t="e">
        <f t="shared" ca="1" si="119"/>
        <v>#REF!</v>
      </c>
      <c r="BO43" s="114" t="e">
        <f t="shared" ca="1" si="120"/>
        <v>#REF!</v>
      </c>
      <c r="BP43" s="114" t="e">
        <f ca="1">-($V43-IF(($P43+$R43+$S43)&gt;0,MAX($V43/($P43+$R43+$S43)*($Q43+$R43),$V43),0))*LT_InvestmentQDI</f>
        <v>#REF!</v>
      </c>
      <c r="BQ43" s="114" t="e">
        <f ca="1">-($V43-IF(($P43+$R43+$S43)&gt;0,MAX($V43/($P43+$R43+$S43)*($Q43+$R43),$V43),0))*(1-LT_InvestmentQDI)</f>
        <v>#REF!</v>
      </c>
      <c r="BR43" s="114" t="e">
        <f t="shared" ca="1" si="121"/>
        <v>#REF!</v>
      </c>
      <c r="BS43" s="114" t="e">
        <f t="shared" ca="1" si="122"/>
        <v>#REF!</v>
      </c>
      <c r="BT43" s="649"/>
      <c r="BU43" s="637"/>
      <c r="BV43" s="637"/>
      <c r="BW43" s="637"/>
      <c r="BX43" s="639"/>
      <c r="CO43" s="8"/>
    </row>
    <row r="44" spans="2:93" x14ac:dyDescent="0.25">
      <c r="B44" s="65">
        <f ca="1">B42+1</f>
        <v>2039</v>
      </c>
      <c r="C44" s="76" t="s">
        <v>741</v>
      </c>
      <c r="D44" s="146" t="str">
        <f t="shared" si="84"/>
        <v/>
      </c>
      <c r="E44" s="77">
        <f t="shared" si="8"/>
        <v>0</v>
      </c>
      <c r="F44" s="77">
        <f t="shared" si="18"/>
        <v>1</v>
      </c>
      <c r="G44" s="76">
        <f t="shared" si="9"/>
        <v>1</v>
      </c>
      <c r="H44" s="76">
        <f t="shared" si="85"/>
        <v>0</v>
      </c>
      <c r="I44" s="77" t="b">
        <f t="shared" si="86"/>
        <v>0</v>
      </c>
      <c r="J44" s="77"/>
      <c r="K44" s="77"/>
      <c r="L44" s="77"/>
      <c r="M44" s="77"/>
      <c r="N44" s="632">
        <f ca="1">YEAR(SP_TargetRD)-$B44</f>
        <v>-16</v>
      </c>
      <c r="O44" s="243" t="e">
        <f ca="1">LT_InvestmentStocks*INDEX(SP_EA_ARStocks,EAIDX)+LT_InvestmentBonds*INDEX(SC_EA_ARBonds,EAIDX)</f>
        <v>#REF!</v>
      </c>
      <c r="P44" s="634" t="e">
        <f ca="1">MAX(P42+R42+S42+V42+W42,0)</f>
        <v>#VALUE!</v>
      </c>
      <c r="Q44" s="617" t="e">
        <f t="shared" ref="Q44" ca="1" si="123">MAX(Q42+R42+IF((P42+R42+S42)&gt;0,MAX(V42/(P42+R42+S42)*(Q42+R42),V42),0),0)</f>
        <v>#VALUE!</v>
      </c>
      <c r="R44" s="617" t="e">
        <f ca="1">IF(SC_ZX_CodeA="X", 0, MAX(INDEX(SC_ZX_IncomeSurplus,ZXIDX2)+INDEX(SC_ZX_Debt,ZXIDX2),0))</f>
        <v>#VALUE!</v>
      </c>
      <c r="S44" s="617" t="e">
        <f ca="1">IF(SC_ZX_CodeA="X", 0, INDEX(SC_EX_RolloverCore,EXIDX))</f>
        <v>#VALUE!</v>
      </c>
      <c r="T44" s="617" t="e">
        <f ca="1">P44+R44+S44</f>
        <v>#VALUE!</v>
      </c>
      <c r="U44" s="642" t="e">
        <f ca="1">IF(SC_ZX_BalanceAccessibleA&gt;0, T44/SC_ZX_BalanceAccessibleA, 0)</f>
        <v>#VALUE!</v>
      </c>
      <c r="V44" s="617" t="e">
        <f ca="1">-IF(SC_ZX_CodeA="X",0,MIN(U44*MAX(INDEX(SC_ZX_Drawdown,ZXIDX2),0),T44))</f>
        <v>#VALUE!</v>
      </c>
      <c r="W44" s="618" t="e">
        <f ca="1">(P44+R44+S44+V44)*$O44</f>
        <v>#VALUE!</v>
      </c>
      <c r="X44" s="75" t="e">
        <f t="shared" ca="1" si="89"/>
        <v>#REF!</v>
      </c>
      <c r="Y44" s="70" t="e">
        <f t="shared" ca="1" si="90"/>
        <v>#REF!</v>
      </c>
      <c r="Z44" s="70" t="e">
        <f t="shared" ca="1" si="91"/>
        <v>#REF!</v>
      </c>
      <c r="AA44" s="70" t="e">
        <f t="shared" ca="1" si="92"/>
        <v>#REF!</v>
      </c>
      <c r="AB44" s="67" t="e">
        <f t="shared" ca="1" si="65"/>
        <v>#REF!</v>
      </c>
      <c r="AC44" s="70" t="e">
        <f ca="1">-IF(INDEX(SC_ZX_CodeA,ZXIDX1)="X", 0, MIN(AB44*MAX(INDEX(SC_ZX_Drawdown,ZXIDX2),0),AA44))</f>
        <v>#REF!</v>
      </c>
      <c r="AD44" s="109" t="e">
        <f t="shared" ca="1" si="93"/>
        <v>#REF!</v>
      </c>
      <c r="AE44" s="75" t="e">
        <f t="shared" ca="1" si="94"/>
        <v>#REF!</v>
      </c>
      <c r="AF44" s="70" t="e">
        <f t="shared" ca="1" si="95"/>
        <v>#REF!</v>
      </c>
      <c r="AG44" s="70" t="e">
        <f t="shared" ca="1" si="96"/>
        <v>#REF!</v>
      </c>
      <c r="AH44" s="70" t="e">
        <f t="shared" ca="1" si="97"/>
        <v>#REF!</v>
      </c>
      <c r="AI44" s="67" t="e">
        <f t="shared" ca="1" si="66"/>
        <v>#REF!</v>
      </c>
      <c r="AJ44" s="70" t="e">
        <f ca="1">-IF(INDEX(SC_ZX_CodeA,ZXIDX1)="X", 0, MIN(AI44*MAX(INDEX(SC_ZX_Drawdown,ZXIDX2),0),AH44))</f>
        <v>#REF!</v>
      </c>
      <c r="AK44" s="109" t="e">
        <f t="shared" ca="1" si="98"/>
        <v>#REF!</v>
      </c>
      <c r="AL44" s="75" t="e">
        <f t="shared" ca="1" si="99"/>
        <v>#REF!</v>
      </c>
      <c r="AM44" s="70" t="e">
        <f t="shared" ca="1" si="100"/>
        <v>#REF!</v>
      </c>
      <c r="AN44" s="70" t="e">
        <f t="shared" ca="1" si="101"/>
        <v>#REF!</v>
      </c>
      <c r="AO44" s="70" t="e">
        <f t="shared" ca="1" si="102"/>
        <v>#REF!</v>
      </c>
      <c r="AP44" s="67" t="e">
        <f t="shared" ca="1" si="67"/>
        <v>#REF!</v>
      </c>
      <c r="AQ44" s="70" t="e">
        <f ca="1">-IF(INDEX(SC_ZX_CodeA,ZXIDX1)="X", 0, MIN(AP44*MAX(INDEX(SC_ZX_Drawdown,ZXIDX2),0),AO44))</f>
        <v>#REF!</v>
      </c>
      <c r="AR44" s="109" t="e">
        <f t="shared" ca="1" si="103"/>
        <v>#REF!</v>
      </c>
      <c r="AS44" s="75" t="e">
        <f t="shared" ca="1" si="104"/>
        <v>#REF!</v>
      </c>
      <c r="AT44" s="70" t="e">
        <f t="shared" ca="1" si="105"/>
        <v>#REF!</v>
      </c>
      <c r="AU44" s="70" t="e">
        <f t="shared" ca="1" si="106"/>
        <v>#REF!</v>
      </c>
      <c r="AV44" s="70" t="e">
        <f t="shared" ca="1" si="107"/>
        <v>#REF!</v>
      </c>
      <c r="AW44" s="67" t="e">
        <f t="shared" ca="1" si="68"/>
        <v>#REF!</v>
      </c>
      <c r="AX44" s="70" t="e">
        <f ca="1">-IF(INDEX(SC_ZX_CodeA,ZXIDX1)="X", 0, MIN(AW44*MAX(INDEX(SC_ZX_Drawdown,ZXIDX2),0),AV44))</f>
        <v>#REF!</v>
      </c>
      <c r="AY44" s="109" t="e">
        <f t="shared" ca="1" si="108"/>
        <v>#REF!</v>
      </c>
      <c r="AZ44" s="75" t="e">
        <f t="shared" ca="1" si="109"/>
        <v>#REF!</v>
      </c>
      <c r="BA44" s="70" t="e">
        <f t="shared" ca="1" si="110"/>
        <v>#REF!</v>
      </c>
      <c r="BB44" s="70" t="e">
        <f t="shared" ca="1" si="111"/>
        <v>#REF!</v>
      </c>
      <c r="BC44" s="70" t="e">
        <f t="shared" ca="1" si="112"/>
        <v>#REF!</v>
      </c>
      <c r="BD44" s="67" t="e">
        <f t="shared" ca="1" si="69"/>
        <v>#REF!</v>
      </c>
      <c r="BE44" s="70" t="e">
        <f ca="1">-IF(INDEX(SC_ZX_CodeA,ZXIDX1)="X", 0, MIN(BD44*MAX(INDEX(SC_ZX_Drawdown,ZXIDX2),0),AZ44))</f>
        <v>#REF!</v>
      </c>
      <c r="BF44" s="109" t="e">
        <f t="shared" ca="1" si="113"/>
        <v>#REF!</v>
      </c>
      <c r="BG44" s="75" t="e">
        <f t="shared" ca="1" si="114"/>
        <v>#REF!</v>
      </c>
      <c r="BH44" s="70" t="e">
        <f t="shared" ca="1" si="115"/>
        <v>#REF!</v>
      </c>
      <c r="BI44" s="70" t="e">
        <f t="shared" ca="1" si="116"/>
        <v>#REF!</v>
      </c>
      <c r="BJ44" s="70" t="e">
        <f t="shared" ca="1" si="117"/>
        <v>#REF!</v>
      </c>
      <c r="BK44" s="67" t="e">
        <f t="shared" ca="1" si="70"/>
        <v>#REF!</v>
      </c>
      <c r="BL44" s="70" t="e">
        <f ca="1">-IF(INDEX(SC_ZX_CodeA,ZXIDX1)="X", 0, MIN(BK44*MAX(INDEX(SC_ZX_Drawdown,ZXIDX2),0),BJ44))</f>
        <v>#REF!</v>
      </c>
      <c r="BM44" s="70" t="e">
        <f t="shared" ca="1" si="118"/>
        <v>#REF!</v>
      </c>
      <c r="BN44" s="111" t="e">
        <f t="shared" ca="1" si="119"/>
        <v>#REF!</v>
      </c>
      <c r="BO44" s="112" t="e">
        <f t="shared" ca="1" si="120"/>
        <v>#REF!</v>
      </c>
      <c r="BP44" s="112" t="e">
        <f ca="1">-($V44-IF(($P44+$R44+$S44)&gt;0,MAX($V44/($P44+$R44+$S44)*($Q44+$R44),$V44),0))*LT_InvestmentQDI</f>
        <v>#VALUE!</v>
      </c>
      <c r="BQ44" s="112" t="e">
        <f ca="1">-($V44-IF(($P44+$R44+$S44)&gt;0,MAX($V44/($P44+$R44+$S44)*($Q44+$R44),$V44),0))*(1-LT_InvestmentQDI)</f>
        <v>#VALUE!</v>
      </c>
      <c r="BR44" s="112" t="e">
        <f t="shared" ca="1" si="121"/>
        <v>#VALUE!</v>
      </c>
      <c r="BS44" s="112" t="e">
        <f t="shared" ca="1" si="122"/>
        <v>#VALUE!</v>
      </c>
      <c r="BT44" s="634" t="e">
        <f ca="1">SUMPRODUCT($BN44:$BN45+$BO44:$BO45, --($E44:$E45&lt;&gt;0))</f>
        <v>#REF!</v>
      </c>
      <c r="BU44" s="617" t="e">
        <f ca="1">SUMPRODUCT($BR44:$BR45+$BS44:$BS45, --($E44:$E45&lt;&gt;0))</f>
        <v>#VALUE!</v>
      </c>
      <c r="BV44" s="617" t="e">
        <f ca="1">$T44+SUMPRODUCT($AA44:$AA45+$AH44:$AH45+$AO44:$AO45+$AV44:$AV45+$BC44:$BC45+$BJ44:$BJ45, --($E44:$E45&lt;&gt;0))</f>
        <v>#VALUE!</v>
      </c>
      <c r="BW44" s="617" t="e">
        <f ca="1">MAX($P44-$Q44,0)+SUMPRODUCT($X44:$X45+$AL44:$AL45+$AZ44:$AZ45, --($E44:$E45&lt;&gt;0))</f>
        <v>#VALUE!</v>
      </c>
      <c r="BX44" s="618" t="e">
        <f ca="1">MIN($P44,$Q44)+SUMPRODUCT($AE44:$AE45+$AS44:$AS45+$BG44:$BG45, --($E44:$E45&lt;&gt;0))</f>
        <v>#VALUE!</v>
      </c>
      <c r="CO44" s="8"/>
    </row>
    <row r="45" spans="2:93" x14ac:dyDescent="0.25">
      <c r="B45" s="86">
        <f t="shared" ca="1" si="59"/>
        <v>2039</v>
      </c>
      <c r="C45" s="80" t="s">
        <v>741</v>
      </c>
      <c r="D45" s="147" t="str">
        <f t="shared" si="84"/>
        <v/>
      </c>
      <c r="E45" s="81">
        <f t="shared" si="8"/>
        <v>0</v>
      </c>
      <c r="F45" s="81">
        <f t="shared" si="18"/>
        <v>2</v>
      </c>
      <c r="G45" s="82">
        <f t="shared" si="9"/>
        <v>-1</v>
      </c>
      <c r="H45" s="82">
        <f t="shared" si="85"/>
        <v>0</v>
      </c>
      <c r="I45" s="81" t="b">
        <f t="shared" si="86"/>
        <v>0</v>
      </c>
      <c r="J45" s="81"/>
      <c r="K45" s="81"/>
      <c r="L45" s="81"/>
      <c r="M45" s="81"/>
      <c r="N45" s="633"/>
      <c r="O45" s="243" t="e">
        <f ca="1">LT_InvestmentStocks*INDEX(SP_EA_ARStocks,EAIDX)+LT_InvestmentBonds*INDEX(SC_EA_ARBonds,EAIDX)</f>
        <v>#REF!</v>
      </c>
      <c r="P45" s="634"/>
      <c r="Q45" s="617"/>
      <c r="R45" s="617"/>
      <c r="S45" s="617"/>
      <c r="T45" s="617"/>
      <c r="U45" s="643"/>
      <c r="V45" s="617"/>
      <c r="W45" s="639"/>
      <c r="X45" s="106" t="e">
        <f t="shared" ca="1" si="89"/>
        <v>#REF!</v>
      </c>
      <c r="Y45" s="107" t="e">
        <f t="shared" ca="1" si="90"/>
        <v>#REF!</v>
      </c>
      <c r="Z45" s="107" t="e">
        <f t="shared" ca="1" si="91"/>
        <v>#REF!</v>
      </c>
      <c r="AA45" s="107" t="e">
        <f t="shared" ca="1" si="92"/>
        <v>#REF!</v>
      </c>
      <c r="AB45" s="91" t="e">
        <f t="shared" ca="1" si="65"/>
        <v>#REF!</v>
      </c>
      <c r="AC45" s="107" t="e">
        <f ca="1">-IF(INDEX(SC_ZX_CodeA,ZXIDX1)="X", 0, MIN(AB45*MAX(INDEX(SC_ZX_Drawdown,ZXIDX2),0),AA45))</f>
        <v>#REF!</v>
      </c>
      <c r="AD45" s="110" t="e">
        <f t="shared" ca="1" si="93"/>
        <v>#REF!</v>
      </c>
      <c r="AE45" s="106" t="e">
        <f t="shared" ca="1" si="94"/>
        <v>#REF!</v>
      </c>
      <c r="AF45" s="107" t="e">
        <f t="shared" ca="1" si="95"/>
        <v>#REF!</v>
      </c>
      <c r="AG45" s="107" t="e">
        <f t="shared" ca="1" si="96"/>
        <v>#REF!</v>
      </c>
      <c r="AH45" s="107" t="e">
        <f t="shared" ca="1" si="97"/>
        <v>#REF!</v>
      </c>
      <c r="AI45" s="91" t="e">
        <f t="shared" ca="1" si="66"/>
        <v>#REF!</v>
      </c>
      <c r="AJ45" s="107" t="e">
        <f ca="1">-IF(INDEX(SC_ZX_CodeA,ZXIDX1)="X", 0, MIN(AI45*MAX(INDEX(SC_ZX_Drawdown,ZXIDX2),0),AH45))</f>
        <v>#REF!</v>
      </c>
      <c r="AK45" s="110" t="e">
        <f t="shared" ca="1" si="98"/>
        <v>#REF!</v>
      </c>
      <c r="AL45" s="106" t="e">
        <f t="shared" ca="1" si="99"/>
        <v>#REF!</v>
      </c>
      <c r="AM45" s="107" t="e">
        <f t="shared" ca="1" si="100"/>
        <v>#REF!</v>
      </c>
      <c r="AN45" s="107" t="e">
        <f t="shared" ca="1" si="101"/>
        <v>#REF!</v>
      </c>
      <c r="AO45" s="107" t="e">
        <f t="shared" ca="1" si="102"/>
        <v>#REF!</v>
      </c>
      <c r="AP45" s="91" t="e">
        <f t="shared" ca="1" si="67"/>
        <v>#REF!</v>
      </c>
      <c r="AQ45" s="107" t="e">
        <f ca="1">-IF(INDEX(SC_ZX_CodeA,ZXIDX1)="X", 0, MIN(AP45*MAX(INDEX(SC_ZX_Drawdown,ZXIDX2),0),AO45))</f>
        <v>#REF!</v>
      </c>
      <c r="AR45" s="110" t="e">
        <f t="shared" ca="1" si="103"/>
        <v>#REF!</v>
      </c>
      <c r="AS45" s="106" t="e">
        <f t="shared" ca="1" si="104"/>
        <v>#REF!</v>
      </c>
      <c r="AT45" s="107" t="e">
        <f t="shared" ca="1" si="105"/>
        <v>#REF!</v>
      </c>
      <c r="AU45" s="107" t="e">
        <f t="shared" ca="1" si="106"/>
        <v>#REF!</v>
      </c>
      <c r="AV45" s="107" t="e">
        <f t="shared" ca="1" si="107"/>
        <v>#REF!</v>
      </c>
      <c r="AW45" s="91" t="e">
        <f t="shared" ca="1" si="68"/>
        <v>#REF!</v>
      </c>
      <c r="AX45" s="107" t="e">
        <f ca="1">-IF(INDEX(SC_ZX_CodeA,ZXIDX1)="X", 0, MIN(AW45*MAX(INDEX(SC_ZX_Drawdown,ZXIDX2),0),AV45))</f>
        <v>#REF!</v>
      </c>
      <c r="AY45" s="110" t="e">
        <f t="shared" ca="1" si="108"/>
        <v>#REF!</v>
      </c>
      <c r="AZ45" s="106" t="e">
        <f t="shared" ca="1" si="109"/>
        <v>#REF!</v>
      </c>
      <c r="BA45" s="107" t="e">
        <f t="shared" ca="1" si="110"/>
        <v>#REF!</v>
      </c>
      <c r="BB45" s="107" t="e">
        <f t="shared" ca="1" si="111"/>
        <v>#REF!</v>
      </c>
      <c r="BC45" s="107" t="e">
        <f t="shared" ca="1" si="112"/>
        <v>#REF!</v>
      </c>
      <c r="BD45" s="91" t="e">
        <f t="shared" ca="1" si="69"/>
        <v>#REF!</v>
      </c>
      <c r="BE45" s="107" t="e">
        <f ca="1">-IF(INDEX(SC_ZX_CodeA,ZXIDX1)="X", 0, MIN(BD45*MAX(INDEX(SC_ZX_Drawdown,ZXIDX2),0),AZ45))</f>
        <v>#REF!</v>
      </c>
      <c r="BF45" s="110" t="e">
        <f t="shared" ca="1" si="113"/>
        <v>#REF!</v>
      </c>
      <c r="BG45" s="106" t="e">
        <f t="shared" ca="1" si="114"/>
        <v>#REF!</v>
      </c>
      <c r="BH45" s="107" t="e">
        <f t="shared" ca="1" si="115"/>
        <v>#REF!</v>
      </c>
      <c r="BI45" s="107" t="e">
        <f t="shared" ca="1" si="116"/>
        <v>#REF!</v>
      </c>
      <c r="BJ45" s="107" t="e">
        <f t="shared" ca="1" si="117"/>
        <v>#REF!</v>
      </c>
      <c r="BK45" s="91" t="e">
        <f t="shared" ca="1" si="70"/>
        <v>#REF!</v>
      </c>
      <c r="BL45" s="107" t="e">
        <f ca="1">-IF(INDEX(SC_ZX_CodeA,ZXIDX1)="X", 0, MIN(BK45*MAX(INDEX(SC_ZX_Drawdown,ZXIDX2),0),BJ45))</f>
        <v>#REF!</v>
      </c>
      <c r="BM45" s="107" t="e">
        <f t="shared" ca="1" si="118"/>
        <v>#REF!</v>
      </c>
      <c r="BN45" s="113" t="e">
        <f t="shared" ca="1" si="119"/>
        <v>#REF!</v>
      </c>
      <c r="BO45" s="114" t="e">
        <f t="shared" ca="1" si="120"/>
        <v>#REF!</v>
      </c>
      <c r="BP45" s="114" t="e">
        <f ca="1">-($V45-IF(($P45+$R45+$S45)&gt;0,MAX($V45/($P45+$R45+$S45)*($Q45+$R45),$V45),0))*LT_InvestmentQDI</f>
        <v>#REF!</v>
      </c>
      <c r="BQ45" s="114" t="e">
        <f ca="1">-($V45-IF(($P45+$R45+$S45)&gt;0,MAX($V45/($P45+$R45+$S45)*($Q45+$R45),$V45),0))*(1-LT_InvestmentQDI)</f>
        <v>#REF!</v>
      </c>
      <c r="BR45" s="114" t="e">
        <f t="shared" ca="1" si="121"/>
        <v>#REF!</v>
      </c>
      <c r="BS45" s="114" t="e">
        <f t="shared" ca="1" si="122"/>
        <v>#REF!</v>
      </c>
      <c r="BT45" s="649"/>
      <c r="BU45" s="637"/>
      <c r="BV45" s="637"/>
      <c r="BW45" s="637"/>
      <c r="BX45" s="639"/>
      <c r="CO45" s="8"/>
    </row>
    <row r="46" spans="2:93" x14ac:dyDescent="0.25">
      <c r="B46" s="65">
        <f ca="1">B44+1</f>
        <v>2040</v>
      </c>
      <c r="C46" s="76" t="s">
        <v>741</v>
      </c>
      <c r="D46" s="146" t="str">
        <f t="shared" si="84"/>
        <v/>
      </c>
      <c r="E46" s="77">
        <f t="shared" si="8"/>
        <v>0</v>
      </c>
      <c r="F46" s="77">
        <f t="shared" si="18"/>
        <v>1</v>
      </c>
      <c r="G46" s="76">
        <f t="shared" si="9"/>
        <v>1</v>
      </c>
      <c r="H46" s="76">
        <f t="shared" si="85"/>
        <v>0</v>
      </c>
      <c r="I46" s="77" t="b">
        <f t="shared" si="86"/>
        <v>0</v>
      </c>
      <c r="J46" s="77"/>
      <c r="K46" s="77"/>
      <c r="L46" s="77"/>
      <c r="M46" s="77"/>
      <c r="N46" s="632">
        <f ca="1">YEAR(SP_TargetRD)-$B46</f>
        <v>-17</v>
      </c>
      <c r="O46" s="243" t="e">
        <f ca="1">LT_InvestmentStocks*INDEX(SP_EA_ARStocks,EAIDX)+LT_InvestmentBonds*INDEX(SC_EA_ARBonds,EAIDX)</f>
        <v>#REF!</v>
      </c>
      <c r="P46" s="634" t="e">
        <f ca="1">MAX(P44+R44+S44+V44+W44,0)</f>
        <v>#VALUE!</v>
      </c>
      <c r="Q46" s="617" t="e">
        <f t="shared" ref="Q46" ca="1" si="124">MAX(Q44+R44+IF((P44+R44+S44)&gt;0,MAX(V44/(P44+R44+S44)*(Q44+R44),V44),0),0)</f>
        <v>#VALUE!</v>
      </c>
      <c r="R46" s="617" t="e">
        <f ca="1">IF(SC_ZX_CodeA="X", 0, MAX(INDEX(SC_ZX_IncomeSurplus,ZXIDX2)+INDEX(SC_ZX_Debt,ZXIDX2),0))</f>
        <v>#VALUE!</v>
      </c>
      <c r="S46" s="617" t="e">
        <f ca="1">IF(SC_ZX_CodeA="X", 0, INDEX(SC_EX_RolloverCore,EXIDX))</f>
        <v>#VALUE!</v>
      </c>
      <c r="T46" s="617" t="e">
        <f ca="1">P46+R46+S46</f>
        <v>#VALUE!</v>
      </c>
      <c r="U46" s="642" t="e">
        <f ca="1">IF(SC_ZX_BalanceAccessibleA&gt;0, T46/SC_ZX_BalanceAccessibleA, 0)</f>
        <v>#VALUE!</v>
      </c>
      <c r="V46" s="617" t="e">
        <f ca="1">-IF(SC_ZX_CodeA="X",0,MIN(U46*MAX(INDEX(SC_ZX_Drawdown,ZXIDX2),0),T46))</f>
        <v>#VALUE!</v>
      </c>
      <c r="W46" s="618" t="e">
        <f ca="1">(P46+R46+S46+V46)*$O46</f>
        <v>#VALUE!</v>
      </c>
      <c r="X46" s="75" t="e">
        <f t="shared" ca="1" si="89"/>
        <v>#REF!</v>
      </c>
      <c r="Y46" s="70" t="e">
        <f t="shared" ca="1" si="90"/>
        <v>#REF!</v>
      </c>
      <c r="Z46" s="70" t="e">
        <f t="shared" ca="1" si="91"/>
        <v>#REF!</v>
      </c>
      <c r="AA46" s="70" t="e">
        <f t="shared" ca="1" si="92"/>
        <v>#REF!</v>
      </c>
      <c r="AB46" s="67" t="e">
        <f t="shared" ca="1" si="65"/>
        <v>#REF!</v>
      </c>
      <c r="AC46" s="70" t="e">
        <f ca="1">-IF(INDEX(SC_ZX_CodeA,ZXIDX1)="X", 0, MIN(AB46*MAX(INDEX(SC_ZX_Drawdown,ZXIDX2),0),AA46))</f>
        <v>#REF!</v>
      </c>
      <c r="AD46" s="109" t="e">
        <f t="shared" ca="1" si="93"/>
        <v>#REF!</v>
      </c>
      <c r="AE46" s="75" t="e">
        <f t="shared" ca="1" si="94"/>
        <v>#REF!</v>
      </c>
      <c r="AF46" s="70" t="e">
        <f t="shared" ca="1" si="95"/>
        <v>#REF!</v>
      </c>
      <c r="AG46" s="70" t="e">
        <f t="shared" ca="1" si="96"/>
        <v>#REF!</v>
      </c>
      <c r="AH46" s="70" t="e">
        <f t="shared" ca="1" si="97"/>
        <v>#REF!</v>
      </c>
      <c r="AI46" s="67" t="e">
        <f t="shared" ca="1" si="66"/>
        <v>#REF!</v>
      </c>
      <c r="AJ46" s="70" t="e">
        <f ca="1">-IF(INDEX(SC_ZX_CodeA,ZXIDX1)="X", 0, MIN(AI46*MAX(INDEX(SC_ZX_Drawdown,ZXIDX2),0),AH46))</f>
        <v>#REF!</v>
      </c>
      <c r="AK46" s="109" t="e">
        <f t="shared" ca="1" si="98"/>
        <v>#REF!</v>
      </c>
      <c r="AL46" s="75" t="e">
        <f t="shared" ca="1" si="99"/>
        <v>#REF!</v>
      </c>
      <c r="AM46" s="70" t="e">
        <f t="shared" ca="1" si="100"/>
        <v>#REF!</v>
      </c>
      <c r="AN46" s="70" t="e">
        <f t="shared" ca="1" si="101"/>
        <v>#REF!</v>
      </c>
      <c r="AO46" s="70" t="e">
        <f t="shared" ca="1" si="102"/>
        <v>#REF!</v>
      </c>
      <c r="AP46" s="67" t="e">
        <f t="shared" ca="1" si="67"/>
        <v>#REF!</v>
      </c>
      <c r="AQ46" s="70" t="e">
        <f ca="1">-IF(INDEX(SC_ZX_CodeA,ZXIDX1)="X", 0, MIN(AP46*MAX(INDEX(SC_ZX_Drawdown,ZXIDX2),0),AO46))</f>
        <v>#REF!</v>
      </c>
      <c r="AR46" s="109" t="e">
        <f t="shared" ca="1" si="103"/>
        <v>#REF!</v>
      </c>
      <c r="AS46" s="75" t="e">
        <f t="shared" ca="1" si="104"/>
        <v>#REF!</v>
      </c>
      <c r="AT46" s="70" t="e">
        <f t="shared" ca="1" si="105"/>
        <v>#REF!</v>
      </c>
      <c r="AU46" s="70" t="e">
        <f t="shared" ca="1" si="106"/>
        <v>#REF!</v>
      </c>
      <c r="AV46" s="70" t="e">
        <f t="shared" ca="1" si="107"/>
        <v>#REF!</v>
      </c>
      <c r="AW46" s="67" t="e">
        <f t="shared" ca="1" si="68"/>
        <v>#REF!</v>
      </c>
      <c r="AX46" s="70" t="e">
        <f ca="1">-IF(INDEX(SC_ZX_CodeA,ZXIDX1)="X", 0, MIN(AW46*MAX(INDEX(SC_ZX_Drawdown,ZXIDX2),0),AV46))</f>
        <v>#REF!</v>
      </c>
      <c r="AY46" s="109" t="e">
        <f t="shared" ca="1" si="108"/>
        <v>#REF!</v>
      </c>
      <c r="AZ46" s="75" t="e">
        <f t="shared" ca="1" si="109"/>
        <v>#REF!</v>
      </c>
      <c r="BA46" s="70" t="e">
        <f t="shared" ca="1" si="110"/>
        <v>#REF!</v>
      </c>
      <c r="BB46" s="70" t="e">
        <f t="shared" ca="1" si="111"/>
        <v>#REF!</v>
      </c>
      <c r="BC46" s="70" t="e">
        <f t="shared" ca="1" si="112"/>
        <v>#REF!</v>
      </c>
      <c r="BD46" s="67" t="e">
        <f t="shared" ca="1" si="69"/>
        <v>#REF!</v>
      </c>
      <c r="BE46" s="70" t="e">
        <f ca="1">-IF(INDEX(SC_ZX_CodeA,ZXIDX1)="X", 0, MIN(BD46*MAX(INDEX(SC_ZX_Drawdown,ZXIDX2),0),AZ46))</f>
        <v>#REF!</v>
      </c>
      <c r="BF46" s="109" t="e">
        <f t="shared" ca="1" si="113"/>
        <v>#REF!</v>
      </c>
      <c r="BG46" s="75" t="e">
        <f t="shared" ca="1" si="114"/>
        <v>#REF!</v>
      </c>
      <c r="BH46" s="70" t="e">
        <f t="shared" ca="1" si="115"/>
        <v>#REF!</v>
      </c>
      <c r="BI46" s="70" t="e">
        <f t="shared" ca="1" si="116"/>
        <v>#REF!</v>
      </c>
      <c r="BJ46" s="70" t="e">
        <f t="shared" ca="1" si="117"/>
        <v>#REF!</v>
      </c>
      <c r="BK46" s="67" t="e">
        <f t="shared" ca="1" si="70"/>
        <v>#REF!</v>
      </c>
      <c r="BL46" s="70" t="e">
        <f ca="1">-IF(INDEX(SC_ZX_CodeA,ZXIDX1)="X", 0, MIN(BK46*MAX(INDEX(SC_ZX_Drawdown,ZXIDX2),0),BJ46))</f>
        <v>#REF!</v>
      </c>
      <c r="BM46" s="70" t="e">
        <f t="shared" ca="1" si="118"/>
        <v>#REF!</v>
      </c>
      <c r="BN46" s="111" t="e">
        <f t="shared" ca="1" si="119"/>
        <v>#REF!</v>
      </c>
      <c r="BO46" s="112" t="e">
        <f t="shared" ca="1" si="120"/>
        <v>#REF!</v>
      </c>
      <c r="BP46" s="112" t="e">
        <f ca="1">-($V46-IF(($P46+$R46+$S46)&gt;0,MAX($V46/($P46+$R46+$S46)*($Q46+$R46),$V46),0))*LT_InvestmentQDI</f>
        <v>#VALUE!</v>
      </c>
      <c r="BQ46" s="112" t="e">
        <f ca="1">-($V46-IF(($P46+$R46+$S46)&gt;0,MAX($V46/($P46+$R46+$S46)*($Q46+$R46),$V46),0))*(1-LT_InvestmentQDI)</f>
        <v>#VALUE!</v>
      </c>
      <c r="BR46" s="112" t="e">
        <f t="shared" ca="1" si="121"/>
        <v>#VALUE!</v>
      </c>
      <c r="BS46" s="112" t="e">
        <f t="shared" ca="1" si="122"/>
        <v>#VALUE!</v>
      </c>
      <c r="BT46" s="634" t="e">
        <f ca="1">SUMPRODUCT($BN46:$BN47+$BO46:$BO47, --($E46:$E47&lt;&gt;0))</f>
        <v>#REF!</v>
      </c>
      <c r="BU46" s="617" t="e">
        <f ca="1">SUMPRODUCT($BR46:$BR47+$BS46:$BS47, --($E46:$E47&lt;&gt;0))</f>
        <v>#VALUE!</v>
      </c>
      <c r="BV46" s="617" t="e">
        <f ca="1">$T46+SUMPRODUCT($AA46:$AA47+$AH46:$AH47+$AO46:$AO47+$AV46:$AV47+$BC46:$BC47+$BJ46:$BJ47, --($E46:$E47&lt;&gt;0))</f>
        <v>#VALUE!</v>
      </c>
      <c r="BW46" s="617" t="e">
        <f ca="1">MAX($P46-$Q46,0)+SUMPRODUCT($X46:$X47+$AL46:$AL47+$AZ46:$AZ47, --($E46:$E47&lt;&gt;0))</f>
        <v>#VALUE!</v>
      </c>
      <c r="BX46" s="618" t="e">
        <f ca="1">MIN($P46,$Q46)+SUMPRODUCT($AE46:$AE47+$AS46:$AS47+$BG46:$BG47, --($E46:$E47&lt;&gt;0))</f>
        <v>#VALUE!</v>
      </c>
      <c r="CO46" s="8"/>
    </row>
    <row r="47" spans="2:93" x14ac:dyDescent="0.25">
      <c r="B47" s="86">
        <f t="shared" ca="1" si="59"/>
        <v>2040</v>
      </c>
      <c r="C47" s="80" t="s">
        <v>741</v>
      </c>
      <c r="D47" s="147" t="str">
        <f t="shared" si="84"/>
        <v/>
      </c>
      <c r="E47" s="81">
        <f t="shared" si="8"/>
        <v>0</v>
      </c>
      <c r="F47" s="81">
        <f t="shared" si="18"/>
        <v>2</v>
      </c>
      <c r="G47" s="82">
        <f t="shared" si="9"/>
        <v>-1</v>
      </c>
      <c r="H47" s="82">
        <f t="shared" si="85"/>
        <v>0</v>
      </c>
      <c r="I47" s="81" t="b">
        <f t="shared" si="86"/>
        <v>0</v>
      </c>
      <c r="J47" s="81"/>
      <c r="K47" s="81"/>
      <c r="L47" s="81"/>
      <c r="M47" s="81"/>
      <c r="N47" s="633"/>
      <c r="O47" s="243" t="e">
        <f ca="1">LT_InvestmentStocks*INDEX(SP_EA_ARStocks,EAIDX)+LT_InvestmentBonds*INDEX(SC_EA_ARBonds,EAIDX)</f>
        <v>#REF!</v>
      </c>
      <c r="P47" s="634"/>
      <c r="Q47" s="617"/>
      <c r="R47" s="617"/>
      <c r="S47" s="617"/>
      <c r="T47" s="617"/>
      <c r="U47" s="643"/>
      <c r="V47" s="617"/>
      <c r="W47" s="639"/>
      <c r="X47" s="106" t="e">
        <f t="shared" ca="1" si="89"/>
        <v>#REF!</v>
      </c>
      <c r="Y47" s="107" t="e">
        <f t="shared" ca="1" si="90"/>
        <v>#REF!</v>
      </c>
      <c r="Z47" s="107" t="e">
        <f t="shared" ca="1" si="91"/>
        <v>#REF!</v>
      </c>
      <c r="AA47" s="107" t="e">
        <f t="shared" ca="1" si="92"/>
        <v>#REF!</v>
      </c>
      <c r="AB47" s="91" t="e">
        <f t="shared" ca="1" si="65"/>
        <v>#REF!</v>
      </c>
      <c r="AC47" s="107" t="e">
        <f ca="1">-IF(INDEX(SC_ZX_CodeA,ZXIDX1)="X", 0, MIN(AB47*MAX(INDEX(SC_ZX_Drawdown,ZXIDX2),0),AA47))</f>
        <v>#REF!</v>
      </c>
      <c r="AD47" s="110" t="e">
        <f t="shared" ca="1" si="93"/>
        <v>#REF!</v>
      </c>
      <c r="AE47" s="106" t="e">
        <f t="shared" ca="1" si="94"/>
        <v>#REF!</v>
      </c>
      <c r="AF47" s="107" t="e">
        <f t="shared" ca="1" si="95"/>
        <v>#REF!</v>
      </c>
      <c r="AG47" s="107" t="e">
        <f t="shared" ca="1" si="96"/>
        <v>#REF!</v>
      </c>
      <c r="AH47" s="107" t="e">
        <f t="shared" ca="1" si="97"/>
        <v>#REF!</v>
      </c>
      <c r="AI47" s="91" t="e">
        <f t="shared" ca="1" si="66"/>
        <v>#REF!</v>
      </c>
      <c r="AJ47" s="107" t="e">
        <f ca="1">-IF(INDEX(SC_ZX_CodeA,ZXIDX1)="X", 0, MIN(AI47*MAX(INDEX(SC_ZX_Drawdown,ZXIDX2),0),AH47))</f>
        <v>#REF!</v>
      </c>
      <c r="AK47" s="110" t="e">
        <f t="shared" ca="1" si="98"/>
        <v>#REF!</v>
      </c>
      <c r="AL47" s="106" t="e">
        <f t="shared" ca="1" si="99"/>
        <v>#REF!</v>
      </c>
      <c r="AM47" s="107" t="e">
        <f t="shared" ca="1" si="100"/>
        <v>#REF!</v>
      </c>
      <c r="AN47" s="107" t="e">
        <f t="shared" ca="1" si="101"/>
        <v>#REF!</v>
      </c>
      <c r="AO47" s="107" t="e">
        <f t="shared" ca="1" si="102"/>
        <v>#REF!</v>
      </c>
      <c r="AP47" s="91" t="e">
        <f t="shared" ca="1" si="67"/>
        <v>#REF!</v>
      </c>
      <c r="AQ47" s="107" t="e">
        <f ca="1">-IF(INDEX(SC_ZX_CodeA,ZXIDX1)="X", 0, MIN(AP47*MAX(INDEX(SC_ZX_Drawdown,ZXIDX2),0),AO47))</f>
        <v>#REF!</v>
      </c>
      <c r="AR47" s="110" t="e">
        <f t="shared" ca="1" si="103"/>
        <v>#REF!</v>
      </c>
      <c r="AS47" s="106" t="e">
        <f t="shared" ca="1" si="104"/>
        <v>#REF!</v>
      </c>
      <c r="AT47" s="107" t="e">
        <f t="shared" ca="1" si="105"/>
        <v>#REF!</v>
      </c>
      <c r="AU47" s="107" t="e">
        <f t="shared" ca="1" si="106"/>
        <v>#REF!</v>
      </c>
      <c r="AV47" s="107" t="e">
        <f t="shared" ca="1" si="107"/>
        <v>#REF!</v>
      </c>
      <c r="AW47" s="91" t="e">
        <f t="shared" ca="1" si="68"/>
        <v>#REF!</v>
      </c>
      <c r="AX47" s="107" t="e">
        <f ca="1">-IF(INDEX(SC_ZX_CodeA,ZXIDX1)="X", 0, MIN(AW47*MAX(INDEX(SC_ZX_Drawdown,ZXIDX2),0),AV47))</f>
        <v>#REF!</v>
      </c>
      <c r="AY47" s="110" t="e">
        <f t="shared" ca="1" si="108"/>
        <v>#REF!</v>
      </c>
      <c r="AZ47" s="106" t="e">
        <f t="shared" ca="1" si="109"/>
        <v>#REF!</v>
      </c>
      <c r="BA47" s="107" t="e">
        <f t="shared" ca="1" si="110"/>
        <v>#REF!</v>
      </c>
      <c r="BB47" s="107" t="e">
        <f t="shared" ca="1" si="111"/>
        <v>#REF!</v>
      </c>
      <c r="BC47" s="107" t="e">
        <f t="shared" ca="1" si="112"/>
        <v>#REF!</v>
      </c>
      <c r="BD47" s="91" t="e">
        <f t="shared" ca="1" si="69"/>
        <v>#REF!</v>
      </c>
      <c r="BE47" s="107" t="e">
        <f ca="1">-IF(INDEX(SC_ZX_CodeA,ZXIDX1)="X", 0, MIN(BD47*MAX(INDEX(SC_ZX_Drawdown,ZXIDX2),0),AZ47))</f>
        <v>#REF!</v>
      </c>
      <c r="BF47" s="110" t="e">
        <f t="shared" ca="1" si="113"/>
        <v>#REF!</v>
      </c>
      <c r="BG47" s="106" t="e">
        <f t="shared" ca="1" si="114"/>
        <v>#REF!</v>
      </c>
      <c r="BH47" s="107" t="e">
        <f t="shared" ca="1" si="115"/>
        <v>#REF!</v>
      </c>
      <c r="BI47" s="107" t="e">
        <f t="shared" ca="1" si="116"/>
        <v>#REF!</v>
      </c>
      <c r="BJ47" s="107" t="e">
        <f t="shared" ca="1" si="117"/>
        <v>#REF!</v>
      </c>
      <c r="BK47" s="91" t="e">
        <f t="shared" ca="1" si="70"/>
        <v>#REF!</v>
      </c>
      <c r="BL47" s="107" t="e">
        <f ca="1">-IF(INDEX(SC_ZX_CodeA,ZXIDX1)="X", 0, MIN(BK47*MAX(INDEX(SC_ZX_Drawdown,ZXIDX2),0),BJ47))</f>
        <v>#REF!</v>
      </c>
      <c r="BM47" s="107" t="e">
        <f t="shared" ca="1" si="118"/>
        <v>#REF!</v>
      </c>
      <c r="BN47" s="113" t="e">
        <f t="shared" ca="1" si="119"/>
        <v>#REF!</v>
      </c>
      <c r="BO47" s="114" t="e">
        <f t="shared" ca="1" si="120"/>
        <v>#REF!</v>
      </c>
      <c r="BP47" s="114" t="e">
        <f ca="1">-($V47-IF(($P47+$R47+$S47)&gt;0,MAX($V47/($P47+$R47+$S47)*($Q47+$R47),$V47),0))*LT_InvestmentQDI</f>
        <v>#REF!</v>
      </c>
      <c r="BQ47" s="114" t="e">
        <f ca="1">-($V47-IF(($P47+$R47+$S47)&gt;0,MAX($V47/($P47+$R47+$S47)*($Q47+$R47),$V47),0))*(1-LT_InvestmentQDI)</f>
        <v>#REF!</v>
      </c>
      <c r="BR47" s="114" t="e">
        <f t="shared" ca="1" si="121"/>
        <v>#REF!</v>
      </c>
      <c r="BS47" s="114" t="e">
        <f t="shared" ca="1" si="122"/>
        <v>#REF!</v>
      </c>
      <c r="BT47" s="649"/>
      <c r="BU47" s="637"/>
      <c r="BV47" s="637"/>
      <c r="BW47" s="637"/>
      <c r="BX47" s="639"/>
      <c r="CO47" s="8"/>
    </row>
    <row r="48" spans="2:93" x14ac:dyDescent="0.25">
      <c r="B48" s="65">
        <f ca="1">B46+1</f>
        <v>2041</v>
      </c>
      <c r="C48" s="76" t="s">
        <v>741</v>
      </c>
      <c r="D48" s="146" t="str">
        <f t="shared" si="84"/>
        <v/>
      </c>
      <c r="E48" s="77">
        <f t="shared" si="8"/>
        <v>0</v>
      </c>
      <c r="F48" s="77">
        <f t="shared" si="18"/>
        <v>1</v>
      </c>
      <c r="G48" s="76">
        <f t="shared" si="9"/>
        <v>1</v>
      </c>
      <c r="H48" s="76">
        <f t="shared" si="85"/>
        <v>0</v>
      </c>
      <c r="I48" s="77" t="b">
        <f t="shared" si="86"/>
        <v>0</v>
      </c>
      <c r="J48" s="77"/>
      <c r="K48" s="77"/>
      <c r="L48" s="77"/>
      <c r="M48" s="77"/>
      <c r="N48" s="632">
        <f ca="1">YEAR(SP_TargetRD)-$B48</f>
        <v>-18</v>
      </c>
      <c r="O48" s="243" t="e">
        <f ca="1">LT_InvestmentStocks*INDEX(SP_EA_ARStocks,EAIDX)+LT_InvestmentBonds*INDEX(SC_EA_ARBonds,EAIDX)</f>
        <v>#REF!</v>
      </c>
      <c r="P48" s="634" t="e">
        <f ca="1">MAX(P46+R46+S46+V46+W46,0)</f>
        <v>#VALUE!</v>
      </c>
      <c r="Q48" s="617" t="e">
        <f t="shared" ref="Q48" ca="1" si="125">MAX(Q46+R46+IF((P46+R46+S46)&gt;0,MAX(V46/(P46+R46+S46)*(Q46+R46),V46),0),0)</f>
        <v>#VALUE!</v>
      </c>
      <c r="R48" s="617" t="e">
        <f ca="1">IF(SC_ZX_CodeA="X", 0, MAX(INDEX(SC_ZX_IncomeSurplus,ZXIDX2)+INDEX(SC_ZX_Debt,ZXIDX2),0))</f>
        <v>#VALUE!</v>
      </c>
      <c r="S48" s="617" t="e">
        <f ca="1">IF(SC_ZX_CodeA="X", 0, INDEX(SC_EX_RolloverCore,EXIDX))</f>
        <v>#VALUE!</v>
      </c>
      <c r="T48" s="617" t="e">
        <f ca="1">P48+R48+S48</f>
        <v>#VALUE!</v>
      </c>
      <c r="U48" s="642" t="e">
        <f ca="1">IF(SC_ZX_BalanceAccessibleA&gt;0, T48/SC_ZX_BalanceAccessibleA, 0)</f>
        <v>#VALUE!</v>
      </c>
      <c r="V48" s="617" t="e">
        <f ca="1">-IF(SC_ZX_CodeA="X",0,MIN(U48*MAX(INDEX(SC_ZX_Drawdown,ZXIDX2),0),T48))</f>
        <v>#VALUE!</v>
      </c>
      <c r="W48" s="618" t="e">
        <f ca="1">(P48+R48+S48+V48)*$O48</f>
        <v>#VALUE!</v>
      </c>
      <c r="X48" s="75" t="e">
        <f t="shared" ca="1" si="89"/>
        <v>#REF!</v>
      </c>
      <c r="Y48" s="70" t="e">
        <f t="shared" ca="1" si="90"/>
        <v>#REF!</v>
      </c>
      <c r="Z48" s="70" t="e">
        <f t="shared" ca="1" si="91"/>
        <v>#REF!</v>
      </c>
      <c r="AA48" s="70" t="e">
        <f t="shared" ca="1" si="92"/>
        <v>#REF!</v>
      </c>
      <c r="AB48" s="67" t="e">
        <f t="shared" ca="1" si="65"/>
        <v>#REF!</v>
      </c>
      <c r="AC48" s="70" t="e">
        <f ca="1">-IF(INDEX(SC_ZX_CodeA,ZXIDX1)="X", 0, MIN(AB48*MAX(INDEX(SC_ZX_Drawdown,ZXIDX2),0),AA48))</f>
        <v>#REF!</v>
      </c>
      <c r="AD48" s="109" t="e">
        <f t="shared" ca="1" si="93"/>
        <v>#REF!</v>
      </c>
      <c r="AE48" s="75" t="e">
        <f t="shared" ca="1" si="94"/>
        <v>#REF!</v>
      </c>
      <c r="AF48" s="70" t="e">
        <f t="shared" ca="1" si="95"/>
        <v>#REF!</v>
      </c>
      <c r="AG48" s="70" t="e">
        <f t="shared" ca="1" si="96"/>
        <v>#REF!</v>
      </c>
      <c r="AH48" s="70" t="e">
        <f t="shared" ca="1" si="97"/>
        <v>#REF!</v>
      </c>
      <c r="AI48" s="67" t="e">
        <f t="shared" ca="1" si="66"/>
        <v>#REF!</v>
      </c>
      <c r="AJ48" s="70" t="e">
        <f ca="1">-IF(INDEX(SC_ZX_CodeA,ZXIDX1)="X", 0, MIN(AI48*MAX(INDEX(SC_ZX_Drawdown,ZXIDX2),0),AH48))</f>
        <v>#REF!</v>
      </c>
      <c r="AK48" s="109" t="e">
        <f t="shared" ca="1" si="98"/>
        <v>#REF!</v>
      </c>
      <c r="AL48" s="75" t="e">
        <f t="shared" ca="1" si="99"/>
        <v>#REF!</v>
      </c>
      <c r="AM48" s="70" t="e">
        <f t="shared" ca="1" si="100"/>
        <v>#REF!</v>
      </c>
      <c r="AN48" s="70" t="e">
        <f t="shared" ca="1" si="101"/>
        <v>#REF!</v>
      </c>
      <c r="AO48" s="70" t="e">
        <f t="shared" ca="1" si="102"/>
        <v>#REF!</v>
      </c>
      <c r="AP48" s="67" t="e">
        <f t="shared" ca="1" si="67"/>
        <v>#REF!</v>
      </c>
      <c r="AQ48" s="70" t="e">
        <f ca="1">-IF(INDEX(SC_ZX_CodeA,ZXIDX1)="X", 0, MIN(AP48*MAX(INDEX(SC_ZX_Drawdown,ZXIDX2),0),AO48))</f>
        <v>#REF!</v>
      </c>
      <c r="AR48" s="109" t="e">
        <f t="shared" ca="1" si="103"/>
        <v>#REF!</v>
      </c>
      <c r="AS48" s="75" t="e">
        <f t="shared" ca="1" si="104"/>
        <v>#REF!</v>
      </c>
      <c r="AT48" s="70" t="e">
        <f t="shared" ca="1" si="105"/>
        <v>#REF!</v>
      </c>
      <c r="AU48" s="70" t="e">
        <f t="shared" ca="1" si="106"/>
        <v>#REF!</v>
      </c>
      <c r="AV48" s="70" t="e">
        <f t="shared" ca="1" si="107"/>
        <v>#REF!</v>
      </c>
      <c r="AW48" s="67" t="e">
        <f t="shared" ca="1" si="68"/>
        <v>#REF!</v>
      </c>
      <c r="AX48" s="70" t="e">
        <f ca="1">-IF(INDEX(SC_ZX_CodeA,ZXIDX1)="X", 0, MIN(AW48*MAX(INDEX(SC_ZX_Drawdown,ZXIDX2),0),AV48))</f>
        <v>#REF!</v>
      </c>
      <c r="AY48" s="109" t="e">
        <f t="shared" ca="1" si="108"/>
        <v>#REF!</v>
      </c>
      <c r="AZ48" s="75" t="e">
        <f t="shared" ca="1" si="109"/>
        <v>#REF!</v>
      </c>
      <c r="BA48" s="70" t="e">
        <f t="shared" ca="1" si="110"/>
        <v>#REF!</v>
      </c>
      <c r="BB48" s="70" t="e">
        <f t="shared" ca="1" si="111"/>
        <v>#REF!</v>
      </c>
      <c r="BC48" s="70" t="e">
        <f t="shared" ca="1" si="112"/>
        <v>#REF!</v>
      </c>
      <c r="BD48" s="67" t="e">
        <f t="shared" ca="1" si="69"/>
        <v>#REF!</v>
      </c>
      <c r="BE48" s="70" t="e">
        <f ca="1">-IF(INDEX(SC_ZX_CodeA,ZXIDX1)="X", 0, MIN(BD48*MAX(INDEX(SC_ZX_Drawdown,ZXIDX2),0),AZ48))</f>
        <v>#REF!</v>
      </c>
      <c r="BF48" s="109" t="e">
        <f t="shared" ca="1" si="113"/>
        <v>#REF!</v>
      </c>
      <c r="BG48" s="75" t="e">
        <f t="shared" ca="1" si="114"/>
        <v>#REF!</v>
      </c>
      <c r="BH48" s="70" t="e">
        <f t="shared" ca="1" si="115"/>
        <v>#REF!</v>
      </c>
      <c r="BI48" s="70" t="e">
        <f t="shared" ca="1" si="116"/>
        <v>#REF!</v>
      </c>
      <c r="BJ48" s="70" t="e">
        <f t="shared" ca="1" si="117"/>
        <v>#REF!</v>
      </c>
      <c r="BK48" s="67" t="e">
        <f t="shared" ca="1" si="70"/>
        <v>#REF!</v>
      </c>
      <c r="BL48" s="70" t="e">
        <f ca="1">-IF(INDEX(SC_ZX_CodeA,ZXIDX1)="X", 0, MIN(BK48*MAX(INDEX(SC_ZX_Drawdown,ZXIDX2),0),BJ48))</f>
        <v>#REF!</v>
      </c>
      <c r="BM48" s="70" t="e">
        <f t="shared" ca="1" si="118"/>
        <v>#REF!</v>
      </c>
      <c r="BN48" s="111" t="e">
        <f t="shared" ca="1" si="119"/>
        <v>#REF!</v>
      </c>
      <c r="BO48" s="112" t="e">
        <f t="shared" ca="1" si="120"/>
        <v>#REF!</v>
      </c>
      <c r="BP48" s="112" t="e">
        <f ca="1">-($V48-IF(($P48+$R48+$S48)&gt;0,MAX($V48/($P48+$R48+$S48)*($Q48+$R48),$V48),0))*LT_InvestmentQDI</f>
        <v>#VALUE!</v>
      </c>
      <c r="BQ48" s="112" t="e">
        <f ca="1">-($V48-IF(($P48+$R48+$S48)&gt;0,MAX($V48/($P48+$R48+$S48)*($Q48+$R48),$V48),0))*(1-LT_InvestmentQDI)</f>
        <v>#VALUE!</v>
      </c>
      <c r="BR48" s="112" t="e">
        <f t="shared" ca="1" si="121"/>
        <v>#VALUE!</v>
      </c>
      <c r="BS48" s="112" t="e">
        <f t="shared" ca="1" si="122"/>
        <v>#VALUE!</v>
      </c>
      <c r="BT48" s="634" t="e">
        <f ca="1">SUMPRODUCT($BN48:$BN49+$BO48:$BO49, --($E48:$E49&lt;&gt;0))</f>
        <v>#REF!</v>
      </c>
      <c r="BU48" s="617" t="e">
        <f ca="1">SUMPRODUCT($BR48:$BR49+$BS48:$BS49, --($E48:$E49&lt;&gt;0))</f>
        <v>#VALUE!</v>
      </c>
      <c r="BV48" s="617" t="e">
        <f ca="1">$T48+SUMPRODUCT($AA48:$AA49+$AH48:$AH49+$AO48:$AO49+$AV48:$AV49+$BC48:$BC49+$BJ48:$BJ49, --($E48:$E49&lt;&gt;0))</f>
        <v>#VALUE!</v>
      </c>
      <c r="BW48" s="617" t="e">
        <f ca="1">MAX($P48-$Q48,0)+SUMPRODUCT($X48:$X49+$AL48:$AL49+$AZ48:$AZ49, --($E48:$E49&lt;&gt;0))</f>
        <v>#VALUE!</v>
      </c>
      <c r="BX48" s="618" t="e">
        <f ca="1">MIN($P48,$Q48)+SUMPRODUCT($AE48:$AE49+$AS48:$AS49+$BG48:$BG49, --($E48:$E49&lt;&gt;0))</f>
        <v>#VALUE!</v>
      </c>
      <c r="CO48" s="8"/>
    </row>
    <row r="49" spans="2:93" x14ac:dyDescent="0.25">
      <c r="B49" s="86">
        <f t="shared" ca="1" si="59"/>
        <v>2041</v>
      </c>
      <c r="C49" s="80" t="s">
        <v>741</v>
      </c>
      <c r="D49" s="147" t="str">
        <f t="shared" si="84"/>
        <v/>
      </c>
      <c r="E49" s="81">
        <f t="shared" si="8"/>
        <v>0</v>
      </c>
      <c r="F49" s="81">
        <f t="shared" si="18"/>
        <v>2</v>
      </c>
      <c r="G49" s="82">
        <f t="shared" si="9"/>
        <v>-1</v>
      </c>
      <c r="H49" s="82">
        <f t="shared" si="85"/>
        <v>0</v>
      </c>
      <c r="I49" s="81" t="b">
        <f t="shared" si="86"/>
        <v>0</v>
      </c>
      <c r="J49" s="81"/>
      <c r="K49" s="81"/>
      <c r="L49" s="81"/>
      <c r="M49" s="81"/>
      <c r="N49" s="633"/>
      <c r="O49" s="243" t="e">
        <f ca="1">LT_InvestmentStocks*INDEX(SP_EA_ARStocks,EAIDX)+LT_InvestmentBonds*INDEX(SC_EA_ARBonds,EAIDX)</f>
        <v>#REF!</v>
      </c>
      <c r="P49" s="634"/>
      <c r="Q49" s="617"/>
      <c r="R49" s="617"/>
      <c r="S49" s="617"/>
      <c r="T49" s="617"/>
      <c r="U49" s="643"/>
      <c r="V49" s="617"/>
      <c r="W49" s="639"/>
      <c r="X49" s="106" t="e">
        <f t="shared" ca="1" si="89"/>
        <v>#REF!</v>
      </c>
      <c r="Y49" s="107" t="e">
        <f t="shared" ca="1" si="90"/>
        <v>#REF!</v>
      </c>
      <c r="Z49" s="107" t="e">
        <f t="shared" ca="1" si="91"/>
        <v>#REF!</v>
      </c>
      <c r="AA49" s="107" t="e">
        <f t="shared" ca="1" si="92"/>
        <v>#REF!</v>
      </c>
      <c r="AB49" s="91" t="e">
        <f t="shared" ca="1" si="65"/>
        <v>#REF!</v>
      </c>
      <c r="AC49" s="107" t="e">
        <f ca="1">-IF(INDEX(SC_ZX_CodeA,ZXIDX1)="X", 0, MIN(AB49*MAX(INDEX(SC_ZX_Drawdown,ZXIDX2),0),AA49))</f>
        <v>#REF!</v>
      </c>
      <c r="AD49" s="110" t="e">
        <f t="shared" ca="1" si="93"/>
        <v>#REF!</v>
      </c>
      <c r="AE49" s="106" t="e">
        <f t="shared" ca="1" si="94"/>
        <v>#REF!</v>
      </c>
      <c r="AF49" s="107" t="e">
        <f t="shared" ca="1" si="95"/>
        <v>#REF!</v>
      </c>
      <c r="AG49" s="107" t="e">
        <f t="shared" ca="1" si="96"/>
        <v>#REF!</v>
      </c>
      <c r="AH49" s="107" t="e">
        <f t="shared" ca="1" si="97"/>
        <v>#REF!</v>
      </c>
      <c r="AI49" s="91" t="e">
        <f t="shared" ca="1" si="66"/>
        <v>#REF!</v>
      </c>
      <c r="AJ49" s="107" t="e">
        <f ca="1">-IF(INDEX(SC_ZX_CodeA,ZXIDX1)="X", 0, MIN(AI49*MAX(INDEX(SC_ZX_Drawdown,ZXIDX2),0),AH49))</f>
        <v>#REF!</v>
      </c>
      <c r="AK49" s="110" t="e">
        <f t="shared" ca="1" si="98"/>
        <v>#REF!</v>
      </c>
      <c r="AL49" s="106" t="e">
        <f t="shared" ca="1" si="99"/>
        <v>#REF!</v>
      </c>
      <c r="AM49" s="107" t="e">
        <f t="shared" ca="1" si="100"/>
        <v>#REF!</v>
      </c>
      <c r="AN49" s="107" t="e">
        <f t="shared" ca="1" si="101"/>
        <v>#REF!</v>
      </c>
      <c r="AO49" s="107" t="e">
        <f t="shared" ca="1" si="102"/>
        <v>#REF!</v>
      </c>
      <c r="AP49" s="91" t="e">
        <f t="shared" ca="1" si="67"/>
        <v>#REF!</v>
      </c>
      <c r="AQ49" s="107" t="e">
        <f ca="1">-IF(INDEX(SC_ZX_CodeA,ZXIDX1)="X", 0, MIN(AP49*MAX(INDEX(SC_ZX_Drawdown,ZXIDX2),0),AO49))</f>
        <v>#REF!</v>
      </c>
      <c r="AR49" s="110" t="e">
        <f t="shared" ca="1" si="103"/>
        <v>#REF!</v>
      </c>
      <c r="AS49" s="106" t="e">
        <f t="shared" ca="1" si="104"/>
        <v>#REF!</v>
      </c>
      <c r="AT49" s="107" t="e">
        <f t="shared" ca="1" si="105"/>
        <v>#REF!</v>
      </c>
      <c r="AU49" s="107" t="e">
        <f t="shared" ca="1" si="106"/>
        <v>#REF!</v>
      </c>
      <c r="AV49" s="107" t="e">
        <f t="shared" ca="1" si="107"/>
        <v>#REF!</v>
      </c>
      <c r="AW49" s="91" t="e">
        <f t="shared" ca="1" si="68"/>
        <v>#REF!</v>
      </c>
      <c r="AX49" s="107" t="e">
        <f ca="1">-IF(INDEX(SC_ZX_CodeA,ZXIDX1)="X", 0, MIN(AW49*MAX(INDEX(SC_ZX_Drawdown,ZXIDX2),0),AV49))</f>
        <v>#REF!</v>
      </c>
      <c r="AY49" s="110" t="e">
        <f t="shared" ca="1" si="108"/>
        <v>#REF!</v>
      </c>
      <c r="AZ49" s="106" t="e">
        <f t="shared" ca="1" si="109"/>
        <v>#REF!</v>
      </c>
      <c r="BA49" s="107" t="e">
        <f t="shared" ca="1" si="110"/>
        <v>#REF!</v>
      </c>
      <c r="BB49" s="107" t="e">
        <f t="shared" ca="1" si="111"/>
        <v>#REF!</v>
      </c>
      <c r="BC49" s="107" t="e">
        <f t="shared" ca="1" si="112"/>
        <v>#REF!</v>
      </c>
      <c r="BD49" s="91" t="e">
        <f t="shared" ca="1" si="69"/>
        <v>#REF!</v>
      </c>
      <c r="BE49" s="107" t="e">
        <f ca="1">-IF(INDEX(SC_ZX_CodeA,ZXIDX1)="X", 0, MIN(BD49*MAX(INDEX(SC_ZX_Drawdown,ZXIDX2),0),AZ49))</f>
        <v>#REF!</v>
      </c>
      <c r="BF49" s="110" t="e">
        <f t="shared" ca="1" si="113"/>
        <v>#REF!</v>
      </c>
      <c r="BG49" s="106" t="e">
        <f t="shared" ca="1" si="114"/>
        <v>#REF!</v>
      </c>
      <c r="BH49" s="107" t="e">
        <f t="shared" ca="1" si="115"/>
        <v>#REF!</v>
      </c>
      <c r="BI49" s="107" t="e">
        <f t="shared" ca="1" si="116"/>
        <v>#REF!</v>
      </c>
      <c r="BJ49" s="107" t="e">
        <f t="shared" ca="1" si="117"/>
        <v>#REF!</v>
      </c>
      <c r="BK49" s="91" t="e">
        <f t="shared" ca="1" si="70"/>
        <v>#REF!</v>
      </c>
      <c r="BL49" s="107" t="e">
        <f ca="1">-IF(INDEX(SC_ZX_CodeA,ZXIDX1)="X", 0, MIN(BK49*MAX(INDEX(SC_ZX_Drawdown,ZXIDX2),0),BJ49))</f>
        <v>#REF!</v>
      </c>
      <c r="BM49" s="107" t="e">
        <f t="shared" ca="1" si="118"/>
        <v>#REF!</v>
      </c>
      <c r="BN49" s="113" t="e">
        <f t="shared" ca="1" si="119"/>
        <v>#REF!</v>
      </c>
      <c r="BO49" s="114" t="e">
        <f t="shared" ca="1" si="120"/>
        <v>#REF!</v>
      </c>
      <c r="BP49" s="114" t="e">
        <f ca="1">-($V49-IF(($P49+$R49+$S49)&gt;0,MAX($V49/($P49+$R49+$S49)*($Q49+$R49),$V49),0))*LT_InvestmentQDI</f>
        <v>#REF!</v>
      </c>
      <c r="BQ49" s="114" t="e">
        <f ca="1">-($V49-IF(($P49+$R49+$S49)&gt;0,MAX($V49/($P49+$R49+$S49)*($Q49+$R49),$V49),0))*(1-LT_InvestmentQDI)</f>
        <v>#REF!</v>
      </c>
      <c r="BR49" s="114" t="e">
        <f t="shared" ca="1" si="121"/>
        <v>#REF!</v>
      </c>
      <c r="BS49" s="114" t="e">
        <f t="shared" ca="1" si="122"/>
        <v>#REF!</v>
      </c>
      <c r="BT49" s="649"/>
      <c r="BU49" s="637"/>
      <c r="BV49" s="637"/>
      <c r="BW49" s="637"/>
      <c r="BX49" s="639"/>
      <c r="CO49" s="8"/>
    </row>
    <row r="50" spans="2:93" x14ac:dyDescent="0.25">
      <c r="B50" s="65">
        <f ca="1">B48+1</f>
        <v>2042</v>
      </c>
      <c r="C50" s="76" t="s">
        <v>741</v>
      </c>
      <c r="D50" s="146" t="str">
        <f t="shared" si="84"/>
        <v/>
      </c>
      <c r="E50" s="77">
        <f t="shared" si="8"/>
        <v>0</v>
      </c>
      <c r="F50" s="77">
        <f t="shared" si="18"/>
        <v>1</v>
      </c>
      <c r="G50" s="76">
        <f t="shared" si="9"/>
        <v>1</v>
      </c>
      <c r="H50" s="76">
        <f t="shared" si="85"/>
        <v>0</v>
      </c>
      <c r="I50" s="77" t="b">
        <f t="shared" si="86"/>
        <v>0</v>
      </c>
      <c r="J50" s="77"/>
      <c r="K50" s="77"/>
      <c r="L50" s="77"/>
      <c r="M50" s="77"/>
      <c r="N50" s="632">
        <f ca="1">YEAR(SP_TargetRD)-$B50</f>
        <v>-19</v>
      </c>
      <c r="O50" s="243" t="e">
        <f ca="1">LT_InvestmentStocks*INDEX(SP_EA_ARStocks,EAIDX)+LT_InvestmentBonds*INDEX(SC_EA_ARBonds,EAIDX)</f>
        <v>#REF!</v>
      </c>
      <c r="P50" s="634" t="e">
        <f ca="1">MAX(P48+R48+S48+V48+W48,0)</f>
        <v>#VALUE!</v>
      </c>
      <c r="Q50" s="617" t="e">
        <f t="shared" ref="Q50" ca="1" si="126">MAX(Q48+R48+IF((P48+R48+S48)&gt;0,MAX(V48/(P48+R48+S48)*(Q48+R48),V48),0),0)</f>
        <v>#VALUE!</v>
      </c>
      <c r="R50" s="617" t="e">
        <f ca="1">IF(SC_ZX_CodeA="X", 0, MAX(INDEX(SC_ZX_IncomeSurplus,ZXIDX2)+INDEX(SC_ZX_Debt,ZXIDX2),0))</f>
        <v>#VALUE!</v>
      </c>
      <c r="S50" s="617" t="e">
        <f ca="1">IF(SC_ZX_CodeA="X", 0, INDEX(SC_EX_RolloverCore,EXIDX))</f>
        <v>#VALUE!</v>
      </c>
      <c r="T50" s="617" t="e">
        <f ca="1">P50+R50+S50</f>
        <v>#VALUE!</v>
      </c>
      <c r="U50" s="642" t="e">
        <f ca="1">IF(SC_ZX_BalanceAccessibleA&gt;0, T50/SC_ZX_BalanceAccessibleA, 0)</f>
        <v>#VALUE!</v>
      </c>
      <c r="V50" s="617" t="e">
        <f ca="1">-IF(SC_ZX_CodeA="X",0,MIN(U50*MAX(INDEX(SC_ZX_Drawdown,ZXIDX2),0),T50))</f>
        <v>#VALUE!</v>
      </c>
      <c r="W50" s="618" t="e">
        <f ca="1">(P50+R50+S50+V50)*$O50</f>
        <v>#VALUE!</v>
      </c>
      <c r="X50" s="75" t="e">
        <f t="shared" ca="1" si="89"/>
        <v>#REF!</v>
      </c>
      <c r="Y50" s="70" t="e">
        <f t="shared" ca="1" si="90"/>
        <v>#REF!</v>
      </c>
      <c r="Z50" s="70" t="e">
        <f t="shared" ca="1" si="91"/>
        <v>#REF!</v>
      </c>
      <c r="AA50" s="70" t="e">
        <f t="shared" ca="1" si="92"/>
        <v>#REF!</v>
      </c>
      <c r="AB50" s="67" t="e">
        <f t="shared" ca="1" si="65"/>
        <v>#REF!</v>
      </c>
      <c r="AC50" s="70" t="e">
        <f ca="1">-IF(INDEX(SC_ZX_CodeA,ZXIDX1)="X", 0, MIN(AB50*MAX(INDEX(SC_ZX_Drawdown,ZXIDX2),0),AA50))</f>
        <v>#REF!</v>
      </c>
      <c r="AD50" s="109" t="e">
        <f t="shared" ca="1" si="93"/>
        <v>#REF!</v>
      </c>
      <c r="AE50" s="75" t="e">
        <f t="shared" ca="1" si="94"/>
        <v>#REF!</v>
      </c>
      <c r="AF50" s="70" t="e">
        <f t="shared" ca="1" si="95"/>
        <v>#REF!</v>
      </c>
      <c r="AG50" s="70" t="e">
        <f t="shared" ca="1" si="96"/>
        <v>#REF!</v>
      </c>
      <c r="AH50" s="70" t="e">
        <f t="shared" ca="1" si="97"/>
        <v>#REF!</v>
      </c>
      <c r="AI50" s="67" t="e">
        <f t="shared" ca="1" si="66"/>
        <v>#REF!</v>
      </c>
      <c r="AJ50" s="70" t="e">
        <f ca="1">-IF(INDEX(SC_ZX_CodeA,ZXIDX1)="X", 0, MIN(AI50*MAX(INDEX(SC_ZX_Drawdown,ZXIDX2),0),AH50))</f>
        <v>#REF!</v>
      </c>
      <c r="AK50" s="109" t="e">
        <f t="shared" ca="1" si="98"/>
        <v>#REF!</v>
      </c>
      <c r="AL50" s="75" t="e">
        <f t="shared" ca="1" si="99"/>
        <v>#REF!</v>
      </c>
      <c r="AM50" s="70" t="e">
        <f t="shared" ca="1" si="100"/>
        <v>#REF!</v>
      </c>
      <c r="AN50" s="70" t="e">
        <f t="shared" ca="1" si="101"/>
        <v>#REF!</v>
      </c>
      <c r="AO50" s="70" t="e">
        <f t="shared" ca="1" si="102"/>
        <v>#REF!</v>
      </c>
      <c r="AP50" s="67" t="e">
        <f t="shared" ca="1" si="67"/>
        <v>#REF!</v>
      </c>
      <c r="AQ50" s="70" t="e">
        <f ca="1">-IF(INDEX(SC_ZX_CodeA,ZXIDX1)="X", 0, MIN(AP50*MAX(INDEX(SC_ZX_Drawdown,ZXIDX2),0),AO50))</f>
        <v>#REF!</v>
      </c>
      <c r="AR50" s="109" t="e">
        <f t="shared" ca="1" si="103"/>
        <v>#REF!</v>
      </c>
      <c r="AS50" s="75" t="e">
        <f t="shared" ca="1" si="104"/>
        <v>#REF!</v>
      </c>
      <c r="AT50" s="70" t="e">
        <f t="shared" ca="1" si="105"/>
        <v>#REF!</v>
      </c>
      <c r="AU50" s="70" t="e">
        <f t="shared" ca="1" si="106"/>
        <v>#REF!</v>
      </c>
      <c r="AV50" s="70" t="e">
        <f t="shared" ca="1" si="107"/>
        <v>#REF!</v>
      </c>
      <c r="AW50" s="67" t="e">
        <f t="shared" ca="1" si="68"/>
        <v>#REF!</v>
      </c>
      <c r="AX50" s="70" t="e">
        <f ca="1">-IF(INDEX(SC_ZX_CodeA,ZXIDX1)="X", 0, MIN(AW50*MAX(INDEX(SC_ZX_Drawdown,ZXIDX2),0),AV50))</f>
        <v>#REF!</v>
      </c>
      <c r="AY50" s="109" t="e">
        <f t="shared" ca="1" si="108"/>
        <v>#REF!</v>
      </c>
      <c r="AZ50" s="75" t="e">
        <f t="shared" ca="1" si="109"/>
        <v>#REF!</v>
      </c>
      <c r="BA50" s="70" t="e">
        <f t="shared" ca="1" si="110"/>
        <v>#REF!</v>
      </c>
      <c r="BB50" s="70" t="e">
        <f t="shared" ca="1" si="111"/>
        <v>#REF!</v>
      </c>
      <c r="BC50" s="70" t="e">
        <f t="shared" ca="1" si="112"/>
        <v>#REF!</v>
      </c>
      <c r="BD50" s="67" t="e">
        <f t="shared" ca="1" si="69"/>
        <v>#REF!</v>
      </c>
      <c r="BE50" s="70" t="e">
        <f ca="1">-IF(INDEX(SC_ZX_CodeA,ZXIDX1)="X", 0, MIN(BD50*MAX(INDEX(SC_ZX_Drawdown,ZXIDX2),0),AZ50))</f>
        <v>#REF!</v>
      </c>
      <c r="BF50" s="109" t="e">
        <f t="shared" ca="1" si="113"/>
        <v>#REF!</v>
      </c>
      <c r="BG50" s="75" t="e">
        <f t="shared" ca="1" si="114"/>
        <v>#REF!</v>
      </c>
      <c r="BH50" s="70" t="e">
        <f t="shared" ca="1" si="115"/>
        <v>#REF!</v>
      </c>
      <c r="BI50" s="70" t="e">
        <f t="shared" ca="1" si="116"/>
        <v>#REF!</v>
      </c>
      <c r="BJ50" s="70" t="e">
        <f t="shared" ca="1" si="117"/>
        <v>#REF!</v>
      </c>
      <c r="BK50" s="67" t="e">
        <f t="shared" ca="1" si="70"/>
        <v>#REF!</v>
      </c>
      <c r="BL50" s="70" t="e">
        <f ca="1">-IF(INDEX(SC_ZX_CodeA,ZXIDX1)="X", 0, MIN(BK50*MAX(INDEX(SC_ZX_Drawdown,ZXIDX2),0),BJ50))</f>
        <v>#REF!</v>
      </c>
      <c r="BM50" s="70" t="e">
        <f t="shared" ca="1" si="118"/>
        <v>#REF!</v>
      </c>
      <c r="BN50" s="111" t="e">
        <f t="shared" ca="1" si="119"/>
        <v>#REF!</v>
      </c>
      <c r="BO50" s="112" t="e">
        <f t="shared" ca="1" si="120"/>
        <v>#REF!</v>
      </c>
      <c r="BP50" s="112" t="e">
        <f ca="1">-($V50-IF(($P50+$R50+$S50)&gt;0,MAX($V50/($P50+$R50+$S50)*($Q50+$R50),$V50),0))*LT_InvestmentQDI</f>
        <v>#VALUE!</v>
      </c>
      <c r="BQ50" s="112" t="e">
        <f ca="1">-($V50-IF(($P50+$R50+$S50)&gt;0,MAX($V50/($P50+$R50+$S50)*($Q50+$R50),$V50),0))*(1-LT_InvestmentQDI)</f>
        <v>#VALUE!</v>
      </c>
      <c r="BR50" s="112" t="e">
        <f t="shared" ca="1" si="121"/>
        <v>#VALUE!</v>
      </c>
      <c r="BS50" s="112" t="e">
        <f t="shared" ca="1" si="122"/>
        <v>#VALUE!</v>
      </c>
      <c r="BT50" s="634" t="e">
        <f ca="1">SUMPRODUCT($BN50:$BN51+$BO50:$BO51, --($E50:$E51&lt;&gt;0))</f>
        <v>#REF!</v>
      </c>
      <c r="BU50" s="617" t="e">
        <f ca="1">SUMPRODUCT($BR50:$BR51+$BS50:$BS51, --($E50:$E51&lt;&gt;0))</f>
        <v>#VALUE!</v>
      </c>
      <c r="BV50" s="617" t="e">
        <f ca="1">$T50+SUMPRODUCT($AA50:$AA51+$AH50:$AH51+$AO50:$AO51+$AV50:$AV51+$BC50:$BC51+$BJ50:$BJ51, --($E50:$E51&lt;&gt;0))</f>
        <v>#VALUE!</v>
      </c>
      <c r="BW50" s="617" t="e">
        <f ca="1">MAX($P50-$Q50,0)+SUMPRODUCT($X50:$X51+$AL50:$AL51+$AZ50:$AZ51, --($E50:$E51&lt;&gt;0))</f>
        <v>#VALUE!</v>
      </c>
      <c r="BX50" s="618" t="e">
        <f ca="1">MIN($P50,$Q50)+SUMPRODUCT($AE50:$AE51+$AS50:$AS51+$BG50:$BG51, --($E50:$E51&lt;&gt;0))</f>
        <v>#VALUE!</v>
      </c>
      <c r="CO50" s="8"/>
    </row>
    <row r="51" spans="2:93" x14ac:dyDescent="0.25">
      <c r="B51" s="86">
        <f t="shared" ca="1" si="59"/>
        <v>2042</v>
      </c>
      <c r="C51" s="80" t="s">
        <v>741</v>
      </c>
      <c r="D51" s="147" t="str">
        <f t="shared" si="84"/>
        <v/>
      </c>
      <c r="E51" s="81">
        <f t="shared" si="8"/>
        <v>0</v>
      </c>
      <c r="F51" s="81">
        <f t="shared" si="18"/>
        <v>2</v>
      </c>
      <c r="G51" s="82">
        <f t="shared" si="9"/>
        <v>-1</v>
      </c>
      <c r="H51" s="82">
        <f t="shared" si="85"/>
        <v>0</v>
      </c>
      <c r="I51" s="81" t="b">
        <f t="shared" si="86"/>
        <v>0</v>
      </c>
      <c r="J51" s="81"/>
      <c r="K51" s="81"/>
      <c r="L51" s="81"/>
      <c r="M51" s="81"/>
      <c r="N51" s="633"/>
      <c r="O51" s="243" t="e">
        <f ca="1">LT_InvestmentStocks*INDEX(SP_EA_ARStocks,EAIDX)+LT_InvestmentBonds*INDEX(SC_EA_ARBonds,EAIDX)</f>
        <v>#REF!</v>
      </c>
      <c r="P51" s="634"/>
      <c r="Q51" s="617"/>
      <c r="R51" s="617"/>
      <c r="S51" s="617"/>
      <c r="T51" s="617"/>
      <c r="U51" s="643"/>
      <c r="V51" s="617"/>
      <c r="W51" s="639"/>
      <c r="X51" s="106" t="e">
        <f t="shared" ca="1" si="89"/>
        <v>#REF!</v>
      </c>
      <c r="Y51" s="107" t="e">
        <f t="shared" ca="1" si="90"/>
        <v>#REF!</v>
      </c>
      <c r="Z51" s="107" t="e">
        <f t="shared" ca="1" si="91"/>
        <v>#REF!</v>
      </c>
      <c r="AA51" s="107" t="e">
        <f t="shared" ca="1" si="92"/>
        <v>#REF!</v>
      </c>
      <c r="AB51" s="91" t="e">
        <f t="shared" ca="1" si="65"/>
        <v>#REF!</v>
      </c>
      <c r="AC51" s="107" t="e">
        <f ca="1">-IF(INDEX(SC_ZX_CodeA,ZXIDX1)="X", 0, MIN(AB51*MAX(INDEX(SC_ZX_Drawdown,ZXIDX2),0),AA51))</f>
        <v>#REF!</v>
      </c>
      <c r="AD51" s="110" t="e">
        <f t="shared" ca="1" si="93"/>
        <v>#REF!</v>
      </c>
      <c r="AE51" s="106" t="e">
        <f t="shared" ca="1" si="94"/>
        <v>#REF!</v>
      </c>
      <c r="AF51" s="107" t="e">
        <f t="shared" ca="1" si="95"/>
        <v>#REF!</v>
      </c>
      <c r="AG51" s="107" t="e">
        <f t="shared" ca="1" si="96"/>
        <v>#REF!</v>
      </c>
      <c r="AH51" s="107" t="e">
        <f t="shared" ca="1" si="97"/>
        <v>#REF!</v>
      </c>
      <c r="AI51" s="91" t="e">
        <f t="shared" ca="1" si="66"/>
        <v>#REF!</v>
      </c>
      <c r="AJ51" s="107" t="e">
        <f ca="1">-IF(INDEX(SC_ZX_CodeA,ZXIDX1)="X", 0, MIN(AI51*MAX(INDEX(SC_ZX_Drawdown,ZXIDX2),0),AH51))</f>
        <v>#REF!</v>
      </c>
      <c r="AK51" s="110" t="e">
        <f t="shared" ca="1" si="98"/>
        <v>#REF!</v>
      </c>
      <c r="AL51" s="106" t="e">
        <f t="shared" ca="1" si="99"/>
        <v>#REF!</v>
      </c>
      <c r="AM51" s="107" t="e">
        <f t="shared" ca="1" si="100"/>
        <v>#REF!</v>
      </c>
      <c r="AN51" s="107" t="e">
        <f t="shared" ca="1" si="101"/>
        <v>#REF!</v>
      </c>
      <c r="AO51" s="107" t="e">
        <f t="shared" ca="1" si="102"/>
        <v>#REF!</v>
      </c>
      <c r="AP51" s="91" t="e">
        <f t="shared" ca="1" si="67"/>
        <v>#REF!</v>
      </c>
      <c r="AQ51" s="107" t="e">
        <f ca="1">-IF(INDEX(SC_ZX_CodeA,ZXIDX1)="X", 0, MIN(AP51*MAX(INDEX(SC_ZX_Drawdown,ZXIDX2),0),AO51))</f>
        <v>#REF!</v>
      </c>
      <c r="AR51" s="110" t="e">
        <f t="shared" ca="1" si="103"/>
        <v>#REF!</v>
      </c>
      <c r="AS51" s="106" t="e">
        <f t="shared" ca="1" si="104"/>
        <v>#REF!</v>
      </c>
      <c r="AT51" s="107" t="e">
        <f t="shared" ca="1" si="105"/>
        <v>#REF!</v>
      </c>
      <c r="AU51" s="107" t="e">
        <f t="shared" ca="1" si="106"/>
        <v>#REF!</v>
      </c>
      <c r="AV51" s="107" t="e">
        <f t="shared" ca="1" si="107"/>
        <v>#REF!</v>
      </c>
      <c r="AW51" s="91" t="e">
        <f t="shared" ca="1" si="68"/>
        <v>#REF!</v>
      </c>
      <c r="AX51" s="107" t="e">
        <f ca="1">-IF(INDEX(SC_ZX_CodeA,ZXIDX1)="X", 0, MIN(AW51*MAX(INDEX(SC_ZX_Drawdown,ZXIDX2),0),AV51))</f>
        <v>#REF!</v>
      </c>
      <c r="AY51" s="110" t="e">
        <f t="shared" ca="1" si="108"/>
        <v>#REF!</v>
      </c>
      <c r="AZ51" s="106" t="e">
        <f t="shared" ca="1" si="109"/>
        <v>#REF!</v>
      </c>
      <c r="BA51" s="107" t="e">
        <f t="shared" ca="1" si="110"/>
        <v>#REF!</v>
      </c>
      <c r="BB51" s="107" t="e">
        <f t="shared" ca="1" si="111"/>
        <v>#REF!</v>
      </c>
      <c r="BC51" s="107" t="e">
        <f t="shared" ca="1" si="112"/>
        <v>#REF!</v>
      </c>
      <c r="BD51" s="91" t="e">
        <f t="shared" ca="1" si="69"/>
        <v>#REF!</v>
      </c>
      <c r="BE51" s="107" t="e">
        <f ca="1">-IF(INDEX(SC_ZX_CodeA,ZXIDX1)="X", 0, MIN(BD51*MAX(INDEX(SC_ZX_Drawdown,ZXIDX2),0),AZ51))</f>
        <v>#REF!</v>
      </c>
      <c r="BF51" s="110" t="e">
        <f t="shared" ca="1" si="113"/>
        <v>#REF!</v>
      </c>
      <c r="BG51" s="106" t="e">
        <f t="shared" ca="1" si="114"/>
        <v>#REF!</v>
      </c>
      <c r="BH51" s="107" t="e">
        <f t="shared" ca="1" si="115"/>
        <v>#REF!</v>
      </c>
      <c r="BI51" s="107" t="e">
        <f t="shared" ca="1" si="116"/>
        <v>#REF!</v>
      </c>
      <c r="BJ51" s="107" t="e">
        <f t="shared" ca="1" si="117"/>
        <v>#REF!</v>
      </c>
      <c r="BK51" s="91" t="e">
        <f t="shared" ca="1" si="70"/>
        <v>#REF!</v>
      </c>
      <c r="BL51" s="107" t="e">
        <f ca="1">-IF(INDEX(SC_ZX_CodeA,ZXIDX1)="X", 0, MIN(BK51*MAX(INDEX(SC_ZX_Drawdown,ZXIDX2),0),BJ51))</f>
        <v>#REF!</v>
      </c>
      <c r="BM51" s="107" t="e">
        <f t="shared" ca="1" si="118"/>
        <v>#REF!</v>
      </c>
      <c r="BN51" s="113" t="e">
        <f t="shared" ca="1" si="119"/>
        <v>#REF!</v>
      </c>
      <c r="BO51" s="114" t="e">
        <f t="shared" ca="1" si="120"/>
        <v>#REF!</v>
      </c>
      <c r="BP51" s="114" t="e">
        <f ca="1">-($V51-IF(($P51+$R51+$S51)&gt;0,MAX($V51/($P51+$R51+$S51)*($Q51+$R51),$V51),0))*LT_InvestmentQDI</f>
        <v>#REF!</v>
      </c>
      <c r="BQ51" s="114" t="e">
        <f ca="1">-($V51-IF(($P51+$R51+$S51)&gt;0,MAX($V51/($P51+$R51+$S51)*($Q51+$R51),$V51),0))*(1-LT_InvestmentQDI)</f>
        <v>#REF!</v>
      </c>
      <c r="BR51" s="114" t="e">
        <f t="shared" ca="1" si="121"/>
        <v>#REF!</v>
      </c>
      <c r="BS51" s="114" t="e">
        <f t="shared" ca="1" si="122"/>
        <v>#REF!</v>
      </c>
      <c r="BT51" s="649"/>
      <c r="BU51" s="637"/>
      <c r="BV51" s="637"/>
      <c r="BW51" s="637"/>
      <c r="BX51" s="639"/>
      <c r="CO51" s="8"/>
    </row>
    <row r="52" spans="2:93" x14ac:dyDescent="0.25">
      <c r="B52" s="65">
        <f ca="1">B50+1</f>
        <v>2043</v>
      </c>
      <c r="C52" s="76" t="s">
        <v>741</v>
      </c>
      <c r="D52" s="146" t="str">
        <f t="shared" si="84"/>
        <v/>
      </c>
      <c r="E52" s="77">
        <f t="shared" si="8"/>
        <v>0</v>
      </c>
      <c r="F52" s="77">
        <f t="shared" si="18"/>
        <v>1</v>
      </c>
      <c r="G52" s="76">
        <f t="shared" si="9"/>
        <v>1</v>
      </c>
      <c r="H52" s="76">
        <f t="shared" si="85"/>
        <v>0</v>
      </c>
      <c r="I52" s="77" t="b">
        <f t="shared" si="86"/>
        <v>0</v>
      </c>
      <c r="J52" s="77"/>
      <c r="K52" s="77"/>
      <c r="L52" s="77"/>
      <c r="M52" s="77"/>
      <c r="N52" s="632">
        <f ca="1">YEAR(SP_TargetRD)-$B52</f>
        <v>-20</v>
      </c>
      <c r="O52" s="243" t="e">
        <f ca="1">LT_InvestmentStocks*INDEX(SP_EA_ARStocks,EAIDX)+LT_InvestmentBonds*INDEX(SC_EA_ARBonds,EAIDX)</f>
        <v>#REF!</v>
      </c>
      <c r="P52" s="634" t="e">
        <f ca="1">MAX(P50+R50+S50+V50+W50,0)</f>
        <v>#VALUE!</v>
      </c>
      <c r="Q52" s="617" t="e">
        <f t="shared" ref="Q52" ca="1" si="127">MAX(Q50+R50+IF((P50+R50+S50)&gt;0,MAX(V50/(P50+R50+S50)*(Q50+R50),V50),0),0)</f>
        <v>#VALUE!</v>
      </c>
      <c r="R52" s="617" t="e">
        <f ca="1">IF(SC_ZX_CodeA="X", 0, MAX(INDEX(SC_ZX_IncomeSurplus,ZXIDX2)+INDEX(SC_ZX_Debt,ZXIDX2),0))</f>
        <v>#VALUE!</v>
      </c>
      <c r="S52" s="617" t="e">
        <f ca="1">IF(SC_ZX_CodeA="X", 0, INDEX(SC_EX_RolloverCore,EXIDX))</f>
        <v>#VALUE!</v>
      </c>
      <c r="T52" s="617" t="e">
        <f ca="1">P52+R52+S52</f>
        <v>#VALUE!</v>
      </c>
      <c r="U52" s="642" t="e">
        <f ca="1">IF(SC_ZX_BalanceAccessibleA&gt;0, T52/SC_ZX_BalanceAccessibleA, 0)</f>
        <v>#VALUE!</v>
      </c>
      <c r="V52" s="617" t="e">
        <f ca="1">-IF(SC_ZX_CodeA="X",0,MIN(U52*MAX(INDEX(SC_ZX_Drawdown,ZXIDX2),0),T52))</f>
        <v>#VALUE!</v>
      </c>
      <c r="W52" s="618" t="e">
        <f ca="1">(P52+R52+S52+V52)*$O52</f>
        <v>#VALUE!</v>
      </c>
      <c r="X52" s="75" t="e">
        <f t="shared" ca="1" si="89"/>
        <v>#REF!</v>
      </c>
      <c r="Y52" s="70" t="e">
        <f t="shared" ca="1" si="90"/>
        <v>#REF!</v>
      </c>
      <c r="Z52" s="70" t="e">
        <f t="shared" ca="1" si="91"/>
        <v>#REF!</v>
      </c>
      <c r="AA52" s="70" t="e">
        <f t="shared" ca="1" si="92"/>
        <v>#REF!</v>
      </c>
      <c r="AB52" s="67" t="e">
        <f t="shared" ca="1" si="65"/>
        <v>#REF!</v>
      </c>
      <c r="AC52" s="70" t="e">
        <f ca="1">-IF(INDEX(SC_ZX_CodeA,ZXIDX1)="X", 0, MIN(AB52*MAX(INDEX(SC_ZX_Drawdown,ZXIDX2),0),AA52))</f>
        <v>#REF!</v>
      </c>
      <c r="AD52" s="109" t="e">
        <f t="shared" ca="1" si="93"/>
        <v>#REF!</v>
      </c>
      <c r="AE52" s="75" t="e">
        <f t="shared" ca="1" si="94"/>
        <v>#REF!</v>
      </c>
      <c r="AF52" s="70" t="e">
        <f t="shared" ca="1" si="95"/>
        <v>#REF!</v>
      </c>
      <c r="AG52" s="70" t="e">
        <f t="shared" ca="1" si="96"/>
        <v>#REF!</v>
      </c>
      <c r="AH52" s="70" t="e">
        <f t="shared" ca="1" si="97"/>
        <v>#REF!</v>
      </c>
      <c r="AI52" s="67" t="e">
        <f t="shared" ca="1" si="66"/>
        <v>#REF!</v>
      </c>
      <c r="AJ52" s="70" t="e">
        <f ca="1">-IF(INDEX(SC_ZX_CodeA,ZXIDX1)="X", 0, MIN(AI52*MAX(INDEX(SC_ZX_Drawdown,ZXIDX2),0),AH52))</f>
        <v>#REF!</v>
      </c>
      <c r="AK52" s="109" t="e">
        <f t="shared" ca="1" si="98"/>
        <v>#REF!</v>
      </c>
      <c r="AL52" s="75" t="e">
        <f t="shared" ca="1" si="99"/>
        <v>#REF!</v>
      </c>
      <c r="AM52" s="70" t="e">
        <f t="shared" ca="1" si="100"/>
        <v>#REF!</v>
      </c>
      <c r="AN52" s="70" t="e">
        <f t="shared" ca="1" si="101"/>
        <v>#REF!</v>
      </c>
      <c r="AO52" s="70" t="e">
        <f t="shared" ca="1" si="102"/>
        <v>#REF!</v>
      </c>
      <c r="AP52" s="67" t="e">
        <f t="shared" ca="1" si="67"/>
        <v>#REF!</v>
      </c>
      <c r="AQ52" s="70" t="e">
        <f ca="1">-IF(INDEX(SC_ZX_CodeA,ZXIDX1)="X", 0, MIN(AP52*MAX(INDEX(SC_ZX_Drawdown,ZXIDX2),0),AO52))</f>
        <v>#REF!</v>
      </c>
      <c r="AR52" s="109" t="e">
        <f t="shared" ca="1" si="103"/>
        <v>#REF!</v>
      </c>
      <c r="AS52" s="75" t="e">
        <f t="shared" ca="1" si="104"/>
        <v>#REF!</v>
      </c>
      <c r="AT52" s="70" t="e">
        <f t="shared" ca="1" si="105"/>
        <v>#REF!</v>
      </c>
      <c r="AU52" s="70" t="e">
        <f t="shared" ca="1" si="106"/>
        <v>#REF!</v>
      </c>
      <c r="AV52" s="70" t="e">
        <f t="shared" ca="1" si="107"/>
        <v>#REF!</v>
      </c>
      <c r="AW52" s="67" t="e">
        <f t="shared" ca="1" si="68"/>
        <v>#REF!</v>
      </c>
      <c r="AX52" s="70" t="e">
        <f ca="1">-IF(INDEX(SC_ZX_CodeA,ZXIDX1)="X", 0, MIN(AW52*MAX(INDEX(SC_ZX_Drawdown,ZXIDX2),0),AV52))</f>
        <v>#REF!</v>
      </c>
      <c r="AY52" s="109" t="e">
        <f t="shared" ca="1" si="108"/>
        <v>#REF!</v>
      </c>
      <c r="AZ52" s="75" t="e">
        <f t="shared" ca="1" si="109"/>
        <v>#REF!</v>
      </c>
      <c r="BA52" s="70" t="e">
        <f t="shared" ca="1" si="110"/>
        <v>#REF!</v>
      </c>
      <c r="BB52" s="70" t="e">
        <f t="shared" ca="1" si="111"/>
        <v>#REF!</v>
      </c>
      <c r="BC52" s="70" t="e">
        <f t="shared" ca="1" si="112"/>
        <v>#REF!</v>
      </c>
      <c r="BD52" s="67" t="e">
        <f t="shared" ca="1" si="69"/>
        <v>#REF!</v>
      </c>
      <c r="BE52" s="70" t="e">
        <f ca="1">-IF(INDEX(SC_ZX_CodeA,ZXIDX1)="X", 0, MIN(BD52*MAX(INDEX(SC_ZX_Drawdown,ZXIDX2),0),AZ52))</f>
        <v>#REF!</v>
      </c>
      <c r="BF52" s="109" t="e">
        <f t="shared" ca="1" si="113"/>
        <v>#REF!</v>
      </c>
      <c r="BG52" s="75" t="e">
        <f t="shared" ca="1" si="114"/>
        <v>#REF!</v>
      </c>
      <c r="BH52" s="70" t="e">
        <f t="shared" ca="1" si="115"/>
        <v>#REF!</v>
      </c>
      <c r="BI52" s="70" t="e">
        <f t="shared" ca="1" si="116"/>
        <v>#REF!</v>
      </c>
      <c r="BJ52" s="70" t="e">
        <f t="shared" ca="1" si="117"/>
        <v>#REF!</v>
      </c>
      <c r="BK52" s="67" t="e">
        <f t="shared" ca="1" si="70"/>
        <v>#REF!</v>
      </c>
      <c r="BL52" s="70" t="e">
        <f ca="1">-IF(INDEX(SC_ZX_CodeA,ZXIDX1)="X", 0, MIN(BK52*MAX(INDEX(SC_ZX_Drawdown,ZXIDX2),0),BJ52))</f>
        <v>#REF!</v>
      </c>
      <c r="BM52" s="70" t="e">
        <f t="shared" ca="1" si="118"/>
        <v>#REF!</v>
      </c>
      <c r="BN52" s="111" t="e">
        <f t="shared" ca="1" si="119"/>
        <v>#REF!</v>
      </c>
      <c r="BO52" s="112" t="e">
        <f t="shared" ca="1" si="120"/>
        <v>#REF!</v>
      </c>
      <c r="BP52" s="112" t="e">
        <f ca="1">-($V52-IF(($P52+$R52+$S52)&gt;0,MAX($V52/($P52+$R52+$S52)*($Q52+$R52),$V52),0))*LT_InvestmentQDI</f>
        <v>#VALUE!</v>
      </c>
      <c r="BQ52" s="112" t="e">
        <f ca="1">-($V52-IF(($P52+$R52+$S52)&gt;0,MAX($V52/($P52+$R52+$S52)*($Q52+$R52),$V52),0))*(1-LT_InvestmentQDI)</f>
        <v>#VALUE!</v>
      </c>
      <c r="BR52" s="112" t="e">
        <f t="shared" ca="1" si="121"/>
        <v>#VALUE!</v>
      </c>
      <c r="BS52" s="112" t="e">
        <f t="shared" ca="1" si="122"/>
        <v>#VALUE!</v>
      </c>
      <c r="BT52" s="634" t="e">
        <f ca="1">SUMPRODUCT($BN52:$BN53+$BO52:$BO53, --($E52:$E53&lt;&gt;0))</f>
        <v>#REF!</v>
      </c>
      <c r="BU52" s="617" t="e">
        <f ca="1">SUMPRODUCT($BR52:$BR53+$BS52:$BS53, --($E52:$E53&lt;&gt;0))</f>
        <v>#VALUE!</v>
      </c>
      <c r="BV52" s="617" t="e">
        <f ca="1">$T52+SUMPRODUCT($AA52:$AA53+$AH52:$AH53+$AO52:$AO53+$AV52:$AV53+$BC52:$BC53+$BJ52:$BJ53, --($E52:$E53&lt;&gt;0))</f>
        <v>#VALUE!</v>
      </c>
      <c r="BW52" s="617" t="e">
        <f ca="1">MAX($P52-$Q52,0)+SUMPRODUCT($X52:$X53+$AL52:$AL53+$AZ52:$AZ53, --($E52:$E53&lt;&gt;0))</f>
        <v>#VALUE!</v>
      </c>
      <c r="BX52" s="618" t="e">
        <f ca="1">MIN($P52,$Q52)+SUMPRODUCT($AE52:$AE53+$AS52:$AS53+$BG52:$BG53, --($E52:$E53&lt;&gt;0))</f>
        <v>#VALUE!</v>
      </c>
      <c r="CO52" s="8"/>
    </row>
    <row r="53" spans="2:93" x14ac:dyDescent="0.25">
      <c r="B53" s="86">
        <f t="shared" ca="1" si="59"/>
        <v>2043</v>
      </c>
      <c r="C53" s="80" t="s">
        <v>741</v>
      </c>
      <c r="D53" s="147" t="str">
        <f t="shared" si="84"/>
        <v/>
      </c>
      <c r="E53" s="81">
        <f t="shared" si="8"/>
        <v>0</v>
      </c>
      <c r="F53" s="81">
        <f t="shared" si="18"/>
        <v>2</v>
      </c>
      <c r="G53" s="82">
        <f t="shared" si="9"/>
        <v>-1</v>
      </c>
      <c r="H53" s="82">
        <f t="shared" si="85"/>
        <v>0</v>
      </c>
      <c r="I53" s="81" t="b">
        <f t="shared" si="86"/>
        <v>0</v>
      </c>
      <c r="J53" s="81"/>
      <c r="K53" s="81"/>
      <c r="L53" s="81"/>
      <c r="M53" s="81"/>
      <c r="N53" s="633"/>
      <c r="O53" s="243" t="e">
        <f ca="1">LT_InvestmentStocks*INDEX(SP_EA_ARStocks,EAIDX)+LT_InvestmentBonds*INDEX(SC_EA_ARBonds,EAIDX)</f>
        <v>#REF!</v>
      </c>
      <c r="P53" s="634"/>
      <c r="Q53" s="617"/>
      <c r="R53" s="617"/>
      <c r="S53" s="617"/>
      <c r="T53" s="617"/>
      <c r="U53" s="643"/>
      <c r="V53" s="617"/>
      <c r="W53" s="639"/>
      <c r="X53" s="106" t="e">
        <f t="shared" ca="1" si="89"/>
        <v>#REF!</v>
      </c>
      <c r="Y53" s="107" t="e">
        <f t="shared" ca="1" si="90"/>
        <v>#REF!</v>
      </c>
      <c r="Z53" s="107" t="e">
        <f t="shared" ca="1" si="91"/>
        <v>#REF!</v>
      </c>
      <c r="AA53" s="107" t="e">
        <f t="shared" ca="1" si="92"/>
        <v>#REF!</v>
      </c>
      <c r="AB53" s="91" t="e">
        <f t="shared" ca="1" si="65"/>
        <v>#REF!</v>
      </c>
      <c r="AC53" s="107" t="e">
        <f ca="1">-IF(INDEX(SC_ZX_CodeA,ZXIDX1)="X", 0, MIN(AB53*MAX(INDEX(SC_ZX_Drawdown,ZXIDX2),0),AA53))</f>
        <v>#REF!</v>
      </c>
      <c r="AD53" s="110" t="e">
        <f t="shared" ca="1" si="93"/>
        <v>#REF!</v>
      </c>
      <c r="AE53" s="106" t="e">
        <f t="shared" ca="1" si="94"/>
        <v>#REF!</v>
      </c>
      <c r="AF53" s="107" t="e">
        <f t="shared" ca="1" si="95"/>
        <v>#REF!</v>
      </c>
      <c r="AG53" s="107" t="e">
        <f t="shared" ca="1" si="96"/>
        <v>#REF!</v>
      </c>
      <c r="AH53" s="107" t="e">
        <f t="shared" ca="1" si="97"/>
        <v>#REF!</v>
      </c>
      <c r="AI53" s="91" t="e">
        <f t="shared" ca="1" si="66"/>
        <v>#REF!</v>
      </c>
      <c r="AJ53" s="107" t="e">
        <f ca="1">-IF(INDEX(SC_ZX_CodeA,ZXIDX1)="X", 0, MIN(AI53*MAX(INDEX(SC_ZX_Drawdown,ZXIDX2),0),AH53))</f>
        <v>#REF!</v>
      </c>
      <c r="AK53" s="110" t="e">
        <f t="shared" ca="1" si="98"/>
        <v>#REF!</v>
      </c>
      <c r="AL53" s="106" t="e">
        <f t="shared" ca="1" si="99"/>
        <v>#REF!</v>
      </c>
      <c r="AM53" s="107" t="e">
        <f t="shared" ca="1" si="100"/>
        <v>#REF!</v>
      </c>
      <c r="AN53" s="107" t="e">
        <f t="shared" ca="1" si="101"/>
        <v>#REF!</v>
      </c>
      <c r="AO53" s="107" t="e">
        <f t="shared" ca="1" si="102"/>
        <v>#REF!</v>
      </c>
      <c r="AP53" s="91" t="e">
        <f t="shared" ca="1" si="67"/>
        <v>#REF!</v>
      </c>
      <c r="AQ53" s="107" t="e">
        <f ca="1">-IF(INDEX(SC_ZX_CodeA,ZXIDX1)="X", 0, MIN(AP53*MAX(INDEX(SC_ZX_Drawdown,ZXIDX2),0),AO53))</f>
        <v>#REF!</v>
      </c>
      <c r="AR53" s="110" t="e">
        <f t="shared" ca="1" si="103"/>
        <v>#REF!</v>
      </c>
      <c r="AS53" s="106" t="e">
        <f t="shared" ca="1" si="104"/>
        <v>#REF!</v>
      </c>
      <c r="AT53" s="107" t="e">
        <f t="shared" ca="1" si="105"/>
        <v>#REF!</v>
      </c>
      <c r="AU53" s="107" t="e">
        <f t="shared" ca="1" si="106"/>
        <v>#REF!</v>
      </c>
      <c r="AV53" s="107" t="e">
        <f t="shared" ca="1" si="107"/>
        <v>#REF!</v>
      </c>
      <c r="AW53" s="91" t="e">
        <f t="shared" ca="1" si="68"/>
        <v>#REF!</v>
      </c>
      <c r="AX53" s="107" t="e">
        <f ca="1">-IF(INDEX(SC_ZX_CodeA,ZXIDX1)="X", 0, MIN(AW53*MAX(INDEX(SC_ZX_Drawdown,ZXIDX2),0),AV53))</f>
        <v>#REF!</v>
      </c>
      <c r="AY53" s="110" t="e">
        <f t="shared" ca="1" si="108"/>
        <v>#REF!</v>
      </c>
      <c r="AZ53" s="106" t="e">
        <f t="shared" ca="1" si="109"/>
        <v>#REF!</v>
      </c>
      <c r="BA53" s="107" t="e">
        <f t="shared" ca="1" si="110"/>
        <v>#REF!</v>
      </c>
      <c r="BB53" s="107" t="e">
        <f t="shared" ca="1" si="111"/>
        <v>#REF!</v>
      </c>
      <c r="BC53" s="107" t="e">
        <f t="shared" ca="1" si="112"/>
        <v>#REF!</v>
      </c>
      <c r="BD53" s="91" t="e">
        <f t="shared" ca="1" si="69"/>
        <v>#REF!</v>
      </c>
      <c r="BE53" s="107" t="e">
        <f ca="1">-IF(INDEX(SC_ZX_CodeA,ZXIDX1)="X", 0, MIN(BD53*MAX(INDEX(SC_ZX_Drawdown,ZXIDX2),0),AZ53))</f>
        <v>#REF!</v>
      </c>
      <c r="BF53" s="110" t="e">
        <f t="shared" ca="1" si="113"/>
        <v>#REF!</v>
      </c>
      <c r="BG53" s="106" t="e">
        <f t="shared" ca="1" si="114"/>
        <v>#REF!</v>
      </c>
      <c r="BH53" s="107" t="e">
        <f t="shared" ca="1" si="115"/>
        <v>#REF!</v>
      </c>
      <c r="BI53" s="107" t="e">
        <f t="shared" ca="1" si="116"/>
        <v>#REF!</v>
      </c>
      <c r="BJ53" s="107" t="e">
        <f t="shared" ca="1" si="117"/>
        <v>#REF!</v>
      </c>
      <c r="BK53" s="91" t="e">
        <f t="shared" ca="1" si="70"/>
        <v>#REF!</v>
      </c>
      <c r="BL53" s="107" t="e">
        <f ca="1">-IF(INDEX(SC_ZX_CodeA,ZXIDX1)="X", 0, MIN(BK53*MAX(INDEX(SC_ZX_Drawdown,ZXIDX2),0),BJ53))</f>
        <v>#REF!</v>
      </c>
      <c r="BM53" s="107" t="e">
        <f t="shared" ca="1" si="118"/>
        <v>#REF!</v>
      </c>
      <c r="BN53" s="113" t="e">
        <f t="shared" ca="1" si="119"/>
        <v>#REF!</v>
      </c>
      <c r="BO53" s="114" t="e">
        <f t="shared" ca="1" si="120"/>
        <v>#REF!</v>
      </c>
      <c r="BP53" s="114" t="e">
        <f ca="1">-($V53-IF(($P53+$R53+$S53)&gt;0,MAX($V53/($P53+$R53+$S53)*($Q53+$R53),$V53),0))*LT_InvestmentQDI</f>
        <v>#REF!</v>
      </c>
      <c r="BQ53" s="114" t="e">
        <f ca="1">-($V53-IF(($P53+$R53+$S53)&gt;0,MAX($V53/($P53+$R53+$S53)*($Q53+$R53),$V53),0))*(1-LT_InvestmentQDI)</f>
        <v>#REF!</v>
      </c>
      <c r="BR53" s="114" t="e">
        <f t="shared" ca="1" si="121"/>
        <v>#REF!</v>
      </c>
      <c r="BS53" s="114" t="e">
        <f t="shared" ca="1" si="122"/>
        <v>#REF!</v>
      </c>
      <c r="BT53" s="649"/>
      <c r="BU53" s="637"/>
      <c r="BV53" s="637"/>
      <c r="BW53" s="637"/>
      <c r="BX53" s="639"/>
      <c r="CO53" s="8"/>
    </row>
    <row r="54" spans="2:93" x14ac:dyDescent="0.25">
      <c r="B54" s="65">
        <f ca="1">B52+1</f>
        <v>2044</v>
      </c>
      <c r="C54" s="76" t="s">
        <v>741</v>
      </c>
      <c r="D54" s="146" t="str">
        <f t="shared" si="84"/>
        <v/>
      </c>
      <c r="E54" s="77">
        <f t="shared" si="8"/>
        <v>0</v>
      </c>
      <c r="F54" s="77">
        <f t="shared" si="18"/>
        <v>1</v>
      </c>
      <c r="G54" s="76">
        <f t="shared" si="9"/>
        <v>1</v>
      </c>
      <c r="H54" s="76">
        <f t="shared" si="85"/>
        <v>0</v>
      </c>
      <c r="I54" s="77" t="b">
        <f t="shared" si="86"/>
        <v>0</v>
      </c>
      <c r="J54" s="77"/>
      <c r="K54" s="77"/>
      <c r="L54" s="77"/>
      <c r="M54" s="77"/>
      <c r="N54" s="632">
        <f ca="1">YEAR(SP_TargetRD)-$B54</f>
        <v>-21</v>
      </c>
      <c r="O54" s="243" t="e">
        <f ca="1">LT_InvestmentStocks*INDEX(SP_EA_ARStocks,EAIDX)+LT_InvestmentBonds*INDEX(SC_EA_ARBonds,EAIDX)</f>
        <v>#REF!</v>
      </c>
      <c r="P54" s="634" t="e">
        <f ca="1">MAX(P52+R52+S52+V52+W52,0)</f>
        <v>#VALUE!</v>
      </c>
      <c r="Q54" s="617" t="e">
        <f t="shared" ref="Q54" ca="1" si="128">MAX(Q52+R52+IF((P52+R52+S52)&gt;0,MAX(V52/(P52+R52+S52)*(Q52+R52),V52),0),0)</f>
        <v>#VALUE!</v>
      </c>
      <c r="R54" s="617" t="e">
        <f ca="1">IF(SC_ZX_CodeA="X", 0, MAX(INDEX(SC_ZX_IncomeSurplus,ZXIDX2)+INDEX(SC_ZX_Debt,ZXIDX2),0))</f>
        <v>#VALUE!</v>
      </c>
      <c r="S54" s="617" t="e">
        <f ca="1">IF(SC_ZX_CodeA="X", 0, INDEX(SC_EX_RolloverCore,EXIDX))</f>
        <v>#VALUE!</v>
      </c>
      <c r="T54" s="617" t="e">
        <f ca="1">P54+R54+S54</f>
        <v>#VALUE!</v>
      </c>
      <c r="U54" s="642" t="e">
        <f ca="1">IF(SC_ZX_BalanceAccessibleA&gt;0, T54/SC_ZX_BalanceAccessibleA, 0)</f>
        <v>#VALUE!</v>
      </c>
      <c r="V54" s="617" t="e">
        <f ca="1">-IF(SC_ZX_CodeA="X",0,MIN(U54*MAX(INDEX(SC_ZX_Drawdown,ZXIDX2),0),T54))</f>
        <v>#VALUE!</v>
      </c>
      <c r="W54" s="618" t="e">
        <f ca="1">(P54+R54+S54+V54)*$O54</f>
        <v>#VALUE!</v>
      </c>
      <c r="X54" s="75" t="e">
        <f t="shared" ca="1" si="89"/>
        <v>#REF!</v>
      </c>
      <c r="Y54" s="70" t="e">
        <f t="shared" ca="1" si="90"/>
        <v>#REF!</v>
      </c>
      <c r="Z54" s="70" t="e">
        <f t="shared" ca="1" si="91"/>
        <v>#REF!</v>
      </c>
      <c r="AA54" s="70" t="e">
        <f t="shared" ca="1" si="92"/>
        <v>#REF!</v>
      </c>
      <c r="AB54" s="67" t="e">
        <f t="shared" ca="1" si="65"/>
        <v>#REF!</v>
      </c>
      <c r="AC54" s="70" t="e">
        <f ca="1">-IF(INDEX(SC_ZX_CodeA,ZXIDX1)="X", 0, MIN(AB54*MAX(INDEX(SC_ZX_Drawdown,ZXIDX2),0),AA54))</f>
        <v>#REF!</v>
      </c>
      <c r="AD54" s="109" t="e">
        <f t="shared" ca="1" si="93"/>
        <v>#REF!</v>
      </c>
      <c r="AE54" s="75" t="e">
        <f t="shared" ca="1" si="94"/>
        <v>#REF!</v>
      </c>
      <c r="AF54" s="70" t="e">
        <f t="shared" ca="1" si="95"/>
        <v>#REF!</v>
      </c>
      <c r="AG54" s="70" t="e">
        <f t="shared" ca="1" si="96"/>
        <v>#REF!</v>
      </c>
      <c r="AH54" s="70" t="e">
        <f t="shared" ca="1" si="97"/>
        <v>#REF!</v>
      </c>
      <c r="AI54" s="67" t="e">
        <f t="shared" ca="1" si="66"/>
        <v>#REF!</v>
      </c>
      <c r="AJ54" s="70" t="e">
        <f ca="1">-IF(INDEX(SC_ZX_CodeA,ZXIDX1)="X", 0, MIN(AI54*MAX(INDEX(SC_ZX_Drawdown,ZXIDX2),0),AH54))</f>
        <v>#REF!</v>
      </c>
      <c r="AK54" s="109" t="e">
        <f t="shared" ca="1" si="98"/>
        <v>#REF!</v>
      </c>
      <c r="AL54" s="75" t="e">
        <f t="shared" ca="1" si="99"/>
        <v>#REF!</v>
      </c>
      <c r="AM54" s="70" t="e">
        <f t="shared" ca="1" si="100"/>
        <v>#REF!</v>
      </c>
      <c r="AN54" s="70" t="e">
        <f t="shared" ca="1" si="101"/>
        <v>#REF!</v>
      </c>
      <c r="AO54" s="70" t="e">
        <f t="shared" ca="1" si="102"/>
        <v>#REF!</v>
      </c>
      <c r="AP54" s="67" t="e">
        <f t="shared" ca="1" si="67"/>
        <v>#REF!</v>
      </c>
      <c r="AQ54" s="70" t="e">
        <f ca="1">-IF(INDEX(SC_ZX_CodeA,ZXIDX1)="X", 0, MIN(AP54*MAX(INDEX(SC_ZX_Drawdown,ZXIDX2),0),AO54))</f>
        <v>#REF!</v>
      </c>
      <c r="AR54" s="109" t="e">
        <f t="shared" ca="1" si="103"/>
        <v>#REF!</v>
      </c>
      <c r="AS54" s="75" t="e">
        <f t="shared" ca="1" si="104"/>
        <v>#REF!</v>
      </c>
      <c r="AT54" s="70" t="e">
        <f t="shared" ca="1" si="105"/>
        <v>#REF!</v>
      </c>
      <c r="AU54" s="70" t="e">
        <f t="shared" ca="1" si="106"/>
        <v>#REF!</v>
      </c>
      <c r="AV54" s="70" t="e">
        <f t="shared" ca="1" si="107"/>
        <v>#REF!</v>
      </c>
      <c r="AW54" s="67" t="e">
        <f t="shared" ca="1" si="68"/>
        <v>#REF!</v>
      </c>
      <c r="AX54" s="70" t="e">
        <f ca="1">-IF(INDEX(SC_ZX_CodeA,ZXIDX1)="X", 0, MIN(AW54*MAX(INDEX(SC_ZX_Drawdown,ZXIDX2),0),AV54))</f>
        <v>#REF!</v>
      </c>
      <c r="AY54" s="109" t="e">
        <f t="shared" ca="1" si="108"/>
        <v>#REF!</v>
      </c>
      <c r="AZ54" s="75" t="e">
        <f t="shared" ca="1" si="109"/>
        <v>#REF!</v>
      </c>
      <c r="BA54" s="70" t="e">
        <f t="shared" ca="1" si="110"/>
        <v>#REF!</v>
      </c>
      <c r="BB54" s="70" t="e">
        <f t="shared" ca="1" si="111"/>
        <v>#REF!</v>
      </c>
      <c r="BC54" s="70" t="e">
        <f t="shared" ca="1" si="112"/>
        <v>#REF!</v>
      </c>
      <c r="BD54" s="67" t="e">
        <f t="shared" ca="1" si="69"/>
        <v>#REF!</v>
      </c>
      <c r="BE54" s="70" t="e">
        <f ca="1">-IF(INDEX(SC_ZX_CodeA,ZXIDX1)="X", 0, MIN(BD54*MAX(INDEX(SC_ZX_Drawdown,ZXIDX2),0),AZ54))</f>
        <v>#REF!</v>
      </c>
      <c r="BF54" s="109" t="e">
        <f t="shared" ca="1" si="113"/>
        <v>#REF!</v>
      </c>
      <c r="BG54" s="75" t="e">
        <f t="shared" ca="1" si="114"/>
        <v>#REF!</v>
      </c>
      <c r="BH54" s="70" t="e">
        <f t="shared" ca="1" si="115"/>
        <v>#REF!</v>
      </c>
      <c r="BI54" s="70" t="e">
        <f t="shared" ca="1" si="116"/>
        <v>#REF!</v>
      </c>
      <c r="BJ54" s="70" t="e">
        <f t="shared" ca="1" si="117"/>
        <v>#REF!</v>
      </c>
      <c r="BK54" s="67" t="e">
        <f t="shared" ca="1" si="70"/>
        <v>#REF!</v>
      </c>
      <c r="BL54" s="70" t="e">
        <f ca="1">-IF(INDEX(SC_ZX_CodeA,ZXIDX1)="X", 0, MIN(BK54*MAX(INDEX(SC_ZX_Drawdown,ZXIDX2),0),BJ54))</f>
        <v>#REF!</v>
      </c>
      <c r="BM54" s="70" t="e">
        <f t="shared" ca="1" si="118"/>
        <v>#REF!</v>
      </c>
      <c r="BN54" s="111" t="e">
        <f t="shared" ca="1" si="119"/>
        <v>#REF!</v>
      </c>
      <c r="BO54" s="112" t="e">
        <f t="shared" ca="1" si="120"/>
        <v>#REF!</v>
      </c>
      <c r="BP54" s="112" t="e">
        <f ca="1">-($V54-IF(($P54+$R54+$S54)&gt;0,MAX($V54/($P54+$R54+$S54)*($Q54+$R54),$V54),0))*LT_InvestmentQDI</f>
        <v>#VALUE!</v>
      </c>
      <c r="BQ54" s="112" t="e">
        <f ca="1">-($V54-IF(($P54+$R54+$S54)&gt;0,MAX($V54/($P54+$R54+$S54)*($Q54+$R54),$V54),0))*(1-LT_InvestmentQDI)</f>
        <v>#VALUE!</v>
      </c>
      <c r="BR54" s="112" t="e">
        <f t="shared" ca="1" si="121"/>
        <v>#VALUE!</v>
      </c>
      <c r="BS54" s="112" t="e">
        <f t="shared" ca="1" si="122"/>
        <v>#VALUE!</v>
      </c>
      <c r="BT54" s="634" t="e">
        <f ca="1">SUMPRODUCT($BN54:$BN55+$BO54:$BO55, --($E54:$E55&lt;&gt;0))</f>
        <v>#REF!</v>
      </c>
      <c r="BU54" s="617" t="e">
        <f ca="1">SUMPRODUCT($BR54:$BR55+$BS54:$BS55, --($E54:$E55&lt;&gt;0))</f>
        <v>#VALUE!</v>
      </c>
      <c r="BV54" s="617" t="e">
        <f ca="1">$T54+SUMPRODUCT($AA54:$AA55+$AH54:$AH55+$AO54:$AO55+$AV54:$AV55+$BC54:$BC55+$BJ54:$BJ55, --($E54:$E55&lt;&gt;0))</f>
        <v>#VALUE!</v>
      </c>
      <c r="BW54" s="617" t="e">
        <f ca="1">MAX($P54-$Q54,0)+SUMPRODUCT($X54:$X55+$AL54:$AL55+$AZ54:$AZ55, --($E54:$E55&lt;&gt;0))</f>
        <v>#VALUE!</v>
      </c>
      <c r="BX54" s="618" t="e">
        <f ca="1">MIN($P54,$Q54)+SUMPRODUCT($AE54:$AE55+$AS54:$AS55+$BG54:$BG55, --($E54:$E55&lt;&gt;0))</f>
        <v>#VALUE!</v>
      </c>
      <c r="CO54" s="8"/>
    </row>
    <row r="55" spans="2:93" x14ac:dyDescent="0.25">
      <c r="B55" s="86">
        <f t="shared" ca="1" si="59"/>
        <v>2044</v>
      </c>
      <c r="C55" s="80" t="s">
        <v>741</v>
      </c>
      <c r="D55" s="147" t="str">
        <f t="shared" si="84"/>
        <v/>
      </c>
      <c r="E55" s="81">
        <f t="shared" si="8"/>
        <v>0</v>
      </c>
      <c r="F55" s="81">
        <f t="shared" si="18"/>
        <v>2</v>
      </c>
      <c r="G55" s="82">
        <f t="shared" si="9"/>
        <v>-1</v>
      </c>
      <c r="H55" s="82">
        <f t="shared" si="85"/>
        <v>0</v>
      </c>
      <c r="I55" s="81" t="b">
        <f t="shared" si="86"/>
        <v>0</v>
      </c>
      <c r="J55" s="81"/>
      <c r="K55" s="81"/>
      <c r="L55" s="81"/>
      <c r="M55" s="81"/>
      <c r="N55" s="633"/>
      <c r="O55" s="243" t="e">
        <f ca="1">LT_InvestmentStocks*INDEX(SP_EA_ARStocks,EAIDX)+LT_InvestmentBonds*INDEX(SC_EA_ARBonds,EAIDX)</f>
        <v>#REF!</v>
      </c>
      <c r="P55" s="634"/>
      <c r="Q55" s="617"/>
      <c r="R55" s="617"/>
      <c r="S55" s="617"/>
      <c r="T55" s="617"/>
      <c r="U55" s="643"/>
      <c r="V55" s="617"/>
      <c r="W55" s="639"/>
      <c r="X55" s="106" t="e">
        <f t="shared" ca="1" si="89"/>
        <v>#REF!</v>
      </c>
      <c r="Y55" s="107" t="e">
        <f t="shared" ca="1" si="90"/>
        <v>#REF!</v>
      </c>
      <c r="Z55" s="107" t="e">
        <f t="shared" ca="1" si="91"/>
        <v>#REF!</v>
      </c>
      <c r="AA55" s="107" t="e">
        <f t="shared" ca="1" si="92"/>
        <v>#REF!</v>
      </c>
      <c r="AB55" s="91" t="e">
        <f t="shared" ca="1" si="65"/>
        <v>#REF!</v>
      </c>
      <c r="AC55" s="107" t="e">
        <f ca="1">-IF(INDEX(SC_ZX_CodeA,ZXIDX1)="X", 0, MIN(AB55*MAX(INDEX(SC_ZX_Drawdown,ZXIDX2),0),AA55))</f>
        <v>#REF!</v>
      </c>
      <c r="AD55" s="110" t="e">
        <f t="shared" ca="1" si="93"/>
        <v>#REF!</v>
      </c>
      <c r="AE55" s="106" t="e">
        <f t="shared" ca="1" si="94"/>
        <v>#REF!</v>
      </c>
      <c r="AF55" s="107" t="e">
        <f t="shared" ca="1" si="95"/>
        <v>#REF!</v>
      </c>
      <c r="AG55" s="107" t="e">
        <f t="shared" ca="1" si="96"/>
        <v>#REF!</v>
      </c>
      <c r="AH55" s="107" t="e">
        <f t="shared" ca="1" si="97"/>
        <v>#REF!</v>
      </c>
      <c r="AI55" s="91" t="e">
        <f t="shared" ca="1" si="66"/>
        <v>#REF!</v>
      </c>
      <c r="AJ55" s="107" t="e">
        <f ca="1">-IF(INDEX(SC_ZX_CodeA,ZXIDX1)="X", 0, MIN(AI55*MAX(INDEX(SC_ZX_Drawdown,ZXIDX2),0),AH55))</f>
        <v>#REF!</v>
      </c>
      <c r="AK55" s="110" t="e">
        <f t="shared" ca="1" si="98"/>
        <v>#REF!</v>
      </c>
      <c r="AL55" s="106" t="e">
        <f t="shared" ca="1" si="99"/>
        <v>#REF!</v>
      </c>
      <c r="AM55" s="107" t="e">
        <f t="shared" ca="1" si="100"/>
        <v>#REF!</v>
      </c>
      <c r="AN55" s="107" t="e">
        <f t="shared" ca="1" si="101"/>
        <v>#REF!</v>
      </c>
      <c r="AO55" s="107" t="e">
        <f t="shared" ca="1" si="102"/>
        <v>#REF!</v>
      </c>
      <c r="AP55" s="91" t="e">
        <f t="shared" ca="1" si="67"/>
        <v>#REF!</v>
      </c>
      <c r="AQ55" s="107" t="e">
        <f ca="1">-IF(INDEX(SC_ZX_CodeA,ZXIDX1)="X", 0, MIN(AP55*MAX(INDEX(SC_ZX_Drawdown,ZXIDX2),0),AO55))</f>
        <v>#REF!</v>
      </c>
      <c r="AR55" s="110" t="e">
        <f t="shared" ca="1" si="103"/>
        <v>#REF!</v>
      </c>
      <c r="AS55" s="106" t="e">
        <f t="shared" ca="1" si="104"/>
        <v>#REF!</v>
      </c>
      <c r="AT55" s="107" t="e">
        <f t="shared" ca="1" si="105"/>
        <v>#REF!</v>
      </c>
      <c r="AU55" s="107" t="e">
        <f t="shared" ca="1" si="106"/>
        <v>#REF!</v>
      </c>
      <c r="AV55" s="107" t="e">
        <f t="shared" ca="1" si="107"/>
        <v>#REF!</v>
      </c>
      <c r="AW55" s="91" t="e">
        <f t="shared" ca="1" si="68"/>
        <v>#REF!</v>
      </c>
      <c r="AX55" s="107" t="e">
        <f ca="1">-IF(INDEX(SC_ZX_CodeA,ZXIDX1)="X", 0, MIN(AW55*MAX(INDEX(SC_ZX_Drawdown,ZXIDX2),0),AV55))</f>
        <v>#REF!</v>
      </c>
      <c r="AY55" s="110" t="e">
        <f t="shared" ca="1" si="108"/>
        <v>#REF!</v>
      </c>
      <c r="AZ55" s="106" t="e">
        <f t="shared" ca="1" si="109"/>
        <v>#REF!</v>
      </c>
      <c r="BA55" s="107" t="e">
        <f t="shared" ca="1" si="110"/>
        <v>#REF!</v>
      </c>
      <c r="BB55" s="107" t="e">
        <f t="shared" ca="1" si="111"/>
        <v>#REF!</v>
      </c>
      <c r="BC55" s="107" t="e">
        <f t="shared" ca="1" si="112"/>
        <v>#REF!</v>
      </c>
      <c r="BD55" s="91" t="e">
        <f t="shared" ca="1" si="69"/>
        <v>#REF!</v>
      </c>
      <c r="BE55" s="107" t="e">
        <f ca="1">-IF(INDEX(SC_ZX_CodeA,ZXIDX1)="X", 0, MIN(BD55*MAX(INDEX(SC_ZX_Drawdown,ZXIDX2),0),AZ55))</f>
        <v>#REF!</v>
      </c>
      <c r="BF55" s="110" t="e">
        <f t="shared" ca="1" si="113"/>
        <v>#REF!</v>
      </c>
      <c r="BG55" s="106" t="e">
        <f t="shared" ca="1" si="114"/>
        <v>#REF!</v>
      </c>
      <c r="BH55" s="107" t="e">
        <f t="shared" ca="1" si="115"/>
        <v>#REF!</v>
      </c>
      <c r="BI55" s="107" t="e">
        <f t="shared" ca="1" si="116"/>
        <v>#REF!</v>
      </c>
      <c r="BJ55" s="107" t="e">
        <f t="shared" ca="1" si="117"/>
        <v>#REF!</v>
      </c>
      <c r="BK55" s="91" t="e">
        <f t="shared" ca="1" si="70"/>
        <v>#REF!</v>
      </c>
      <c r="BL55" s="107" t="e">
        <f ca="1">-IF(INDEX(SC_ZX_CodeA,ZXIDX1)="X", 0, MIN(BK55*MAX(INDEX(SC_ZX_Drawdown,ZXIDX2),0),BJ55))</f>
        <v>#REF!</v>
      </c>
      <c r="BM55" s="107" t="e">
        <f t="shared" ca="1" si="118"/>
        <v>#REF!</v>
      </c>
      <c r="BN55" s="113" t="e">
        <f t="shared" ca="1" si="119"/>
        <v>#REF!</v>
      </c>
      <c r="BO55" s="114" t="e">
        <f t="shared" ca="1" si="120"/>
        <v>#REF!</v>
      </c>
      <c r="BP55" s="114" t="e">
        <f ca="1">-($V55-IF(($P55+$R55+$S55)&gt;0,MAX($V55/($P55+$R55+$S55)*($Q55+$R55),$V55),0))*LT_InvestmentQDI</f>
        <v>#REF!</v>
      </c>
      <c r="BQ55" s="114" t="e">
        <f ca="1">-($V55-IF(($P55+$R55+$S55)&gt;0,MAX($V55/($P55+$R55+$S55)*($Q55+$R55),$V55),0))*(1-LT_InvestmentQDI)</f>
        <v>#REF!</v>
      </c>
      <c r="BR55" s="114" t="e">
        <f t="shared" ca="1" si="121"/>
        <v>#REF!</v>
      </c>
      <c r="BS55" s="114" t="e">
        <f t="shared" ca="1" si="122"/>
        <v>#REF!</v>
      </c>
      <c r="BT55" s="649"/>
      <c r="BU55" s="637"/>
      <c r="BV55" s="637"/>
      <c r="BW55" s="637"/>
      <c r="BX55" s="639"/>
      <c r="CO55" s="8"/>
    </row>
    <row r="56" spans="2:93" x14ac:dyDescent="0.25">
      <c r="B56" s="65">
        <f ca="1">B54+1</f>
        <v>2045</v>
      </c>
      <c r="C56" s="76" t="s">
        <v>741</v>
      </c>
      <c r="D56" s="146" t="str">
        <f t="shared" si="84"/>
        <v/>
      </c>
      <c r="E56" s="77">
        <f t="shared" si="8"/>
        <v>0</v>
      </c>
      <c r="F56" s="77">
        <f t="shared" si="18"/>
        <v>1</v>
      </c>
      <c r="G56" s="76">
        <f t="shared" si="9"/>
        <v>1</v>
      </c>
      <c r="H56" s="76">
        <f t="shared" si="85"/>
        <v>0</v>
      </c>
      <c r="I56" s="77" t="b">
        <f t="shared" si="86"/>
        <v>0</v>
      </c>
      <c r="J56" s="77"/>
      <c r="K56" s="77"/>
      <c r="L56" s="77"/>
      <c r="M56" s="77"/>
      <c r="N56" s="632">
        <f ca="1">YEAR(SP_TargetRD)-$B56</f>
        <v>-22</v>
      </c>
      <c r="O56" s="243" t="e">
        <f ca="1">LT_InvestmentStocks*INDEX(SP_EA_ARStocks,EAIDX)+LT_InvestmentBonds*INDEX(SC_EA_ARBonds,EAIDX)</f>
        <v>#REF!</v>
      </c>
      <c r="P56" s="634" t="e">
        <f ca="1">MAX(P54+R54+S54+V54+W54,0)</f>
        <v>#VALUE!</v>
      </c>
      <c r="Q56" s="617" t="e">
        <f t="shared" ref="Q56" ca="1" si="129">MAX(Q54+R54+IF((P54+R54+S54)&gt;0,MAX(V54/(P54+R54+S54)*(Q54+R54),V54),0),0)</f>
        <v>#VALUE!</v>
      </c>
      <c r="R56" s="617" t="e">
        <f ca="1">IF(SC_ZX_CodeA="X", 0, MAX(INDEX(SC_ZX_IncomeSurplus,ZXIDX2)+INDEX(SC_ZX_Debt,ZXIDX2),0))</f>
        <v>#VALUE!</v>
      </c>
      <c r="S56" s="617" t="e">
        <f ca="1">IF(SC_ZX_CodeA="X", 0, INDEX(SC_EX_RolloverCore,EXIDX))</f>
        <v>#VALUE!</v>
      </c>
      <c r="T56" s="617" t="e">
        <f ca="1">P56+R56+S56</f>
        <v>#VALUE!</v>
      </c>
      <c r="U56" s="642" t="e">
        <f ca="1">IF(SC_ZX_BalanceAccessibleA&gt;0, T56/SC_ZX_BalanceAccessibleA, 0)</f>
        <v>#VALUE!</v>
      </c>
      <c r="V56" s="617" t="e">
        <f ca="1">-IF(SC_ZX_CodeA="X",0,MIN(U56*MAX(INDEX(SC_ZX_Drawdown,ZXIDX2),0),T56))</f>
        <v>#VALUE!</v>
      </c>
      <c r="W56" s="618" t="e">
        <f ca="1">(P56+R56+S56+V56)*$O56</f>
        <v>#VALUE!</v>
      </c>
      <c r="X56" s="75" t="e">
        <f t="shared" ca="1" si="89"/>
        <v>#REF!</v>
      </c>
      <c r="Y56" s="70" t="e">
        <f t="shared" ca="1" si="90"/>
        <v>#REF!</v>
      </c>
      <c r="Z56" s="70" t="e">
        <f t="shared" ca="1" si="91"/>
        <v>#REF!</v>
      </c>
      <c r="AA56" s="70" t="e">
        <f t="shared" ca="1" si="92"/>
        <v>#REF!</v>
      </c>
      <c r="AB56" s="67" t="e">
        <f t="shared" ca="1" si="65"/>
        <v>#REF!</v>
      </c>
      <c r="AC56" s="70" t="e">
        <f ca="1">-IF(INDEX(SC_ZX_CodeA,ZXIDX1)="X", 0, MIN(AB56*MAX(INDEX(SC_ZX_Drawdown,ZXIDX2),0),AA56))</f>
        <v>#REF!</v>
      </c>
      <c r="AD56" s="109" t="e">
        <f t="shared" ca="1" si="93"/>
        <v>#REF!</v>
      </c>
      <c r="AE56" s="75" t="e">
        <f t="shared" ca="1" si="94"/>
        <v>#REF!</v>
      </c>
      <c r="AF56" s="70" t="e">
        <f t="shared" ca="1" si="95"/>
        <v>#REF!</v>
      </c>
      <c r="AG56" s="70" t="e">
        <f t="shared" ca="1" si="96"/>
        <v>#REF!</v>
      </c>
      <c r="AH56" s="70" t="e">
        <f t="shared" ca="1" si="97"/>
        <v>#REF!</v>
      </c>
      <c r="AI56" s="67" t="e">
        <f t="shared" ca="1" si="66"/>
        <v>#REF!</v>
      </c>
      <c r="AJ56" s="70" t="e">
        <f ca="1">-IF(INDEX(SC_ZX_CodeA,ZXIDX1)="X", 0, MIN(AI56*MAX(INDEX(SC_ZX_Drawdown,ZXIDX2),0),AH56))</f>
        <v>#REF!</v>
      </c>
      <c r="AK56" s="109" t="e">
        <f t="shared" ca="1" si="98"/>
        <v>#REF!</v>
      </c>
      <c r="AL56" s="75" t="e">
        <f t="shared" ca="1" si="99"/>
        <v>#REF!</v>
      </c>
      <c r="AM56" s="70" t="e">
        <f t="shared" ca="1" si="100"/>
        <v>#REF!</v>
      </c>
      <c r="AN56" s="70" t="e">
        <f t="shared" ca="1" si="101"/>
        <v>#REF!</v>
      </c>
      <c r="AO56" s="70" t="e">
        <f t="shared" ca="1" si="102"/>
        <v>#REF!</v>
      </c>
      <c r="AP56" s="67" t="e">
        <f t="shared" ca="1" si="67"/>
        <v>#REF!</v>
      </c>
      <c r="AQ56" s="70" t="e">
        <f ca="1">-IF(INDEX(SC_ZX_CodeA,ZXIDX1)="X", 0, MIN(AP56*MAX(INDEX(SC_ZX_Drawdown,ZXIDX2),0),AO56))</f>
        <v>#REF!</v>
      </c>
      <c r="AR56" s="109" t="e">
        <f t="shared" ca="1" si="103"/>
        <v>#REF!</v>
      </c>
      <c r="AS56" s="75" t="e">
        <f t="shared" ca="1" si="104"/>
        <v>#REF!</v>
      </c>
      <c r="AT56" s="70" t="e">
        <f t="shared" ca="1" si="105"/>
        <v>#REF!</v>
      </c>
      <c r="AU56" s="70" t="e">
        <f t="shared" ca="1" si="106"/>
        <v>#REF!</v>
      </c>
      <c r="AV56" s="70" t="e">
        <f t="shared" ca="1" si="107"/>
        <v>#REF!</v>
      </c>
      <c r="AW56" s="67" t="e">
        <f t="shared" ca="1" si="68"/>
        <v>#REF!</v>
      </c>
      <c r="AX56" s="70" t="e">
        <f ca="1">-IF(INDEX(SC_ZX_CodeA,ZXIDX1)="X", 0, MIN(AW56*MAX(INDEX(SC_ZX_Drawdown,ZXIDX2),0),AV56))</f>
        <v>#REF!</v>
      </c>
      <c r="AY56" s="109" t="e">
        <f t="shared" ca="1" si="108"/>
        <v>#REF!</v>
      </c>
      <c r="AZ56" s="75" t="e">
        <f t="shared" ca="1" si="109"/>
        <v>#REF!</v>
      </c>
      <c r="BA56" s="70" t="e">
        <f t="shared" ca="1" si="110"/>
        <v>#REF!</v>
      </c>
      <c r="BB56" s="70" t="e">
        <f t="shared" ca="1" si="111"/>
        <v>#REF!</v>
      </c>
      <c r="BC56" s="70" t="e">
        <f t="shared" ca="1" si="112"/>
        <v>#REF!</v>
      </c>
      <c r="BD56" s="67" t="e">
        <f t="shared" ca="1" si="69"/>
        <v>#REF!</v>
      </c>
      <c r="BE56" s="70" t="e">
        <f ca="1">-IF(INDEX(SC_ZX_CodeA,ZXIDX1)="X", 0, MIN(BD56*MAX(INDEX(SC_ZX_Drawdown,ZXIDX2),0),AZ56))</f>
        <v>#REF!</v>
      </c>
      <c r="BF56" s="109" t="e">
        <f t="shared" ca="1" si="113"/>
        <v>#REF!</v>
      </c>
      <c r="BG56" s="75" t="e">
        <f t="shared" ca="1" si="114"/>
        <v>#REF!</v>
      </c>
      <c r="BH56" s="70" t="e">
        <f t="shared" ca="1" si="115"/>
        <v>#REF!</v>
      </c>
      <c r="BI56" s="70" t="e">
        <f t="shared" ca="1" si="116"/>
        <v>#REF!</v>
      </c>
      <c r="BJ56" s="70" t="e">
        <f t="shared" ca="1" si="117"/>
        <v>#REF!</v>
      </c>
      <c r="BK56" s="67" t="e">
        <f t="shared" ca="1" si="70"/>
        <v>#REF!</v>
      </c>
      <c r="BL56" s="70" t="e">
        <f ca="1">-IF(INDEX(SC_ZX_CodeA,ZXIDX1)="X", 0, MIN(BK56*MAX(INDEX(SC_ZX_Drawdown,ZXIDX2),0),BJ56))</f>
        <v>#REF!</v>
      </c>
      <c r="BM56" s="70" t="e">
        <f t="shared" ca="1" si="118"/>
        <v>#REF!</v>
      </c>
      <c r="BN56" s="111" t="e">
        <f t="shared" ca="1" si="119"/>
        <v>#REF!</v>
      </c>
      <c r="BO56" s="112" t="e">
        <f t="shared" ca="1" si="120"/>
        <v>#REF!</v>
      </c>
      <c r="BP56" s="112" t="e">
        <f ca="1">-($V56-IF(($P56+$R56+$S56)&gt;0,MAX($V56/($P56+$R56+$S56)*($Q56+$R56),$V56),0))*LT_InvestmentQDI</f>
        <v>#VALUE!</v>
      </c>
      <c r="BQ56" s="112" t="e">
        <f ca="1">-($V56-IF(($P56+$R56+$S56)&gt;0,MAX($V56/($P56+$R56+$S56)*($Q56+$R56),$V56),0))*(1-LT_InvestmentQDI)</f>
        <v>#VALUE!</v>
      </c>
      <c r="BR56" s="112" t="e">
        <f t="shared" ca="1" si="121"/>
        <v>#VALUE!</v>
      </c>
      <c r="BS56" s="112" t="e">
        <f t="shared" ca="1" si="122"/>
        <v>#VALUE!</v>
      </c>
      <c r="BT56" s="634" t="e">
        <f ca="1">SUMPRODUCT($BN56:$BN57+$BO56:$BO57, --($E56:$E57&lt;&gt;0))</f>
        <v>#REF!</v>
      </c>
      <c r="BU56" s="617" t="e">
        <f ca="1">SUMPRODUCT($BR56:$BR57+$BS56:$BS57, --($E56:$E57&lt;&gt;0))</f>
        <v>#VALUE!</v>
      </c>
      <c r="BV56" s="617" t="e">
        <f ca="1">$T56+SUMPRODUCT($AA56:$AA57+$AH56:$AH57+$AO56:$AO57+$AV56:$AV57+$BC56:$BC57+$BJ56:$BJ57, --($E56:$E57&lt;&gt;0))</f>
        <v>#VALUE!</v>
      </c>
      <c r="BW56" s="617" t="e">
        <f ca="1">MAX($P56-$Q56,0)+SUMPRODUCT($X56:$X57+$AL56:$AL57+$AZ56:$AZ57, --($E56:$E57&lt;&gt;0))</f>
        <v>#VALUE!</v>
      </c>
      <c r="BX56" s="618" t="e">
        <f ca="1">MIN($P56,$Q56)+SUMPRODUCT($AE56:$AE57+$AS56:$AS57+$BG56:$BG57, --($E56:$E57&lt;&gt;0))</f>
        <v>#VALUE!</v>
      </c>
      <c r="CO56" s="8"/>
    </row>
    <row r="57" spans="2:93" x14ac:dyDescent="0.25">
      <c r="B57" s="86">
        <f t="shared" ca="1" si="59"/>
        <v>2045</v>
      </c>
      <c r="C57" s="80" t="s">
        <v>741</v>
      </c>
      <c r="D57" s="147" t="str">
        <f t="shared" si="84"/>
        <v/>
      </c>
      <c r="E57" s="81">
        <f t="shared" si="8"/>
        <v>0</v>
      </c>
      <c r="F57" s="81">
        <f t="shared" si="18"/>
        <v>2</v>
      </c>
      <c r="G57" s="82">
        <f t="shared" si="9"/>
        <v>-1</v>
      </c>
      <c r="H57" s="82">
        <f t="shared" si="85"/>
        <v>0</v>
      </c>
      <c r="I57" s="81" t="b">
        <f t="shared" si="86"/>
        <v>0</v>
      </c>
      <c r="J57" s="81"/>
      <c r="K57" s="81"/>
      <c r="L57" s="81"/>
      <c r="M57" s="81"/>
      <c r="N57" s="633"/>
      <c r="O57" s="243" t="e">
        <f ca="1">LT_InvestmentStocks*INDEX(SP_EA_ARStocks,EAIDX)+LT_InvestmentBonds*INDEX(SC_EA_ARBonds,EAIDX)</f>
        <v>#REF!</v>
      </c>
      <c r="P57" s="634"/>
      <c r="Q57" s="617"/>
      <c r="R57" s="617"/>
      <c r="S57" s="617"/>
      <c r="T57" s="617"/>
      <c r="U57" s="643"/>
      <c r="V57" s="617"/>
      <c r="W57" s="639"/>
      <c r="X57" s="106" t="e">
        <f t="shared" ca="1" si="89"/>
        <v>#REF!</v>
      </c>
      <c r="Y57" s="107" t="e">
        <f t="shared" ca="1" si="90"/>
        <v>#REF!</v>
      </c>
      <c r="Z57" s="107" t="e">
        <f t="shared" ca="1" si="91"/>
        <v>#REF!</v>
      </c>
      <c r="AA57" s="107" t="e">
        <f t="shared" ca="1" si="92"/>
        <v>#REF!</v>
      </c>
      <c r="AB57" s="91" t="e">
        <f t="shared" ca="1" si="65"/>
        <v>#REF!</v>
      </c>
      <c r="AC57" s="107" t="e">
        <f ca="1">-IF(INDEX(SC_ZX_CodeA,ZXIDX1)="X", 0, MIN(AB57*MAX(INDEX(SC_ZX_Drawdown,ZXIDX2),0),AA57))</f>
        <v>#REF!</v>
      </c>
      <c r="AD57" s="110" t="e">
        <f t="shared" ca="1" si="93"/>
        <v>#REF!</v>
      </c>
      <c r="AE57" s="106" t="e">
        <f t="shared" ca="1" si="94"/>
        <v>#REF!</v>
      </c>
      <c r="AF57" s="107" t="e">
        <f t="shared" ca="1" si="95"/>
        <v>#REF!</v>
      </c>
      <c r="AG57" s="107" t="e">
        <f t="shared" ca="1" si="96"/>
        <v>#REF!</v>
      </c>
      <c r="AH57" s="107" t="e">
        <f t="shared" ca="1" si="97"/>
        <v>#REF!</v>
      </c>
      <c r="AI57" s="91" t="e">
        <f t="shared" ca="1" si="66"/>
        <v>#REF!</v>
      </c>
      <c r="AJ57" s="107" t="e">
        <f ca="1">-IF(INDEX(SC_ZX_CodeA,ZXIDX1)="X", 0, MIN(AI57*MAX(INDEX(SC_ZX_Drawdown,ZXIDX2),0),AH57))</f>
        <v>#REF!</v>
      </c>
      <c r="AK57" s="110" t="e">
        <f t="shared" ca="1" si="98"/>
        <v>#REF!</v>
      </c>
      <c r="AL57" s="106" t="e">
        <f t="shared" ca="1" si="99"/>
        <v>#REF!</v>
      </c>
      <c r="AM57" s="107" t="e">
        <f t="shared" ca="1" si="100"/>
        <v>#REF!</v>
      </c>
      <c r="AN57" s="107" t="e">
        <f t="shared" ca="1" si="101"/>
        <v>#REF!</v>
      </c>
      <c r="AO57" s="107" t="e">
        <f t="shared" ca="1" si="102"/>
        <v>#REF!</v>
      </c>
      <c r="AP57" s="91" t="e">
        <f t="shared" ca="1" si="67"/>
        <v>#REF!</v>
      </c>
      <c r="AQ57" s="107" t="e">
        <f ca="1">-IF(INDEX(SC_ZX_CodeA,ZXIDX1)="X", 0, MIN(AP57*MAX(INDEX(SC_ZX_Drawdown,ZXIDX2),0),AO57))</f>
        <v>#REF!</v>
      </c>
      <c r="AR57" s="110" t="e">
        <f t="shared" ca="1" si="103"/>
        <v>#REF!</v>
      </c>
      <c r="AS57" s="106" t="e">
        <f t="shared" ca="1" si="104"/>
        <v>#REF!</v>
      </c>
      <c r="AT57" s="107" t="e">
        <f t="shared" ca="1" si="105"/>
        <v>#REF!</v>
      </c>
      <c r="AU57" s="107" t="e">
        <f t="shared" ca="1" si="106"/>
        <v>#REF!</v>
      </c>
      <c r="AV57" s="107" t="e">
        <f t="shared" ca="1" si="107"/>
        <v>#REF!</v>
      </c>
      <c r="AW57" s="91" t="e">
        <f t="shared" ca="1" si="68"/>
        <v>#REF!</v>
      </c>
      <c r="AX57" s="107" t="e">
        <f ca="1">-IF(INDEX(SC_ZX_CodeA,ZXIDX1)="X", 0, MIN(AW57*MAX(INDEX(SC_ZX_Drawdown,ZXIDX2),0),AV57))</f>
        <v>#REF!</v>
      </c>
      <c r="AY57" s="110" t="e">
        <f t="shared" ca="1" si="108"/>
        <v>#REF!</v>
      </c>
      <c r="AZ57" s="106" t="e">
        <f t="shared" ca="1" si="109"/>
        <v>#REF!</v>
      </c>
      <c r="BA57" s="107" t="e">
        <f t="shared" ca="1" si="110"/>
        <v>#REF!</v>
      </c>
      <c r="BB57" s="107" t="e">
        <f t="shared" ca="1" si="111"/>
        <v>#REF!</v>
      </c>
      <c r="BC57" s="107" t="e">
        <f t="shared" ca="1" si="112"/>
        <v>#REF!</v>
      </c>
      <c r="BD57" s="91" t="e">
        <f t="shared" ca="1" si="69"/>
        <v>#REF!</v>
      </c>
      <c r="BE57" s="107" t="e">
        <f ca="1">-IF(INDEX(SC_ZX_CodeA,ZXIDX1)="X", 0, MIN(BD57*MAX(INDEX(SC_ZX_Drawdown,ZXIDX2),0),AZ57))</f>
        <v>#REF!</v>
      </c>
      <c r="BF57" s="110" t="e">
        <f t="shared" ca="1" si="113"/>
        <v>#REF!</v>
      </c>
      <c r="BG57" s="106" t="e">
        <f t="shared" ca="1" si="114"/>
        <v>#REF!</v>
      </c>
      <c r="BH57" s="107" t="e">
        <f t="shared" ca="1" si="115"/>
        <v>#REF!</v>
      </c>
      <c r="BI57" s="107" t="e">
        <f t="shared" ca="1" si="116"/>
        <v>#REF!</v>
      </c>
      <c r="BJ57" s="107" t="e">
        <f t="shared" ca="1" si="117"/>
        <v>#REF!</v>
      </c>
      <c r="BK57" s="91" t="e">
        <f t="shared" ca="1" si="70"/>
        <v>#REF!</v>
      </c>
      <c r="BL57" s="107" t="e">
        <f ca="1">-IF(INDEX(SC_ZX_CodeA,ZXIDX1)="X", 0, MIN(BK57*MAX(INDEX(SC_ZX_Drawdown,ZXIDX2),0),BJ57))</f>
        <v>#REF!</v>
      </c>
      <c r="BM57" s="107" t="e">
        <f t="shared" ca="1" si="118"/>
        <v>#REF!</v>
      </c>
      <c r="BN57" s="113" t="e">
        <f t="shared" ca="1" si="119"/>
        <v>#REF!</v>
      </c>
      <c r="BO57" s="114" t="e">
        <f t="shared" ca="1" si="120"/>
        <v>#REF!</v>
      </c>
      <c r="BP57" s="114" t="e">
        <f ca="1">-($V57-IF(($P57+$R57+$S57)&gt;0,MAX($V57/($P57+$R57+$S57)*($Q57+$R57),$V57),0))*LT_InvestmentQDI</f>
        <v>#REF!</v>
      </c>
      <c r="BQ57" s="114" t="e">
        <f ca="1">-($V57-IF(($P57+$R57+$S57)&gt;0,MAX($V57/($P57+$R57+$S57)*($Q57+$R57),$V57),0))*(1-LT_InvestmentQDI)</f>
        <v>#REF!</v>
      </c>
      <c r="BR57" s="114" t="e">
        <f t="shared" ca="1" si="121"/>
        <v>#REF!</v>
      </c>
      <c r="BS57" s="114" t="e">
        <f t="shared" ca="1" si="122"/>
        <v>#REF!</v>
      </c>
      <c r="BT57" s="649"/>
      <c r="BU57" s="637"/>
      <c r="BV57" s="637"/>
      <c r="BW57" s="637"/>
      <c r="BX57" s="639"/>
      <c r="CO57" s="8"/>
    </row>
    <row r="58" spans="2:93" x14ac:dyDescent="0.25">
      <c r="B58" s="65">
        <f ca="1">B56+1</f>
        <v>2046</v>
      </c>
      <c r="C58" s="76" t="s">
        <v>741</v>
      </c>
      <c r="D58" s="146" t="str">
        <f t="shared" si="84"/>
        <v/>
      </c>
      <c r="E58" s="77">
        <f t="shared" si="8"/>
        <v>0</v>
      </c>
      <c r="F58" s="77">
        <f t="shared" si="18"/>
        <v>1</v>
      </c>
      <c r="G58" s="76">
        <f t="shared" si="9"/>
        <v>1</v>
      </c>
      <c r="H58" s="76">
        <f t="shared" si="85"/>
        <v>0</v>
      </c>
      <c r="I58" s="77" t="b">
        <f t="shared" si="86"/>
        <v>0</v>
      </c>
      <c r="J58" s="77"/>
      <c r="K58" s="77"/>
      <c r="L58" s="77"/>
      <c r="M58" s="77"/>
      <c r="N58" s="632">
        <f ca="1">YEAR(SP_TargetRD)-$B58</f>
        <v>-23</v>
      </c>
      <c r="O58" s="243" t="e">
        <f ca="1">LT_InvestmentStocks*INDEX(SP_EA_ARStocks,EAIDX)+LT_InvestmentBonds*INDEX(SC_EA_ARBonds,EAIDX)</f>
        <v>#REF!</v>
      </c>
      <c r="P58" s="634" t="e">
        <f ca="1">MAX(P56+R56+S56+V56+W56,0)</f>
        <v>#VALUE!</v>
      </c>
      <c r="Q58" s="617" t="e">
        <f t="shared" ref="Q58" ca="1" si="130">MAX(Q56+R56+IF((P56+R56+S56)&gt;0,MAX(V56/(P56+R56+S56)*(Q56+R56),V56),0),0)</f>
        <v>#VALUE!</v>
      </c>
      <c r="R58" s="617" t="e">
        <f ca="1">IF(SC_ZX_CodeA="X", 0, MAX(INDEX(SC_ZX_IncomeSurplus,ZXIDX2)+INDEX(SC_ZX_Debt,ZXIDX2),0))</f>
        <v>#VALUE!</v>
      </c>
      <c r="S58" s="617" t="e">
        <f ca="1">IF(SC_ZX_CodeA="X", 0, INDEX(SC_EX_RolloverCore,EXIDX))</f>
        <v>#VALUE!</v>
      </c>
      <c r="T58" s="617" t="e">
        <f ca="1">P58+R58+S58</f>
        <v>#VALUE!</v>
      </c>
      <c r="U58" s="642" t="e">
        <f ca="1">IF(SC_ZX_BalanceAccessibleA&gt;0, T58/SC_ZX_BalanceAccessibleA, 0)</f>
        <v>#VALUE!</v>
      </c>
      <c r="V58" s="617" t="e">
        <f ca="1">-IF(SC_ZX_CodeA="X",0,MIN(U58*MAX(INDEX(SC_ZX_Drawdown,ZXIDX2),0),T58))</f>
        <v>#VALUE!</v>
      </c>
      <c r="W58" s="618" t="e">
        <f ca="1">(P58+R58+S58+V58)*$O58</f>
        <v>#VALUE!</v>
      </c>
      <c r="X58" s="75" t="e">
        <f t="shared" ca="1" si="89"/>
        <v>#REF!</v>
      </c>
      <c r="Y58" s="70" t="e">
        <f t="shared" ca="1" si="90"/>
        <v>#REF!</v>
      </c>
      <c r="Z58" s="70" t="e">
        <f t="shared" ca="1" si="91"/>
        <v>#REF!</v>
      </c>
      <c r="AA58" s="70" t="e">
        <f t="shared" ca="1" si="92"/>
        <v>#REF!</v>
      </c>
      <c r="AB58" s="67" t="e">
        <f t="shared" ca="1" si="65"/>
        <v>#REF!</v>
      </c>
      <c r="AC58" s="70" t="e">
        <f ca="1">-IF(INDEX(SC_ZX_CodeA,ZXIDX1)="X", 0, MIN(AB58*MAX(INDEX(SC_ZX_Drawdown,ZXIDX2),0),AA58))</f>
        <v>#REF!</v>
      </c>
      <c r="AD58" s="109" t="e">
        <f t="shared" ca="1" si="93"/>
        <v>#REF!</v>
      </c>
      <c r="AE58" s="75" t="e">
        <f t="shared" ca="1" si="94"/>
        <v>#REF!</v>
      </c>
      <c r="AF58" s="70" t="e">
        <f t="shared" ca="1" si="95"/>
        <v>#REF!</v>
      </c>
      <c r="AG58" s="70" t="e">
        <f t="shared" ca="1" si="96"/>
        <v>#REF!</v>
      </c>
      <c r="AH58" s="70" t="e">
        <f t="shared" ca="1" si="97"/>
        <v>#REF!</v>
      </c>
      <c r="AI58" s="67" t="e">
        <f t="shared" ca="1" si="66"/>
        <v>#REF!</v>
      </c>
      <c r="AJ58" s="70" t="e">
        <f ca="1">-IF(INDEX(SC_ZX_CodeA,ZXIDX1)="X", 0, MIN(AI58*MAX(INDEX(SC_ZX_Drawdown,ZXIDX2),0),AH58))</f>
        <v>#REF!</v>
      </c>
      <c r="AK58" s="109" t="e">
        <f t="shared" ca="1" si="98"/>
        <v>#REF!</v>
      </c>
      <c r="AL58" s="75" t="e">
        <f t="shared" ca="1" si="99"/>
        <v>#REF!</v>
      </c>
      <c r="AM58" s="70" t="e">
        <f t="shared" ca="1" si="100"/>
        <v>#REF!</v>
      </c>
      <c r="AN58" s="70" t="e">
        <f t="shared" ca="1" si="101"/>
        <v>#REF!</v>
      </c>
      <c r="AO58" s="70" t="e">
        <f t="shared" ca="1" si="102"/>
        <v>#REF!</v>
      </c>
      <c r="AP58" s="67" t="e">
        <f t="shared" ca="1" si="67"/>
        <v>#REF!</v>
      </c>
      <c r="AQ58" s="70" t="e">
        <f ca="1">-IF(INDEX(SC_ZX_CodeA,ZXIDX1)="X", 0, MIN(AP58*MAX(INDEX(SC_ZX_Drawdown,ZXIDX2),0),AO58))</f>
        <v>#REF!</v>
      </c>
      <c r="AR58" s="109" t="e">
        <f t="shared" ca="1" si="103"/>
        <v>#REF!</v>
      </c>
      <c r="AS58" s="75" t="e">
        <f t="shared" ca="1" si="104"/>
        <v>#REF!</v>
      </c>
      <c r="AT58" s="70" t="e">
        <f t="shared" ca="1" si="105"/>
        <v>#REF!</v>
      </c>
      <c r="AU58" s="70" t="e">
        <f t="shared" ca="1" si="106"/>
        <v>#REF!</v>
      </c>
      <c r="AV58" s="70" t="e">
        <f t="shared" ca="1" si="107"/>
        <v>#REF!</v>
      </c>
      <c r="AW58" s="67" t="e">
        <f t="shared" ca="1" si="68"/>
        <v>#REF!</v>
      </c>
      <c r="AX58" s="70" t="e">
        <f ca="1">-IF(INDEX(SC_ZX_CodeA,ZXIDX1)="X", 0, MIN(AW58*MAX(INDEX(SC_ZX_Drawdown,ZXIDX2),0),AV58))</f>
        <v>#REF!</v>
      </c>
      <c r="AY58" s="109" t="e">
        <f t="shared" ca="1" si="108"/>
        <v>#REF!</v>
      </c>
      <c r="AZ58" s="75" t="e">
        <f t="shared" ca="1" si="109"/>
        <v>#REF!</v>
      </c>
      <c r="BA58" s="70" t="e">
        <f t="shared" ca="1" si="110"/>
        <v>#REF!</v>
      </c>
      <c r="BB58" s="70" t="e">
        <f t="shared" ca="1" si="111"/>
        <v>#REF!</v>
      </c>
      <c r="BC58" s="70" t="e">
        <f t="shared" ca="1" si="112"/>
        <v>#REF!</v>
      </c>
      <c r="BD58" s="67" t="e">
        <f t="shared" ca="1" si="69"/>
        <v>#REF!</v>
      </c>
      <c r="BE58" s="70" t="e">
        <f ca="1">-IF(INDEX(SC_ZX_CodeA,ZXIDX1)="X", 0, MIN(BD58*MAX(INDEX(SC_ZX_Drawdown,ZXIDX2),0),AZ58))</f>
        <v>#REF!</v>
      </c>
      <c r="BF58" s="109" t="e">
        <f t="shared" ca="1" si="113"/>
        <v>#REF!</v>
      </c>
      <c r="BG58" s="75" t="e">
        <f t="shared" ca="1" si="114"/>
        <v>#REF!</v>
      </c>
      <c r="BH58" s="70" t="e">
        <f t="shared" ca="1" si="115"/>
        <v>#REF!</v>
      </c>
      <c r="BI58" s="70" t="e">
        <f t="shared" ca="1" si="116"/>
        <v>#REF!</v>
      </c>
      <c r="BJ58" s="70" t="e">
        <f t="shared" ca="1" si="117"/>
        <v>#REF!</v>
      </c>
      <c r="BK58" s="67" t="e">
        <f t="shared" ca="1" si="70"/>
        <v>#REF!</v>
      </c>
      <c r="BL58" s="70" t="e">
        <f ca="1">-IF(INDEX(SC_ZX_CodeA,ZXIDX1)="X", 0, MIN(BK58*MAX(INDEX(SC_ZX_Drawdown,ZXIDX2),0),BJ58))</f>
        <v>#REF!</v>
      </c>
      <c r="BM58" s="70" t="e">
        <f t="shared" ca="1" si="118"/>
        <v>#REF!</v>
      </c>
      <c r="BN58" s="111" t="e">
        <f t="shared" ca="1" si="119"/>
        <v>#REF!</v>
      </c>
      <c r="BO58" s="112" t="e">
        <f t="shared" ca="1" si="120"/>
        <v>#REF!</v>
      </c>
      <c r="BP58" s="112" t="e">
        <f ca="1">-($V58-IF(($P58+$R58+$S58)&gt;0,MAX($V58/($P58+$R58+$S58)*($Q58+$R58),$V58),0))*LT_InvestmentQDI</f>
        <v>#VALUE!</v>
      </c>
      <c r="BQ58" s="112" t="e">
        <f ca="1">-($V58-IF(($P58+$R58+$S58)&gt;0,MAX($V58/($P58+$R58+$S58)*($Q58+$R58),$V58),0))*(1-LT_InvestmentQDI)</f>
        <v>#VALUE!</v>
      </c>
      <c r="BR58" s="112" t="e">
        <f t="shared" ca="1" si="121"/>
        <v>#VALUE!</v>
      </c>
      <c r="BS58" s="112" t="e">
        <f t="shared" ca="1" si="122"/>
        <v>#VALUE!</v>
      </c>
      <c r="BT58" s="634" t="e">
        <f ca="1">SUMPRODUCT($BN58:$BN59+$BO58:$BO59, --($E58:$E59&lt;&gt;0))</f>
        <v>#REF!</v>
      </c>
      <c r="BU58" s="617" t="e">
        <f ca="1">SUMPRODUCT($BR58:$BR59+$BS58:$BS59, --($E58:$E59&lt;&gt;0))</f>
        <v>#VALUE!</v>
      </c>
      <c r="BV58" s="617" t="e">
        <f ca="1">$T58+SUMPRODUCT($AA58:$AA59+$AH58:$AH59+$AO58:$AO59+$AV58:$AV59+$BC58:$BC59+$BJ58:$BJ59, --($E58:$E59&lt;&gt;0))</f>
        <v>#VALUE!</v>
      </c>
      <c r="BW58" s="617" t="e">
        <f ca="1">MAX($P58-$Q58,0)+SUMPRODUCT($X58:$X59+$AL58:$AL59+$AZ58:$AZ59, --($E58:$E59&lt;&gt;0))</f>
        <v>#VALUE!</v>
      </c>
      <c r="BX58" s="618" t="e">
        <f ca="1">MIN($P58,$Q58)+SUMPRODUCT($AE58:$AE59+$AS58:$AS59+$BG58:$BG59, --($E58:$E59&lt;&gt;0))</f>
        <v>#VALUE!</v>
      </c>
      <c r="CO58" s="8"/>
    </row>
    <row r="59" spans="2:93" x14ac:dyDescent="0.25">
      <c r="B59" s="86">
        <f t="shared" ca="1" si="59"/>
        <v>2046</v>
      </c>
      <c r="C59" s="80" t="s">
        <v>741</v>
      </c>
      <c r="D59" s="147" t="str">
        <f t="shared" si="84"/>
        <v/>
      </c>
      <c r="E59" s="81">
        <f t="shared" si="8"/>
        <v>0</v>
      </c>
      <c r="F59" s="81">
        <f t="shared" si="18"/>
        <v>2</v>
      </c>
      <c r="G59" s="82">
        <f t="shared" si="9"/>
        <v>-1</v>
      </c>
      <c r="H59" s="82">
        <f t="shared" si="85"/>
        <v>0</v>
      </c>
      <c r="I59" s="81" t="b">
        <f t="shared" si="86"/>
        <v>0</v>
      </c>
      <c r="J59" s="81"/>
      <c r="K59" s="81"/>
      <c r="L59" s="81"/>
      <c r="M59" s="81"/>
      <c r="N59" s="633"/>
      <c r="O59" s="243" t="e">
        <f ca="1">LT_InvestmentStocks*INDEX(SP_EA_ARStocks,EAIDX)+LT_InvestmentBonds*INDEX(SC_EA_ARBonds,EAIDX)</f>
        <v>#REF!</v>
      </c>
      <c r="P59" s="634"/>
      <c r="Q59" s="617"/>
      <c r="R59" s="617"/>
      <c r="S59" s="617"/>
      <c r="T59" s="617"/>
      <c r="U59" s="643"/>
      <c r="V59" s="617"/>
      <c r="W59" s="639"/>
      <c r="X59" s="106" t="e">
        <f t="shared" ca="1" si="89"/>
        <v>#REF!</v>
      </c>
      <c r="Y59" s="107" t="e">
        <f t="shared" ca="1" si="90"/>
        <v>#REF!</v>
      </c>
      <c r="Z59" s="107" t="e">
        <f t="shared" ca="1" si="91"/>
        <v>#REF!</v>
      </c>
      <c r="AA59" s="107" t="e">
        <f t="shared" ca="1" si="92"/>
        <v>#REF!</v>
      </c>
      <c r="AB59" s="91" t="e">
        <f t="shared" ca="1" si="65"/>
        <v>#REF!</v>
      </c>
      <c r="AC59" s="107" t="e">
        <f ca="1">-IF(INDEX(SC_ZX_CodeA,ZXIDX1)="X", 0, MIN(AB59*MAX(INDEX(SC_ZX_Drawdown,ZXIDX2),0),AA59))</f>
        <v>#REF!</v>
      </c>
      <c r="AD59" s="110" t="e">
        <f t="shared" ca="1" si="93"/>
        <v>#REF!</v>
      </c>
      <c r="AE59" s="106" t="e">
        <f t="shared" ca="1" si="94"/>
        <v>#REF!</v>
      </c>
      <c r="AF59" s="107" t="e">
        <f t="shared" ca="1" si="95"/>
        <v>#REF!</v>
      </c>
      <c r="AG59" s="107" t="e">
        <f t="shared" ca="1" si="96"/>
        <v>#REF!</v>
      </c>
      <c r="AH59" s="107" t="e">
        <f t="shared" ca="1" si="97"/>
        <v>#REF!</v>
      </c>
      <c r="AI59" s="91" t="e">
        <f t="shared" ca="1" si="66"/>
        <v>#REF!</v>
      </c>
      <c r="AJ59" s="107" t="e">
        <f ca="1">-IF(INDEX(SC_ZX_CodeA,ZXIDX1)="X", 0, MIN(AI59*MAX(INDEX(SC_ZX_Drawdown,ZXIDX2),0),AH59))</f>
        <v>#REF!</v>
      </c>
      <c r="AK59" s="110" t="e">
        <f t="shared" ca="1" si="98"/>
        <v>#REF!</v>
      </c>
      <c r="AL59" s="106" t="e">
        <f t="shared" ca="1" si="99"/>
        <v>#REF!</v>
      </c>
      <c r="AM59" s="107" t="e">
        <f t="shared" ca="1" si="100"/>
        <v>#REF!</v>
      </c>
      <c r="AN59" s="107" t="e">
        <f t="shared" ca="1" si="101"/>
        <v>#REF!</v>
      </c>
      <c r="AO59" s="107" t="e">
        <f t="shared" ca="1" si="102"/>
        <v>#REF!</v>
      </c>
      <c r="AP59" s="91" t="e">
        <f t="shared" ca="1" si="67"/>
        <v>#REF!</v>
      </c>
      <c r="AQ59" s="107" t="e">
        <f ca="1">-IF(INDEX(SC_ZX_CodeA,ZXIDX1)="X", 0, MIN(AP59*MAX(INDEX(SC_ZX_Drawdown,ZXIDX2),0),AO59))</f>
        <v>#REF!</v>
      </c>
      <c r="AR59" s="110" t="e">
        <f t="shared" ca="1" si="103"/>
        <v>#REF!</v>
      </c>
      <c r="AS59" s="106" t="e">
        <f t="shared" ca="1" si="104"/>
        <v>#REF!</v>
      </c>
      <c r="AT59" s="107" t="e">
        <f t="shared" ca="1" si="105"/>
        <v>#REF!</v>
      </c>
      <c r="AU59" s="107" t="e">
        <f t="shared" ca="1" si="106"/>
        <v>#REF!</v>
      </c>
      <c r="AV59" s="107" t="e">
        <f t="shared" ca="1" si="107"/>
        <v>#REF!</v>
      </c>
      <c r="AW59" s="91" t="e">
        <f t="shared" ca="1" si="68"/>
        <v>#REF!</v>
      </c>
      <c r="AX59" s="107" t="e">
        <f ca="1">-IF(INDEX(SC_ZX_CodeA,ZXIDX1)="X", 0, MIN(AW59*MAX(INDEX(SC_ZX_Drawdown,ZXIDX2),0),AV59))</f>
        <v>#REF!</v>
      </c>
      <c r="AY59" s="110" t="e">
        <f t="shared" ca="1" si="108"/>
        <v>#REF!</v>
      </c>
      <c r="AZ59" s="106" t="e">
        <f t="shared" ca="1" si="109"/>
        <v>#REF!</v>
      </c>
      <c r="BA59" s="107" t="e">
        <f t="shared" ca="1" si="110"/>
        <v>#REF!</v>
      </c>
      <c r="BB59" s="107" t="e">
        <f t="shared" ca="1" si="111"/>
        <v>#REF!</v>
      </c>
      <c r="BC59" s="107" t="e">
        <f t="shared" ca="1" si="112"/>
        <v>#REF!</v>
      </c>
      <c r="BD59" s="91" t="e">
        <f t="shared" ca="1" si="69"/>
        <v>#REF!</v>
      </c>
      <c r="BE59" s="107" t="e">
        <f ca="1">-IF(INDEX(SC_ZX_CodeA,ZXIDX1)="X", 0, MIN(BD59*MAX(INDEX(SC_ZX_Drawdown,ZXIDX2),0),AZ59))</f>
        <v>#REF!</v>
      </c>
      <c r="BF59" s="110" t="e">
        <f t="shared" ca="1" si="113"/>
        <v>#REF!</v>
      </c>
      <c r="BG59" s="106" t="e">
        <f t="shared" ca="1" si="114"/>
        <v>#REF!</v>
      </c>
      <c r="BH59" s="107" t="e">
        <f t="shared" ca="1" si="115"/>
        <v>#REF!</v>
      </c>
      <c r="BI59" s="107" t="e">
        <f t="shared" ca="1" si="116"/>
        <v>#REF!</v>
      </c>
      <c r="BJ59" s="107" t="e">
        <f t="shared" ca="1" si="117"/>
        <v>#REF!</v>
      </c>
      <c r="BK59" s="91" t="e">
        <f t="shared" ca="1" si="70"/>
        <v>#REF!</v>
      </c>
      <c r="BL59" s="107" t="e">
        <f ca="1">-IF(INDEX(SC_ZX_CodeA,ZXIDX1)="X", 0, MIN(BK59*MAX(INDEX(SC_ZX_Drawdown,ZXIDX2),0),BJ59))</f>
        <v>#REF!</v>
      </c>
      <c r="BM59" s="107" t="e">
        <f t="shared" ca="1" si="118"/>
        <v>#REF!</v>
      </c>
      <c r="BN59" s="113" t="e">
        <f t="shared" ca="1" si="119"/>
        <v>#REF!</v>
      </c>
      <c r="BO59" s="114" t="e">
        <f t="shared" ca="1" si="120"/>
        <v>#REF!</v>
      </c>
      <c r="BP59" s="114" t="e">
        <f ca="1">-($V59-IF(($P59+$R59+$S59)&gt;0,MAX($V59/($P59+$R59+$S59)*($Q59+$R59),$V59),0))*LT_InvestmentQDI</f>
        <v>#REF!</v>
      </c>
      <c r="BQ59" s="114" t="e">
        <f ca="1">-($V59-IF(($P59+$R59+$S59)&gt;0,MAX($V59/($P59+$R59+$S59)*($Q59+$R59),$V59),0))*(1-LT_InvestmentQDI)</f>
        <v>#REF!</v>
      </c>
      <c r="BR59" s="114" t="e">
        <f t="shared" ca="1" si="121"/>
        <v>#REF!</v>
      </c>
      <c r="BS59" s="114" t="e">
        <f t="shared" ca="1" si="122"/>
        <v>#REF!</v>
      </c>
      <c r="BT59" s="649"/>
      <c r="BU59" s="637"/>
      <c r="BV59" s="637"/>
      <c r="BW59" s="637"/>
      <c r="BX59" s="639"/>
      <c r="CO59" s="8"/>
    </row>
    <row r="60" spans="2:93" x14ac:dyDescent="0.25">
      <c r="B60" s="65">
        <f ca="1">B58+1</f>
        <v>2047</v>
      </c>
      <c r="C60" s="76" t="s">
        <v>741</v>
      </c>
      <c r="D60" s="146" t="str">
        <f t="shared" si="84"/>
        <v/>
      </c>
      <c r="E60" s="77">
        <f t="shared" si="8"/>
        <v>0</v>
      </c>
      <c r="F60" s="77">
        <f t="shared" si="18"/>
        <v>1</v>
      </c>
      <c r="G60" s="76">
        <f t="shared" si="9"/>
        <v>1</v>
      </c>
      <c r="H60" s="76">
        <f t="shared" si="85"/>
        <v>0</v>
      </c>
      <c r="I60" s="77" t="b">
        <f t="shared" si="86"/>
        <v>0</v>
      </c>
      <c r="J60" s="77"/>
      <c r="K60" s="77"/>
      <c r="L60" s="77"/>
      <c r="M60" s="77"/>
      <c r="N60" s="632">
        <f ca="1">YEAR(SP_TargetRD)-$B60</f>
        <v>-24</v>
      </c>
      <c r="O60" s="243" t="e">
        <f ca="1">LT_InvestmentStocks*INDEX(SP_EA_ARStocks,EAIDX)+LT_InvestmentBonds*INDEX(SC_EA_ARBonds,EAIDX)</f>
        <v>#REF!</v>
      </c>
      <c r="P60" s="634" t="e">
        <f ca="1">MAX(P58+R58+S58+V58+W58,0)</f>
        <v>#VALUE!</v>
      </c>
      <c r="Q60" s="617" t="e">
        <f t="shared" ref="Q60" ca="1" si="131">MAX(Q58+R58+IF((P58+R58+S58)&gt;0,MAX(V58/(P58+R58+S58)*(Q58+R58),V58),0),0)</f>
        <v>#VALUE!</v>
      </c>
      <c r="R60" s="617" t="e">
        <f ca="1">IF(SC_ZX_CodeA="X", 0, MAX(INDEX(SC_ZX_IncomeSurplus,ZXIDX2)+INDEX(SC_ZX_Debt,ZXIDX2),0))</f>
        <v>#VALUE!</v>
      </c>
      <c r="S60" s="617" t="e">
        <f ca="1">IF(SC_ZX_CodeA="X", 0, INDEX(SC_EX_RolloverCore,EXIDX))</f>
        <v>#VALUE!</v>
      </c>
      <c r="T60" s="617" t="e">
        <f ca="1">P60+R60+S60</f>
        <v>#VALUE!</v>
      </c>
      <c r="U60" s="642" t="e">
        <f ca="1">IF(SC_ZX_BalanceAccessibleA&gt;0, T60/SC_ZX_BalanceAccessibleA, 0)</f>
        <v>#VALUE!</v>
      </c>
      <c r="V60" s="617" t="e">
        <f ca="1">-IF(SC_ZX_CodeA="X",0,MIN(U60*MAX(INDEX(SC_ZX_Drawdown,ZXIDX2),0),T60))</f>
        <v>#VALUE!</v>
      </c>
      <c r="W60" s="618" t="e">
        <f ca="1">(P60+R60+S60+V60)*$O60</f>
        <v>#VALUE!</v>
      </c>
      <c r="X60" s="75" t="e">
        <f t="shared" ca="1" si="89"/>
        <v>#REF!</v>
      </c>
      <c r="Y60" s="70" t="e">
        <f t="shared" ca="1" si="90"/>
        <v>#REF!</v>
      </c>
      <c r="Z60" s="70" t="e">
        <f t="shared" ca="1" si="91"/>
        <v>#REF!</v>
      </c>
      <c r="AA60" s="70" t="e">
        <f t="shared" ca="1" si="92"/>
        <v>#REF!</v>
      </c>
      <c r="AB60" s="67" t="e">
        <f t="shared" ca="1" si="65"/>
        <v>#REF!</v>
      </c>
      <c r="AC60" s="70" t="e">
        <f ca="1">-IF(INDEX(SC_ZX_CodeA,ZXIDX1)="X", 0, MIN(AB60*MAX(INDEX(SC_ZX_Drawdown,ZXIDX2),0),AA60))</f>
        <v>#REF!</v>
      </c>
      <c r="AD60" s="109" t="e">
        <f t="shared" ca="1" si="93"/>
        <v>#REF!</v>
      </c>
      <c r="AE60" s="75" t="e">
        <f t="shared" ca="1" si="94"/>
        <v>#REF!</v>
      </c>
      <c r="AF60" s="70" t="e">
        <f t="shared" ca="1" si="95"/>
        <v>#REF!</v>
      </c>
      <c r="AG60" s="70" t="e">
        <f t="shared" ca="1" si="96"/>
        <v>#REF!</v>
      </c>
      <c r="AH60" s="70" t="e">
        <f t="shared" ca="1" si="97"/>
        <v>#REF!</v>
      </c>
      <c r="AI60" s="67" t="e">
        <f t="shared" ca="1" si="66"/>
        <v>#REF!</v>
      </c>
      <c r="AJ60" s="70" t="e">
        <f ca="1">-IF(INDEX(SC_ZX_CodeA,ZXIDX1)="X", 0, MIN(AI60*MAX(INDEX(SC_ZX_Drawdown,ZXIDX2),0),AH60))</f>
        <v>#REF!</v>
      </c>
      <c r="AK60" s="109" t="e">
        <f t="shared" ca="1" si="98"/>
        <v>#REF!</v>
      </c>
      <c r="AL60" s="75" t="e">
        <f t="shared" ca="1" si="99"/>
        <v>#REF!</v>
      </c>
      <c r="AM60" s="70" t="e">
        <f t="shared" ca="1" si="100"/>
        <v>#REF!</v>
      </c>
      <c r="AN60" s="70" t="e">
        <f t="shared" ca="1" si="101"/>
        <v>#REF!</v>
      </c>
      <c r="AO60" s="70" t="e">
        <f t="shared" ca="1" si="102"/>
        <v>#REF!</v>
      </c>
      <c r="AP60" s="67" t="e">
        <f t="shared" ca="1" si="67"/>
        <v>#REF!</v>
      </c>
      <c r="AQ60" s="70" t="e">
        <f ca="1">-IF(INDEX(SC_ZX_CodeA,ZXIDX1)="X", 0, MIN(AP60*MAX(INDEX(SC_ZX_Drawdown,ZXIDX2),0),AO60))</f>
        <v>#REF!</v>
      </c>
      <c r="AR60" s="109" t="e">
        <f t="shared" ca="1" si="103"/>
        <v>#REF!</v>
      </c>
      <c r="AS60" s="75" t="e">
        <f t="shared" ca="1" si="104"/>
        <v>#REF!</v>
      </c>
      <c r="AT60" s="70" t="e">
        <f t="shared" ca="1" si="105"/>
        <v>#REF!</v>
      </c>
      <c r="AU60" s="70" t="e">
        <f t="shared" ca="1" si="106"/>
        <v>#REF!</v>
      </c>
      <c r="AV60" s="70" t="e">
        <f t="shared" ca="1" si="107"/>
        <v>#REF!</v>
      </c>
      <c r="AW60" s="67" t="e">
        <f t="shared" ca="1" si="68"/>
        <v>#REF!</v>
      </c>
      <c r="AX60" s="70" t="e">
        <f ca="1">-IF(INDEX(SC_ZX_CodeA,ZXIDX1)="X", 0, MIN(AW60*MAX(INDEX(SC_ZX_Drawdown,ZXIDX2),0),AV60))</f>
        <v>#REF!</v>
      </c>
      <c r="AY60" s="109" t="e">
        <f t="shared" ca="1" si="108"/>
        <v>#REF!</v>
      </c>
      <c r="AZ60" s="75" t="e">
        <f t="shared" ca="1" si="109"/>
        <v>#REF!</v>
      </c>
      <c r="BA60" s="70" t="e">
        <f t="shared" ca="1" si="110"/>
        <v>#REF!</v>
      </c>
      <c r="BB60" s="70" t="e">
        <f t="shared" ca="1" si="111"/>
        <v>#REF!</v>
      </c>
      <c r="BC60" s="70" t="e">
        <f t="shared" ca="1" si="112"/>
        <v>#REF!</v>
      </c>
      <c r="BD60" s="67" t="e">
        <f t="shared" ca="1" si="69"/>
        <v>#REF!</v>
      </c>
      <c r="BE60" s="70" t="e">
        <f ca="1">-IF(INDEX(SC_ZX_CodeA,ZXIDX1)="X", 0, MIN(BD60*MAX(INDEX(SC_ZX_Drawdown,ZXIDX2),0),AZ60))</f>
        <v>#REF!</v>
      </c>
      <c r="BF60" s="109" t="e">
        <f t="shared" ca="1" si="113"/>
        <v>#REF!</v>
      </c>
      <c r="BG60" s="75" t="e">
        <f t="shared" ca="1" si="114"/>
        <v>#REF!</v>
      </c>
      <c r="BH60" s="70" t="e">
        <f t="shared" ca="1" si="115"/>
        <v>#REF!</v>
      </c>
      <c r="BI60" s="70" t="e">
        <f t="shared" ca="1" si="116"/>
        <v>#REF!</v>
      </c>
      <c r="BJ60" s="70" t="e">
        <f t="shared" ca="1" si="117"/>
        <v>#REF!</v>
      </c>
      <c r="BK60" s="67" t="e">
        <f t="shared" ca="1" si="70"/>
        <v>#REF!</v>
      </c>
      <c r="BL60" s="70" t="e">
        <f ca="1">-IF(INDEX(SC_ZX_CodeA,ZXIDX1)="X", 0, MIN(BK60*MAX(INDEX(SC_ZX_Drawdown,ZXIDX2),0),BJ60))</f>
        <v>#REF!</v>
      </c>
      <c r="BM60" s="70" t="e">
        <f t="shared" ca="1" si="118"/>
        <v>#REF!</v>
      </c>
      <c r="BN60" s="111" t="e">
        <f t="shared" ca="1" si="119"/>
        <v>#REF!</v>
      </c>
      <c r="BO60" s="112" t="e">
        <f t="shared" ca="1" si="120"/>
        <v>#REF!</v>
      </c>
      <c r="BP60" s="112" t="e">
        <f ca="1">-($V60-IF(($P60+$R60+$S60)&gt;0,MAX($V60/($P60+$R60+$S60)*($Q60+$R60),$V60),0))*LT_InvestmentQDI</f>
        <v>#VALUE!</v>
      </c>
      <c r="BQ60" s="112" t="e">
        <f ca="1">-($V60-IF(($P60+$R60+$S60)&gt;0,MAX($V60/($P60+$R60+$S60)*($Q60+$R60),$V60),0))*(1-LT_InvestmentQDI)</f>
        <v>#VALUE!</v>
      </c>
      <c r="BR60" s="112" t="e">
        <f t="shared" ca="1" si="121"/>
        <v>#VALUE!</v>
      </c>
      <c r="BS60" s="112" t="e">
        <f t="shared" ca="1" si="122"/>
        <v>#VALUE!</v>
      </c>
      <c r="BT60" s="634" t="e">
        <f ca="1">SUMPRODUCT($BN60:$BN61+$BO60:$BO61, --($E60:$E61&lt;&gt;0))</f>
        <v>#REF!</v>
      </c>
      <c r="BU60" s="617" t="e">
        <f ca="1">SUMPRODUCT($BR60:$BR61+$BS60:$BS61, --($E60:$E61&lt;&gt;0))</f>
        <v>#VALUE!</v>
      </c>
      <c r="BV60" s="617" t="e">
        <f ca="1">$T60+SUMPRODUCT($AA60:$AA61+$AH60:$AH61+$AO60:$AO61+$AV60:$AV61+$BC60:$BC61+$BJ60:$BJ61, --($E60:$E61&lt;&gt;0))</f>
        <v>#VALUE!</v>
      </c>
      <c r="BW60" s="617" t="e">
        <f ca="1">MAX($P60-$Q60,0)+SUMPRODUCT($X60:$X61+$AL60:$AL61+$AZ60:$AZ61, --($E60:$E61&lt;&gt;0))</f>
        <v>#VALUE!</v>
      </c>
      <c r="BX60" s="618" t="e">
        <f ca="1">MIN($P60,$Q60)+SUMPRODUCT($AE60:$AE61+$AS60:$AS61+$BG60:$BG61, --($E60:$E61&lt;&gt;0))</f>
        <v>#VALUE!</v>
      </c>
      <c r="CO60" s="8"/>
    </row>
    <row r="61" spans="2:93" x14ac:dyDescent="0.25">
      <c r="B61" s="86">
        <f t="shared" ca="1" si="59"/>
        <v>2047</v>
      </c>
      <c r="C61" s="80" t="s">
        <v>741</v>
      </c>
      <c r="D61" s="147" t="str">
        <f t="shared" si="84"/>
        <v/>
      </c>
      <c r="E61" s="81">
        <f t="shared" si="8"/>
        <v>0</v>
      </c>
      <c r="F61" s="81">
        <f t="shared" si="18"/>
        <v>2</v>
      </c>
      <c r="G61" s="82">
        <f t="shared" si="9"/>
        <v>-1</v>
      </c>
      <c r="H61" s="82">
        <f t="shared" si="85"/>
        <v>0</v>
      </c>
      <c r="I61" s="81" t="b">
        <f t="shared" si="86"/>
        <v>0</v>
      </c>
      <c r="J61" s="81"/>
      <c r="K61" s="81"/>
      <c r="L61" s="81"/>
      <c r="M61" s="81"/>
      <c r="N61" s="633"/>
      <c r="O61" s="243" t="e">
        <f ca="1">LT_InvestmentStocks*INDEX(SP_EA_ARStocks,EAIDX)+LT_InvestmentBonds*INDEX(SC_EA_ARBonds,EAIDX)</f>
        <v>#REF!</v>
      </c>
      <c r="P61" s="634"/>
      <c r="Q61" s="617"/>
      <c r="R61" s="617"/>
      <c r="S61" s="617"/>
      <c r="T61" s="617"/>
      <c r="U61" s="643"/>
      <c r="V61" s="617"/>
      <c r="W61" s="639"/>
      <c r="X61" s="106" t="e">
        <f t="shared" ca="1" si="89"/>
        <v>#REF!</v>
      </c>
      <c r="Y61" s="107" t="e">
        <f t="shared" ca="1" si="90"/>
        <v>#REF!</v>
      </c>
      <c r="Z61" s="107" t="e">
        <f t="shared" ca="1" si="91"/>
        <v>#REF!</v>
      </c>
      <c r="AA61" s="107" t="e">
        <f t="shared" ca="1" si="92"/>
        <v>#REF!</v>
      </c>
      <c r="AB61" s="91" t="e">
        <f t="shared" ca="1" si="65"/>
        <v>#REF!</v>
      </c>
      <c r="AC61" s="107" t="e">
        <f ca="1">-IF(INDEX(SC_ZX_CodeA,ZXIDX1)="X", 0, MIN(AB61*MAX(INDEX(SC_ZX_Drawdown,ZXIDX2),0),AA61))</f>
        <v>#REF!</v>
      </c>
      <c r="AD61" s="110" t="e">
        <f t="shared" ca="1" si="93"/>
        <v>#REF!</v>
      </c>
      <c r="AE61" s="106" t="e">
        <f t="shared" ca="1" si="94"/>
        <v>#REF!</v>
      </c>
      <c r="AF61" s="107" t="e">
        <f t="shared" ca="1" si="95"/>
        <v>#REF!</v>
      </c>
      <c r="AG61" s="107" t="e">
        <f t="shared" ca="1" si="96"/>
        <v>#REF!</v>
      </c>
      <c r="AH61" s="107" t="e">
        <f t="shared" ca="1" si="97"/>
        <v>#REF!</v>
      </c>
      <c r="AI61" s="91" t="e">
        <f t="shared" ca="1" si="66"/>
        <v>#REF!</v>
      </c>
      <c r="AJ61" s="107" t="e">
        <f ca="1">-IF(INDEX(SC_ZX_CodeA,ZXIDX1)="X", 0, MIN(AI61*MAX(INDEX(SC_ZX_Drawdown,ZXIDX2),0),AH61))</f>
        <v>#REF!</v>
      </c>
      <c r="AK61" s="110" t="e">
        <f t="shared" ca="1" si="98"/>
        <v>#REF!</v>
      </c>
      <c r="AL61" s="106" t="e">
        <f t="shared" ca="1" si="99"/>
        <v>#REF!</v>
      </c>
      <c r="AM61" s="107" t="e">
        <f t="shared" ca="1" si="100"/>
        <v>#REF!</v>
      </c>
      <c r="AN61" s="107" t="e">
        <f t="shared" ca="1" si="101"/>
        <v>#REF!</v>
      </c>
      <c r="AO61" s="107" t="e">
        <f t="shared" ca="1" si="102"/>
        <v>#REF!</v>
      </c>
      <c r="AP61" s="91" t="e">
        <f t="shared" ca="1" si="67"/>
        <v>#REF!</v>
      </c>
      <c r="AQ61" s="107" t="e">
        <f ca="1">-IF(INDEX(SC_ZX_CodeA,ZXIDX1)="X", 0, MIN(AP61*MAX(INDEX(SC_ZX_Drawdown,ZXIDX2),0),AO61))</f>
        <v>#REF!</v>
      </c>
      <c r="AR61" s="110" t="e">
        <f t="shared" ca="1" si="103"/>
        <v>#REF!</v>
      </c>
      <c r="AS61" s="106" t="e">
        <f t="shared" ca="1" si="104"/>
        <v>#REF!</v>
      </c>
      <c r="AT61" s="107" t="e">
        <f t="shared" ca="1" si="105"/>
        <v>#REF!</v>
      </c>
      <c r="AU61" s="107" t="e">
        <f t="shared" ca="1" si="106"/>
        <v>#REF!</v>
      </c>
      <c r="AV61" s="107" t="e">
        <f t="shared" ca="1" si="107"/>
        <v>#REF!</v>
      </c>
      <c r="AW61" s="91" t="e">
        <f t="shared" ca="1" si="68"/>
        <v>#REF!</v>
      </c>
      <c r="AX61" s="107" t="e">
        <f ca="1">-IF(INDEX(SC_ZX_CodeA,ZXIDX1)="X", 0, MIN(AW61*MAX(INDEX(SC_ZX_Drawdown,ZXIDX2),0),AV61))</f>
        <v>#REF!</v>
      </c>
      <c r="AY61" s="110" t="e">
        <f t="shared" ca="1" si="108"/>
        <v>#REF!</v>
      </c>
      <c r="AZ61" s="106" t="e">
        <f t="shared" ca="1" si="109"/>
        <v>#REF!</v>
      </c>
      <c r="BA61" s="107" t="e">
        <f t="shared" ca="1" si="110"/>
        <v>#REF!</v>
      </c>
      <c r="BB61" s="107" t="e">
        <f t="shared" ca="1" si="111"/>
        <v>#REF!</v>
      </c>
      <c r="BC61" s="107" t="e">
        <f t="shared" ca="1" si="112"/>
        <v>#REF!</v>
      </c>
      <c r="BD61" s="91" t="e">
        <f t="shared" ca="1" si="69"/>
        <v>#REF!</v>
      </c>
      <c r="BE61" s="107" t="e">
        <f ca="1">-IF(INDEX(SC_ZX_CodeA,ZXIDX1)="X", 0, MIN(BD61*MAX(INDEX(SC_ZX_Drawdown,ZXIDX2),0),AZ61))</f>
        <v>#REF!</v>
      </c>
      <c r="BF61" s="110" t="e">
        <f t="shared" ca="1" si="113"/>
        <v>#REF!</v>
      </c>
      <c r="BG61" s="106" t="e">
        <f t="shared" ca="1" si="114"/>
        <v>#REF!</v>
      </c>
      <c r="BH61" s="107" t="e">
        <f t="shared" ca="1" si="115"/>
        <v>#REF!</v>
      </c>
      <c r="BI61" s="107" t="e">
        <f t="shared" ca="1" si="116"/>
        <v>#REF!</v>
      </c>
      <c r="BJ61" s="107" t="e">
        <f t="shared" ca="1" si="117"/>
        <v>#REF!</v>
      </c>
      <c r="BK61" s="91" t="e">
        <f t="shared" ca="1" si="70"/>
        <v>#REF!</v>
      </c>
      <c r="BL61" s="107" t="e">
        <f ca="1">-IF(INDEX(SC_ZX_CodeA,ZXIDX1)="X", 0, MIN(BK61*MAX(INDEX(SC_ZX_Drawdown,ZXIDX2),0),BJ61))</f>
        <v>#REF!</v>
      </c>
      <c r="BM61" s="107" t="e">
        <f t="shared" ca="1" si="118"/>
        <v>#REF!</v>
      </c>
      <c r="BN61" s="113" t="e">
        <f t="shared" ca="1" si="119"/>
        <v>#REF!</v>
      </c>
      <c r="BO61" s="114" t="e">
        <f t="shared" ca="1" si="120"/>
        <v>#REF!</v>
      </c>
      <c r="BP61" s="114" t="e">
        <f ca="1">-($V61-IF(($P61+$R61+$S61)&gt;0,MAX($V61/($P61+$R61+$S61)*($Q61+$R61),$V61),0))*LT_InvestmentQDI</f>
        <v>#REF!</v>
      </c>
      <c r="BQ61" s="114" t="e">
        <f ca="1">-($V61-IF(($P61+$R61+$S61)&gt;0,MAX($V61/($P61+$R61+$S61)*($Q61+$R61),$V61),0))*(1-LT_InvestmentQDI)</f>
        <v>#REF!</v>
      </c>
      <c r="BR61" s="114" t="e">
        <f t="shared" ca="1" si="121"/>
        <v>#REF!</v>
      </c>
      <c r="BS61" s="114" t="e">
        <f t="shared" ca="1" si="122"/>
        <v>#REF!</v>
      </c>
      <c r="BT61" s="649"/>
      <c r="BU61" s="637"/>
      <c r="BV61" s="637"/>
      <c r="BW61" s="637"/>
      <c r="BX61" s="639"/>
      <c r="CO61" s="8"/>
    </row>
    <row r="62" spans="2:93" x14ac:dyDescent="0.25">
      <c r="B62" s="65">
        <f ca="1">B60+1</f>
        <v>2048</v>
      </c>
      <c r="C62" s="76" t="s">
        <v>741</v>
      </c>
      <c r="D62" s="146" t="str">
        <f t="shared" si="84"/>
        <v/>
      </c>
      <c r="E62" s="77">
        <f t="shared" si="8"/>
        <v>0</v>
      </c>
      <c r="F62" s="77">
        <f t="shared" si="18"/>
        <v>1</v>
      </c>
      <c r="G62" s="76">
        <f t="shared" si="9"/>
        <v>1</v>
      </c>
      <c r="H62" s="76">
        <f t="shared" si="85"/>
        <v>0</v>
      </c>
      <c r="I62" s="77" t="b">
        <f t="shared" si="86"/>
        <v>0</v>
      </c>
      <c r="J62" s="77"/>
      <c r="K62" s="77"/>
      <c r="L62" s="77"/>
      <c r="M62" s="77"/>
      <c r="N62" s="632">
        <f ca="1">YEAR(SP_TargetRD)-$B62</f>
        <v>-25</v>
      </c>
      <c r="O62" s="243" t="e">
        <f ca="1">LT_InvestmentStocks*INDEX(SP_EA_ARStocks,EAIDX)+LT_InvestmentBonds*INDEX(SC_EA_ARBonds,EAIDX)</f>
        <v>#REF!</v>
      </c>
      <c r="P62" s="634" t="e">
        <f ca="1">MAX(P60+R60+S60+V60+W60,0)</f>
        <v>#VALUE!</v>
      </c>
      <c r="Q62" s="617" t="e">
        <f t="shared" ref="Q62" ca="1" si="132">MAX(Q60+R60+IF((P60+R60+S60)&gt;0,MAX(V60/(P60+R60+S60)*(Q60+R60),V60),0),0)</f>
        <v>#VALUE!</v>
      </c>
      <c r="R62" s="617" t="e">
        <f ca="1">IF(SC_ZX_CodeA="X", 0, MAX(INDEX(SC_ZX_IncomeSurplus,ZXIDX2)+INDEX(SC_ZX_Debt,ZXIDX2),0))</f>
        <v>#VALUE!</v>
      </c>
      <c r="S62" s="617" t="e">
        <f ca="1">IF(SC_ZX_CodeA="X", 0, INDEX(SC_EX_RolloverCore,EXIDX))</f>
        <v>#VALUE!</v>
      </c>
      <c r="T62" s="617" t="e">
        <f ca="1">P62+R62+S62</f>
        <v>#VALUE!</v>
      </c>
      <c r="U62" s="642" t="e">
        <f ca="1">IF(SC_ZX_BalanceAccessibleA&gt;0, T62/SC_ZX_BalanceAccessibleA, 0)</f>
        <v>#VALUE!</v>
      </c>
      <c r="V62" s="617" t="e">
        <f ca="1">-IF(SC_ZX_CodeA="X",0,MIN(U62*MAX(INDEX(SC_ZX_Drawdown,ZXIDX2),0),T62))</f>
        <v>#VALUE!</v>
      </c>
      <c r="W62" s="618" t="e">
        <f ca="1">(P62+R62+S62+V62)*$O62</f>
        <v>#VALUE!</v>
      </c>
      <c r="X62" s="75" t="e">
        <f t="shared" ca="1" si="89"/>
        <v>#REF!</v>
      </c>
      <c r="Y62" s="70" t="e">
        <f t="shared" ca="1" si="90"/>
        <v>#REF!</v>
      </c>
      <c r="Z62" s="70" t="e">
        <f t="shared" ca="1" si="91"/>
        <v>#REF!</v>
      </c>
      <c r="AA62" s="70" t="e">
        <f t="shared" ca="1" si="92"/>
        <v>#REF!</v>
      </c>
      <c r="AB62" s="67" t="e">
        <f t="shared" ca="1" si="65"/>
        <v>#REF!</v>
      </c>
      <c r="AC62" s="70" t="e">
        <f ca="1">-IF(INDEX(SC_ZX_CodeA,ZXIDX1)="X", 0, MIN(AB62*MAX(INDEX(SC_ZX_Drawdown,ZXIDX2),0),AA62))</f>
        <v>#REF!</v>
      </c>
      <c r="AD62" s="109" t="e">
        <f t="shared" ca="1" si="93"/>
        <v>#REF!</v>
      </c>
      <c r="AE62" s="75" t="e">
        <f t="shared" ca="1" si="94"/>
        <v>#REF!</v>
      </c>
      <c r="AF62" s="70" t="e">
        <f t="shared" ca="1" si="95"/>
        <v>#REF!</v>
      </c>
      <c r="AG62" s="70" t="e">
        <f t="shared" ca="1" si="96"/>
        <v>#REF!</v>
      </c>
      <c r="AH62" s="70" t="e">
        <f t="shared" ca="1" si="97"/>
        <v>#REF!</v>
      </c>
      <c r="AI62" s="67" t="e">
        <f t="shared" ca="1" si="66"/>
        <v>#REF!</v>
      </c>
      <c r="AJ62" s="70" t="e">
        <f ca="1">-IF(INDEX(SC_ZX_CodeA,ZXIDX1)="X", 0, MIN(AI62*MAX(INDEX(SC_ZX_Drawdown,ZXIDX2),0),AH62))</f>
        <v>#REF!</v>
      </c>
      <c r="AK62" s="109" t="e">
        <f t="shared" ca="1" si="98"/>
        <v>#REF!</v>
      </c>
      <c r="AL62" s="75" t="e">
        <f t="shared" ca="1" si="99"/>
        <v>#REF!</v>
      </c>
      <c r="AM62" s="70" t="e">
        <f t="shared" ca="1" si="100"/>
        <v>#REF!</v>
      </c>
      <c r="AN62" s="70" t="e">
        <f t="shared" ca="1" si="101"/>
        <v>#REF!</v>
      </c>
      <c r="AO62" s="70" t="e">
        <f t="shared" ca="1" si="102"/>
        <v>#REF!</v>
      </c>
      <c r="AP62" s="67" t="e">
        <f t="shared" ca="1" si="67"/>
        <v>#REF!</v>
      </c>
      <c r="AQ62" s="70" t="e">
        <f ca="1">-IF(INDEX(SC_ZX_CodeA,ZXIDX1)="X", 0, MIN(AP62*MAX(INDEX(SC_ZX_Drawdown,ZXIDX2),0),AO62))</f>
        <v>#REF!</v>
      </c>
      <c r="AR62" s="109" t="e">
        <f t="shared" ca="1" si="103"/>
        <v>#REF!</v>
      </c>
      <c r="AS62" s="75" t="e">
        <f t="shared" ca="1" si="104"/>
        <v>#REF!</v>
      </c>
      <c r="AT62" s="70" t="e">
        <f t="shared" ca="1" si="105"/>
        <v>#REF!</v>
      </c>
      <c r="AU62" s="70" t="e">
        <f t="shared" ca="1" si="106"/>
        <v>#REF!</v>
      </c>
      <c r="AV62" s="70" t="e">
        <f t="shared" ca="1" si="107"/>
        <v>#REF!</v>
      </c>
      <c r="AW62" s="67" t="e">
        <f t="shared" ca="1" si="68"/>
        <v>#REF!</v>
      </c>
      <c r="AX62" s="70" t="e">
        <f ca="1">-IF(INDEX(SC_ZX_CodeA,ZXIDX1)="X", 0, MIN(AW62*MAX(INDEX(SC_ZX_Drawdown,ZXIDX2),0),AV62))</f>
        <v>#REF!</v>
      </c>
      <c r="AY62" s="109" t="e">
        <f t="shared" ca="1" si="108"/>
        <v>#REF!</v>
      </c>
      <c r="AZ62" s="75" t="e">
        <f t="shared" ca="1" si="109"/>
        <v>#REF!</v>
      </c>
      <c r="BA62" s="70" t="e">
        <f t="shared" ca="1" si="110"/>
        <v>#REF!</v>
      </c>
      <c r="BB62" s="70" t="e">
        <f t="shared" ca="1" si="111"/>
        <v>#REF!</v>
      </c>
      <c r="BC62" s="70" t="e">
        <f t="shared" ca="1" si="112"/>
        <v>#REF!</v>
      </c>
      <c r="BD62" s="67" t="e">
        <f t="shared" ca="1" si="69"/>
        <v>#REF!</v>
      </c>
      <c r="BE62" s="70" t="e">
        <f ca="1">-IF(INDEX(SC_ZX_CodeA,ZXIDX1)="X", 0, MIN(BD62*MAX(INDEX(SC_ZX_Drawdown,ZXIDX2),0),AZ62))</f>
        <v>#REF!</v>
      </c>
      <c r="BF62" s="109" t="e">
        <f t="shared" ca="1" si="113"/>
        <v>#REF!</v>
      </c>
      <c r="BG62" s="75" t="e">
        <f t="shared" ca="1" si="114"/>
        <v>#REF!</v>
      </c>
      <c r="BH62" s="70" t="e">
        <f t="shared" ca="1" si="115"/>
        <v>#REF!</v>
      </c>
      <c r="BI62" s="70" t="e">
        <f t="shared" ca="1" si="116"/>
        <v>#REF!</v>
      </c>
      <c r="BJ62" s="70" t="e">
        <f t="shared" ca="1" si="117"/>
        <v>#REF!</v>
      </c>
      <c r="BK62" s="67" t="e">
        <f t="shared" ca="1" si="70"/>
        <v>#REF!</v>
      </c>
      <c r="BL62" s="70" t="e">
        <f ca="1">-IF(INDEX(SC_ZX_CodeA,ZXIDX1)="X", 0, MIN(BK62*MAX(INDEX(SC_ZX_Drawdown,ZXIDX2),0),BJ62))</f>
        <v>#REF!</v>
      </c>
      <c r="BM62" s="70" t="e">
        <f t="shared" ca="1" si="118"/>
        <v>#REF!</v>
      </c>
      <c r="BN62" s="111" t="e">
        <f t="shared" ca="1" si="119"/>
        <v>#REF!</v>
      </c>
      <c r="BO62" s="112" t="e">
        <f t="shared" ca="1" si="120"/>
        <v>#REF!</v>
      </c>
      <c r="BP62" s="112" t="e">
        <f ca="1">-($V62-IF(($P62+$R62+$S62)&gt;0,MAX($V62/($P62+$R62+$S62)*($Q62+$R62),$V62),0))*LT_InvestmentQDI</f>
        <v>#VALUE!</v>
      </c>
      <c r="BQ62" s="112" t="e">
        <f ca="1">-($V62-IF(($P62+$R62+$S62)&gt;0,MAX($V62/($P62+$R62+$S62)*($Q62+$R62),$V62),0))*(1-LT_InvestmentQDI)</f>
        <v>#VALUE!</v>
      </c>
      <c r="BR62" s="112" t="e">
        <f t="shared" ca="1" si="121"/>
        <v>#VALUE!</v>
      </c>
      <c r="BS62" s="112" t="e">
        <f t="shared" ca="1" si="122"/>
        <v>#VALUE!</v>
      </c>
      <c r="BT62" s="634" t="e">
        <f ca="1">SUMPRODUCT($BN62:$BN63+$BO62:$BO63, --($E62:$E63&lt;&gt;0))</f>
        <v>#REF!</v>
      </c>
      <c r="BU62" s="617" t="e">
        <f ca="1">SUMPRODUCT($BR62:$BR63+$BS62:$BS63, --($E62:$E63&lt;&gt;0))</f>
        <v>#VALUE!</v>
      </c>
      <c r="BV62" s="617" t="e">
        <f ca="1">$T62+SUMPRODUCT($AA62:$AA63+$AH62:$AH63+$AO62:$AO63+$AV62:$AV63+$BC62:$BC63+$BJ62:$BJ63, --($E62:$E63&lt;&gt;0))</f>
        <v>#VALUE!</v>
      </c>
      <c r="BW62" s="617" t="e">
        <f ca="1">MAX($P62-$Q62,0)+SUMPRODUCT($X62:$X63+$AL62:$AL63+$AZ62:$AZ63, --($E62:$E63&lt;&gt;0))</f>
        <v>#VALUE!</v>
      </c>
      <c r="BX62" s="618" t="e">
        <f ca="1">MIN($P62,$Q62)+SUMPRODUCT($AE62:$AE63+$AS62:$AS63+$BG62:$BG63, --($E62:$E63&lt;&gt;0))</f>
        <v>#VALUE!</v>
      </c>
      <c r="CO62" s="8"/>
    </row>
    <row r="63" spans="2:93" x14ac:dyDescent="0.25">
      <c r="B63" s="86">
        <f t="shared" ca="1" si="59"/>
        <v>2048</v>
      </c>
      <c r="C63" s="80" t="s">
        <v>741</v>
      </c>
      <c r="D63" s="147" t="str">
        <f t="shared" si="84"/>
        <v/>
      </c>
      <c r="E63" s="81">
        <f t="shared" si="8"/>
        <v>0</v>
      </c>
      <c r="F63" s="81">
        <f t="shared" si="18"/>
        <v>2</v>
      </c>
      <c r="G63" s="82">
        <f t="shared" si="9"/>
        <v>-1</v>
      </c>
      <c r="H63" s="82">
        <f t="shared" si="85"/>
        <v>0</v>
      </c>
      <c r="I63" s="81" t="b">
        <f t="shared" si="86"/>
        <v>0</v>
      </c>
      <c r="J63" s="81"/>
      <c r="K63" s="81"/>
      <c r="L63" s="81"/>
      <c r="M63" s="81"/>
      <c r="N63" s="633"/>
      <c r="O63" s="243" t="e">
        <f ca="1">LT_InvestmentStocks*INDEX(SP_EA_ARStocks,EAIDX)+LT_InvestmentBonds*INDEX(SC_EA_ARBonds,EAIDX)</f>
        <v>#REF!</v>
      </c>
      <c r="P63" s="634"/>
      <c r="Q63" s="617"/>
      <c r="R63" s="617"/>
      <c r="S63" s="617"/>
      <c r="T63" s="617"/>
      <c r="U63" s="643"/>
      <c r="V63" s="617"/>
      <c r="W63" s="639"/>
      <c r="X63" s="106" t="e">
        <f t="shared" ca="1" si="89"/>
        <v>#REF!</v>
      </c>
      <c r="Y63" s="107" t="e">
        <f t="shared" ca="1" si="90"/>
        <v>#REF!</v>
      </c>
      <c r="Z63" s="107" t="e">
        <f t="shared" ca="1" si="91"/>
        <v>#REF!</v>
      </c>
      <c r="AA63" s="107" t="e">
        <f t="shared" ca="1" si="92"/>
        <v>#REF!</v>
      </c>
      <c r="AB63" s="91" t="e">
        <f t="shared" ca="1" si="65"/>
        <v>#REF!</v>
      </c>
      <c r="AC63" s="107" t="e">
        <f ca="1">-IF(INDEX(SC_ZX_CodeA,ZXIDX1)="X", 0, MIN(AB63*MAX(INDEX(SC_ZX_Drawdown,ZXIDX2),0),AA63))</f>
        <v>#REF!</v>
      </c>
      <c r="AD63" s="110" t="e">
        <f t="shared" ca="1" si="93"/>
        <v>#REF!</v>
      </c>
      <c r="AE63" s="106" t="e">
        <f t="shared" ca="1" si="94"/>
        <v>#REF!</v>
      </c>
      <c r="AF63" s="107" t="e">
        <f t="shared" ca="1" si="95"/>
        <v>#REF!</v>
      </c>
      <c r="AG63" s="107" t="e">
        <f t="shared" ca="1" si="96"/>
        <v>#REF!</v>
      </c>
      <c r="AH63" s="107" t="e">
        <f t="shared" ca="1" si="97"/>
        <v>#REF!</v>
      </c>
      <c r="AI63" s="91" t="e">
        <f t="shared" ca="1" si="66"/>
        <v>#REF!</v>
      </c>
      <c r="AJ63" s="107" t="e">
        <f ca="1">-IF(INDEX(SC_ZX_CodeA,ZXIDX1)="X", 0, MIN(AI63*MAX(INDEX(SC_ZX_Drawdown,ZXIDX2),0),AH63))</f>
        <v>#REF!</v>
      </c>
      <c r="AK63" s="110" t="e">
        <f t="shared" ca="1" si="98"/>
        <v>#REF!</v>
      </c>
      <c r="AL63" s="106" t="e">
        <f t="shared" ca="1" si="99"/>
        <v>#REF!</v>
      </c>
      <c r="AM63" s="107" t="e">
        <f t="shared" ca="1" si="100"/>
        <v>#REF!</v>
      </c>
      <c r="AN63" s="107" t="e">
        <f t="shared" ca="1" si="101"/>
        <v>#REF!</v>
      </c>
      <c r="AO63" s="107" t="e">
        <f t="shared" ca="1" si="102"/>
        <v>#REF!</v>
      </c>
      <c r="AP63" s="91" t="e">
        <f t="shared" ca="1" si="67"/>
        <v>#REF!</v>
      </c>
      <c r="AQ63" s="107" t="e">
        <f ca="1">-IF(INDEX(SC_ZX_CodeA,ZXIDX1)="X", 0, MIN(AP63*MAX(INDEX(SC_ZX_Drawdown,ZXIDX2),0),AO63))</f>
        <v>#REF!</v>
      </c>
      <c r="AR63" s="110" t="e">
        <f t="shared" ca="1" si="103"/>
        <v>#REF!</v>
      </c>
      <c r="AS63" s="106" t="e">
        <f t="shared" ca="1" si="104"/>
        <v>#REF!</v>
      </c>
      <c r="AT63" s="107" t="e">
        <f t="shared" ca="1" si="105"/>
        <v>#REF!</v>
      </c>
      <c r="AU63" s="107" t="e">
        <f t="shared" ca="1" si="106"/>
        <v>#REF!</v>
      </c>
      <c r="AV63" s="107" t="e">
        <f t="shared" ca="1" si="107"/>
        <v>#REF!</v>
      </c>
      <c r="AW63" s="91" t="e">
        <f t="shared" ca="1" si="68"/>
        <v>#REF!</v>
      </c>
      <c r="AX63" s="107" t="e">
        <f ca="1">-IF(INDEX(SC_ZX_CodeA,ZXIDX1)="X", 0, MIN(AW63*MAX(INDEX(SC_ZX_Drawdown,ZXIDX2),0),AV63))</f>
        <v>#REF!</v>
      </c>
      <c r="AY63" s="110" t="e">
        <f t="shared" ca="1" si="108"/>
        <v>#REF!</v>
      </c>
      <c r="AZ63" s="106" t="e">
        <f t="shared" ca="1" si="109"/>
        <v>#REF!</v>
      </c>
      <c r="BA63" s="107" t="e">
        <f t="shared" ca="1" si="110"/>
        <v>#REF!</v>
      </c>
      <c r="BB63" s="107" t="e">
        <f t="shared" ca="1" si="111"/>
        <v>#REF!</v>
      </c>
      <c r="BC63" s="107" t="e">
        <f t="shared" ca="1" si="112"/>
        <v>#REF!</v>
      </c>
      <c r="BD63" s="91" t="e">
        <f t="shared" ca="1" si="69"/>
        <v>#REF!</v>
      </c>
      <c r="BE63" s="107" t="e">
        <f ca="1">-IF(INDEX(SC_ZX_CodeA,ZXIDX1)="X", 0, MIN(BD63*MAX(INDEX(SC_ZX_Drawdown,ZXIDX2),0),AZ63))</f>
        <v>#REF!</v>
      </c>
      <c r="BF63" s="110" t="e">
        <f t="shared" ca="1" si="113"/>
        <v>#REF!</v>
      </c>
      <c r="BG63" s="106" t="e">
        <f t="shared" ca="1" si="114"/>
        <v>#REF!</v>
      </c>
      <c r="BH63" s="107" t="e">
        <f t="shared" ca="1" si="115"/>
        <v>#REF!</v>
      </c>
      <c r="BI63" s="107" t="e">
        <f t="shared" ca="1" si="116"/>
        <v>#REF!</v>
      </c>
      <c r="BJ63" s="107" t="e">
        <f t="shared" ca="1" si="117"/>
        <v>#REF!</v>
      </c>
      <c r="BK63" s="91" t="e">
        <f t="shared" ca="1" si="70"/>
        <v>#REF!</v>
      </c>
      <c r="BL63" s="107" t="e">
        <f ca="1">-IF(INDEX(SC_ZX_CodeA,ZXIDX1)="X", 0, MIN(BK63*MAX(INDEX(SC_ZX_Drawdown,ZXIDX2),0),BJ63))</f>
        <v>#REF!</v>
      </c>
      <c r="BM63" s="107" t="e">
        <f t="shared" ca="1" si="118"/>
        <v>#REF!</v>
      </c>
      <c r="BN63" s="113" t="e">
        <f t="shared" ca="1" si="119"/>
        <v>#REF!</v>
      </c>
      <c r="BO63" s="114" t="e">
        <f t="shared" ca="1" si="120"/>
        <v>#REF!</v>
      </c>
      <c r="BP63" s="114" t="e">
        <f ca="1">-($V63-IF(($P63+$R63+$S63)&gt;0,MAX($V63/($P63+$R63+$S63)*($Q63+$R63),$V63),0))*LT_InvestmentQDI</f>
        <v>#REF!</v>
      </c>
      <c r="BQ63" s="114" t="e">
        <f ca="1">-($V63-IF(($P63+$R63+$S63)&gt;0,MAX($V63/($P63+$R63+$S63)*($Q63+$R63),$V63),0))*(1-LT_InvestmentQDI)</f>
        <v>#REF!</v>
      </c>
      <c r="BR63" s="114" t="e">
        <f t="shared" ca="1" si="121"/>
        <v>#REF!</v>
      </c>
      <c r="BS63" s="114" t="e">
        <f t="shared" ca="1" si="122"/>
        <v>#REF!</v>
      </c>
      <c r="BT63" s="649"/>
      <c r="BU63" s="637"/>
      <c r="BV63" s="637"/>
      <c r="BW63" s="637"/>
      <c r="BX63" s="639"/>
      <c r="CO63" s="8"/>
    </row>
    <row r="64" spans="2:93" x14ac:dyDescent="0.25">
      <c r="B64" s="65">
        <f ca="1">B62+1</f>
        <v>2049</v>
      </c>
      <c r="C64" s="76" t="s">
        <v>741</v>
      </c>
      <c r="D64" s="146" t="str">
        <f t="shared" si="84"/>
        <v/>
      </c>
      <c r="E64" s="77">
        <f t="shared" si="8"/>
        <v>0</v>
      </c>
      <c r="F64" s="77">
        <f t="shared" si="18"/>
        <v>1</v>
      </c>
      <c r="G64" s="76">
        <f t="shared" si="9"/>
        <v>1</v>
      </c>
      <c r="H64" s="76">
        <f t="shared" si="85"/>
        <v>0</v>
      </c>
      <c r="I64" s="77" t="b">
        <f t="shared" si="86"/>
        <v>0</v>
      </c>
      <c r="J64" s="77"/>
      <c r="K64" s="77"/>
      <c r="L64" s="77"/>
      <c r="M64" s="77"/>
      <c r="N64" s="632">
        <f ca="1">YEAR(SP_TargetRD)-$B64</f>
        <v>-26</v>
      </c>
      <c r="O64" s="243" t="e">
        <f ca="1">LT_InvestmentStocks*INDEX(SP_EA_ARStocks,EAIDX)+LT_InvestmentBonds*INDEX(SC_EA_ARBonds,EAIDX)</f>
        <v>#REF!</v>
      </c>
      <c r="P64" s="634" t="e">
        <f ca="1">MAX(P62+R62+S62+V62+W62,0)</f>
        <v>#VALUE!</v>
      </c>
      <c r="Q64" s="617" t="e">
        <f t="shared" ref="Q64" ca="1" si="133">MAX(Q62+R62+IF((P62+R62+S62)&gt;0,MAX(V62/(P62+R62+S62)*(Q62+R62),V62),0),0)</f>
        <v>#VALUE!</v>
      </c>
      <c r="R64" s="617" t="e">
        <f ca="1">IF(SC_ZX_CodeA="X", 0, MAX(INDEX(SC_ZX_IncomeSurplus,ZXIDX2)+INDEX(SC_ZX_Debt,ZXIDX2),0))</f>
        <v>#VALUE!</v>
      </c>
      <c r="S64" s="617" t="e">
        <f ca="1">IF(SC_ZX_CodeA="X", 0, INDEX(SC_EX_RolloverCore,EXIDX))</f>
        <v>#VALUE!</v>
      </c>
      <c r="T64" s="617" t="e">
        <f ca="1">P64+R64+S64</f>
        <v>#VALUE!</v>
      </c>
      <c r="U64" s="642" t="e">
        <f ca="1">IF(SC_ZX_BalanceAccessibleA&gt;0, T64/SC_ZX_BalanceAccessibleA, 0)</f>
        <v>#VALUE!</v>
      </c>
      <c r="V64" s="617" t="e">
        <f ca="1">-IF(SC_ZX_CodeA="X",0,MIN(U64*MAX(INDEX(SC_ZX_Drawdown,ZXIDX2),0),T64))</f>
        <v>#VALUE!</v>
      </c>
      <c r="W64" s="618" t="e">
        <f ca="1">(P64+R64+S64+V64)*$O64</f>
        <v>#VALUE!</v>
      </c>
      <c r="X64" s="75" t="e">
        <f t="shared" ca="1" si="89"/>
        <v>#REF!</v>
      </c>
      <c r="Y64" s="70" t="e">
        <f t="shared" ca="1" si="90"/>
        <v>#REF!</v>
      </c>
      <c r="Z64" s="70" t="e">
        <f t="shared" ca="1" si="91"/>
        <v>#REF!</v>
      </c>
      <c r="AA64" s="70" t="e">
        <f t="shared" ca="1" si="92"/>
        <v>#REF!</v>
      </c>
      <c r="AB64" s="67" t="e">
        <f t="shared" ca="1" si="65"/>
        <v>#REF!</v>
      </c>
      <c r="AC64" s="70" t="e">
        <f ca="1">-IF(INDEX(SC_ZX_CodeA,ZXIDX1)="X", 0, MIN(AB64*MAX(INDEX(SC_ZX_Drawdown,ZXIDX2),0),AA64))</f>
        <v>#REF!</v>
      </c>
      <c r="AD64" s="109" t="e">
        <f t="shared" ca="1" si="93"/>
        <v>#REF!</v>
      </c>
      <c r="AE64" s="75" t="e">
        <f t="shared" ca="1" si="94"/>
        <v>#REF!</v>
      </c>
      <c r="AF64" s="70" t="e">
        <f t="shared" ca="1" si="95"/>
        <v>#REF!</v>
      </c>
      <c r="AG64" s="70" t="e">
        <f t="shared" ca="1" si="96"/>
        <v>#REF!</v>
      </c>
      <c r="AH64" s="70" t="e">
        <f t="shared" ca="1" si="97"/>
        <v>#REF!</v>
      </c>
      <c r="AI64" s="67" t="e">
        <f t="shared" ca="1" si="66"/>
        <v>#REF!</v>
      </c>
      <c r="AJ64" s="70" t="e">
        <f ca="1">-IF(INDEX(SC_ZX_CodeA,ZXIDX1)="X", 0, MIN(AI64*MAX(INDEX(SC_ZX_Drawdown,ZXIDX2),0),AH64))</f>
        <v>#REF!</v>
      </c>
      <c r="AK64" s="109" t="e">
        <f t="shared" ca="1" si="98"/>
        <v>#REF!</v>
      </c>
      <c r="AL64" s="75" t="e">
        <f t="shared" ca="1" si="99"/>
        <v>#REF!</v>
      </c>
      <c r="AM64" s="70" t="e">
        <f t="shared" ca="1" si="100"/>
        <v>#REF!</v>
      </c>
      <c r="AN64" s="70" t="e">
        <f t="shared" ca="1" si="101"/>
        <v>#REF!</v>
      </c>
      <c r="AO64" s="70" t="e">
        <f t="shared" ca="1" si="102"/>
        <v>#REF!</v>
      </c>
      <c r="AP64" s="67" t="e">
        <f t="shared" ca="1" si="67"/>
        <v>#REF!</v>
      </c>
      <c r="AQ64" s="70" t="e">
        <f ca="1">-IF(INDEX(SC_ZX_CodeA,ZXIDX1)="X", 0, MIN(AP64*MAX(INDEX(SC_ZX_Drawdown,ZXIDX2),0),AO64))</f>
        <v>#REF!</v>
      </c>
      <c r="AR64" s="109" t="e">
        <f t="shared" ca="1" si="103"/>
        <v>#REF!</v>
      </c>
      <c r="AS64" s="75" t="e">
        <f t="shared" ca="1" si="104"/>
        <v>#REF!</v>
      </c>
      <c r="AT64" s="70" t="e">
        <f t="shared" ca="1" si="105"/>
        <v>#REF!</v>
      </c>
      <c r="AU64" s="70" t="e">
        <f t="shared" ca="1" si="106"/>
        <v>#REF!</v>
      </c>
      <c r="AV64" s="70" t="e">
        <f t="shared" ca="1" si="107"/>
        <v>#REF!</v>
      </c>
      <c r="AW64" s="67" t="e">
        <f t="shared" ca="1" si="68"/>
        <v>#REF!</v>
      </c>
      <c r="AX64" s="70" t="e">
        <f ca="1">-IF(INDEX(SC_ZX_CodeA,ZXIDX1)="X", 0, MIN(AW64*MAX(INDEX(SC_ZX_Drawdown,ZXIDX2),0),AV64))</f>
        <v>#REF!</v>
      </c>
      <c r="AY64" s="109" t="e">
        <f t="shared" ca="1" si="108"/>
        <v>#REF!</v>
      </c>
      <c r="AZ64" s="75" t="e">
        <f t="shared" ca="1" si="109"/>
        <v>#REF!</v>
      </c>
      <c r="BA64" s="70" t="e">
        <f t="shared" ca="1" si="110"/>
        <v>#REF!</v>
      </c>
      <c r="BB64" s="70" t="e">
        <f t="shared" ca="1" si="111"/>
        <v>#REF!</v>
      </c>
      <c r="BC64" s="70" t="e">
        <f t="shared" ca="1" si="112"/>
        <v>#REF!</v>
      </c>
      <c r="BD64" s="67" t="e">
        <f t="shared" ca="1" si="69"/>
        <v>#REF!</v>
      </c>
      <c r="BE64" s="70" t="e">
        <f ca="1">-IF(INDEX(SC_ZX_CodeA,ZXIDX1)="X", 0, MIN(BD64*MAX(INDEX(SC_ZX_Drawdown,ZXIDX2),0),AZ64))</f>
        <v>#REF!</v>
      </c>
      <c r="BF64" s="109" t="e">
        <f t="shared" ca="1" si="113"/>
        <v>#REF!</v>
      </c>
      <c r="BG64" s="75" t="e">
        <f t="shared" ca="1" si="114"/>
        <v>#REF!</v>
      </c>
      <c r="BH64" s="70" t="e">
        <f t="shared" ca="1" si="115"/>
        <v>#REF!</v>
      </c>
      <c r="BI64" s="70" t="e">
        <f t="shared" ca="1" si="116"/>
        <v>#REF!</v>
      </c>
      <c r="BJ64" s="70" t="e">
        <f t="shared" ca="1" si="117"/>
        <v>#REF!</v>
      </c>
      <c r="BK64" s="67" t="e">
        <f t="shared" ca="1" si="70"/>
        <v>#REF!</v>
      </c>
      <c r="BL64" s="70" t="e">
        <f ca="1">-IF(INDEX(SC_ZX_CodeA,ZXIDX1)="X", 0, MIN(BK64*MAX(INDEX(SC_ZX_Drawdown,ZXIDX2),0),BJ64))</f>
        <v>#REF!</v>
      </c>
      <c r="BM64" s="70" t="e">
        <f t="shared" ca="1" si="118"/>
        <v>#REF!</v>
      </c>
      <c r="BN64" s="111" t="e">
        <f t="shared" ca="1" si="119"/>
        <v>#REF!</v>
      </c>
      <c r="BO64" s="112" t="e">
        <f t="shared" ca="1" si="120"/>
        <v>#REF!</v>
      </c>
      <c r="BP64" s="112" t="e">
        <f ca="1">-($V64-IF(($P64+$R64+$S64)&gt;0,MAX($V64/($P64+$R64+$S64)*($Q64+$R64),$V64),0))*LT_InvestmentQDI</f>
        <v>#VALUE!</v>
      </c>
      <c r="BQ64" s="112" t="e">
        <f ca="1">-($V64-IF(($P64+$R64+$S64)&gt;0,MAX($V64/($P64+$R64+$S64)*($Q64+$R64),$V64),0))*(1-LT_InvestmentQDI)</f>
        <v>#VALUE!</v>
      </c>
      <c r="BR64" s="112" t="e">
        <f t="shared" ca="1" si="121"/>
        <v>#VALUE!</v>
      </c>
      <c r="BS64" s="112" t="e">
        <f t="shared" ca="1" si="122"/>
        <v>#VALUE!</v>
      </c>
      <c r="BT64" s="634" t="e">
        <f ca="1">SUMPRODUCT($BN64:$BN65+$BO64:$BO65, --($E64:$E65&lt;&gt;0))</f>
        <v>#REF!</v>
      </c>
      <c r="BU64" s="617" t="e">
        <f ca="1">SUMPRODUCT($BR64:$BR65+$BS64:$BS65, --($E64:$E65&lt;&gt;0))</f>
        <v>#VALUE!</v>
      </c>
      <c r="BV64" s="617" t="e">
        <f ca="1">$T64+SUMPRODUCT($AA64:$AA65+$AH64:$AH65+$AO64:$AO65+$AV64:$AV65+$BC64:$BC65+$BJ64:$BJ65, --($E64:$E65&lt;&gt;0))</f>
        <v>#VALUE!</v>
      </c>
      <c r="BW64" s="617" t="e">
        <f ca="1">MAX($P64-$Q64,0)+SUMPRODUCT($X64:$X65+$AL64:$AL65+$AZ64:$AZ65, --($E64:$E65&lt;&gt;0))</f>
        <v>#VALUE!</v>
      </c>
      <c r="BX64" s="618" t="e">
        <f ca="1">MIN($P64,$Q64)+SUMPRODUCT($AE64:$AE65+$AS64:$AS65+$BG64:$BG65, --($E64:$E65&lt;&gt;0))</f>
        <v>#VALUE!</v>
      </c>
      <c r="CO64" s="8"/>
    </row>
    <row r="65" spans="2:93" x14ac:dyDescent="0.25">
      <c r="B65" s="86">
        <f t="shared" ca="1" si="59"/>
        <v>2049</v>
      </c>
      <c r="C65" s="80" t="s">
        <v>741</v>
      </c>
      <c r="D65" s="147" t="str">
        <f t="shared" si="84"/>
        <v/>
      </c>
      <c r="E65" s="81">
        <f t="shared" si="8"/>
        <v>0</v>
      </c>
      <c r="F65" s="81">
        <f t="shared" si="18"/>
        <v>2</v>
      </c>
      <c r="G65" s="82">
        <f t="shared" si="9"/>
        <v>-1</v>
      </c>
      <c r="H65" s="82">
        <f t="shared" si="85"/>
        <v>0</v>
      </c>
      <c r="I65" s="81" t="b">
        <f t="shared" si="86"/>
        <v>0</v>
      </c>
      <c r="J65" s="81"/>
      <c r="K65" s="81"/>
      <c r="L65" s="81"/>
      <c r="M65" s="81"/>
      <c r="N65" s="633"/>
      <c r="O65" s="243" t="e">
        <f ca="1">LT_InvestmentStocks*INDEX(SP_EA_ARStocks,EAIDX)+LT_InvestmentBonds*INDEX(SC_EA_ARBonds,EAIDX)</f>
        <v>#REF!</v>
      </c>
      <c r="P65" s="634"/>
      <c r="Q65" s="617"/>
      <c r="R65" s="617"/>
      <c r="S65" s="617"/>
      <c r="T65" s="617"/>
      <c r="U65" s="643"/>
      <c r="V65" s="617"/>
      <c r="W65" s="639"/>
      <c r="X65" s="106" t="e">
        <f t="shared" ca="1" si="89"/>
        <v>#REF!</v>
      </c>
      <c r="Y65" s="107" t="e">
        <f t="shared" ca="1" si="90"/>
        <v>#REF!</v>
      </c>
      <c r="Z65" s="107" t="e">
        <f t="shared" ca="1" si="91"/>
        <v>#REF!</v>
      </c>
      <c r="AA65" s="107" t="e">
        <f t="shared" ca="1" si="92"/>
        <v>#REF!</v>
      </c>
      <c r="AB65" s="91" t="e">
        <f t="shared" ca="1" si="65"/>
        <v>#REF!</v>
      </c>
      <c r="AC65" s="107" t="e">
        <f ca="1">-IF(INDEX(SC_ZX_CodeA,ZXIDX1)="X", 0, MIN(AB65*MAX(INDEX(SC_ZX_Drawdown,ZXIDX2),0),AA65))</f>
        <v>#REF!</v>
      </c>
      <c r="AD65" s="110" t="e">
        <f t="shared" ca="1" si="93"/>
        <v>#REF!</v>
      </c>
      <c r="AE65" s="106" t="e">
        <f t="shared" ca="1" si="94"/>
        <v>#REF!</v>
      </c>
      <c r="AF65" s="107" t="e">
        <f t="shared" ca="1" si="95"/>
        <v>#REF!</v>
      </c>
      <c r="AG65" s="107" t="e">
        <f t="shared" ca="1" si="96"/>
        <v>#REF!</v>
      </c>
      <c r="AH65" s="107" t="e">
        <f t="shared" ca="1" si="97"/>
        <v>#REF!</v>
      </c>
      <c r="AI65" s="91" t="e">
        <f t="shared" ca="1" si="66"/>
        <v>#REF!</v>
      </c>
      <c r="AJ65" s="107" t="e">
        <f ca="1">-IF(INDEX(SC_ZX_CodeA,ZXIDX1)="X", 0, MIN(AI65*MAX(INDEX(SC_ZX_Drawdown,ZXIDX2),0),AH65))</f>
        <v>#REF!</v>
      </c>
      <c r="AK65" s="110" t="e">
        <f t="shared" ca="1" si="98"/>
        <v>#REF!</v>
      </c>
      <c r="AL65" s="106" t="e">
        <f t="shared" ca="1" si="99"/>
        <v>#REF!</v>
      </c>
      <c r="AM65" s="107" t="e">
        <f t="shared" ca="1" si="100"/>
        <v>#REF!</v>
      </c>
      <c r="AN65" s="107" t="e">
        <f t="shared" ca="1" si="101"/>
        <v>#REF!</v>
      </c>
      <c r="AO65" s="107" t="e">
        <f t="shared" ca="1" si="102"/>
        <v>#REF!</v>
      </c>
      <c r="AP65" s="91" t="e">
        <f t="shared" ca="1" si="67"/>
        <v>#REF!</v>
      </c>
      <c r="AQ65" s="107" t="e">
        <f ca="1">-IF(INDEX(SC_ZX_CodeA,ZXIDX1)="X", 0, MIN(AP65*MAX(INDEX(SC_ZX_Drawdown,ZXIDX2),0),AO65))</f>
        <v>#REF!</v>
      </c>
      <c r="AR65" s="110" t="e">
        <f t="shared" ca="1" si="103"/>
        <v>#REF!</v>
      </c>
      <c r="AS65" s="106" t="e">
        <f t="shared" ca="1" si="104"/>
        <v>#REF!</v>
      </c>
      <c r="AT65" s="107" t="e">
        <f t="shared" ca="1" si="105"/>
        <v>#REF!</v>
      </c>
      <c r="AU65" s="107" t="e">
        <f t="shared" ca="1" si="106"/>
        <v>#REF!</v>
      </c>
      <c r="AV65" s="107" t="e">
        <f t="shared" ca="1" si="107"/>
        <v>#REF!</v>
      </c>
      <c r="AW65" s="91" t="e">
        <f t="shared" ca="1" si="68"/>
        <v>#REF!</v>
      </c>
      <c r="AX65" s="107" t="e">
        <f ca="1">-IF(INDEX(SC_ZX_CodeA,ZXIDX1)="X", 0, MIN(AW65*MAX(INDEX(SC_ZX_Drawdown,ZXIDX2),0),AV65))</f>
        <v>#REF!</v>
      </c>
      <c r="AY65" s="110" t="e">
        <f t="shared" ca="1" si="108"/>
        <v>#REF!</v>
      </c>
      <c r="AZ65" s="106" t="e">
        <f t="shared" ca="1" si="109"/>
        <v>#REF!</v>
      </c>
      <c r="BA65" s="107" t="e">
        <f t="shared" ca="1" si="110"/>
        <v>#REF!</v>
      </c>
      <c r="BB65" s="107" t="e">
        <f t="shared" ca="1" si="111"/>
        <v>#REF!</v>
      </c>
      <c r="BC65" s="107" t="e">
        <f t="shared" ca="1" si="112"/>
        <v>#REF!</v>
      </c>
      <c r="BD65" s="91" t="e">
        <f t="shared" ca="1" si="69"/>
        <v>#REF!</v>
      </c>
      <c r="BE65" s="107" t="e">
        <f ca="1">-IF(INDEX(SC_ZX_CodeA,ZXIDX1)="X", 0, MIN(BD65*MAX(INDEX(SC_ZX_Drawdown,ZXIDX2),0),AZ65))</f>
        <v>#REF!</v>
      </c>
      <c r="BF65" s="110" t="e">
        <f t="shared" ca="1" si="113"/>
        <v>#REF!</v>
      </c>
      <c r="BG65" s="106" t="e">
        <f t="shared" ca="1" si="114"/>
        <v>#REF!</v>
      </c>
      <c r="BH65" s="107" t="e">
        <f t="shared" ca="1" si="115"/>
        <v>#REF!</v>
      </c>
      <c r="BI65" s="107" t="e">
        <f t="shared" ca="1" si="116"/>
        <v>#REF!</v>
      </c>
      <c r="BJ65" s="107" t="e">
        <f t="shared" ca="1" si="117"/>
        <v>#REF!</v>
      </c>
      <c r="BK65" s="91" t="e">
        <f t="shared" ca="1" si="70"/>
        <v>#REF!</v>
      </c>
      <c r="BL65" s="107" t="e">
        <f ca="1">-IF(INDEX(SC_ZX_CodeA,ZXIDX1)="X", 0, MIN(BK65*MAX(INDEX(SC_ZX_Drawdown,ZXIDX2),0),BJ65))</f>
        <v>#REF!</v>
      </c>
      <c r="BM65" s="107" t="e">
        <f t="shared" ca="1" si="118"/>
        <v>#REF!</v>
      </c>
      <c r="BN65" s="113" t="e">
        <f t="shared" ca="1" si="119"/>
        <v>#REF!</v>
      </c>
      <c r="BO65" s="114" t="e">
        <f t="shared" ca="1" si="120"/>
        <v>#REF!</v>
      </c>
      <c r="BP65" s="114" t="e">
        <f ca="1">-($V65-IF(($P65+$R65+$S65)&gt;0,MAX($V65/($P65+$R65+$S65)*($Q65+$R65),$V65),0))*LT_InvestmentQDI</f>
        <v>#REF!</v>
      </c>
      <c r="BQ65" s="114" t="e">
        <f ca="1">-($V65-IF(($P65+$R65+$S65)&gt;0,MAX($V65/($P65+$R65+$S65)*($Q65+$R65),$V65),0))*(1-LT_InvestmentQDI)</f>
        <v>#REF!</v>
      </c>
      <c r="BR65" s="114" t="e">
        <f t="shared" ca="1" si="121"/>
        <v>#REF!</v>
      </c>
      <c r="BS65" s="114" t="e">
        <f t="shared" ca="1" si="122"/>
        <v>#REF!</v>
      </c>
      <c r="BT65" s="649"/>
      <c r="BU65" s="637"/>
      <c r="BV65" s="637"/>
      <c r="BW65" s="637"/>
      <c r="BX65" s="639"/>
      <c r="CO65" s="8"/>
    </row>
    <row r="66" spans="2:93" x14ac:dyDescent="0.25">
      <c r="B66" s="65">
        <f ca="1">B64+1</f>
        <v>2050</v>
      </c>
      <c r="C66" s="76" t="s">
        <v>741</v>
      </c>
      <c r="D66" s="146" t="str">
        <f t="shared" si="84"/>
        <v/>
      </c>
      <c r="E66" s="77">
        <f t="shared" si="8"/>
        <v>0</v>
      </c>
      <c r="F66" s="77">
        <f t="shared" si="18"/>
        <v>1</v>
      </c>
      <c r="G66" s="76">
        <f t="shared" si="9"/>
        <v>1</v>
      </c>
      <c r="H66" s="76">
        <f t="shared" si="85"/>
        <v>0</v>
      </c>
      <c r="I66" s="77" t="b">
        <f t="shared" si="86"/>
        <v>0</v>
      </c>
      <c r="J66" s="77"/>
      <c r="K66" s="77"/>
      <c r="L66" s="77"/>
      <c r="M66" s="77"/>
      <c r="N66" s="632">
        <f ca="1">YEAR(SP_TargetRD)-$B66</f>
        <v>-27</v>
      </c>
      <c r="O66" s="243" t="e">
        <f ca="1">LT_InvestmentStocks*INDEX(SP_EA_ARStocks,EAIDX)+LT_InvestmentBonds*INDEX(SC_EA_ARBonds,EAIDX)</f>
        <v>#REF!</v>
      </c>
      <c r="P66" s="634" t="e">
        <f ca="1">MAX(P64+R64+S64+V64+W64,0)</f>
        <v>#VALUE!</v>
      </c>
      <c r="Q66" s="617" t="e">
        <f t="shared" ref="Q66" ca="1" si="134">MAX(Q64+R64+IF((P64+R64+S64)&gt;0,MAX(V64/(P64+R64+S64)*(Q64+R64),V64),0),0)</f>
        <v>#VALUE!</v>
      </c>
      <c r="R66" s="617" t="e">
        <f ca="1">IF(SC_ZX_CodeA="X", 0, MAX(INDEX(SC_ZX_IncomeSurplus,ZXIDX2)+INDEX(SC_ZX_Debt,ZXIDX2),0))</f>
        <v>#VALUE!</v>
      </c>
      <c r="S66" s="617" t="e">
        <f ca="1">IF(SC_ZX_CodeA="X", 0, INDEX(SC_EX_RolloverCore,EXIDX))</f>
        <v>#VALUE!</v>
      </c>
      <c r="T66" s="617" t="e">
        <f ca="1">P66+R66+S66</f>
        <v>#VALUE!</v>
      </c>
      <c r="U66" s="642" t="e">
        <f ca="1">IF(SC_ZX_BalanceAccessibleA&gt;0, T66/SC_ZX_BalanceAccessibleA, 0)</f>
        <v>#VALUE!</v>
      </c>
      <c r="V66" s="617" t="e">
        <f ca="1">-IF(SC_ZX_CodeA="X",0,MIN(U66*MAX(INDEX(SC_ZX_Drawdown,ZXIDX2),0),T66))</f>
        <v>#VALUE!</v>
      </c>
      <c r="W66" s="618" t="e">
        <f ca="1">(P66+R66+S66+V66)*$O66</f>
        <v>#VALUE!</v>
      </c>
      <c r="X66" s="75" t="e">
        <f t="shared" ca="1" si="89"/>
        <v>#REF!</v>
      </c>
      <c r="Y66" s="70" t="e">
        <f t="shared" ca="1" si="90"/>
        <v>#REF!</v>
      </c>
      <c r="Z66" s="70" t="e">
        <f t="shared" ca="1" si="91"/>
        <v>#REF!</v>
      </c>
      <c r="AA66" s="70" t="e">
        <f t="shared" ca="1" si="92"/>
        <v>#REF!</v>
      </c>
      <c r="AB66" s="67" t="e">
        <f t="shared" ca="1" si="65"/>
        <v>#REF!</v>
      </c>
      <c r="AC66" s="70" t="e">
        <f ca="1">-IF(INDEX(SC_ZX_CodeA,ZXIDX1)="X", 0, MIN(AB66*MAX(INDEX(SC_ZX_Drawdown,ZXIDX2),0),AA66))</f>
        <v>#REF!</v>
      </c>
      <c r="AD66" s="109" t="e">
        <f t="shared" ca="1" si="93"/>
        <v>#REF!</v>
      </c>
      <c r="AE66" s="75" t="e">
        <f t="shared" ca="1" si="94"/>
        <v>#REF!</v>
      </c>
      <c r="AF66" s="70" t="e">
        <f t="shared" ca="1" si="95"/>
        <v>#REF!</v>
      </c>
      <c r="AG66" s="70" t="e">
        <f t="shared" ca="1" si="96"/>
        <v>#REF!</v>
      </c>
      <c r="AH66" s="70" t="e">
        <f t="shared" ca="1" si="97"/>
        <v>#REF!</v>
      </c>
      <c r="AI66" s="67" t="e">
        <f t="shared" ca="1" si="66"/>
        <v>#REF!</v>
      </c>
      <c r="AJ66" s="70" t="e">
        <f ca="1">-IF(INDEX(SC_ZX_CodeA,ZXIDX1)="X", 0, MIN(AI66*MAX(INDEX(SC_ZX_Drawdown,ZXIDX2),0),AH66))</f>
        <v>#REF!</v>
      </c>
      <c r="AK66" s="109" t="e">
        <f t="shared" ca="1" si="98"/>
        <v>#REF!</v>
      </c>
      <c r="AL66" s="75" t="e">
        <f t="shared" ca="1" si="99"/>
        <v>#REF!</v>
      </c>
      <c r="AM66" s="70" t="e">
        <f t="shared" ca="1" si="100"/>
        <v>#REF!</v>
      </c>
      <c r="AN66" s="70" t="e">
        <f t="shared" ca="1" si="101"/>
        <v>#REF!</v>
      </c>
      <c r="AO66" s="70" t="e">
        <f t="shared" ca="1" si="102"/>
        <v>#REF!</v>
      </c>
      <c r="AP66" s="67" t="e">
        <f t="shared" ca="1" si="67"/>
        <v>#REF!</v>
      </c>
      <c r="AQ66" s="70" t="e">
        <f ca="1">-IF(INDEX(SC_ZX_CodeA,ZXIDX1)="X", 0, MIN(AP66*MAX(INDEX(SC_ZX_Drawdown,ZXIDX2),0),AO66))</f>
        <v>#REF!</v>
      </c>
      <c r="AR66" s="109" t="e">
        <f t="shared" ca="1" si="103"/>
        <v>#REF!</v>
      </c>
      <c r="AS66" s="75" t="e">
        <f t="shared" ca="1" si="104"/>
        <v>#REF!</v>
      </c>
      <c r="AT66" s="70" t="e">
        <f t="shared" ca="1" si="105"/>
        <v>#REF!</v>
      </c>
      <c r="AU66" s="70" t="e">
        <f t="shared" ca="1" si="106"/>
        <v>#REF!</v>
      </c>
      <c r="AV66" s="70" t="e">
        <f t="shared" ca="1" si="107"/>
        <v>#REF!</v>
      </c>
      <c r="AW66" s="67" t="e">
        <f t="shared" ca="1" si="68"/>
        <v>#REF!</v>
      </c>
      <c r="AX66" s="70" t="e">
        <f ca="1">-IF(INDEX(SC_ZX_CodeA,ZXIDX1)="X", 0, MIN(AW66*MAX(INDEX(SC_ZX_Drawdown,ZXIDX2),0),AV66))</f>
        <v>#REF!</v>
      </c>
      <c r="AY66" s="109" t="e">
        <f t="shared" ca="1" si="108"/>
        <v>#REF!</v>
      </c>
      <c r="AZ66" s="75" t="e">
        <f t="shared" ca="1" si="109"/>
        <v>#REF!</v>
      </c>
      <c r="BA66" s="70" t="e">
        <f t="shared" ca="1" si="110"/>
        <v>#REF!</v>
      </c>
      <c r="BB66" s="70" t="e">
        <f t="shared" ca="1" si="111"/>
        <v>#REF!</v>
      </c>
      <c r="BC66" s="70" t="e">
        <f t="shared" ca="1" si="112"/>
        <v>#REF!</v>
      </c>
      <c r="BD66" s="67" t="e">
        <f t="shared" ca="1" si="69"/>
        <v>#REF!</v>
      </c>
      <c r="BE66" s="70" t="e">
        <f ca="1">-IF(INDEX(SC_ZX_CodeA,ZXIDX1)="X", 0, MIN(BD66*MAX(INDEX(SC_ZX_Drawdown,ZXIDX2),0),AZ66))</f>
        <v>#REF!</v>
      </c>
      <c r="BF66" s="109" t="e">
        <f t="shared" ca="1" si="113"/>
        <v>#REF!</v>
      </c>
      <c r="BG66" s="75" t="e">
        <f t="shared" ca="1" si="114"/>
        <v>#REF!</v>
      </c>
      <c r="BH66" s="70" t="e">
        <f t="shared" ca="1" si="115"/>
        <v>#REF!</v>
      </c>
      <c r="BI66" s="70" t="e">
        <f t="shared" ca="1" si="116"/>
        <v>#REF!</v>
      </c>
      <c r="BJ66" s="70" t="e">
        <f t="shared" ca="1" si="117"/>
        <v>#REF!</v>
      </c>
      <c r="BK66" s="67" t="e">
        <f t="shared" ca="1" si="70"/>
        <v>#REF!</v>
      </c>
      <c r="BL66" s="70" t="e">
        <f ca="1">-IF(INDEX(SC_ZX_CodeA,ZXIDX1)="X", 0, MIN(BK66*MAX(INDEX(SC_ZX_Drawdown,ZXIDX2),0),BJ66))</f>
        <v>#REF!</v>
      </c>
      <c r="BM66" s="70" t="e">
        <f t="shared" ca="1" si="118"/>
        <v>#REF!</v>
      </c>
      <c r="BN66" s="111" t="e">
        <f t="shared" ca="1" si="119"/>
        <v>#REF!</v>
      </c>
      <c r="BO66" s="112" t="e">
        <f t="shared" ca="1" si="120"/>
        <v>#REF!</v>
      </c>
      <c r="BP66" s="112" t="e">
        <f ca="1">-($V66-IF(($P66+$R66+$S66)&gt;0,MAX($V66/($P66+$R66+$S66)*($Q66+$R66),$V66),0))*LT_InvestmentQDI</f>
        <v>#VALUE!</v>
      </c>
      <c r="BQ66" s="112" t="e">
        <f ca="1">-($V66-IF(($P66+$R66+$S66)&gt;0,MAX($V66/($P66+$R66+$S66)*($Q66+$R66),$V66),0))*(1-LT_InvestmentQDI)</f>
        <v>#VALUE!</v>
      </c>
      <c r="BR66" s="112" t="e">
        <f t="shared" ca="1" si="121"/>
        <v>#VALUE!</v>
      </c>
      <c r="BS66" s="112" t="e">
        <f t="shared" ca="1" si="122"/>
        <v>#VALUE!</v>
      </c>
      <c r="BT66" s="634" t="e">
        <f ca="1">SUMPRODUCT($BN66:$BN67+$BO66:$BO67, --($E66:$E67&lt;&gt;0))</f>
        <v>#REF!</v>
      </c>
      <c r="BU66" s="617" t="e">
        <f ca="1">SUMPRODUCT($BR66:$BR67+$BS66:$BS67, --($E66:$E67&lt;&gt;0))</f>
        <v>#VALUE!</v>
      </c>
      <c r="BV66" s="617" t="e">
        <f ca="1">$T66+SUMPRODUCT($AA66:$AA67+$AH66:$AH67+$AO66:$AO67+$AV66:$AV67+$BC66:$BC67+$BJ66:$BJ67, --($E66:$E67&lt;&gt;0))</f>
        <v>#VALUE!</v>
      </c>
      <c r="BW66" s="617" t="e">
        <f ca="1">MAX($P66-$Q66,0)+SUMPRODUCT($X66:$X67+$AL66:$AL67+$AZ66:$AZ67, --($E66:$E67&lt;&gt;0))</f>
        <v>#VALUE!</v>
      </c>
      <c r="BX66" s="618" t="e">
        <f ca="1">MIN($P66,$Q66)+SUMPRODUCT($AE66:$AE67+$AS66:$AS67+$BG66:$BG67, --($E66:$E67&lt;&gt;0))</f>
        <v>#VALUE!</v>
      </c>
      <c r="CO66" s="8"/>
    </row>
    <row r="67" spans="2:93" x14ac:dyDescent="0.25">
      <c r="B67" s="86">
        <f t="shared" ca="1" si="59"/>
        <v>2050</v>
      </c>
      <c r="C67" s="80" t="s">
        <v>741</v>
      </c>
      <c r="D67" s="147" t="str">
        <f t="shared" si="84"/>
        <v/>
      </c>
      <c r="E67" s="81">
        <f t="shared" si="8"/>
        <v>0</v>
      </c>
      <c r="F67" s="81">
        <f t="shared" si="18"/>
        <v>2</v>
      </c>
      <c r="G67" s="82">
        <f t="shared" si="9"/>
        <v>-1</v>
      </c>
      <c r="H67" s="82">
        <f t="shared" si="85"/>
        <v>0</v>
      </c>
      <c r="I67" s="81" t="b">
        <f t="shared" si="86"/>
        <v>0</v>
      </c>
      <c r="J67" s="81"/>
      <c r="K67" s="81"/>
      <c r="L67" s="81"/>
      <c r="M67" s="81"/>
      <c r="N67" s="633"/>
      <c r="O67" s="243" t="e">
        <f ca="1">LT_InvestmentStocks*INDEX(SP_EA_ARStocks,EAIDX)+LT_InvestmentBonds*INDEX(SC_EA_ARBonds,EAIDX)</f>
        <v>#REF!</v>
      </c>
      <c r="P67" s="634"/>
      <c r="Q67" s="617"/>
      <c r="R67" s="617"/>
      <c r="S67" s="617"/>
      <c r="T67" s="617"/>
      <c r="U67" s="643"/>
      <c r="V67" s="617"/>
      <c r="W67" s="639"/>
      <c r="X67" s="106" t="e">
        <f t="shared" ca="1" si="89"/>
        <v>#REF!</v>
      </c>
      <c r="Y67" s="107" t="e">
        <f t="shared" ca="1" si="90"/>
        <v>#REF!</v>
      </c>
      <c r="Z67" s="107" t="e">
        <f t="shared" ca="1" si="91"/>
        <v>#REF!</v>
      </c>
      <c r="AA67" s="107" t="e">
        <f t="shared" ca="1" si="92"/>
        <v>#REF!</v>
      </c>
      <c r="AB67" s="91" t="e">
        <f t="shared" ca="1" si="65"/>
        <v>#REF!</v>
      </c>
      <c r="AC67" s="107" t="e">
        <f ca="1">-IF(INDEX(SC_ZX_CodeA,ZXIDX1)="X", 0, MIN(AB67*MAX(INDEX(SC_ZX_Drawdown,ZXIDX2),0),AA67))</f>
        <v>#REF!</v>
      </c>
      <c r="AD67" s="110" t="e">
        <f t="shared" ca="1" si="93"/>
        <v>#REF!</v>
      </c>
      <c r="AE67" s="106" t="e">
        <f t="shared" ca="1" si="94"/>
        <v>#REF!</v>
      </c>
      <c r="AF67" s="107" t="e">
        <f t="shared" ca="1" si="95"/>
        <v>#REF!</v>
      </c>
      <c r="AG67" s="107" t="e">
        <f t="shared" ca="1" si="96"/>
        <v>#REF!</v>
      </c>
      <c r="AH67" s="107" t="e">
        <f t="shared" ca="1" si="97"/>
        <v>#REF!</v>
      </c>
      <c r="AI67" s="91" t="e">
        <f t="shared" ca="1" si="66"/>
        <v>#REF!</v>
      </c>
      <c r="AJ67" s="107" t="e">
        <f ca="1">-IF(INDEX(SC_ZX_CodeA,ZXIDX1)="X", 0, MIN(AI67*MAX(INDEX(SC_ZX_Drawdown,ZXIDX2),0),AH67))</f>
        <v>#REF!</v>
      </c>
      <c r="AK67" s="110" t="e">
        <f t="shared" ca="1" si="98"/>
        <v>#REF!</v>
      </c>
      <c r="AL67" s="106" t="e">
        <f t="shared" ca="1" si="99"/>
        <v>#REF!</v>
      </c>
      <c r="AM67" s="107" t="e">
        <f t="shared" ca="1" si="100"/>
        <v>#REF!</v>
      </c>
      <c r="AN67" s="107" t="e">
        <f t="shared" ca="1" si="101"/>
        <v>#REF!</v>
      </c>
      <c r="AO67" s="107" t="e">
        <f t="shared" ca="1" si="102"/>
        <v>#REF!</v>
      </c>
      <c r="AP67" s="91" t="e">
        <f t="shared" ca="1" si="67"/>
        <v>#REF!</v>
      </c>
      <c r="AQ67" s="107" t="e">
        <f ca="1">-IF(INDEX(SC_ZX_CodeA,ZXIDX1)="X", 0, MIN(AP67*MAX(INDEX(SC_ZX_Drawdown,ZXIDX2),0),AO67))</f>
        <v>#REF!</v>
      </c>
      <c r="AR67" s="110" t="e">
        <f t="shared" ca="1" si="103"/>
        <v>#REF!</v>
      </c>
      <c r="AS67" s="106" t="e">
        <f t="shared" ca="1" si="104"/>
        <v>#REF!</v>
      </c>
      <c r="AT67" s="107" t="e">
        <f t="shared" ca="1" si="105"/>
        <v>#REF!</v>
      </c>
      <c r="AU67" s="107" t="e">
        <f t="shared" ca="1" si="106"/>
        <v>#REF!</v>
      </c>
      <c r="AV67" s="107" t="e">
        <f t="shared" ca="1" si="107"/>
        <v>#REF!</v>
      </c>
      <c r="AW67" s="91" t="e">
        <f t="shared" ca="1" si="68"/>
        <v>#REF!</v>
      </c>
      <c r="AX67" s="107" t="e">
        <f ca="1">-IF(INDEX(SC_ZX_CodeA,ZXIDX1)="X", 0, MIN(AW67*MAX(INDEX(SC_ZX_Drawdown,ZXIDX2),0),AV67))</f>
        <v>#REF!</v>
      </c>
      <c r="AY67" s="110" t="e">
        <f t="shared" ca="1" si="108"/>
        <v>#REF!</v>
      </c>
      <c r="AZ67" s="106" t="e">
        <f t="shared" ca="1" si="109"/>
        <v>#REF!</v>
      </c>
      <c r="BA67" s="107" t="e">
        <f t="shared" ca="1" si="110"/>
        <v>#REF!</v>
      </c>
      <c r="BB67" s="107" t="e">
        <f t="shared" ca="1" si="111"/>
        <v>#REF!</v>
      </c>
      <c r="BC67" s="107" t="e">
        <f t="shared" ca="1" si="112"/>
        <v>#REF!</v>
      </c>
      <c r="BD67" s="91" t="e">
        <f t="shared" ca="1" si="69"/>
        <v>#REF!</v>
      </c>
      <c r="BE67" s="107" t="e">
        <f ca="1">-IF(INDEX(SC_ZX_CodeA,ZXIDX1)="X", 0, MIN(BD67*MAX(INDEX(SC_ZX_Drawdown,ZXIDX2),0),AZ67))</f>
        <v>#REF!</v>
      </c>
      <c r="BF67" s="110" t="e">
        <f t="shared" ca="1" si="113"/>
        <v>#REF!</v>
      </c>
      <c r="BG67" s="106" t="e">
        <f t="shared" ca="1" si="114"/>
        <v>#REF!</v>
      </c>
      <c r="BH67" s="107" t="e">
        <f t="shared" ca="1" si="115"/>
        <v>#REF!</v>
      </c>
      <c r="BI67" s="107" t="e">
        <f t="shared" ca="1" si="116"/>
        <v>#REF!</v>
      </c>
      <c r="BJ67" s="107" t="e">
        <f t="shared" ca="1" si="117"/>
        <v>#REF!</v>
      </c>
      <c r="BK67" s="91" t="e">
        <f t="shared" ca="1" si="70"/>
        <v>#REF!</v>
      </c>
      <c r="BL67" s="107" t="e">
        <f ca="1">-IF(INDEX(SC_ZX_CodeA,ZXIDX1)="X", 0, MIN(BK67*MAX(INDEX(SC_ZX_Drawdown,ZXIDX2),0),BJ67))</f>
        <v>#REF!</v>
      </c>
      <c r="BM67" s="107" t="e">
        <f t="shared" ca="1" si="118"/>
        <v>#REF!</v>
      </c>
      <c r="BN67" s="113" t="e">
        <f t="shared" ca="1" si="119"/>
        <v>#REF!</v>
      </c>
      <c r="BO67" s="114" t="e">
        <f t="shared" ca="1" si="120"/>
        <v>#REF!</v>
      </c>
      <c r="BP67" s="114" t="e">
        <f ca="1">-($V67-IF(($P67+$R67+$S67)&gt;0,MAX($V67/($P67+$R67+$S67)*($Q67+$R67),$V67),0))*LT_InvestmentQDI</f>
        <v>#REF!</v>
      </c>
      <c r="BQ67" s="114" t="e">
        <f ca="1">-($V67-IF(($P67+$R67+$S67)&gt;0,MAX($V67/($P67+$R67+$S67)*($Q67+$R67),$V67),0))*(1-LT_InvestmentQDI)</f>
        <v>#REF!</v>
      </c>
      <c r="BR67" s="114" t="e">
        <f t="shared" ca="1" si="121"/>
        <v>#REF!</v>
      </c>
      <c r="BS67" s="114" t="e">
        <f t="shared" ca="1" si="122"/>
        <v>#REF!</v>
      </c>
      <c r="BT67" s="649"/>
      <c r="BU67" s="637"/>
      <c r="BV67" s="637"/>
      <c r="BW67" s="637"/>
      <c r="BX67" s="639"/>
      <c r="CO67" s="8"/>
    </row>
    <row r="68" spans="2:93" x14ac:dyDescent="0.25">
      <c r="B68" s="65">
        <f ca="1">B66+1</f>
        <v>2051</v>
      </c>
      <c r="C68" s="76" t="s">
        <v>741</v>
      </c>
      <c r="D68" s="146" t="str">
        <f t="shared" si="84"/>
        <v/>
      </c>
      <c r="E68" s="77">
        <f t="shared" si="8"/>
        <v>0</v>
      </c>
      <c r="F68" s="77">
        <f t="shared" si="18"/>
        <v>1</v>
      </c>
      <c r="G68" s="76">
        <f t="shared" si="9"/>
        <v>1</v>
      </c>
      <c r="H68" s="76">
        <f t="shared" si="85"/>
        <v>0</v>
      </c>
      <c r="I68" s="77" t="b">
        <f t="shared" si="86"/>
        <v>0</v>
      </c>
      <c r="J68" s="77"/>
      <c r="K68" s="77"/>
      <c r="L68" s="77"/>
      <c r="M68" s="77"/>
      <c r="N68" s="632">
        <f ca="1">YEAR(SP_TargetRD)-$B68</f>
        <v>-28</v>
      </c>
      <c r="O68" s="243" t="e">
        <f ca="1">LT_InvestmentStocks*INDEX(SP_EA_ARStocks,EAIDX)+LT_InvestmentBonds*INDEX(SC_EA_ARBonds,EAIDX)</f>
        <v>#REF!</v>
      </c>
      <c r="P68" s="634" t="e">
        <f ca="1">MAX(P66+R66+S66+V66+W66,0)</f>
        <v>#VALUE!</v>
      </c>
      <c r="Q68" s="617" t="e">
        <f t="shared" ref="Q68" ca="1" si="135">MAX(Q66+R66+IF((P66+R66+S66)&gt;0,MAX(V66/(P66+R66+S66)*(Q66+R66),V66),0),0)</f>
        <v>#VALUE!</v>
      </c>
      <c r="R68" s="617" t="e">
        <f ca="1">IF(SC_ZX_CodeA="X", 0, MAX(INDEX(SC_ZX_IncomeSurplus,ZXIDX2)+INDEX(SC_ZX_Debt,ZXIDX2),0))</f>
        <v>#VALUE!</v>
      </c>
      <c r="S68" s="617" t="e">
        <f ca="1">IF(SC_ZX_CodeA="X", 0, INDEX(SC_EX_RolloverCore,EXIDX))</f>
        <v>#VALUE!</v>
      </c>
      <c r="T68" s="617" t="e">
        <f ca="1">P68+R68+S68</f>
        <v>#VALUE!</v>
      </c>
      <c r="U68" s="642" t="e">
        <f ca="1">IF(SC_ZX_BalanceAccessibleA&gt;0, T68/SC_ZX_BalanceAccessibleA, 0)</f>
        <v>#VALUE!</v>
      </c>
      <c r="V68" s="617" t="e">
        <f ca="1">-IF(SC_ZX_CodeA="X",0,MIN(U68*MAX(INDEX(SC_ZX_Drawdown,ZXIDX2),0),T68))</f>
        <v>#VALUE!</v>
      </c>
      <c r="W68" s="618" t="e">
        <f ca="1">(P68+R68+S68+V68)*$O68</f>
        <v>#VALUE!</v>
      </c>
      <c r="X68" s="75" t="e">
        <f t="shared" ca="1" si="89"/>
        <v>#REF!</v>
      </c>
      <c r="Y68" s="70" t="e">
        <f t="shared" ca="1" si="90"/>
        <v>#REF!</v>
      </c>
      <c r="Z68" s="70" t="e">
        <f t="shared" ca="1" si="91"/>
        <v>#REF!</v>
      </c>
      <c r="AA68" s="70" t="e">
        <f t="shared" ca="1" si="92"/>
        <v>#REF!</v>
      </c>
      <c r="AB68" s="67" t="e">
        <f t="shared" ca="1" si="65"/>
        <v>#REF!</v>
      </c>
      <c r="AC68" s="70" t="e">
        <f ca="1">-IF(INDEX(SC_ZX_CodeA,ZXIDX1)="X", 0, MIN(AB68*MAX(INDEX(SC_ZX_Drawdown,ZXIDX2),0),AA68))</f>
        <v>#REF!</v>
      </c>
      <c r="AD68" s="109" t="e">
        <f t="shared" ca="1" si="93"/>
        <v>#REF!</v>
      </c>
      <c r="AE68" s="75" t="e">
        <f t="shared" ca="1" si="94"/>
        <v>#REF!</v>
      </c>
      <c r="AF68" s="70" t="e">
        <f t="shared" ca="1" si="95"/>
        <v>#REF!</v>
      </c>
      <c r="AG68" s="70" t="e">
        <f t="shared" ca="1" si="96"/>
        <v>#REF!</v>
      </c>
      <c r="AH68" s="70" t="e">
        <f t="shared" ca="1" si="97"/>
        <v>#REF!</v>
      </c>
      <c r="AI68" s="67" t="e">
        <f t="shared" ca="1" si="66"/>
        <v>#REF!</v>
      </c>
      <c r="AJ68" s="70" t="e">
        <f ca="1">-IF(INDEX(SC_ZX_CodeA,ZXIDX1)="X", 0, MIN(AI68*MAX(INDEX(SC_ZX_Drawdown,ZXIDX2),0),AH68))</f>
        <v>#REF!</v>
      </c>
      <c r="AK68" s="109" t="e">
        <f t="shared" ca="1" si="98"/>
        <v>#REF!</v>
      </c>
      <c r="AL68" s="75" t="e">
        <f t="shared" ca="1" si="99"/>
        <v>#REF!</v>
      </c>
      <c r="AM68" s="70" t="e">
        <f t="shared" ca="1" si="100"/>
        <v>#REF!</v>
      </c>
      <c r="AN68" s="70" t="e">
        <f t="shared" ca="1" si="101"/>
        <v>#REF!</v>
      </c>
      <c r="AO68" s="70" t="e">
        <f t="shared" ca="1" si="102"/>
        <v>#REF!</v>
      </c>
      <c r="AP68" s="67" t="e">
        <f t="shared" ca="1" si="67"/>
        <v>#REF!</v>
      </c>
      <c r="AQ68" s="70" t="e">
        <f ca="1">-IF(INDEX(SC_ZX_CodeA,ZXIDX1)="X", 0, MIN(AP68*MAX(INDEX(SC_ZX_Drawdown,ZXIDX2),0),AO68))</f>
        <v>#REF!</v>
      </c>
      <c r="AR68" s="109" t="e">
        <f t="shared" ca="1" si="103"/>
        <v>#REF!</v>
      </c>
      <c r="AS68" s="75" t="e">
        <f t="shared" ca="1" si="104"/>
        <v>#REF!</v>
      </c>
      <c r="AT68" s="70" t="e">
        <f t="shared" ca="1" si="105"/>
        <v>#REF!</v>
      </c>
      <c r="AU68" s="70" t="e">
        <f t="shared" ca="1" si="106"/>
        <v>#REF!</v>
      </c>
      <c r="AV68" s="70" t="e">
        <f t="shared" ca="1" si="107"/>
        <v>#REF!</v>
      </c>
      <c r="AW68" s="67" t="e">
        <f t="shared" ca="1" si="68"/>
        <v>#REF!</v>
      </c>
      <c r="AX68" s="70" t="e">
        <f ca="1">-IF(INDEX(SC_ZX_CodeA,ZXIDX1)="X", 0, MIN(AW68*MAX(INDEX(SC_ZX_Drawdown,ZXIDX2),0),AV68))</f>
        <v>#REF!</v>
      </c>
      <c r="AY68" s="109" t="e">
        <f t="shared" ca="1" si="108"/>
        <v>#REF!</v>
      </c>
      <c r="AZ68" s="75" t="e">
        <f t="shared" ca="1" si="109"/>
        <v>#REF!</v>
      </c>
      <c r="BA68" s="70" t="e">
        <f t="shared" ca="1" si="110"/>
        <v>#REF!</v>
      </c>
      <c r="BB68" s="70" t="e">
        <f t="shared" ca="1" si="111"/>
        <v>#REF!</v>
      </c>
      <c r="BC68" s="70" t="e">
        <f t="shared" ca="1" si="112"/>
        <v>#REF!</v>
      </c>
      <c r="BD68" s="67" t="e">
        <f t="shared" ca="1" si="69"/>
        <v>#REF!</v>
      </c>
      <c r="BE68" s="70" t="e">
        <f ca="1">-IF(INDEX(SC_ZX_CodeA,ZXIDX1)="X", 0, MIN(BD68*MAX(INDEX(SC_ZX_Drawdown,ZXIDX2),0),AZ68))</f>
        <v>#REF!</v>
      </c>
      <c r="BF68" s="109" t="e">
        <f t="shared" ca="1" si="113"/>
        <v>#REF!</v>
      </c>
      <c r="BG68" s="75" t="e">
        <f t="shared" ca="1" si="114"/>
        <v>#REF!</v>
      </c>
      <c r="BH68" s="70" t="e">
        <f t="shared" ca="1" si="115"/>
        <v>#REF!</v>
      </c>
      <c r="BI68" s="70" t="e">
        <f t="shared" ca="1" si="116"/>
        <v>#REF!</v>
      </c>
      <c r="BJ68" s="70" t="e">
        <f t="shared" ca="1" si="117"/>
        <v>#REF!</v>
      </c>
      <c r="BK68" s="67" t="e">
        <f t="shared" ca="1" si="70"/>
        <v>#REF!</v>
      </c>
      <c r="BL68" s="70" t="e">
        <f ca="1">-IF(INDEX(SC_ZX_CodeA,ZXIDX1)="X", 0, MIN(BK68*MAX(INDEX(SC_ZX_Drawdown,ZXIDX2),0),BJ68))</f>
        <v>#REF!</v>
      </c>
      <c r="BM68" s="70" t="e">
        <f t="shared" ca="1" si="118"/>
        <v>#REF!</v>
      </c>
      <c r="BN68" s="111" t="e">
        <f t="shared" ca="1" si="119"/>
        <v>#REF!</v>
      </c>
      <c r="BO68" s="112" t="e">
        <f t="shared" ca="1" si="120"/>
        <v>#REF!</v>
      </c>
      <c r="BP68" s="112" t="e">
        <f ca="1">-($V68-IF(($P68+$R68+$S68)&gt;0,MAX($V68/($P68+$R68+$S68)*($Q68+$R68),$V68),0))*LT_InvestmentQDI</f>
        <v>#VALUE!</v>
      </c>
      <c r="BQ68" s="112" t="e">
        <f ca="1">-($V68-IF(($P68+$R68+$S68)&gt;0,MAX($V68/($P68+$R68+$S68)*($Q68+$R68),$V68),0))*(1-LT_InvestmentQDI)</f>
        <v>#VALUE!</v>
      </c>
      <c r="BR68" s="112" t="e">
        <f t="shared" ca="1" si="121"/>
        <v>#VALUE!</v>
      </c>
      <c r="BS68" s="112" t="e">
        <f t="shared" ca="1" si="122"/>
        <v>#VALUE!</v>
      </c>
      <c r="BT68" s="634" t="e">
        <f ca="1">SUMPRODUCT($BN68:$BN69+$BO68:$BO69, --($E68:$E69&lt;&gt;0))</f>
        <v>#REF!</v>
      </c>
      <c r="BU68" s="617" t="e">
        <f ca="1">SUMPRODUCT($BR68:$BR69+$BS68:$BS69, --($E68:$E69&lt;&gt;0))</f>
        <v>#VALUE!</v>
      </c>
      <c r="BV68" s="617" t="e">
        <f ca="1">$T68+SUMPRODUCT($AA68:$AA69+$AH68:$AH69+$AO68:$AO69+$AV68:$AV69+$BC68:$BC69+$BJ68:$BJ69, --($E68:$E69&lt;&gt;0))</f>
        <v>#VALUE!</v>
      </c>
      <c r="BW68" s="617" t="e">
        <f ca="1">MAX($P68-$Q68,0)+SUMPRODUCT($X68:$X69+$AL68:$AL69+$AZ68:$AZ69, --($E68:$E69&lt;&gt;0))</f>
        <v>#VALUE!</v>
      </c>
      <c r="BX68" s="618" t="e">
        <f ca="1">MIN($P68,$Q68)+SUMPRODUCT($AE68:$AE69+$AS68:$AS69+$BG68:$BG69, --($E68:$E69&lt;&gt;0))</f>
        <v>#VALUE!</v>
      </c>
      <c r="CO68" s="8"/>
    </row>
    <row r="69" spans="2:93" x14ac:dyDescent="0.25">
      <c r="B69" s="86">
        <f t="shared" ca="1" si="59"/>
        <v>2051</v>
      </c>
      <c r="C69" s="80" t="s">
        <v>741</v>
      </c>
      <c r="D69" s="147" t="str">
        <f t="shared" si="84"/>
        <v/>
      </c>
      <c r="E69" s="81">
        <f t="shared" si="8"/>
        <v>0</v>
      </c>
      <c r="F69" s="81">
        <f t="shared" si="18"/>
        <v>2</v>
      </c>
      <c r="G69" s="82">
        <f t="shared" si="9"/>
        <v>-1</v>
      </c>
      <c r="H69" s="82">
        <f t="shared" si="85"/>
        <v>0</v>
      </c>
      <c r="I69" s="81" t="b">
        <f t="shared" si="86"/>
        <v>0</v>
      </c>
      <c r="J69" s="81"/>
      <c r="K69" s="81"/>
      <c r="L69" s="81"/>
      <c r="M69" s="81"/>
      <c r="N69" s="633"/>
      <c r="O69" s="243" t="e">
        <f ca="1">LT_InvestmentStocks*INDEX(SP_EA_ARStocks,EAIDX)+LT_InvestmentBonds*INDEX(SC_EA_ARBonds,EAIDX)</f>
        <v>#REF!</v>
      </c>
      <c r="P69" s="634"/>
      <c r="Q69" s="617"/>
      <c r="R69" s="617"/>
      <c r="S69" s="617"/>
      <c r="T69" s="617"/>
      <c r="U69" s="643"/>
      <c r="V69" s="617"/>
      <c r="W69" s="639"/>
      <c r="X69" s="106" t="e">
        <f t="shared" ca="1" si="89"/>
        <v>#REF!</v>
      </c>
      <c r="Y69" s="107" t="e">
        <f t="shared" ca="1" si="90"/>
        <v>#REF!</v>
      </c>
      <c r="Z69" s="107" t="e">
        <f t="shared" ca="1" si="91"/>
        <v>#REF!</v>
      </c>
      <c r="AA69" s="107" t="e">
        <f t="shared" ca="1" si="92"/>
        <v>#REF!</v>
      </c>
      <c r="AB69" s="91" t="e">
        <f t="shared" ca="1" si="65"/>
        <v>#REF!</v>
      </c>
      <c r="AC69" s="107" t="e">
        <f ca="1">-IF(INDEX(SC_ZX_CodeA,ZXIDX1)="X", 0, MIN(AB69*MAX(INDEX(SC_ZX_Drawdown,ZXIDX2),0),AA69))</f>
        <v>#REF!</v>
      </c>
      <c r="AD69" s="110" t="e">
        <f t="shared" ca="1" si="93"/>
        <v>#REF!</v>
      </c>
      <c r="AE69" s="106" t="e">
        <f t="shared" ca="1" si="94"/>
        <v>#REF!</v>
      </c>
      <c r="AF69" s="107" t="e">
        <f t="shared" ca="1" si="95"/>
        <v>#REF!</v>
      </c>
      <c r="AG69" s="107" t="e">
        <f t="shared" ca="1" si="96"/>
        <v>#REF!</v>
      </c>
      <c r="AH69" s="107" t="e">
        <f t="shared" ca="1" si="97"/>
        <v>#REF!</v>
      </c>
      <c r="AI69" s="91" t="e">
        <f t="shared" ca="1" si="66"/>
        <v>#REF!</v>
      </c>
      <c r="AJ69" s="107" t="e">
        <f ca="1">-IF(INDEX(SC_ZX_CodeA,ZXIDX1)="X", 0, MIN(AI69*MAX(INDEX(SC_ZX_Drawdown,ZXIDX2),0),AH69))</f>
        <v>#REF!</v>
      </c>
      <c r="AK69" s="110" t="e">
        <f t="shared" ca="1" si="98"/>
        <v>#REF!</v>
      </c>
      <c r="AL69" s="106" t="e">
        <f t="shared" ca="1" si="99"/>
        <v>#REF!</v>
      </c>
      <c r="AM69" s="107" t="e">
        <f t="shared" ca="1" si="100"/>
        <v>#REF!</v>
      </c>
      <c r="AN69" s="107" t="e">
        <f t="shared" ca="1" si="101"/>
        <v>#REF!</v>
      </c>
      <c r="AO69" s="107" t="e">
        <f t="shared" ca="1" si="102"/>
        <v>#REF!</v>
      </c>
      <c r="AP69" s="91" t="e">
        <f t="shared" ca="1" si="67"/>
        <v>#REF!</v>
      </c>
      <c r="AQ69" s="107" t="e">
        <f ca="1">-IF(INDEX(SC_ZX_CodeA,ZXIDX1)="X", 0, MIN(AP69*MAX(INDEX(SC_ZX_Drawdown,ZXIDX2),0),AO69))</f>
        <v>#REF!</v>
      </c>
      <c r="AR69" s="110" t="e">
        <f t="shared" ca="1" si="103"/>
        <v>#REF!</v>
      </c>
      <c r="AS69" s="106" t="e">
        <f t="shared" ca="1" si="104"/>
        <v>#REF!</v>
      </c>
      <c r="AT69" s="107" t="e">
        <f t="shared" ca="1" si="105"/>
        <v>#REF!</v>
      </c>
      <c r="AU69" s="107" t="e">
        <f t="shared" ca="1" si="106"/>
        <v>#REF!</v>
      </c>
      <c r="AV69" s="107" t="e">
        <f t="shared" ca="1" si="107"/>
        <v>#REF!</v>
      </c>
      <c r="AW69" s="91" t="e">
        <f t="shared" ca="1" si="68"/>
        <v>#REF!</v>
      </c>
      <c r="AX69" s="107" t="e">
        <f ca="1">-IF(INDEX(SC_ZX_CodeA,ZXIDX1)="X", 0, MIN(AW69*MAX(INDEX(SC_ZX_Drawdown,ZXIDX2),0),AV69))</f>
        <v>#REF!</v>
      </c>
      <c r="AY69" s="110" t="e">
        <f t="shared" ca="1" si="108"/>
        <v>#REF!</v>
      </c>
      <c r="AZ69" s="106" t="e">
        <f t="shared" ca="1" si="109"/>
        <v>#REF!</v>
      </c>
      <c r="BA69" s="107" t="e">
        <f t="shared" ca="1" si="110"/>
        <v>#REF!</v>
      </c>
      <c r="BB69" s="107" t="e">
        <f t="shared" ca="1" si="111"/>
        <v>#REF!</v>
      </c>
      <c r="BC69" s="107" t="e">
        <f t="shared" ca="1" si="112"/>
        <v>#REF!</v>
      </c>
      <c r="BD69" s="91" t="e">
        <f t="shared" ca="1" si="69"/>
        <v>#REF!</v>
      </c>
      <c r="BE69" s="107" t="e">
        <f ca="1">-IF(INDEX(SC_ZX_CodeA,ZXIDX1)="X", 0, MIN(BD69*MAX(INDEX(SC_ZX_Drawdown,ZXIDX2),0),AZ69))</f>
        <v>#REF!</v>
      </c>
      <c r="BF69" s="110" t="e">
        <f t="shared" ca="1" si="113"/>
        <v>#REF!</v>
      </c>
      <c r="BG69" s="106" t="e">
        <f t="shared" ca="1" si="114"/>
        <v>#REF!</v>
      </c>
      <c r="BH69" s="107" t="e">
        <f t="shared" ca="1" si="115"/>
        <v>#REF!</v>
      </c>
      <c r="BI69" s="107" t="e">
        <f t="shared" ca="1" si="116"/>
        <v>#REF!</v>
      </c>
      <c r="BJ69" s="107" t="e">
        <f t="shared" ca="1" si="117"/>
        <v>#REF!</v>
      </c>
      <c r="BK69" s="91" t="e">
        <f t="shared" ca="1" si="70"/>
        <v>#REF!</v>
      </c>
      <c r="BL69" s="107" t="e">
        <f ca="1">-IF(INDEX(SC_ZX_CodeA,ZXIDX1)="X", 0, MIN(BK69*MAX(INDEX(SC_ZX_Drawdown,ZXIDX2),0),BJ69))</f>
        <v>#REF!</v>
      </c>
      <c r="BM69" s="107" t="e">
        <f t="shared" ca="1" si="118"/>
        <v>#REF!</v>
      </c>
      <c r="BN69" s="113" t="e">
        <f t="shared" ca="1" si="119"/>
        <v>#REF!</v>
      </c>
      <c r="BO69" s="114" t="e">
        <f t="shared" ca="1" si="120"/>
        <v>#REF!</v>
      </c>
      <c r="BP69" s="114" t="e">
        <f ca="1">-($V69-IF(($P69+$R69+$S69)&gt;0,MAX($V69/($P69+$R69+$S69)*($Q69+$R69),$V69),0))*LT_InvestmentQDI</f>
        <v>#REF!</v>
      </c>
      <c r="BQ69" s="114" t="e">
        <f ca="1">-($V69-IF(($P69+$R69+$S69)&gt;0,MAX($V69/($P69+$R69+$S69)*($Q69+$R69),$V69),0))*(1-LT_InvestmentQDI)</f>
        <v>#REF!</v>
      </c>
      <c r="BR69" s="114" t="e">
        <f t="shared" ca="1" si="121"/>
        <v>#REF!</v>
      </c>
      <c r="BS69" s="114" t="e">
        <f t="shared" ca="1" si="122"/>
        <v>#REF!</v>
      </c>
      <c r="BT69" s="649"/>
      <c r="BU69" s="637"/>
      <c r="BV69" s="637"/>
      <c r="BW69" s="637"/>
      <c r="BX69" s="639"/>
      <c r="CO69" s="8"/>
    </row>
    <row r="70" spans="2:93" x14ac:dyDescent="0.25">
      <c r="B70" s="65">
        <f ca="1">B68+1</f>
        <v>2052</v>
      </c>
      <c r="C70" s="76" t="s">
        <v>741</v>
      </c>
      <c r="D70" s="146" t="str">
        <f t="shared" si="84"/>
        <v/>
      </c>
      <c r="E70" s="77">
        <f t="shared" si="8"/>
        <v>0</v>
      </c>
      <c r="F70" s="77">
        <f t="shared" si="18"/>
        <v>1</v>
      </c>
      <c r="G70" s="76">
        <f t="shared" si="9"/>
        <v>1</v>
      </c>
      <c r="H70" s="76">
        <f t="shared" si="85"/>
        <v>0</v>
      </c>
      <c r="I70" s="77" t="b">
        <f t="shared" si="86"/>
        <v>0</v>
      </c>
      <c r="J70" s="77"/>
      <c r="K70" s="77"/>
      <c r="L70" s="77"/>
      <c r="M70" s="77"/>
      <c r="N70" s="632">
        <f ca="1">YEAR(SP_TargetRD)-$B70</f>
        <v>-29</v>
      </c>
      <c r="O70" s="243" t="e">
        <f ca="1">LT_InvestmentStocks*INDEX(SP_EA_ARStocks,EAIDX)+LT_InvestmentBonds*INDEX(SC_EA_ARBonds,EAIDX)</f>
        <v>#REF!</v>
      </c>
      <c r="P70" s="634" t="e">
        <f ca="1">MAX(P68+R68+S68+V68+W68,0)</f>
        <v>#VALUE!</v>
      </c>
      <c r="Q70" s="617" t="e">
        <f t="shared" ref="Q70" ca="1" si="136">MAX(Q68+R68+IF((P68+R68+S68)&gt;0,MAX(V68/(P68+R68+S68)*(Q68+R68),V68),0),0)</f>
        <v>#VALUE!</v>
      </c>
      <c r="R70" s="617" t="e">
        <f ca="1">IF(SC_ZX_CodeA="X", 0, MAX(INDEX(SC_ZX_IncomeSurplus,ZXIDX2)+INDEX(SC_ZX_Debt,ZXIDX2),0))</f>
        <v>#VALUE!</v>
      </c>
      <c r="S70" s="617" t="e">
        <f ca="1">IF(SC_ZX_CodeA="X", 0, INDEX(SC_EX_RolloverCore,EXIDX))</f>
        <v>#VALUE!</v>
      </c>
      <c r="T70" s="617" t="e">
        <f ca="1">P70+R70+S70</f>
        <v>#VALUE!</v>
      </c>
      <c r="U70" s="642" t="e">
        <f ca="1">IF(SC_ZX_BalanceAccessibleA&gt;0, T70/SC_ZX_BalanceAccessibleA, 0)</f>
        <v>#VALUE!</v>
      </c>
      <c r="V70" s="617" t="e">
        <f ca="1">-IF(SC_ZX_CodeA="X",0,MIN(U70*MAX(INDEX(SC_ZX_Drawdown,ZXIDX2),0),T70))</f>
        <v>#VALUE!</v>
      </c>
      <c r="W70" s="618" t="e">
        <f ca="1">(P70+R70+S70+V70)*$O70</f>
        <v>#VALUE!</v>
      </c>
      <c r="X70" s="75" t="e">
        <f t="shared" ca="1" si="89"/>
        <v>#REF!</v>
      </c>
      <c r="Y70" s="70" t="e">
        <f t="shared" ca="1" si="90"/>
        <v>#REF!</v>
      </c>
      <c r="Z70" s="70" t="e">
        <f t="shared" ca="1" si="91"/>
        <v>#REF!</v>
      </c>
      <c r="AA70" s="70" t="e">
        <f t="shared" ca="1" si="92"/>
        <v>#REF!</v>
      </c>
      <c r="AB70" s="67" t="e">
        <f t="shared" ca="1" si="65"/>
        <v>#REF!</v>
      </c>
      <c r="AC70" s="70" t="e">
        <f ca="1">-IF(INDEX(SC_ZX_CodeA,ZXIDX1)="X", 0, MIN(AB70*MAX(INDEX(SC_ZX_Drawdown,ZXIDX2),0),AA70))</f>
        <v>#REF!</v>
      </c>
      <c r="AD70" s="109" t="e">
        <f t="shared" ca="1" si="93"/>
        <v>#REF!</v>
      </c>
      <c r="AE70" s="75" t="e">
        <f t="shared" ca="1" si="94"/>
        <v>#REF!</v>
      </c>
      <c r="AF70" s="70" t="e">
        <f t="shared" ca="1" si="95"/>
        <v>#REF!</v>
      </c>
      <c r="AG70" s="70" t="e">
        <f t="shared" ca="1" si="96"/>
        <v>#REF!</v>
      </c>
      <c r="AH70" s="70" t="e">
        <f t="shared" ca="1" si="97"/>
        <v>#REF!</v>
      </c>
      <c r="AI70" s="67" t="e">
        <f t="shared" ca="1" si="66"/>
        <v>#REF!</v>
      </c>
      <c r="AJ70" s="70" t="e">
        <f ca="1">-IF(INDEX(SC_ZX_CodeA,ZXIDX1)="X", 0, MIN(AI70*MAX(INDEX(SC_ZX_Drawdown,ZXIDX2),0),AH70))</f>
        <v>#REF!</v>
      </c>
      <c r="AK70" s="109" t="e">
        <f t="shared" ca="1" si="98"/>
        <v>#REF!</v>
      </c>
      <c r="AL70" s="75" t="e">
        <f t="shared" ca="1" si="99"/>
        <v>#REF!</v>
      </c>
      <c r="AM70" s="70" t="e">
        <f t="shared" ca="1" si="100"/>
        <v>#REF!</v>
      </c>
      <c r="AN70" s="70" t="e">
        <f t="shared" ca="1" si="101"/>
        <v>#REF!</v>
      </c>
      <c r="AO70" s="70" t="e">
        <f t="shared" ca="1" si="102"/>
        <v>#REF!</v>
      </c>
      <c r="AP70" s="67" t="e">
        <f t="shared" ca="1" si="67"/>
        <v>#REF!</v>
      </c>
      <c r="AQ70" s="70" t="e">
        <f ca="1">-IF(INDEX(SC_ZX_CodeA,ZXIDX1)="X", 0, MIN(AP70*MAX(INDEX(SC_ZX_Drawdown,ZXIDX2),0),AO70))</f>
        <v>#REF!</v>
      </c>
      <c r="AR70" s="109" t="e">
        <f t="shared" ca="1" si="103"/>
        <v>#REF!</v>
      </c>
      <c r="AS70" s="75" t="e">
        <f t="shared" ca="1" si="104"/>
        <v>#REF!</v>
      </c>
      <c r="AT70" s="70" t="e">
        <f t="shared" ca="1" si="105"/>
        <v>#REF!</v>
      </c>
      <c r="AU70" s="70" t="e">
        <f t="shared" ca="1" si="106"/>
        <v>#REF!</v>
      </c>
      <c r="AV70" s="70" t="e">
        <f t="shared" ca="1" si="107"/>
        <v>#REF!</v>
      </c>
      <c r="AW70" s="67" t="e">
        <f t="shared" ca="1" si="68"/>
        <v>#REF!</v>
      </c>
      <c r="AX70" s="70" t="e">
        <f ca="1">-IF(INDEX(SC_ZX_CodeA,ZXIDX1)="X", 0, MIN(AW70*MAX(INDEX(SC_ZX_Drawdown,ZXIDX2),0),AV70))</f>
        <v>#REF!</v>
      </c>
      <c r="AY70" s="109" t="e">
        <f t="shared" ca="1" si="108"/>
        <v>#REF!</v>
      </c>
      <c r="AZ70" s="75" t="e">
        <f t="shared" ca="1" si="109"/>
        <v>#REF!</v>
      </c>
      <c r="BA70" s="70" t="e">
        <f t="shared" ca="1" si="110"/>
        <v>#REF!</v>
      </c>
      <c r="BB70" s="70" t="e">
        <f t="shared" ca="1" si="111"/>
        <v>#REF!</v>
      </c>
      <c r="BC70" s="70" t="e">
        <f t="shared" ca="1" si="112"/>
        <v>#REF!</v>
      </c>
      <c r="BD70" s="67" t="e">
        <f t="shared" ca="1" si="69"/>
        <v>#REF!</v>
      </c>
      <c r="BE70" s="70" t="e">
        <f ca="1">-IF(INDEX(SC_ZX_CodeA,ZXIDX1)="X", 0, MIN(BD70*MAX(INDEX(SC_ZX_Drawdown,ZXIDX2),0),AZ70))</f>
        <v>#REF!</v>
      </c>
      <c r="BF70" s="109" t="e">
        <f t="shared" ca="1" si="113"/>
        <v>#REF!</v>
      </c>
      <c r="BG70" s="75" t="e">
        <f t="shared" ca="1" si="114"/>
        <v>#REF!</v>
      </c>
      <c r="BH70" s="70" t="e">
        <f t="shared" ca="1" si="115"/>
        <v>#REF!</v>
      </c>
      <c r="BI70" s="70" t="e">
        <f t="shared" ca="1" si="116"/>
        <v>#REF!</v>
      </c>
      <c r="BJ70" s="70" t="e">
        <f t="shared" ca="1" si="117"/>
        <v>#REF!</v>
      </c>
      <c r="BK70" s="67" t="e">
        <f t="shared" ca="1" si="70"/>
        <v>#REF!</v>
      </c>
      <c r="BL70" s="70" t="e">
        <f ca="1">-IF(INDEX(SC_ZX_CodeA,ZXIDX1)="X", 0, MIN(BK70*MAX(INDEX(SC_ZX_Drawdown,ZXIDX2),0),BJ70))</f>
        <v>#REF!</v>
      </c>
      <c r="BM70" s="70" t="e">
        <f t="shared" ca="1" si="118"/>
        <v>#REF!</v>
      </c>
      <c r="BN70" s="111" t="e">
        <f t="shared" ca="1" si="119"/>
        <v>#REF!</v>
      </c>
      <c r="BO70" s="112" t="e">
        <f t="shared" ca="1" si="120"/>
        <v>#REF!</v>
      </c>
      <c r="BP70" s="112" t="e">
        <f ca="1">-($V70-IF(($P70+$R70+$S70)&gt;0,MAX($V70/($P70+$R70+$S70)*($Q70+$R70),$V70),0))*LT_InvestmentQDI</f>
        <v>#VALUE!</v>
      </c>
      <c r="BQ70" s="112" t="e">
        <f ca="1">-($V70-IF(($P70+$R70+$S70)&gt;0,MAX($V70/($P70+$R70+$S70)*($Q70+$R70),$V70),0))*(1-LT_InvestmentQDI)</f>
        <v>#VALUE!</v>
      </c>
      <c r="BR70" s="112" t="e">
        <f t="shared" ca="1" si="121"/>
        <v>#VALUE!</v>
      </c>
      <c r="BS70" s="112" t="e">
        <f t="shared" ca="1" si="122"/>
        <v>#VALUE!</v>
      </c>
      <c r="BT70" s="634" t="e">
        <f ca="1">SUMPRODUCT($BN70:$BN71+$BO70:$BO71, --($E70:$E71&lt;&gt;0))</f>
        <v>#REF!</v>
      </c>
      <c r="BU70" s="617" t="e">
        <f ca="1">SUMPRODUCT($BR70:$BR71+$BS70:$BS71, --($E70:$E71&lt;&gt;0))</f>
        <v>#VALUE!</v>
      </c>
      <c r="BV70" s="617" t="e">
        <f ca="1">$T70+SUMPRODUCT($AA70:$AA71+$AH70:$AH71+$AO70:$AO71+$AV70:$AV71+$BC70:$BC71+$BJ70:$BJ71, --($E70:$E71&lt;&gt;0))</f>
        <v>#VALUE!</v>
      </c>
      <c r="BW70" s="617" t="e">
        <f ca="1">MAX($P70-$Q70,0)+SUMPRODUCT($X70:$X71+$AL70:$AL71+$AZ70:$AZ71, --($E70:$E71&lt;&gt;0))</f>
        <v>#VALUE!</v>
      </c>
      <c r="BX70" s="618" t="e">
        <f ca="1">MIN($P70,$Q70)+SUMPRODUCT($AE70:$AE71+$AS70:$AS71+$BG70:$BG71, --($E70:$E71&lt;&gt;0))</f>
        <v>#VALUE!</v>
      </c>
      <c r="CO70" s="8"/>
    </row>
    <row r="71" spans="2:93" x14ac:dyDescent="0.25">
      <c r="B71" s="86">
        <f t="shared" ca="1" si="59"/>
        <v>2052</v>
      </c>
      <c r="C71" s="80" t="s">
        <v>741</v>
      </c>
      <c r="D71" s="147" t="str">
        <f t="shared" si="84"/>
        <v/>
      </c>
      <c r="E71" s="81">
        <f t="shared" si="8"/>
        <v>0</v>
      </c>
      <c r="F71" s="81">
        <f t="shared" si="18"/>
        <v>2</v>
      </c>
      <c r="G71" s="82">
        <f t="shared" si="9"/>
        <v>-1</v>
      </c>
      <c r="H71" s="82">
        <f t="shared" si="85"/>
        <v>0</v>
      </c>
      <c r="I71" s="81" t="b">
        <f t="shared" si="86"/>
        <v>0</v>
      </c>
      <c r="J71" s="81"/>
      <c r="K71" s="81"/>
      <c r="L71" s="81"/>
      <c r="M71" s="81"/>
      <c r="N71" s="633"/>
      <c r="O71" s="243" t="e">
        <f ca="1">LT_InvestmentStocks*INDEX(SP_EA_ARStocks,EAIDX)+LT_InvestmentBonds*INDEX(SC_EA_ARBonds,EAIDX)</f>
        <v>#REF!</v>
      </c>
      <c r="P71" s="634"/>
      <c r="Q71" s="617"/>
      <c r="R71" s="617"/>
      <c r="S71" s="617"/>
      <c r="T71" s="617"/>
      <c r="U71" s="643"/>
      <c r="V71" s="617"/>
      <c r="W71" s="639"/>
      <c r="X71" s="106" t="e">
        <f t="shared" ca="1" si="89"/>
        <v>#REF!</v>
      </c>
      <c r="Y71" s="107" t="e">
        <f t="shared" ca="1" si="90"/>
        <v>#REF!</v>
      </c>
      <c r="Z71" s="107" t="e">
        <f t="shared" ca="1" si="91"/>
        <v>#REF!</v>
      </c>
      <c r="AA71" s="107" t="e">
        <f t="shared" ca="1" si="92"/>
        <v>#REF!</v>
      </c>
      <c r="AB71" s="91" t="e">
        <f t="shared" ca="1" si="65"/>
        <v>#REF!</v>
      </c>
      <c r="AC71" s="107" t="e">
        <f ca="1">-IF(INDEX(SC_ZX_CodeA,ZXIDX1)="X", 0, MIN(AB71*MAX(INDEX(SC_ZX_Drawdown,ZXIDX2),0),AA71))</f>
        <v>#REF!</v>
      </c>
      <c r="AD71" s="110" t="e">
        <f t="shared" ca="1" si="93"/>
        <v>#REF!</v>
      </c>
      <c r="AE71" s="106" t="e">
        <f t="shared" ca="1" si="94"/>
        <v>#REF!</v>
      </c>
      <c r="AF71" s="107" t="e">
        <f t="shared" ca="1" si="95"/>
        <v>#REF!</v>
      </c>
      <c r="AG71" s="107" t="e">
        <f t="shared" ca="1" si="96"/>
        <v>#REF!</v>
      </c>
      <c r="AH71" s="107" t="e">
        <f t="shared" ca="1" si="97"/>
        <v>#REF!</v>
      </c>
      <c r="AI71" s="91" t="e">
        <f t="shared" ca="1" si="66"/>
        <v>#REF!</v>
      </c>
      <c r="AJ71" s="107" t="e">
        <f ca="1">-IF(INDEX(SC_ZX_CodeA,ZXIDX1)="X", 0, MIN(AI71*MAX(INDEX(SC_ZX_Drawdown,ZXIDX2),0),AH71))</f>
        <v>#REF!</v>
      </c>
      <c r="AK71" s="110" t="e">
        <f t="shared" ca="1" si="98"/>
        <v>#REF!</v>
      </c>
      <c r="AL71" s="106" t="e">
        <f t="shared" ca="1" si="99"/>
        <v>#REF!</v>
      </c>
      <c r="AM71" s="107" t="e">
        <f t="shared" ca="1" si="100"/>
        <v>#REF!</v>
      </c>
      <c r="AN71" s="107" t="e">
        <f t="shared" ca="1" si="101"/>
        <v>#REF!</v>
      </c>
      <c r="AO71" s="107" t="e">
        <f t="shared" ca="1" si="102"/>
        <v>#REF!</v>
      </c>
      <c r="AP71" s="91" t="e">
        <f t="shared" ca="1" si="67"/>
        <v>#REF!</v>
      </c>
      <c r="AQ71" s="107" t="e">
        <f ca="1">-IF(INDEX(SC_ZX_CodeA,ZXIDX1)="X", 0, MIN(AP71*MAX(INDEX(SC_ZX_Drawdown,ZXIDX2),0),AO71))</f>
        <v>#REF!</v>
      </c>
      <c r="AR71" s="110" t="e">
        <f t="shared" ca="1" si="103"/>
        <v>#REF!</v>
      </c>
      <c r="AS71" s="106" t="e">
        <f t="shared" ca="1" si="104"/>
        <v>#REF!</v>
      </c>
      <c r="AT71" s="107" t="e">
        <f t="shared" ca="1" si="105"/>
        <v>#REF!</v>
      </c>
      <c r="AU71" s="107" t="e">
        <f t="shared" ca="1" si="106"/>
        <v>#REF!</v>
      </c>
      <c r="AV71" s="107" t="e">
        <f t="shared" ca="1" si="107"/>
        <v>#REF!</v>
      </c>
      <c r="AW71" s="91" t="e">
        <f t="shared" ca="1" si="68"/>
        <v>#REF!</v>
      </c>
      <c r="AX71" s="107" t="e">
        <f ca="1">-IF(INDEX(SC_ZX_CodeA,ZXIDX1)="X", 0, MIN(AW71*MAX(INDEX(SC_ZX_Drawdown,ZXIDX2),0),AV71))</f>
        <v>#REF!</v>
      </c>
      <c r="AY71" s="110" t="e">
        <f t="shared" ca="1" si="108"/>
        <v>#REF!</v>
      </c>
      <c r="AZ71" s="106" t="e">
        <f t="shared" ca="1" si="109"/>
        <v>#REF!</v>
      </c>
      <c r="BA71" s="107" t="e">
        <f t="shared" ca="1" si="110"/>
        <v>#REF!</v>
      </c>
      <c r="BB71" s="107" t="e">
        <f t="shared" ca="1" si="111"/>
        <v>#REF!</v>
      </c>
      <c r="BC71" s="107" t="e">
        <f t="shared" ca="1" si="112"/>
        <v>#REF!</v>
      </c>
      <c r="BD71" s="91" t="e">
        <f t="shared" ca="1" si="69"/>
        <v>#REF!</v>
      </c>
      <c r="BE71" s="107" t="e">
        <f ca="1">-IF(INDEX(SC_ZX_CodeA,ZXIDX1)="X", 0, MIN(BD71*MAX(INDEX(SC_ZX_Drawdown,ZXIDX2),0),AZ71))</f>
        <v>#REF!</v>
      </c>
      <c r="BF71" s="110" t="e">
        <f t="shared" ca="1" si="113"/>
        <v>#REF!</v>
      </c>
      <c r="BG71" s="106" t="e">
        <f t="shared" ca="1" si="114"/>
        <v>#REF!</v>
      </c>
      <c r="BH71" s="107" t="e">
        <f t="shared" ca="1" si="115"/>
        <v>#REF!</v>
      </c>
      <c r="BI71" s="107" t="e">
        <f t="shared" ca="1" si="116"/>
        <v>#REF!</v>
      </c>
      <c r="BJ71" s="107" t="e">
        <f t="shared" ca="1" si="117"/>
        <v>#REF!</v>
      </c>
      <c r="BK71" s="91" t="e">
        <f t="shared" ca="1" si="70"/>
        <v>#REF!</v>
      </c>
      <c r="BL71" s="107" t="e">
        <f ca="1">-IF(INDEX(SC_ZX_CodeA,ZXIDX1)="X", 0, MIN(BK71*MAX(INDEX(SC_ZX_Drawdown,ZXIDX2),0),BJ71))</f>
        <v>#REF!</v>
      </c>
      <c r="BM71" s="107" t="e">
        <f t="shared" ca="1" si="118"/>
        <v>#REF!</v>
      </c>
      <c r="BN71" s="113" t="e">
        <f t="shared" ca="1" si="119"/>
        <v>#REF!</v>
      </c>
      <c r="BO71" s="114" t="e">
        <f t="shared" ca="1" si="120"/>
        <v>#REF!</v>
      </c>
      <c r="BP71" s="114" t="e">
        <f ca="1">-($V71-IF(($P71+$R71+$S71)&gt;0,MAX($V71/($P71+$R71+$S71)*($Q71+$R71),$V71),0))*LT_InvestmentQDI</f>
        <v>#REF!</v>
      </c>
      <c r="BQ71" s="114" t="e">
        <f ca="1">-($V71-IF(($P71+$R71+$S71)&gt;0,MAX($V71/($P71+$R71+$S71)*($Q71+$R71),$V71),0))*(1-LT_InvestmentQDI)</f>
        <v>#REF!</v>
      </c>
      <c r="BR71" s="114" t="e">
        <f t="shared" ca="1" si="121"/>
        <v>#REF!</v>
      </c>
      <c r="BS71" s="114" t="e">
        <f t="shared" ca="1" si="122"/>
        <v>#REF!</v>
      </c>
      <c r="BT71" s="649"/>
      <c r="BU71" s="637"/>
      <c r="BV71" s="637"/>
      <c r="BW71" s="637"/>
      <c r="BX71" s="639"/>
      <c r="CO71" s="8"/>
    </row>
    <row r="72" spans="2:93" x14ac:dyDescent="0.25">
      <c r="B72" s="65">
        <f ca="1">B70+1</f>
        <v>2053</v>
      </c>
      <c r="C72" s="76" t="s">
        <v>741</v>
      </c>
      <c r="D72" s="146" t="str">
        <f t="shared" ref="D72:D103" si="137">INDEX(SP_Initials,F72)</f>
        <v/>
      </c>
      <c r="E72" s="77">
        <f t="shared" ref="E72:E135" si="138">INDEX(SC_TaxIndex,$F72)</f>
        <v>0</v>
      </c>
      <c r="F72" s="77">
        <f t="shared" si="18"/>
        <v>1</v>
      </c>
      <c r="G72" s="76">
        <f t="shared" ref="G72:G135" si="139">MOD($F72,2)-($F72-1)</f>
        <v>1</v>
      </c>
      <c r="H72" s="76">
        <f t="shared" ref="H72:H103" si="140">IF(INDEX(SC_ShowRetireatee,$F72),IF($B72&lt;YEAR(INDEX(SP_BirthDate,$F72)),0,$B72-YEAR(INDEX(SP_BirthDate,$F72))),0)</f>
        <v>0</v>
      </c>
      <c r="I72" s="77" t="b">
        <f t="shared" ref="I72:I103" si="141">IF(INDEX(SC_ShowRetireatee,$F72),IF($B72&gt;(YEAR(INDEX(SP_BirthDate,$F72))+INDEX(SP_LifeExp,$F72)),0,$H72))</f>
        <v>0</v>
      </c>
      <c r="J72" s="77"/>
      <c r="K72" s="77"/>
      <c r="L72" s="77"/>
      <c r="M72" s="77"/>
      <c r="N72" s="632">
        <f ca="1">YEAR(SP_TargetRD)-$B72</f>
        <v>-30</v>
      </c>
      <c r="O72" s="243" t="e">
        <f ca="1">LT_InvestmentStocks*INDEX(SP_EA_ARStocks,EAIDX)+LT_InvestmentBonds*INDEX(SC_EA_ARBonds,EAIDX)</f>
        <v>#REF!</v>
      </c>
      <c r="P72" s="634" t="e">
        <f ca="1">MAX(P70+R70+S70+V70+W70,0)</f>
        <v>#VALUE!</v>
      </c>
      <c r="Q72" s="617" t="e">
        <f t="shared" ref="Q72" ca="1" si="142">MAX(Q70+R70+IF((P70+R70+S70)&gt;0,MAX(V70/(P70+R70+S70)*(Q70+R70),V70),0),0)</f>
        <v>#VALUE!</v>
      </c>
      <c r="R72" s="617" t="e">
        <f ca="1">IF(SC_ZX_CodeA="X", 0, MAX(INDEX(SC_ZX_IncomeSurplus,ZXIDX2)+INDEX(SC_ZX_Debt,ZXIDX2),0))</f>
        <v>#VALUE!</v>
      </c>
      <c r="S72" s="617" t="e">
        <f ca="1">IF(SC_ZX_CodeA="X", 0, INDEX(SC_EX_RolloverCore,EXIDX))</f>
        <v>#VALUE!</v>
      </c>
      <c r="T72" s="617" t="e">
        <f ca="1">P72+R72+S72</f>
        <v>#VALUE!</v>
      </c>
      <c r="U72" s="642" t="e">
        <f ca="1">IF(SC_ZX_BalanceAccessibleA&gt;0, T72/SC_ZX_BalanceAccessibleA, 0)</f>
        <v>#VALUE!</v>
      </c>
      <c r="V72" s="617" t="e">
        <f ca="1">-IF(SC_ZX_CodeA="X",0,MIN(U72*MAX(INDEX(SC_ZX_Drawdown,ZXIDX2),0),T72))</f>
        <v>#VALUE!</v>
      </c>
      <c r="W72" s="618" t="e">
        <f ca="1">(P72+R72+S72+V72)*$O72</f>
        <v>#VALUE!</v>
      </c>
      <c r="X72" s="75" t="e">
        <f t="shared" ca="1" si="89"/>
        <v>#REF!</v>
      </c>
      <c r="Y72" s="70" t="e">
        <f t="shared" ca="1" si="90"/>
        <v>#REF!</v>
      </c>
      <c r="Z72" s="70" t="e">
        <f t="shared" ca="1" si="91"/>
        <v>#REF!</v>
      </c>
      <c r="AA72" s="70" t="e">
        <f t="shared" ca="1" si="92"/>
        <v>#REF!</v>
      </c>
      <c r="AB72" s="67" t="e">
        <f t="shared" ca="1" si="65"/>
        <v>#REF!</v>
      </c>
      <c r="AC72" s="70" t="e">
        <f ca="1">-IF(INDEX(SC_ZX_CodeA,ZXIDX1)="X", 0, MIN(AB72*MAX(INDEX(SC_ZX_Drawdown,ZXIDX2),0),AA72))</f>
        <v>#REF!</v>
      </c>
      <c r="AD72" s="109" t="e">
        <f t="shared" ca="1" si="93"/>
        <v>#REF!</v>
      </c>
      <c r="AE72" s="75" t="e">
        <f t="shared" ca="1" si="94"/>
        <v>#REF!</v>
      </c>
      <c r="AF72" s="70" t="e">
        <f t="shared" ca="1" si="95"/>
        <v>#REF!</v>
      </c>
      <c r="AG72" s="70" t="e">
        <f t="shared" ca="1" si="96"/>
        <v>#REF!</v>
      </c>
      <c r="AH72" s="70" t="e">
        <f t="shared" ca="1" si="97"/>
        <v>#REF!</v>
      </c>
      <c r="AI72" s="67" t="e">
        <f t="shared" ca="1" si="66"/>
        <v>#REF!</v>
      </c>
      <c r="AJ72" s="70" t="e">
        <f ca="1">-IF(INDEX(SC_ZX_CodeA,ZXIDX1)="X", 0, MIN(AI72*MAX(INDEX(SC_ZX_Drawdown,ZXIDX2),0),AH72))</f>
        <v>#REF!</v>
      </c>
      <c r="AK72" s="109" t="e">
        <f t="shared" ca="1" si="98"/>
        <v>#REF!</v>
      </c>
      <c r="AL72" s="75" t="e">
        <f t="shared" ca="1" si="99"/>
        <v>#REF!</v>
      </c>
      <c r="AM72" s="70" t="e">
        <f t="shared" ca="1" si="100"/>
        <v>#REF!</v>
      </c>
      <c r="AN72" s="70" t="e">
        <f t="shared" ca="1" si="101"/>
        <v>#REF!</v>
      </c>
      <c r="AO72" s="70" t="e">
        <f t="shared" ca="1" si="102"/>
        <v>#REF!</v>
      </c>
      <c r="AP72" s="67" t="e">
        <f t="shared" ca="1" si="67"/>
        <v>#REF!</v>
      </c>
      <c r="AQ72" s="70" t="e">
        <f ca="1">-IF(INDEX(SC_ZX_CodeA,ZXIDX1)="X", 0, MIN(AP72*MAX(INDEX(SC_ZX_Drawdown,ZXIDX2),0),AO72))</f>
        <v>#REF!</v>
      </c>
      <c r="AR72" s="109" t="e">
        <f t="shared" ca="1" si="103"/>
        <v>#REF!</v>
      </c>
      <c r="AS72" s="75" t="e">
        <f t="shared" ca="1" si="104"/>
        <v>#REF!</v>
      </c>
      <c r="AT72" s="70" t="e">
        <f t="shared" ca="1" si="105"/>
        <v>#REF!</v>
      </c>
      <c r="AU72" s="70" t="e">
        <f t="shared" ca="1" si="106"/>
        <v>#REF!</v>
      </c>
      <c r="AV72" s="70" t="e">
        <f t="shared" ca="1" si="107"/>
        <v>#REF!</v>
      </c>
      <c r="AW72" s="67" t="e">
        <f t="shared" ca="1" si="68"/>
        <v>#REF!</v>
      </c>
      <c r="AX72" s="70" t="e">
        <f ca="1">-IF(INDEX(SC_ZX_CodeA,ZXIDX1)="X", 0, MIN(AW72*MAX(INDEX(SC_ZX_Drawdown,ZXIDX2),0),AV72))</f>
        <v>#REF!</v>
      </c>
      <c r="AY72" s="109" t="e">
        <f t="shared" ca="1" si="108"/>
        <v>#REF!</v>
      </c>
      <c r="AZ72" s="75" t="e">
        <f t="shared" ca="1" si="109"/>
        <v>#REF!</v>
      </c>
      <c r="BA72" s="70" t="e">
        <f t="shared" ca="1" si="110"/>
        <v>#REF!</v>
      </c>
      <c r="BB72" s="70" t="e">
        <f t="shared" ca="1" si="111"/>
        <v>#REF!</v>
      </c>
      <c r="BC72" s="70" t="e">
        <f t="shared" ca="1" si="112"/>
        <v>#REF!</v>
      </c>
      <c r="BD72" s="67" t="e">
        <f t="shared" ca="1" si="69"/>
        <v>#REF!</v>
      </c>
      <c r="BE72" s="70" t="e">
        <f ca="1">-IF(INDEX(SC_ZX_CodeA,ZXIDX1)="X", 0, MIN(BD72*MAX(INDEX(SC_ZX_Drawdown,ZXIDX2),0),AZ72))</f>
        <v>#REF!</v>
      </c>
      <c r="BF72" s="109" t="e">
        <f t="shared" ca="1" si="113"/>
        <v>#REF!</v>
      </c>
      <c r="BG72" s="75" t="e">
        <f t="shared" ca="1" si="114"/>
        <v>#REF!</v>
      </c>
      <c r="BH72" s="70" t="e">
        <f t="shared" ca="1" si="115"/>
        <v>#REF!</v>
      </c>
      <c r="BI72" s="70" t="e">
        <f t="shared" ca="1" si="116"/>
        <v>#REF!</v>
      </c>
      <c r="BJ72" s="70" t="e">
        <f t="shared" ca="1" si="117"/>
        <v>#REF!</v>
      </c>
      <c r="BK72" s="67" t="e">
        <f t="shared" ca="1" si="70"/>
        <v>#REF!</v>
      </c>
      <c r="BL72" s="70" t="e">
        <f ca="1">-IF(INDEX(SC_ZX_CodeA,ZXIDX1)="X", 0, MIN(BK72*MAX(INDEX(SC_ZX_Drawdown,ZXIDX2),0),BJ72))</f>
        <v>#REF!</v>
      </c>
      <c r="BM72" s="70" t="e">
        <f t="shared" ca="1" si="118"/>
        <v>#REF!</v>
      </c>
      <c r="BN72" s="111" t="e">
        <f t="shared" ca="1" si="119"/>
        <v>#REF!</v>
      </c>
      <c r="BO72" s="112" t="e">
        <f t="shared" ca="1" si="120"/>
        <v>#REF!</v>
      </c>
      <c r="BP72" s="112" t="e">
        <f ca="1">-($V72-IF(($P72+$R72+$S72)&gt;0,MAX($V72/($P72+$R72+$S72)*($Q72+$R72),$V72),0))*LT_InvestmentQDI</f>
        <v>#VALUE!</v>
      </c>
      <c r="BQ72" s="112" t="e">
        <f ca="1">-($V72-IF(($P72+$R72+$S72)&gt;0,MAX($V72/($P72+$R72+$S72)*($Q72+$R72),$V72),0))*(1-LT_InvestmentQDI)</f>
        <v>#VALUE!</v>
      </c>
      <c r="BR72" s="112" t="e">
        <f t="shared" ca="1" si="121"/>
        <v>#VALUE!</v>
      </c>
      <c r="BS72" s="112" t="e">
        <f t="shared" ca="1" si="122"/>
        <v>#VALUE!</v>
      </c>
      <c r="BT72" s="634" t="e">
        <f ca="1">SUMPRODUCT($BN72:$BN73+$BO72:$BO73, --($E72:$E73&lt;&gt;0))</f>
        <v>#REF!</v>
      </c>
      <c r="BU72" s="617" t="e">
        <f ca="1">SUMPRODUCT($BR72:$BR73+$BS72:$BS73, --($E72:$E73&lt;&gt;0))</f>
        <v>#VALUE!</v>
      </c>
      <c r="BV72" s="617" t="e">
        <f ca="1">$T72+SUMPRODUCT($AA72:$AA73+$AH72:$AH73+$AO72:$AO73+$AV72:$AV73+$BC72:$BC73+$BJ72:$BJ73, --($E72:$E73&lt;&gt;0))</f>
        <v>#VALUE!</v>
      </c>
      <c r="BW72" s="617" t="e">
        <f ca="1">MAX($P72-$Q72,0)+SUMPRODUCT($X72:$X73+$AL72:$AL73+$AZ72:$AZ73, --($E72:$E73&lt;&gt;0))</f>
        <v>#VALUE!</v>
      </c>
      <c r="BX72" s="618" t="e">
        <f ca="1">MIN($P72,$Q72)+SUMPRODUCT($AE72:$AE73+$AS72:$AS73+$BG72:$BG73, --($E72:$E73&lt;&gt;0))</f>
        <v>#VALUE!</v>
      </c>
      <c r="CO72" s="8"/>
    </row>
    <row r="73" spans="2:93" x14ac:dyDescent="0.25">
      <c r="B73" s="86">
        <f t="shared" ca="1" si="59"/>
        <v>2053</v>
      </c>
      <c r="C73" s="80" t="s">
        <v>741</v>
      </c>
      <c r="D73" s="147" t="str">
        <f t="shared" si="137"/>
        <v/>
      </c>
      <c r="E73" s="81">
        <f t="shared" si="138"/>
        <v>0</v>
      </c>
      <c r="F73" s="81">
        <f t="shared" ref="F73:F136" si="143">MOD(ROW(),2)+1</f>
        <v>2</v>
      </c>
      <c r="G73" s="82">
        <f t="shared" si="139"/>
        <v>-1</v>
      </c>
      <c r="H73" s="82">
        <f t="shared" si="140"/>
        <v>0</v>
      </c>
      <c r="I73" s="81" t="b">
        <f t="shared" si="141"/>
        <v>0</v>
      </c>
      <c r="J73" s="81"/>
      <c r="K73" s="81"/>
      <c r="L73" s="81"/>
      <c r="M73" s="81"/>
      <c r="N73" s="633"/>
      <c r="O73" s="243" t="e">
        <f ca="1">LT_InvestmentStocks*INDEX(SP_EA_ARStocks,EAIDX)+LT_InvestmentBonds*INDEX(SC_EA_ARBonds,EAIDX)</f>
        <v>#REF!</v>
      </c>
      <c r="P73" s="634"/>
      <c r="Q73" s="617"/>
      <c r="R73" s="617"/>
      <c r="S73" s="617"/>
      <c r="T73" s="617"/>
      <c r="U73" s="643"/>
      <c r="V73" s="617"/>
      <c r="W73" s="639"/>
      <c r="X73" s="106" t="e">
        <f t="shared" ca="1" si="89"/>
        <v>#REF!</v>
      </c>
      <c r="Y73" s="107" t="e">
        <f t="shared" ca="1" si="90"/>
        <v>#REF!</v>
      </c>
      <c r="Z73" s="107" t="e">
        <f t="shared" ca="1" si="91"/>
        <v>#REF!</v>
      </c>
      <c r="AA73" s="107" t="e">
        <f t="shared" ca="1" si="92"/>
        <v>#REF!</v>
      </c>
      <c r="AB73" s="91" t="e">
        <f t="shared" ca="1" si="65"/>
        <v>#REF!</v>
      </c>
      <c r="AC73" s="107" t="e">
        <f ca="1">-IF(INDEX(SC_ZX_CodeA,ZXIDX1)="X", 0, MIN(AB73*MAX(INDEX(SC_ZX_Drawdown,ZXIDX2),0),AA73))</f>
        <v>#REF!</v>
      </c>
      <c r="AD73" s="110" t="e">
        <f t="shared" ca="1" si="93"/>
        <v>#REF!</v>
      </c>
      <c r="AE73" s="106" t="e">
        <f t="shared" ca="1" si="94"/>
        <v>#REF!</v>
      </c>
      <c r="AF73" s="107" t="e">
        <f t="shared" ca="1" si="95"/>
        <v>#REF!</v>
      </c>
      <c r="AG73" s="107" t="e">
        <f t="shared" ca="1" si="96"/>
        <v>#REF!</v>
      </c>
      <c r="AH73" s="107" t="e">
        <f t="shared" ca="1" si="97"/>
        <v>#REF!</v>
      </c>
      <c r="AI73" s="91" t="e">
        <f t="shared" ca="1" si="66"/>
        <v>#REF!</v>
      </c>
      <c r="AJ73" s="107" t="e">
        <f ca="1">-IF(INDEX(SC_ZX_CodeA,ZXIDX1)="X", 0, MIN(AI73*MAX(INDEX(SC_ZX_Drawdown,ZXIDX2),0),AH73))</f>
        <v>#REF!</v>
      </c>
      <c r="AK73" s="110" t="e">
        <f t="shared" ca="1" si="98"/>
        <v>#REF!</v>
      </c>
      <c r="AL73" s="106" t="e">
        <f t="shared" ca="1" si="99"/>
        <v>#REF!</v>
      </c>
      <c r="AM73" s="107" t="e">
        <f t="shared" ca="1" si="100"/>
        <v>#REF!</v>
      </c>
      <c r="AN73" s="107" t="e">
        <f t="shared" ca="1" si="101"/>
        <v>#REF!</v>
      </c>
      <c r="AO73" s="107" t="e">
        <f t="shared" ca="1" si="102"/>
        <v>#REF!</v>
      </c>
      <c r="AP73" s="91" t="e">
        <f t="shared" ca="1" si="67"/>
        <v>#REF!</v>
      </c>
      <c r="AQ73" s="107" t="e">
        <f ca="1">-IF(INDEX(SC_ZX_CodeA,ZXIDX1)="X", 0, MIN(AP73*MAX(INDEX(SC_ZX_Drawdown,ZXIDX2),0),AO73))</f>
        <v>#REF!</v>
      </c>
      <c r="AR73" s="110" t="e">
        <f t="shared" ca="1" si="103"/>
        <v>#REF!</v>
      </c>
      <c r="AS73" s="106" t="e">
        <f t="shared" ca="1" si="104"/>
        <v>#REF!</v>
      </c>
      <c r="AT73" s="107" t="e">
        <f t="shared" ca="1" si="105"/>
        <v>#REF!</v>
      </c>
      <c r="AU73" s="107" t="e">
        <f t="shared" ca="1" si="106"/>
        <v>#REF!</v>
      </c>
      <c r="AV73" s="107" t="e">
        <f t="shared" ca="1" si="107"/>
        <v>#REF!</v>
      </c>
      <c r="AW73" s="91" t="e">
        <f t="shared" ca="1" si="68"/>
        <v>#REF!</v>
      </c>
      <c r="AX73" s="107" t="e">
        <f ca="1">-IF(INDEX(SC_ZX_CodeA,ZXIDX1)="X", 0, MIN(AW73*MAX(INDEX(SC_ZX_Drawdown,ZXIDX2),0),AV73))</f>
        <v>#REF!</v>
      </c>
      <c r="AY73" s="110" t="e">
        <f t="shared" ca="1" si="108"/>
        <v>#REF!</v>
      </c>
      <c r="AZ73" s="106" t="e">
        <f t="shared" ca="1" si="109"/>
        <v>#REF!</v>
      </c>
      <c r="BA73" s="107" t="e">
        <f t="shared" ca="1" si="110"/>
        <v>#REF!</v>
      </c>
      <c r="BB73" s="107" t="e">
        <f t="shared" ca="1" si="111"/>
        <v>#REF!</v>
      </c>
      <c r="BC73" s="107" t="e">
        <f t="shared" ca="1" si="112"/>
        <v>#REF!</v>
      </c>
      <c r="BD73" s="91" t="e">
        <f t="shared" ca="1" si="69"/>
        <v>#REF!</v>
      </c>
      <c r="BE73" s="107" t="e">
        <f ca="1">-IF(INDEX(SC_ZX_CodeA,ZXIDX1)="X", 0, MIN(BD73*MAX(INDEX(SC_ZX_Drawdown,ZXIDX2),0),AZ73))</f>
        <v>#REF!</v>
      </c>
      <c r="BF73" s="110" t="e">
        <f t="shared" ca="1" si="113"/>
        <v>#REF!</v>
      </c>
      <c r="BG73" s="106" t="e">
        <f t="shared" ca="1" si="114"/>
        <v>#REF!</v>
      </c>
      <c r="BH73" s="107" t="e">
        <f t="shared" ca="1" si="115"/>
        <v>#REF!</v>
      </c>
      <c r="BI73" s="107" t="e">
        <f t="shared" ca="1" si="116"/>
        <v>#REF!</v>
      </c>
      <c r="BJ73" s="107" t="e">
        <f t="shared" ca="1" si="117"/>
        <v>#REF!</v>
      </c>
      <c r="BK73" s="91" t="e">
        <f t="shared" ca="1" si="70"/>
        <v>#REF!</v>
      </c>
      <c r="BL73" s="107" t="e">
        <f ca="1">-IF(INDEX(SC_ZX_CodeA,ZXIDX1)="X", 0, MIN(BK73*MAX(INDEX(SC_ZX_Drawdown,ZXIDX2),0),BJ73))</f>
        <v>#REF!</v>
      </c>
      <c r="BM73" s="107" t="e">
        <f t="shared" ca="1" si="118"/>
        <v>#REF!</v>
      </c>
      <c r="BN73" s="113" t="e">
        <f t="shared" ca="1" si="119"/>
        <v>#REF!</v>
      </c>
      <c r="BO73" s="114" t="e">
        <f t="shared" ca="1" si="120"/>
        <v>#REF!</v>
      </c>
      <c r="BP73" s="114" t="e">
        <f ca="1">-($V73-IF(($P73+$R73+$S73)&gt;0,MAX($V73/($P73+$R73+$S73)*($Q73+$R73),$V73),0))*LT_InvestmentQDI</f>
        <v>#REF!</v>
      </c>
      <c r="BQ73" s="114" t="e">
        <f ca="1">-($V73-IF(($P73+$R73+$S73)&gt;0,MAX($V73/($P73+$R73+$S73)*($Q73+$R73),$V73),0))*(1-LT_InvestmentQDI)</f>
        <v>#REF!</v>
      </c>
      <c r="BR73" s="114" t="e">
        <f t="shared" ca="1" si="121"/>
        <v>#REF!</v>
      </c>
      <c r="BS73" s="114" t="e">
        <f t="shared" ca="1" si="122"/>
        <v>#REF!</v>
      </c>
      <c r="BT73" s="649"/>
      <c r="BU73" s="637"/>
      <c r="BV73" s="637"/>
      <c r="BW73" s="637"/>
      <c r="BX73" s="639"/>
      <c r="CO73" s="8"/>
    </row>
    <row r="74" spans="2:93" x14ac:dyDescent="0.25">
      <c r="B74" s="65">
        <f ca="1">B72+1</f>
        <v>2054</v>
      </c>
      <c r="C74" s="76" t="s">
        <v>741</v>
      </c>
      <c r="D74" s="146" t="str">
        <f t="shared" si="137"/>
        <v/>
      </c>
      <c r="E74" s="77">
        <f t="shared" si="138"/>
        <v>0</v>
      </c>
      <c r="F74" s="77">
        <f t="shared" si="143"/>
        <v>1</v>
      </c>
      <c r="G74" s="76">
        <f t="shared" si="139"/>
        <v>1</v>
      </c>
      <c r="H74" s="76">
        <f t="shared" si="140"/>
        <v>0</v>
      </c>
      <c r="I74" s="77" t="b">
        <f t="shared" si="141"/>
        <v>0</v>
      </c>
      <c r="J74" s="77"/>
      <c r="K74" s="77"/>
      <c r="L74" s="77"/>
      <c r="M74" s="77"/>
      <c r="N74" s="632">
        <f ca="1">YEAR(SP_TargetRD)-$B74</f>
        <v>-31</v>
      </c>
      <c r="O74" s="243" t="e">
        <f ca="1">LT_InvestmentStocks*INDEX(SP_EA_ARStocks,EAIDX)+LT_InvestmentBonds*INDEX(SC_EA_ARBonds,EAIDX)</f>
        <v>#REF!</v>
      </c>
      <c r="P74" s="634" t="e">
        <f ca="1">MAX(P72+R72+S72+V72+W72,0)</f>
        <v>#VALUE!</v>
      </c>
      <c r="Q74" s="617" t="e">
        <f t="shared" ref="Q74" ca="1" si="144">MAX(Q72+R72+IF((P72+R72+S72)&gt;0,MAX(V72/(P72+R72+S72)*(Q72+R72),V72),0),0)</f>
        <v>#VALUE!</v>
      </c>
      <c r="R74" s="617" t="e">
        <f ca="1">IF(SC_ZX_CodeA="X", 0, MAX(INDEX(SC_ZX_IncomeSurplus,ZXIDX2)+INDEX(SC_ZX_Debt,ZXIDX2),0))</f>
        <v>#VALUE!</v>
      </c>
      <c r="S74" s="617" t="e">
        <f ca="1">IF(SC_ZX_CodeA="X", 0, INDEX(SC_EX_RolloverCore,EXIDX))</f>
        <v>#VALUE!</v>
      </c>
      <c r="T74" s="617" t="e">
        <f ca="1">P74+R74+S74</f>
        <v>#VALUE!</v>
      </c>
      <c r="U74" s="642" t="e">
        <f ca="1">IF(SC_ZX_BalanceAccessibleA&gt;0, T74/SC_ZX_BalanceAccessibleA, 0)</f>
        <v>#VALUE!</v>
      </c>
      <c r="V74" s="617" t="e">
        <f ca="1">-IF(SC_ZX_CodeA="X",0,MIN(U74*MAX(INDEX(SC_ZX_Drawdown,ZXIDX2),0),T74))</f>
        <v>#VALUE!</v>
      </c>
      <c r="W74" s="618" t="e">
        <f ca="1">(P74+R74+S74+V74)*$O74</f>
        <v>#VALUE!</v>
      </c>
      <c r="X74" s="75" t="e">
        <f t="shared" ref="X74:X105" ca="1" si="145">MAX(X72+Y72+Z72+AC72+AD72,0)</f>
        <v>#REF!</v>
      </c>
      <c r="Y74" s="70" t="e">
        <f t="shared" ref="Y74:Y105" ca="1" si="146">MAX(INDEX(SC_EX_IncomeEmployer,EXIDX)*INDEX(SP_401KContrib,$F74),0)</f>
        <v>#REF!</v>
      </c>
      <c r="Z74" s="70" t="e">
        <f t="shared" ref="Z74:Z105" ca="1" si="147">MAX(INDEX(SC_EX_IncomeEmployer,EXIDX)*INDEX(SP_401KMatch,$F74),0)</f>
        <v>#REF!</v>
      </c>
      <c r="AA74" s="70" t="e">
        <f t="shared" ref="AA74:AA105" ca="1" si="148">(X74+Y74+Z74)*IF($H74&gt;=INDEX(SP_401KDistribAge,$F74),1,0)</f>
        <v>#REF!</v>
      </c>
      <c r="AB74" s="67" t="e">
        <f t="shared" ca="1" si="65"/>
        <v>#REF!</v>
      </c>
      <c r="AC74" s="70" t="e">
        <f ca="1">-IF(INDEX(SC_ZX_CodeA,ZXIDX1)="X", 0, MIN(AB74*MAX(INDEX(SC_ZX_Drawdown,ZXIDX2),0),AA74))</f>
        <v>#REF!</v>
      </c>
      <c r="AD74" s="109" t="e">
        <f t="shared" ref="AD74:AD105" ca="1" si="149">(X74+Y74+Z74+AC74)*$O74</f>
        <v>#REF!</v>
      </c>
      <c r="AE74" s="75" t="e">
        <f t="shared" ref="AE74:AE105" ca="1" si="150">MAX(AE72+AG72+AJ72+AK72,0)</f>
        <v>#REF!</v>
      </c>
      <c r="AF74" s="70" t="e">
        <f t="shared" ref="AF74:AF105" ca="1" si="151">MAX(AF72+AG72+AJ72,0)</f>
        <v>#REF!</v>
      </c>
      <c r="AG74" s="70" t="e">
        <f t="shared" ref="AG74:AG105" ca="1" si="152">MAX(INDEX(SC_EX_IncomeEmployer, EXIDX)*INDEX(SP_Roth401KContrib,$F74),0)</f>
        <v>#REF!</v>
      </c>
      <c r="AH74" s="70" t="e">
        <f t="shared" ref="AH74:AH105" ca="1" si="153">(AE74+AG74)*IF($H74&gt;=INDEX(SP_401KDistribAge,$F74),1,0)</f>
        <v>#REF!</v>
      </c>
      <c r="AI74" s="67" t="e">
        <f t="shared" ca="1" si="66"/>
        <v>#REF!</v>
      </c>
      <c r="AJ74" s="70" t="e">
        <f ca="1">-IF(INDEX(SC_ZX_CodeA,ZXIDX1)="X", 0, MIN(AI74*MAX(INDEX(SC_ZX_Drawdown,ZXIDX2),0),AH74))</f>
        <v>#REF!</v>
      </c>
      <c r="AK74" s="109" t="e">
        <f t="shared" ref="AK74:AK105" ca="1" si="154">(AE74+AG74+AJ74)*$O74</f>
        <v>#REF!</v>
      </c>
      <c r="AL74" s="75" t="e">
        <f t="shared" ref="AL74:AL105" ca="1" si="155">MAX(AL72+AM72+AN72+AQ72+AR72,0)</f>
        <v>#REF!</v>
      </c>
      <c r="AM74" s="70" t="e">
        <f t="shared" ref="AM74:AM105" ca="1" si="156">MAX(INDEX(SC_EX_IncomeSE,EXIDX)*INDEX(SP_Solo401KContrib,$F74),0)</f>
        <v>#REF!</v>
      </c>
      <c r="AN74" s="70" t="e">
        <f t="shared" ref="AN74:AN105" ca="1" si="157">MAX(INDEX(SC_EX_IncomeSE,EXIDX)*INDEX(SP_Solo401KMatch,$F74),0)</f>
        <v>#REF!</v>
      </c>
      <c r="AO74" s="70" t="e">
        <f t="shared" ref="AO74:AO105" ca="1" si="158">(AL74+AM74+AN74)*IF($H74&gt;=INDEX(SP_Solo401KDistribAge,$F74),1,0)</f>
        <v>#REF!</v>
      </c>
      <c r="AP74" s="67" t="e">
        <f t="shared" ca="1" si="67"/>
        <v>#REF!</v>
      </c>
      <c r="AQ74" s="70" t="e">
        <f ca="1">-IF(INDEX(SC_ZX_CodeA,ZXIDX1)="X", 0, MIN(AP74*MAX(INDEX(SC_ZX_Drawdown,ZXIDX2),0),AO74))</f>
        <v>#REF!</v>
      </c>
      <c r="AR74" s="109" t="e">
        <f t="shared" ref="AR74:AR105" ca="1" si="159">(AL74+AM74+AN74+AQ74)*$O74</f>
        <v>#REF!</v>
      </c>
      <c r="AS74" s="75" t="e">
        <f t="shared" ref="AS74:AS105" ca="1" si="160">MAX(AS72+AU72+AX72+AY72,0)</f>
        <v>#REF!</v>
      </c>
      <c r="AT74" s="70" t="e">
        <f t="shared" ref="AT74:AT105" ca="1" si="161">MAX(AT72+AU72+AX72,0)</f>
        <v>#REF!</v>
      </c>
      <c r="AU74" s="70" t="e">
        <f t="shared" ref="AU74:AU105" ca="1" si="162">MAX(INDEX(SC_EX_IncomeSE, EXIDX)*INDEX(SP_RothSolo401KContrib,$F74),0)</f>
        <v>#REF!</v>
      </c>
      <c r="AV74" s="70" t="e">
        <f t="shared" ref="AV74:AV105" ca="1" si="163">(AS74+AU74)*IF($H74&gt;=INDEX(SP_401KDistribAge,$F74),1,0)</f>
        <v>#REF!</v>
      </c>
      <c r="AW74" s="67" t="e">
        <f t="shared" ca="1" si="68"/>
        <v>#REF!</v>
      </c>
      <c r="AX74" s="70" t="e">
        <f ca="1">-IF(INDEX(SC_ZX_CodeA,ZXIDX1)="X", 0, MIN(AW74*MAX(INDEX(SC_ZX_Drawdown,ZXIDX2),0),AV74))</f>
        <v>#REF!</v>
      </c>
      <c r="AY74" s="109" t="e">
        <f t="shared" ref="AY74:AY105" ca="1" si="164">(AS74+AU74+AX74)*$O74</f>
        <v>#REF!</v>
      </c>
      <c r="AZ74" s="75" t="e">
        <f t="shared" ref="AZ74:AZ105" ca="1" si="165">MAX(AZ72+BA72+BB72+BE72+BF72,0)</f>
        <v>#REF!</v>
      </c>
      <c r="BA74" s="70" t="e">
        <f t="shared" ref="BA74:BA105" ca="1" si="166">MAX(INDEX(SP_IRAContrib,$F74)/INDEX(SC_EA_InflationWageIdx, EAIDX)*ABS(INDEX(SC_EX_APW, EXIDX)),0)</f>
        <v>#REF!</v>
      </c>
      <c r="BB74" s="70" t="e">
        <f t="shared" ref="BB74:BB105" ca="1" si="167">MAX(INDEX(SP_IRASpousalContrib, OFFSET($F74,$G74,0))/INDEX(SC_EA_InflationWageIdx, EAIDX)*ABS(INDEX(SC_EX_APW, EXIDX)),0)</f>
        <v>#REF!</v>
      </c>
      <c r="BC74" s="70" t="e">
        <f t="shared" ref="BC74:BC105" ca="1" si="168">(AZ74+BA74+BB74)*IF($H74&gt;=INDEX(SP_IRADistribAge,$F74),1,0)</f>
        <v>#REF!</v>
      </c>
      <c r="BD74" s="67" t="e">
        <f t="shared" ca="1" si="69"/>
        <v>#REF!</v>
      </c>
      <c r="BE74" s="70" t="e">
        <f ca="1">-IF(INDEX(SC_ZX_CodeA,ZXIDX1)="X", 0, MIN(BD74*MAX(INDEX(SC_ZX_Drawdown,ZXIDX2),0),AZ74))</f>
        <v>#REF!</v>
      </c>
      <c r="BF74" s="109" t="e">
        <f t="shared" ref="BF74:BF105" ca="1" si="169">(AZ74+BA74+BB74+BE74)*$O74</f>
        <v>#REF!</v>
      </c>
      <c r="BG74" s="75" t="e">
        <f t="shared" ref="BG74:BG105" ca="1" si="170">MAX(BG72+BI72+BL72+BM72,0)</f>
        <v>#REF!</v>
      </c>
      <c r="BH74" s="70" t="e">
        <f t="shared" ref="BH74:BH105" ca="1" si="171">MAX(BH72+BI72+BL72,0)</f>
        <v>#REF!</v>
      </c>
      <c r="BI74" s="70" t="e">
        <f t="shared" ref="BI74:BI105" ca="1" si="172">MAX(INDEX(SP_RothIRAContrib,$F74)/INDEX(SC_EA_InflationWageIdx, EAIDX)*ABS(INDEX(SC_EX_APW, EXIDX)),0)</f>
        <v>#REF!</v>
      </c>
      <c r="BJ74" s="70" t="e">
        <f t="shared" ref="BJ74:BJ105" ca="1" si="173">IF($H74&gt;=INDEX(SP_IRADistribAge,$F74),BG74+BI74,MIN(BG74+BI74,BH74+BI74))</f>
        <v>#REF!</v>
      </c>
      <c r="BK74" s="67" t="e">
        <f t="shared" ca="1" si="70"/>
        <v>#REF!</v>
      </c>
      <c r="BL74" s="70" t="e">
        <f ca="1">-IF(INDEX(SC_ZX_CodeA,ZXIDX1)="X", 0, MIN(BK74*MAX(INDEX(SC_ZX_Drawdown,ZXIDX2),0),BJ74))</f>
        <v>#REF!</v>
      </c>
      <c r="BM74" s="70" t="e">
        <f t="shared" ref="BM74:BM105" ca="1" si="174">(BG74+BI74+BL74)*$O74</f>
        <v>#REF!</v>
      </c>
      <c r="BN74" s="111" t="e">
        <f t="shared" ref="BN74:BN105" ca="1" si="175">-(Y74+AM74+BA74)-OFFSET(BB74,$G74,0)</f>
        <v>#REF!</v>
      </c>
      <c r="BO74" s="112" t="e">
        <f t="shared" ref="BO74:BO105" ca="1" si="176">-(AG74+AU74+BI74)</f>
        <v>#REF!</v>
      </c>
      <c r="BP74" s="112" t="e">
        <f ca="1">-($V74-IF(($P74+$R74+$S74)&gt;0,MAX($V74/($P74+$R74+$S74)*($Q74+$R74),$V74),0))*LT_InvestmentQDI</f>
        <v>#VALUE!</v>
      </c>
      <c r="BQ74" s="112" t="e">
        <f ca="1">-($V74-IF(($P74+$R74+$S74)&gt;0,MAX($V74/($P74+$R74+$S74)*($Q74+$R74),$V74),0))*(1-LT_InvestmentQDI)</f>
        <v>#VALUE!</v>
      </c>
      <c r="BR74" s="112" t="e">
        <f t="shared" ref="BR74:BR105" ca="1" si="177">BP74+BQ74-AC74-AQ74-BE74</f>
        <v>#VALUE!</v>
      </c>
      <c r="BS74" s="112" t="e">
        <f t="shared" ref="BS74:BS105" ca="1" si="178">-V74-BP74-BQ74-AJ74-AX74-BL74</f>
        <v>#VALUE!</v>
      </c>
      <c r="BT74" s="634" t="e">
        <f ca="1">SUMPRODUCT($BN74:$BN75+$BO74:$BO75, --($E74:$E75&lt;&gt;0))</f>
        <v>#REF!</v>
      </c>
      <c r="BU74" s="617" t="e">
        <f ca="1">SUMPRODUCT($BR74:$BR75+$BS74:$BS75, --($E74:$E75&lt;&gt;0))</f>
        <v>#VALUE!</v>
      </c>
      <c r="BV74" s="617" t="e">
        <f ca="1">$T74+SUMPRODUCT($AA74:$AA75+$AH74:$AH75+$AO74:$AO75+$AV74:$AV75+$BC74:$BC75+$BJ74:$BJ75, --($E74:$E75&lt;&gt;0))</f>
        <v>#VALUE!</v>
      </c>
      <c r="BW74" s="617" t="e">
        <f ca="1">MAX($P74-$Q74,0)+SUMPRODUCT($X74:$X75+$AL74:$AL75+$AZ74:$AZ75, --($E74:$E75&lt;&gt;0))</f>
        <v>#VALUE!</v>
      </c>
      <c r="BX74" s="618" t="e">
        <f ca="1">MIN($P74,$Q74)+SUMPRODUCT($AE74:$AE75+$AS74:$AS75+$BG74:$BG75, --($E74:$E75&lt;&gt;0))</f>
        <v>#VALUE!</v>
      </c>
      <c r="CO74" s="8"/>
    </row>
    <row r="75" spans="2:93" x14ac:dyDescent="0.25">
      <c r="B75" s="86">
        <f t="shared" ref="B75:B137" ca="1" si="179">B73+1</f>
        <v>2054</v>
      </c>
      <c r="C75" s="80" t="s">
        <v>741</v>
      </c>
      <c r="D75" s="147" t="str">
        <f t="shared" si="137"/>
        <v/>
      </c>
      <c r="E75" s="81">
        <f t="shared" si="138"/>
        <v>0</v>
      </c>
      <c r="F75" s="81">
        <f t="shared" si="143"/>
        <v>2</v>
      </c>
      <c r="G75" s="82">
        <f t="shared" si="139"/>
        <v>-1</v>
      </c>
      <c r="H75" s="82">
        <f t="shared" si="140"/>
        <v>0</v>
      </c>
      <c r="I75" s="81" t="b">
        <f t="shared" si="141"/>
        <v>0</v>
      </c>
      <c r="J75" s="81"/>
      <c r="K75" s="81"/>
      <c r="L75" s="81"/>
      <c r="M75" s="81"/>
      <c r="N75" s="633"/>
      <c r="O75" s="243" t="e">
        <f ca="1">LT_InvestmentStocks*INDEX(SP_EA_ARStocks,EAIDX)+LT_InvestmentBonds*INDEX(SC_EA_ARBonds,EAIDX)</f>
        <v>#REF!</v>
      </c>
      <c r="P75" s="634"/>
      <c r="Q75" s="617"/>
      <c r="R75" s="617"/>
      <c r="S75" s="617"/>
      <c r="T75" s="617"/>
      <c r="U75" s="643"/>
      <c r="V75" s="617"/>
      <c r="W75" s="639"/>
      <c r="X75" s="106" t="e">
        <f t="shared" ca="1" si="145"/>
        <v>#REF!</v>
      </c>
      <c r="Y75" s="107" t="e">
        <f t="shared" ca="1" si="146"/>
        <v>#REF!</v>
      </c>
      <c r="Z75" s="107" t="e">
        <f t="shared" ca="1" si="147"/>
        <v>#REF!</v>
      </c>
      <c r="AA75" s="107" t="e">
        <f t="shared" ca="1" si="148"/>
        <v>#REF!</v>
      </c>
      <c r="AB75" s="91" t="e">
        <f t="shared" ca="1" si="65"/>
        <v>#REF!</v>
      </c>
      <c r="AC75" s="107" t="e">
        <f ca="1">-IF(INDEX(SC_ZX_CodeA,ZXIDX1)="X", 0, MIN(AB75*MAX(INDEX(SC_ZX_Drawdown,ZXIDX2),0),AA75))</f>
        <v>#REF!</v>
      </c>
      <c r="AD75" s="110" t="e">
        <f t="shared" ca="1" si="149"/>
        <v>#REF!</v>
      </c>
      <c r="AE75" s="106" t="e">
        <f t="shared" ca="1" si="150"/>
        <v>#REF!</v>
      </c>
      <c r="AF75" s="107" t="e">
        <f t="shared" ca="1" si="151"/>
        <v>#REF!</v>
      </c>
      <c r="AG75" s="107" t="e">
        <f t="shared" ca="1" si="152"/>
        <v>#REF!</v>
      </c>
      <c r="AH75" s="107" t="e">
        <f t="shared" ca="1" si="153"/>
        <v>#REF!</v>
      </c>
      <c r="AI75" s="91" t="e">
        <f t="shared" ca="1" si="66"/>
        <v>#REF!</v>
      </c>
      <c r="AJ75" s="107" t="e">
        <f ca="1">-IF(INDEX(SC_ZX_CodeA,ZXIDX1)="X", 0, MIN(AI75*MAX(INDEX(SC_ZX_Drawdown,ZXIDX2),0),AH75))</f>
        <v>#REF!</v>
      </c>
      <c r="AK75" s="110" t="e">
        <f t="shared" ca="1" si="154"/>
        <v>#REF!</v>
      </c>
      <c r="AL75" s="106" t="e">
        <f t="shared" ca="1" si="155"/>
        <v>#REF!</v>
      </c>
      <c r="AM75" s="107" t="e">
        <f t="shared" ca="1" si="156"/>
        <v>#REF!</v>
      </c>
      <c r="AN75" s="107" t="e">
        <f t="shared" ca="1" si="157"/>
        <v>#REF!</v>
      </c>
      <c r="AO75" s="107" t="e">
        <f t="shared" ca="1" si="158"/>
        <v>#REF!</v>
      </c>
      <c r="AP75" s="91" t="e">
        <f t="shared" ca="1" si="67"/>
        <v>#REF!</v>
      </c>
      <c r="AQ75" s="107" t="e">
        <f ca="1">-IF(INDEX(SC_ZX_CodeA,ZXIDX1)="X", 0, MIN(AP75*MAX(INDEX(SC_ZX_Drawdown,ZXIDX2),0),AO75))</f>
        <v>#REF!</v>
      </c>
      <c r="AR75" s="110" t="e">
        <f t="shared" ca="1" si="159"/>
        <v>#REF!</v>
      </c>
      <c r="AS75" s="106" t="e">
        <f t="shared" ca="1" si="160"/>
        <v>#REF!</v>
      </c>
      <c r="AT75" s="107" t="e">
        <f t="shared" ca="1" si="161"/>
        <v>#REF!</v>
      </c>
      <c r="AU75" s="107" t="e">
        <f t="shared" ca="1" si="162"/>
        <v>#REF!</v>
      </c>
      <c r="AV75" s="107" t="e">
        <f t="shared" ca="1" si="163"/>
        <v>#REF!</v>
      </c>
      <c r="AW75" s="91" t="e">
        <f t="shared" ca="1" si="68"/>
        <v>#REF!</v>
      </c>
      <c r="AX75" s="107" t="e">
        <f ca="1">-IF(INDEX(SC_ZX_CodeA,ZXIDX1)="X", 0, MIN(AW75*MAX(INDEX(SC_ZX_Drawdown,ZXIDX2),0),AV75))</f>
        <v>#REF!</v>
      </c>
      <c r="AY75" s="110" t="e">
        <f t="shared" ca="1" si="164"/>
        <v>#REF!</v>
      </c>
      <c r="AZ75" s="106" t="e">
        <f t="shared" ca="1" si="165"/>
        <v>#REF!</v>
      </c>
      <c r="BA75" s="107" t="e">
        <f t="shared" ca="1" si="166"/>
        <v>#REF!</v>
      </c>
      <c r="BB75" s="107" t="e">
        <f t="shared" ca="1" si="167"/>
        <v>#REF!</v>
      </c>
      <c r="BC75" s="107" t="e">
        <f t="shared" ca="1" si="168"/>
        <v>#REF!</v>
      </c>
      <c r="BD75" s="91" t="e">
        <f t="shared" ca="1" si="69"/>
        <v>#REF!</v>
      </c>
      <c r="BE75" s="107" t="e">
        <f ca="1">-IF(INDEX(SC_ZX_CodeA,ZXIDX1)="X", 0, MIN(BD75*MAX(INDEX(SC_ZX_Drawdown,ZXIDX2),0),AZ75))</f>
        <v>#REF!</v>
      </c>
      <c r="BF75" s="110" t="e">
        <f t="shared" ca="1" si="169"/>
        <v>#REF!</v>
      </c>
      <c r="BG75" s="106" t="e">
        <f t="shared" ca="1" si="170"/>
        <v>#REF!</v>
      </c>
      <c r="BH75" s="107" t="e">
        <f t="shared" ca="1" si="171"/>
        <v>#REF!</v>
      </c>
      <c r="BI75" s="107" t="e">
        <f t="shared" ca="1" si="172"/>
        <v>#REF!</v>
      </c>
      <c r="BJ75" s="107" t="e">
        <f t="shared" ca="1" si="173"/>
        <v>#REF!</v>
      </c>
      <c r="BK75" s="91" t="e">
        <f t="shared" ca="1" si="70"/>
        <v>#REF!</v>
      </c>
      <c r="BL75" s="107" t="e">
        <f ca="1">-IF(INDEX(SC_ZX_CodeA,ZXIDX1)="X", 0, MIN(BK75*MAX(INDEX(SC_ZX_Drawdown,ZXIDX2),0),BJ75))</f>
        <v>#REF!</v>
      </c>
      <c r="BM75" s="107" t="e">
        <f t="shared" ca="1" si="174"/>
        <v>#REF!</v>
      </c>
      <c r="BN75" s="113" t="e">
        <f t="shared" ca="1" si="175"/>
        <v>#REF!</v>
      </c>
      <c r="BO75" s="114" t="e">
        <f t="shared" ca="1" si="176"/>
        <v>#REF!</v>
      </c>
      <c r="BP75" s="114" t="e">
        <f ca="1">-($V75-IF(($P75+$R75+$S75)&gt;0,MAX($V75/($P75+$R75+$S75)*($Q75+$R75),$V75),0))*LT_InvestmentQDI</f>
        <v>#REF!</v>
      </c>
      <c r="BQ75" s="114" t="e">
        <f ca="1">-($V75-IF(($P75+$R75+$S75)&gt;0,MAX($V75/($P75+$R75+$S75)*($Q75+$R75),$V75),0))*(1-LT_InvestmentQDI)</f>
        <v>#REF!</v>
      </c>
      <c r="BR75" s="114" t="e">
        <f t="shared" ca="1" si="177"/>
        <v>#REF!</v>
      </c>
      <c r="BS75" s="114" t="e">
        <f t="shared" ca="1" si="178"/>
        <v>#REF!</v>
      </c>
      <c r="BT75" s="649"/>
      <c r="BU75" s="637"/>
      <c r="BV75" s="637"/>
      <c r="BW75" s="637"/>
      <c r="BX75" s="639"/>
      <c r="CO75" s="8"/>
    </row>
    <row r="76" spans="2:93" x14ac:dyDescent="0.25">
      <c r="B76" s="65">
        <f ca="1">B74+1</f>
        <v>2055</v>
      </c>
      <c r="C76" s="76" t="s">
        <v>741</v>
      </c>
      <c r="D76" s="146" t="str">
        <f t="shared" si="137"/>
        <v/>
      </c>
      <c r="E76" s="77">
        <f t="shared" si="138"/>
        <v>0</v>
      </c>
      <c r="F76" s="77">
        <f t="shared" si="143"/>
        <v>1</v>
      </c>
      <c r="G76" s="76">
        <f t="shared" si="139"/>
        <v>1</v>
      </c>
      <c r="H76" s="76">
        <f t="shared" si="140"/>
        <v>0</v>
      </c>
      <c r="I76" s="77" t="b">
        <f t="shared" si="141"/>
        <v>0</v>
      </c>
      <c r="J76" s="77"/>
      <c r="K76" s="77"/>
      <c r="L76" s="77"/>
      <c r="M76" s="77"/>
      <c r="N76" s="632">
        <f ca="1">YEAR(SP_TargetRD)-$B76</f>
        <v>-32</v>
      </c>
      <c r="O76" s="243" t="e">
        <f ca="1">LT_InvestmentStocks*INDEX(SP_EA_ARStocks,EAIDX)+LT_InvestmentBonds*INDEX(SC_EA_ARBonds,EAIDX)</f>
        <v>#REF!</v>
      </c>
      <c r="P76" s="634" t="e">
        <f ca="1">MAX(P74+R74+S74+V74+W74,0)</f>
        <v>#VALUE!</v>
      </c>
      <c r="Q76" s="617" t="e">
        <f t="shared" ref="Q76" ca="1" si="180">MAX(Q74+R74+IF((P74+R74+S74)&gt;0,MAX(V74/(P74+R74+S74)*(Q74+R74),V74),0),0)</f>
        <v>#VALUE!</v>
      </c>
      <c r="R76" s="617" t="e">
        <f ca="1">IF(SC_ZX_CodeA="X", 0, MAX(INDEX(SC_ZX_IncomeSurplus,ZXIDX2)+INDEX(SC_ZX_Debt,ZXIDX2),0))</f>
        <v>#VALUE!</v>
      </c>
      <c r="S76" s="617" t="e">
        <f ca="1">IF(SC_ZX_CodeA="X", 0, INDEX(SC_EX_RolloverCore,EXIDX))</f>
        <v>#VALUE!</v>
      </c>
      <c r="T76" s="617" t="e">
        <f ca="1">P76+R76+S76</f>
        <v>#VALUE!</v>
      </c>
      <c r="U76" s="642" t="e">
        <f ca="1">IF(SC_ZX_BalanceAccessibleA&gt;0, T76/SC_ZX_BalanceAccessibleA, 0)</f>
        <v>#VALUE!</v>
      </c>
      <c r="V76" s="617" t="e">
        <f ca="1">-IF(SC_ZX_CodeA="X",0,MIN(U76*MAX(INDEX(SC_ZX_Drawdown,ZXIDX2),0),T76))</f>
        <v>#VALUE!</v>
      </c>
      <c r="W76" s="618" t="e">
        <f ca="1">(P76+R76+S76+V76)*$O76</f>
        <v>#VALUE!</v>
      </c>
      <c r="X76" s="75" t="e">
        <f t="shared" ca="1" si="145"/>
        <v>#REF!</v>
      </c>
      <c r="Y76" s="70" t="e">
        <f t="shared" ca="1" si="146"/>
        <v>#REF!</v>
      </c>
      <c r="Z76" s="70" t="e">
        <f t="shared" ca="1" si="147"/>
        <v>#REF!</v>
      </c>
      <c r="AA76" s="70" t="e">
        <f t="shared" ca="1" si="148"/>
        <v>#REF!</v>
      </c>
      <c r="AB76" s="67" t="e">
        <f t="shared" ca="1" si="65"/>
        <v>#REF!</v>
      </c>
      <c r="AC76" s="70" t="e">
        <f ca="1">-IF(INDEX(SC_ZX_CodeA,ZXIDX1)="X", 0, MIN(AB76*MAX(INDEX(SC_ZX_Drawdown,ZXIDX2),0),AA76))</f>
        <v>#REF!</v>
      </c>
      <c r="AD76" s="109" t="e">
        <f t="shared" ca="1" si="149"/>
        <v>#REF!</v>
      </c>
      <c r="AE76" s="75" t="e">
        <f t="shared" ca="1" si="150"/>
        <v>#REF!</v>
      </c>
      <c r="AF76" s="70" t="e">
        <f t="shared" ca="1" si="151"/>
        <v>#REF!</v>
      </c>
      <c r="AG76" s="70" t="e">
        <f t="shared" ca="1" si="152"/>
        <v>#REF!</v>
      </c>
      <c r="AH76" s="70" t="e">
        <f t="shared" ca="1" si="153"/>
        <v>#REF!</v>
      </c>
      <c r="AI76" s="67" t="e">
        <f t="shared" ca="1" si="66"/>
        <v>#REF!</v>
      </c>
      <c r="AJ76" s="70" t="e">
        <f ca="1">-IF(INDEX(SC_ZX_CodeA,ZXIDX1)="X", 0, MIN(AI76*MAX(INDEX(SC_ZX_Drawdown,ZXIDX2),0),AH76))</f>
        <v>#REF!</v>
      </c>
      <c r="AK76" s="109" t="e">
        <f t="shared" ca="1" si="154"/>
        <v>#REF!</v>
      </c>
      <c r="AL76" s="75" t="e">
        <f t="shared" ca="1" si="155"/>
        <v>#REF!</v>
      </c>
      <c r="AM76" s="70" t="e">
        <f t="shared" ca="1" si="156"/>
        <v>#REF!</v>
      </c>
      <c r="AN76" s="70" t="e">
        <f t="shared" ca="1" si="157"/>
        <v>#REF!</v>
      </c>
      <c r="AO76" s="70" t="e">
        <f t="shared" ca="1" si="158"/>
        <v>#REF!</v>
      </c>
      <c r="AP76" s="67" t="e">
        <f t="shared" ca="1" si="67"/>
        <v>#REF!</v>
      </c>
      <c r="AQ76" s="70" t="e">
        <f ca="1">-IF(INDEX(SC_ZX_CodeA,ZXIDX1)="X", 0, MIN(AP76*MAX(INDEX(SC_ZX_Drawdown,ZXIDX2),0),AO76))</f>
        <v>#REF!</v>
      </c>
      <c r="AR76" s="109" t="e">
        <f t="shared" ca="1" si="159"/>
        <v>#REF!</v>
      </c>
      <c r="AS76" s="75" t="e">
        <f t="shared" ca="1" si="160"/>
        <v>#REF!</v>
      </c>
      <c r="AT76" s="70" t="e">
        <f t="shared" ca="1" si="161"/>
        <v>#REF!</v>
      </c>
      <c r="AU76" s="70" t="e">
        <f t="shared" ca="1" si="162"/>
        <v>#REF!</v>
      </c>
      <c r="AV76" s="70" t="e">
        <f t="shared" ca="1" si="163"/>
        <v>#REF!</v>
      </c>
      <c r="AW76" s="67" t="e">
        <f t="shared" ca="1" si="68"/>
        <v>#REF!</v>
      </c>
      <c r="AX76" s="70" t="e">
        <f ca="1">-IF(INDEX(SC_ZX_CodeA,ZXIDX1)="X", 0, MIN(AW76*MAX(INDEX(SC_ZX_Drawdown,ZXIDX2),0),AV76))</f>
        <v>#REF!</v>
      </c>
      <c r="AY76" s="109" t="e">
        <f t="shared" ca="1" si="164"/>
        <v>#REF!</v>
      </c>
      <c r="AZ76" s="75" t="e">
        <f t="shared" ca="1" si="165"/>
        <v>#REF!</v>
      </c>
      <c r="BA76" s="70" t="e">
        <f t="shared" ca="1" si="166"/>
        <v>#REF!</v>
      </c>
      <c r="BB76" s="70" t="e">
        <f t="shared" ca="1" si="167"/>
        <v>#REF!</v>
      </c>
      <c r="BC76" s="70" t="e">
        <f t="shared" ca="1" si="168"/>
        <v>#REF!</v>
      </c>
      <c r="BD76" s="67" t="e">
        <f t="shared" ca="1" si="69"/>
        <v>#REF!</v>
      </c>
      <c r="BE76" s="70" t="e">
        <f ca="1">-IF(INDEX(SC_ZX_CodeA,ZXIDX1)="X", 0, MIN(BD76*MAX(INDEX(SC_ZX_Drawdown,ZXIDX2),0),AZ76))</f>
        <v>#REF!</v>
      </c>
      <c r="BF76" s="109" t="e">
        <f t="shared" ca="1" si="169"/>
        <v>#REF!</v>
      </c>
      <c r="BG76" s="75" t="e">
        <f t="shared" ca="1" si="170"/>
        <v>#REF!</v>
      </c>
      <c r="BH76" s="70" t="e">
        <f t="shared" ca="1" si="171"/>
        <v>#REF!</v>
      </c>
      <c r="BI76" s="70" t="e">
        <f t="shared" ca="1" si="172"/>
        <v>#REF!</v>
      </c>
      <c r="BJ76" s="70" t="e">
        <f t="shared" ca="1" si="173"/>
        <v>#REF!</v>
      </c>
      <c r="BK76" s="67" t="e">
        <f t="shared" ca="1" si="70"/>
        <v>#REF!</v>
      </c>
      <c r="BL76" s="70" t="e">
        <f ca="1">-IF(INDEX(SC_ZX_CodeA,ZXIDX1)="X", 0, MIN(BK76*MAX(INDEX(SC_ZX_Drawdown,ZXIDX2),0),BJ76))</f>
        <v>#REF!</v>
      </c>
      <c r="BM76" s="70" t="e">
        <f t="shared" ca="1" si="174"/>
        <v>#REF!</v>
      </c>
      <c r="BN76" s="111" t="e">
        <f t="shared" ca="1" si="175"/>
        <v>#REF!</v>
      </c>
      <c r="BO76" s="112" t="e">
        <f t="shared" ca="1" si="176"/>
        <v>#REF!</v>
      </c>
      <c r="BP76" s="112" t="e">
        <f ca="1">-($V76-IF(($P76+$R76+$S76)&gt;0,MAX($V76/($P76+$R76+$S76)*($Q76+$R76),$V76),0))*LT_InvestmentQDI</f>
        <v>#VALUE!</v>
      </c>
      <c r="BQ76" s="112" t="e">
        <f ca="1">-($V76-IF(($P76+$R76+$S76)&gt;0,MAX($V76/($P76+$R76+$S76)*($Q76+$R76),$V76),0))*(1-LT_InvestmentQDI)</f>
        <v>#VALUE!</v>
      </c>
      <c r="BR76" s="112" t="e">
        <f t="shared" ca="1" si="177"/>
        <v>#VALUE!</v>
      </c>
      <c r="BS76" s="112" t="e">
        <f t="shared" ca="1" si="178"/>
        <v>#VALUE!</v>
      </c>
      <c r="BT76" s="634" t="e">
        <f ca="1">SUMPRODUCT($BN76:$BN77+$BO76:$BO77, --($E76:$E77&lt;&gt;0))</f>
        <v>#REF!</v>
      </c>
      <c r="BU76" s="617" t="e">
        <f ca="1">SUMPRODUCT($BR76:$BR77+$BS76:$BS77, --($E76:$E77&lt;&gt;0))</f>
        <v>#VALUE!</v>
      </c>
      <c r="BV76" s="617" t="e">
        <f ca="1">$T76+SUMPRODUCT($AA76:$AA77+$AH76:$AH77+$AO76:$AO77+$AV76:$AV77+$BC76:$BC77+$BJ76:$BJ77, --($E76:$E77&lt;&gt;0))</f>
        <v>#VALUE!</v>
      </c>
      <c r="BW76" s="617" t="e">
        <f ca="1">MAX($P76-$Q76,0)+SUMPRODUCT($X76:$X77+$AL76:$AL77+$AZ76:$AZ77, --($E76:$E77&lt;&gt;0))</f>
        <v>#VALUE!</v>
      </c>
      <c r="BX76" s="618" t="e">
        <f ca="1">MIN($P76,$Q76)+SUMPRODUCT($AE76:$AE77+$AS76:$AS77+$BG76:$BG77, --($E76:$E77&lt;&gt;0))</f>
        <v>#VALUE!</v>
      </c>
      <c r="CO76" s="8"/>
    </row>
    <row r="77" spans="2:93" x14ac:dyDescent="0.25">
      <c r="B77" s="86">
        <f t="shared" ca="1" si="179"/>
        <v>2055</v>
      </c>
      <c r="C77" s="80" t="s">
        <v>741</v>
      </c>
      <c r="D77" s="147" t="str">
        <f t="shared" si="137"/>
        <v/>
      </c>
      <c r="E77" s="81">
        <f t="shared" si="138"/>
        <v>0</v>
      </c>
      <c r="F77" s="81">
        <f t="shared" si="143"/>
        <v>2</v>
      </c>
      <c r="G77" s="82">
        <f t="shared" si="139"/>
        <v>-1</v>
      </c>
      <c r="H77" s="82">
        <f t="shared" si="140"/>
        <v>0</v>
      </c>
      <c r="I77" s="81" t="b">
        <f t="shared" si="141"/>
        <v>0</v>
      </c>
      <c r="J77" s="81"/>
      <c r="K77" s="81"/>
      <c r="L77" s="81"/>
      <c r="M77" s="81"/>
      <c r="N77" s="633"/>
      <c r="O77" s="243" t="e">
        <f ca="1">LT_InvestmentStocks*INDEX(SP_EA_ARStocks,EAIDX)+LT_InvestmentBonds*INDEX(SC_EA_ARBonds,EAIDX)</f>
        <v>#REF!</v>
      </c>
      <c r="P77" s="634"/>
      <c r="Q77" s="617"/>
      <c r="R77" s="617"/>
      <c r="S77" s="617"/>
      <c r="T77" s="617"/>
      <c r="U77" s="643"/>
      <c r="V77" s="617"/>
      <c r="W77" s="639"/>
      <c r="X77" s="106" t="e">
        <f t="shared" ca="1" si="145"/>
        <v>#REF!</v>
      </c>
      <c r="Y77" s="107" t="e">
        <f t="shared" ca="1" si="146"/>
        <v>#REF!</v>
      </c>
      <c r="Z77" s="107" t="e">
        <f t="shared" ca="1" si="147"/>
        <v>#REF!</v>
      </c>
      <c r="AA77" s="107" t="e">
        <f t="shared" ca="1" si="148"/>
        <v>#REF!</v>
      </c>
      <c r="AB77" s="91" t="e">
        <f t="shared" ref="AB77:AB140" ca="1" si="181">IF(INDEX(SC_ZX_BalanceAccessibleA,ZXIDX1)&gt;0, AA77/INDEX(SC_ZX_BalanceAccessibleA,ZXIDX1), 0)</f>
        <v>#REF!</v>
      </c>
      <c r="AC77" s="107" t="e">
        <f ca="1">-IF(INDEX(SC_ZX_CodeA,ZXIDX1)="X", 0, MIN(AB77*MAX(INDEX(SC_ZX_Drawdown,ZXIDX2),0),AA77))</f>
        <v>#REF!</v>
      </c>
      <c r="AD77" s="110" t="e">
        <f t="shared" ca="1" si="149"/>
        <v>#REF!</v>
      </c>
      <c r="AE77" s="106" t="e">
        <f t="shared" ca="1" si="150"/>
        <v>#REF!</v>
      </c>
      <c r="AF77" s="107" t="e">
        <f t="shared" ca="1" si="151"/>
        <v>#REF!</v>
      </c>
      <c r="AG77" s="107" t="e">
        <f t="shared" ca="1" si="152"/>
        <v>#REF!</v>
      </c>
      <c r="AH77" s="107" t="e">
        <f t="shared" ca="1" si="153"/>
        <v>#REF!</v>
      </c>
      <c r="AI77" s="91" t="e">
        <f t="shared" ref="AI77:AI140" ca="1" si="182">IF(INDEX(SC_ZX_BalanceAccessibleA,ZXIDX1)&gt;0, AH77/INDEX(SC_ZX_BalanceAccessibleA,ZXIDX1), 0)</f>
        <v>#REF!</v>
      </c>
      <c r="AJ77" s="107" t="e">
        <f ca="1">-IF(INDEX(SC_ZX_CodeA,ZXIDX1)="X", 0, MIN(AI77*MAX(INDEX(SC_ZX_Drawdown,ZXIDX2),0),AH77))</f>
        <v>#REF!</v>
      </c>
      <c r="AK77" s="110" t="e">
        <f t="shared" ca="1" si="154"/>
        <v>#REF!</v>
      </c>
      <c r="AL77" s="106" t="e">
        <f t="shared" ca="1" si="155"/>
        <v>#REF!</v>
      </c>
      <c r="AM77" s="107" t="e">
        <f t="shared" ca="1" si="156"/>
        <v>#REF!</v>
      </c>
      <c r="AN77" s="107" t="e">
        <f t="shared" ca="1" si="157"/>
        <v>#REF!</v>
      </c>
      <c r="AO77" s="107" t="e">
        <f t="shared" ca="1" si="158"/>
        <v>#REF!</v>
      </c>
      <c r="AP77" s="91" t="e">
        <f t="shared" ref="AP77:AP140" ca="1" si="183">IF(INDEX(SC_ZX_BalanceAccessibleA,ZXIDX1)&gt;0, AO77/INDEX(SC_ZX_BalanceAccessibleA,ZXIDX1), 0)</f>
        <v>#REF!</v>
      </c>
      <c r="AQ77" s="107" t="e">
        <f ca="1">-IF(INDEX(SC_ZX_CodeA,ZXIDX1)="X", 0, MIN(AP77*MAX(INDEX(SC_ZX_Drawdown,ZXIDX2),0),AO77))</f>
        <v>#REF!</v>
      </c>
      <c r="AR77" s="110" t="e">
        <f t="shared" ca="1" si="159"/>
        <v>#REF!</v>
      </c>
      <c r="AS77" s="106" t="e">
        <f t="shared" ca="1" si="160"/>
        <v>#REF!</v>
      </c>
      <c r="AT77" s="107" t="e">
        <f t="shared" ca="1" si="161"/>
        <v>#REF!</v>
      </c>
      <c r="AU77" s="107" t="e">
        <f t="shared" ca="1" si="162"/>
        <v>#REF!</v>
      </c>
      <c r="AV77" s="107" t="e">
        <f t="shared" ca="1" si="163"/>
        <v>#REF!</v>
      </c>
      <c r="AW77" s="91" t="e">
        <f t="shared" ref="AW77:AW140" ca="1" si="184">IF(INDEX(SC_ZX_BalanceAccessibleA,ZXIDX1)&gt;0, AV77/INDEX(SC_ZX_BalanceAccessibleA,ZXIDX1), 0)</f>
        <v>#REF!</v>
      </c>
      <c r="AX77" s="107" t="e">
        <f ca="1">-IF(INDEX(SC_ZX_CodeA,ZXIDX1)="X", 0, MIN(AW77*MAX(INDEX(SC_ZX_Drawdown,ZXIDX2),0),AV77))</f>
        <v>#REF!</v>
      </c>
      <c r="AY77" s="110" t="e">
        <f t="shared" ca="1" si="164"/>
        <v>#REF!</v>
      </c>
      <c r="AZ77" s="106" t="e">
        <f t="shared" ca="1" si="165"/>
        <v>#REF!</v>
      </c>
      <c r="BA77" s="107" t="e">
        <f t="shared" ca="1" si="166"/>
        <v>#REF!</v>
      </c>
      <c r="BB77" s="107" t="e">
        <f t="shared" ca="1" si="167"/>
        <v>#REF!</v>
      </c>
      <c r="BC77" s="107" t="e">
        <f t="shared" ca="1" si="168"/>
        <v>#REF!</v>
      </c>
      <c r="BD77" s="91" t="e">
        <f t="shared" ref="BD77:BD140" ca="1" si="185">IF(INDEX(SC_ZX_BalanceAccessibleA,ZXIDX1)&gt;0, BC77/INDEX(SC_ZX_BalanceAccessibleA,ZXIDX1), 0)</f>
        <v>#REF!</v>
      </c>
      <c r="BE77" s="107" t="e">
        <f ca="1">-IF(INDEX(SC_ZX_CodeA,ZXIDX1)="X", 0, MIN(BD77*MAX(INDEX(SC_ZX_Drawdown,ZXIDX2),0),AZ77))</f>
        <v>#REF!</v>
      </c>
      <c r="BF77" s="110" t="e">
        <f t="shared" ca="1" si="169"/>
        <v>#REF!</v>
      </c>
      <c r="BG77" s="106" t="e">
        <f t="shared" ca="1" si="170"/>
        <v>#REF!</v>
      </c>
      <c r="BH77" s="107" t="e">
        <f t="shared" ca="1" si="171"/>
        <v>#REF!</v>
      </c>
      <c r="BI77" s="107" t="e">
        <f t="shared" ca="1" si="172"/>
        <v>#REF!</v>
      </c>
      <c r="BJ77" s="107" t="e">
        <f t="shared" ca="1" si="173"/>
        <v>#REF!</v>
      </c>
      <c r="BK77" s="91" t="e">
        <f t="shared" ref="BK77:BK140" ca="1" si="186">IF(INDEX(SC_ZX_BalanceAccessibleA,ZXIDX1)&gt;0, BJ77/INDEX(SC_ZX_BalanceAccessibleA,ZXIDX1), 0)</f>
        <v>#REF!</v>
      </c>
      <c r="BL77" s="107" t="e">
        <f ca="1">-IF(INDEX(SC_ZX_CodeA,ZXIDX1)="X", 0, MIN(BK77*MAX(INDEX(SC_ZX_Drawdown,ZXIDX2),0),BJ77))</f>
        <v>#REF!</v>
      </c>
      <c r="BM77" s="107" t="e">
        <f t="shared" ca="1" si="174"/>
        <v>#REF!</v>
      </c>
      <c r="BN77" s="113" t="e">
        <f t="shared" ca="1" si="175"/>
        <v>#REF!</v>
      </c>
      <c r="BO77" s="114" t="e">
        <f t="shared" ca="1" si="176"/>
        <v>#REF!</v>
      </c>
      <c r="BP77" s="114" t="e">
        <f ca="1">-($V77-IF(($P77+$R77+$S77)&gt;0,MAX($V77/($P77+$R77+$S77)*($Q77+$R77),$V77),0))*LT_InvestmentQDI</f>
        <v>#REF!</v>
      </c>
      <c r="BQ77" s="114" t="e">
        <f ca="1">-($V77-IF(($P77+$R77+$S77)&gt;0,MAX($V77/($P77+$R77+$S77)*($Q77+$R77),$V77),0))*(1-LT_InvestmentQDI)</f>
        <v>#REF!</v>
      </c>
      <c r="BR77" s="114" t="e">
        <f t="shared" ca="1" si="177"/>
        <v>#REF!</v>
      </c>
      <c r="BS77" s="114" t="e">
        <f t="shared" ca="1" si="178"/>
        <v>#REF!</v>
      </c>
      <c r="BT77" s="649"/>
      <c r="BU77" s="637"/>
      <c r="BV77" s="637"/>
      <c r="BW77" s="637"/>
      <c r="BX77" s="639"/>
      <c r="CO77" s="8"/>
    </row>
    <row r="78" spans="2:93" x14ac:dyDescent="0.25">
      <c r="B78" s="65">
        <f ca="1">B76+1</f>
        <v>2056</v>
      </c>
      <c r="C78" s="76" t="s">
        <v>741</v>
      </c>
      <c r="D78" s="146" t="str">
        <f t="shared" si="137"/>
        <v/>
      </c>
      <c r="E78" s="77">
        <f t="shared" si="138"/>
        <v>0</v>
      </c>
      <c r="F78" s="77">
        <f t="shared" si="143"/>
        <v>1</v>
      </c>
      <c r="G78" s="76">
        <f t="shared" si="139"/>
        <v>1</v>
      </c>
      <c r="H78" s="76">
        <f t="shared" si="140"/>
        <v>0</v>
      </c>
      <c r="I78" s="77" t="b">
        <f t="shared" si="141"/>
        <v>0</v>
      </c>
      <c r="J78" s="77"/>
      <c r="K78" s="77"/>
      <c r="L78" s="77"/>
      <c r="M78" s="77"/>
      <c r="N78" s="632">
        <f ca="1">YEAR(SP_TargetRD)-$B78</f>
        <v>-33</v>
      </c>
      <c r="O78" s="243" t="e">
        <f ca="1">LT_InvestmentStocks*INDEX(SP_EA_ARStocks,EAIDX)+LT_InvestmentBonds*INDEX(SC_EA_ARBonds,EAIDX)</f>
        <v>#REF!</v>
      </c>
      <c r="P78" s="634" t="e">
        <f ca="1">MAX(P76+R76+S76+V76+W76,0)</f>
        <v>#VALUE!</v>
      </c>
      <c r="Q78" s="617" t="e">
        <f t="shared" ref="Q78" ca="1" si="187">MAX(Q76+R76+IF((P76+R76+S76)&gt;0,MAX(V76/(P76+R76+S76)*(Q76+R76),V76),0),0)</f>
        <v>#VALUE!</v>
      </c>
      <c r="R78" s="617" t="e">
        <f ca="1">IF(SC_ZX_CodeA="X", 0, MAX(INDEX(SC_ZX_IncomeSurplus,ZXIDX2)+INDEX(SC_ZX_Debt,ZXIDX2),0))</f>
        <v>#VALUE!</v>
      </c>
      <c r="S78" s="617" t="e">
        <f ca="1">IF(SC_ZX_CodeA="X", 0, INDEX(SC_EX_RolloverCore,EXIDX))</f>
        <v>#VALUE!</v>
      </c>
      <c r="T78" s="617" t="e">
        <f ca="1">P78+R78+S78</f>
        <v>#VALUE!</v>
      </c>
      <c r="U78" s="642" t="e">
        <f ca="1">IF(SC_ZX_BalanceAccessibleA&gt;0, T78/SC_ZX_BalanceAccessibleA, 0)</f>
        <v>#VALUE!</v>
      </c>
      <c r="V78" s="617" t="e">
        <f ca="1">-IF(SC_ZX_CodeA="X",0,MIN(U78*MAX(INDEX(SC_ZX_Drawdown,ZXIDX2),0),T78))</f>
        <v>#VALUE!</v>
      </c>
      <c r="W78" s="618" t="e">
        <f ca="1">(P78+R78+S78+V78)*$O78</f>
        <v>#VALUE!</v>
      </c>
      <c r="X78" s="75" t="e">
        <f t="shared" ca="1" si="145"/>
        <v>#REF!</v>
      </c>
      <c r="Y78" s="70" t="e">
        <f t="shared" ca="1" si="146"/>
        <v>#REF!</v>
      </c>
      <c r="Z78" s="70" t="e">
        <f t="shared" ca="1" si="147"/>
        <v>#REF!</v>
      </c>
      <c r="AA78" s="70" t="e">
        <f t="shared" ca="1" si="148"/>
        <v>#REF!</v>
      </c>
      <c r="AB78" s="67" t="e">
        <f t="shared" ca="1" si="181"/>
        <v>#REF!</v>
      </c>
      <c r="AC78" s="70" t="e">
        <f ca="1">-IF(INDEX(SC_ZX_CodeA,ZXIDX1)="X", 0, MIN(AB78*MAX(INDEX(SC_ZX_Drawdown,ZXIDX2),0),AA78))</f>
        <v>#REF!</v>
      </c>
      <c r="AD78" s="109" t="e">
        <f t="shared" ca="1" si="149"/>
        <v>#REF!</v>
      </c>
      <c r="AE78" s="75" t="e">
        <f t="shared" ca="1" si="150"/>
        <v>#REF!</v>
      </c>
      <c r="AF78" s="70" t="e">
        <f t="shared" ca="1" si="151"/>
        <v>#REF!</v>
      </c>
      <c r="AG78" s="70" t="e">
        <f t="shared" ca="1" si="152"/>
        <v>#REF!</v>
      </c>
      <c r="AH78" s="70" t="e">
        <f t="shared" ca="1" si="153"/>
        <v>#REF!</v>
      </c>
      <c r="AI78" s="67" t="e">
        <f t="shared" ca="1" si="182"/>
        <v>#REF!</v>
      </c>
      <c r="AJ78" s="70" t="e">
        <f ca="1">-IF(INDEX(SC_ZX_CodeA,ZXIDX1)="X", 0, MIN(AI78*MAX(INDEX(SC_ZX_Drawdown,ZXIDX2),0),AH78))</f>
        <v>#REF!</v>
      </c>
      <c r="AK78" s="109" t="e">
        <f t="shared" ca="1" si="154"/>
        <v>#REF!</v>
      </c>
      <c r="AL78" s="75" t="e">
        <f t="shared" ca="1" si="155"/>
        <v>#REF!</v>
      </c>
      <c r="AM78" s="70" t="e">
        <f t="shared" ca="1" si="156"/>
        <v>#REF!</v>
      </c>
      <c r="AN78" s="70" t="e">
        <f t="shared" ca="1" si="157"/>
        <v>#REF!</v>
      </c>
      <c r="AO78" s="70" t="e">
        <f t="shared" ca="1" si="158"/>
        <v>#REF!</v>
      </c>
      <c r="AP78" s="67" t="e">
        <f t="shared" ca="1" si="183"/>
        <v>#REF!</v>
      </c>
      <c r="AQ78" s="70" t="e">
        <f ca="1">-IF(INDEX(SC_ZX_CodeA,ZXIDX1)="X", 0, MIN(AP78*MAX(INDEX(SC_ZX_Drawdown,ZXIDX2),0),AO78))</f>
        <v>#REF!</v>
      </c>
      <c r="AR78" s="109" t="e">
        <f t="shared" ca="1" si="159"/>
        <v>#REF!</v>
      </c>
      <c r="AS78" s="75" t="e">
        <f t="shared" ca="1" si="160"/>
        <v>#REF!</v>
      </c>
      <c r="AT78" s="70" t="e">
        <f t="shared" ca="1" si="161"/>
        <v>#REF!</v>
      </c>
      <c r="AU78" s="70" t="e">
        <f t="shared" ca="1" si="162"/>
        <v>#REF!</v>
      </c>
      <c r="AV78" s="70" t="e">
        <f t="shared" ca="1" si="163"/>
        <v>#REF!</v>
      </c>
      <c r="AW78" s="67" t="e">
        <f t="shared" ca="1" si="184"/>
        <v>#REF!</v>
      </c>
      <c r="AX78" s="70" t="e">
        <f ca="1">-IF(INDEX(SC_ZX_CodeA,ZXIDX1)="X", 0, MIN(AW78*MAX(INDEX(SC_ZX_Drawdown,ZXIDX2),0),AV78))</f>
        <v>#REF!</v>
      </c>
      <c r="AY78" s="109" t="e">
        <f t="shared" ca="1" si="164"/>
        <v>#REF!</v>
      </c>
      <c r="AZ78" s="75" t="e">
        <f t="shared" ca="1" si="165"/>
        <v>#REF!</v>
      </c>
      <c r="BA78" s="70" t="e">
        <f t="shared" ca="1" si="166"/>
        <v>#REF!</v>
      </c>
      <c r="BB78" s="70" t="e">
        <f t="shared" ca="1" si="167"/>
        <v>#REF!</v>
      </c>
      <c r="BC78" s="70" t="e">
        <f t="shared" ca="1" si="168"/>
        <v>#REF!</v>
      </c>
      <c r="BD78" s="67" t="e">
        <f t="shared" ca="1" si="185"/>
        <v>#REF!</v>
      </c>
      <c r="BE78" s="70" t="e">
        <f ca="1">-IF(INDEX(SC_ZX_CodeA,ZXIDX1)="X", 0, MIN(BD78*MAX(INDEX(SC_ZX_Drawdown,ZXIDX2),0),AZ78))</f>
        <v>#REF!</v>
      </c>
      <c r="BF78" s="109" t="e">
        <f t="shared" ca="1" si="169"/>
        <v>#REF!</v>
      </c>
      <c r="BG78" s="75" t="e">
        <f t="shared" ca="1" si="170"/>
        <v>#REF!</v>
      </c>
      <c r="BH78" s="70" t="e">
        <f t="shared" ca="1" si="171"/>
        <v>#REF!</v>
      </c>
      <c r="BI78" s="70" t="e">
        <f t="shared" ca="1" si="172"/>
        <v>#REF!</v>
      </c>
      <c r="BJ78" s="70" t="e">
        <f t="shared" ca="1" si="173"/>
        <v>#REF!</v>
      </c>
      <c r="BK78" s="67" t="e">
        <f t="shared" ca="1" si="186"/>
        <v>#REF!</v>
      </c>
      <c r="BL78" s="70" t="e">
        <f ca="1">-IF(INDEX(SC_ZX_CodeA,ZXIDX1)="X", 0, MIN(BK78*MAX(INDEX(SC_ZX_Drawdown,ZXIDX2),0),BJ78))</f>
        <v>#REF!</v>
      </c>
      <c r="BM78" s="70" t="e">
        <f t="shared" ca="1" si="174"/>
        <v>#REF!</v>
      </c>
      <c r="BN78" s="111" t="e">
        <f t="shared" ca="1" si="175"/>
        <v>#REF!</v>
      </c>
      <c r="BO78" s="112" t="e">
        <f t="shared" ca="1" si="176"/>
        <v>#REF!</v>
      </c>
      <c r="BP78" s="112" t="e">
        <f ca="1">-($V78-IF(($P78+$R78+$S78)&gt;0,MAX($V78/($P78+$R78+$S78)*($Q78+$R78),$V78),0))*LT_InvestmentQDI</f>
        <v>#VALUE!</v>
      </c>
      <c r="BQ78" s="112" t="e">
        <f ca="1">-($V78-IF(($P78+$R78+$S78)&gt;0,MAX($V78/($P78+$R78+$S78)*($Q78+$R78),$V78),0))*(1-LT_InvestmentQDI)</f>
        <v>#VALUE!</v>
      </c>
      <c r="BR78" s="112" t="e">
        <f t="shared" ca="1" si="177"/>
        <v>#VALUE!</v>
      </c>
      <c r="BS78" s="112" t="e">
        <f t="shared" ca="1" si="178"/>
        <v>#VALUE!</v>
      </c>
      <c r="BT78" s="634" t="e">
        <f ca="1">SUMPRODUCT($BN78:$BN79+$BO78:$BO79, --($E78:$E79&lt;&gt;0))</f>
        <v>#REF!</v>
      </c>
      <c r="BU78" s="617" t="e">
        <f ca="1">SUMPRODUCT($BR78:$BR79+$BS78:$BS79, --($E78:$E79&lt;&gt;0))</f>
        <v>#VALUE!</v>
      </c>
      <c r="BV78" s="617" t="e">
        <f ca="1">$T78+SUMPRODUCT($AA78:$AA79+$AH78:$AH79+$AO78:$AO79+$AV78:$AV79+$BC78:$BC79+$BJ78:$BJ79, --($E78:$E79&lt;&gt;0))</f>
        <v>#VALUE!</v>
      </c>
      <c r="BW78" s="617" t="e">
        <f ca="1">MAX($P78-$Q78,0)+SUMPRODUCT($X78:$X79+$AL78:$AL79+$AZ78:$AZ79, --($E78:$E79&lt;&gt;0))</f>
        <v>#VALUE!</v>
      </c>
      <c r="BX78" s="618" t="e">
        <f ca="1">MIN($P78,$Q78)+SUMPRODUCT($AE78:$AE79+$AS78:$AS79+$BG78:$BG79, --($E78:$E79&lt;&gt;0))</f>
        <v>#VALUE!</v>
      </c>
      <c r="CO78" s="8"/>
    </row>
    <row r="79" spans="2:93" x14ac:dyDescent="0.25">
      <c r="B79" s="86">
        <f t="shared" ca="1" si="179"/>
        <v>2056</v>
      </c>
      <c r="C79" s="80" t="s">
        <v>741</v>
      </c>
      <c r="D79" s="147" t="str">
        <f t="shared" si="137"/>
        <v/>
      </c>
      <c r="E79" s="81">
        <f t="shared" si="138"/>
        <v>0</v>
      </c>
      <c r="F79" s="81">
        <f t="shared" si="143"/>
        <v>2</v>
      </c>
      <c r="G79" s="82">
        <f t="shared" si="139"/>
        <v>-1</v>
      </c>
      <c r="H79" s="82">
        <f t="shared" si="140"/>
        <v>0</v>
      </c>
      <c r="I79" s="81" t="b">
        <f t="shared" si="141"/>
        <v>0</v>
      </c>
      <c r="J79" s="81"/>
      <c r="K79" s="81"/>
      <c r="L79" s="81"/>
      <c r="M79" s="81"/>
      <c r="N79" s="633"/>
      <c r="O79" s="243" t="e">
        <f ca="1">LT_InvestmentStocks*INDEX(SP_EA_ARStocks,EAIDX)+LT_InvestmentBonds*INDEX(SC_EA_ARBonds,EAIDX)</f>
        <v>#REF!</v>
      </c>
      <c r="P79" s="634"/>
      <c r="Q79" s="617"/>
      <c r="R79" s="617"/>
      <c r="S79" s="617"/>
      <c r="T79" s="617"/>
      <c r="U79" s="643"/>
      <c r="V79" s="617"/>
      <c r="W79" s="639"/>
      <c r="X79" s="106" t="e">
        <f t="shared" ca="1" si="145"/>
        <v>#REF!</v>
      </c>
      <c r="Y79" s="107" t="e">
        <f t="shared" ca="1" si="146"/>
        <v>#REF!</v>
      </c>
      <c r="Z79" s="107" t="e">
        <f t="shared" ca="1" si="147"/>
        <v>#REF!</v>
      </c>
      <c r="AA79" s="107" t="e">
        <f t="shared" ca="1" si="148"/>
        <v>#REF!</v>
      </c>
      <c r="AB79" s="91" t="e">
        <f t="shared" ca="1" si="181"/>
        <v>#REF!</v>
      </c>
      <c r="AC79" s="107" t="e">
        <f ca="1">-IF(INDEX(SC_ZX_CodeA,ZXIDX1)="X", 0, MIN(AB79*MAX(INDEX(SC_ZX_Drawdown,ZXIDX2),0),AA79))</f>
        <v>#REF!</v>
      </c>
      <c r="AD79" s="110" t="e">
        <f t="shared" ca="1" si="149"/>
        <v>#REF!</v>
      </c>
      <c r="AE79" s="106" t="e">
        <f t="shared" ca="1" si="150"/>
        <v>#REF!</v>
      </c>
      <c r="AF79" s="107" t="e">
        <f t="shared" ca="1" si="151"/>
        <v>#REF!</v>
      </c>
      <c r="AG79" s="107" t="e">
        <f t="shared" ca="1" si="152"/>
        <v>#REF!</v>
      </c>
      <c r="AH79" s="107" t="e">
        <f t="shared" ca="1" si="153"/>
        <v>#REF!</v>
      </c>
      <c r="AI79" s="91" t="e">
        <f t="shared" ca="1" si="182"/>
        <v>#REF!</v>
      </c>
      <c r="AJ79" s="107" t="e">
        <f ca="1">-IF(INDEX(SC_ZX_CodeA,ZXIDX1)="X", 0, MIN(AI79*MAX(INDEX(SC_ZX_Drawdown,ZXIDX2),0),AH79))</f>
        <v>#REF!</v>
      </c>
      <c r="AK79" s="110" t="e">
        <f t="shared" ca="1" si="154"/>
        <v>#REF!</v>
      </c>
      <c r="AL79" s="106" t="e">
        <f t="shared" ca="1" si="155"/>
        <v>#REF!</v>
      </c>
      <c r="AM79" s="107" t="e">
        <f t="shared" ca="1" si="156"/>
        <v>#REF!</v>
      </c>
      <c r="AN79" s="107" t="e">
        <f t="shared" ca="1" si="157"/>
        <v>#REF!</v>
      </c>
      <c r="AO79" s="107" t="e">
        <f t="shared" ca="1" si="158"/>
        <v>#REF!</v>
      </c>
      <c r="AP79" s="91" t="e">
        <f t="shared" ca="1" si="183"/>
        <v>#REF!</v>
      </c>
      <c r="AQ79" s="107" t="e">
        <f ca="1">-IF(INDEX(SC_ZX_CodeA,ZXIDX1)="X", 0, MIN(AP79*MAX(INDEX(SC_ZX_Drawdown,ZXIDX2),0),AO79))</f>
        <v>#REF!</v>
      </c>
      <c r="AR79" s="110" t="e">
        <f t="shared" ca="1" si="159"/>
        <v>#REF!</v>
      </c>
      <c r="AS79" s="106" t="e">
        <f t="shared" ca="1" si="160"/>
        <v>#REF!</v>
      </c>
      <c r="AT79" s="107" t="e">
        <f t="shared" ca="1" si="161"/>
        <v>#REF!</v>
      </c>
      <c r="AU79" s="107" t="e">
        <f t="shared" ca="1" si="162"/>
        <v>#REF!</v>
      </c>
      <c r="AV79" s="107" t="e">
        <f t="shared" ca="1" si="163"/>
        <v>#REF!</v>
      </c>
      <c r="AW79" s="91" t="e">
        <f t="shared" ca="1" si="184"/>
        <v>#REF!</v>
      </c>
      <c r="AX79" s="107" t="e">
        <f ca="1">-IF(INDEX(SC_ZX_CodeA,ZXIDX1)="X", 0, MIN(AW79*MAX(INDEX(SC_ZX_Drawdown,ZXIDX2),0),AV79))</f>
        <v>#REF!</v>
      </c>
      <c r="AY79" s="110" t="e">
        <f t="shared" ca="1" si="164"/>
        <v>#REF!</v>
      </c>
      <c r="AZ79" s="106" t="e">
        <f t="shared" ca="1" si="165"/>
        <v>#REF!</v>
      </c>
      <c r="BA79" s="107" t="e">
        <f t="shared" ca="1" si="166"/>
        <v>#REF!</v>
      </c>
      <c r="BB79" s="107" t="e">
        <f t="shared" ca="1" si="167"/>
        <v>#REF!</v>
      </c>
      <c r="BC79" s="107" t="e">
        <f t="shared" ca="1" si="168"/>
        <v>#REF!</v>
      </c>
      <c r="BD79" s="91" t="e">
        <f t="shared" ca="1" si="185"/>
        <v>#REF!</v>
      </c>
      <c r="BE79" s="107" t="e">
        <f ca="1">-IF(INDEX(SC_ZX_CodeA,ZXIDX1)="X", 0, MIN(BD79*MAX(INDEX(SC_ZX_Drawdown,ZXIDX2),0),AZ79))</f>
        <v>#REF!</v>
      </c>
      <c r="BF79" s="110" t="e">
        <f t="shared" ca="1" si="169"/>
        <v>#REF!</v>
      </c>
      <c r="BG79" s="106" t="e">
        <f t="shared" ca="1" si="170"/>
        <v>#REF!</v>
      </c>
      <c r="BH79" s="107" t="e">
        <f t="shared" ca="1" si="171"/>
        <v>#REF!</v>
      </c>
      <c r="BI79" s="107" t="e">
        <f t="shared" ca="1" si="172"/>
        <v>#REF!</v>
      </c>
      <c r="BJ79" s="107" t="e">
        <f t="shared" ca="1" si="173"/>
        <v>#REF!</v>
      </c>
      <c r="BK79" s="91" t="e">
        <f t="shared" ca="1" si="186"/>
        <v>#REF!</v>
      </c>
      <c r="BL79" s="107" t="e">
        <f ca="1">-IF(INDEX(SC_ZX_CodeA,ZXIDX1)="X", 0, MIN(BK79*MAX(INDEX(SC_ZX_Drawdown,ZXIDX2),0),BJ79))</f>
        <v>#REF!</v>
      </c>
      <c r="BM79" s="107" t="e">
        <f t="shared" ca="1" si="174"/>
        <v>#REF!</v>
      </c>
      <c r="BN79" s="113" t="e">
        <f t="shared" ca="1" si="175"/>
        <v>#REF!</v>
      </c>
      <c r="BO79" s="114" t="e">
        <f t="shared" ca="1" si="176"/>
        <v>#REF!</v>
      </c>
      <c r="BP79" s="114" t="e">
        <f ca="1">-($V79-IF(($P79+$R79+$S79)&gt;0,MAX($V79/($P79+$R79+$S79)*($Q79+$R79),$V79),0))*LT_InvestmentQDI</f>
        <v>#REF!</v>
      </c>
      <c r="BQ79" s="114" t="e">
        <f ca="1">-($V79-IF(($P79+$R79+$S79)&gt;0,MAX($V79/($P79+$R79+$S79)*($Q79+$R79),$V79),0))*(1-LT_InvestmentQDI)</f>
        <v>#REF!</v>
      </c>
      <c r="BR79" s="114" t="e">
        <f t="shared" ca="1" si="177"/>
        <v>#REF!</v>
      </c>
      <c r="BS79" s="114" t="e">
        <f t="shared" ca="1" si="178"/>
        <v>#REF!</v>
      </c>
      <c r="BT79" s="649"/>
      <c r="BU79" s="637"/>
      <c r="BV79" s="637"/>
      <c r="BW79" s="637"/>
      <c r="BX79" s="639"/>
      <c r="CO79" s="8"/>
    </row>
    <row r="80" spans="2:93" x14ac:dyDescent="0.25">
      <c r="B80" s="65">
        <f ca="1">B78+1</f>
        <v>2057</v>
      </c>
      <c r="C80" s="76" t="s">
        <v>741</v>
      </c>
      <c r="D80" s="146" t="str">
        <f t="shared" si="137"/>
        <v/>
      </c>
      <c r="E80" s="77">
        <f t="shared" si="138"/>
        <v>0</v>
      </c>
      <c r="F80" s="77">
        <f t="shared" si="143"/>
        <v>1</v>
      </c>
      <c r="G80" s="76">
        <f t="shared" si="139"/>
        <v>1</v>
      </c>
      <c r="H80" s="76">
        <f t="shared" si="140"/>
        <v>0</v>
      </c>
      <c r="I80" s="77" t="b">
        <f t="shared" si="141"/>
        <v>0</v>
      </c>
      <c r="J80" s="77"/>
      <c r="K80" s="77"/>
      <c r="L80" s="77"/>
      <c r="M80" s="77"/>
      <c r="N80" s="632">
        <f ca="1">YEAR(SP_TargetRD)-$B80</f>
        <v>-34</v>
      </c>
      <c r="O80" s="243" t="e">
        <f ca="1">LT_InvestmentStocks*INDEX(SP_EA_ARStocks,EAIDX)+LT_InvestmentBonds*INDEX(SC_EA_ARBonds,EAIDX)</f>
        <v>#REF!</v>
      </c>
      <c r="P80" s="634" t="e">
        <f ca="1">MAX(P78+R78+S78+V78+W78,0)</f>
        <v>#VALUE!</v>
      </c>
      <c r="Q80" s="617" t="e">
        <f t="shared" ref="Q80" ca="1" si="188">MAX(Q78+R78+IF((P78+R78+S78)&gt;0,MAX(V78/(P78+R78+S78)*(Q78+R78),V78),0),0)</f>
        <v>#VALUE!</v>
      </c>
      <c r="R80" s="617" t="e">
        <f ca="1">IF(SC_ZX_CodeA="X", 0, MAX(INDEX(SC_ZX_IncomeSurplus,ZXIDX2)+INDEX(SC_ZX_Debt,ZXIDX2),0))</f>
        <v>#VALUE!</v>
      </c>
      <c r="S80" s="617" t="e">
        <f ca="1">IF(SC_ZX_CodeA="X", 0, INDEX(SC_EX_RolloverCore,EXIDX))</f>
        <v>#VALUE!</v>
      </c>
      <c r="T80" s="617" t="e">
        <f ca="1">P80+R80+S80</f>
        <v>#VALUE!</v>
      </c>
      <c r="U80" s="642" t="e">
        <f ca="1">IF(SC_ZX_BalanceAccessibleA&gt;0, T80/SC_ZX_BalanceAccessibleA, 0)</f>
        <v>#VALUE!</v>
      </c>
      <c r="V80" s="617" t="e">
        <f ca="1">-IF(SC_ZX_CodeA="X",0,MIN(U80*MAX(INDEX(SC_ZX_Drawdown,ZXIDX2),0),T80))</f>
        <v>#VALUE!</v>
      </c>
      <c r="W80" s="618" t="e">
        <f ca="1">(P80+R80+S80+V80)*$O80</f>
        <v>#VALUE!</v>
      </c>
      <c r="X80" s="75" t="e">
        <f t="shared" ca="1" si="145"/>
        <v>#REF!</v>
      </c>
      <c r="Y80" s="70" t="e">
        <f t="shared" ca="1" si="146"/>
        <v>#REF!</v>
      </c>
      <c r="Z80" s="70" t="e">
        <f t="shared" ca="1" si="147"/>
        <v>#REF!</v>
      </c>
      <c r="AA80" s="70" t="e">
        <f t="shared" ca="1" si="148"/>
        <v>#REF!</v>
      </c>
      <c r="AB80" s="67" t="e">
        <f t="shared" ca="1" si="181"/>
        <v>#REF!</v>
      </c>
      <c r="AC80" s="70" t="e">
        <f ca="1">-IF(INDEX(SC_ZX_CodeA,ZXIDX1)="X", 0, MIN(AB80*MAX(INDEX(SC_ZX_Drawdown,ZXIDX2),0),AA80))</f>
        <v>#REF!</v>
      </c>
      <c r="AD80" s="109" t="e">
        <f t="shared" ca="1" si="149"/>
        <v>#REF!</v>
      </c>
      <c r="AE80" s="75" t="e">
        <f t="shared" ca="1" si="150"/>
        <v>#REF!</v>
      </c>
      <c r="AF80" s="70" t="e">
        <f t="shared" ca="1" si="151"/>
        <v>#REF!</v>
      </c>
      <c r="AG80" s="70" t="e">
        <f t="shared" ca="1" si="152"/>
        <v>#REF!</v>
      </c>
      <c r="AH80" s="70" t="e">
        <f t="shared" ca="1" si="153"/>
        <v>#REF!</v>
      </c>
      <c r="AI80" s="67" t="e">
        <f t="shared" ca="1" si="182"/>
        <v>#REF!</v>
      </c>
      <c r="AJ80" s="70" t="e">
        <f ca="1">-IF(INDEX(SC_ZX_CodeA,ZXIDX1)="X", 0, MIN(AI80*MAX(INDEX(SC_ZX_Drawdown,ZXIDX2),0),AH80))</f>
        <v>#REF!</v>
      </c>
      <c r="AK80" s="109" t="e">
        <f t="shared" ca="1" si="154"/>
        <v>#REF!</v>
      </c>
      <c r="AL80" s="75" t="e">
        <f t="shared" ca="1" si="155"/>
        <v>#REF!</v>
      </c>
      <c r="AM80" s="70" t="e">
        <f t="shared" ca="1" si="156"/>
        <v>#REF!</v>
      </c>
      <c r="AN80" s="70" t="e">
        <f t="shared" ca="1" si="157"/>
        <v>#REF!</v>
      </c>
      <c r="AO80" s="70" t="e">
        <f t="shared" ca="1" si="158"/>
        <v>#REF!</v>
      </c>
      <c r="AP80" s="67" t="e">
        <f t="shared" ca="1" si="183"/>
        <v>#REF!</v>
      </c>
      <c r="AQ80" s="70" t="e">
        <f ca="1">-IF(INDEX(SC_ZX_CodeA,ZXIDX1)="X", 0, MIN(AP80*MAX(INDEX(SC_ZX_Drawdown,ZXIDX2),0),AO80))</f>
        <v>#REF!</v>
      </c>
      <c r="AR80" s="109" t="e">
        <f t="shared" ca="1" si="159"/>
        <v>#REF!</v>
      </c>
      <c r="AS80" s="75" t="e">
        <f t="shared" ca="1" si="160"/>
        <v>#REF!</v>
      </c>
      <c r="AT80" s="70" t="e">
        <f t="shared" ca="1" si="161"/>
        <v>#REF!</v>
      </c>
      <c r="AU80" s="70" t="e">
        <f t="shared" ca="1" si="162"/>
        <v>#REF!</v>
      </c>
      <c r="AV80" s="70" t="e">
        <f t="shared" ca="1" si="163"/>
        <v>#REF!</v>
      </c>
      <c r="AW80" s="67" t="e">
        <f t="shared" ca="1" si="184"/>
        <v>#REF!</v>
      </c>
      <c r="AX80" s="70" t="e">
        <f ca="1">-IF(INDEX(SC_ZX_CodeA,ZXIDX1)="X", 0, MIN(AW80*MAX(INDEX(SC_ZX_Drawdown,ZXIDX2),0),AV80))</f>
        <v>#REF!</v>
      </c>
      <c r="AY80" s="109" t="e">
        <f t="shared" ca="1" si="164"/>
        <v>#REF!</v>
      </c>
      <c r="AZ80" s="75" t="e">
        <f t="shared" ca="1" si="165"/>
        <v>#REF!</v>
      </c>
      <c r="BA80" s="70" t="e">
        <f t="shared" ca="1" si="166"/>
        <v>#REF!</v>
      </c>
      <c r="BB80" s="70" t="e">
        <f t="shared" ca="1" si="167"/>
        <v>#REF!</v>
      </c>
      <c r="BC80" s="70" t="e">
        <f t="shared" ca="1" si="168"/>
        <v>#REF!</v>
      </c>
      <c r="BD80" s="67" t="e">
        <f t="shared" ca="1" si="185"/>
        <v>#REF!</v>
      </c>
      <c r="BE80" s="70" t="e">
        <f ca="1">-IF(INDEX(SC_ZX_CodeA,ZXIDX1)="X", 0, MIN(BD80*MAX(INDEX(SC_ZX_Drawdown,ZXIDX2),0),AZ80))</f>
        <v>#REF!</v>
      </c>
      <c r="BF80" s="109" t="e">
        <f t="shared" ca="1" si="169"/>
        <v>#REF!</v>
      </c>
      <c r="BG80" s="75" t="e">
        <f t="shared" ca="1" si="170"/>
        <v>#REF!</v>
      </c>
      <c r="BH80" s="70" t="e">
        <f t="shared" ca="1" si="171"/>
        <v>#REF!</v>
      </c>
      <c r="BI80" s="70" t="e">
        <f t="shared" ca="1" si="172"/>
        <v>#REF!</v>
      </c>
      <c r="BJ80" s="70" t="e">
        <f t="shared" ca="1" si="173"/>
        <v>#REF!</v>
      </c>
      <c r="BK80" s="67" t="e">
        <f t="shared" ca="1" si="186"/>
        <v>#REF!</v>
      </c>
      <c r="BL80" s="70" t="e">
        <f ca="1">-IF(INDEX(SC_ZX_CodeA,ZXIDX1)="X", 0, MIN(BK80*MAX(INDEX(SC_ZX_Drawdown,ZXIDX2),0),BJ80))</f>
        <v>#REF!</v>
      </c>
      <c r="BM80" s="70" t="e">
        <f t="shared" ca="1" si="174"/>
        <v>#REF!</v>
      </c>
      <c r="BN80" s="111" t="e">
        <f t="shared" ca="1" si="175"/>
        <v>#REF!</v>
      </c>
      <c r="BO80" s="112" t="e">
        <f t="shared" ca="1" si="176"/>
        <v>#REF!</v>
      </c>
      <c r="BP80" s="112" t="e">
        <f ca="1">-($V80-IF(($P80+$R80+$S80)&gt;0,MAX($V80/($P80+$R80+$S80)*($Q80+$R80),$V80),0))*LT_InvestmentQDI</f>
        <v>#VALUE!</v>
      </c>
      <c r="BQ80" s="112" t="e">
        <f ca="1">-($V80-IF(($P80+$R80+$S80)&gt;0,MAX($V80/($P80+$R80+$S80)*($Q80+$R80),$V80),0))*(1-LT_InvestmentQDI)</f>
        <v>#VALUE!</v>
      </c>
      <c r="BR80" s="112" t="e">
        <f t="shared" ca="1" si="177"/>
        <v>#VALUE!</v>
      </c>
      <c r="BS80" s="112" t="e">
        <f t="shared" ca="1" si="178"/>
        <v>#VALUE!</v>
      </c>
      <c r="BT80" s="634" t="e">
        <f ca="1">SUMPRODUCT($BN80:$BN81+$BO80:$BO81, --($E80:$E81&lt;&gt;0))</f>
        <v>#REF!</v>
      </c>
      <c r="BU80" s="617" t="e">
        <f ca="1">SUMPRODUCT($BR80:$BR81+$BS80:$BS81, --($E80:$E81&lt;&gt;0))</f>
        <v>#VALUE!</v>
      </c>
      <c r="BV80" s="617" t="e">
        <f ca="1">$T80+SUMPRODUCT($AA80:$AA81+$AH80:$AH81+$AO80:$AO81+$AV80:$AV81+$BC80:$BC81+$BJ80:$BJ81, --($E80:$E81&lt;&gt;0))</f>
        <v>#VALUE!</v>
      </c>
      <c r="BW80" s="617" t="e">
        <f ca="1">MAX($P80-$Q80,0)+SUMPRODUCT($X80:$X81+$AL80:$AL81+$AZ80:$AZ81, --($E80:$E81&lt;&gt;0))</f>
        <v>#VALUE!</v>
      </c>
      <c r="BX80" s="618" t="e">
        <f ca="1">MIN($P80,$Q80)+SUMPRODUCT($AE80:$AE81+$AS80:$AS81+$BG80:$BG81, --($E80:$E81&lt;&gt;0))</f>
        <v>#VALUE!</v>
      </c>
      <c r="CO80" s="8"/>
    </row>
    <row r="81" spans="2:93" x14ac:dyDescent="0.25">
      <c r="B81" s="86">
        <f t="shared" ca="1" si="179"/>
        <v>2057</v>
      </c>
      <c r="C81" s="80" t="s">
        <v>741</v>
      </c>
      <c r="D81" s="147" t="str">
        <f t="shared" si="137"/>
        <v/>
      </c>
      <c r="E81" s="81">
        <f t="shared" si="138"/>
        <v>0</v>
      </c>
      <c r="F81" s="81">
        <f t="shared" si="143"/>
        <v>2</v>
      </c>
      <c r="G81" s="82">
        <f t="shared" si="139"/>
        <v>-1</v>
      </c>
      <c r="H81" s="82">
        <f t="shared" si="140"/>
        <v>0</v>
      </c>
      <c r="I81" s="81" t="b">
        <f t="shared" si="141"/>
        <v>0</v>
      </c>
      <c r="J81" s="81"/>
      <c r="K81" s="81"/>
      <c r="L81" s="81"/>
      <c r="M81" s="81"/>
      <c r="N81" s="633"/>
      <c r="O81" s="243" t="e">
        <f ca="1">LT_InvestmentStocks*INDEX(SP_EA_ARStocks,EAIDX)+LT_InvestmentBonds*INDEX(SC_EA_ARBonds,EAIDX)</f>
        <v>#REF!</v>
      </c>
      <c r="P81" s="634"/>
      <c r="Q81" s="617"/>
      <c r="R81" s="617"/>
      <c r="S81" s="617"/>
      <c r="T81" s="617"/>
      <c r="U81" s="643"/>
      <c r="V81" s="617"/>
      <c r="W81" s="639"/>
      <c r="X81" s="106" t="e">
        <f t="shared" ca="1" si="145"/>
        <v>#REF!</v>
      </c>
      <c r="Y81" s="107" t="e">
        <f t="shared" ca="1" si="146"/>
        <v>#REF!</v>
      </c>
      <c r="Z81" s="107" t="e">
        <f t="shared" ca="1" si="147"/>
        <v>#REF!</v>
      </c>
      <c r="AA81" s="107" t="e">
        <f t="shared" ca="1" si="148"/>
        <v>#REF!</v>
      </c>
      <c r="AB81" s="91" t="e">
        <f t="shared" ca="1" si="181"/>
        <v>#REF!</v>
      </c>
      <c r="AC81" s="107" t="e">
        <f ca="1">-IF(INDEX(SC_ZX_CodeA,ZXIDX1)="X", 0, MIN(AB81*MAX(INDEX(SC_ZX_Drawdown,ZXIDX2),0),AA81))</f>
        <v>#REF!</v>
      </c>
      <c r="AD81" s="110" t="e">
        <f t="shared" ca="1" si="149"/>
        <v>#REF!</v>
      </c>
      <c r="AE81" s="106" t="e">
        <f t="shared" ca="1" si="150"/>
        <v>#REF!</v>
      </c>
      <c r="AF81" s="107" t="e">
        <f t="shared" ca="1" si="151"/>
        <v>#REF!</v>
      </c>
      <c r="AG81" s="107" t="e">
        <f t="shared" ca="1" si="152"/>
        <v>#REF!</v>
      </c>
      <c r="AH81" s="107" t="e">
        <f t="shared" ca="1" si="153"/>
        <v>#REF!</v>
      </c>
      <c r="AI81" s="91" t="e">
        <f t="shared" ca="1" si="182"/>
        <v>#REF!</v>
      </c>
      <c r="AJ81" s="107" t="e">
        <f ca="1">-IF(INDEX(SC_ZX_CodeA,ZXIDX1)="X", 0, MIN(AI81*MAX(INDEX(SC_ZX_Drawdown,ZXIDX2),0),AH81))</f>
        <v>#REF!</v>
      </c>
      <c r="AK81" s="110" t="e">
        <f t="shared" ca="1" si="154"/>
        <v>#REF!</v>
      </c>
      <c r="AL81" s="106" t="e">
        <f t="shared" ca="1" si="155"/>
        <v>#REF!</v>
      </c>
      <c r="AM81" s="107" t="e">
        <f t="shared" ca="1" si="156"/>
        <v>#REF!</v>
      </c>
      <c r="AN81" s="107" t="e">
        <f t="shared" ca="1" si="157"/>
        <v>#REF!</v>
      </c>
      <c r="AO81" s="107" t="e">
        <f t="shared" ca="1" si="158"/>
        <v>#REF!</v>
      </c>
      <c r="AP81" s="91" t="e">
        <f t="shared" ca="1" si="183"/>
        <v>#REF!</v>
      </c>
      <c r="AQ81" s="107" t="e">
        <f ca="1">-IF(INDEX(SC_ZX_CodeA,ZXIDX1)="X", 0, MIN(AP81*MAX(INDEX(SC_ZX_Drawdown,ZXIDX2),0),AO81))</f>
        <v>#REF!</v>
      </c>
      <c r="AR81" s="110" t="e">
        <f t="shared" ca="1" si="159"/>
        <v>#REF!</v>
      </c>
      <c r="AS81" s="106" t="e">
        <f t="shared" ca="1" si="160"/>
        <v>#REF!</v>
      </c>
      <c r="AT81" s="107" t="e">
        <f t="shared" ca="1" si="161"/>
        <v>#REF!</v>
      </c>
      <c r="AU81" s="107" t="e">
        <f t="shared" ca="1" si="162"/>
        <v>#REF!</v>
      </c>
      <c r="AV81" s="107" t="e">
        <f t="shared" ca="1" si="163"/>
        <v>#REF!</v>
      </c>
      <c r="AW81" s="91" t="e">
        <f t="shared" ca="1" si="184"/>
        <v>#REF!</v>
      </c>
      <c r="AX81" s="107" t="e">
        <f ca="1">-IF(INDEX(SC_ZX_CodeA,ZXIDX1)="X", 0, MIN(AW81*MAX(INDEX(SC_ZX_Drawdown,ZXIDX2),0),AV81))</f>
        <v>#REF!</v>
      </c>
      <c r="AY81" s="110" t="e">
        <f t="shared" ca="1" si="164"/>
        <v>#REF!</v>
      </c>
      <c r="AZ81" s="106" t="e">
        <f t="shared" ca="1" si="165"/>
        <v>#REF!</v>
      </c>
      <c r="BA81" s="107" t="e">
        <f t="shared" ca="1" si="166"/>
        <v>#REF!</v>
      </c>
      <c r="BB81" s="107" t="e">
        <f t="shared" ca="1" si="167"/>
        <v>#REF!</v>
      </c>
      <c r="BC81" s="107" t="e">
        <f t="shared" ca="1" si="168"/>
        <v>#REF!</v>
      </c>
      <c r="BD81" s="91" t="e">
        <f t="shared" ca="1" si="185"/>
        <v>#REF!</v>
      </c>
      <c r="BE81" s="107" t="e">
        <f ca="1">-IF(INDEX(SC_ZX_CodeA,ZXIDX1)="X", 0, MIN(BD81*MAX(INDEX(SC_ZX_Drawdown,ZXIDX2),0),AZ81))</f>
        <v>#REF!</v>
      </c>
      <c r="BF81" s="110" t="e">
        <f t="shared" ca="1" si="169"/>
        <v>#REF!</v>
      </c>
      <c r="BG81" s="106" t="e">
        <f t="shared" ca="1" si="170"/>
        <v>#REF!</v>
      </c>
      <c r="BH81" s="107" t="e">
        <f t="shared" ca="1" si="171"/>
        <v>#REF!</v>
      </c>
      <c r="BI81" s="107" t="e">
        <f t="shared" ca="1" si="172"/>
        <v>#REF!</v>
      </c>
      <c r="BJ81" s="107" t="e">
        <f t="shared" ca="1" si="173"/>
        <v>#REF!</v>
      </c>
      <c r="BK81" s="91" t="e">
        <f t="shared" ca="1" si="186"/>
        <v>#REF!</v>
      </c>
      <c r="BL81" s="107" t="e">
        <f ca="1">-IF(INDEX(SC_ZX_CodeA,ZXIDX1)="X", 0, MIN(BK81*MAX(INDEX(SC_ZX_Drawdown,ZXIDX2),0),BJ81))</f>
        <v>#REF!</v>
      </c>
      <c r="BM81" s="107" t="e">
        <f t="shared" ca="1" si="174"/>
        <v>#REF!</v>
      </c>
      <c r="BN81" s="113" t="e">
        <f t="shared" ca="1" si="175"/>
        <v>#REF!</v>
      </c>
      <c r="BO81" s="114" t="e">
        <f t="shared" ca="1" si="176"/>
        <v>#REF!</v>
      </c>
      <c r="BP81" s="114" t="e">
        <f ca="1">-($V81-IF(($P81+$R81+$S81)&gt;0,MAX($V81/($P81+$R81+$S81)*($Q81+$R81),$V81),0))*LT_InvestmentQDI</f>
        <v>#REF!</v>
      </c>
      <c r="BQ81" s="114" t="e">
        <f ca="1">-($V81-IF(($P81+$R81+$S81)&gt;0,MAX($V81/($P81+$R81+$S81)*($Q81+$R81),$V81),0))*(1-LT_InvestmentQDI)</f>
        <v>#REF!</v>
      </c>
      <c r="BR81" s="114" t="e">
        <f t="shared" ca="1" si="177"/>
        <v>#REF!</v>
      </c>
      <c r="BS81" s="114" t="e">
        <f t="shared" ca="1" si="178"/>
        <v>#REF!</v>
      </c>
      <c r="BT81" s="649"/>
      <c r="BU81" s="637"/>
      <c r="BV81" s="637"/>
      <c r="BW81" s="637"/>
      <c r="BX81" s="639"/>
      <c r="CO81" s="8"/>
    </row>
    <row r="82" spans="2:93" x14ac:dyDescent="0.25">
      <c r="B82" s="65">
        <f ca="1">B80+1</f>
        <v>2058</v>
      </c>
      <c r="C82" s="76" t="s">
        <v>741</v>
      </c>
      <c r="D82" s="146" t="str">
        <f t="shared" si="137"/>
        <v/>
      </c>
      <c r="E82" s="77">
        <f t="shared" si="138"/>
        <v>0</v>
      </c>
      <c r="F82" s="77">
        <f t="shared" si="143"/>
        <v>1</v>
      </c>
      <c r="G82" s="76">
        <f t="shared" si="139"/>
        <v>1</v>
      </c>
      <c r="H82" s="76">
        <f t="shared" si="140"/>
        <v>0</v>
      </c>
      <c r="I82" s="77" t="b">
        <f t="shared" si="141"/>
        <v>0</v>
      </c>
      <c r="J82" s="77"/>
      <c r="K82" s="77"/>
      <c r="L82" s="77"/>
      <c r="M82" s="77"/>
      <c r="N82" s="632">
        <f ca="1">YEAR(SP_TargetRD)-$B82</f>
        <v>-35</v>
      </c>
      <c r="O82" s="243" t="e">
        <f ca="1">LT_InvestmentStocks*INDEX(SP_EA_ARStocks,EAIDX)+LT_InvestmentBonds*INDEX(SC_EA_ARBonds,EAIDX)</f>
        <v>#REF!</v>
      </c>
      <c r="P82" s="634" t="e">
        <f ca="1">MAX(P80+R80+S80+V80+W80,0)</f>
        <v>#VALUE!</v>
      </c>
      <c r="Q82" s="617" t="e">
        <f t="shared" ref="Q82" ca="1" si="189">MAX(Q80+R80+IF((P80+R80+S80)&gt;0,MAX(V80/(P80+R80+S80)*(Q80+R80),V80),0),0)</f>
        <v>#VALUE!</v>
      </c>
      <c r="R82" s="617" t="e">
        <f ca="1">IF(SC_ZX_CodeA="X", 0, MAX(INDEX(SC_ZX_IncomeSurplus,ZXIDX2)+INDEX(SC_ZX_Debt,ZXIDX2),0))</f>
        <v>#VALUE!</v>
      </c>
      <c r="S82" s="617" t="e">
        <f ca="1">IF(SC_ZX_CodeA="X", 0, INDEX(SC_EX_RolloverCore,EXIDX))</f>
        <v>#VALUE!</v>
      </c>
      <c r="T82" s="617" t="e">
        <f ca="1">P82+R82+S82</f>
        <v>#VALUE!</v>
      </c>
      <c r="U82" s="642" t="e">
        <f ca="1">IF(SC_ZX_BalanceAccessibleA&gt;0, T82/SC_ZX_BalanceAccessibleA, 0)</f>
        <v>#VALUE!</v>
      </c>
      <c r="V82" s="617" t="e">
        <f ca="1">-IF(SC_ZX_CodeA="X",0,MIN(U82*MAX(INDEX(SC_ZX_Drawdown,ZXIDX2),0),T82))</f>
        <v>#VALUE!</v>
      </c>
      <c r="W82" s="618" t="e">
        <f ca="1">(P82+R82+S82+V82)*$O82</f>
        <v>#VALUE!</v>
      </c>
      <c r="X82" s="75" t="e">
        <f t="shared" ca="1" si="145"/>
        <v>#REF!</v>
      </c>
      <c r="Y82" s="70" t="e">
        <f t="shared" ca="1" si="146"/>
        <v>#REF!</v>
      </c>
      <c r="Z82" s="70" t="e">
        <f t="shared" ca="1" si="147"/>
        <v>#REF!</v>
      </c>
      <c r="AA82" s="70" t="e">
        <f t="shared" ca="1" si="148"/>
        <v>#REF!</v>
      </c>
      <c r="AB82" s="67" t="e">
        <f t="shared" ca="1" si="181"/>
        <v>#REF!</v>
      </c>
      <c r="AC82" s="70" t="e">
        <f ca="1">-IF(INDEX(SC_ZX_CodeA,ZXIDX1)="X", 0, MIN(AB82*MAX(INDEX(SC_ZX_Drawdown,ZXIDX2),0),AA82))</f>
        <v>#REF!</v>
      </c>
      <c r="AD82" s="109" t="e">
        <f t="shared" ca="1" si="149"/>
        <v>#REF!</v>
      </c>
      <c r="AE82" s="75" t="e">
        <f t="shared" ca="1" si="150"/>
        <v>#REF!</v>
      </c>
      <c r="AF82" s="70" t="e">
        <f t="shared" ca="1" si="151"/>
        <v>#REF!</v>
      </c>
      <c r="AG82" s="70" t="e">
        <f t="shared" ca="1" si="152"/>
        <v>#REF!</v>
      </c>
      <c r="AH82" s="70" t="e">
        <f t="shared" ca="1" si="153"/>
        <v>#REF!</v>
      </c>
      <c r="AI82" s="67" t="e">
        <f t="shared" ca="1" si="182"/>
        <v>#REF!</v>
      </c>
      <c r="AJ82" s="70" t="e">
        <f ca="1">-IF(INDEX(SC_ZX_CodeA,ZXIDX1)="X", 0, MIN(AI82*MAX(INDEX(SC_ZX_Drawdown,ZXIDX2),0),AH82))</f>
        <v>#REF!</v>
      </c>
      <c r="AK82" s="109" t="e">
        <f t="shared" ca="1" si="154"/>
        <v>#REF!</v>
      </c>
      <c r="AL82" s="75" t="e">
        <f t="shared" ca="1" si="155"/>
        <v>#REF!</v>
      </c>
      <c r="AM82" s="70" t="e">
        <f t="shared" ca="1" si="156"/>
        <v>#REF!</v>
      </c>
      <c r="AN82" s="70" t="e">
        <f t="shared" ca="1" si="157"/>
        <v>#REF!</v>
      </c>
      <c r="AO82" s="70" t="e">
        <f t="shared" ca="1" si="158"/>
        <v>#REF!</v>
      </c>
      <c r="AP82" s="67" t="e">
        <f t="shared" ca="1" si="183"/>
        <v>#REF!</v>
      </c>
      <c r="AQ82" s="70" t="e">
        <f ca="1">-IF(INDEX(SC_ZX_CodeA,ZXIDX1)="X", 0, MIN(AP82*MAX(INDEX(SC_ZX_Drawdown,ZXIDX2),0),AO82))</f>
        <v>#REF!</v>
      </c>
      <c r="AR82" s="109" t="e">
        <f t="shared" ca="1" si="159"/>
        <v>#REF!</v>
      </c>
      <c r="AS82" s="75" t="e">
        <f t="shared" ca="1" si="160"/>
        <v>#REF!</v>
      </c>
      <c r="AT82" s="70" t="e">
        <f t="shared" ca="1" si="161"/>
        <v>#REF!</v>
      </c>
      <c r="AU82" s="70" t="e">
        <f t="shared" ca="1" si="162"/>
        <v>#REF!</v>
      </c>
      <c r="AV82" s="70" t="e">
        <f t="shared" ca="1" si="163"/>
        <v>#REF!</v>
      </c>
      <c r="AW82" s="67" t="e">
        <f t="shared" ca="1" si="184"/>
        <v>#REF!</v>
      </c>
      <c r="AX82" s="70" t="e">
        <f ca="1">-IF(INDEX(SC_ZX_CodeA,ZXIDX1)="X", 0, MIN(AW82*MAX(INDEX(SC_ZX_Drawdown,ZXIDX2),0),AV82))</f>
        <v>#REF!</v>
      </c>
      <c r="AY82" s="109" t="e">
        <f t="shared" ca="1" si="164"/>
        <v>#REF!</v>
      </c>
      <c r="AZ82" s="75" t="e">
        <f t="shared" ca="1" si="165"/>
        <v>#REF!</v>
      </c>
      <c r="BA82" s="70" t="e">
        <f t="shared" ca="1" si="166"/>
        <v>#REF!</v>
      </c>
      <c r="BB82" s="70" t="e">
        <f t="shared" ca="1" si="167"/>
        <v>#REF!</v>
      </c>
      <c r="BC82" s="70" t="e">
        <f t="shared" ca="1" si="168"/>
        <v>#REF!</v>
      </c>
      <c r="BD82" s="67" t="e">
        <f t="shared" ca="1" si="185"/>
        <v>#REF!</v>
      </c>
      <c r="BE82" s="70" t="e">
        <f ca="1">-IF(INDEX(SC_ZX_CodeA,ZXIDX1)="X", 0, MIN(BD82*MAX(INDEX(SC_ZX_Drawdown,ZXIDX2),0),AZ82))</f>
        <v>#REF!</v>
      </c>
      <c r="BF82" s="109" t="e">
        <f t="shared" ca="1" si="169"/>
        <v>#REF!</v>
      </c>
      <c r="BG82" s="75" t="e">
        <f t="shared" ca="1" si="170"/>
        <v>#REF!</v>
      </c>
      <c r="BH82" s="70" t="e">
        <f t="shared" ca="1" si="171"/>
        <v>#REF!</v>
      </c>
      <c r="BI82" s="70" t="e">
        <f t="shared" ca="1" si="172"/>
        <v>#REF!</v>
      </c>
      <c r="BJ82" s="70" t="e">
        <f t="shared" ca="1" si="173"/>
        <v>#REF!</v>
      </c>
      <c r="BK82" s="67" t="e">
        <f t="shared" ca="1" si="186"/>
        <v>#REF!</v>
      </c>
      <c r="BL82" s="70" t="e">
        <f ca="1">-IF(INDEX(SC_ZX_CodeA,ZXIDX1)="X", 0, MIN(BK82*MAX(INDEX(SC_ZX_Drawdown,ZXIDX2),0),BJ82))</f>
        <v>#REF!</v>
      </c>
      <c r="BM82" s="70" t="e">
        <f t="shared" ca="1" si="174"/>
        <v>#REF!</v>
      </c>
      <c r="BN82" s="111" t="e">
        <f t="shared" ca="1" si="175"/>
        <v>#REF!</v>
      </c>
      <c r="BO82" s="112" t="e">
        <f t="shared" ca="1" si="176"/>
        <v>#REF!</v>
      </c>
      <c r="BP82" s="112" t="e">
        <f ca="1">-($V82-IF(($P82+$R82+$S82)&gt;0,MAX($V82/($P82+$R82+$S82)*($Q82+$R82),$V82),0))*LT_InvestmentQDI</f>
        <v>#VALUE!</v>
      </c>
      <c r="BQ82" s="112" t="e">
        <f ca="1">-($V82-IF(($P82+$R82+$S82)&gt;0,MAX($V82/($P82+$R82+$S82)*($Q82+$R82),$V82),0))*(1-LT_InvestmentQDI)</f>
        <v>#VALUE!</v>
      </c>
      <c r="BR82" s="112" t="e">
        <f t="shared" ca="1" si="177"/>
        <v>#VALUE!</v>
      </c>
      <c r="BS82" s="112" t="e">
        <f t="shared" ca="1" si="178"/>
        <v>#VALUE!</v>
      </c>
      <c r="BT82" s="634" t="e">
        <f ca="1">SUMPRODUCT($BN82:$BN83+$BO82:$BO83, --($E82:$E83&lt;&gt;0))</f>
        <v>#REF!</v>
      </c>
      <c r="BU82" s="617" t="e">
        <f ca="1">SUMPRODUCT($BR82:$BR83+$BS82:$BS83, --($E82:$E83&lt;&gt;0))</f>
        <v>#VALUE!</v>
      </c>
      <c r="BV82" s="617" t="e">
        <f ca="1">$T82+SUMPRODUCT($AA82:$AA83+$AH82:$AH83+$AO82:$AO83+$AV82:$AV83+$BC82:$BC83+$BJ82:$BJ83, --($E82:$E83&lt;&gt;0))</f>
        <v>#VALUE!</v>
      </c>
      <c r="BW82" s="617" t="e">
        <f ca="1">MAX($P82-$Q82,0)+SUMPRODUCT($X82:$X83+$AL82:$AL83+$AZ82:$AZ83, --($E82:$E83&lt;&gt;0))</f>
        <v>#VALUE!</v>
      </c>
      <c r="BX82" s="618" t="e">
        <f ca="1">MIN($P82,$Q82)+SUMPRODUCT($AE82:$AE83+$AS82:$AS83+$BG82:$BG83, --($E82:$E83&lt;&gt;0))</f>
        <v>#VALUE!</v>
      </c>
      <c r="CO82" s="8"/>
    </row>
    <row r="83" spans="2:93" x14ac:dyDescent="0.25">
      <c r="B83" s="86">
        <f t="shared" ca="1" si="179"/>
        <v>2058</v>
      </c>
      <c r="C83" s="80" t="s">
        <v>741</v>
      </c>
      <c r="D83" s="147" t="str">
        <f t="shared" si="137"/>
        <v/>
      </c>
      <c r="E83" s="81">
        <f t="shared" si="138"/>
        <v>0</v>
      </c>
      <c r="F83" s="81">
        <f t="shared" si="143"/>
        <v>2</v>
      </c>
      <c r="G83" s="82">
        <f t="shared" si="139"/>
        <v>-1</v>
      </c>
      <c r="H83" s="82">
        <f t="shared" si="140"/>
        <v>0</v>
      </c>
      <c r="I83" s="81" t="b">
        <f t="shared" si="141"/>
        <v>0</v>
      </c>
      <c r="J83" s="81"/>
      <c r="K83" s="81"/>
      <c r="L83" s="81"/>
      <c r="M83" s="81"/>
      <c r="N83" s="633"/>
      <c r="O83" s="243" t="e">
        <f ca="1">LT_InvestmentStocks*INDEX(SP_EA_ARStocks,EAIDX)+LT_InvestmentBonds*INDEX(SC_EA_ARBonds,EAIDX)</f>
        <v>#REF!</v>
      </c>
      <c r="P83" s="634"/>
      <c r="Q83" s="617"/>
      <c r="R83" s="617"/>
      <c r="S83" s="617"/>
      <c r="T83" s="617"/>
      <c r="U83" s="643"/>
      <c r="V83" s="617"/>
      <c r="W83" s="639"/>
      <c r="X83" s="106" t="e">
        <f t="shared" ca="1" si="145"/>
        <v>#REF!</v>
      </c>
      <c r="Y83" s="107" t="e">
        <f t="shared" ca="1" si="146"/>
        <v>#REF!</v>
      </c>
      <c r="Z83" s="107" t="e">
        <f t="shared" ca="1" si="147"/>
        <v>#REF!</v>
      </c>
      <c r="AA83" s="107" t="e">
        <f t="shared" ca="1" si="148"/>
        <v>#REF!</v>
      </c>
      <c r="AB83" s="91" t="e">
        <f t="shared" ca="1" si="181"/>
        <v>#REF!</v>
      </c>
      <c r="AC83" s="107" t="e">
        <f ca="1">-IF(INDEX(SC_ZX_CodeA,ZXIDX1)="X", 0, MIN(AB83*MAX(INDEX(SC_ZX_Drawdown,ZXIDX2),0),AA83))</f>
        <v>#REF!</v>
      </c>
      <c r="AD83" s="110" t="e">
        <f t="shared" ca="1" si="149"/>
        <v>#REF!</v>
      </c>
      <c r="AE83" s="106" t="e">
        <f t="shared" ca="1" si="150"/>
        <v>#REF!</v>
      </c>
      <c r="AF83" s="107" t="e">
        <f t="shared" ca="1" si="151"/>
        <v>#REF!</v>
      </c>
      <c r="AG83" s="107" t="e">
        <f t="shared" ca="1" si="152"/>
        <v>#REF!</v>
      </c>
      <c r="AH83" s="107" t="e">
        <f t="shared" ca="1" si="153"/>
        <v>#REF!</v>
      </c>
      <c r="AI83" s="91" t="e">
        <f t="shared" ca="1" si="182"/>
        <v>#REF!</v>
      </c>
      <c r="AJ83" s="107" t="e">
        <f ca="1">-IF(INDEX(SC_ZX_CodeA,ZXIDX1)="X", 0, MIN(AI83*MAX(INDEX(SC_ZX_Drawdown,ZXIDX2),0),AH83))</f>
        <v>#REF!</v>
      </c>
      <c r="AK83" s="110" t="e">
        <f t="shared" ca="1" si="154"/>
        <v>#REF!</v>
      </c>
      <c r="AL83" s="106" t="e">
        <f t="shared" ca="1" si="155"/>
        <v>#REF!</v>
      </c>
      <c r="AM83" s="107" t="e">
        <f t="shared" ca="1" si="156"/>
        <v>#REF!</v>
      </c>
      <c r="AN83" s="107" t="e">
        <f t="shared" ca="1" si="157"/>
        <v>#REF!</v>
      </c>
      <c r="AO83" s="107" t="e">
        <f t="shared" ca="1" si="158"/>
        <v>#REF!</v>
      </c>
      <c r="AP83" s="91" t="e">
        <f t="shared" ca="1" si="183"/>
        <v>#REF!</v>
      </c>
      <c r="AQ83" s="107" t="e">
        <f ca="1">-IF(INDEX(SC_ZX_CodeA,ZXIDX1)="X", 0, MIN(AP83*MAX(INDEX(SC_ZX_Drawdown,ZXIDX2),0),AO83))</f>
        <v>#REF!</v>
      </c>
      <c r="AR83" s="110" t="e">
        <f t="shared" ca="1" si="159"/>
        <v>#REF!</v>
      </c>
      <c r="AS83" s="106" t="e">
        <f t="shared" ca="1" si="160"/>
        <v>#REF!</v>
      </c>
      <c r="AT83" s="107" t="e">
        <f t="shared" ca="1" si="161"/>
        <v>#REF!</v>
      </c>
      <c r="AU83" s="107" t="e">
        <f t="shared" ca="1" si="162"/>
        <v>#REF!</v>
      </c>
      <c r="AV83" s="107" t="e">
        <f t="shared" ca="1" si="163"/>
        <v>#REF!</v>
      </c>
      <c r="AW83" s="91" t="e">
        <f t="shared" ca="1" si="184"/>
        <v>#REF!</v>
      </c>
      <c r="AX83" s="107" t="e">
        <f ca="1">-IF(INDEX(SC_ZX_CodeA,ZXIDX1)="X", 0, MIN(AW83*MAX(INDEX(SC_ZX_Drawdown,ZXIDX2),0),AV83))</f>
        <v>#REF!</v>
      </c>
      <c r="AY83" s="110" t="e">
        <f t="shared" ca="1" si="164"/>
        <v>#REF!</v>
      </c>
      <c r="AZ83" s="106" t="e">
        <f t="shared" ca="1" si="165"/>
        <v>#REF!</v>
      </c>
      <c r="BA83" s="107" t="e">
        <f t="shared" ca="1" si="166"/>
        <v>#REF!</v>
      </c>
      <c r="BB83" s="107" t="e">
        <f t="shared" ca="1" si="167"/>
        <v>#REF!</v>
      </c>
      <c r="BC83" s="107" t="e">
        <f t="shared" ca="1" si="168"/>
        <v>#REF!</v>
      </c>
      <c r="BD83" s="91" t="e">
        <f t="shared" ca="1" si="185"/>
        <v>#REF!</v>
      </c>
      <c r="BE83" s="107" t="e">
        <f ca="1">-IF(INDEX(SC_ZX_CodeA,ZXIDX1)="X", 0, MIN(BD83*MAX(INDEX(SC_ZX_Drawdown,ZXIDX2),0),AZ83))</f>
        <v>#REF!</v>
      </c>
      <c r="BF83" s="110" t="e">
        <f t="shared" ca="1" si="169"/>
        <v>#REF!</v>
      </c>
      <c r="BG83" s="106" t="e">
        <f t="shared" ca="1" si="170"/>
        <v>#REF!</v>
      </c>
      <c r="BH83" s="107" t="e">
        <f t="shared" ca="1" si="171"/>
        <v>#REF!</v>
      </c>
      <c r="BI83" s="107" t="e">
        <f t="shared" ca="1" si="172"/>
        <v>#REF!</v>
      </c>
      <c r="BJ83" s="107" t="e">
        <f t="shared" ca="1" si="173"/>
        <v>#REF!</v>
      </c>
      <c r="BK83" s="91" t="e">
        <f t="shared" ca="1" si="186"/>
        <v>#REF!</v>
      </c>
      <c r="BL83" s="107" t="e">
        <f ca="1">-IF(INDEX(SC_ZX_CodeA,ZXIDX1)="X", 0, MIN(BK83*MAX(INDEX(SC_ZX_Drawdown,ZXIDX2),0),BJ83))</f>
        <v>#REF!</v>
      </c>
      <c r="BM83" s="107" t="e">
        <f t="shared" ca="1" si="174"/>
        <v>#REF!</v>
      </c>
      <c r="BN83" s="113" t="e">
        <f t="shared" ca="1" si="175"/>
        <v>#REF!</v>
      </c>
      <c r="BO83" s="114" t="e">
        <f t="shared" ca="1" si="176"/>
        <v>#REF!</v>
      </c>
      <c r="BP83" s="114" t="e">
        <f ca="1">-($V83-IF(($P83+$R83+$S83)&gt;0,MAX($V83/($P83+$R83+$S83)*($Q83+$R83),$V83),0))*LT_InvestmentQDI</f>
        <v>#REF!</v>
      </c>
      <c r="BQ83" s="114" t="e">
        <f ca="1">-($V83-IF(($P83+$R83+$S83)&gt;0,MAX($V83/($P83+$R83+$S83)*($Q83+$R83),$V83),0))*(1-LT_InvestmentQDI)</f>
        <v>#REF!</v>
      </c>
      <c r="BR83" s="114" t="e">
        <f t="shared" ca="1" si="177"/>
        <v>#REF!</v>
      </c>
      <c r="BS83" s="114" t="e">
        <f t="shared" ca="1" si="178"/>
        <v>#REF!</v>
      </c>
      <c r="BT83" s="649"/>
      <c r="BU83" s="637"/>
      <c r="BV83" s="637"/>
      <c r="BW83" s="637"/>
      <c r="BX83" s="639"/>
      <c r="CO83" s="8"/>
    </row>
    <row r="84" spans="2:93" x14ac:dyDescent="0.25">
      <c r="B84" s="65">
        <f ca="1">B82+1</f>
        <v>2059</v>
      </c>
      <c r="C84" s="76" t="s">
        <v>741</v>
      </c>
      <c r="D84" s="146" t="str">
        <f t="shared" si="137"/>
        <v/>
      </c>
      <c r="E84" s="77">
        <f t="shared" si="138"/>
        <v>0</v>
      </c>
      <c r="F84" s="77">
        <f t="shared" si="143"/>
        <v>1</v>
      </c>
      <c r="G84" s="76">
        <f t="shared" si="139"/>
        <v>1</v>
      </c>
      <c r="H84" s="76">
        <f t="shared" si="140"/>
        <v>0</v>
      </c>
      <c r="I84" s="77" t="b">
        <f t="shared" si="141"/>
        <v>0</v>
      </c>
      <c r="J84" s="77"/>
      <c r="K84" s="77"/>
      <c r="L84" s="77"/>
      <c r="M84" s="77"/>
      <c r="N84" s="632">
        <f ca="1">YEAR(SP_TargetRD)-$B84</f>
        <v>-36</v>
      </c>
      <c r="O84" s="243" t="e">
        <f ca="1">LT_InvestmentStocks*INDEX(SP_EA_ARStocks,EAIDX)+LT_InvestmentBonds*INDEX(SC_EA_ARBonds,EAIDX)</f>
        <v>#REF!</v>
      </c>
      <c r="P84" s="634" t="e">
        <f ca="1">MAX(P82+R82+S82+V82+W82,0)</f>
        <v>#VALUE!</v>
      </c>
      <c r="Q84" s="617" t="e">
        <f t="shared" ref="Q84" ca="1" si="190">MAX(Q82+R82+IF((P82+R82+S82)&gt;0,MAX(V82/(P82+R82+S82)*(Q82+R82),V82),0),0)</f>
        <v>#VALUE!</v>
      </c>
      <c r="R84" s="617" t="e">
        <f ca="1">IF(SC_ZX_CodeA="X", 0, MAX(INDEX(SC_ZX_IncomeSurplus,ZXIDX2)+INDEX(SC_ZX_Debt,ZXIDX2),0))</f>
        <v>#VALUE!</v>
      </c>
      <c r="S84" s="617" t="e">
        <f ca="1">IF(SC_ZX_CodeA="X", 0, INDEX(SC_EX_RolloverCore,EXIDX))</f>
        <v>#VALUE!</v>
      </c>
      <c r="T84" s="617" t="e">
        <f ca="1">P84+R84+S84</f>
        <v>#VALUE!</v>
      </c>
      <c r="U84" s="642" t="e">
        <f ca="1">IF(SC_ZX_BalanceAccessibleA&gt;0, T84/SC_ZX_BalanceAccessibleA, 0)</f>
        <v>#VALUE!</v>
      </c>
      <c r="V84" s="617" t="e">
        <f ca="1">-IF(SC_ZX_CodeA="X",0,MIN(U84*MAX(INDEX(SC_ZX_Drawdown,ZXIDX2),0),T84))</f>
        <v>#VALUE!</v>
      </c>
      <c r="W84" s="618" t="e">
        <f ca="1">(P84+R84+S84+V84)*$O84</f>
        <v>#VALUE!</v>
      </c>
      <c r="X84" s="75" t="e">
        <f t="shared" ca="1" si="145"/>
        <v>#REF!</v>
      </c>
      <c r="Y84" s="70" t="e">
        <f t="shared" ca="1" si="146"/>
        <v>#REF!</v>
      </c>
      <c r="Z84" s="70" t="e">
        <f t="shared" ca="1" si="147"/>
        <v>#REF!</v>
      </c>
      <c r="AA84" s="70" t="e">
        <f t="shared" ca="1" si="148"/>
        <v>#REF!</v>
      </c>
      <c r="AB84" s="67" t="e">
        <f t="shared" ca="1" si="181"/>
        <v>#REF!</v>
      </c>
      <c r="AC84" s="70" t="e">
        <f ca="1">-IF(INDEX(SC_ZX_CodeA,ZXIDX1)="X", 0, MIN(AB84*MAX(INDEX(SC_ZX_Drawdown,ZXIDX2),0),AA84))</f>
        <v>#REF!</v>
      </c>
      <c r="AD84" s="109" t="e">
        <f t="shared" ca="1" si="149"/>
        <v>#REF!</v>
      </c>
      <c r="AE84" s="75" t="e">
        <f t="shared" ca="1" si="150"/>
        <v>#REF!</v>
      </c>
      <c r="AF84" s="70" t="e">
        <f t="shared" ca="1" si="151"/>
        <v>#REF!</v>
      </c>
      <c r="AG84" s="70" t="e">
        <f t="shared" ca="1" si="152"/>
        <v>#REF!</v>
      </c>
      <c r="AH84" s="70" t="e">
        <f t="shared" ca="1" si="153"/>
        <v>#REF!</v>
      </c>
      <c r="AI84" s="67" t="e">
        <f t="shared" ca="1" si="182"/>
        <v>#REF!</v>
      </c>
      <c r="AJ84" s="70" t="e">
        <f ca="1">-IF(INDEX(SC_ZX_CodeA,ZXIDX1)="X", 0, MIN(AI84*MAX(INDEX(SC_ZX_Drawdown,ZXIDX2),0),AH84))</f>
        <v>#REF!</v>
      </c>
      <c r="AK84" s="109" t="e">
        <f t="shared" ca="1" si="154"/>
        <v>#REF!</v>
      </c>
      <c r="AL84" s="75" t="e">
        <f t="shared" ca="1" si="155"/>
        <v>#REF!</v>
      </c>
      <c r="AM84" s="70" t="e">
        <f t="shared" ca="1" si="156"/>
        <v>#REF!</v>
      </c>
      <c r="AN84" s="70" t="e">
        <f t="shared" ca="1" si="157"/>
        <v>#REF!</v>
      </c>
      <c r="AO84" s="70" t="e">
        <f t="shared" ca="1" si="158"/>
        <v>#REF!</v>
      </c>
      <c r="AP84" s="67" t="e">
        <f t="shared" ca="1" si="183"/>
        <v>#REF!</v>
      </c>
      <c r="AQ84" s="70" t="e">
        <f ca="1">-IF(INDEX(SC_ZX_CodeA,ZXIDX1)="X", 0, MIN(AP84*MAX(INDEX(SC_ZX_Drawdown,ZXIDX2),0),AO84))</f>
        <v>#REF!</v>
      </c>
      <c r="AR84" s="109" t="e">
        <f t="shared" ca="1" si="159"/>
        <v>#REF!</v>
      </c>
      <c r="AS84" s="75" t="e">
        <f t="shared" ca="1" si="160"/>
        <v>#REF!</v>
      </c>
      <c r="AT84" s="70" t="e">
        <f t="shared" ca="1" si="161"/>
        <v>#REF!</v>
      </c>
      <c r="AU84" s="70" t="e">
        <f t="shared" ca="1" si="162"/>
        <v>#REF!</v>
      </c>
      <c r="AV84" s="70" t="e">
        <f t="shared" ca="1" si="163"/>
        <v>#REF!</v>
      </c>
      <c r="AW84" s="67" t="e">
        <f t="shared" ca="1" si="184"/>
        <v>#REF!</v>
      </c>
      <c r="AX84" s="70" t="e">
        <f ca="1">-IF(INDEX(SC_ZX_CodeA,ZXIDX1)="X", 0, MIN(AW84*MAX(INDEX(SC_ZX_Drawdown,ZXIDX2),0),AV84))</f>
        <v>#REF!</v>
      </c>
      <c r="AY84" s="109" t="e">
        <f t="shared" ca="1" si="164"/>
        <v>#REF!</v>
      </c>
      <c r="AZ84" s="75" t="e">
        <f t="shared" ca="1" si="165"/>
        <v>#REF!</v>
      </c>
      <c r="BA84" s="70" t="e">
        <f t="shared" ca="1" si="166"/>
        <v>#REF!</v>
      </c>
      <c r="BB84" s="70" t="e">
        <f t="shared" ca="1" si="167"/>
        <v>#REF!</v>
      </c>
      <c r="BC84" s="70" t="e">
        <f t="shared" ca="1" si="168"/>
        <v>#REF!</v>
      </c>
      <c r="BD84" s="67" t="e">
        <f t="shared" ca="1" si="185"/>
        <v>#REF!</v>
      </c>
      <c r="BE84" s="70" t="e">
        <f ca="1">-IF(INDEX(SC_ZX_CodeA,ZXIDX1)="X", 0, MIN(BD84*MAX(INDEX(SC_ZX_Drawdown,ZXIDX2),0),AZ84))</f>
        <v>#REF!</v>
      </c>
      <c r="BF84" s="109" t="e">
        <f t="shared" ca="1" si="169"/>
        <v>#REF!</v>
      </c>
      <c r="BG84" s="75" t="e">
        <f t="shared" ca="1" si="170"/>
        <v>#REF!</v>
      </c>
      <c r="BH84" s="70" t="e">
        <f t="shared" ca="1" si="171"/>
        <v>#REF!</v>
      </c>
      <c r="BI84" s="70" t="e">
        <f t="shared" ca="1" si="172"/>
        <v>#REF!</v>
      </c>
      <c r="BJ84" s="70" t="e">
        <f t="shared" ca="1" si="173"/>
        <v>#REF!</v>
      </c>
      <c r="BK84" s="67" t="e">
        <f t="shared" ca="1" si="186"/>
        <v>#REF!</v>
      </c>
      <c r="BL84" s="70" t="e">
        <f ca="1">-IF(INDEX(SC_ZX_CodeA,ZXIDX1)="X", 0, MIN(BK84*MAX(INDEX(SC_ZX_Drawdown,ZXIDX2),0),BJ84))</f>
        <v>#REF!</v>
      </c>
      <c r="BM84" s="70" t="e">
        <f t="shared" ca="1" si="174"/>
        <v>#REF!</v>
      </c>
      <c r="BN84" s="111" t="e">
        <f t="shared" ca="1" si="175"/>
        <v>#REF!</v>
      </c>
      <c r="BO84" s="112" t="e">
        <f t="shared" ca="1" si="176"/>
        <v>#REF!</v>
      </c>
      <c r="BP84" s="112" t="e">
        <f ca="1">-($V84-IF(($P84+$R84+$S84)&gt;0,MAX($V84/($P84+$R84+$S84)*($Q84+$R84),$V84),0))*LT_InvestmentQDI</f>
        <v>#VALUE!</v>
      </c>
      <c r="BQ84" s="112" t="e">
        <f ca="1">-($V84-IF(($P84+$R84+$S84)&gt;0,MAX($V84/($P84+$R84+$S84)*($Q84+$R84),$V84),0))*(1-LT_InvestmentQDI)</f>
        <v>#VALUE!</v>
      </c>
      <c r="BR84" s="112" t="e">
        <f t="shared" ca="1" si="177"/>
        <v>#VALUE!</v>
      </c>
      <c r="BS84" s="112" t="e">
        <f t="shared" ca="1" si="178"/>
        <v>#VALUE!</v>
      </c>
      <c r="BT84" s="634" t="e">
        <f ca="1">SUMPRODUCT($BN84:$BN85+$BO84:$BO85, --($E84:$E85&lt;&gt;0))</f>
        <v>#REF!</v>
      </c>
      <c r="BU84" s="617" t="e">
        <f ca="1">SUMPRODUCT($BR84:$BR85+$BS84:$BS85, --($E84:$E85&lt;&gt;0))</f>
        <v>#VALUE!</v>
      </c>
      <c r="BV84" s="617" t="e">
        <f ca="1">$T84+SUMPRODUCT($AA84:$AA85+$AH84:$AH85+$AO84:$AO85+$AV84:$AV85+$BC84:$BC85+$BJ84:$BJ85, --($E84:$E85&lt;&gt;0))</f>
        <v>#VALUE!</v>
      </c>
      <c r="BW84" s="617" t="e">
        <f ca="1">MAX($P84-$Q84,0)+SUMPRODUCT($X84:$X85+$AL84:$AL85+$AZ84:$AZ85, --($E84:$E85&lt;&gt;0))</f>
        <v>#VALUE!</v>
      </c>
      <c r="BX84" s="618" t="e">
        <f ca="1">MIN($P84,$Q84)+SUMPRODUCT($AE84:$AE85+$AS84:$AS85+$BG84:$BG85, --($E84:$E85&lt;&gt;0))</f>
        <v>#VALUE!</v>
      </c>
      <c r="CO84" s="8"/>
    </row>
    <row r="85" spans="2:93" x14ac:dyDescent="0.25">
      <c r="B85" s="86">
        <f t="shared" ca="1" si="179"/>
        <v>2059</v>
      </c>
      <c r="C85" s="80" t="s">
        <v>741</v>
      </c>
      <c r="D85" s="147" t="str">
        <f t="shared" si="137"/>
        <v/>
      </c>
      <c r="E85" s="81">
        <f t="shared" si="138"/>
        <v>0</v>
      </c>
      <c r="F85" s="81">
        <f t="shared" si="143"/>
        <v>2</v>
      </c>
      <c r="G85" s="82">
        <f t="shared" si="139"/>
        <v>-1</v>
      </c>
      <c r="H85" s="82">
        <f t="shared" si="140"/>
        <v>0</v>
      </c>
      <c r="I85" s="81" t="b">
        <f t="shared" si="141"/>
        <v>0</v>
      </c>
      <c r="J85" s="81"/>
      <c r="K85" s="81"/>
      <c r="L85" s="81"/>
      <c r="M85" s="81"/>
      <c r="N85" s="633"/>
      <c r="O85" s="243" t="e">
        <f ca="1">LT_InvestmentStocks*INDEX(SP_EA_ARStocks,EAIDX)+LT_InvestmentBonds*INDEX(SC_EA_ARBonds,EAIDX)</f>
        <v>#REF!</v>
      </c>
      <c r="P85" s="634"/>
      <c r="Q85" s="617"/>
      <c r="R85" s="617"/>
      <c r="S85" s="617"/>
      <c r="T85" s="617"/>
      <c r="U85" s="643"/>
      <c r="V85" s="617"/>
      <c r="W85" s="639"/>
      <c r="X85" s="106" t="e">
        <f t="shared" ca="1" si="145"/>
        <v>#REF!</v>
      </c>
      <c r="Y85" s="107" t="e">
        <f t="shared" ca="1" si="146"/>
        <v>#REF!</v>
      </c>
      <c r="Z85" s="107" t="e">
        <f t="shared" ca="1" si="147"/>
        <v>#REF!</v>
      </c>
      <c r="AA85" s="107" t="e">
        <f t="shared" ca="1" si="148"/>
        <v>#REF!</v>
      </c>
      <c r="AB85" s="91" t="e">
        <f t="shared" ca="1" si="181"/>
        <v>#REF!</v>
      </c>
      <c r="AC85" s="107" t="e">
        <f ca="1">-IF(INDEX(SC_ZX_CodeA,ZXIDX1)="X", 0, MIN(AB85*MAX(INDEX(SC_ZX_Drawdown,ZXIDX2),0),AA85))</f>
        <v>#REF!</v>
      </c>
      <c r="AD85" s="110" t="e">
        <f t="shared" ca="1" si="149"/>
        <v>#REF!</v>
      </c>
      <c r="AE85" s="106" t="e">
        <f t="shared" ca="1" si="150"/>
        <v>#REF!</v>
      </c>
      <c r="AF85" s="107" t="e">
        <f t="shared" ca="1" si="151"/>
        <v>#REF!</v>
      </c>
      <c r="AG85" s="107" t="e">
        <f t="shared" ca="1" si="152"/>
        <v>#REF!</v>
      </c>
      <c r="AH85" s="107" t="e">
        <f t="shared" ca="1" si="153"/>
        <v>#REF!</v>
      </c>
      <c r="AI85" s="91" t="e">
        <f t="shared" ca="1" si="182"/>
        <v>#REF!</v>
      </c>
      <c r="AJ85" s="107" t="e">
        <f ca="1">-IF(INDEX(SC_ZX_CodeA,ZXIDX1)="X", 0, MIN(AI85*MAX(INDEX(SC_ZX_Drawdown,ZXIDX2),0),AH85))</f>
        <v>#REF!</v>
      </c>
      <c r="AK85" s="110" t="e">
        <f t="shared" ca="1" si="154"/>
        <v>#REF!</v>
      </c>
      <c r="AL85" s="106" t="e">
        <f t="shared" ca="1" si="155"/>
        <v>#REF!</v>
      </c>
      <c r="AM85" s="107" t="e">
        <f t="shared" ca="1" si="156"/>
        <v>#REF!</v>
      </c>
      <c r="AN85" s="107" t="e">
        <f t="shared" ca="1" si="157"/>
        <v>#REF!</v>
      </c>
      <c r="AO85" s="107" t="e">
        <f t="shared" ca="1" si="158"/>
        <v>#REF!</v>
      </c>
      <c r="AP85" s="91" t="e">
        <f t="shared" ca="1" si="183"/>
        <v>#REF!</v>
      </c>
      <c r="AQ85" s="107" t="e">
        <f ca="1">-IF(INDEX(SC_ZX_CodeA,ZXIDX1)="X", 0, MIN(AP85*MAX(INDEX(SC_ZX_Drawdown,ZXIDX2),0),AO85))</f>
        <v>#REF!</v>
      </c>
      <c r="AR85" s="110" t="e">
        <f t="shared" ca="1" si="159"/>
        <v>#REF!</v>
      </c>
      <c r="AS85" s="106" t="e">
        <f t="shared" ca="1" si="160"/>
        <v>#REF!</v>
      </c>
      <c r="AT85" s="107" t="e">
        <f t="shared" ca="1" si="161"/>
        <v>#REF!</v>
      </c>
      <c r="AU85" s="107" t="e">
        <f t="shared" ca="1" si="162"/>
        <v>#REF!</v>
      </c>
      <c r="AV85" s="107" t="e">
        <f t="shared" ca="1" si="163"/>
        <v>#REF!</v>
      </c>
      <c r="AW85" s="91" t="e">
        <f t="shared" ca="1" si="184"/>
        <v>#REF!</v>
      </c>
      <c r="AX85" s="107" t="e">
        <f ca="1">-IF(INDEX(SC_ZX_CodeA,ZXIDX1)="X", 0, MIN(AW85*MAX(INDEX(SC_ZX_Drawdown,ZXIDX2),0),AV85))</f>
        <v>#REF!</v>
      </c>
      <c r="AY85" s="110" t="e">
        <f t="shared" ca="1" si="164"/>
        <v>#REF!</v>
      </c>
      <c r="AZ85" s="106" t="e">
        <f t="shared" ca="1" si="165"/>
        <v>#REF!</v>
      </c>
      <c r="BA85" s="107" t="e">
        <f t="shared" ca="1" si="166"/>
        <v>#REF!</v>
      </c>
      <c r="BB85" s="107" t="e">
        <f t="shared" ca="1" si="167"/>
        <v>#REF!</v>
      </c>
      <c r="BC85" s="107" t="e">
        <f t="shared" ca="1" si="168"/>
        <v>#REF!</v>
      </c>
      <c r="BD85" s="91" t="e">
        <f t="shared" ca="1" si="185"/>
        <v>#REF!</v>
      </c>
      <c r="BE85" s="107" t="e">
        <f ca="1">-IF(INDEX(SC_ZX_CodeA,ZXIDX1)="X", 0, MIN(BD85*MAX(INDEX(SC_ZX_Drawdown,ZXIDX2),0),AZ85))</f>
        <v>#REF!</v>
      </c>
      <c r="BF85" s="110" t="e">
        <f t="shared" ca="1" si="169"/>
        <v>#REF!</v>
      </c>
      <c r="BG85" s="106" t="e">
        <f t="shared" ca="1" si="170"/>
        <v>#REF!</v>
      </c>
      <c r="BH85" s="107" t="e">
        <f t="shared" ca="1" si="171"/>
        <v>#REF!</v>
      </c>
      <c r="BI85" s="107" t="e">
        <f t="shared" ca="1" si="172"/>
        <v>#REF!</v>
      </c>
      <c r="BJ85" s="107" t="e">
        <f t="shared" ca="1" si="173"/>
        <v>#REF!</v>
      </c>
      <c r="BK85" s="91" t="e">
        <f t="shared" ca="1" si="186"/>
        <v>#REF!</v>
      </c>
      <c r="BL85" s="107" t="e">
        <f ca="1">-IF(INDEX(SC_ZX_CodeA,ZXIDX1)="X", 0, MIN(BK85*MAX(INDEX(SC_ZX_Drawdown,ZXIDX2),0),BJ85))</f>
        <v>#REF!</v>
      </c>
      <c r="BM85" s="107" t="e">
        <f t="shared" ca="1" si="174"/>
        <v>#REF!</v>
      </c>
      <c r="BN85" s="113" t="e">
        <f t="shared" ca="1" si="175"/>
        <v>#REF!</v>
      </c>
      <c r="BO85" s="114" t="e">
        <f t="shared" ca="1" si="176"/>
        <v>#REF!</v>
      </c>
      <c r="BP85" s="114" t="e">
        <f ca="1">-($V85-IF(($P85+$R85+$S85)&gt;0,MAX($V85/($P85+$R85+$S85)*($Q85+$R85),$V85),0))*LT_InvestmentQDI</f>
        <v>#REF!</v>
      </c>
      <c r="BQ85" s="114" t="e">
        <f ca="1">-($V85-IF(($P85+$R85+$S85)&gt;0,MAX($V85/($P85+$R85+$S85)*($Q85+$R85),$V85),0))*(1-LT_InvestmentQDI)</f>
        <v>#REF!</v>
      </c>
      <c r="BR85" s="114" t="e">
        <f t="shared" ca="1" si="177"/>
        <v>#REF!</v>
      </c>
      <c r="BS85" s="114" t="e">
        <f t="shared" ca="1" si="178"/>
        <v>#REF!</v>
      </c>
      <c r="BT85" s="649"/>
      <c r="BU85" s="637"/>
      <c r="BV85" s="637"/>
      <c r="BW85" s="637"/>
      <c r="BX85" s="639"/>
      <c r="CO85" s="8"/>
    </row>
    <row r="86" spans="2:93" x14ac:dyDescent="0.25">
      <c r="B86" s="65">
        <f ca="1">B84+1</f>
        <v>2060</v>
      </c>
      <c r="C86" s="76" t="s">
        <v>741</v>
      </c>
      <c r="D86" s="146" t="str">
        <f t="shared" si="137"/>
        <v/>
      </c>
      <c r="E86" s="77">
        <f t="shared" si="138"/>
        <v>0</v>
      </c>
      <c r="F86" s="77">
        <f t="shared" si="143"/>
        <v>1</v>
      </c>
      <c r="G86" s="76">
        <f t="shared" si="139"/>
        <v>1</v>
      </c>
      <c r="H86" s="76">
        <f t="shared" si="140"/>
        <v>0</v>
      </c>
      <c r="I86" s="77" t="b">
        <f t="shared" si="141"/>
        <v>0</v>
      </c>
      <c r="J86" s="77"/>
      <c r="K86" s="77"/>
      <c r="L86" s="77"/>
      <c r="M86" s="77"/>
      <c r="N86" s="632">
        <f ca="1">YEAR(SP_TargetRD)-$B86</f>
        <v>-37</v>
      </c>
      <c r="O86" s="243" t="e">
        <f ca="1">LT_InvestmentStocks*INDEX(SP_EA_ARStocks,EAIDX)+LT_InvestmentBonds*INDEX(SC_EA_ARBonds,EAIDX)</f>
        <v>#REF!</v>
      </c>
      <c r="P86" s="634" t="e">
        <f ca="1">MAX(P84+R84+S84+V84+W84,0)</f>
        <v>#VALUE!</v>
      </c>
      <c r="Q86" s="617" t="e">
        <f t="shared" ref="Q86" ca="1" si="191">MAX(Q84+R84+IF((P84+R84+S84)&gt;0,MAX(V84/(P84+R84+S84)*(Q84+R84),V84),0),0)</f>
        <v>#VALUE!</v>
      </c>
      <c r="R86" s="617" t="e">
        <f ca="1">IF(SC_ZX_CodeA="X", 0, MAX(INDEX(SC_ZX_IncomeSurplus,ZXIDX2)+INDEX(SC_ZX_Debt,ZXIDX2),0))</f>
        <v>#VALUE!</v>
      </c>
      <c r="S86" s="617" t="e">
        <f ca="1">IF(SC_ZX_CodeA="X", 0, INDEX(SC_EX_RolloverCore,EXIDX))</f>
        <v>#VALUE!</v>
      </c>
      <c r="T86" s="617" t="e">
        <f ca="1">P86+R86+S86</f>
        <v>#VALUE!</v>
      </c>
      <c r="U86" s="642" t="e">
        <f ca="1">IF(SC_ZX_BalanceAccessibleA&gt;0, T86/SC_ZX_BalanceAccessibleA, 0)</f>
        <v>#VALUE!</v>
      </c>
      <c r="V86" s="617" t="e">
        <f ca="1">-IF(SC_ZX_CodeA="X",0,MIN(U86*MAX(INDEX(SC_ZX_Drawdown,ZXIDX2),0),T86))</f>
        <v>#VALUE!</v>
      </c>
      <c r="W86" s="618" t="e">
        <f ca="1">(P86+R86+S86+V86)*$O86</f>
        <v>#VALUE!</v>
      </c>
      <c r="X86" s="75" t="e">
        <f t="shared" ca="1" si="145"/>
        <v>#REF!</v>
      </c>
      <c r="Y86" s="70" t="e">
        <f t="shared" ca="1" si="146"/>
        <v>#REF!</v>
      </c>
      <c r="Z86" s="70" t="e">
        <f t="shared" ca="1" si="147"/>
        <v>#REF!</v>
      </c>
      <c r="AA86" s="70" t="e">
        <f t="shared" ca="1" si="148"/>
        <v>#REF!</v>
      </c>
      <c r="AB86" s="67" t="e">
        <f t="shared" ca="1" si="181"/>
        <v>#REF!</v>
      </c>
      <c r="AC86" s="70" t="e">
        <f ca="1">-IF(INDEX(SC_ZX_CodeA,ZXIDX1)="X", 0, MIN(AB86*MAX(INDEX(SC_ZX_Drawdown,ZXIDX2),0),AA86))</f>
        <v>#REF!</v>
      </c>
      <c r="AD86" s="109" t="e">
        <f t="shared" ca="1" si="149"/>
        <v>#REF!</v>
      </c>
      <c r="AE86" s="75" t="e">
        <f t="shared" ca="1" si="150"/>
        <v>#REF!</v>
      </c>
      <c r="AF86" s="70" t="e">
        <f t="shared" ca="1" si="151"/>
        <v>#REF!</v>
      </c>
      <c r="AG86" s="70" t="e">
        <f t="shared" ca="1" si="152"/>
        <v>#REF!</v>
      </c>
      <c r="AH86" s="70" t="e">
        <f t="shared" ca="1" si="153"/>
        <v>#REF!</v>
      </c>
      <c r="AI86" s="67" t="e">
        <f t="shared" ca="1" si="182"/>
        <v>#REF!</v>
      </c>
      <c r="AJ86" s="70" t="e">
        <f ca="1">-IF(INDEX(SC_ZX_CodeA,ZXIDX1)="X", 0, MIN(AI86*MAX(INDEX(SC_ZX_Drawdown,ZXIDX2),0),AH86))</f>
        <v>#REF!</v>
      </c>
      <c r="AK86" s="109" t="e">
        <f t="shared" ca="1" si="154"/>
        <v>#REF!</v>
      </c>
      <c r="AL86" s="75" t="e">
        <f t="shared" ca="1" si="155"/>
        <v>#REF!</v>
      </c>
      <c r="AM86" s="70" t="e">
        <f t="shared" ca="1" si="156"/>
        <v>#REF!</v>
      </c>
      <c r="AN86" s="70" t="e">
        <f t="shared" ca="1" si="157"/>
        <v>#REF!</v>
      </c>
      <c r="AO86" s="70" t="e">
        <f t="shared" ca="1" si="158"/>
        <v>#REF!</v>
      </c>
      <c r="AP86" s="67" t="e">
        <f t="shared" ca="1" si="183"/>
        <v>#REF!</v>
      </c>
      <c r="AQ86" s="70" t="e">
        <f ca="1">-IF(INDEX(SC_ZX_CodeA,ZXIDX1)="X", 0, MIN(AP86*MAX(INDEX(SC_ZX_Drawdown,ZXIDX2),0),AO86))</f>
        <v>#REF!</v>
      </c>
      <c r="AR86" s="109" t="e">
        <f t="shared" ca="1" si="159"/>
        <v>#REF!</v>
      </c>
      <c r="AS86" s="75" t="e">
        <f t="shared" ca="1" si="160"/>
        <v>#REF!</v>
      </c>
      <c r="AT86" s="70" t="e">
        <f t="shared" ca="1" si="161"/>
        <v>#REF!</v>
      </c>
      <c r="AU86" s="70" t="e">
        <f t="shared" ca="1" si="162"/>
        <v>#REF!</v>
      </c>
      <c r="AV86" s="70" t="e">
        <f t="shared" ca="1" si="163"/>
        <v>#REF!</v>
      </c>
      <c r="AW86" s="67" t="e">
        <f t="shared" ca="1" si="184"/>
        <v>#REF!</v>
      </c>
      <c r="AX86" s="70" t="e">
        <f ca="1">-IF(INDEX(SC_ZX_CodeA,ZXIDX1)="X", 0, MIN(AW86*MAX(INDEX(SC_ZX_Drawdown,ZXIDX2),0),AV86))</f>
        <v>#REF!</v>
      </c>
      <c r="AY86" s="109" t="e">
        <f t="shared" ca="1" si="164"/>
        <v>#REF!</v>
      </c>
      <c r="AZ86" s="75" t="e">
        <f t="shared" ca="1" si="165"/>
        <v>#REF!</v>
      </c>
      <c r="BA86" s="70" t="e">
        <f t="shared" ca="1" si="166"/>
        <v>#REF!</v>
      </c>
      <c r="BB86" s="70" t="e">
        <f t="shared" ca="1" si="167"/>
        <v>#REF!</v>
      </c>
      <c r="BC86" s="70" t="e">
        <f t="shared" ca="1" si="168"/>
        <v>#REF!</v>
      </c>
      <c r="BD86" s="67" t="e">
        <f t="shared" ca="1" si="185"/>
        <v>#REF!</v>
      </c>
      <c r="BE86" s="70" t="e">
        <f ca="1">-IF(INDEX(SC_ZX_CodeA,ZXIDX1)="X", 0, MIN(BD86*MAX(INDEX(SC_ZX_Drawdown,ZXIDX2),0),AZ86))</f>
        <v>#REF!</v>
      </c>
      <c r="BF86" s="109" t="e">
        <f t="shared" ca="1" si="169"/>
        <v>#REF!</v>
      </c>
      <c r="BG86" s="75" t="e">
        <f t="shared" ca="1" si="170"/>
        <v>#REF!</v>
      </c>
      <c r="BH86" s="70" t="e">
        <f t="shared" ca="1" si="171"/>
        <v>#REF!</v>
      </c>
      <c r="BI86" s="70" t="e">
        <f t="shared" ca="1" si="172"/>
        <v>#REF!</v>
      </c>
      <c r="BJ86" s="70" t="e">
        <f t="shared" ca="1" si="173"/>
        <v>#REF!</v>
      </c>
      <c r="BK86" s="67" t="e">
        <f t="shared" ca="1" si="186"/>
        <v>#REF!</v>
      </c>
      <c r="BL86" s="70" t="e">
        <f ca="1">-IF(INDEX(SC_ZX_CodeA,ZXIDX1)="X", 0, MIN(BK86*MAX(INDEX(SC_ZX_Drawdown,ZXIDX2),0),BJ86))</f>
        <v>#REF!</v>
      </c>
      <c r="BM86" s="70" t="e">
        <f t="shared" ca="1" si="174"/>
        <v>#REF!</v>
      </c>
      <c r="BN86" s="111" t="e">
        <f t="shared" ca="1" si="175"/>
        <v>#REF!</v>
      </c>
      <c r="BO86" s="112" t="e">
        <f t="shared" ca="1" si="176"/>
        <v>#REF!</v>
      </c>
      <c r="BP86" s="112" t="e">
        <f ca="1">-($V86-IF(($P86+$R86+$S86)&gt;0,MAX($V86/($P86+$R86+$S86)*($Q86+$R86),$V86),0))*LT_InvestmentQDI</f>
        <v>#VALUE!</v>
      </c>
      <c r="BQ86" s="112" t="e">
        <f ca="1">-($V86-IF(($P86+$R86+$S86)&gt;0,MAX($V86/($P86+$R86+$S86)*($Q86+$R86),$V86),0))*(1-LT_InvestmentQDI)</f>
        <v>#VALUE!</v>
      </c>
      <c r="BR86" s="112" t="e">
        <f t="shared" ca="1" si="177"/>
        <v>#VALUE!</v>
      </c>
      <c r="BS86" s="112" t="e">
        <f t="shared" ca="1" si="178"/>
        <v>#VALUE!</v>
      </c>
      <c r="BT86" s="634" t="e">
        <f ca="1">SUMPRODUCT($BN86:$BN87+$BO86:$BO87, --($E86:$E87&lt;&gt;0))</f>
        <v>#REF!</v>
      </c>
      <c r="BU86" s="617" t="e">
        <f ca="1">SUMPRODUCT($BR86:$BR87+$BS86:$BS87, --($E86:$E87&lt;&gt;0))</f>
        <v>#VALUE!</v>
      </c>
      <c r="BV86" s="617" t="e">
        <f ca="1">$T86+SUMPRODUCT($AA86:$AA87+$AH86:$AH87+$AO86:$AO87+$AV86:$AV87+$BC86:$BC87+$BJ86:$BJ87, --($E86:$E87&lt;&gt;0))</f>
        <v>#VALUE!</v>
      </c>
      <c r="BW86" s="617" t="e">
        <f ca="1">MAX($P86-$Q86,0)+SUMPRODUCT($X86:$X87+$AL86:$AL87+$AZ86:$AZ87, --($E86:$E87&lt;&gt;0))</f>
        <v>#VALUE!</v>
      </c>
      <c r="BX86" s="618" t="e">
        <f ca="1">MIN($P86,$Q86)+SUMPRODUCT($AE86:$AE87+$AS86:$AS87+$BG86:$BG87, --($E86:$E87&lt;&gt;0))</f>
        <v>#VALUE!</v>
      </c>
      <c r="CO86" s="8"/>
    </row>
    <row r="87" spans="2:93" x14ac:dyDescent="0.25">
      <c r="B87" s="86">
        <f t="shared" ca="1" si="179"/>
        <v>2060</v>
      </c>
      <c r="C87" s="80" t="s">
        <v>741</v>
      </c>
      <c r="D87" s="147" t="str">
        <f t="shared" si="137"/>
        <v/>
      </c>
      <c r="E87" s="81">
        <f t="shared" si="138"/>
        <v>0</v>
      </c>
      <c r="F87" s="81">
        <f t="shared" si="143"/>
        <v>2</v>
      </c>
      <c r="G87" s="82">
        <f t="shared" si="139"/>
        <v>-1</v>
      </c>
      <c r="H87" s="82">
        <f t="shared" si="140"/>
        <v>0</v>
      </c>
      <c r="I87" s="81" t="b">
        <f t="shared" si="141"/>
        <v>0</v>
      </c>
      <c r="J87" s="81"/>
      <c r="K87" s="81"/>
      <c r="L87" s="81"/>
      <c r="M87" s="81"/>
      <c r="N87" s="633"/>
      <c r="O87" s="243" t="e">
        <f ca="1">LT_InvestmentStocks*INDEX(SP_EA_ARStocks,EAIDX)+LT_InvestmentBonds*INDEX(SC_EA_ARBonds,EAIDX)</f>
        <v>#REF!</v>
      </c>
      <c r="P87" s="634"/>
      <c r="Q87" s="617"/>
      <c r="R87" s="617"/>
      <c r="S87" s="617"/>
      <c r="T87" s="617"/>
      <c r="U87" s="643"/>
      <c r="V87" s="617"/>
      <c r="W87" s="639"/>
      <c r="X87" s="106" t="e">
        <f t="shared" ca="1" si="145"/>
        <v>#REF!</v>
      </c>
      <c r="Y87" s="107" t="e">
        <f t="shared" ca="1" si="146"/>
        <v>#REF!</v>
      </c>
      <c r="Z87" s="107" t="e">
        <f t="shared" ca="1" si="147"/>
        <v>#REF!</v>
      </c>
      <c r="AA87" s="107" t="e">
        <f t="shared" ca="1" si="148"/>
        <v>#REF!</v>
      </c>
      <c r="AB87" s="91" t="e">
        <f t="shared" ca="1" si="181"/>
        <v>#REF!</v>
      </c>
      <c r="AC87" s="107" t="e">
        <f ca="1">-IF(INDEX(SC_ZX_CodeA,ZXIDX1)="X", 0, MIN(AB87*MAX(INDEX(SC_ZX_Drawdown,ZXIDX2),0),AA87))</f>
        <v>#REF!</v>
      </c>
      <c r="AD87" s="110" t="e">
        <f t="shared" ca="1" si="149"/>
        <v>#REF!</v>
      </c>
      <c r="AE87" s="106" t="e">
        <f t="shared" ca="1" si="150"/>
        <v>#REF!</v>
      </c>
      <c r="AF87" s="107" t="e">
        <f t="shared" ca="1" si="151"/>
        <v>#REF!</v>
      </c>
      <c r="AG87" s="107" t="e">
        <f t="shared" ca="1" si="152"/>
        <v>#REF!</v>
      </c>
      <c r="AH87" s="107" t="e">
        <f t="shared" ca="1" si="153"/>
        <v>#REF!</v>
      </c>
      <c r="AI87" s="91" t="e">
        <f t="shared" ca="1" si="182"/>
        <v>#REF!</v>
      </c>
      <c r="AJ87" s="107" t="e">
        <f ca="1">-IF(INDEX(SC_ZX_CodeA,ZXIDX1)="X", 0, MIN(AI87*MAX(INDEX(SC_ZX_Drawdown,ZXIDX2),0),AH87))</f>
        <v>#REF!</v>
      </c>
      <c r="AK87" s="110" t="e">
        <f t="shared" ca="1" si="154"/>
        <v>#REF!</v>
      </c>
      <c r="AL87" s="106" t="e">
        <f t="shared" ca="1" si="155"/>
        <v>#REF!</v>
      </c>
      <c r="AM87" s="107" t="e">
        <f t="shared" ca="1" si="156"/>
        <v>#REF!</v>
      </c>
      <c r="AN87" s="107" t="e">
        <f t="shared" ca="1" si="157"/>
        <v>#REF!</v>
      </c>
      <c r="AO87" s="107" t="e">
        <f t="shared" ca="1" si="158"/>
        <v>#REF!</v>
      </c>
      <c r="AP87" s="91" t="e">
        <f t="shared" ca="1" si="183"/>
        <v>#REF!</v>
      </c>
      <c r="AQ87" s="107" t="e">
        <f ca="1">-IF(INDEX(SC_ZX_CodeA,ZXIDX1)="X", 0, MIN(AP87*MAX(INDEX(SC_ZX_Drawdown,ZXIDX2),0),AO87))</f>
        <v>#REF!</v>
      </c>
      <c r="AR87" s="110" t="e">
        <f t="shared" ca="1" si="159"/>
        <v>#REF!</v>
      </c>
      <c r="AS87" s="106" t="e">
        <f t="shared" ca="1" si="160"/>
        <v>#REF!</v>
      </c>
      <c r="AT87" s="107" t="e">
        <f t="shared" ca="1" si="161"/>
        <v>#REF!</v>
      </c>
      <c r="AU87" s="107" t="e">
        <f t="shared" ca="1" si="162"/>
        <v>#REF!</v>
      </c>
      <c r="AV87" s="107" t="e">
        <f t="shared" ca="1" si="163"/>
        <v>#REF!</v>
      </c>
      <c r="AW87" s="91" t="e">
        <f t="shared" ca="1" si="184"/>
        <v>#REF!</v>
      </c>
      <c r="AX87" s="107" t="e">
        <f ca="1">-IF(INDEX(SC_ZX_CodeA,ZXIDX1)="X", 0, MIN(AW87*MAX(INDEX(SC_ZX_Drawdown,ZXIDX2),0),AV87))</f>
        <v>#REF!</v>
      </c>
      <c r="AY87" s="110" t="e">
        <f t="shared" ca="1" si="164"/>
        <v>#REF!</v>
      </c>
      <c r="AZ87" s="106" t="e">
        <f t="shared" ca="1" si="165"/>
        <v>#REF!</v>
      </c>
      <c r="BA87" s="107" t="e">
        <f t="shared" ca="1" si="166"/>
        <v>#REF!</v>
      </c>
      <c r="BB87" s="107" t="e">
        <f t="shared" ca="1" si="167"/>
        <v>#REF!</v>
      </c>
      <c r="BC87" s="107" t="e">
        <f t="shared" ca="1" si="168"/>
        <v>#REF!</v>
      </c>
      <c r="BD87" s="91" t="e">
        <f t="shared" ca="1" si="185"/>
        <v>#REF!</v>
      </c>
      <c r="BE87" s="107" t="e">
        <f ca="1">-IF(INDEX(SC_ZX_CodeA,ZXIDX1)="X", 0, MIN(BD87*MAX(INDEX(SC_ZX_Drawdown,ZXIDX2),0),AZ87))</f>
        <v>#REF!</v>
      </c>
      <c r="BF87" s="110" t="e">
        <f t="shared" ca="1" si="169"/>
        <v>#REF!</v>
      </c>
      <c r="BG87" s="106" t="e">
        <f t="shared" ca="1" si="170"/>
        <v>#REF!</v>
      </c>
      <c r="BH87" s="107" t="e">
        <f t="shared" ca="1" si="171"/>
        <v>#REF!</v>
      </c>
      <c r="BI87" s="107" t="e">
        <f t="shared" ca="1" si="172"/>
        <v>#REF!</v>
      </c>
      <c r="BJ87" s="107" t="e">
        <f t="shared" ca="1" si="173"/>
        <v>#REF!</v>
      </c>
      <c r="BK87" s="91" t="e">
        <f t="shared" ca="1" si="186"/>
        <v>#REF!</v>
      </c>
      <c r="BL87" s="107" t="e">
        <f ca="1">-IF(INDEX(SC_ZX_CodeA,ZXIDX1)="X", 0, MIN(BK87*MAX(INDEX(SC_ZX_Drawdown,ZXIDX2),0),BJ87))</f>
        <v>#REF!</v>
      </c>
      <c r="BM87" s="107" t="e">
        <f t="shared" ca="1" si="174"/>
        <v>#REF!</v>
      </c>
      <c r="BN87" s="113" t="e">
        <f t="shared" ca="1" si="175"/>
        <v>#REF!</v>
      </c>
      <c r="BO87" s="114" t="e">
        <f t="shared" ca="1" si="176"/>
        <v>#REF!</v>
      </c>
      <c r="BP87" s="114" t="e">
        <f ca="1">-($V87-IF(($P87+$R87+$S87)&gt;0,MAX($V87/($P87+$R87+$S87)*($Q87+$R87),$V87),0))*LT_InvestmentQDI</f>
        <v>#REF!</v>
      </c>
      <c r="BQ87" s="114" t="e">
        <f ca="1">-($V87-IF(($P87+$R87+$S87)&gt;0,MAX($V87/($P87+$R87+$S87)*($Q87+$R87),$V87),0))*(1-LT_InvestmentQDI)</f>
        <v>#REF!</v>
      </c>
      <c r="BR87" s="114" t="e">
        <f t="shared" ca="1" si="177"/>
        <v>#REF!</v>
      </c>
      <c r="BS87" s="114" t="e">
        <f t="shared" ca="1" si="178"/>
        <v>#REF!</v>
      </c>
      <c r="BT87" s="649"/>
      <c r="BU87" s="637"/>
      <c r="BV87" s="637"/>
      <c r="BW87" s="637"/>
      <c r="BX87" s="639"/>
      <c r="CO87" s="8"/>
    </row>
    <row r="88" spans="2:93" x14ac:dyDescent="0.25">
      <c r="B88" s="65">
        <f ca="1">B86+1</f>
        <v>2061</v>
      </c>
      <c r="C88" s="76" t="s">
        <v>741</v>
      </c>
      <c r="D88" s="146" t="str">
        <f t="shared" si="137"/>
        <v/>
      </c>
      <c r="E88" s="77">
        <f t="shared" si="138"/>
        <v>0</v>
      </c>
      <c r="F88" s="77">
        <f t="shared" si="143"/>
        <v>1</v>
      </c>
      <c r="G88" s="76">
        <f t="shared" si="139"/>
        <v>1</v>
      </c>
      <c r="H88" s="76">
        <f t="shared" si="140"/>
        <v>0</v>
      </c>
      <c r="I88" s="77" t="b">
        <f t="shared" si="141"/>
        <v>0</v>
      </c>
      <c r="J88" s="77"/>
      <c r="K88" s="77"/>
      <c r="L88" s="77"/>
      <c r="M88" s="77"/>
      <c r="N88" s="632">
        <f ca="1">YEAR(SP_TargetRD)-$B88</f>
        <v>-38</v>
      </c>
      <c r="O88" s="243" t="e">
        <f ca="1">LT_InvestmentStocks*INDEX(SP_EA_ARStocks,EAIDX)+LT_InvestmentBonds*INDEX(SC_EA_ARBonds,EAIDX)</f>
        <v>#REF!</v>
      </c>
      <c r="P88" s="634" t="e">
        <f ca="1">MAX(P86+R86+S86+V86+W86,0)</f>
        <v>#VALUE!</v>
      </c>
      <c r="Q88" s="617" t="e">
        <f t="shared" ref="Q88" ca="1" si="192">MAX(Q86+R86+IF((P86+R86+S86)&gt;0,MAX(V86/(P86+R86+S86)*(Q86+R86),V86),0),0)</f>
        <v>#VALUE!</v>
      </c>
      <c r="R88" s="617" t="e">
        <f ca="1">IF(SC_ZX_CodeA="X", 0, MAX(INDEX(SC_ZX_IncomeSurplus,ZXIDX2)+INDEX(SC_ZX_Debt,ZXIDX2),0))</f>
        <v>#VALUE!</v>
      </c>
      <c r="S88" s="617" t="e">
        <f ca="1">IF(SC_ZX_CodeA="X", 0, INDEX(SC_EX_RolloverCore,EXIDX))</f>
        <v>#VALUE!</v>
      </c>
      <c r="T88" s="617" t="e">
        <f ca="1">P88+R88+S88</f>
        <v>#VALUE!</v>
      </c>
      <c r="U88" s="642" t="e">
        <f ca="1">IF(SC_ZX_BalanceAccessibleA&gt;0, T88/SC_ZX_BalanceAccessibleA, 0)</f>
        <v>#VALUE!</v>
      </c>
      <c r="V88" s="617" t="e">
        <f ca="1">-IF(SC_ZX_CodeA="X",0,MIN(U88*MAX(INDEX(SC_ZX_Drawdown,ZXIDX2),0),T88))</f>
        <v>#VALUE!</v>
      </c>
      <c r="W88" s="618" t="e">
        <f ca="1">(P88+R88+S88+V88)*$O88</f>
        <v>#VALUE!</v>
      </c>
      <c r="X88" s="75" t="e">
        <f t="shared" ca="1" si="145"/>
        <v>#REF!</v>
      </c>
      <c r="Y88" s="70" t="e">
        <f t="shared" ca="1" si="146"/>
        <v>#REF!</v>
      </c>
      <c r="Z88" s="70" t="e">
        <f t="shared" ca="1" si="147"/>
        <v>#REF!</v>
      </c>
      <c r="AA88" s="70" t="e">
        <f t="shared" ca="1" si="148"/>
        <v>#REF!</v>
      </c>
      <c r="AB88" s="67" t="e">
        <f t="shared" ca="1" si="181"/>
        <v>#REF!</v>
      </c>
      <c r="AC88" s="70" t="e">
        <f ca="1">-IF(INDEX(SC_ZX_CodeA,ZXIDX1)="X", 0, MIN(AB88*MAX(INDEX(SC_ZX_Drawdown,ZXIDX2),0),AA88))</f>
        <v>#REF!</v>
      </c>
      <c r="AD88" s="109" t="e">
        <f t="shared" ca="1" si="149"/>
        <v>#REF!</v>
      </c>
      <c r="AE88" s="75" t="e">
        <f t="shared" ca="1" si="150"/>
        <v>#REF!</v>
      </c>
      <c r="AF88" s="70" t="e">
        <f t="shared" ca="1" si="151"/>
        <v>#REF!</v>
      </c>
      <c r="AG88" s="70" t="e">
        <f t="shared" ca="1" si="152"/>
        <v>#REF!</v>
      </c>
      <c r="AH88" s="70" t="e">
        <f t="shared" ca="1" si="153"/>
        <v>#REF!</v>
      </c>
      <c r="AI88" s="67" t="e">
        <f t="shared" ca="1" si="182"/>
        <v>#REF!</v>
      </c>
      <c r="AJ88" s="70" t="e">
        <f ca="1">-IF(INDEX(SC_ZX_CodeA,ZXIDX1)="X", 0, MIN(AI88*MAX(INDEX(SC_ZX_Drawdown,ZXIDX2),0),AH88))</f>
        <v>#REF!</v>
      </c>
      <c r="AK88" s="109" t="e">
        <f t="shared" ca="1" si="154"/>
        <v>#REF!</v>
      </c>
      <c r="AL88" s="75" t="e">
        <f t="shared" ca="1" si="155"/>
        <v>#REF!</v>
      </c>
      <c r="AM88" s="70" t="e">
        <f t="shared" ca="1" si="156"/>
        <v>#REF!</v>
      </c>
      <c r="AN88" s="70" t="e">
        <f t="shared" ca="1" si="157"/>
        <v>#REF!</v>
      </c>
      <c r="AO88" s="70" t="e">
        <f t="shared" ca="1" si="158"/>
        <v>#REF!</v>
      </c>
      <c r="AP88" s="67" t="e">
        <f t="shared" ca="1" si="183"/>
        <v>#REF!</v>
      </c>
      <c r="AQ88" s="70" t="e">
        <f ca="1">-IF(INDEX(SC_ZX_CodeA,ZXIDX1)="X", 0, MIN(AP88*MAX(INDEX(SC_ZX_Drawdown,ZXIDX2),0),AO88))</f>
        <v>#REF!</v>
      </c>
      <c r="AR88" s="109" t="e">
        <f t="shared" ca="1" si="159"/>
        <v>#REF!</v>
      </c>
      <c r="AS88" s="75" t="e">
        <f t="shared" ca="1" si="160"/>
        <v>#REF!</v>
      </c>
      <c r="AT88" s="70" t="e">
        <f t="shared" ca="1" si="161"/>
        <v>#REF!</v>
      </c>
      <c r="AU88" s="70" t="e">
        <f t="shared" ca="1" si="162"/>
        <v>#REF!</v>
      </c>
      <c r="AV88" s="70" t="e">
        <f t="shared" ca="1" si="163"/>
        <v>#REF!</v>
      </c>
      <c r="AW88" s="67" t="e">
        <f t="shared" ca="1" si="184"/>
        <v>#REF!</v>
      </c>
      <c r="AX88" s="70" t="e">
        <f ca="1">-IF(INDEX(SC_ZX_CodeA,ZXIDX1)="X", 0, MIN(AW88*MAX(INDEX(SC_ZX_Drawdown,ZXIDX2),0),AV88))</f>
        <v>#REF!</v>
      </c>
      <c r="AY88" s="109" t="e">
        <f t="shared" ca="1" si="164"/>
        <v>#REF!</v>
      </c>
      <c r="AZ88" s="75" t="e">
        <f t="shared" ca="1" si="165"/>
        <v>#REF!</v>
      </c>
      <c r="BA88" s="70" t="e">
        <f t="shared" ca="1" si="166"/>
        <v>#REF!</v>
      </c>
      <c r="BB88" s="70" t="e">
        <f t="shared" ca="1" si="167"/>
        <v>#REF!</v>
      </c>
      <c r="BC88" s="70" t="e">
        <f t="shared" ca="1" si="168"/>
        <v>#REF!</v>
      </c>
      <c r="BD88" s="67" t="e">
        <f t="shared" ca="1" si="185"/>
        <v>#REF!</v>
      </c>
      <c r="BE88" s="70" t="e">
        <f ca="1">-IF(INDEX(SC_ZX_CodeA,ZXIDX1)="X", 0, MIN(BD88*MAX(INDEX(SC_ZX_Drawdown,ZXIDX2),0),AZ88))</f>
        <v>#REF!</v>
      </c>
      <c r="BF88" s="109" t="e">
        <f t="shared" ca="1" si="169"/>
        <v>#REF!</v>
      </c>
      <c r="BG88" s="75" t="e">
        <f t="shared" ca="1" si="170"/>
        <v>#REF!</v>
      </c>
      <c r="BH88" s="70" t="e">
        <f t="shared" ca="1" si="171"/>
        <v>#REF!</v>
      </c>
      <c r="BI88" s="70" t="e">
        <f t="shared" ca="1" si="172"/>
        <v>#REF!</v>
      </c>
      <c r="BJ88" s="70" t="e">
        <f t="shared" ca="1" si="173"/>
        <v>#REF!</v>
      </c>
      <c r="BK88" s="67" t="e">
        <f t="shared" ca="1" si="186"/>
        <v>#REF!</v>
      </c>
      <c r="BL88" s="70" t="e">
        <f ca="1">-IF(INDEX(SC_ZX_CodeA,ZXIDX1)="X", 0, MIN(BK88*MAX(INDEX(SC_ZX_Drawdown,ZXIDX2),0),BJ88))</f>
        <v>#REF!</v>
      </c>
      <c r="BM88" s="70" t="e">
        <f t="shared" ca="1" si="174"/>
        <v>#REF!</v>
      </c>
      <c r="BN88" s="111" t="e">
        <f t="shared" ca="1" si="175"/>
        <v>#REF!</v>
      </c>
      <c r="BO88" s="112" t="e">
        <f t="shared" ca="1" si="176"/>
        <v>#REF!</v>
      </c>
      <c r="BP88" s="112" t="e">
        <f ca="1">-($V88-IF(($P88+$R88+$S88)&gt;0,MAX($V88/($P88+$R88+$S88)*($Q88+$R88),$V88),0))*LT_InvestmentQDI</f>
        <v>#VALUE!</v>
      </c>
      <c r="BQ88" s="112" t="e">
        <f ca="1">-($V88-IF(($P88+$R88+$S88)&gt;0,MAX($V88/($P88+$R88+$S88)*($Q88+$R88),$V88),0))*(1-LT_InvestmentQDI)</f>
        <v>#VALUE!</v>
      </c>
      <c r="BR88" s="112" t="e">
        <f t="shared" ca="1" si="177"/>
        <v>#VALUE!</v>
      </c>
      <c r="BS88" s="112" t="e">
        <f t="shared" ca="1" si="178"/>
        <v>#VALUE!</v>
      </c>
      <c r="BT88" s="634" t="e">
        <f ca="1">SUMPRODUCT($BN88:$BN89+$BO88:$BO89, --($E88:$E89&lt;&gt;0))</f>
        <v>#REF!</v>
      </c>
      <c r="BU88" s="617" t="e">
        <f ca="1">SUMPRODUCT($BR88:$BR89+$BS88:$BS89, --($E88:$E89&lt;&gt;0))</f>
        <v>#VALUE!</v>
      </c>
      <c r="BV88" s="617" t="e">
        <f ca="1">$T88+SUMPRODUCT($AA88:$AA89+$AH88:$AH89+$AO88:$AO89+$AV88:$AV89+$BC88:$BC89+$BJ88:$BJ89, --($E88:$E89&lt;&gt;0))</f>
        <v>#VALUE!</v>
      </c>
      <c r="BW88" s="617" t="e">
        <f ca="1">MAX($P88-$Q88,0)+SUMPRODUCT($X88:$X89+$AL88:$AL89+$AZ88:$AZ89, --($E88:$E89&lt;&gt;0))</f>
        <v>#VALUE!</v>
      </c>
      <c r="BX88" s="618" t="e">
        <f ca="1">MIN($P88,$Q88)+SUMPRODUCT($AE88:$AE89+$AS88:$AS89+$BG88:$BG89, --($E88:$E89&lt;&gt;0))</f>
        <v>#VALUE!</v>
      </c>
      <c r="CO88" s="8"/>
    </row>
    <row r="89" spans="2:93" x14ac:dyDescent="0.25">
      <c r="B89" s="86">
        <f t="shared" ca="1" si="179"/>
        <v>2061</v>
      </c>
      <c r="C89" s="80" t="s">
        <v>741</v>
      </c>
      <c r="D89" s="147" t="str">
        <f t="shared" si="137"/>
        <v/>
      </c>
      <c r="E89" s="81">
        <f t="shared" si="138"/>
        <v>0</v>
      </c>
      <c r="F89" s="81">
        <f t="shared" si="143"/>
        <v>2</v>
      </c>
      <c r="G89" s="82">
        <f t="shared" si="139"/>
        <v>-1</v>
      </c>
      <c r="H89" s="82">
        <f t="shared" si="140"/>
        <v>0</v>
      </c>
      <c r="I89" s="81" t="b">
        <f t="shared" si="141"/>
        <v>0</v>
      </c>
      <c r="J89" s="81"/>
      <c r="K89" s="81"/>
      <c r="L89" s="81"/>
      <c r="M89" s="81"/>
      <c r="N89" s="633"/>
      <c r="O89" s="243" t="e">
        <f ca="1">LT_InvestmentStocks*INDEX(SP_EA_ARStocks,EAIDX)+LT_InvestmentBonds*INDEX(SC_EA_ARBonds,EAIDX)</f>
        <v>#REF!</v>
      </c>
      <c r="P89" s="634"/>
      <c r="Q89" s="617"/>
      <c r="R89" s="617"/>
      <c r="S89" s="617"/>
      <c r="T89" s="617"/>
      <c r="U89" s="643"/>
      <c r="V89" s="617"/>
      <c r="W89" s="639"/>
      <c r="X89" s="106" t="e">
        <f t="shared" ca="1" si="145"/>
        <v>#REF!</v>
      </c>
      <c r="Y89" s="107" t="e">
        <f t="shared" ca="1" si="146"/>
        <v>#REF!</v>
      </c>
      <c r="Z89" s="107" t="e">
        <f t="shared" ca="1" si="147"/>
        <v>#REF!</v>
      </c>
      <c r="AA89" s="107" t="e">
        <f t="shared" ca="1" si="148"/>
        <v>#REF!</v>
      </c>
      <c r="AB89" s="91" t="e">
        <f t="shared" ca="1" si="181"/>
        <v>#REF!</v>
      </c>
      <c r="AC89" s="107" t="e">
        <f ca="1">-IF(INDEX(SC_ZX_CodeA,ZXIDX1)="X", 0, MIN(AB89*MAX(INDEX(SC_ZX_Drawdown,ZXIDX2),0),AA89))</f>
        <v>#REF!</v>
      </c>
      <c r="AD89" s="110" t="e">
        <f t="shared" ca="1" si="149"/>
        <v>#REF!</v>
      </c>
      <c r="AE89" s="106" t="e">
        <f t="shared" ca="1" si="150"/>
        <v>#REF!</v>
      </c>
      <c r="AF89" s="107" t="e">
        <f t="shared" ca="1" si="151"/>
        <v>#REF!</v>
      </c>
      <c r="AG89" s="107" t="e">
        <f t="shared" ca="1" si="152"/>
        <v>#REF!</v>
      </c>
      <c r="AH89" s="107" t="e">
        <f t="shared" ca="1" si="153"/>
        <v>#REF!</v>
      </c>
      <c r="AI89" s="91" t="e">
        <f t="shared" ca="1" si="182"/>
        <v>#REF!</v>
      </c>
      <c r="AJ89" s="107" t="e">
        <f ca="1">-IF(INDEX(SC_ZX_CodeA,ZXIDX1)="X", 0, MIN(AI89*MAX(INDEX(SC_ZX_Drawdown,ZXIDX2),0),AH89))</f>
        <v>#REF!</v>
      </c>
      <c r="AK89" s="110" t="e">
        <f t="shared" ca="1" si="154"/>
        <v>#REF!</v>
      </c>
      <c r="AL89" s="106" t="e">
        <f t="shared" ca="1" si="155"/>
        <v>#REF!</v>
      </c>
      <c r="AM89" s="107" t="e">
        <f t="shared" ca="1" si="156"/>
        <v>#REF!</v>
      </c>
      <c r="AN89" s="107" t="e">
        <f t="shared" ca="1" si="157"/>
        <v>#REF!</v>
      </c>
      <c r="AO89" s="107" t="e">
        <f t="shared" ca="1" si="158"/>
        <v>#REF!</v>
      </c>
      <c r="AP89" s="91" t="e">
        <f t="shared" ca="1" si="183"/>
        <v>#REF!</v>
      </c>
      <c r="AQ89" s="107" t="e">
        <f ca="1">-IF(INDEX(SC_ZX_CodeA,ZXIDX1)="X", 0, MIN(AP89*MAX(INDEX(SC_ZX_Drawdown,ZXIDX2),0),AO89))</f>
        <v>#REF!</v>
      </c>
      <c r="AR89" s="110" t="e">
        <f t="shared" ca="1" si="159"/>
        <v>#REF!</v>
      </c>
      <c r="AS89" s="106" t="e">
        <f t="shared" ca="1" si="160"/>
        <v>#REF!</v>
      </c>
      <c r="AT89" s="107" t="e">
        <f t="shared" ca="1" si="161"/>
        <v>#REF!</v>
      </c>
      <c r="AU89" s="107" t="e">
        <f t="shared" ca="1" si="162"/>
        <v>#REF!</v>
      </c>
      <c r="AV89" s="107" t="e">
        <f t="shared" ca="1" si="163"/>
        <v>#REF!</v>
      </c>
      <c r="AW89" s="91" t="e">
        <f t="shared" ca="1" si="184"/>
        <v>#REF!</v>
      </c>
      <c r="AX89" s="107" t="e">
        <f ca="1">-IF(INDEX(SC_ZX_CodeA,ZXIDX1)="X", 0, MIN(AW89*MAX(INDEX(SC_ZX_Drawdown,ZXIDX2),0),AV89))</f>
        <v>#REF!</v>
      </c>
      <c r="AY89" s="110" t="e">
        <f t="shared" ca="1" si="164"/>
        <v>#REF!</v>
      </c>
      <c r="AZ89" s="106" t="e">
        <f t="shared" ca="1" si="165"/>
        <v>#REF!</v>
      </c>
      <c r="BA89" s="107" t="e">
        <f t="shared" ca="1" si="166"/>
        <v>#REF!</v>
      </c>
      <c r="BB89" s="107" t="e">
        <f t="shared" ca="1" si="167"/>
        <v>#REF!</v>
      </c>
      <c r="BC89" s="107" t="e">
        <f t="shared" ca="1" si="168"/>
        <v>#REF!</v>
      </c>
      <c r="BD89" s="91" t="e">
        <f t="shared" ca="1" si="185"/>
        <v>#REF!</v>
      </c>
      <c r="BE89" s="107" t="e">
        <f ca="1">-IF(INDEX(SC_ZX_CodeA,ZXIDX1)="X", 0, MIN(BD89*MAX(INDEX(SC_ZX_Drawdown,ZXIDX2),0),AZ89))</f>
        <v>#REF!</v>
      </c>
      <c r="BF89" s="110" t="e">
        <f t="shared" ca="1" si="169"/>
        <v>#REF!</v>
      </c>
      <c r="BG89" s="106" t="e">
        <f t="shared" ca="1" si="170"/>
        <v>#REF!</v>
      </c>
      <c r="BH89" s="107" t="e">
        <f t="shared" ca="1" si="171"/>
        <v>#REF!</v>
      </c>
      <c r="BI89" s="107" t="e">
        <f t="shared" ca="1" si="172"/>
        <v>#REF!</v>
      </c>
      <c r="BJ89" s="107" t="e">
        <f t="shared" ca="1" si="173"/>
        <v>#REF!</v>
      </c>
      <c r="BK89" s="91" t="e">
        <f t="shared" ca="1" si="186"/>
        <v>#REF!</v>
      </c>
      <c r="BL89" s="107" t="e">
        <f ca="1">-IF(INDEX(SC_ZX_CodeA,ZXIDX1)="X", 0, MIN(BK89*MAX(INDEX(SC_ZX_Drawdown,ZXIDX2),0),BJ89))</f>
        <v>#REF!</v>
      </c>
      <c r="BM89" s="107" t="e">
        <f t="shared" ca="1" si="174"/>
        <v>#REF!</v>
      </c>
      <c r="BN89" s="113" t="e">
        <f t="shared" ca="1" si="175"/>
        <v>#REF!</v>
      </c>
      <c r="BO89" s="114" t="e">
        <f t="shared" ca="1" si="176"/>
        <v>#REF!</v>
      </c>
      <c r="BP89" s="114" t="e">
        <f ca="1">-($V89-IF(($P89+$R89+$S89)&gt;0,MAX($V89/($P89+$R89+$S89)*($Q89+$R89),$V89),0))*LT_InvestmentQDI</f>
        <v>#REF!</v>
      </c>
      <c r="BQ89" s="114" t="e">
        <f ca="1">-($V89-IF(($P89+$R89+$S89)&gt;0,MAX($V89/($P89+$R89+$S89)*($Q89+$R89),$V89),0))*(1-LT_InvestmentQDI)</f>
        <v>#REF!</v>
      </c>
      <c r="BR89" s="114" t="e">
        <f t="shared" ca="1" si="177"/>
        <v>#REF!</v>
      </c>
      <c r="BS89" s="114" t="e">
        <f t="shared" ca="1" si="178"/>
        <v>#REF!</v>
      </c>
      <c r="BT89" s="649"/>
      <c r="BU89" s="637"/>
      <c r="BV89" s="637"/>
      <c r="BW89" s="637"/>
      <c r="BX89" s="639"/>
    </row>
    <row r="90" spans="2:93" x14ac:dyDescent="0.25">
      <c r="B90" s="65">
        <f ca="1">B88+1</f>
        <v>2062</v>
      </c>
      <c r="C90" s="76" t="s">
        <v>741</v>
      </c>
      <c r="D90" s="146" t="str">
        <f t="shared" si="137"/>
        <v/>
      </c>
      <c r="E90" s="77">
        <f t="shared" si="138"/>
        <v>0</v>
      </c>
      <c r="F90" s="77">
        <f t="shared" si="143"/>
        <v>1</v>
      </c>
      <c r="G90" s="76">
        <f t="shared" si="139"/>
        <v>1</v>
      </c>
      <c r="H90" s="76">
        <f t="shared" si="140"/>
        <v>0</v>
      </c>
      <c r="I90" s="77" t="b">
        <f t="shared" si="141"/>
        <v>0</v>
      </c>
      <c r="J90" s="77"/>
      <c r="K90" s="77"/>
      <c r="L90" s="77"/>
      <c r="M90" s="77"/>
      <c r="N90" s="632">
        <f ca="1">YEAR(SP_TargetRD)-$B90</f>
        <v>-39</v>
      </c>
      <c r="O90" s="243" t="e">
        <f ca="1">LT_InvestmentStocks*INDEX(SP_EA_ARStocks,EAIDX)+LT_InvestmentBonds*INDEX(SC_EA_ARBonds,EAIDX)</f>
        <v>#REF!</v>
      </c>
      <c r="P90" s="634" t="e">
        <f ca="1">MAX(P88+R88+S88+V88+W88,0)</f>
        <v>#VALUE!</v>
      </c>
      <c r="Q90" s="617" t="e">
        <f t="shared" ref="Q90" ca="1" si="193">MAX(Q88+R88+IF((P88+R88+S88)&gt;0,MAX(V88/(P88+R88+S88)*(Q88+R88),V88),0),0)</f>
        <v>#VALUE!</v>
      </c>
      <c r="R90" s="617" t="e">
        <f ca="1">IF(SC_ZX_CodeA="X", 0, MAX(INDEX(SC_ZX_IncomeSurplus,ZXIDX2)+INDEX(SC_ZX_Debt,ZXIDX2),0))</f>
        <v>#VALUE!</v>
      </c>
      <c r="S90" s="617" t="e">
        <f ca="1">IF(SC_ZX_CodeA="X", 0, INDEX(SC_EX_RolloverCore,EXIDX))</f>
        <v>#VALUE!</v>
      </c>
      <c r="T90" s="617" t="e">
        <f ca="1">P90+R90+S90</f>
        <v>#VALUE!</v>
      </c>
      <c r="U90" s="642" t="e">
        <f ca="1">IF(SC_ZX_BalanceAccessibleA&gt;0, T90/SC_ZX_BalanceAccessibleA, 0)</f>
        <v>#VALUE!</v>
      </c>
      <c r="V90" s="617" t="e">
        <f ca="1">-IF(SC_ZX_CodeA="X",0,MIN(U90*MAX(INDEX(SC_ZX_Drawdown,ZXIDX2),0),T90))</f>
        <v>#VALUE!</v>
      </c>
      <c r="W90" s="618" t="e">
        <f ca="1">(P90+R90+S90+V90)*$O90</f>
        <v>#VALUE!</v>
      </c>
      <c r="X90" s="75" t="e">
        <f t="shared" ca="1" si="145"/>
        <v>#REF!</v>
      </c>
      <c r="Y90" s="70" t="e">
        <f t="shared" ca="1" si="146"/>
        <v>#REF!</v>
      </c>
      <c r="Z90" s="70" t="e">
        <f t="shared" ca="1" si="147"/>
        <v>#REF!</v>
      </c>
      <c r="AA90" s="70" t="e">
        <f t="shared" ca="1" si="148"/>
        <v>#REF!</v>
      </c>
      <c r="AB90" s="67" t="e">
        <f t="shared" ca="1" si="181"/>
        <v>#REF!</v>
      </c>
      <c r="AC90" s="70" t="e">
        <f ca="1">-IF(INDEX(SC_ZX_CodeA,ZXIDX1)="X", 0, MIN(AB90*MAX(INDEX(SC_ZX_Drawdown,ZXIDX2),0),AA90))</f>
        <v>#REF!</v>
      </c>
      <c r="AD90" s="109" t="e">
        <f t="shared" ca="1" si="149"/>
        <v>#REF!</v>
      </c>
      <c r="AE90" s="75" t="e">
        <f t="shared" ca="1" si="150"/>
        <v>#REF!</v>
      </c>
      <c r="AF90" s="70" t="e">
        <f t="shared" ca="1" si="151"/>
        <v>#REF!</v>
      </c>
      <c r="AG90" s="70" t="e">
        <f t="shared" ca="1" si="152"/>
        <v>#REF!</v>
      </c>
      <c r="AH90" s="70" t="e">
        <f t="shared" ca="1" si="153"/>
        <v>#REF!</v>
      </c>
      <c r="AI90" s="67" t="e">
        <f t="shared" ca="1" si="182"/>
        <v>#REF!</v>
      </c>
      <c r="AJ90" s="70" t="e">
        <f ca="1">-IF(INDEX(SC_ZX_CodeA,ZXIDX1)="X", 0, MIN(AI90*MAX(INDEX(SC_ZX_Drawdown,ZXIDX2),0),AH90))</f>
        <v>#REF!</v>
      </c>
      <c r="AK90" s="109" t="e">
        <f t="shared" ca="1" si="154"/>
        <v>#REF!</v>
      </c>
      <c r="AL90" s="75" t="e">
        <f t="shared" ca="1" si="155"/>
        <v>#REF!</v>
      </c>
      <c r="AM90" s="70" t="e">
        <f t="shared" ca="1" si="156"/>
        <v>#REF!</v>
      </c>
      <c r="AN90" s="70" t="e">
        <f t="shared" ca="1" si="157"/>
        <v>#REF!</v>
      </c>
      <c r="AO90" s="70" t="e">
        <f t="shared" ca="1" si="158"/>
        <v>#REF!</v>
      </c>
      <c r="AP90" s="67" t="e">
        <f t="shared" ca="1" si="183"/>
        <v>#REF!</v>
      </c>
      <c r="AQ90" s="70" t="e">
        <f ca="1">-IF(INDEX(SC_ZX_CodeA,ZXIDX1)="X", 0, MIN(AP90*MAX(INDEX(SC_ZX_Drawdown,ZXIDX2),0),AO90))</f>
        <v>#REF!</v>
      </c>
      <c r="AR90" s="109" t="e">
        <f t="shared" ca="1" si="159"/>
        <v>#REF!</v>
      </c>
      <c r="AS90" s="75" t="e">
        <f t="shared" ca="1" si="160"/>
        <v>#REF!</v>
      </c>
      <c r="AT90" s="70" t="e">
        <f t="shared" ca="1" si="161"/>
        <v>#REF!</v>
      </c>
      <c r="AU90" s="70" t="e">
        <f t="shared" ca="1" si="162"/>
        <v>#REF!</v>
      </c>
      <c r="AV90" s="70" t="e">
        <f t="shared" ca="1" si="163"/>
        <v>#REF!</v>
      </c>
      <c r="AW90" s="67" t="e">
        <f t="shared" ca="1" si="184"/>
        <v>#REF!</v>
      </c>
      <c r="AX90" s="70" t="e">
        <f ca="1">-IF(INDEX(SC_ZX_CodeA,ZXIDX1)="X", 0, MIN(AW90*MAX(INDEX(SC_ZX_Drawdown,ZXIDX2),0),AV90))</f>
        <v>#REF!</v>
      </c>
      <c r="AY90" s="109" t="e">
        <f t="shared" ca="1" si="164"/>
        <v>#REF!</v>
      </c>
      <c r="AZ90" s="75" t="e">
        <f t="shared" ca="1" si="165"/>
        <v>#REF!</v>
      </c>
      <c r="BA90" s="70" t="e">
        <f t="shared" ca="1" si="166"/>
        <v>#REF!</v>
      </c>
      <c r="BB90" s="70" t="e">
        <f t="shared" ca="1" si="167"/>
        <v>#REF!</v>
      </c>
      <c r="BC90" s="70" t="e">
        <f t="shared" ca="1" si="168"/>
        <v>#REF!</v>
      </c>
      <c r="BD90" s="67" t="e">
        <f t="shared" ca="1" si="185"/>
        <v>#REF!</v>
      </c>
      <c r="BE90" s="70" t="e">
        <f ca="1">-IF(INDEX(SC_ZX_CodeA,ZXIDX1)="X", 0, MIN(BD90*MAX(INDEX(SC_ZX_Drawdown,ZXIDX2),0),AZ90))</f>
        <v>#REF!</v>
      </c>
      <c r="BF90" s="109" t="e">
        <f t="shared" ca="1" si="169"/>
        <v>#REF!</v>
      </c>
      <c r="BG90" s="75" t="e">
        <f t="shared" ca="1" si="170"/>
        <v>#REF!</v>
      </c>
      <c r="BH90" s="70" t="e">
        <f t="shared" ca="1" si="171"/>
        <v>#REF!</v>
      </c>
      <c r="BI90" s="70" t="e">
        <f t="shared" ca="1" si="172"/>
        <v>#REF!</v>
      </c>
      <c r="BJ90" s="70" t="e">
        <f t="shared" ca="1" si="173"/>
        <v>#REF!</v>
      </c>
      <c r="BK90" s="67" t="e">
        <f t="shared" ca="1" si="186"/>
        <v>#REF!</v>
      </c>
      <c r="BL90" s="70" t="e">
        <f ca="1">-IF(INDEX(SC_ZX_CodeA,ZXIDX1)="X", 0, MIN(BK90*MAX(INDEX(SC_ZX_Drawdown,ZXIDX2),0),BJ90))</f>
        <v>#REF!</v>
      </c>
      <c r="BM90" s="70" t="e">
        <f t="shared" ca="1" si="174"/>
        <v>#REF!</v>
      </c>
      <c r="BN90" s="111" t="e">
        <f t="shared" ca="1" si="175"/>
        <v>#REF!</v>
      </c>
      <c r="BO90" s="112" t="e">
        <f t="shared" ca="1" si="176"/>
        <v>#REF!</v>
      </c>
      <c r="BP90" s="112" t="e">
        <f ca="1">-($V90-IF(($P90+$R90+$S90)&gt;0,MAX($V90/($P90+$R90+$S90)*($Q90+$R90),$V90),0))*LT_InvestmentQDI</f>
        <v>#VALUE!</v>
      </c>
      <c r="BQ90" s="112" t="e">
        <f ca="1">-($V90-IF(($P90+$R90+$S90)&gt;0,MAX($V90/($P90+$R90+$S90)*($Q90+$R90),$V90),0))*(1-LT_InvestmentQDI)</f>
        <v>#VALUE!</v>
      </c>
      <c r="BR90" s="112" t="e">
        <f t="shared" ca="1" si="177"/>
        <v>#VALUE!</v>
      </c>
      <c r="BS90" s="112" t="e">
        <f t="shared" ca="1" si="178"/>
        <v>#VALUE!</v>
      </c>
      <c r="BT90" s="634" t="e">
        <f ca="1">SUMPRODUCT($BN90:$BN91+$BO90:$BO91, --($E90:$E91&lt;&gt;0))</f>
        <v>#REF!</v>
      </c>
      <c r="BU90" s="617" t="e">
        <f ca="1">SUMPRODUCT($BR90:$BR91+$BS90:$BS91, --($E90:$E91&lt;&gt;0))</f>
        <v>#VALUE!</v>
      </c>
      <c r="BV90" s="617" t="e">
        <f ca="1">$T90+SUMPRODUCT($AA90:$AA91+$AH90:$AH91+$AO90:$AO91+$AV90:$AV91+$BC90:$BC91+$BJ90:$BJ91, --($E90:$E91&lt;&gt;0))</f>
        <v>#VALUE!</v>
      </c>
      <c r="BW90" s="617" t="e">
        <f ca="1">MAX($P90-$Q90,0)+SUMPRODUCT($X90:$X91+$AL90:$AL91+$AZ90:$AZ91, --($E90:$E91&lt;&gt;0))</f>
        <v>#VALUE!</v>
      </c>
      <c r="BX90" s="618" t="e">
        <f ca="1">MIN($P90,$Q90)+SUMPRODUCT($AE90:$AE91+$AS90:$AS91+$BG90:$BG91, --($E90:$E91&lt;&gt;0))</f>
        <v>#VALUE!</v>
      </c>
    </row>
    <row r="91" spans="2:93" x14ac:dyDescent="0.25">
      <c r="B91" s="86">
        <f t="shared" ca="1" si="179"/>
        <v>2062</v>
      </c>
      <c r="C91" s="80" t="s">
        <v>741</v>
      </c>
      <c r="D91" s="147" t="str">
        <f t="shared" si="137"/>
        <v/>
      </c>
      <c r="E91" s="81">
        <f t="shared" si="138"/>
        <v>0</v>
      </c>
      <c r="F91" s="81">
        <f t="shared" si="143"/>
        <v>2</v>
      </c>
      <c r="G91" s="82">
        <f t="shared" si="139"/>
        <v>-1</v>
      </c>
      <c r="H91" s="82">
        <f t="shared" si="140"/>
        <v>0</v>
      </c>
      <c r="I91" s="81" t="b">
        <f t="shared" si="141"/>
        <v>0</v>
      </c>
      <c r="J91" s="81"/>
      <c r="K91" s="81"/>
      <c r="L91" s="81"/>
      <c r="M91" s="81"/>
      <c r="N91" s="633"/>
      <c r="O91" s="243" t="e">
        <f ca="1">LT_InvestmentStocks*INDEX(SP_EA_ARStocks,EAIDX)+LT_InvestmentBonds*INDEX(SC_EA_ARBonds,EAIDX)</f>
        <v>#REF!</v>
      </c>
      <c r="P91" s="634"/>
      <c r="Q91" s="617"/>
      <c r="R91" s="617"/>
      <c r="S91" s="617"/>
      <c r="T91" s="617"/>
      <c r="U91" s="643"/>
      <c r="V91" s="617"/>
      <c r="W91" s="639"/>
      <c r="X91" s="106" t="e">
        <f t="shared" ca="1" si="145"/>
        <v>#REF!</v>
      </c>
      <c r="Y91" s="107" t="e">
        <f t="shared" ca="1" si="146"/>
        <v>#REF!</v>
      </c>
      <c r="Z91" s="107" t="e">
        <f t="shared" ca="1" si="147"/>
        <v>#REF!</v>
      </c>
      <c r="AA91" s="107" t="e">
        <f t="shared" ca="1" si="148"/>
        <v>#REF!</v>
      </c>
      <c r="AB91" s="91" t="e">
        <f t="shared" ca="1" si="181"/>
        <v>#REF!</v>
      </c>
      <c r="AC91" s="107" t="e">
        <f ca="1">-IF(INDEX(SC_ZX_CodeA,ZXIDX1)="X", 0, MIN(AB91*MAX(INDEX(SC_ZX_Drawdown,ZXIDX2),0),AA91))</f>
        <v>#REF!</v>
      </c>
      <c r="AD91" s="110" t="e">
        <f t="shared" ca="1" si="149"/>
        <v>#REF!</v>
      </c>
      <c r="AE91" s="106" t="e">
        <f t="shared" ca="1" si="150"/>
        <v>#REF!</v>
      </c>
      <c r="AF91" s="107" t="e">
        <f t="shared" ca="1" si="151"/>
        <v>#REF!</v>
      </c>
      <c r="AG91" s="107" t="e">
        <f t="shared" ca="1" si="152"/>
        <v>#REF!</v>
      </c>
      <c r="AH91" s="107" t="e">
        <f t="shared" ca="1" si="153"/>
        <v>#REF!</v>
      </c>
      <c r="AI91" s="91" t="e">
        <f t="shared" ca="1" si="182"/>
        <v>#REF!</v>
      </c>
      <c r="AJ91" s="107" t="e">
        <f ca="1">-IF(INDEX(SC_ZX_CodeA,ZXIDX1)="X", 0, MIN(AI91*MAX(INDEX(SC_ZX_Drawdown,ZXIDX2),0),AH91))</f>
        <v>#REF!</v>
      </c>
      <c r="AK91" s="110" t="e">
        <f t="shared" ca="1" si="154"/>
        <v>#REF!</v>
      </c>
      <c r="AL91" s="106" t="e">
        <f t="shared" ca="1" si="155"/>
        <v>#REF!</v>
      </c>
      <c r="AM91" s="107" t="e">
        <f t="shared" ca="1" si="156"/>
        <v>#REF!</v>
      </c>
      <c r="AN91" s="107" t="e">
        <f t="shared" ca="1" si="157"/>
        <v>#REF!</v>
      </c>
      <c r="AO91" s="107" t="e">
        <f t="shared" ca="1" si="158"/>
        <v>#REF!</v>
      </c>
      <c r="AP91" s="91" t="e">
        <f t="shared" ca="1" si="183"/>
        <v>#REF!</v>
      </c>
      <c r="AQ91" s="107" t="e">
        <f ca="1">-IF(INDEX(SC_ZX_CodeA,ZXIDX1)="X", 0, MIN(AP91*MAX(INDEX(SC_ZX_Drawdown,ZXIDX2),0),AO91))</f>
        <v>#REF!</v>
      </c>
      <c r="AR91" s="110" t="e">
        <f t="shared" ca="1" si="159"/>
        <v>#REF!</v>
      </c>
      <c r="AS91" s="106" t="e">
        <f t="shared" ca="1" si="160"/>
        <v>#REF!</v>
      </c>
      <c r="AT91" s="107" t="e">
        <f t="shared" ca="1" si="161"/>
        <v>#REF!</v>
      </c>
      <c r="AU91" s="107" t="e">
        <f t="shared" ca="1" si="162"/>
        <v>#REF!</v>
      </c>
      <c r="AV91" s="107" t="e">
        <f t="shared" ca="1" si="163"/>
        <v>#REF!</v>
      </c>
      <c r="AW91" s="91" t="e">
        <f t="shared" ca="1" si="184"/>
        <v>#REF!</v>
      </c>
      <c r="AX91" s="107" t="e">
        <f ca="1">-IF(INDEX(SC_ZX_CodeA,ZXIDX1)="X", 0, MIN(AW91*MAX(INDEX(SC_ZX_Drawdown,ZXIDX2),0),AV91))</f>
        <v>#REF!</v>
      </c>
      <c r="AY91" s="110" t="e">
        <f t="shared" ca="1" si="164"/>
        <v>#REF!</v>
      </c>
      <c r="AZ91" s="106" t="e">
        <f t="shared" ca="1" si="165"/>
        <v>#REF!</v>
      </c>
      <c r="BA91" s="107" t="e">
        <f t="shared" ca="1" si="166"/>
        <v>#REF!</v>
      </c>
      <c r="BB91" s="107" t="e">
        <f t="shared" ca="1" si="167"/>
        <v>#REF!</v>
      </c>
      <c r="BC91" s="107" t="e">
        <f t="shared" ca="1" si="168"/>
        <v>#REF!</v>
      </c>
      <c r="BD91" s="91" t="e">
        <f t="shared" ca="1" si="185"/>
        <v>#REF!</v>
      </c>
      <c r="BE91" s="107" t="e">
        <f ca="1">-IF(INDEX(SC_ZX_CodeA,ZXIDX1)="X", 0, MIN(BD91*MAX(INDEX(SC_ZX_Drawdown,ZXIDX2),0),AZ91))</f>
        <v>#REF!</v>
      </c>
      <c r="BF91" s="110" t="e">
        <f t="shared" ca="1" si="169"/>
        <v>#REF!</v>
      </c>
      <c r="BG91" s="106" t="e">
        <f t="shared" ca="1" si="170"/>
        <v>#REF!</v>
      </c>
      <c r="BH91" s="107" t="e">
        <f t="shared" ca="1" si="171"/>
        <v>#REF!</v>
      </c>
      <c r="BI91" s="107" t="e">
        <f t="shared" ca="1" si="172"/>
        <v>#REF!</v>
      </c>
      <c r="BJ91" s="107" t="e">
        <f t="shared" ca="1" si="173"/>
        <v>#REF!</v>
      </c>
      <c r="BK91" s="91" t="e">
        <f t="shared" ca="1" si="186"/>
        <v>#REF!</v>
      </c>
      <c r="BL91" s="107" t="e">
        <f ca="1">-IF(INDEX(SC_ZX_CodeA,ZXIDX1)="X", 0, MIN(BK91*MAX(INDEX(SC_ZX_Drawdown,ZXIDX2),0),BJ91))</f>
        <v>#REF!</v>
      </c>
      <c r="BM91" s="107" t="e">
        <f t="shared" ca="1" si="174"/>
        <v>#REF!</v>
      </c>
      <c r="BN91" s="113" t="e">
        <f t="shared" ca="1" si="175"/>
        <v>#REF!</v>
      </c>
      <c r="BO91" s="114" t="e">
        <f t="shared" ca="1" si="176"/>
        <v>#REF!</v>
      </c>
      <c r="BP91" s="114" t="e">
        <f ca="1">-($V91-IF(($P91+$R91+$S91)&gt;0,MAX($V91/($P91+$R91+$S91)*($Q91+$R91),$V91),0))*LT_InvestmentQDI</f>
        <v>#REF!</v>
      </c>
      <c r="BQ91" s="114" t="e">
        <f ca="1">-($V91-IF(($P91+$R91+$S91)&gt;0,MAX($V91/($P91+$R91+$S91)*($Q91+$R91),$V91),0))*(1-LT_InvestmentQDI)</f>
        <v>#REF!</v>
      </c>
      <c r="BR91" s="114" t="e">
        <f t="shared" ca="1" si="177"/>
        <v>#REF!</v>
      </c>
      <c r="BS91" s="114" t="e">
        <f t="shared" ca="1" si="178"/>
        <v>#REF!</v>
      </c>
      <c r="BT91" s="649"/>
      <c r="BU91" s="637"/>
      <c r="BV91" s="637"/>
      <c r="BW91" s="637"/>
      <c r="BX91" s="639"/>
    </row>
    <row r="92" spans="2:93" x14ac:dyDescent="0.25">
      <c r="B92" s="65">
        <f ca="1">B90+1</f>
        <v>2063</v>
      </c>
      <c r="C92" s="76" t="s">
        <v>741</v>
      </c>
      <c r="D92" s="146" t="str">
        <f t="shared" si="137"/>
        <v/>
      </c>
      <c r="E92" s="77">
        <f t="shared" si="138"/>
        <v>0</v>
      </c>
      <c r="F92" s="77">
        <f t="shared" si="143"/>
        <v>1</v>
      </c>
      <c r="G92" s="76">
        <f t="shared" si="139"/>
        <v>1</v>
      </c>
      <c r="H92" s="76">
        <f t="shared" si="140"/>
        <v>0</v>
      </c>
      <c r="I92" s="77" t="b">
        <f t="shared" si="141"/>
        <v>0</v>
      </c>
      <c r="J92" s="77"/>
      <c r="K92" s="77"/>
      <c r="L92" s="77"/>
      <c r="M92" s="77"/>
      <c r="N92" s="632">
        <f ca="1">YEAR(SP_TargetRD)-$B92</f>
        <v>-40</v>
      </c>
      <c r="O92" s="243" t="e">
        <f ca="1">LT_InvestmentStocks*INDEX(SP_EA_ARStocks,EAIDX)+LT_InvestmentBonds*INDEX(SC_EA_ARBonds,EAIDX)</f>
        <v>#REF!</v>
      </c>
      <c r="P92" s="634" t="e">
        <f ca="1">MAX(P90+R90+S90+V90+W90,0)</f>
        <v>#VALUE!</v>
      </c>
      <c r="Q92" s="617" t="e">
        <f t="shared" ref="Q92" ca="1" si="194">MAX(Q90+R90+IF((P90+R90+S90)&gt;0,MAX(V90/(P90+R90+S90)*(Q90+R90),V90),0),0)</f>
        <v>#VALUE!</v>
      </c>
      <c r="R92" s="617" t="e">
        <f ca="1">IF(SC_ZX_CodeA="X", 0, MAX(INDEX(SC_ZX_IncomeSurplus,ZXIDX2)+INDEX(SC_ZX_Debt,ZXIDX2),0))</f>
        <v>#VALUE!</v>
      </c>
      <c r="S92" s="617" t="e">
        <f ca="1">IF(SC_ZX_CodeA="X", 0, INDEX(SC_EX_RolloverCore,EXIDX))</f>
        <v>#VALUE!</v>
      </c>
      <c r="T92" s="617" t="e">
        <f ca="1">P92+R92+S92</f>
        <v>#VALUE!</v>
      </c>
      <c r="U92" s="642" t="e">
        <f ca="1">IF(SC_ZX_BalanceAccessibleA&gt;0, T92/SC_ZX_BalanceAccessibleA, 0)</f>
        <v>#VALUE!</v>
      </c>
      <c r="V92" s="617" t="e">
        <f ca="1">-IF(SC_ZX_CodeA="X",0,MIN(U92*MAX(INDEX(SC_ZX_Drawdown,ZXIDX2),0),T92))</f>
        <v>#VALUE!</v>
      </c>
      <c r="W92" s="618" t="e">
        <f ca="1">(P92+R92+S92+V92)*$O92</f>
        <v>#VALUE!</v>
      </c>
      <c r="X92" s="75" t="e">
        <f t="shared" ca="1" si="145"/>
        <v>#REF!</v>
      </c>
      <c r="Y92" s="70" t="e">
        <f t="shared" ca="1" si="146"/>
        <v>#REF!</v>
      </c>
      <c r="Z92" s="70" t="e">
        <f t="shared" ca="1" si="147"/>
        <v>#REF!</v>
      </c>
      <c r="AA92" s="70" t="e">
        <f t="shared" ca="1" si="148"/>
        <v>#REF!</v>
      </c>
      <c r="AB92" s="67" t="e">
        <f t="shared" ca="1" si="181"/>
        <v>#REF!</v>
      </c>
      <c r="AC92" s="70" t="e">
        <f ca="1">-IF(INDEX(SC_ZX_CodeA,ZXIDX1)="X", 0, MIN(AB92*MAX(INDEX(SC_ZX_Drawdown,ZXIDX2),0),AA92))</f>
        <v>#REF!</v>
      </c>
      <c r="AD92" s="109" t="e">
        <f t="shared" ca="1" si="149"/>
        <v>#REF!</v>
      </c>
      <c r="AE92" s="75" t="e">
        <f t="shared" ca="1" si="150"/>
        <v>#REF!</v>
      </c>
      <c r="AF92" s="70" t="e">
        <f t="shared" ca="1" si="151"/>
        <v>#REF!</v>
      </c>
      <c r="AG92" s="70" t="e">
        <f t="shared" ca="1" si="152"/>
        <v>#REF!</v>
      </c>
      <c r="AH92" s="70" t="e">
        <f t="shared" ca="1" si="153"/>
        <v>#REF!</v>
      </c>
      <c r="AI92" s="67" t="e">
        <f t="shared" ca="1" si="182"/>
        <v>#REF!</v>
      </c>
      <c r="AJ92" s="70" t="e">
        <f ca="1">-IF(INDEX(SC_ZX_CodeA,ZXIDX1)="X", 0, MIN(AI92*MAX(INDEX(SC_ZX_Drawdown,ZXIDX2),0),AH92))</f>
        <v>#REF!</v>
      </c>
      <c r="AK92" s="109" t="e">
        <f t="shared" ca="1" si="154"/>
        <v>#REF!</v>
      </c>
      <c r="AL92" s="75" t="e">
        <f t="shared" ca="1" si="155"/>
        <v>#REF!</v>
      </c>
      <c r="AM92" s="70" t="e">
        <f t="shared" ca="1" si="156"/>
        <v>#REF!</v>
      </c>
      <c r="AN92" s="70" t="e">
        <f t="shared" ca="1" si="157"/>
        <v>#REF!</v>
      </c>
      <c r="AO92" s="70" t="e">
        <f t="shared" ca="1" si="158"/>
        <v>#REF!</v>
      </c>
      <c r="AP92" s="67" t="e">
        <f t="shared" ca="1" si="183"/>
        <v>#REF!</v>
      </c>
      <c r="AQ92" s="70" t="e">
        <f ca="1">-IF(INDEX(SC_ZX_CodeA,ZXIDX1)="X", 0, MIN(AP92*MAX(INDEX(SC_ZX_Drawdown,ZXIDX2),0),AO92))</f>
        <v>#REF!</v>
      </c>
      <c r="AR92" s="109" t="e">
        <f t="shared" ca="1" si="159"/>
        <v>#REF!</v>
      </c>
      <c r="AS92" s="75" t="e">
        <f t="shared" ca="1" si="160"/>
        <v>#REF!</v>
      </c>
      <c r="AT92" s="70" t="e">
        <f t="shared" ca="1" si="161"/>
        <v>#REF!</v>
      </c>
      <c r="AU92" s="70" t="e">
        <f t="shared" ca="1" si="162"/>
        <v>#REF!</v>
      </c>
      <c r="AV92" s="70" t="e">
        <f t="shared" ca="1" si="163"/>
        <v>#REF!</v>
      </c>
      <c r="AW92" s="67" t="e">
        <f t="shared" ca="1" si="184"/>
        <v>#REF!</v>
      </c>
      <c r="AX92" s="70" t="e">
        <f ca="1">-IF(INDEX(SC_ZX_CodeA,ZXIDX1)="X", 0, MIN(AW92*MAX(INDEX(SC_ZX_Drawdown,ZXIDX2),0),AV92))</f>
        <v>#REF!</v>
      </c>
      <c r="AY92" s="109" t="e">
        <f t="shared" ca="1" si="164"/>
        <v>#REF!</v>
      </c>
      <c r="AZ92" s="75" t="e">
        <f t="shared" ca="1" si="165"/>
        <v>#REF!</v>
      </c>
      <c r="BA92" s="70" t="e">
        <f t="shared" ca="1" si="166"/>
        <v>#REF!</v>
      </c>
      <c r="BB92" s="70" t="e">
        <f t="shared" ca="1" si="167"/>
        <v>#REF!</v>
      </c>
      <c r="BC92" s="70" t="e">
        <f t="shared" ca="1" si="168"/>
        <v>#REF!</v>
      </c>
      <c r="BD92" s="67" t="e">
        <f t="shared" ca="1" si="185"/>
        <v>#REF!</v>
      </c>
      <c r="BE92" s="70" t="e">
        <f ca="1">-IF(INDEX(SC_ZX_CodeA,ZXIDX1)="X", 0, MIN(BD92*MAX(INDEX(SC_ZX_Drawdown,ZXIDX2),0),AZ92))</f>
        <v>#REF!</v>
      </c>
      <c r="BF92" s="109" t="e">
        <f t="shared" ca="1" si="169"/>
        <v>#REF!</v>
      </c>
      <c r="BG92" s="75" t="e">
        <f t="shared" ca="1" si="170"/>
        <v>#REF!</v>
      </c>
      <c r="BH92" s="70" t="e">
        <f t="shared" ca="1" si="171"/>
        <v>#REF!</v>
      </c>
      <c r="BI92" s="70" t="e">
        <f t="shared" ca="1" si="172"/>
        <v>#REF!</v>
      </c>
      <c r="BJ92" s="70" t="e">
        <f t="shared" ca="1" si="173"/>
        <v>#REF!</v>
      </c>
      <c r="BK92" s="67" t="e">
        <f t="shared" ca="1" si="186"/>
        <v>#REF!</v>
      </c>
      <c r="BL92" s="70" t="e">
        <f ca="1">-IF(INDEX(SC_ZX_CodeA,ZXIDX1)="X", 0, MIN(BK92*MAX(INDEX(SC_ZX_Drawdown,ZXIDX2),0),BJ92))</f>
        <v>#REF!</v>
      </c>
      <c r="BM92" s="70" t="e">
        <f t="shared" ca="1" si="174"/>
        <v>#REF!</v>
      </c>
      <c r="BN92" s="111" t="e">
        <f t="shared" ca="1" si="175"/>
        <v>#REF!</v>
      </c>
      <c r="BO92" s="112" t="e">
        <f t="shared" ca="1" si="176"/>
        <v>#REF!</v>
      </c>
      <c r="BP92" s="112" t="e">
        <f ca="1">-($V92-IF(($P92+$R92+$S92)&gt;0,MAX($V92/($P92+$R92+$S92)*($Q92+$R92),$V92),0))*LT_InvestmentQDI</f>
        <v>#VALUE!</v>
      </c>
      <c r="BQ92" s="112" t="e">
        <f ca="1">-($V92-IF(($P92+$R92+$S92)&gt;0,MAX($V92/($P92+$R92+$S92)*($Q92+$R92),$V92),0))*(1-LT_InvestmentQDI)</f>
        <v>#VALUE!</v>
      </c>
      <c r="BR92" s="112" t="e">
        <f t="shared" ca="1" si="177"/>
        <v>#VALUE!</v>
      </c>
      <c r="BS92" s="112" t="e">
        <f t="shared" ca="1" si="178"/>
        <v>#VALUE!</v>
      </c>
      <c r="BT92" s="634" t="e">
        <f ca="1">SUMPRODUCT($BN92:$BN93+$BO92:$BO93, --($E92:$E93&lt;&gt;0))</f>
        <v>#REF!</v>
      </c>
      <c r="BU92" s="617" t="e">
        <f ca="1">SUMPRODUCT($BR92:$BR93+$BS92:$BS93, --($E92:$E93&lt;&gt;0))</f>
        <v>#VALUE!</v>
      </c>
      <c r="BV92" s="617" t="e">
        <f ca="1">$T92+SUMPRODUCT($AA92:$AA93+$AH92:$AH93+$AO92:$AO93+$AV92:$AV93+$BC92:$BC93+$BJ92:$BJ93, --($E92:$E93&lt;&gt;0))</f>
        <v>#VALUE!</v>
      </c>
      <c r="BW92" s="617" t="e">
        <f ca="1">MAX($P92-$Q92,0)+SUMPRODUCT($X92:$X93+$AL92:$AL93+$AZ92:$AZ93, --($E92:$E93&lt;&gt;0))</f>
        <v>#VALUE!</v>
      </c>
      <c r="BX92" s="618" t="e">
        <f ca="1">MIN($P92,$Q92)+SUMPRODUCT($AE92:$AE93+$AS92:$AS93+$BG92:$BG93, --($E92:$E93&lt;&gt;0))</f>
        <v>#VALUE!</v>
      </c>
    </row>
    <row r="93" spans="2:93" x14ac:dyDescent="0.25">
      <c r="B93" s="86">
        <f t="shared" ca="1" si="179"/>
        <v>2063</v>
      </c>
      <c r="C93" s="80" t="s">
        <v>741</v>
      </c>
      <c r="D93" s="147" t="str">
        <f t="shared" si="137"/>
        <v/>
      </c>
      <c r="E93" s="81">
        <f t="shared" si="138"/>
        <v>0</v>
      </c>
      <c r="F93" s="81">
        <f t="shared" si="143"/>
        <v>2</v>
      </c>
      <c r="G93" s="82">
        <f t="shared" si="139"/>
        <v>-1</v>
      </c>
      <c r="H93" s="82">
        <f t="shared" si="140"/>
        <v>0</v>
      </c>
      <c r="I93" s="81" t="b">
        <f t="shared" si="141"/>
        <v>0</v>
      </c>
      <c r="J93" s="81"/>
      <c r="K93" s="81"/>
      <c r="L93" s="81"/>
      <c r="M93" s="81"/>
      <c r="N93" s="633"/>
      <c r="O93" s="243" t="e">
        <f ca="1">LT_InvestmentStocks*INDEX(SP_EA_ARStocks,EAIDX)+LT_InvestmentBonds*INDEX(SC_EA_ARBonds,EAIDX)</f>
        <v>#REF!</v>
      </c>
      <c r="P93" s="634"/>
      <c r="Q93" s="617"/>
      <c r="R93" s="617"/>
      <c r="S93" s="617"/>
      <c r="T93" s="617"/>
      <c r="U93" s="643"/>
      <c r="V93" s="617"/>
      <c r="W93" s="639"/>
      <c r="X93" s="106" t="e">
        <f t="shared" ca="1" si="145"/>
        <v>#REF!</v>
      </c>
      <c r="Y93" s="107" t="e">
        <f t="shared" ca="1" si="146"/>
        <v>#REF!</v>
      </c>
      <c r="Z93" s="107" t="e">
        <f t="shared" ca="1" si="147"/>
        <v>#REF!</v>
      </c>
      <c r="AA93" s="107" t="e">
        <f t="shared" ca="1" si="148"/>
        <v>#REF!</v>
      </c>
      <c r="AB93" s="91" t="e">
        <f t="shared" ca="1" si="181"/>
        <v>#REF!</v>
      </c>
      <c r="AC93" s="107" t="e">
        <f ca="1">-IF(INDEX(SC_ZX_CodeA,ZXIDX1)="X", 0, MIN(AB93*MAX(INDEX(SC_ZX_Drawdown,ZXIDX2),0),AA93))</f>
        <v>#REF!</v>
      </c>
      <c r="AD93" s="110" t="e">
        <f t="shared" ca="1" si="149"/>
        <v>#REF!</v>
      </c>
      <c r="AE93" s="106" t="e">
        <f t="shared" ca="1" si="150"/>
        <v>#REF!</v>
      </c>
      <c r="AF93" s="107" t="e">
        <f t="shared" ca="1" si="151"/>
        <v>#REF!</v>
      </c>
      <c r="AG93" s="107" t="e">
        <f t="shared" ca="1" si="152"/>
        <v>#REF!</v>
      </c>
      <c r="AH93" s="107" t="e">
        <f t="shared" ca="1" si="153"/>
        <v>#REF!</v>
      </c>
      <c r="AI93" s="91" t="e">
        <f t="shared" ca="1" si="182"/>
        <v>#REF!</v>
      </c>
      <c r="AJ93" s="107" t="e">
        <f ca="1">-IF(INDEX(SC_ZX_CodeA,ZXIDX1)="X", 0, MIN(AI93*MAX(INDEX(SC_ZX_Drawdown,ZXIDX2),0),AH93))</f>
        <v>#REF!</v>
      </c>
      <c r="AK93" s="110" t="e">
        <f t="shared" ca="1" si="154"/>
        <v>#REF!</v>
      </c>
      <c r="AL93" s="106" t="e">
        <f t="shared" ca="1" si="155"/>
        <v>#REF!</v>
      </c>
      <c r="AM93" s="107" t="e">
        <f t="shared" ca="1" si="156"/>
        <v>#REF!</v>
      </c>
      <c r="AN93" s="107" t="e">
        <f t="shared" ca="1" si="157"/>
        <v>#REF!</v>
      </c>
      <c r="AO93" s="107" t="e">
        <f t="shared" ca="1" si="158"/>
        <v>#REF!</v>
      </c>
      <c r="AP93" s="91" t="e">
        <f t="shared" ca="1" si="183"/>
        <v>#REF!</v>
      </c>
      <c r="AQ93" s="107" t="e">
        <f ca="1">-IF(INDEX(SC_ZX_CodeA,ZXIDX1)="X", 0, MIN(AP93*MAX(INDEX(SC_ZX_Drawdown,ZXIDX2),0),AO93))</f>
        <v>#REF!</v>
      </c>
      <c r="AR93" s="110" t="e">
        <f t="shared" ca="1" si="159"/>
        <v>#REF!</v>
      </c>
      <c r="AS93" s="106" t="e">
        <f t="shared" ca="1" si="160"/>
        <v>#REF!</v>
      </c>
      <c r="AT93" s="107" t="e">
        <f t="shared" ca="1" si="161"/>
        <v>#REF!</v>
      </c>
      <c r="AU93" s="107" t="e">
        <f t="shared" ca="1" si="162"/>
        <v>#REF!</v>
      </c>
      <c r="AV93" s="107" t="e">
        <f t="shared" ca="1" si="163"/>
        <v>#REF!</v>
      </c>
      <c r="AW93" s="91" t="e">
        <f t="shared" ca="1" si="184"/>
        <v>#REF!</v>
      </c>
      <c r="AX93" s="107" t="e">
        <f ca="1">-IF(INDEX(SC_ZX_CodeA,ZXIDX1)="X", 0, MIN(AW93*MAX(INDEX(SC_ZX_Drawdown,ZXIDX2),0),AV93))</f>
        <v>#REF!</v>
      </c>
      <c r="AY93" s="110" t="e">
        <f t="shared" ca="1" si="164"/>
        <v>#REF!</v>
      </c>
      <c r="AZ93" s="106" t="e">
        <f t="shared" ca="1" si="165"/>
        <v>#REF!</v>
      </c>
      <c r="BA93" s="107" t="e">
        <f t="shared" ca="1" si="166"/>
        <v>#REF!</v>
      </c>
      <c r="BB93" s="107" t="e">
        <f t="shared" ca="1" si="167"/>
        <v>#REF!</v>
      </c>
      <c r="BC93" s="107" t="e">
        <f t="shared" ca="1" si="168"/>
        <v>#REF!</v>
      </c>
      <c r="BD93" s="91" t="e">
        <f t="shared" ca="1" si="185"/>
        <v>#REF!</v>
      </c>
      <c r="BE93" s="107" t="e">
        <f ca="1">-IF(INDEX(SC_ZX_CodeA,ZXIDX1)="X", 0, MIN(BD93*MAX(INDEX(SC_ZX_Drawdown,ZXIDX2),0),AZ93))</f>
        <v>#REF!</v>
      </c>
      <c r="BF93" s="110" t="e">
        <f t="shared" ca="1" si="169"/>
        <v>#REF!</v>
      </c>
      <c r="BG93" s="106" t="e">
        <f t="shared" ca="1" si="170"/>
        <v>#REF!</v>
      </c>
      <c r="BH93" s="107" t="e">
        <f t="shared" ca="1" si="171"/>
        <v>#REF!</v>
      </c>
      <c r="BI93" s="107" t="e">
        <f t="shared" ca="1" si="172"/>
        <v>#REF!</v>
      </c>
      <c r="BJ93" s="107" t="e">
        <f t="shared" ca="1" si="173"/>
        <v>#REF!</v>
      </c>
      <c r="BK93" s="91" t="e">
        <f t="shared" ca="1" si="186"/>
        <v>#REF!</v>
      </c>
      <c r="BL93" s="107" t="e">
        <f ca="1">-IF(INDEX(SC_ZX_CodeA,ZXIDX1)="X", 0, MIN(BK93*MAX(INDEX(SC_ZX_Drawdown,ZXIDX2),0),BJ93))</f>
        <v>#REF!</v>
      </c>
      <c r="BM93" s="107" t="e">
        <f t="shared" ca="1" si="174"/>
        <v>#REF!</v>
      </c>
      <c r="BN93" s="113" t="e">
        <f t="shared" ca="1" si="175"/>
        <v>#REF!</v>
      </c>
      <c r="BO93" s="114" t="e">
        <f t="shared" ca="1" si="176"/>
        <v>#REF!</v>
      </c>
      <c r="BP93" s="114" t="e">
        <f ca="1">-($V93-IF(($P93+$R93+$S93)&gt;0,MAX($V93/($P93+$R93+$S93)*($Q93+$R93),$V93),0))*LT_InvestmentQDI</f>
        <v>#REF!</v>
      </c>
      <c r="BQ93" s="114" t="e">
        <f ca="1">-($V93-IF(($P93+$R93+$S93)&gt;0,MAX($V93/($P93+$R93+$S93)*($Q93+$R93),$V93),0))*(1-LT_InvestmentQDI)</f>
        <v>#REF!</v>
      </c>
      <c r="BR93" s="114" t="e">
        <f t="shared" ca="1" si="177"/>
        <v>#REF!</v>
      </c>
      <c r="BS93" s="114" t="e">
        <f t="shared" ca="1" si="178"/>
        <v>#REF!</v>
      </c>
      <c r="BT93" s="649"/>
      <c r="BU93" s="637"/>
      <c r="BV93" s="637"/>
      <c r="BW93" s="637"/>
      <c r="BX93" s="639"/>
    </row>
    <row r="94" spans="2:93" x14ac:dyDescent="0.25">
      <c r="B94" s="65">
        <f ca="1">B92+1</f>
        <v>2064</v>
      </c>
      <c r="C94" s="76" t="s">
        <v>741</v>
      </c>
      <c r="D94" s="146" t="str">
        <f t="shared" si="137"/>
        <v/>
      </c>
      <c r="E94" s="77">
        <f t="shared" si="138"/>
        <v>0</v>
      </c>
      <c r="F94" s="77">
        <f t="shared" si="143"/>
        <v>1</v>
      </c>
      <c r="G94" s="76">
        <f t="shared" si="139"/>
        <v>1</v>
      </c>
      <c r="H94" s="76">
        <f t="shared" si="140"/>
        <v>0</v>
      </c>
      <c r="I94" s="77" t="b">
        <f t="shared" si="141"/>
        <v>0</v>
      </c>
      <c r="J94" s="77"/>
      <c r="K94" s="77"/>
      <c r="L94" s="77"/>
      <c r="M94" s="77"/>
      <c r="N94" s="632">
        <f ca="1">YEAR(SP_TargetRD)-$B94</f>
        <v>-41</v>
      </c>
      <c r="O94" s="243" t="e">
        <f ca="1">LT_InvestmentStocks*INDEX(SP_EA_ARStocks,EAIDX)+LT_InvestmentBonds*INDEX(SC_EA_ARBonds,EAIDX)</f>
        <v>#REF!</v>
      </c>
      <c r="P94" s="634" t="e">
        <f ca="1">MAX(P92+R92+S92+V92+W92,0)</f>
        <v>#VALUE!</v>
      </c>
      <c r="Q94" s="617" t="e">
        <f t="shared" ref="Q94" ca="1" si="195">MAX(Q92+R92+IF((P92+R92+S92)&gt;0,MAX(V92/(P92+R92+S92)*(Q92+R92),V92),0),0)</f>
        <v>#VALUE!</v>
      </c>
      <c r="R94" s="617" t="e">
        <f ca="1">IF(SC_ZX_CodeA="X", 0, MAX(INDEX(SC_ZX_IncomeSurplus,ZXIDX2)+INDEX(SC_ZX_Debt,ZXIDX2),0))</f>
        <v>#VALUE!</v>
      </c>
      <c r="S94" s="617" t="e">
        <f ca="1">IF(SC_ZX_CodeA="X", 0, INDEX(SC_EX_RolloverCore,EXIDX))</f>
        <v>#VALUE!</v>
      </c>
      <c r="T94" s="617" t="e">
        <f ca="1">P94+R94+S94</f>
        <v>#VALUE!</v>
      </c>
      <c r="U94" s="642" t="e">
        <f ca="1">IF(SC_ZX_BalanceAccessibleA&gt;0, T94/SC_ZX_BalanceAccessibleA, 0)</f>
        <v>#VALUE!</v>
      </c>
      <c r="V94" s="617" t="e">
        <f ca="1">-IF(SC_ZX_CodeA="X",0,MIN(U94*MAX(INDEX(SC_ZX_Drawdown,ZXIDX2),0),T94))</f>
        <v>#VALUE!</v>
      </c>
      <c r="W94" s="618" t="e">
        <f ca="1">(P94+R94+S94+V94)*$O94</f>
        <v>#VALUE!</v>
      </c>
      <c r="X94" s="75" t="e">
        <f t="shared" ca="1" si="145"/>
        <v>#REF!</v>
      </c>
      <c r="Y94" s="70" t="e">
        <f t="shared" ca="1" si="146"/>
        <v>#REF!</v>
      </c>
      <c r="Z94" s="70" t="e">
        <f t="shared" ca="1" si="147"/>
        <v>#REF!</v>
      </c>
      <c r="AA94" s="70" t="e">
        <f t="shared" ca="1" si="148"/>
        <v>#REF!</v>
      </c>
      <c r="AB94" s="67" t="e">
        <f t="shared" ca="1" si="181"/>
        <v>#REF!</v>
      </c>
      <c r="AC94" s="70" t="e">
        <f ca="1">-IF(INDEX(SC_ZX_CodeA,ZXIDX1)="X", 0, MIN(AB94*MAX(INDEX(SC_ZX_Drawdown,ZXIDX2),0),AA94))</f>
        <v>#REF!</v>
      </c>
      <c r="AD94" s="109" t="e">
        <f t="shared" ca="1" si="149"/>
        <v>#REF!</v>
      </c>
      <c r="AE94" s="75" t="e">
        <f t="shared" ca="1" si="150"/>
        <v>#REF!</v>
      </c>
      <c r="AF94" s="70" t="e">
        <f t="shared" ca="1" si="151"/>
        <v>#REF!</v>
      </c>
      <c r="AG94" s="70" t="e">
        <f t="shared" ca="1" si="152"/>
        <v>#REF!</v>
      </c>
      <c r="AH94" s="70" t="e">
        <f t="shared" ca="1" si="153"/>
        <v>#REF!</v>
      </c>
      <c r="AI94" s="67" t="e">
        <f t="shared" ca="1" si="182"/>
        <v>#REF!</v>
      </c>
      <c r="AJ94" s="70" t="e">
        <f ca="1">-IF(INDEX(SC_ZX_CodeA,ZXIDX1)="X", 0, MIN(AI94*MAX(INDEX(SC_ZX_Drawdown,ZXIDX2),0),AH94))</f>
        <v>#REF!</v>
      </c>
      <c r="AK94" s="109" t="e">
        <f t="shared" ca="1" si="154"/>
        <v>#REF!</v>
      </c>
      <c r="AL94" s="75" t="e">
        <f t="shared" ca="1" si="155"/>
        <v>#REF!</v>
      </c>
      <c r="AM94" s="70" t="e">
        <f t="shared" ca="1" si="156"/>
        <v>#REF!</v>
      </c>
      <c r="AN94" s="70" t="e">
        <f t="shared" ca="1" si="157"/>
        <v>#REF!</v>
      </c>
      <c r="AO94" s="70" t="e">
        <f t="shared" ca="1" si="158"/>
        <v>#REF!</v>
      </c>
      <c r="AP94" s="67" t="e">
        <f t="shared" ca="1" si="183"/>
        <v>#REF!</v>
      </c>
      <c r="AQ94" s="70" t="e">
        <f ca="1">-IF(INDEX(SC_ZX_CodeA,ZXIDX1)="X", 0, MIN(AP94*MAX(INDEX(SC_ZX_Drawdown,ZXIDX2),0),AO94))</f>
        <v>#REF!</v>
      </c>
      <c r="AR94" s="109" t="e">
        <f t="shared" ca="1" si="159"/>
        <v>#REF!</v>
      </c>
      <c r="AS94" s="75" t="e">
        <f t="shared" ca="1" si="160"/>
        <v>#REF!</v>
      </c>
      <c r="AT94" s="70" t="e">
        <f t="shared" ca="1" si="161"/>
        <v>#REF!</v>
      </c>
      <c r="AU94" s="70" t="e">
        <f t="shared" ca="1" si="162"/>
        <v>#REF!</v>
      </c>
      <c r="AV94" s="70" t="e">
        <f t="shared" ca="1" si="163"/>
        <v>#REF!</v>
      </c>
      <c r="AW94" s="67" t="e">
        <f t="shared" ca="1" si="184"/>
        <v>#REF!</v>
      </c>
      <c r="AX94" s="70" t="e">
        <f ca="1">-IF(INDEX(SC_ZX_CodeA,ZXIDX1)="X", 0, MIN(AW94*MAX(INDEX(SC_ZX_Drawdown,ZXIDX2),0),AV94))</f>
        <v>#REF!</v>
      </c>
      <c r="AY94" s="109" t="e">
        <f t="shared" ca="1" si="164"/>
        <v>#REF!</v>
      </c>
      <c r="AZ94" s="75" t="e">
        <f t="shared" ca="1" si="165"/>
        <v>#REF!</v>
      </c>
      <c r="BA94" s="70" t="e">
        <f t="shared" ca="1" si="166"/>
        <v>#REF!</v>
      </c>
      <c r="BB94" s="70" t="e">
        <f t="shared" ca="1" si="167"/>
        <v>#REF!</v>
      </c>
      <c r="BC94" s="70" t="e">
        <f t="shared" ca="1" si="168"/>
        <v>#REF!</v>
      </c>
      <c r="BD94" s="67" t="e">
        <f t="shared" ca="1" si="185"/>
        <v>#REF!</v>
      </c>
      <c r="BE94" s="70" t="e">
        <f ca="1">-IF(INDEX(SC_ZX_CodeA,ZXIDX1)="X", 0, MIN(BD94*MAX(INDEX(SC_ZX_Drawdown,ZXIDX2),0),AZ94))</f>
        <v>#REF!</v>
      </c>
      <c r="BF94" s="109" t="e">
        <f t="shared" ca="1" si="169"/>
        <v>#REF!</v>
      </c>
      <c r="BG94" s="75" t="e">
        <f t="shared" ca="1" si="170"/>
        <v>#REF!</v>
      </c>
      <c r="BH94" s="70" t="e">
        <f t="shared" ca="1" si="171"/>
        <v>#REF!</v>
      </c>
      <c r="BI94" s="70" t="e">
        <f t="shared" ca="1" si="172"/>
        <v>#REF!</v>
      </c>
      <c r="BJ94" s="70" t="e">
        <f t="shared" ca="1" si="173"/>
        <v>#REF!</v>
      </c>
      <c r="BK94" s="67" t="e">
        <f t="shared" ca="1" si="186"/>
        <v>#REF!</v>
      </c>
      <c r="BL94" s="70" t="e">
        <f ca="1">-IF(INDEX(SC_ZX_CodeA,ZXIDX1)="X", 0, MIN(BK94*MAX(INDEX(SC_ZX_Drawdown,ZXIDX2),0),BJ94))</f>
        <v>#REF!</v>
      </c>
      <c r="BM94" s="70" t="e">
        <f t="shared" ca="1" si="174"/>
        <v>#REF!</v>
      </c>
      <c r="BN94" s="111" t="e">
        <f t="shared" ca="1" si="175"/>
        <v>#REF!</v>
      </c>
      <c r="BO94" s="112" t="e">
        <f t="shared" ca="1" si="176"/>
        <v>#REF!</v>
      </c>
      <c r="BP94" s="112" t="e">
        <f ca="1">-($V94-IF(($P94+$R94+$S94)&gt;0,MAX($V94/($P94+$R94+$S94)*($Q94+$R94),$V94),0))*LT_InvestmentQDI</f>
        <v>#VALUE!</v>
      </c>
      <c r="BQ94" s="112" t="e">
        <f ca="1">-($V94-IF(($P94+$R94+$S94)&gt;0,MAX($V94/($P94+$R94+$S94)*($Q94+$R94),$V94),0))*(1-LT_InvestmentQDI)</f>
        <v>#VALUE!</v>
      </c>
      <c r="BR94" s="112" t="e">
        <f t="shared" ca="1" si="177"/>
        <v>#VALUE!</v>
      </c>
      <c r="BS94" s="112" t="e">
        <f t="shared" ca="1" si="178"/>
        <v>#VALUE!</v>
      </c>
      <c r="BT94" s="634" t="e">
        <f ca="1">SUMPRODUCT($BN94:$BN95+$BO94:$BO95, --($E94:$E95&lt;&gt;0))</f>
        <v>#REF!</v>
      </c>
      <c r="BU94" s="617" t="e">
        <f ca="1">SUMPRODUCT($BR94:$BR95+$BS94:$BS95, --($E94:$E95&lt;&gt;0))</f>
        <v>#VALUE!</v>
      </c>
      <c r="BV94" s="617" t="e">
        <f ca="1">$T94+SUMPRODUCT($AA94:$AA95+$AH94:$AH95+$AO94:$AO95+$AV94:$AV95+$BC94:$BC95+$BJ94:$BJ95, --($E94:$E95&lt;&gt;0))</f>
        <v>#VALUE!</v>
      </c>
      <c r="BW94" s="617" t="e">
        <f ca="1">MAX($P94-$Q94,0)+SUMPRODUCT($X94:$X95+$AL94:$AL95+$AZ94:$AZ95, --($E94:$E95&lt;&gt;0))</f>
        <v>#VALUE!</v>
      </c>
      <c r="BX94" s="618" t="e">
        <f ca="1">MIN($P94,$Q94)+SUMPRODUCT($AE94:$AE95+$AS94:$AS95+$BG94:$BG95, --($E94:$E95&lt;&gt;0))</f>
        <v>#VALUE!</v>
      </c>
    </row>
    <row r="95" spans="2:93" x14ac:dyDescent="0.25">
      <c r="B95" s="86">
        <f t="shared" ca="1" si="179"/>
        <v>2064</v>
      </c>
      <c r="C95" s="80" t="s">
        <v>741</v>
      </c>
      <c r="D95" s="147" t="str">
        <f t="shared" si="137"/>
        <v/>
      </c>
      <c r="E95" s="81">
        <f t="shared" si="138"/>
        <v>0</v>
      </c>
      <c r="F95" s="81">
        <f t="shared" si="143"/>
        <v>2</v>
      </c>
      <c r="G95" s="82">
        <f t="shared" si="139"/>
        <v>-1</v>
      </c>
      <c r="H95" s="82">
        <f t="shared" si="140"/>
        <v>0</v>
      </c>
      <c r="I95" s="81" t="b">
        <f t="shared" si="141"/>
        <v>0</v>
      </c>
      <c r="J95" s="81"/>
      <c r="K95" s="81"/>
      <c r="L95" s="81"/>
      <c r="M95" s="81"/>
      <c r="N95" s="633"/>
      <c r="O95" s="243" t="e">
        <f ca="1">LT_InvestmentStocks*INDEX(SP_EA_ARStocks,EAIDX)+LT_InvestmentBonds*INDEX(SC_EA_ARBonds,EAIDX)</f>
        <v>#REF!</v>
      </c>
      <c r="P95" s="634"/>
      <c r="Q95" s="617"/>
      <c r="R95" s="617"/>
      <c r="S95" s="617"/>
      <c r="T95" s="617"/>
      <c r="U95" s="643"/>
      <c r="V95" s="617"/>
      <c r="W95" s="639"/>
      <c r="X95" s="106" t="e">
        <f t="shared" ca="1" si="145"/>
        <v>#REF!</v>
      </c>
      <c r="Y95" s="107" t="e">
        <f t="shared" ca="1" si="146"/>
        <v>#REF!</v>
      </c>
      <c r="Z95" s="107" t="e">
        <f t="shared" ca="1" si="147"/>
        <v>#REF!</v>
      </c>
      <c r="AA95" s="107" t="e">
        <f t="shared" ca="1" si="148"/>
        <v>#REF!</v>
      </c>
      <c r="AB95" s="91" t="e">
        <f t="shared" ca="1" si="181"/>
        <v>#REF!</v>
      </c>
      <c r="AC95" s="107" t="e">
        <f ca="1">-IF(INDEX(SC_ZX_CodeA,ZXIDX1)="X", 0, MIN(AB95*MAX(INDEX(SC_ZX_Drawdown,ZXIDX2),0),AA95))</f>
        <v>#REF!</v>
      </c>
      <c r="AD95" s="110" t="e">
        <f t="shared" ca="1" si="149"/>
        <v>#REF!</v>
      </c>
      <c r="AE95" s="106" t="e">
        <f t="shared" ca="1" si="150"/>
        <v>#REF!</v>
      </c>
      <c r="AF95" s="107" t="e">
        <f t="shared" ca="1" si="151"/>
        <v>#REF!</v>
      </c>
      <c r="AG95" s="107" t="e">
        <f t="shared" ca="1" si="152"/>
        <v>#REF!</v>
      </c>
      <c r="AH95" s="107" t="e">
        <f t="shared" ca="1" si="153"/>
        <v>#REF!</v>
      </c>
      <c r="AI95" s="91" t="e">
        <f t="shared" ca="1" si="182"/>
        <v>#REF!</v>
      </c>
      <c r="AJ95" s="107" t="e">
        <f ca="1">-IF(INDEX(SC_ZX_CodeA,ZXIDX1)="X", 0, MIN(AI95*MAX(INDEX(SC_ZX_Drawdown,ZXIDX2),0),AH95))</f>
        <v>#REF!</v>
      </c>
      <c r="AK95" s="110" t="e">
        <f t="shared" ca="1" si="154"/>
        <v>#REF!</v>
      </c>
      <c r="AL95" s="106" t="e">
        <f t="shared" ca="1" si="155"/>
        <v>#REF!</v>
      </c>
      <c r="AM95" s="107" t="e">
        <f t="shared" ca="1" si="156"/>
        <v>#REF!</v>
      </c>
      <c r="AN95" s="107" t="e">
        <f t="shared" ca="1" si="157"/>
        <v>#REF!</v>
      </c>
      <c r="AO95" s="107" t="e">
        <f t="shared" ca="1" si="158"/>
        <v>#REF!</v>
      </c>
      <c r="AP95" s="91" t="e">
        <f t="shared" ca="1" si="183"/>
        <v>#REF!</v>
      </c>
      <c r="AQ95" s="107" t="e">
        <f ca="1">-IF(INDEX(SC_ZX_CodeA,ZXIDX1)="X", 0, MIN(AP95*MAX(INDEX(SC_ZX_Drawdown,ZXIDX2),0),AO95))</f>
        <v>#REF!</v>
      </c>
      <c r="AR95" s="110" t="e">
        <f t="shared" ca="1" si="159"/>
        <v>#REF!</v>
      </c>
      <c r="AS95" s="106" t="e">
        <f t="shared" ca="1" si="160"/>
        <v>#REF!</v>
      </c>
      <c r="AT95" s="107" t="e">
        <f t="shared" ca="1" si="161"/>
        <v>#REF!</v>
      </c>
      <c r="AU95" s="107" t="e">
        <f t="shared" ca="1" si="162"/>
        <v>#REF!</v>
      </c>
      <c r="AV95" s="107" t="e">
        <f t="shared" ca="1" si="163"/>
        <v>#REF!</v>
      </c>
      <c r="AW95" s="91" t="e">
        <f t="shared" ca="1" si="184"/>
        <v>#REF!</v>
      </c>
      <c r="AX95" s="107" t="e">
        <f ca="1">-IF(INDEX(SC_ZX_CodeA,ZXIDX1)="X", 0, MIN(AW95*MAX(INDEX(SC_ZX_Drawdown,ZXIDX2),0),AV95))</f>
        <v>#REF!</v>
      </c>
      <c r="AY95" s="110" t="e">
        <f t="shared" ca="1" si="164"/>
        <v>#REF!</v>
      </c>
      <c r="AZ95" s="106" t="e">
        <f t="shared" ca="1" si="165"/>
        <v>#REF!</v>
      </c>
      <c r="BA95" s="107" t="e">
        <f t="shared" ca="1" si="166"/>
        <v>#REF!</v>
      </c>
      <c r="BB95" s="107" t="e">
        <f t="shared" ca="1" si="167"/>
        <v>#REF!</v>
      </c>
      <c r="BC95" s="107" t="e">
        <f t="shared" ca="1" si="168"/>
        <v>#REF!</v>
      </c>
      <c r="BD95" s="91" t="e">
        <f t="shared" ca="1" si="185"/>
        <v>#REF!</v>
      </c>
      <c r="BE95" s="107" t="e">
        <f ca="1">-IF(INDEX(SC_ZX_CodeA,ZXIDX1)="X", 0, MIN(BD95*MAX(INDEX(SC_ZX_Drawdown,ZXIDX2),0),AZ95))</f>
        <v>#REF!</v>
      </c>
      <c r="BF95" s="110" t="e">
        <f t="shared" ca="1" si="169"/>
        <v>#REF!</v>
      </c>
      <c r="BG95" s="106" t="e">
        <f t="shared" ca="1" si="170"/>
        <v>#REF!</v>
      </c>
      <c r="BH95" s="107" t="e">
        <f t="shared" ca="1" si="171"/>
        <v>#REF!</v>
      </c>
      <c r="BI95" s="107" t="e">
        <f t="shared" ca="1" si="172"/>
        <v>#REF!</v>
      </c>
      <c r="BJ95" s="107" t="e">
        <f t="shared" ca="1" si="173"/>
        <v>#REF!</v>
      </c>
      <c r="BK95" s="91" t="e">
        <f t="shared" ca="1" si="186"/>
        <v>#REF!</v>
      </c>
      <c r="BL95" s="107" t="e">
        <f ca="1">-IF(INDEX(SC_ZX_CodeA,ZXIDX1)="X", 0, MIN(BK95*MAX(INDEX(SC_ZX_Drawdown,ZXIDX2),0),BJ95))</f>
        <v>#REF!</v>
      </c>
      <c r="BM95" s="107" t="e">
        <f t="shared" ca="1" si="174"/>
        <v>#REF!</v>
      </c>
      <c r="BN95" s="113" t="e">
        <f t="shared" ca="1" si="175"/>
        <v>#REF!</v>
      </c>
      <c r="BO95" s="114" t="e">
        <f t="shared" ca="1" si="176"/>
        <v>#REF!</v>
      </c>
      <c r="BP95" s="114" t="e">
        <f ca="1">-($V95-IF(($P95+$R95+$S95)&gt;0,MAX($V95/($P95+$R95+$S95)*($Q95+$R95),$V95),0))*LT_InvestmentQDI</f>
        <v>#REF!</v>
      </c>
      <c r="BQ95" s="114" t="e">
        <f ca="1">-($V95-IF(($P95+$R95+$S95)&gt;0,MAX($V95/($P95+$R95+$S95)*($Q95+$R95),$V95),0))*(1-LT_InvestmentQDI)</f>
        <v>#REF!</v>
      </c>
      <c r="BR95" s="114" t="e">
        <f t="shared" ca="1" si="177"/>
        <v>#REF!</v>
      </c>
      <c r="BS95" s="114" t="e">
        <f t="shared" ca="1" si="178"/>
        <v>#REF!</v>
      </c>
      <c r="BT95" s="649"/>
      <c r="BU95" s="637"/>
      <c r="BV95" s="637"/>
      <c r="BW95" s="637"/>
      <c r="BX95" s="639"/>
    </row>
    <row r="96" spans="2:93" x14ac:dyDescent="0.25">
      <c r="B96" s="65">
        <f ca="1">B94+1</f>
        <v>2065</v>
      </c>
      <c r="C96" s="76" t="s">
        <v>741</v>
      </c>
      <c r="D96" s="146" t="str">
        <f t="shared" si="137"/>
        <v/>
      </c>
      <c r="E96" s="77">
        <f t="shared" si="138"/>
        <v>0</v>
      </c>
      <c r="F96" s="77">
        <f t="shared" si="143"/>
        <v>1</v>
      </c>
      <c r="G96" s="76">
        <f t="shared" si="139"/>
        <v>1</v>
      </c>
      <c r="H96" s="76">
        <f t="shared" si="140"/>
        <v>0</v>
      </c>
      <c r="I96" s="77" t="b">
        <f t="shared" si="141"/>
        <v>0</v>
      </c>
      <c r="J96" s="77"/>
      <c r="K96" s="77"/>
      <c r="L96" s="77"/>
      <c r="M96" s="77"/>
      <c r="N96" s="632">
        <f ca="1">YEAR(SP_TargetRD)-$B96</f>
        <v>-42</v>
      </c>
      <c r="O96" s="243" t="e">
        <f ca="1">LT_InvestmentStocks*INDEX(SP_EA_ARStocks,EAIDX)+LT_InvestmentBonds*INDEX(SC_EA_ARBonds,EAIDX)</f>
        <v>#REF!</v>
      </c>
      <c r="P96" s="634" t="e">
        <f ca="1">MAX(P94+R94+S94+V94+W94,0)</f>
        <v>#VALUE!</v>
      </c>
      <c r="Q96" s="617" t="e">
        <f t="shared" ref="Q96" ca="1" si="196">MAX(Q94+R94+IF((P94+R94+S94)&gt;0,MAX(V94/(P94+R94+S94)*(Q94+R94),V94),0),0)</f>
        <v>#VALUE!</v>
      </c>
      <c r="R96" s="617" t="e">
        <f ca="1">IF(SC_ZX_CodeA="X", 0, MAX(INDEX(SC_ZX_IncomeSurplus,ZXIDX2)+INDEX(SC_ZX_Debt,ZXIDX2),0))</f>
        <v>#VALUE!</v>
      </c>
      <c r="S96" s="617" t="e">
        <f ca="1">IF(SC_ZX_CodeA="X", 0, INDEX(SC_EX_RolloverCore,EXIDX))</f>
        <v>#VALUE!</v>
      </c>
      <c r="T96" s="617" t="e">
        <f ca="1">P96+R96+S96</f>
        <v>#VALUE!</v>
      </c>
      <c r="U96" s="642" t="e">
        <f ca="1">IF(SC_ZX_BalanceAccessibleA&gt;0, T96/SC_ZX_BalanceAccessibleA, 0)</f>
        <v>#VALUE!</v>
      </c>
      <c r="V96" s="617" t="e">
        <f ca="1">-IF(SC_ZX_CodeA="X",0,MIN(U96*MAX(INDEX(SC_ZX_Drawdown,ZXIDX2),0),T96))</f>
        <v>#VALUE!</v>
      </c>
      <c r="W96" s="618" t="e">
        <f ca="1">(P96+R96+S96+V96)*$O96</f>
        <v>#VALUE!</v>
      </c>
      <c r="X96" s="75" t="e">
        <f t="shared" ca="1" si="145"/>
        <v>#REF!</v>
      </c>
      <c r="Y96" s="70" t="e">
        <f t="shared" ca="1" si="146"/>
        <v>#REF!</v>
      </c>
      <c r="Z96" s="70" t="e">
        <f t="shared" ca="1" si="147"/>
        <v>#REF!</v>
      </c>
      <c r="AA96" s="70" t="e">
        <f t="shared" ca="1" si="148"/>
        <v>#REF!</v>
      </c>
      <c r="AB96" s="67" t="e">
        <f t="shared" ca="1" si="181"/>
        <v>#REF!</v>
      </c>
      <c r="AC96" s="70" t="e">
        <f ca="1">-IF(INDEX(SC_ZX_CodeA,ZXIDX1)="X", 0, MIN(AB96*MAX(INDEX(SC_ZX_Drawdown,ZXIDX2),0),AA96))</f>
        <v>#REF!</v>
      </c>
      <c r="AD96" s="109" t="e">
        <f t="shared" ca="1" si="149"/>
        <v>#REF!</v>
      </c>
      <c r="AE96" s="75" t="e">
        <f t="shared" ca="1" si="150"/>
        <v>#REF!</v>
      </c>
      <c r="AF96" s="70" t="e">
        <f t="shared" ca="1" si="151"/>
        <v>#REF!</v>
      </c>
      <c r="AG96" s="70" t="e">
        <f t="shared" ca="1" si="152"/>
        <v>#REF!</v>
      </c>
      <c r="AH96" s="70" t="e">
        <f t="shared" ca="1" si="153"/>
        <v>#REF!</v>
      </c>
      <c r="AI96" s="67" t="e">
        <f t="shared" ca="1" si="182"/>
        <v>#REF!</v>
      </c>
      <c r="AJ96" s="70" t="e">
        <f ca="1">-IF(INDEX(SC_ZX_CodeA,ZXIDX1)="X", 0, MIN(AI96*MAX(INDEX(SC_ZX_Drawdown,ZXIDX2),0),AH96))</f>
        <v>#REF!</v>
      </c>
      <c r="AK96" s="109" t="e">
        <f t="shared" ca="1" si="154"/>
        <v>#REF!</v>
      </c>
      <c r="AL96" s="75" t="e">
        <f t="shared" ca="1" si="155"/>
        <v>#REF!</v>
      </c>
      <c r="AM96" s="70" t="e">
        <f t="shared" ca="1" si="156"/>
        <v>#REF!</v>
      </c>
      <c r="AN96" s="70" t="e">
        <f t="shared" ca="1" si="157"/>
        <v>#REF!</v>
      </c>
      <c r="AO96" s="70" t="e">
        <f t="shared" ca="1" si="158"/>
        <v>#REF!</v>
      </c>
      <c r="AP96" s="67" t="e">
        <f t="shared" ca="1" si="183"/>
        <v>#REF!</v>
      </c>
      <c r="AQ96" s="70" t="e">
        <f ca="1">-IF(INDEX(SC_ZX_CodeA,ZXIDX1)="X", 0, MIN(AP96*MAX(INDEX(SC_ZX_Drawdown,ZXIDX2),0),AO96))</f>
        <v>#REF!</v>
      </c>
      <c r="AR96" s="109" t="e">
        <f t="shared" ca="1" si="159"/>
        <v>#REF!</v>
      </c>
      <c r="AS96" s="75" t="e">
        <f t="shared" ca="1" si="160"/>
        <v>#REF!</v>
      </c>
      <c r="AT96" s="70" t="e">
        <f t="shared" ca="1" si="161"/>
        <v>#REF!</v>
      </c>
      <c r="AU96" s="70" t="e">
        <f t="shared" ca="1" si="162"/>
        <v>#REF!</v>
      </c>
      <c r="AV96" s="70" t="e">
        <f t="shared" ca="1" si="163"/>
        <v>#REF!</v>
      </c>
      <c r="AW96" s="67" t="e">
        <f t="shared" ca="1" si="184"/>
        <v>#REF!</v>
      </c>
      <c r="AX96" s="70" t="e">
        <f ca="1">-IF(INDEX(SC_ZX_CodeA,ZXIDX1)="X", 0, MIN(AW96*MAX(INDEX(SC_ZX_Drawdown,ZXIDX2),0),AV96))</f>
        <v>#REF!</v>
      </c>
      <c r="AY96" s="109" t="e">
        <f t="shared" ca="1" si="164"/>
        <v>#REF!</v>
      </c>
      <c r="AZ96" s="75" t="e">
        <f t="shared" ca="1" si="165"/>
        <v>#REF!</v>
      </c>
      <c r="BA96" s="70" t="e">
        <f t="shared" ca="1" si="166"/>
        <v>#REF!</v>
      </c>
      <c r="BB96" s="70" t="e">
        <f t="shared" ca="1" si="167"/>
        <v>#REF!</v>
      </c>
      <c r="BC96" s="70" t="e">
        <f t="shared" ca="1" si="168"/>
        <v>#REF!</v>
      </c>
      <c r="BD96" s="67" t="e">
        <f t="shared" ca="1" si="185"/>
        <v>#REF!</v>
      </c>
      <c r="BE96" s="70" t="e">
        <f ca="1">-IF(INDEX(SC_ZX_CodeA,ZXIDX1)="X", 0, MIN(BD96*MAX(INDEX(SC_ZX_Drawdown,ZXIDX2),0),AZ96))</f>
        <v>#REF!</v>
      </c>
      <c r="BF96" s="109" t="e">
        <f t="shared" ca="1" si="169"/>
        <v>#REF!</v>
      </c>
      <c r="BG96" s="75" t="e">
        <f t="shared" ca="1" si="170"/>
        <v>#REF!</v>
      </c>
      <c r="BH96" s="70" t="e">
        <f t="shared" ca="1" si="171"/>
        <v>#REF!</v>
      </c>
      <c r="BI96" s="70" t="e">
        <f t="shared" ca="1" si="172"/>
        <v>#REF!</v>
      </c>
      <c r="BJ96" s="70" t="e">
        <f t="shared" ca="1" si="173"/>
        <v>#REF!</v>
      </c>
      <c r="BK96" s="67" t="e">
        <f t="shared" ca="1" si="186"/>
        <v>#REF!</v>
      </c>
      <c r="BL96" s="70" t="e">
        <f ca="1">-IF(INDEX(SC_ZX_CodeA,ZXIDX1)="X", 0, MIN(BK96*MAX(INDEX(SC_ZX_Drawdown,ZXIDX2),0),BJ96))</f>
        <v>#REF!</v>
      </c>
      <c r="BM96" s="70" t="e">
        <f t="shared" ca="1" si="174"/>
        <v>#REF!</v>
      </c>
      <c r="BN96" s="111" t="e">
        <f t="shared" ca="1" si="175"/>
        <v>#REF!</v>
      </c>
      <c r="BO96" s="112" t="e">
        <f t="shared" ca="1" si="176"/>
        <v>#REF!</v>
      </c>
      <c r="BP96" s="112" t="e">
        <f ca="1">-($V96-IF(($P96+$R96+$S96)&gt;0,MAX($V96/($P96+$R96+$S96)*($Q96+$R96),$V96),0))*LT_InvestmentQDI</f>
        <v>#VALUE!</v>
      </c>
      <c r="BQ96" s="112" t="e">
        <f ca="1">-($V96-IF(($P96+$R96+$S96)&gt;0,MAX($V96/($P96+$R96+$S96)*($Q96+$R96),$V96),0))*(1-LT_InvestmentQDI)</f>
        <v>#VALUE!</v>
      </c>
      <c r="BR96" s="112" t="e">
        <f t="shared" ca="1" si="177"/>
        <v>#VALUE!</v>
      </c>
      <c r="BS96" s="112" t="e">
        <f t="shared" ca="1" si="178"/>
        <v>#VALUE!</v>
      </c>
      <c r="BT96" s="634" t="e">
        <f ca="1">SUMPRODUCT($BN96:$BN97+$BO96:$BO97, --($E96:$E97&lt;&gt;0))</f>
        <v>#REF!</v>
      </c>
      <c r="BU96" s="617" t="e">
        <f ca="1">SUMPRODUCT($BR96:$BR97+$BS96:$BS97, --($E96:$E97&lt;&gt;0))</f>
        <v>#VALUE!</v>
      </c>
      <c r="BV96" s="617" t="e">
        <f ca="1">$T96+SUMPRODUCT($AA96:$AA97+$AH96:$AH97+$AO96:$AO97+$AV96:$AV97+$BC96:$BC97+$BJ96:$BJ97, --($E96:$E97&lt;&gt;0))</f>
        <v>#VALUE!</v>
      </c>
      <c r="BW96" s="617" t="e">
        <f ca="1">MAX($P96-$Q96,0)+SUMPRODUCT($X96:$X97+$AL96:$AL97+$AZ96:$AZ97, --($E96:$E97&lt;&gt;0))</f>
        <v>#VALUE!</v>
      </c>
      <c r="BX96" s="618" t="e">
        <f ca="1">MIN($P96,$Q96)+SUMPRODUCT($AE96:$AE97+$AS96:$AS97+$BG96:$BG97, --($E96:$E97&lt;&gt;0))</f>
        <v>#VALUE!</v>
      </c>
    </row>
    <row r="97" spans="2:76" x14ac:dyDescent="0.25">
      <c r="B97" s="86">
        <f t="shared" ca="1" si="179"/>
        <v>2065</v>
      </c>
      <c r="C97" s="80" t="s">
        <v>741</v>
      </c>
      <c r="D97" s="147" t="str">
        <f t="shared" si="137"/>
        <v/>
      </c>
      <c r="E97" s="81">
        <f t="shared" si="138"/>
        <v>0</v>
      </c>
      <c r="F97" s="81">
        <f t="shared" si="143"/>
        <v>2</v>
      </c>
      <c r="G97" s="82">
        <f t="shared" si="139"/>
        <v>-1</v>
      </c>
      <c r="H97" s="82">
        <f t="shared" si="140"/>
        <v>0</v>
      </c>
      <c r="I97" s="81" t="b">
        <f t="shared" si="141"/>
        <v>0</v>
      </c>
      <c r="J97" s="81"/>
      <c r="K97" s="81"/>
      <c r="L97" s="81"/>
      <c r="M97" s="81"/>
      <c r="N97" s="633"/>
      <c r="O97" s="243" t="e">
        <f ca="1">LT_InvestmentStocks*INDEX(SP_EA_ARStocks,EAIDX)+LT_InvestmentBonds*INDEX(SC_EA_ARBonds,EAIDX)</f>
        <v>#REF!</v>
      </c>
      <c r="P97" s="634"/>
      <c r="Q97" s="617"/>
      <c r="R97" s="617"/>
      <c r="S97" s="617"/>
      <c r="T97" s="617"/>
      <c r="U97" s="643"/>
      <c r="V97" s="617"/>
      <c r="W97" s="639"/>
      <c r="X97" s="106" t="e">
        <f t="shared" ca="1" si="145"/>
        <v>#REF!</v>
      </c>
      <c r="Y97" s="107" t="e">
        <f t="shared" ca="1" si="146"/>
        <v>#REF!</v>
      </c>
      <c r="Z97" s="107" t="e">
        <f t="shared" ca="1" si="147"/>
        <v>#REF!</v>
      </c>
      <c r="AA97" s="107" t="e">
        <f t="shared" ca="1" si="148"/>
        <v>#REF!</v>
      </c>
      <c r="AB97" s="91" t="e">
        <f t="shared" ca="1" si="181"/>
        <v>#REF!</v>
      </c>
      <c r="AC97" s="107" t="e">
        <f ca="1">-IF(INDEX(SC_ZX_CodeA,ZXIDX1)="X", 0, MIN(AB97*MAX(INDEX(SC_ZX_Drawdown,ZXIDX2),0),AA97))</f>
        <v>#REF!</v>
      </c>
      <c r="AD97" s="110" t="e">
        <f t="shared" ca="1" si="149"/>
        <v>#REF!</v>
      </c>
      <c r="AE97" s="106" t="e">
        <f t="shared" ca="1" si="150"/>
        <v>#REF!</v>
      </c>
      <c r="AF97" s="107" t="e">
        <f t="shared" ca="1" si="151"/>
        <v>#REF!</v>
      </c>
      <c r="AG97" s="107" t="e">
        <f t="shared" ca="1" si="152"/>
        <v>#REF!</v>
      </c>
      <c r="AH97" s="107" t="e">
        <f t="shared" ca="1" si="153"/>
        <v>#REF!</v>
      </c>
      <c r="AI97" s="91" t="e">
        <f t="shared" ca="1" si="182"/>
        <v>#REF!</v>
      </c>
      <c r="AJ97" s="107" t="e">
        <f ca="1">-IF(INDEX(SC_ZX_CodeA,ZXIDX1)="X", 0, MIN(AI97*MAX(INDEX(SC_ZX_Drawdown,ZXIDX2),0),AH97))</f>
        <v>#REF!</v>
      </c>
      <c r="AK97" s="110" t="e">
        <f t="shared" ca="1" si="154"/>
        <v>#REF!</v>
      </c>
      <c r="AL97" s="106" t="e">
        <f t="shared" ca="1" si="155"/>
        <v>#REF!</v>
      </c>
      <c r="AM97" s="107" t="e">
        <f t="shared" ca="1" si="156"/>
        <v>#REF!</v>
      </c>
      <c r="AN97" s="107" t="e">
        <f t="shared" ca="1" si="157"/>
        <v>#REF!</v>
      </c>
      <c r="AO97" s="107" t="e">
        <f t="shared" ca="1" si="158"/>
        <v>#REF!</v>
      </c>
      <c r="AP97" s="91" t="e">
        <f t="shared" ca="1" si="183"/>
        <v>#REF!</v>
      </c>
      <c r="AQ97" s="107" t="e">
        <f ca="1">-IF(INDEX(SC_ZX_CodeA,ZXIDX1)="X", 0, MIN(AP97*MAX(INDEX(SC_ZX_Drawdown,ZXIDX2),0),AO97))</f>
        <v>#REF!</v>
      </c>
      <c r="AR97" s="110" t="e">
        <f t="shared" ca="1" si="159"/>
        <v>#REF!</v>
      </c>
      <c r="AS97" s="106" t="e">
        <f t="shared" ca="1" si="160"/>
        <v>#REF!</v>
      </c>
      <c r="AT97" s="107" t="e">
        <f t="shared" ca="1" si="161"/>
        <v>#REF!</v>
      </c>
      <c r="AU97" s="107" t="e">
        <f t="shared" ca="1" si="162"/>
        <v>#REF!</v>
      </c>
      <c r="AV97" s="107" t="e">
        <f t="shared" ca="1" si="163"/>
        <v>#REF!</v>
      </c>
      <c r="AW97" s="91" t="e">
        <f t="shared" ca="1" si="184"/>
        <v>#REF!</v>
      </c>
      <c r="AX97" s="107" t="e">
        <f ca="1">-IF(INDEX(SC_ZX_CodeA,ZXIDX1)="X", 0, MIN(AW97*MAX(INDEX(SC_ZX_Drawdown,ZXIDX2),0),AV97))</f>
        <v>#REF!</v>
      </c>
      <c r="AY97" s="110" t="e">
        <f t="shared" ca="1" si="164"/>
        <v>#REF!</v>
      </c>
      <c r="AZ97" s="106" t="e">
        <f t="shared" ca="1" si="165"/>
        <v>#REF!</v>
      </c>
      <c r="BA97" s="107" t="e">
        <f t="shared" ca="1" si="166"/>
        <v>#REF!</v>
      </c>
      <c r="BB97" s="107" t="e">
        <f t="shared" ca="1" si="167"/>
        <v>#REF!</v>
      </c>
      <c r="BC97" s="107" t="e">
        <f t="shared" ca="1" si="168"/>
        <v>#REF!</v>
      </c>
      <c r="BD97" s="91" t="e">
        <f t="shared" ca="1" si="185"/>
        <v>#REF!</v>
      </c>
      <c r="BE97" s="107" t="e">
        <f ca="1">-IF(INDEX(SC_ZX_CodeA,ZXIDX1)="X", 0, MIN(BD97*MAX(INDEX(SC_ZX_Drawdown,ZXIDX2),0),AZ97))</f>
        <v>#REF!</v>
      </c>
      <c r="BF97" s="110" t="e">
        <f t="shared" ca="1" si="169"/>
        <v>#REF!</v>
      </c>
      <c r="BG97" s="106" t="e">
        <f t="shared" ca="1" si="170"/>
        <v>#REF!</v>
      </c>
      <c r="BH97" s="107" t="e">
        <f t="shared" ca="1" si="171"/>
        <v>#REF!</v>
      </c>
      <c r="BI97" s="107" t="e">
        <f t="shared" ca="1" si="172"/>
        <v>#REF!</v>
      </c>
      <c r="BJ97" s="107" t="e">
        <f t="shared" ca="1" si="173"/>
        <v>#REF!</v>
      </c>
      <c r="BK97" s="91" t="e">
        <f t="shared" ca="1" si="186"/>
        <v>#REF!</v>
      </c>
      <c r="BL97" s="107" t="e">
        <f ca="1">-IF(INDEX(SC_ZX_CodeA,ZXIDX1)="X", 0, MIN(BK97*MAX(INDEX(SC_ZX_Drawdown,ZXIDX2),0),BJ97))</f>
        <v>#REF!</v>
      </c>
      <c r="BM97" s="107" t="e">
        <f t="shared" ca="1" si="174"/>
        <v>#REF!</v>
      </c>
      <c r="BN97" s="113" t="e">
        <f t="shared" ca="1" si="175"/>
        <v>#REF!</v>
      </c>
      <c r="BO97" s="114" t="e">
        <f t="shared" ca="1" si="176"/>
        <v>#REF!</v>
      </c>
      <c r="BP97" s="114" t="e">
        <f ca="1">-($V97-IF(($P97+$R97+$S97)&gt;0,MAX($V97/($P97+$R97+$S97)*($Q97+$R97),$V97),0))*LT_InvestmentQDI</f>
        <v>#REF!</v>
      </c>
      <c r="BQ97" s="114" t="e">
        <f ca="1">-($V97-IF(($P97+$R97+$S97)&gt;0,MAX($V97/($P97+$R97+$S97)*($Q97+$R97),$V97),0))*(1-LT_InvestmentQDI)</f>
        <v>#REF!</v>
      </c>
      <c r="BR97" s="114" t="e">
        <f t="shared" ca="1" si="177"/>
        <v>#REF!</v>
      </c>
      <c r="BS97" s="114" t="e">
        <f t="shared" ca="1" si="178"/>
        <v>#REF!</v>
      </c>
      <c r="BT97" s="649"/>
      <c r="BU97" s="637"/>
      <c r="BV97" s="637"/>
      <c r="BW97" s="637"/>
      <c r="BX97" s="639"/>
    </row>
    <row r="98" spans="2:76" x14ac:dyDescent="0.25">
      <c r="B98" s="65">
        <f ca="1">B96+1</f>
        <v>2066</v>
      </c>
      <c r="C98" s="76" t="s">
        <v>741</v>
      </c>
      <c r="D98" s="146" t="str">
        <f t="shared" si="137"/>
        <v/>
      </c>
      <c r="E98" s="77">
        <f t="shared" si="138"/>
        <v>0</v>
      </c>
      <c r="F98" s="77">
        <f t="shared" si="143"/>
        <v>1</v>
      </c>
      <c r="G98" s="76">
        <f t="shared" si="139"/>
        <v>1</v>
      </c>
      <c r="H98" s="76">
        <f t="shared" si="140"/>
        <v>0</v>
      </c>
      <c r="I98" s="77" t="b">
        <f t="shared" si="141"/>
        <v>0</v>
      </c>
      <c r="J98" s="77"/>
      <c r="K98" s="77"/>
      <c r="L98" s="77"/>
      <c r="M98" s="77"/>
      <c r="N98" s="632">
        <f ca="1">YEAR(SP_TargetRD)-$B98</f>
        <v>-43</v>
      </c>
      <c r="O98" s="243" t="e">
        <f ca="1">LT_InvestmentStocks*INDEX(SP_EA_ARStocks,EAIDX)+LT_InvestmentBonds*INDEX(SC_EA_ARBonds,EAIDX)</f>
        <v>#REF!</v>
      </c>
      <c r="P98" s="634" t="e">
        <f ca="1">MAX(P96+R96+S96+V96+W96,0)</f>
        <v>#VALUE!</v>
      </c>
      <c r="Q98" s="617" t="e">
        <f t="shared" ref="Q98" ca="1" si="197">MAX(Q96+R96+IF((P96+R96+S96)&gt;0,MAX(V96/(P96+R96+S96)*(Q96+R96),V96),0),0)</f>
        <v>#VALUE!</v>
      </c>
      <c r="R98" s="617" t="e">
        <f ca="1">IF(SC_ZX_CodeA="X", 0, MAX(INDEX(SC_ZX_IncomeSurplus,ZXIDX2)+INDEX(SC_ZX_Debt,ZXIDX2),0))</f>
        <v>#VALUE!</v>
      </c>
      <c r="S98" s="617" t="e">
        <f ca="1">IF(SC_ZX_CodeA="X", 0, INDEX(SC_EX_RolloverCore,EXIDX))</f>
        <v>#VALUE!</v>
      </c>
      <c r="T98" s="617" t="e">
        <f ca="1">P98+R98+S98</f>
        <v>#VALUE!</v>
      </c>
      <c r="U98" s="642" t="e">
        <f ca="1">IF(SC_ZX_BalanceAccessibleA&gt;0, T98/SC_ZX_BalanceAccessibleA, 0)</f>
        <v>#VALUE!</v>
      </c>
      <c r="V98" s="617" t="e">
        <f ca="1">-IF(SC_ZX_CodeA="X",0,MIN(U98*MAX(INDEX(SC_ZX_Drawdown,ZXIDX2),0),T98))</f>
        <v>#VALUE!</v>
      </c>
      <c r="W98" s="618" t="e">
        <f ca="1">(P98+R98+S98+V98)*$O98</f>
        <v>#VALUE!</v>
      </c>
      <c r="X98" s="75" t="e">
        <f t="shared" ca="1" si="145"/>
        <v>#REF!</v>
      </c>
      <c r="Y98" s="70" t="e">
        <f t="shared" ca="1" si="146"/>
        <v>#REF!</v>
      </c>
      <c r="Z98" s="70" t="e">
        <f t="shared" ca="1" si="147"/>
        <v>#REF!</v>
      </c>
      <c r="AA98" s="70" t="e">
        <f t="shared" ca="1" si="148"/>
        <v>#REF!</v>
      </c>
      <c r="AB98" s="67" t="e">
        <f t="shared" ca="1" si="181"/>
        <v>#REF!</v>
      </c>
      <c r="AC98" s="70" t="e">
        <f ca="1">-IF(INDEX(SC_ZX_CodeA,ZXIDX1)="X", 0, MIN(AB98*MAX(INDEX(SC_ZX_Drawdown,ZXIDX2),0),AA98))</f>
        <v>#REF!</v>
      </c>
      <c r="AD98" s="109" t="e">
        <f t="shared" ca="1" si="149"/>
        <v>#REF!</v>
      </c>
      <c r="AE98" s="75" t="e">
        <f t="shared" ca="1" si="150"/>
        <v>#REF!</v>
      </c>
      <c r="AF98" s="70" t="e">
        <f t="shared" ca="1" si="151"/>
        <v>#REF!</v>
      </c>
      <c r="AG98" s="70" t="e">
        <f t="shared" ca="1" si="152"/>
        <v>#REF!</v>
      </c>
      <c r="AH98" s="70" t="e">
        <f t="shared" ca="1" si="153"/>
        <v>#REF!</v>
      </c>
      <c r="AI98" s="67" t="e">
        <f t="shared" ca="1" si="182"/>
        <v>#REF!</v>
      </c>
      <c r="AJ98" s="70" t="e">
        <f ca="1">-IF(INDEX(SC_ZX_CodeA,ZXIDX1)="X", 0, MIN(AI98*MAX(INDEX(SC_ZX_Drawdown,ZXIDX2),0),AH98))</f>
        <v>#REF!</v>
      </c>
      <c r="AK98" s="109" t="e">
        <f t="shared" ca="1" si="154"/>
        <v>#REF!</v>
      </c>
      <c r="AL98" s="75" t="e">
        <f t="shared" ca="1" si="155"/>
        <v>#REF!</v>
      </c>
      <c r="AM98" s="70" t="e">
        <f t="shared" ca="1" si="156"/>
        <v>#REF!</v>
      </c>
      <c r="AN98" s="70" t="e">
        <f t="shared" ca="1" si="157"/>
        <v>#REF!</v>
      </c>
      <c r="AO98" s="70" t="e">
        <f t="shared" ca="1" si="158"/>
        <v>#REF!</v>
      </c>
      <c r="AP98" s="67" t="e">
        <f t="shared" ca="1" si="183"/>
        <v>#REF!</v>
      </c>
      <c r="AQ98" s="70" t="e">
        <f ca="1">-IF(INDEX(SC_ZX_CodeA,ZXIDX1)="X", 0, MIN(AP98*MAX(INDEX(SC_ZX_Drawdown,ZXIDX2),0),AO98))</f>
        <v>#REF!</v>
      </c>
      <c r="AR98" s="109" t="e">
        <f t="shared" ca="1" si="159"/>
        <v>#REF!</v>
      </c>
      <c r="AS98" s="75" t="e">
        <f t="shared" ca="1" si="160"/>
        <v>#REF!</v>
      </c>
      <c r="AT98" s="70" t="e">
        <f t="shared" ca="1" si="161"/>
        <v>#REF!</v>
      </c>
      <c r="AU98" s="70" t="e">
        <f t="shared" ca="1" si="162"/>
        <v>#REF!</v>
      </c>
      <c r="AV98" s="70" t="e">
        <f t="shared" ca="1" si="163"/>
        <v>#REF!</v>
      </c>
      <c r="AW98" s="67" t="e">
        <f t="shared" ca="1" si="184"/>
        <v>#REF!</v>
      </c>
      <c r="AX98" s="70" t="e">
        <f ca="1">-IF(INDEX(SC_ZX_CodeA,ZXIDX1)="X", 0, MIN(AW98*MAX(INDEX(SC_ZX_Drawdown,ZXIDX2),0),AV98))</f>
        <v>#REF!</v>
      </c>
      <c r="AY98" s="109" t="e">
        <f t="shared" ca="1" si="164"/>
        <v>#REF!</v>
      </c>
      <c r="AZ98" s="75" t="e">
        <f t="shared" ca="1" si="165"/>
        <v>#REF!</v>
      </c>
      <c r="BA98" s="70" t="e">
        <f t="shared" ca="1" si="166"/>
        <v>#REF!</v>
      </c>
      <c r="BB98" s="70" t="e">
        <f t="shared" ca="1" si="167"/>
        <v>#REF!</v>
      </c>
      <c r="BC98" s="70" t="e">
        <f t="shared" ca="1" si="168"/>
        <v>#REF!</v>
      </c>
      <c r="BD98" s="67" t="e">
        <f t="shared" ca="1" si="185"/>
        <v>#REF!</v>
      </c>
      <c r="BE98" s="70" t="e">
        <f ca="1">-IF(INDEX(SC_ZX_CodeA,ZXIDX1)="X", 0, MIN(BD98*MAX(INDEX(SC_ZX_Drawdown,ZXIDX2),0),AZ98))</f>
        <v>#REF!</v>
      </c>
      <c r="BF98" s="109" t="e">
        <f t="shared" ca="1" si="169"/>
        <v>#REF!</v>
      </c>
      <c r="BG98" s="75" t="e">
        <f t="shared" ca="1" si="170"/>
        <v>#REF!</v>
      </c>
      <c r="BH98" s="70" t="e">
        <f t="shared" ca="1" si="171"/>
        <v>#REF!</v>
      </c>
      <c r="BI98" s="70" t="e">
        <f t="shared" ca="1" si="172"/>
        <v>#REF!</v>
      </c>
      <c r="BJ98" s="70" t="e">
        <f t="shared" ca="1" si="173"/>
        <v>#REF!</v>
      </c>
      <c r="BK98" s="67" t="e">
        <f t="shared" ca="1" si="186"/>
        <v>#REF!</v>
      </c>
      <c r="BL98" s="70" t="e">
        <f ca="1">-IF(INDEX(SC_ZX_CodeA,ZXIDX1)="X", 0, MIN(BK98*MAX(INDEX(SC_ZX_Drawdown,ZXIDX2),0),BJ98))</f>
        <v>#REF!</v>
      </c>
      <c r="BM98" s="70" t="e">
        <f t="shared" ca="1" si="174"/>
        <v>#REF!</v>
      </c>
      <c r="BN98" s="111" t="e">
        <f t="shared" ca="1" si="175"/>
        <v>#REF!</v>
      </c>
      <c r="BO98" s="112" t="e">
        <f t="shared" ca="1" si="176"/>
        <v>#REF!</v>
      </c>
      <c r="BP98" s="112" t="e">
        <f ca="1">-($V98-IF(($P98+$R98+$S98)&gt;0,MAX($V98/($P98+$R98+$S98)*($Q98+$R98),$V98),0))*LT_InvestmentQDI</f>
        <v>#VALUE!</v>
      </c>
      <c r="BQ98" s="112" t="e">
        <f ca="1">-($V98-IF(($P98+$R98+$S98)&gt;0,MAX($V98/($P98+$R98+$S98)*($Q98+$R98),$V98),0))*(1-LT_InvestmentQDI)</f>
        <v>#VALUE!</v>
      </c>
      <c r="BR98" s="112" t="e">
        <f t="shared" ca="1" si="177"/>
        <v>#VALUE!</v>
      </c>
      <c r="BS98" s="112" t="e">
        <f t="shared" ca="1" si="178"/>
        <v>#VALUE!</v>
      </c>
      <c r="BT98" s="634" t="e">
        <f ca="1">SUMPRODUCT($BN98:$BN99+$BO98:$BO99, --($E98:$E99&lt;&gt;0))</f>
        <v>#REF!</v>
      </c>
      <c r="BU98" s="617" t="e">
        <f ca="1">SUMPRODUCT($BR98:$BR99+$BS98:$BS99, --($E98:$E99&lt;&gt;0))</f>
        <v>#VALUE!</v>
      </c>
      <c r="BV98" s="617" t="e">
        <f ca="1">$T98+SUMPRODUCT($AA98:$AA99+$AH98:$AH99+$AO98:$AO99+$AV98:$AV99+$BC98:$BC99+$BJ98:$BJ99, --($E98:$E99&lt;&gt;0))</f>
        <v>#VALUE!</v>
      </c>
      <c r="BW98" s="617" t="e">
        <f ca="1">MAX($P98-$Q98,0)+SUMPRODUCT($X98:$X99+$AL98:$AL99+$AZ98:$AZ99, --($E98:$E99&lt;&gt;0))</f>
        <v>#VALUE!</v>
      </c>
      <c r="BX98" s="618" t="e">
        <f ca="1">MIN($P98,$Q98)+SUMPRODUCT($AE98:$AE99+$AS98:$AS99+$BG98:$BG99, --($E98:$E99&lt;&gt;0))</f>
        <v>#VALUE!</v>
      </c>
    </row>
    <row r="99" spans="2:76" x14ac:dyDescent="0.25">
      <c r="B99" s="86">
        <f t="shared" ca="1" si="179"/>
        <v>2066</v>
      </c>
      <c r="C99" s="80" t="s">
        <v>741</v>
      </c>
      <c r="D99" s="147" t="str">
        <f t="shared" si="137"/>
        <v/>
      </c>
      <c r="E99" s="81">
        <f t="shared" si="138"/>
        <v>0</v>
      </c>
      <c r="F99" s="81">
        <f t="shared" si="143"/>
        <v>2</v>
      </c>
      <c r="G99" s="82">
        <f t="shared" si="139"/>
        <v>-1</v>
      </c>
      <c r="H99" s="82">
        <f t="shared" si="140"/>
        <v>0</v>
      </c>
      <c r="I99" s="81" t="b">
        <f t="shared" si="141"/>
        <v>0</v>
      </c>
      <c r="J99" s="81"/>
      <c r="K99" s="81"/>
      <c r="L99" s="81"/>
      <c r="M99" s="81"/>
      <c r="N99" s="633"/>
      <c r="O99" s="243" t="e">
        <f ca="1">LT_InvestmentStocks*INDEX(SP_EA_ARStocks,EAIDX)+LT_InvestmentBonds*INDEX(SC_EA_ARBonds,EAIDX)</f>
        <v>#REF!</v>
      </c>
      <c r="P99" s="634"/>
      <c r="Q99" s="617"/>
      <c r="R99" s="617"/>
      <c r="S99" s="617"/>
      <c r="T99" s="617"/>
      <c r="U99" s="643"/>
      <c r="V99" s="617"/>
      <c r="W99" s="639"/>
      <c r="X99" s="106" t="e">
        <f t="shared" ca="1" si="145"/>
        <v>#REF!</v>
      </c>
      <c r="Y99" s="107" t="e">
        <f t="shared" ca="1" si="146"/>
        <v>#REF!</v>
      </c>
      <c r="Z99" s="107" t="e">
        <f t="shared" ca="1" si="147"/>
        <v>#REF!</v>
      </c>
      <c r="AA99" s="107" t="e">
        <f t="shared" ca="1" si="148"/>
        <v>#REF!</v>
      </c>
      <c r="AB99" s="91" t="e">
        <f t="shared" ca="1" si="181"/>
        <v>#REF!</v>
      </c>
      <c r="AC99" s="107" t="e">
        <f ca="1">-IF(INDEX(SC_ZX_CodeA,ZXIDX1)="X", 0, MIN(AB99*MAX(INDEX(SC_ZX_Drawdown,ZXIDX2),0),AA99))</f>
        <v>#REF!</v>
      </c>
      <c r="AD99" s="110" t="e">
        <f t="shared" ca="1" si="149"/>
        <v>#REF!</v>
      </c>
      <c r="AE99" s="106" t="e">
        <f t="shared" ca="1" si="150"/>
        <v>#REF!</v>
      </c>
      <c r="AF99" s="107" t="e">
        <f t="shared" ca="1" si="151"/>
        <v>#REF!</v>
      </c>
      <c r="AG99" s="107" t="e">
        <f t="shared" ca="1" si="152"/>
        <v>#REF!</v>
      </c>
      <c r="AH99" s="107" t="e">
        <f t="shared" ca="1" si="153"/>
        <v>#REF!</v>
      </c>
      <c r="AI99" s="91" t="e">
        <f t="shared" ca="1" si="182"/>
        <v>#REF!</v>
      </c>
      <c r="AJ99" s="107" t="e">
        <f ca="1">-IF(INDEX(SC_ZX_CodeA,ZXIDX1)="X", 0, MIN(AI99*MAX(INDEX(SC_ZX_Drawdown,ZXIDX2),0),AH99))</f>
        <v>#REF!</v>
      </c>
      <c r="AK99" s="110" t="e">
        <f t="shared" ca="1" si="154"/>
        <v>#REF!</v>
      </c>
      <c r="AL99" s="106" t="e">
        <f t="shared" ca="1" si="155"/>
        <v>#REF!</v>
      </c>
      <c r="AM99" s="107" t="e">
        <f t="shared" ca="1" si="156"/>
        <v>#REF!</v>
      </c>
      <c r="AN99" s="107" t="e">
        <f t="shared" ca="1" si="157"/>
        <v>#REF!</v>
      </c>
      <c r="AO99" s="107" t="e">
        <f t="shared" ca="1" si="158"/>
        <v>#REF!</v>
      </c>
      <c r="AP99" s="91" t="e">
        <f t="shared" ca="1" si="183"/>
        <v>#REF!</v>
      </c>
      <c r="AQ99" s="107" t="e">
        <f ca="1">-IF(INDEX(SC_ZX_CodeA,ZXIDX1)="X", 0, MIN(AP99*MAX(INDEX(SC_ZX_Drawdown,ZXIDX2),0),AO99))</f>
        <v>#REF!</v>
      </c>
      <c r="AR99" s="110" t="e">
        <f t="shared" ca="1" si="159"/>
        <v>#REF!</v>
      </c>
      <c r="AS99" s="106" t="e">
        <f t="shared" ca="1" si="160"/>
        <v>#REF!</v>
      </c>
      <c r="AT99" s="107" t="e">
        <f t="shared" ca="1" si="161"/>
        <v>#REF!</v>
      </c>
      <c r="AU99" s="107" t="e">
        <f t="shared" ca="1" si="162"/>
        <v>#REF!</v>
      </c>
      <c r="AV99" s="107" t="e">
        <f t="shared" ca="1" si="163"/>
        <v>#REF!</v>
      </c>
      <c r="AW99" s="91" t="e">
        <f t="shared" ca="1" si="184"/>
        <v>#REF!</v>
      </c>
      <c r="AX99" s="107" t="e">
        <f ca="1">-IF(INDEX(SC_ZX_CodeA,ZXIDX1)="X", 0, MIN(AW99*MAX(INDEX(SC_ZX_Drawdown,ZXIDX2),0),AV99))</f>
        <v>#REF!</v>
      </c>
      <c r="AY99" s="110" t="e">
        <f t="shared" ca="1" si="164"/>
        <v>#REF!</v>
      </c>
      <c r="AZ99" s="106" t="e">
        <f t="shared" ca="1" si="165"/>
        <v>#REF!</v>
      </c>
      <c r="BA99" s="107" t="e">
        <f t="shared" ca="1" si="166"/>
        <v>#REF!</v>
      </c>
      <c r="BB99" s="107" t="e">
        <f t="shared" ca="1" si="167"/>
        <v>#REF!</v>
      </c>
      <c r="BC99" s="107" t="e">
        <f t="shared" ca="1" si="168"/>
        <v>#REF!</v>
      </c>
      <c r="BD99" s="91" t="e">
        <f t="shared" ca="1" si="185"/>
        <v>#REF!</v>
      </c>
      <c r="BE99" s="107" t="e">
        <f ca="1">-IF(INDEX(SC_ZX_CodeA,ZXIDX1)="X", 0, MIN(BD99*MAX(INDEX(SC_ZX_Drawdown,ZXIDX2),0),AZ99))</f>
        <v>#REF!</v>
      </c>
      <c r="BF99" s="110" t="e">
        <f t="shared" ca="1" si="169"/>
        <v>#REF!</v>
      </c>
      <c r="BG99" s="106" t="e">
        <f t="shared" ca="1" si="170"/>
        <v>#REF!</v>
      </c>
      <c r="BH99" s="107" t="e">
        <f t="shared" ca="1" si="171"/>
        <v>#REF!</v>
      </c>
      <c r="BI99" s="107" t="e">
        <f t="shared" ca="1" si="172"/>
        <v>#REF!</v>
      </c>
      <c r="BJ99" s="107" t="e">
        <f t="shared" ca="1" si="173"/>
        <v>#REF!</v>
      </c>
      <c r="BK99" s="91" t="e">
        <f t="shared" ca="1" si="186"/>
        <v>#REF!</v>
      </c>
      <c r="BL99" s="107" t="e">
        <f ca="1">-IF(INDEX(SC_ZX_CodeA,ZXIDX1)="X", 0, MIN(BK99*MAX(INDEX(SC_ZX_Drawdown,ZXIDX2),0),BJ99))</f>
        <v>#REF!</v>
      </c>
      <c r="BM99" s="107" t="e">
        <f t="shared" ca="1" si="174"/>
        <v>#REF!</v>
      </c>
      <c r="BN99" s="113" t="e">
        <f t="shared" ca="1" si="175"/>
        <v>#REF!</v>
      </c>
      <c r="BO99" s="114" t="e">
        <f t="shared" ca="1" si="176"/>
        <v>#REF!</v>
      </c>
      <c r="BP99" s="114" t="e">
        <f ca="1">-($V99-IF(($P99+$R99+$S99)&gt;0,MAX($V99/($P99+$R99+$S99)*($Q99+$R99),$V99),0))*LT_InvestmentQDI</f>
        <v>#REF!</v>
      </c>
      <c r="BQ99" s="114" t="e">
        <f ca="1">-($V99-IF(($P99+$R99+$S99)&gt;0,MAX($V99/($P99+$R99+$S99)*($Q99+$R99),$V99),0))*(1-LT_InvestmentQDI)</f>
        <v>#REF!</v>
      </c>
      <c r="BR99" s="114" t="e">
        <f t="shared" ca="1" si="177"/>
        <v>#REF!</v>
      </c>
      <c r="BS99" s="114" t="e">
        <f t="shared" ca="1" si="178"/>
        <v>#REF!</v>
      </c>
      <c r="BT99" s="649"/>
      <c r="BU99" s="637"/>
      <c r="BV99" s="637"/>
      <c r="BW99" s="637"/>
      <c r="BX99" s="639"/>
    </row>
    <row r="100" spans="2:76" x14ac:dyDescent="0.25">
      <c r="B100" s="65">
        <f ca="1">B98+1</f>
        <v>2067</v>
      </c>
      <c r="C100" s="76" t="s">
        <v>741</v>
      </c>
      <c r="D100" s="146" t="str">
        <f t="shared" si="137"/>
        <v/>
      </c>
      <c r="E100" s="77">
        <f t="shared" si="138"/>
        <v>0</v>
      </c>
      <c r="F100" s="77">
        <f t="shared" si="143"/>
        <v>1</v>
      </c>
      <c r="G100" s="76">
        <f t="shared" si="139"/>
        <v>1</v>
      </c>
      <c r="H100" s="76">
        <f t="shared" si="140"/>
        <v>0</v>
      </c>
      <c r="I100" s="77" t="b">
        <f t="shared" si="141"/>
        <v>0</v>
      </c>
      <c r="J100" s="77"/>
      <c r="K100" s="77"/>
      <c r="L100" s="77"/>
      <c r="M100" s="77"/>
      <c r="N100" s="632">
        <f ca="1">YEAR(SP_TargetRD)-$B100</f>
        <v>-44</v>
      </c>
      <c r="O100" s="243" t="e">
        <f ca="1">LT_InvestmentStocks*INDEX(SP_EA_ARStocks,EAIDX)+LT_InvestmentBonds*INDEX(SC_EA_ARBonds,EAIDX)</f>
        <v>#REF!</v>
      </c>
      <c r="P100" s="634" t="e">
        <f ca="1">MAX(P98+R98+S98+V98+W98,0)</f>
        <v>#VALUE!</v>
      </c>
      <c r="Q100" s="617" t="e">
        <f t="shared" ref="Q100" ca="1" si="198">MAX(Q98+R98+IF((P98+R98+S98)&gt;0,MAX(V98/(P98+R98+S98)*(Q98+R98),V98),0),0)</f>
        <v>#VALUE!</v>
      </c>
      <c r="R100" s="617" t="e">
        <f ca="1">IF(SC_ZX_CodeA="X", 0, MAX(INDEX(SC_ZX_IncomeSurplus,ZXIDX2)+INDEX(SC_ZX_Debt,ZXIDX2),0))</f>
        <v>#VALUE!</v>
      </c>
      <c r="S100" s="617" t="e">
        <f ca="1">IF(SC_ZX_CodeA="X", 0, INDEX(SC_EX_RolloverCore,EXIDX))</f>
        <v>#VALUE!</v>
      </c>
      <c r="T100" s="617" t="e">
        <f ca="1">P100+R100+S100</f>
        <v>#VALUE!</v>
      </c>
      <c r="U100" s="642" t="e">
        <f ca="1">IF(SC_ZX_BalanceAccessibleA&gt;0, T100/SC_ZX_BalanceAccessibleA, 0)</f>
        <v>#VALUE!</v>
      </c>
      <c r="V100" s="617" t="e">
        <f ca="1">-IF(SC_ZX_CodeA="X",0,MIN(U100*MAX(INDEX(SC_ZX_Drawdown,ZXIDX2),0),T100))</f>
        <v>#VALUE!</v>
      </c>
      <c r="W100" s="618" t="e">
        <f ca="1">(P100+R100+S100+V100)*$O100</f>
        <v>#VALUE!</v>
      </c>
      <c r="X100" s="75" t="e">
        <f t="shared" ca="1" si="145"/>
        <v>#REF!</v>
      </c>
      <c r="Y100" s="70" t="e">
        <f t="shared" ca="1" si="146"/>
        <v>#REF!</v>
      </c>
      <c r="Z100" s="70" t="e">
        <f t="shared" ca="1" si="147"/>
        <v>#REF!</v>
      </c>
      <c r="AA100" s="70" t="e">
        <f t="shared" ca="1" si="148"/>
        <v>#REF!</v>
      </c>
      <c r="AB100" s="67" t="e">
        <f t="shared" ca="1" si="181"/>
        <v>#REF!</v>
      </c>
      <c r="AC100" s="70" t="e">
        <f ca="1">-IF(INDEX(SC_ZX_CodeA,ZXIDX1)="X", 0, MIN(AB100*MAX(INDEX(SC_ZX_Drawdown,ZXIDX2),0),AA100))</f>
        <v>#REF!</v>
      </c>
      <c r="AD100" s="109" t="e">
        <f t="shared" ca="1" si="149"/>
        <v>#REF!</v>
      </c>
      <c r="AE100" s="75" t="e">
        <f t="shared" ca="1" si="150"/>
        <v>#REF!</v>
      </c>
      <c r="AF100" s="70" t="e">
        <f t="shared" ca="1" si="151"/>
        <v>#REF!</v>
      </c>
      <c r="AG100" s="70" t="e">
        <f t="shared" ca="1" si="152"/>
        <v>#REF!</v>
      </c>
      <c r="AH100" s="70" t="e">
        <f t="shared" ca="1" si="153"/>
        <v>#REF!</v>
      </c>
      <c r="AI100" s="67" t="e">
        <f t="shared" ca="1" si="182"/>
        <v>#REF!</v>
      </c>
      <c r="AJ100" s="70" t="e">
        <f ca="1">-IF(INDEX(SC_ZX_CodeA,ZXIDX1)="X", 0, MIN(AI100*MAX(INDEX(SC_ZX_Drawdown,ZXIDX2),0),AH100))</f>
        <v>#REF!</v>
      </c>
      <c r="AK100" s="109" t="e">
        <f t="shared" ca="1" si="154"/>
        <v>#REF!</v>
      </c>
      <c r="AL100" s="75" t="e">
        <f t="shared" ca="1" si="155"/>
        <v>#REF!</v>
      </c>
      <c r="AM100" s="70" t="e">
        <f t="shared" ca="1" si="156"/>
        <v>#REF!</v>
      </c>
      <c r="AN100" s="70" t="e">
        <f t="shared" ca="1" si="157"/>
        <v>#REF!</v>
      </c>
      <c r="AO100" s="70" t="e">
        <f t="shared" ca="1" si="158"/>
        <v>#REF!</v>
      </c>
      <c r="AP100" s="67" t="e">
        <f t="shared" ca="1" si="183"/>
        <v>#REF!</v>
      </c>
      <c r="AQ100" s="70" t="e">
        <f ca="1">-IF(INDEX(SC_ZX_CodeA,ZXIDX1)="X", 0, MIN(AP100*MAX(INDEX(SC_ZX_Drawdown,ZXIDX2),0),AO100))</f>
        <v>#REF!</v>
      </c>
      <c r="AR100" s="109" t="e">
        <f t="shared" ca="1" si="159"/>
        <v>#REF!</v>
      </c>
      <c r="AS100" s="75" t="e">
        <f t="shared" ca="1" si="160"/>
        <v>#REF!</v>
      </c>
      <c r="AT100" s="70" t="e">
        <f t="shared" ca="1" si="161"/>
        <v>#REF!</v>
      </c>
      <c r="AU100" s="70" t="e">
        <f t="shared" ca="1" si="162"/>
        <v>#REF!</v>
      </c>
      <c r="AV100" s="70" t="e">
        <f t="shared" ca="1" si="163"/>
        <v>#REF!</v>
      </c>
      <c r="AW100" s="67" t="e">
        <f t="shared" ca="1" si="184"/>
        <v>#REF!</v>
      </c>
      <c r="AX100" s="70" t="e">
        <f ca="1">-IF(INDEX(SC_ZX_CodeA,ZXIDX1)="X", 0, MIN(AW100*MAX(INDEX(SC_ZX_Drawdown,ZXIDX2),0),AV100))</f>
        <v>#REF!</v>
      </c>
      <c r="AY100" s="109" t="e">
        <f t="shared" ca="1" si="164"/>
        <v>#REF!</v>
      </c>
      <c r="AZ100" s="75" t="e">
        <f t="shared" ca="1" si="165"/>
        <v>#REF!</v>
      </c>
      <c r="BA100" s="70" t="e">
        <f t="shared" ca="1" si="166"/>
        <v>#REF!</v>
      </c>
      <c r="BB100" s="70" t="e">
        <f t="shared" ca="1" si="167"/>
        <v>#REF!</v>
      </c>
      <c r="BC100" s="70" t="e">
        <f t="shared" ca="1" si="168"/>
        <v>#REF!</v>
      </c>
      <c r="BD100" s="67" t="e">
        <f t="shared" ca="1" si="185"/>
        <v>#REF!</v>
      </c>
      <c r="BE100" s="70" t="e">
        <f ca="1">-IF(INDEX(SC_ZX_CodeA,ZXIDX1)="X", 0, MIN(BD100*MAX(INDEX(SC_ZX_Drawdown,ZXIDX2),0),AZ100))</f>
        <v>#REF!</v>
      </c>
      <c r="BF100" s="109" t="e">
        <f t="shared" ca="1" si="169"/>
        <v>#REF!</v>
      </c>
      <c r="BG100" s="75" t="e">
        <f t="shared" ca="1" si="170"/>
        <v>#REF!</v>
      </c>
      <c r="BH100" s="70" t="e">
        <f t="shared" ca="1" si="171"/>
        <v>#REF!</v>
      </c>
      <c r="BI100" s="70" t="e">
        <f t="shared" ca="1" si="172"/>
        <v>#REF!</v>
      </c>
      <c r="BJ100" s="70" t="e">
        <f t="shared" ca="1" si="173"/>
        <v>#REF!</v>
      </c>
      <c r="BK100" s="67" t="e">
        <f t="shared" ca="1" si="186"/>
        <v>#REF!</v>
      </c>
      <c r="BL100" s="70" t="e">
        <f ca="1">-IF(INDEX(SC_ZX_CodeA,ZXIDX1)="X", 0, MIN(BK100*MAX(INDEX(SC_ZX_Drawdown,ZXIDX2),0),BJ100))</f>
        <v>#REF!</v>
      </c>
      <c r="BM100" s="70" t="e">
        <f t="shared" ca="1" si="174"/>
        <v>#REF!</v>
      </c>
      <c r="BN100" s="111" t="e">
        <f t="shared" ca="1" si="175"/>
        <v>#REF!</v>
      </c>
      <c r="BO100" s="112" t="e">
        <f t="shared" ca="1" si="176"/>
        <v>#REF!</v>
      </c>
      <c r="BP100" s="112" t="e">
        <f ca="1">-($V100-IF(($P100+$R100+$S100)&gt;0,MAX($V100/($P100+$R100+$S100)*($Q100+$R100),$V100),0))*LT_InvestmentQDI</f>
        <v>#VALUE!</v>
      </c>
      <c r="BQ100" s="112" t="e">
        <f ca="1">-($V100-IF(($P100+$R100+$S100)&gt;0,MAX($V100/($P100+$R100+$S100)*($Q100+$R100),$V100),0))*(1-LT_InvestmentQDI)</f>
        <v>#VALUE!</v>
      </c>
      <c r="BR100" s="112" t="e">
        <f t="shared" ca="1" si="177"/>
        <v>#VALUE!</v>
      </c>
      <c r="BS100" s="112" t="e">
        <f t="shared" ca="1" si="178"/>
        <v>#VALUE!</v>
      </c>
      <c r="BT100" s="634" t="e">
        <f ca="1">SUMPRODUCT($BN100:$BN101+$BO100:$BO101, --($E100:$E101&lt;&gt;0))</f>
        <v>#REF!</v>
      </c>
      <c r="BU100" s="617" t="e">
        <f ca="1">SUMPRODUCT($BR100:$BR101+$BS100:$BS101, --($E100:$E101&lt;&gt;0))</f>
        <v>#VALUE!</v>
      </c>
      <c r="BV100" s="617" t="e">
        <f ca="1">$T100+SUMPRODUCT($AA100:$AA101+$AH100:$AH101+$AO100:$AO101+$AV100:$AV101+$BC100:$BC101+$BJ100:$BJ101, --($E100:$E101&lt;&gt;0))</f>
        <v>#VALUE!</v>
      </c>
      <c r="BW100" s="617" t="e">
        <f ca="1">MAX($P100-$Q100,0)+SUMPRODUCT($X100:$X101+$AL100:$AL101+$AZ100:$AZ101, --($E100:$E101&lt;&gt;0))</f>
        <v>#VALUE!</v>
      </c>
      <c r="BX100" s="618" t="e">
        <f ca="1">MIN($P100,$Q100)+SUMPRODUCT($AE100:$AE101+$AS100:$AS101+$BG100:$BG101, --($E100:$E101&lt;&gt;0))</f>
        <v>#VALUE!</v>
      </c>
    </row>
    <row r="101" spans="2:76" x14ac:dyDescent="0.25">
      <c r="B101" s="86">
        <f t="shared" ca="1" si="179"/>
        <v>2067</v>
      </c>
      <c r="C101" s="80" t="s">
        <v>741</v>
      </c>
      <c r="D101" s="147" t="str">
        <f t="shared" si="137"/>
        <v/>
      </c>
      <c r="E101" s="81">
        <f t="shared" si="138"/>
        <v>0</v>
      </c>
      <c r="F101" s="81">
        <f t="shared" si="143"/>
        <v>2</v>
      </c>
      <c r="G101" s="82">
        <f t="shared" si="139"/>
        <v>-1</v>
      </c>
      <c r="H101" s="82">
        <f t="shared" si="140"/>
        <v>0</v>
      </c>
      <c r="I101" s="81" t="b">
        <f t="shared" si="141"/>
        <v>0</v>
      </c>
      <c r="J101" s="81"/>
      <c r="K101" s="81"/>
      <c r="L101" s="81"/>
      <c r="M101" s="81"/>
      <c r="N101" s="633"/>
      <c r="O101" s="243" t="e">
        <f ca="1">LT_InvestmentStocks*INDEX(SP_EA_ARStocks,EAIDX)+LT_InvestmentBonds*INDEX(SC_EA_ARBonds,EAIDX)</f>
        <v>#REF!</v>
      </c>
      <c r="P101" s="634"/>
      <c r="Q101" s="617"/>
      <c r="R101" s="617"/>
      <c r="S101" s="617"/>
      <c r="T101" s="617"/>
      <c r="U101" s="643"/>
      <c r="V101" s="617"/>
      <c r="W101" s="639"/>
      <c r="X101" s="106" t="e">
        <f t="shared" ca="1" si="145"/>
        <v>#REF!</v>
      </c>
      <c r="Y101" s="107" t="e">
        <f t="shared" ca="1" si="146"/>
        <v>#REF!</v>
      </c>
      <c r="Z101" s="107" t="e">
        <f t="shared" ca="1" si="147"/>
        <v>#REF!</v>
      </c>
      <c r="AA101" s="107" t="e">
        <f t="shared" ca="1" si="148"/>
        <v>#REF!</v>
      </c>
      <c r="AB101" s="91" t="e">
        <f t="shared" ca="1" si="181"/>
        <v>#REF!</v>
      </c>
      <c r="AC101" s="107" t="e">
        <f ca="1">-IF(INDEX(SC_ZX_CodeA,ZXIDX1)="X", 0, MIN(AB101*MAX(INDEX(SC_ZX_Drawdown,ZXIDX2),0),AA101))</f>
        <v>#REF!</v>
      </c>
      <c r="AD101" s="110" t="e">
        <f t="shared" ca="1" si="149"/>
        <v>#REF!</v>
      </c>
      <c r="AE101" s="106" t="e">
        <f t="shared" ca="1" si="150"/>
        <v>#REF!</v>
      </c>
      <c r="AF101" s="107" t="e">
        <f t="shared" ca="1" si="151"/>
        <v>#REF!</v>
      </c>
      <c r="AG101" s="107" t="e">
        <f t="shared" ca="1" si="152"/>
        <v>#REF!</v>
      </c>
      <c r="AH101" s="107" t="e">
        <f t="shared" ca="1" si="153"/>
        <v>#REF!</v>
      </c>
      <c r="AI101" s="91" t="e">
        <f t="shared" ca="1" si="182"/>
        <v>#REF!</v>
      </c>
      <c r="AJ101" s="107" t="e">
        <f ca="1">-IF(INDEX(SC_ZX_CodeA,ZXIDX1)="X", 0, MIN(AI101*MAX(INDEX(SC_ZX_Drawdown,ZXIDX2),0),AH101))</f>
        <v>#REF!</v>
      </c>
      <c r="AK101" s="110" t="e">
        <f t="shared" ca="1" si="154"/>
        <v>#REF!</v>
      </c>
      <c r="AL101" s="106" t="e">
        <f t="shared" ca="1" si="155"/>
        <v>#REF!</v>
      </c>
      <c r="AM101" s="107" t="e">
        <f t="shared" ca="1" si="156"/>
        <v>#REF!</v>
      </c>
      <c r="AN101" s="107" t="e">
        <f t="shared" ca="1" si="157"/>
        <v>#REF!</v>
      </c>
      <c r="AO101" s="107" t="e">
        <f t="shared" ca="1" si="158"/>
        <v>#REF!</v>
      </c>
      <c r="AP101" s="91" t="e">
        <f t="shared" ca="1" si="183"/>
        <v>#REF!</v>
      </c>
      <c r="AQ101" s="107" t="e">
        <f ca="1">-IF(INDEX(SC_ZX_CodeA,ZXIDX1)="X", 0, MIN(AP101*MAX(INDEX(SC_ZX_Drawdown,ZXIDX2),0),AO101))</f>
        <v>#REF!</v>
      </c>
      <c r="AR101" s="110" t="e">
        <f t="shared" ca="1" si="159"/>
        <v>#REF!</v>
      </c>
      <c r="AS101" s="106" t="e">
        <f t="shared" ca="1" si="160"/>
        <v>#REF!</v>
      </c>
      <c r="AT101" s="107" t="e">
        <f t="shared" ca="1" si="161"/>
        <v>#REF!</v>
      </c>
      <c r="AU101" s="107" t="e">
        <f t="shared" ca="1" si="162"/>
        <v>#REF!</v>
      </c>
      <c r="AV101" s="107" t="e">
        <f t="shared" ca="1" si="163"/>
        <v>#REF!</v>
      </c>
      <c r="AW101" s="91" t="e">
        <f t="shared" ca="1" si="184"/>
        <v>#REF!</v>
      </c>
      <c r="AX101" s="107" t="e">
        <f ca="1">-IF(INDEX(SC_ZX_CodeA,ZXIDX1)="X", 0, MIN(AW101*MAX(INDEX(SC_ZX_Drawdown,ZXIDX2),0),AV101))</f>
        <v>#REF!</v>
      </c>
      <c r="AY101" s="110" t="e">
        <f t="shared" ca="1" si="164"/>
        <v>#REF!</v>
      </c>
      <c r="AZ101" s="106" t="e">
        <f t="shared" ca="1" si="165"/>
        <v>#REF!</v>
      </c>
      <c r="BA101" s="107" t="e">
        <f t="shared" ca="1" si="166"/>
        <v>#REF!</v>
      </c>
      <c r="BB101" s="107" t="e">
        <f t="shared" ca="1" si="167"/>
        <v>#REF!</v>
      </c>
      <c r="BC101" s="107" t="e">
        <f t="shared" ca="1" si="168"/>
        <v>#REF!</v>
      </c>
      <c r="BD101" s="91" t="e">
        <f t="shared" ca="1" si="185"/>
        <v>#REF!</v>
      </c>
      <c r="BE101" s="107" t="e">
        <f ca="1">-IF(INDEX(SC_ZX_CodeA,ZXIDX1)="X", 0, MIN(BD101*MAX(INDEX(SC_ZX_Drawdown,ZXIDX2),0),AZ101))</f>
        <v>#REF!</v>
      </c>
      <c r="BF101" s="110" t="e">
        <f t="shared" ca="1" si="169"/>
        <v>#REF!</v>
      </c>
      <c r="BG101" s="106" t="e">
        <f t="shared" ca="1" si="170"/>
        <v>#REF!</v>
      </c>
      <c r="BH101" s="107" t="e">
        <f t="shared" ca="1" si="171"/>
        <v>#REF!</v>
      </c>
      <c r="BI101" s="107" t="e">
        <f t="shared" ca="1" si="172"/>
        <v>#REF!</v>
      </c>
      <c r="BJ101" s="107" t="e">
        <f t="shared" ca="1" si="173"/>
        <v>#REF!</v>
      </c>
      <c r="BK101" s="91" t="e">
        <f t="shared" ca="1" si="186"/>
        <v>#REF!</v>
      </c>
      <c r="BL101" s="107" t="e">
        <f ca="1">-IF(INDEX(SC_ZX_CodeA,ZXIDX1)="X", 0, MIN(BK101*MAX(INDEX(SC_ZX_Drawdown,ZXIDX2),0),BJ101))</f>
        <v>#REF!</v>
      </c>
      <c r="BM101" s="107" t="e">
        <f t="shared" ca="1" si="174"/>
        <v>#REF!</v>
      </c>
      <c r="BN101" s="113" t="e">
        <f t="shared" ca="1" si="175"/>
        <v>#REF!</v>
      </c>
      <c r="BO101" s="114" t="e">
        <f t="shared" ca="1" si="176"/>
        <v>#REF!</v>
      </c>
      <c r="BP101" s="114" t="e">
        <f ca="1">-($V101-IF(($P101+$R101+$S101)&gt;0,MAX($V101/($P101+$R101+$S101)*($Q101+$R101),$V101),0))*LT_InvestmentQDI</f>
        <v>#REF!</v>
      </c>
      <c r="BQ101" s="114" t="e">
        <f ca="1">-($V101-IF(($P101+$R101+$S101)&gt;0,MAX($V101/($P101+$R101+$S101)*($Q101+$R101),$V101),0))*(1-LT_InvestmentQDI)</f>
        <v>#REF!</v>
      </c>
      <c r="BR101" s="114" t="e">
        <f t="shared" ca="1" si="177"/>
        <v>#REF!</v>
      </c>
      <c r="BS101" s="114" t="e">
        <f t="shared" ca="1" si="178"/>
        <v>#REF!</v>
      </c>
      <c r="BT101" s="649"/>
      <c r="BU101" s="637"/>
      <c r="BV101" s="637"/>
      <c r="BW101" s="637"/>
      <c r="BX101" s="639"/>
    </row>
    <row r="102" spans="2:76" x14ac:dyDescent="0.25">
      <c r="B102" s="65">
        <f ca="1">B100+1</f>
        <v>2068</v>
      </c>
      <c r="C102" s="76" t="s">
        <v>741</v>
      </c>
      <c r="D102" s="146" t="str">
        <f t="shared" si="137"/>
        <v/>
      </c>
      <c r="E102" s="77">
        <f t="shared" si="138"/>
        <v>0</v>
      </c>
      <c r="F102" s="77">
        <f t="shared" si="143"/>
        <v>1</v>
      </c>
      <c r="G102" s="76">
        <f t="shared" si="139"/>
        <v>1</v>
      </c>
      <c r="H102" s="76">
        <f t="shared" si="140"/>
        <v>0</v>
      </c>
      <c r="I102" s="77" t="b">
        <f t="shared" si="141"/>
        <v>0</v>
      </c>
      <c r="J102" s="77"/>
      <c r="K102" s="77"/>
      <c r="L102" s="77"/>
      <c r="M102" s="77"/>
      <c r="N102" s="632">
        <f ca="1">YEAR(SP_TargetRD)-$B102</f>
        <v>-45</v>
      </c>
      <c r="O102" s="243" t="e">
        <f ca="1">LT_InvestmentStocks*INDEX(SP_EA_ARStocks,EAIDX)+LT_InvestmentBonds*INDEX(SC_EA_ARBonds,EAIDX)</f>
        <v>#REF!</v>
      </c>
      <c r="P102" s="634" t="e">
        <f ca="1">MAX(P100+R100+S100+V100+W100,0)</f>
        <v>#VALUE!</v>
      </c>
      <c r="Q102" s="617" t="e">
        <f t="shared" ref="Q102" ca="1" si="199">MAX(Q100+R100+IF((P100+R100+S100)&gt;0,MAX(V100/(P100+R100+S100)*(Q100+R100),V100),0),0)</f>
        <v>#VALUE!</v>
      </c>
      <c r="R102" s="617" t="e">
        <f ca="1">IF(SC_ZX_CodeA="X", 0, MAX(INDEX(SC_ZX_IncomeSurplus,ZXIDX2)+INDEX(SC_ZX_Debt,ZXIDX2),0))</f>
        <v>#VALUE!</v>
      </c>
      <c r="S102" s="617" t="e">
        <f ca="1">IF(SC_ZX_CodeA="X", 0, INDEX(SC_EX_RolloverCore,EXIDX))</f>
        <v>#VALUE!</v>
      </c>
      <c r="T102" s="617" t="e">
        <f ca="1">P102+R102+S102</f>
        <v>#VALUE!</v>
      </c>
      <c r="U102" s="642" t="e">
        <f ca="1">IF(SC_ZX_BalanceAccessibleA&gt;0, T102/SC_ZX_BalanceAccessibleA, 0)</f>
        <v>#VALUE!</v>
      </c>
      <c r="V102" s="617" t="e">
        <f ca="1">-IF(SC_ZX_CodeA="X",0,MIN(U102*MAX(INDEX(SC_ZX_Drawdown,ZXIDX2),0),T102))</f>
        <v>#VALUE!</v>
      </c>
      <c r="W102" s="618" t="e">
        <f ca="1">(P102+R102+S102+V102)*$O102</f>
        <v>#VALUE!</v>
      </c>
      <c r="X102" s="75" t="e">
        <f t="shared" ca="1" si="145"/>
        <v>#REF!</v>
      </c>
      <c r="Y102" s="70" t="e">
        <f t="shared" ca="1" si="146"/>
        <v>#REF!</v>
      </c>
      <c r="Z102" s="70" t="e">
        <f t="shared" ca="1" si="147"/>
        <v>#REF!</v>
      </c>
      <c r="AA102" s="70" t="e">
        <f t="shared" ca="1" si="148"/>
        <v>#REF!</v>
      </c>
      <c r="AB102" s="67" t="e">
        <f t="shared" ca="1" si="181"/>
        <v>#REF!</v>
      </c>
      <c r="AC102" s="70" t="e">
        <f ca="1">-IF(INDEX(SC_ZX_CodeA,ZXIDX1)="X", 0, MIN(AB102*MAX(INDEX(SC_ZX_Drawdown,ZXIDX2),0),AA102))</f>
        <v>#REF!</v>
      </c>
      <c r="AD102" s="109" t="e">
        <f t="shared" ca="1" si="149"/>
        <v>#REF!</v>
      </c>
      <c r="AE102" s="75" t="e">
        <f t="shared" ca="1" si="150"/>
        <v>#REF!</v>
      </c>
      <c r="AF102" s="70" t="e">
        <f t="shared" ca="1" si="151"/>
        <v>#REF!</v>
      </c>
      <c r="AG102" s="70" t="e">
        <f t="shared" ca="1" si="152"/>
        <v>#REF!</v>
      </c>
      <c r="AH102" s="70" t="e">
        <f t="shared" ca="1" si="153"/>
        <v>#REF!</v>
      </c>
      <c r="AI102" s="67" t="e">
        <f t="shared" ca="1" si="182"/>
        <v>#REF!</v>
      </c>
      <c r="AJ102" s="70" t="e">
        <f ca="1">-IF(INDEX(SC_ZX_CodeA,ZXIDX1)="X", 0, MIN(AI102*MAX(INDEX(SC_ZX_Drawdown,ZXIDX2),0),AH102))</f>
        <v>#REF!</v>
      </c>
      <c r="AK102" s="109" t="e">
        <f t="shared" ca="1" si="154"/>
        <v>#REF!</v>
      </c>
      <c r="AL102" s="75" t="e">
        <f t="shared" ca="1" si="155"/>
        <v>#REF!</v>
      </c>
      <c r="AM102" s="70" t="e">
        <f t="shared" ca="1" si="156"/>
        <v>#REF!</v>
      </c>
      <c r="AN102" s="70" t="e">
        <f t="shared" ca="1" si="157"/>
        <v>#REF!</v>
      </c>
      <c r="AO102" s="70" t="e">
        <f t="shared" ca="1" si="158"/>
        <v>#REF!</v>
      </c>
      <c r="AP102" s="67" t="e">
        <f t="shared" ca="1" si="183"/>
        <v>#REF!</v>
      </c>
      <c r="AQ102" s="70" t="e">
        <f ca="1">-IF(INDEX(SC_ZX_CodeA,ZXIDX1)="X", 0, MIN(AP102*MAX(INDEX(SC_ZX_Drawdown,ZXIDX2),0),AO102))</f>
        <v>#REF!</v>
      </c>
      <c r="AR102" s="109" t="e">
        <f t="shared" ca="1" si="159"/>
        <v>#REF!</v>
      </c>
      <c r="AS102" s="75" t="e">
        <f t="shared" ca="1" si="160"/>
        <v>#REF!</v>
      </c>
      <c r="AT102" s="70" t="e">
        <f t="shared" ca="1" si="161"/>
        <v>#REF!</v>
      </c>
      <c r="AU102" s="70" t="e">
        <f t="shared" ca="1" si="162"/>
        <v>#REF!</v>
      </c>
      <c r="AV102" s="70" t="e">
        <f t="shared" ca="1" si="163"/>
        <v>#REF!</v>
      </c>
      <c r="AW102" s="67" t="e">
        <f t="shared" ca="1" si="184"/>
        <v>#REF!</v>
      </c>
      <c r="AX102" s="70" t="e">
        <f ca="1">-IF(INDEX(SC_ZX_CodeA,ZXIDX1)="X", 0, MIN(AW102*MAX(INDEX(SC_ZX_Drawdown,ZXIDX2),0),AV102))</f>
        <v>#REF!</v>
      </c>
      <c r="AY102" s="109" t="e">
        <f t="shared" ca="1" si="164"/>
        <v>#REF!</v>
      </c>
      <c r="AZ102" s="75" t="e">
        <f t="shared" ca="1" si="165"/>
        <v>#REF!</v>
      </c>
      <c r="BA102" s="70" t="e">
        <f t="shared" ca="1" si="166"/>
        <v>#REF!</v>
      </c>
      <c r="BB102" s="70" t="e">
        <f t="shared" ca="1" si="167"/>
        <v>#REF!</v>
      </c>
      <c r="BC102" s="70" t="e">
        <f t="shared" ca="1" si="168"/>
        <v>#REF!</v>
      </c>
      <c r="BD102" s="67" t="e">
        <f t="shared" ca="1" si="185"/>
        <v>#REF!</v>
      </c>
      <c r="BE102" s="70" t="e">
        <f ca="1">-IF(INDEX(SC_ZX_CodeA,ZXIDX1)="X", 0, MIN(BD102*MAX(INDEX(SC_ZX_Drawdown,ZXIDX2),0),AZ102))</f>
        <v>#REF!</v>
      </c>
      <c r="BF102" s="109" t="e">
        <f t="shared" ca="1" si="169"/>
        <v>#REF!</v>
      </c>
      <c r="BG102" s="75" t="e">
        <f t="shared" ca="1" si="170"/>
        <v>#REF!</v>
      </c>
      <c r="BH102" s="70" t="e">
        <f t="shared" ca="1" si="171"/>
        <v>#REF!</v>
      </c>
      <c r="BI102" s="70" t="e">
        <f t="shared" ca="1" si="172"/>
        <v>#REF!</v>
      </c>
      <c r="BJ102" s="70" t="e">
        <f t="shared" ca="1" si="173"/>
        <v>#REF!</v>
      </c>
      <c r="BK102" s="67" t="e">
        <f t="shared" ca="1" si="186"/>
        <v>#REF!</v>
      </c>
      <c r="BL102" s="70" t="e">
        <f ca="1">-IF(INDEX(SC_ZX_CodeA,ZXIDX1)="X", 0, MIN(BK102*MAX(INDEX(SC_ZX_Drawdown,ZXIDX2),0),BJ102))</f>
        <v>#REF!</v>
      </c>
      <c r="BM102" s="70" t="e">
        <f t="shared" ca="1" si="174"/>
        <v>#REF!</v>
      </c>
      <c r="BN102" s="111" t="e">
        <f t="shared" ca="1" si="175"/>
        <v>#REF!</v>
      </c>
      <c r="BO102" s="112" t="e">
        <f t="shared" ca="1" si="176"/>
        <v>#REF!</v>
      </c>
      <c r="BP102" s="112" t="e">
        <f ca="1">-($V102-IF(($P102+$R102+$S102)&gt;0,MAX($V102/($P102+$R102+$S102)*($Q102+$R102),$V102),0))*LT_InvestmentQDI</f>
        <v>#VALUE!</v>
      </c>
      <c r="BQ102" s="112" t="e">
        <f ca="1">-($V102-IF(($P102+$R102+$S102)&gt;0,MAX($V102/($P102+$R102+$S102)*($Q102+$R102),$V102),0))*(1-LT_InvestmentQDI)</f>
        <v>#VALUE!</v>
      </c>
      <c r="BR102" s="112" t="e">
        <f t="shared" ca="1" si="177"/>
        <v>#VALUE!</v>
      </c>
      <c r="BS102" s="112" t="e">
        <f t="shared" ca="1" si="178"/>
        <v>#VALUE!</v>
      </c>
      <c r="BT102" s="634" t="e">
        <f ca="1">SUMPRODUCT($BN102:$BN103+$BO102:$BO103, --($E102:$E103&lt;&gt;0))</f>
        <v>#REF!</v>
      </c>
      <c r="BU102" s="617" t="e">
        <f ca="1">SUMPRODUCT($BR102:$BR103+$BS102:$BS103, --($E102:$E103&lt;&gt;0))</f>
        <v>#VALUE!</v>
      </c>
      <c r="BV102" s="617" t="e">
        <f ca="1">$T102+SUMPRODUCT($AA102:$AA103+$AH102:$AH103+$AO102:$AO103+$AV102:$AV103+$BC102:$BC103+$BJ102:$BJ103, --($E102:$E103&lt;&gt;0))</f>
        <v>#VALUE!</v>
      </c>
      <c r="BW102" s="617" t="e">
        <f ca="1">MAX($P102-$Q102,0)+SUMPRODUCT($X102:$X103+$AL102:$AL103+$AZ102:$AZ103, --($E102:$E103&lt;&gt;0))</f>
        <v>#VALUE!</v>
      </c>
      <c r="BX102" s="618" t="e">
        <f ca="1">MIN($P102,$Q102)+SUMPRODUCT($AE102:$AE103+$AS102:$AS103+$BG102:$BG103, --($E102:$E103&lt;&gt;0))</f>
        <v>#VALUE!</v>
      </c>
    </row>
    <row r="103" spans="2:76" x14ac:dyDescent="0.25">
      <c r="B103" s="86">
        <f t="shared" ca="1" si="179"/>
        <v>2068</v>
      </c>
      <c r="C103" s="80" t="s">
        <v>741</v>
      </c>
      <c r="D103" s="147" t="str">
        <f t="shared" si="137"/>
        <v/>
      </c>
      <c r="E103" s="81">
        <f t="shared" si="138"/>
        <v>0</v>
      </c>
      <c r="F103" s="81">
        <f t="shared" si="143"/>
        <v>2</v>
      </c>
      <c r="G103" s="82">
        <f t="shared" si="139"/>
        <v>-1</v>
      </c>
      <c r="H103" s="82">
        <f t="shared" si="140"/>
        <v>0</v>
      </c>
      <c r="I103" s="81" t="b">
        <f t="shared" si="141"/>
        <v>0</v>
      </c>
      <c r="J103" s="81"/>
      <c r="K103" s="81"/>
      <c r="L103" s="81"/>
      <c r="M103" s="81"/>
      <c r="N103" s="633"/>
      <c r="O103" s="243" t="e">
        <f ca="1">LT_InvestmentStocks*INDEX(SP_EA_ARStocks,EAIDX)+LT_InvestmentBonds*INDEX(SC_EA_ARBonds,EAIDX)</f>
        <v>#REF!</v>
      </c>
      <c r="P103" s="634"/>
      <c r="Q103" s="617"/>
      <c r="R103" s="617"/>
      <c r="S103" s="617"/>
      <c r="T103" s="617"/>
      <c r="U103" s="643"/>
      <c r="V103" s="617"/>
      <c r="W103" s="639"/>
      <c r="X103" s="106" t="e">
        <f t="shared" ca="1" si="145"/>
        <v>#REF!</v>
      </c>
      <c r="Y103" s="107" t="e">
        <f t="shared" ca="1" si="146"/>
        <v>#REF!</v>
      </c>
      <c r="Z103" s="107" t="e">
        <f t="shared" ca="1" si="147"/>
        <v>#REF!</v>
      </c>
      <c r="AA103" s="107" t="e">
        <f t="shared" ca="1" si="148"/>
        <v>#REF!</v>
      </c>
      <c r="AB103" s="91" t="e">
        <f t="shared" ca="1" si="181"/>
        <v>#REF!</v>
      </c>
      <c r="AC103" s="107" t="e">
        <f ca="1">-IF(INDEX(SC_ZX_CodeA,ZXIDX1)="X", 0, MIN(AB103*MAX(INDEX(SC_ZX_Drawdown,ZXIDX2),0),AA103))</f>
        <v>#REF!</v>
      </c>
      <c r="AD103" s="110" t="e">
        <f t="shared" ca="1" si="149"/>
        <v>#REF!</v>
      </c>
      <c r="AE103" s="106" t="e">
        <f t="shared" ca="1" si="150"/>
        <v>#REF!</v>
      </c>
      <c r="AF103" s="107" t="e">
        <f t="shared" ca="1" si="151"/>
        <v>#REF!</v>
      </c>
      <c r="AG103" s="107" t="e">
        <f t="shared" ca="1" si="152"/>
        <v>#REF!</v>
      </c>
      <c r="AH103" s="107" t="e">
        <f t="shared" ca="1" si="153"/>
        <v>#REF!</v>
      </c>
      <c r="AI103" s="91" t="e">
        <f t="shared" ca="1" si="182"/>
        <v>#REF!</v>
      </c>
      <c r="AJ103" s="107" t="e">
        <f ca="1">-IF(INDEX(SC_ZX_CodeA,ZXIDX1)="X", 0, MIN(AI103*MAX(INDEX(SC_ZX_Drawdown,ZXIDX2),0),AH103))</f>
        <v>#REF!</v>
      </c>
      <c r="AK103" s="110" t="e">
        <f t="shared" ca="1" si="154"/>
        <v>#REF!</v>
      </c>
      <c r="AL103" s="106" t="e">
        <f t="shared" ca="1" si="155"/>
        <v>#REF!</v>
      </c>
      <c r="AM103" s="107" t="e">
        <f t="shared" ca="1" si="156"/>
        <v>#REF!</v>
      </c>
      <c r="AN103" s="107" t="e">
        <f t="shared" ca="1" si="157"/>
        <v>#REF!</v>
      </c>
      <c r="AO103" s="107" t="e">
        <f t="shared" ca="1" si="158"/>
        <v>#REF!</v>
      </c>
      <c r="AP103" s="91" t="e">
        <f t="shared" ca="1" si="183"/>
        <v>#REF!</v>
      </c>
      <c r="AQ103" s="107" t="e">
        <f ca="1">-IF(INDEX(SC_ZX_CodeA,ZXIDX1)="X", 0, MIN(AP103*MAX(INDEX(SC_ZX_Drawdown,ZXIDX2),0),AO103))</f>
        <v>#REF!</v>
      </c>
      <c r="AR103" s="110" t="e">
        <f t="shared" ca="1" si="159"/>
        <v>#REF!</v>
      </c>
      <c r="AS103" s="106" t="e">
        <f t="shared" ca="1" si="160"/>
        <v>#REF!</v>
      </c>
      <c r="AT103" s="107" t="e">
        <f t="shared" ca="1" si="161"/>
        <v>#REF!</v>
      </c>
      <c r="AU103" s="107" t="e">
        <f t="shared" ca="1" si="162"/>
        <v>#REF!</v>
      </c>
      <c r="AV103" s="107" t="e">
        <f t="shared" ca="1" si="163"/>
        <v>#REF!</v>
      </c>
      <c r="AW103" s="91" t="e">
        <f t="shared" ca="1" si="184"/>
        <v>#REF!</v>
      </c>
      <c r="AX103" s="107" t="e">
        <f ca="1">-IF(INDEX(SC_ZX_CodeA,ZXIDX1)="X", 0, MIN(AW103*MAX(INDEX(SC_ZX_Drawdown,ZXIDX2),0),AV103))</f>
        <v>#REF!</v>
      </c>
      <c r="AY103" s="110" t="e">
        <f t="shared" ca="1" si="164"/>
        <v>#REF!</v>
      </c>
      <c r="AZ103" s="106" t="e">
        <f t="shared" ca="1" si="165"/>
        <v>#REF!</v>
      </c>
      <c r="BA103" s="107" t="e">
        <f t="shared" ca="1" si="166"/>
        <v>#REF!</v>
      </c>
      <c r="BB103" s="107" t="e">
        <f t="shared" ca="1" si="167"/>
        <v>#REF!</v>
      </c>
      <c r="BC103" s="107" t="e">
        <f t="shared" ca="1" si="168"/>
        <v>#REF!</v>
      </c>
      <c r="BD103" s="91" t="e">
        <f t="shared" ca="1" si="185"/>
        <v>#REF!</v>
      </c>
      <c r="BE103" s="107" t="e">
        <f ca="1">-IF(INDEX(SC_ZX_CodeA,ZXIDX1)="X", 0, MIN(BD103*MAX(INDEX(SC_ZX_Drawdown,ZXIDX2),0),AZ103))</f>
        <v>#REF!</v>
      </c>
      <c r="BF103" s="110" t="e">
        <f t="shared" ca="1" si="169"/>
        <v>#REF!</v>
      </c>
      <c r="BG103" s="106" t="e">
        <f t="shared" ca="1" si="170"/>
        <v>#REF!</v>
      </c>
      <c r="BH103" s="107" t="e">
        <f t="shared" ca="1" si="171"/>
        <v>#REF!</v>
      </c>
      <c r="BI103" s="107" t="e">
        <f t="shared" ca="1" si="172"/>
        <v>#REF!</v>
      </c>
      <c r="BJ103" s="107" t="e">
        <f t="shared" ca="1" si="173"/>
        <v>#REF!</v>
      </c>
      <c r="BK103" s="91" t="e">
        <f t="shared" ca="1" si="186"/>
        <v>#REF!</v>
      </c>
      <c r="BL103" s="107" t="e">
        <f ca="1">-IF(INDEX(SC_ZX_CodeA,ZXIDX1)="X", 0, MIN(BK103*MAX(INDEX(SC_ZX_Drawdown,ZXIDX2),0),BJ103))</f>
        <v>#REF!</v>
      </c>
      <c r="BM103" s="107" t="e">
        <f t="shared" ca="1" si="174"/>
        <v>#REF!</v>
      </c>
      <c r="BN103" s="113" t="e">
        <f t="shared" ca="1" si="175"/>
        <v>#REF!</v>
      </c>
      <c r="BO103" s="114" t="e">
        <f t="shared" ca="1" si="176"/>
        <v>#REF!</v>
      </c>
      <c r="BP103" s="114" t="e">
        <f ca="1">-($V103-IF(($P103+$R103+$S103)&gt;0,MAX($V103/($P103+$R103+$S103)*($Q103+$R103),$V103),0))*LT_InvestmentQDI</f>
        <v>#REF!</v>
      </c>
      <c r="BQ103" s="114" t="e">
        <f ca="1">-($V103-IF(($P103+$R103+$S103)&gt;0,MAX($V103/($P103+$R103+$S103)*($Q103+$R103),$V103),0))*(1-LT_InvestmentQDI)</f>
        <v>#REF!</v>
      </c>
      <c r="BR103" s="114" t="e">
        <f t="shared" ca="1" si="177"/>
        <v>#REF!</v>
      </c>
      <c r="BS103" s="114" t="e">
        <f t="shared" ca="1" si="178"/>
        <v>#REF!</v>
      </c>
      <c r="BT103" s="649"/>
      <c r="BU103" s="637"/>
      <c r="BV103" s="637"/>
      <c r="BW103" s="637"/>
      <c r="BX103" s="639"/>
    </row>
    <row r="104" spans="2:76" x14ac:dyDescent="0.25">
      <c r="B104" s="65">
        <f ca="1">B102+1</f>
        <v>2069</v>
      </c>
      <c r="C104" s="76" t="s">
        <v>741</v>
      </c>
      <c r="D104" s="146" t="str">
        <f t="shared" ref="D104:D135" si="200">INDEX(SP_Initials,F104)</f>
        <v/>
      </c>
      <c r="E104" s="77">
        <f t="shared" si="138"/>
        <v>0</v>
      </c>
      <c r="F104" s="77">
        <f t="shared" si="143"/>
        <v>1</v>
      </c>
      <c r="G104" s="76">
        <f t="shared" si="139"/>
        <v>1</v>
      </c>
      <c r="H104" s="76">
        <f t="shared" ref="H104:H135" si="201">IF(INDEX(SC_ShowRetireatee,$F104),IF($B104&lt;YEAR(INDEX(SP_BirthDate,$F104)),0,$B104-YEAR(INDEX(SP_BirthDate,$F104))),0)</f>
        <v>0</v>
      </c>
      <c r="I104" s="77" t="b">
        <f t="shared" ref="I104:I135" si="202">IF(INDEX(SC_ShowRetireatee,$F104),IF($B104&gt;(YEAR(INDEX(SP_BirthDate,$F104))+INDEX(SP_LifeExp,$F104)),0,$H104))</f>
        <v>0</v>
      </c>
      <c r="J104" s="77"/>
      <c r="K104" s="77"/>
      <c r="L104" s="77"/>
      <c r="M104" s="77"/>
      <c r="N104" s="632">
        <f ca="1">YEAR(SP_TargetRD)-$B104</f>
        <v>-46</v>
      </c>
      <c r="O104" s="243" t="e">
        <f ca="1">LT_InvestmentStocks*INDEX(SP_EA_ARStocks,EAIDX)+LT_InvestmentBonds*INDEX(SC_EA_ARBonds,EAIDX)</f>
        <v>#REF!</v>
      </c>
      <c r="P104" s="634" t="e">
        <f ca="1">MAX(P102+R102+S102+V102+W102,0)</f>
        <v>#VALUE!</v>
      </c>
      <c r="Q104" s="617" t="e">
        <f t="shared" ref="Q104" ca="1" si="203">MAX(Q102+R102+IF((P102+R102+S102)&gt;0,MAX(V102/(P102+R102+S102)*(Q102+R102),V102),0),0)</f>
        <v>#VALUE!</v>
      </c>
      <c r="R104" s="617" t="e">
        <f ca="1">IF(SC_ZX_CodeA="X", 0, MAX(INDEX(SC_ZX_IncomeSurplus,ZXIDX2)+INDEX(SC_ZX_Debt,ZXIDX2),0))</f>
        <v>#VALUE!</v>
      </c>
      <c r="S104" s="617" t="e">
        <f ca="1">IF(SC_ZX_CodeA="X", 0, INDEX(SC_EX_RolloverCore,EXIDX))</f>
        <v>#VALUE!</v>
      </c>
      <c r="T104" s="617" t="e">
        <f ca="1">P104+R104+S104</f>
        <v>#VALUE!</v>
      </c>
      <c r="U104" s="642" t="e">
        <f ca="1">IF(SC_ZX_BalanceAccessibleA&gt;0, T104/SC_ZX_BalanceAccessibleA, 0)</f>
        <v>#VALUE!</v>
      </c>
      <c r="V104" s="617" t="e">
        <f ca="1">-IF(SC_ZX_CodeA="X",0,MIN(U104*MAX(INDEX(SC_ZX_Drawdown,ZXIDX2),0),T104))</f>
        <v>#VALUE!</v>
      </c>
      <c r="W104" s="618" t="e">
        <f ca="1">(P104+R104+S104+V104)*$O104</f>
        <v>#VALUE!</v>
      </c>
      <c r="X104" s="75" t="e">
        <f t="shared" ca="1" si="145"/>
        <v>#REF!</v>
      </c>
      <c r="Y104" s="70" t="e">
        <f t="shared" ca="1" si="146"/>
        <v>#REF!</v>
      </c>
      <c r="Z104" s="70" t="e">
        <f t="shared" ca="1" si="147"/>
        <v>#REF!</v>
      </c>
      <c r="AA104" s="70" t="e">
        <f t="shared" ca="1" si="148"/>
        <v>#REF!</v>
      </c>
      <c r="AB104" s="67" t="e">
        <f t="shared" ca="1" si="181"/>
        <v>#REF!</v>
      </c>
      <c r="AC104" s="70" t="e">
        <f ca="1">-IF(INDEX(SC_ZX_CodeA,ZXIDX1)="X", 0, MIN(AB104*MAX(INDEX(SC_ZX_Drawdown,ZXIDX2),0),AA104))</f>
        <v>#REF!</v>
      </c>
      <c r="AD104" s="109" t="e">
        <f t="shared" ca="1" si="149"/>
        <v>#REF!</v>
      </c>
      <c r="AE104" s="75" t="e">
        <f t="shared" ca="1" si="150"/>
        <v>#REF!</v>
      </c>
      <c r="AF104" s="70" t="e">
        <f t="shared" ca="1" si="151"/>
        <v>#REF!</v>
      </c>
      <c r="AG104" s="70" t="e">
        <f t="shared" ca="1" si="152"/>
        <v>#REF!</v>
      </c>
      <c r="AH104" s="70" t="e">
        <f t="shared" ca="1" si="153"/>
        <v>#REF!</v>
      </c>
      <c r="AI104" s="67" t="e">
        <f t="shared" ca="1" si="182"/>
        <v>#REF!</v>
      </c>
      <c r="AJ104" s="70" t="e">
        <f ca="1">-IF(INDEX(SC_ZX_CodeA,ZXIDX1)="X", 0, MIN(AI104*MAX(INDEX(SC_ZX_Drawdown,ZXIDX2),0),AH104))</f>
        <v>#REF!</v>
      </c>
      <c r="AK104" s="109" t="e">
        <f t="shared" ca="1" si="154"/>
        <v>#REF!</v>
      </c>
      <c r="AL104" s="75" t="e">
        <f t="shared" ca="1" si="155"/>
        <v>#REF!</v>
      </c>
      <c r="AM104" s="70" t="e">
        <f t="shared" ca="1" si="156"/>
        <v>#REF!</v>
      </c>
      <c r="AN104" s="70" t="e">
        <f t="shared" ca="1" si="157"/>
        <v>#REF!</v>
      </c>
      <c r="AO104" s="70" t="e">
        <f t="shared" ca="1" si="158"/>
        <v>#REF!</v>
      </c>
      <c r="AP104" s="67" t="e">
        <f t="shared" ca="1" si="183"/>
        <v>#REF!</v>
      </c>
      <c r="AQ104" s="70" t="e">
        <f ca="1">-IF(INDEX(SC_ZX_CodeA,ZXIDX1)="X", 0, MIN(AP104*MAX(INDEX(SC_ZX_Drawdown,ZXIDX2),0),AO104))</f>
        <v>#REF!</v>
      </c>
      <c r="AR104" s="109" t="e">
        <f t="shared" ca="1" si="159"/>
        <v>#REF!</v>
      </c>
      <c r="AS104" s="75" t="e">
        <f t="shared" ca="1" si="160"/>
        <v>#REF!</v>
      </c>
      <c r="AT104" s="70" t="e">
        <f t="shared" ca="1" si="161"/>
        <v>#REF!</v>
      </c>
      <c r="AU104" s="70" t="e">
        <f t="shared" ca="1" si="162"/>
        <v>#REF!</v>
      </c>
      <c r="AV104" s="70" t="e">
        <f t="shared" ca="1" si="163"/>
        <v>#REF!</v>
      </c>
      <c r="AW104" s="67" t="e">
        <f t="shared" ca="1" si="184"/>
        <v>#REF!</v>
      </c>
      <c r="AX104" s="70" t="e">
        <f ca="1">-IF(INDEX(SC_ZX_CodeA,ZXIDX1)="X", 0, MIN(AW104*MAX(INDEX(SC_ZX_Drawdown,ZXIDX2),0),AV104))</f>
        <v>#REF!</v>
      </c>
      <c r="AY104" s="109" t="e">
        <f t="shared" ca="1" si="164"/>
        <v>#REF!</v>
      </c>
      <c r="AZ104" s="75" t="e">
        <f t="shared" ca="1" si="165"/>
        <v>#REF!</v>
      </c>
      <c r="BA104" s="70" t="e">
        <f t="shared" ca="1" si="166"/>
        <v>#REF!</v>
      </c>
      <c r="BB104" s="70" t="e">
        <f t="shared" ca="1" si="167"/>
        <v>#REF!</v>
      </c>
      <c r="BC104" s="70" t="e">
        <f t="shared" ca="1" si="168"/>
        <v>#REF!</v>
      </c>
      <c r="BD104" s="67" t="e">
        <f t="shared" ca="1" si="185"/>
        <v>#REF!</v>
      </c>
      <c r="BE104" s="70" t="e">
        <f ca="1">-IF(INDEX(SC_ZX_CodeA,ZXIDX1)="X", 0, MIN(BD104*MAX(INDEX(SC_ZX_Drawdown,ZXIDX2),0),AZ104))</f>
        <v>#REF!</v>
      </c>
      <c r="BF104" s="109" t="e">
        <f t="shared" ca="1" si="169"/>
        <v>#REF!</v>
      </c>
      <c r="BG104" s="75" t="e">
        <f t="shared" ca="1" si="170"/>
        <v>#REF!</v>
      </c>
      <c r="BH104" s="70" t="e">
        <f t="shared" ca="1" si="171"/>
        <v>#REF!</v>
      </c>
      <c r="BI104" s="70" t="e">
        <f t="shared" ca="1" si="172"/>
        <v>#REF!</v>
      </c>
      <c r="BJ104" s="70" t="e">
        <f t="shared" ca="1" si="173"/>
        <v>#REF!</v>
      </c>
      <c r="BK104" s="67" t="e">
        <f t="shared" ca="1" si="186"/>
        <v>#REF!</v>
      </c>
      <c r="BL104" s="70" t="e">
        <f ca="1">-IF(INDEX(SC_ZX_CodeA,ZXIDX1)="X", 0, MIN(BK104*MAX(INDEX(SC_ZX_Drawdown,ZXIDX2),0),BJ104))</f>
        <v>#REF!</v>
      </c>
      <c r="BM104" s="70" t="e">
        <f t="shared" ca="1" si="174"/>
        <v>#REF!</v>
      </c>
      <c r="BN104" s="111" t="e">
        <f t="shared" ca="1" si="175"/>
        <v>#REF!</v>
      </c>
      <c r="BO104" s="112" t="e">
        <f t="shared" ca="1" si="176"/>
        <v>#REF!</v>
      </c>
      <c r="BP104" s="112" t="e">
        <f ca="1">-($V104-IF(($P104+$R104+$S104)&gt;0,MAX($V104/($P104+$R104+$S104)*($Q104+$R104),$V104),0))*LT_InvestmentQDI</f>
        <v>#VALUE!</v>
      </c>
      <c r="BQ104" s="112" t="e">
        <f ca="1">-($V104-IF(($P104+$R104+$S104)&gt;0,MAX($V104/($P104+$R104+$S104)*($Q104+$R104),$V104),0))*(1-LT_InvestmentQDI)</f>
        <v>#VALUE!</v>
      </c>
      <c r="BR104" s="112" t="e">
        <f t="shared" ca="1" si="177"/>
        <v>#VALUE!</v>
      </c>
      <c r="BS104" s="112" t="e">
        <f t="shared" ca="1" si="178"/>
        <v>#VALUE!</v>
      </c>
      <c r="BT104" s="634" t="e">
        <f ca="1">SUMPRODUCT($BN104:$BN105+$BO104:$BO105, --($E104:$E105&lt;&gt;0))</f>
        <v>#REF!</v>
      </c>
      <c r="BU104" s="617" t="e">
        <f ca="1">SUMPRODUCT($BR104:$BR105+$BS104:$BS105, --($E104:$E105&lt;&gt;0))</f>
        <v>#VALUE!</v>
      </c>
      <c r="BV104" s="617" t="e">
        <f ca="1">$T104+SUMPRODUCT($AA104:$AA105+$AH104:$AH105+$AO104:$AO105+$AV104:$AV105+$BC104:$BC105+$BJ104:$BJ105, --($E104:$E105&lt;&gt;0))</f>
        <v>#VALUE!</v>
      </c>
      <c r="BW104" s="617" t="e">
        <f ca="1">MAX($P104-$Q104,0)+SUMPRODUCT($X104:$X105+$AL104:$AL105+$AZ104:$AZ105, --($E104:$E105&lt;&gt;0))</f>
        <v>#VALUE!</v>
      </c>
      <c r="BX104" s="618" t="e">
        <f ca="1">MIN($P104,$Q104)+SUMPRODUCT($AE104:$AE105+$AS104:$AS105+$BG104:$BG105, --($E104:$E105&lt;&gt;0))</f>
        <v>#VALUE!</v>
      </c>
    </row>
    <row r="105" spans="2:76" x14ac:dyDescent="0.25">
      <c r="B105" s="86">
        <f t="shared" ca="1" si="179"/>
        <v>2069</v>
      </c>
      <c r="C105" s="80" t="s">
        <v>741</v>
      </c>
      <c r="D105" s="147" t="str">
        <f t="shared" si="200"/>
        <v/>
      </c>
      <c r="E105" s="81">
        <f t="shared" si="138"/>
        <v>0</v>
      </c>
      <c r="F105" s="81">
        <f t="shared" si="143"/>
        <v>2</v>
      </c>
      <c r="G105" s="82">
        <f t="shared" si="139"/>
        <v>-1</v>
      </c>
      <c r="H105" s="82">
        <f t="shared" si="201"/>
        <v>0</v>
      </c>
      <c r="I105" s="81" t="b">
        <f t="shared" si="202"/>
        <v>0</v>
      </c>
      <c r="J105" s="81"/>
      <c r="K105" s="81"/>
      <c r="L105" s="81"/>
      <c r="M105" s="81"/>
      <c r="N105" s="633"/>
      <c r="O105" s="243" t="e">
        <f ca="1">LT_InvestmentStocks*INDEX(SP_EA_ARStocks,EAIDX)+LT_InvestmentBonds*INDEX(SC_EA_ARBonds,EAIDX)</f>
        <v>#REF!</v>
      </c>
      <c r="P105" s="634"/>
      <c r="Q105" s="617"/>
      <c r="R105" s="617"/>
      <c r="S105" s="617"/>
      <c r="T105" s="617"/>
      <c r="U105" s="643"/>
      <c r="V105" s="617"/>
      <c r="W105" s="639"/>
      <c r="X105" s="106" t="e">
        <f t="shared" ca="1" si="145"/>
        <v>#REF!</v>
      </c>
      <c r="Y105" s="107" t="e">
        <f t="shared" ca="1" si="146"/>
        <v>#REF!</v>
      </c>
      <c r="Z105" s="107" t="e">
        <f t="shared" ca="1" si="147"/>
        <v>#REF!</v>
      </c>
      <c r="AA105" s="107" t="e">
        <f t="shared" ca="1" si="148"/>
        <v>#REF!</v>
      </c>
      <c r="AB105" s="91" t="e">
        <f t="shared" ca="1" si="181"/>
        <v>#REF!</v>
      </c>
      <c r="AC105" s="107" t="e">
        <f ca="1">-IF(INDEX(SC_ZX_CodeA,ZXIDX1)="X", 0, MIN(AB105*MAX(INDEX(SC_ZX_Drawdown,ZXIDX2),0),AA105))</f>
        <v>#REF!</v>
      </c>
      <c r="AD105" s="110" t="e">
        <f t="shared" ca="1" si="149"/>
        <v>#REF!</v>
      </c>
      <c r="AE105" s="106" t="e">
        <f t="shared" ca="1" si="150"/>
        <v>#REF!</v>
      </c>
      <c r="AF105" s="107" t="e">
        <f t="shared" ca="1" si="151"/>
        <v>#REF!</v>
      </c>
      <c r="AG105" s="107" t="e">
        <f t="shared" ca="1" si="152"/>
        <v>#REF!</v>
      </c>
      <c r="AH105" s="107" t="e">
        <f t="shared" ca="1" si="153"/>
        <v>#REF!</v>
      </c>
      <c r="AI105" s="91" t="e">
        <f t="shared" ca="1" si="182"/>
        <v>#REF!</v>
      </c>
      <c r="AJ105" s="107" t="e">
        <f ca="1">-IF(INDEX(SC_ZX_CodeA,ZXIDX1)="X", 0, MIN(AI105*MAX(INDEX(SC_ZX_Drawdown,ZXIDX2),0),AH105))</f>
        <v>#REF!</v>
      </c>
      <c r="AK105" s="110" t="e">
        <f t="shared" ca="1" si="154"/>
        <v>#REF!</v>
      </c>
      <c r="AL105" s="106" t="e">
        <f t="shared" ca="1" si="155"/>
        <v>#REF!</v>
      </c>
      <c r="AM105" s="107" t="e">
        <f t="shared" ca="1" si="156"/>
        <v>#REF!</v>
      </c>
      <c r="AN105" s="107" t="e">
        <f t="shared" ca="1" si="157"/>
        <v>#REF!</v>
      </c>
      <c r="AO105" s="107" t="e">
        <f t="shared" ca="1" si="158"/>
        <v>#REF!</v>
      </c>
      <c r="AP105" s="91" t="e">
        <f t="shared" ca="1" si="183"/>
        <v>#REF!</v>
      </c>
      <c r="AQ105" s="107" t="e">
        <f ca="1">-IF(INDEX(SC_ZX_CodeA,ZXIDX1)="X", 0, MIN(AP105*MAX(INDEX(SC_ZX_Drawdown,ZXIDX2),0),AO105))</f>
        <v>#REF!</v>
      </c>
      <c r="AR105" s="110" t="e">
        <f t="shared" ca="1" si="159"/>
        <v>#REF!</v>
      </c>
      <c r="AS105" s="106" t="e">
        <f t="shared" ca="1" si="160"/>
        <v>#REF!</v>
      </c>
      <c r="AT105" s="107" t="e">
        <f t="shared" ca="1" si="161"/>
        <v>#REF!</v>
      </c>
      <c r="AU105" s="107" t="e">
        <f t="shared" ca="1" si="162"/>
        <v>#REF!</v>
      </c>
      <c r="AV105" s="107" t="e">
        <f t="shared" ca="1" si="163"/>
        <v>#REF!</v>
      </c>
      <c r="AW105" s="91" t="e">
        <f t="shared" ca="1" si="184"/>
        <v>#REF!</v>
      </c>
      <c r="AX105" s="107" t="e">
        <f ca="1">-IF(INDEX(SC_ZX_CodeA,ZXIDX1)="X", 0, MIN(AW105*MAX(INDEX(SC_ZX_Drawdown,ZXIDX2),0),AV105))</f>
        <v>#REF!</v>
      </c>
      <c r="AY105" s="110" t="e">
        <f t="shared" ca="1" si="164"/>
        <v>#REF!</v>
      </c>
      <c r="AZ105" s="106" t="e">
        <f t="shared" ca="1" si="165"/>
        <v>#REF!</v>
      </c>
      <c r="BA105" s="107" t="e">
        <f t="shared" ca="1" si="166"/>
        <v>#REF!</v>
      </c>
      <c r="BB105" s="107" t="e">
        <f t="shared" ca="1" si="167"/>
        <v>#REF!</v>
      </c>
      <c r="BC105" s="107" t="e">
        <f t="shared" ca="1" si="168"/>
        <v>#REF!</v>
      </c>
      <c r="BD105" s="91" t="e">
        <f t="shared" ca="1" si="185"/>
        <v>#REF!</v>
      </c>
      <c r="BE105" s="107" t="e">
        <f ca="1">-IF(INDEX(SC_ZX_CodeA,ZXIDX1)="X", 0, MIN(BD105*MAX(INDEX(SC_ZX_Drawdown,ZXIDX2),0),AZ105))</f>
        <v>#REF!</v>
      </c>
      <c r="BF105" s="110" t="e">
        <f t="shared" ca="1" si="169"/>
        <v>#REF!</v>
      </c>
      <c r="BG105" s="106" t="e">
        <f t="shared" ca="1" si="170"/>
        <v>#REF!</v>
      </c>
      <c r="BH105" s="107" t="e">
        <f t="shared" ca="1" si="171"/>
        <v>#REF!</v>
      </c>
      <c r="BI105" s="107" t="e">
        <f t="shared" ca="1" si="172"/>
        <v>#REF!</v>
      </c>
      <c r="BJ105" s="107" t="e">
        <f t="shared" ca="1" si="173"/>
        <v>#REF!</v>
      </c>
      <c r="BK105" s="91" t="e">
        <f t="shared" ca="1" si="186"/>
        <v>#REF!</v>
      </c>
      <c r="BL105" s="107" t="e">
        <f ca="1">-IF(INDEX(SC_ZX_CodeA,ZXIDX1)="X", 0, MIN(BK105*MAX(INDEX(SC_ZX_Drawdown,ZXIDX2),0),BJ105))</f>
        <v>#REF!</v>
      </c>
      <c r="BM105" s="107" t="e">
        <f t="shared" ca="1" si="174"/>
        <v>#REF!</v>
      </c>
      <c r="BN105" s="113" t="e">
        <f t="shared" ca="1" si="175"/>
        <v>#REF!</v>
      </c>
      <c r="BO105" s="114" t="e">
        <f t="shared" ca="1" si="176"/>
        <v>#REF!</v>
      </c>
      <c r="BP105" s="114" t="e">
        <f ca="1">-($V105-IF(($P105+$R105+$S105)&gt;0,MAX($V105/($P105+$R105+$S105)*($Q105+$R105),$V105),0))*LT_InvestmentQDI</f>
        <v>#REF!</v>
      </c>
      <c r="BQ105" s="114" t="e">
        <f ca="1">-($V105-IF(($P105+$R105+$S105)&gt;0,MAX($V105/($P105+$R105+$S105)*($Q105+$R105),$V105),0))*(1-LT_InvestmentQDI)</f>
        <v>#REF!</v>
      </c>
      <c r="BR105" s="114" t="e">
        <f t="shared" ca="1" si="177"/>
        <v>#REF!</v>
      </c>
      <c r="BS105" s="114" t="e">
        <f t="shared" ca="1" si="178"/>
        <v>#REF!</v>
      </c>
      <c r="BT105" s="649"/>
      <c r="BU105" s="637"/>
      <c r="BV105" s="637"/>
      <c r="BW105" s="637"/>
      <c r="BX105" s="639"/>
    </row>
    <row r="106" spans="2:76" x14ac:dyDescent="0.25">
      <c r="B106" s="65">
        <f ca="1">B104+1</f>
        <v>2070</v>
      </c>
      <c r="C106" s="76" t="s">
        <v>741</v>
      </c>
      <c r="D106" s="146" t="str">
        <f t="shared" si="200"/>
        <v/>
      </c>
      <c r="E106" s="77">
        <f t="shared" si="138"/>
        <v>0</v>
      </c>
      <c r="F106" s="77">
        <f t="shared" si="143"/>
        <v>1</v>
      </c>
      <c r="G106" s="76">
        <f t="shared" si="139"/>
        <v>1</v>
      </c>
      <c r="H106" s="76">
        <f t="shared" si="201"/>
        <v>0</v>
      </c>
      <c r="I106" s="77" t="b">
        <f t="shared" si="202"/>
        <v>0</v>
      </c>
      <c r="J106" s="77"/>
      <c r="K106" s="77"/>
      <c r="L106" s="77"/>
      <c r="M106" s="77"/>
      <c r="N106" s="632">
        <f ca="1">YEAR(SP_TargetRD)-$B106</f>
        <v>-47</v>
      </c>
      <c r="O106" s="243" t="e">
        <f ca="1">LT_InvestmentStocks*INDEX(SP_EA_ARStocks,EAIDX)+LT_InvestmentBonds*INDEX(SC_EA_ARBonds,EAIDX)</f>
        <v>#REF!</v>
      </c>
      <c r="P106" s="634" t="e">
        <f ca="1">MAX(P104+R104+S104+V104+W104,0)</f>
        <v>#VALUE!</v>
      </c>
      <c r="Q106" s="617" t="e">
        <f t="shared" ref="Q106" ca="1" si="204">MAX(Q104+R104+IF((P104+R104+S104)&gt;0,MAX(V104/(P104+R104+S104)*(Q104+R104),V104),0),0)</f>
        <v>#VALUE!</v>
      </c>
      <c r="R106" s="617" t="e">
        <f ca="1">IF(SC_ZX_CodeA="X", 0, MAX(INDEX(SC_ZX_IncomeSurplus,ZXIDX2)+INDEX(SC_ZX_Debt,ZXIDX2),0))</f>
        <v>#VALUE!</v>
      </c>
      <c r="S106" s="617" t="e">
        <f ca="1">IF(SC_ZX_CodeA="X", 0, INDEX(SC_EX_RolloverCore,EXIDX))</f>
        <v>#VALUE!</v>
      </c>
      <c r="T106" s="617" t="e">
        <f ca="1">P106+R106+S106</f>
        <v>#VALUE!</v>
      </c>
      <c r="U106" s="642" t="e">
        <f ca="1">IF(SC_ZX_BalanceAccessibleA&gt;0, T106/SC_ZX_BalanceAccessibleA, 0)</f>
        <v>#VALUE!</v>
      </c>
      <c r="V106" s="617" t="e">
        <f ca="1">-IF(SC_ZX_CodeA="X",0,MIN(U106*MAX(INDEX(SC_ZX_Drawdown,ZXIDX2),0),T106))</f>
        <v>#VALUE!</v>
      </c>
      <c r="W106" s="618" t="e">
        <f ca="1">(P106+R106+S106+V106)*$O106</f>
        <v>#VALUE!</v>
      </c>
      <c r="X106" s="75" t="e">
        <f t="shared" ref="X106:X137" ca="1" si="205">MAX(X104+Y104+Z104+AC104+AD104,0)</f>
        <v>#REF!</v>
      </c>
      <c r="Y106" s="70" t="e">
        <f t="shared" ref="Y106:Y137" ca="1" si="206">MAX(INDEX(SC_EX_IncomeEmployer,EXIDX)*INDEX(SP_401KContrib,$F106),0)</f>
        <v>#REF!</v>
      </c>
      <c r="Z106" s="70" t="e">
        <f t="shared" ref="Z106:Z137" ca="1" si="207">MAX(INDEX(SC_EX_IncomeEmployer,EXIDX)*INDEX(SP_401KMatch,$F106),0)</f>
        <v>#REF!</v>
      </c>
      <c r="AA106" s="70" t="e">
        <f t="shared" ref="AA106:AA137" ca="1" si="208">(X106+Y106+Z106)*IF($H106&gt;=INDEX(SP_401KDistribAge,$F106),1,0)</f>
        <v>#REF!</v>
      </c>
      <c r="AB106" s="67" t="e">
        <f t="shared" ca="1" si="181"/>
        <v>#REF!</v>
      </c>
      <c r="AC106" s="70" t="e">
        <f ca="1">-IF(INDEX(SC_ZX_CodeA,ZXIDX1)="X", 0, MIN(AB106*MAX(INDEX(SC_ZX_Drawdown,ZXIDX2),0),AA106))</f>
        <v>#REF!</v>
      </c>
      <c r="AD106" s="109" t="e">
        <f t="shared" ref="AD106:AD137" ca="1" si="209">(X106+Y106+Z106+AC106)*$O106</f>
        <v>#REF!</v>
      </c>
      <c r="AE106" s="75" t="e">
        <f t="shared" ref="AE106:AE137" ca="1" si="210">MAX(AE104+AG104+AJ104+AK104,0)</f>
        <v>#REF!</v>
      </c>
      <c r="AF106" s="70" t="e">
        <f t="shared" ref="AF106:AF137" ca="1" si="211">MAX(AF104+AG104+AJ104,0)</f>
        <v>#REF!</v>
      </c>
      <c r="AG106" s="70" t="e">
        <f t="shared" ref="AG106:AG137" ca="1" si="212">MAX(INDEX(SC_EX_IncomeEmployer, EXIDX)*INDEX(SP_Roth401KContrib,$F106),0)</f>
        <v>#REF!</v>
      </c>
      <c r="AH106" s="70" t="e">
        <f t="shared" ref="AH106:AH137" ca="1" si="213">(AE106+AG106)*IF($H106&gt;=INDEX(SP_401KDistribAge,$F106),1,0)</f>
        <v>#REF!</v>
      </c>
      <c r="AI106" s="67" t="e">
        <f t="shared" ca="1" si="182"/>
        <v>#REF!</v>
      </c>
      <c r="AJ106" s="70" t="e">
        <f ca="1">-IF(INDEX(SC_ZX_CodeA,ZXIDX1)="X", 0, MIN(AI106*MAX(INDEX(SC_ZX_Drawdown,ZXIDX2),0),AH106))</f>
        <v>#REF!</v>
      </c>
      <c r="AK106" s="109" t="e">
        <f t="shared" ref="AK106:AK137" ca="1" si="214">(AE106+AG106+AJ106)*$O106</f>
        <v>#REF!</v>
      </c>
      <c r="AL106" s="75" t="e">
        <f t="shared" ref="AL106:AL137" ca="1" si="215">MAX(AL104+AM104+AN104+AQ104+AR104,0)</f>
        <v>#REF!</v>
      </c>
      <c r="AM106" s="70" t="e">
        <f t="shared" ref="AM106:AM137" ca="1" si="216">MAX(INDEX(SC_EX_IncomeSE,EXIDX)*INDEX(SP_Solo401KContrib,$F106),0)</f>
        <v>#REF!</v>
      </c>
      <c r="AN106" s="70" t="e">
        <f t="shared" ref="AN106:AN137" ca="1" si="217">MAX(INDEX(SC_EX_IncomeSE,EXIDX)*INDEX(SP_Solo401KMatch,$F106),0)</f>
        <v>#REF!</v>
      </c>
      <c r="AO106" s="70" t="e">
        <f t="shared" ref="AO106:AO137" ca="1" si="218">(AL106+AM106+AN106)*IF($H106&gt;=INDEX(SP_Solo401KDistribAge,$F106),1,0)</f>
        <v>#REF!</v>
      </c>
      <c r="AP106" s="67" t="e">
        <f t="shared" ca="1" si="183"/>
        <v>#REF!</v>
      </c>
      <c r="AQ106" s="70" t="e">
        <f ca="1">-IF(INDEX(SC_ZX_CodeA,ZXIDX1)="X", 0, MIN(AP106*MAX(INDEX(SC_ZX_Drawdown,ZXIDX2),0),AO106))</f>
        <v>#REF!</v>
      </c>
      <c r="AR106" s="109" t="e">
        <f t="shared" ref="AR106:AR137" ca="1" si="219">(AL106+AM106+AN106+AQ106)*$O106</f>
        <v>#REF!</v>
      </c>
      <c r="AS106" s="75" t="e">
        <f t="shared" ref="AS106:AS137" ca="1" si="220">MAX(AS104+AU104+AX104+AY104,0)</f>
        <v>#REF!</v>
      </c>
      <c r="AT106" s="70" t="e">
        <f t="shared" ref="AT106:AT137" ca="1" si="221">MAX(AT104+AU104+AX104,0)</f>
        <v>#REF!</v>
      </c>
      <c r="AU106" s="70" t="e">
        <f t="shared" ref="AU106:AU137" ca="1" si="222">MAX(INDEX(SC_EX_IncomeSE, EXIDX)*INDEX(SP_RothSolo401KContrib,$F106),0)</f>
        <v>#REF!</v>
      </c>
      <c r="AV106" s="70" t="e">
        <f t="shared" ref="AV106:AV137" ca="1" si="223">(AS106+AU106)*IF($H106&gt;=INDEX(SP_401KDistribAge,$F106),1,0)</f>
        <v>#REF!</v>
      </c>
      <c r="AW106" s="67" t="e">
        <f t="shared" ca="1" si="184"/>
        <v>#REF!</v>
      </c>
      <c r="AX106" s="70" t="e">
        <f ca="1">-IF(INDEX(SC_ZX_CodeA,ZXIDX1)="X", 0, MIN(AW106*MAX(INDEX(SC_ZX_Drawdown,ZXIDX2),0),AV106))</f>
        <v>#REF!</v>
      </c>
      <c r="AY106" s="109" t="e">
        <f t="shared" ref="AY106:AY137" ca="1" si="224">(AS106+AU106+AX106)*$O106</f>
        <v>#REF!</v>
      </c>
      <c r="AZ106" s="75" t="e">
        <f t="shared" ref="AZ106:AZ137" ca="1" si="225">MAX(AZ104+BA104+BB104+BE104+BF104,0)</f>
        <v>#REF!</v>
      </c>
      <c r="BA106" s="70" t="e">
        <f t="shared" ref="BA106:BA137" ca="1" si="226">MAX(INDEX(SP_IRAContrib,$F106)/INDEX(SC_EA_InflationWageIdx, EAIDX)*ABS(INDEX(SC_EX_APW, EXIDX)),0)</f>
        <v>#REF!</v>
      </c>
      <c r="BB106" s="70" t="e">
        <f t="shared" ref="BB106:BB137" ca="1" si="227">MAX(INDEX(SP_IRASpousalContrib, OFFSET($F106,$G106,0))/INDEX(SC_EA_InflationWageIdx, EAIDX)*ABS(INDEX(SC_EX_APW, EXIDX)),0)</f>
        <v>#REF!</v>
      </c>
      <c r="BC106" s="70" t="e">
        <f t="shared" ref="BC106:BC137" ca="1" si="228">(AZ106+BA106+BB106)*IF($H106&gt;=INDEX(SP_IRADistribAge,$F106),1,0)</f>
        <v>#REF!</v>
      </c>
      <c r="BD106" s="67" t="e">
        <f t="shared" ca="1" si="185"/>
        <v>#REF!</v>
      </c>
      <c r="BE106" s="70" t="e">
        <f ca="1">-IF(INDEX(SC_ZX_CodeA,ZXIDX1)="X", 0, MIN(BD106*MAX(INDEX(SC_ZX_Drawdown,ZXIDX2),0),AZ106))</f>
        <v>#REF!</v>
      </c>
      <c r="BF106" s="109" t="e">
        <f t="shared" ref="BF106:BF137" ca="1" si="229">(AZ106+BA106+BB106+BE106)*$O106</f>
        <v>#REF!</v>
      </c>
      <c r="BG106" s="75" t="e">
        <f t="shared" ref="BG106:BG137" ca="1" si="230">MAX(BG104+BI104+BL104+BM104,0)</f>
        <v>#REF!</v>
      </c>
      <c r="BH106" s="70" t="e">
        <f t="shared" ref="BH106:BH137" ca="1" si="231">MAX(BH104+BI104+BL104,0)</f>
        <v>#REF!</v>
      </c>
      <c r="BI106" s="70" t="e">
        <f t="shared" ref="BI106:BI137" ca="1" si="232">MAX(INDEX(SP_RothIRAContrib,$F106)/INDEX(SC_EA_InflationWageIdx, EAIDX)*ABS(INDEX(SC_EX_APW, EXIDX)),0)</f>
        <v>#REF!</v>
      </c>
      <c r="BJ106" s="70" t="e">
        <f t="shared" ref="BJ106:BJ137" ca="1" si="233">IF($H106&gt;=INDEX(SP_IRADistribAge,$F106),BG106+BI106,MIN(BG106+BI106,BH106+BI106))</f>
        <v>#REF!</v>
      </c>
      <c r="BK106" s="67" t="e">
        <f t="shared" ca="1" si="186"/>
        <v>#REF!</v>
      </c>
      <c r="BL106" s="70" t="e">
        <f ca="1">-IF(INDEX(SC_ZX_CodeA,ZXIDX1)="X", 0, MIN(BK106*MAX(INDEX(SC_ZX_Drawdown,ZXIDX2),0),BJ106))</f>
        <v>#REF!</v>
      </c>
      <c r="BM106" s="70" t="e">
        <f t="shared" ref="BM106:BM137" ca="1" si="234">(BG106+BI106+BL106)*$O106</f>
        <v>#REF!</v>
      </c>
      <c r="BN106" s="111" t="e">
        <f t="shared" ref="BN106:BN137" ca="1" si="235">-(Y106+AM106+BA106)-OFFSET(BB106,$G106,0)</f>
        <v>#REF!</v>
      </c>
      <c r="BO106" s="112" t="e">
        <f t="shared" ref="BO106:BO137" ca="1" si="236">-(AG106+AU106+BI106)</f>
        <v>#REF!</v>
      </c>
      <c r="BP106" s="112" t="e">
        <f ca="1">-($V106-IF(($P106+$R106+$S106)&gt;0,MAX($V106/($P106+$R106+$S106)*($Q106+$R106),$V106),0))*LT_InvestmentQDI</f>
        <v>#VALUE!</v>
      </c>
      <c r="BQ106" s="112" t="e">
        <f ca="1">-($V106-IF(($P106+$R106+$S106)&gt;0,MAX($V106/($P106+$R106+$S106)*($Q106+$R106),$V106),0))*(1-LT_InvestmentQDI)</f>
        <v>#VALUE!</v>
      </c>
      <c r="BR106" s="112" t="e">
        <f t="shared" ref="BR106:BR137" ca="1" si="237">BP106+BQ106-AC106-AQ106-BE106</f>
        <v>#VALUE!</v>
      </c>
      <c r="BS106" s="112" t="e">
        <f t="shared" ref="BS106:BS137" ca="1" si="238">-V106-BP106-BQ106-AJ106-AX106-BL106</f>
        <v>#VALUE!</v>
      </c>
      <c r="BT106" s="634" t="e">
        <f ca="1">SUMPRODUCT($BN106:$BN107+$BO106:$BO107, --($E106:$E107&lt;&gt;0))</f>
        <v>#REF!</v>
      </c>
      <c r="BU106" s="617" t="e">
        <f ca="1">SUMPRODUCT($BR106:$BR107+$BS106:$BS107, --($E106:$E107&lt;&gt;0))</f>
        <v>#VALUE!</v>
      </c>
      <c r="BV106" s="617" t="e">
        <f ca="1">$T106+SUMPRODUCT($AA106:$AA107+$AH106:$AH107+$AO106:$AO107+$AV106:$AV107+$BC106:$BC107+$BJ106:$BJ107, --($E106:$E107&lt;&gt;0))</f>
        <v>#VALUE!</v>
      </c>
      <c r="BW106" s="617" t="e">
        <f ca="1">MAX($P106-$Q106,0)+SUMPRODUCT($X106:$X107+$AL106:$AL107+$AZ106:$AZ107, --($E106:$E107&lt;&gt;0))</f>
        <v>#VALUE!</v>
      </c>
      <c r="BX106" s="618" t="e">
        <f ca="1">MIN($P106,$Q106)+SUMPRODUCT($AE106:$AE107+$AS106:$AS107+$BG106:$BG107, --($E106:$E107&lt;&gt;0))</f>
        <v>#VALUE!</v>
      </c>
    </row>
    <row r="107" spans="2:76" x14ac:dyDescent="0.25">
      <c r="B107" s="86">
        <f t="shared" ca="1" si="179"/>
        <v>2070</v>
      </c>
      <c r="C107" s="80" t="s">
        <v>741</v>
      </c>
      <c r="D107" s="147" t="str">
        <f t="shared" si="200"/>
        <v/>
      </c>
      <c r="E107" s="81">
        <f t="shared" si="138"/>
        <v>0</v>
      </c>
      <c r="F107" s="81">
        <f t="shared" si="143"/>
        <v>2</v>
      </c>
      <c r="G107" s="82">
        <f t="shared" si="139"/>
        <v>-1</v>
      </c>
      <c r="H107" s="82">
        <f t="shared" si="201"/>
        <v>0</v>
      </c>
      <c r="I107" s="81" t="b">
        <f t="shared" si="202"/>
        <v>0</v>
      </c>
      <c r="J107" s="81"/>
      <c r="K107" s="81"/>
      <c r="L107" s="81"/>
      <c r="M107" s="81"/>
      <c r="N107" s="633"/>
      <c r="O107" s="243" t="e">
        <f ca="1">LT_InvestmentStocks*INDEX(SP_EA_ARStocks,EAIDX)+LT_InvestmentBonds*INDEX(SC_EA_ARBonds,EAIDX)</f>
        <v>#REF!</v>
      </c>
      <c r="P107" s="634"/>
      <c r="Q107" s="617"/>
      <c r="R107" s="617"/>
      <c r="S107" s="617"/>
      <c r="T107" s="617"/>
      <c r="U107" s="643"/>
      <c r="V107" s="617"/>
      <c r="W107" s="639"/>
      <c r="X107" s="106" t="e">
        <f t="shared" ca="1" si="205"/>
        <v>#REF!</v>
      </c>
      <c r="Y107" s="107" t="e">
        <f t="shared" ca="1" si="206"/>
        <v>#REF!</v>
      </c>
      <c r="Z107" s="107" t="e">
        <f t="shared" ca="1" si="207"/>
        <v>#REF!</v>
      </c>
      <c r="AA107" s="107" t="e">
        <f t="shared" ca="1" si="208"/>
        <v>#REF!</v>
      </c>
      <c r="AB107" s="91" t="e">
        <f t="shared" ca="1" si="181"/>
        <v>#REF!</v>
      </c>
      <c r="AC107" s="107" t="e">
        <f ca="1">-IF(INDEX(SC_ZX_CodeA,ZXIDX1)="X", 0, MIN(AB107*MAX(INDEX(SC_ZX_Drawdown,ZXIDX2),0),AA107))</f>
        <v>#REF!</v>
      </c>
      <c r="AD107" s="110" t="e">
        <f t="shared" ca="1" si="209"/>
        <v>#REF!</v>
      </c>
      <c r="AE107" s="106" t="e">
        <f t="shared" ca="1" si="210"/>
        <v>#REF!</v>
      </c>
      <c r="AF107" s="107" t="e">
        <f t="shared" ca="1" si="211"/>
        <v>#REF!</v>
      </c>
      <c r="AG107" s="107" t="e">
        <f t="shared" ca="1" si="212"/>
        <v>#REF!</v>
      </c>
      <c r="AH107" s="107" t="e">
        <f t="shared" ca="1" si="213"/>
        <v>#REF!</v>
      </c>
      <c r="AI107" s="91" t="e">
        <f t="shared" ca="1" si="182"/>
        <v>#REF!</v>
      </c>
      <c r="AJ107" s="107" t="e">
        <f ca="1">-IF(INDEX(SC_ZX_CodeA,ZXIDX1)="X", 0, MIN(AI107*MAX(INDEX(SC_ZX_Drawdown,ZXIDX2),0),AH107))</f>
        <v>#REF!</v>
      </c>
      <c r="AK107" s="110" t="e">
        <f t="shared" ca="1" si="214"/>
        <v>#REF!</v>
      </c>
      <c r="AL107" s="106" t="e">
        <f t="shared" ca="1" si="215"/>
        <v>#REF!</v>
      </c>
      <c r="AM107" s="107" t="e">
        <f t="shared" ca="1" si="216"/>
        <v>#REF!</v>
      </c>
      <c r="AN107" s="107" t="e">
        <f t="shared" ca="1" si="217"/>
        <v>#REF!</v>
      </c>
      <c r="AO107" s="107" t="e">
        <f t="shared" ca="1" si="218"/>
        <v>#REF!</v>
      </c>
      <c r="AP107" s="91" t="e">
        <f t="shared" ca="1" si="183"/>
        <v>#REF!</v>
      </c>
      <c r="AQ107" s="107" t="e">
        <f ca="1">-IF(INDEX(SC_ZX_CodeA,ZXIDX1)="X", 0, MIN(AP107*MAX(INDEX(SC_ZX_Drawdown,ZXIDX2),0),AO107))</f>
        <v>#REF!</v>
      </c>
      <c r="AR107" s="110" t="e">
        <f t="shared" ca="1" si="219"/>
        <v>#REF!</v>
      </c>
      <c r="AS107" s="106" t="e">
        <f t="shared" ca="1" si="220"/>
        <v>#REF!</v>
      </c>
      <c r="AT107" s="107" t="e">
        <f t="shared" ca="1" si="221"/>
        <v>#REF!</v>
      </c>
      <c r="AU107" s="107" t="e">
        <f t="shared" ca="1" si="222"/>
        <v>#REF!</v>
      </c>
      <c r="AV107" s="107" t="e">
        <f t="shared" ca="1" si="223"/>
        <v>#REF!</v>
      </c>
      <c r="AW107" s="91" t="e">
        <f t="shared" ca="1" si="184"/>
        <v>#REF!</v>
      </c>
      <c r="AX107" s="107" t="e">
        <f ca="1">-IF(INDEX(SC_ZX_CodeA,ZXIDX1)="X", 0, MIN(AW107*MAX(INDEX(SC_ZX_Drawdown,ZXIDX2),0),AV107))</f>
        <v>#REF!</v>
      </c>
      <c r="AY107" s="110" t="e">
        <f t="shared" ca="1" si="224"/>
        <v>#REF!</v>
      </c>
      <c r="AZ107" s="106" t="e">
        <f t="shared" ca="1" si="225"/>
        <v>#REF!</v>
      </c>
      <c r="BA107" s="107" t="e">
        <f t="shared" ca="1" si="226"/>
        <v>#REF!</v>
      </c>
      <c r="BB107" s="107" t="e">
        <f t="shared" ca="1" si="227"/>
        <v>#REF!</v>
      </c>
      <c r="BC107" s="107" t="e">
        <f t="shared" ca="1" si="228"/>
        <v>#REF!</v>
      </c>
      <c r="BD107" s="91" t="e">
        <f t="shared" ca="1" si="185"/>
        <v>#REF!</v>
      </c>
      <c r="BE107" s="107" t="e">
        <f ca="1">-IF(INDEX(SC_ZX_CodeA,ZXIDX1)="X", 0, MIN(BD107*MAX(INDEX(SC_ZX_Drawdown,ZXIDX2),0),AZ107))</f>
        <v>#REF!</v>
      </c>
      <c r="BF107" s="110" t="e">
        <f t="shared" ca="1" si="229"/>
        <v>#REF!</v>
      </c>
      <c r="BG107" s="106" t="e">
        <f t="shared" ca="1" si="230"/>
        <v>#REF!</v>
      </c>
      <c r="BH107" s="107" t="e">
        <f t="shared" ca="1" si="231"/>
        <v>#REF!</v>
      </c>
      <c r="BI107" s="107" t="e">
        <f t="shared" ca="1" si="232"/>
        <v>#REF!</v>
      </c>
      <c r="BJ107" s="107" t="e">
        <f t="shared" ca="1" si="233"/>
        <v>#REF!</v>
      </c>
      <c r="BK107" s="91" t="e">
        <f t="shared" ca="1" si="186"/>
        <v>#REF!</v>
      </c>
      <c r="BL107" s="107" t="e">
        <f ca="1">-IF(INDEX(SC_ZX_CodeA,ZXIDX1)="X", 0, MIN(BK107*MAX(INDEX(SC_ZX_Drawdown,ZXIDX2),0),BJ107))</f>
        <v>#REF!</v>
      </c>
      <c r="BM107" s="107" t="e">
        <f t="shared" ca="1" si="234"/>
        <v>#REF!</v>
      </c>
      <c r="BN107" s="113" t="e">
        <f t="shared" ca="1" si="235"/>
        <v>#REF!</v>
      </c>
      <c r="BO107" s="114" t="e">
        <f t="shared" ca="1" si="236"/>
        <v>#REF!</v>
      </c>
      <c r="BP107" s="114" t="e">
        <f ca="1">-($V107-IF(($P107+$R107+$S107)&gt;0,MAX($V107/($P107+$R107+$S107)*($Q107+$R107),$V107),0))*LT_InvestmentQDI</f>
        <v>#REF!</v>
      </c>
      <c r="BQ107" s="114" t="e">
        <f ca="1">-($V107-IF(($P107+$R107+$S107)&gt;0,MAX($V107/($P107+$R107+$S107)*($Q107+$R107),$V107),0))*(1-LT_InvestmentQDI)</f>
        <v>#REF!</v>
      </c>
      <c r="BR107" s="114" t="e">
        <f t="shared" ca="1" si="237"/>
        <v>#REF!</v>
      </c>
      <c r="BS107" s="114" t="e">
        <f t="shared" ca="1" si="238"/>
        <v>#REF!</v>
      </c>
      <c r="BT107" s="649"/>
      <c r="BU107" s="637"/>
      <c r="BV107" s="637"/>
      <c r="BW107" s="637"/>
      <c r="BX107" s="639"/>
    </row>
    <row r="108" spans="2:76" x14ac:dyDescent="0.25">
      <c r="B108" s="65">
        <f ca="1">B106+1</f>
        <v>2071</v>
      </c>
      <c r="C108" s="76" t="s">
        <v>741</v>
      </c>
      <c r="D108" s="146" t="str">
        <f t="shared" si="200"/>
        <v/>
      </c>
      <c r="E108" s="77">
        <f t="shared" si="138"/>
        <v>0</v>
      </c>
      <c r="F108" s="77">
        <f t="shared" si="143"/>
        <v>1</v>
      </c>
      <c r="G108" s="76">
        <f t="shared" si="139"/>
        <v>1</v>
      </c>
      <c r="H108" s="76">
        <f t="shared" si="201"/>
        <v>0</v>
      </c>
      <c r="I108" s="77" t="b">
        <f t="shared" si="202"/>
        <v>0</v>
      </c>
      <c r="J108" s="77"/>
      <c r="K108" s="77"/>
      <c r="L108" s="77"/>
      <c r="M108" s="77"/>
      <c r="N108" s="632">
        <f ca="1">YEAR(SP_TargetRD)-$B108</f>
        <v>-48</v>
      </c>
      <c r="O108" s="243" t="e">
        <f ca="1">LT_InvestmentStocks*INDEX(SP_EA_ARStocks,EAIDX)+LT_InvestmentBonds*INDEX(SC_EA_ARBonds,EAIDX)</f>
        <v>#REF!</v>
      </c>
      <c r="P108" s="634" t="e">
        <f ca="1">MAX(P106+R106+S106+V106+W106,0)</f>
        <v>#VALUE!</v>
      </c>
      <c r="Q108" s="617" t="e">
        <f t="shared" ref="Q108" ca="1" si="239">MAX(Q106+R106+IF((P106+R106+S106)&gt;0,MAX(V106/(P106+R106+S106)*(Q106+R106),V106),0),0)</f>
        <v>#VALUE!</v>
      </c>
      <c r="R108" s="617" t="e">
        <f ca="1">IF(SC_ZX_CodeA="X", 0, MAX(INDEX(SC_ZX_IncomeSurplus,ZXIDX2)+INDEX(SC_ZX_Debt,ZXIDX2),0))</f>
        <v>#VALUE!</v>
      </c>
      <c r="S108" s="617" t="e">
        <f ca="1">IF(SC_ZX_CodeA="X", 0, INDEX(SC_EX_RolloverCore,EXIDX))</f>
        <v>#VALUE!</v>
      </c>
      <c r="T108" s="617" t="e">
        <f ca="1">P108+R108+S108</f>
        <v>#VALUE!</v>
      </c>
      <c r="U108" s="642" t="e">
        <f ca="1">IF(SC_ZX_BalanceAccessibleA&gt;0, T108/SC_ZX_BalanceAccessibleA, 0)</f>
        <v>#VALUE!</v>
      </c>
      <c r="V108" s="617" t="e">
        <f ca="1">-IF(SC_ZX_CodeA="X",0,MIN(U108*MAX(INDEX(SC_ZX_Drawdown,ZXIDX2),0),T108))</f>
        <v>#VALUE!</v>
      </c>
      <c r="W108" s="618" t="e">
        <f ca="1">(P108+R108+S108+V108)*$O108</f>
        <v>#VALUE!</v>
      </c>
      <c r="X108" s="75" t="e">
        <f t="shared" ca="1" si="205"/>
        <v>#REF!</v>
      </c>
      <c r="Y108" s="70" t="e">
        <f t="shared" ca="1" si="206"/>
        <v>#REF!</v>
      </c>
      <c r="Z108" s="70" t="e">
        <f t="shared" ca="1" si="207"/>
        <v>#REF!</v>
      </c>
      <c r="AA108" s="70" t="e">
        <f t="shared" ca="1" si="208"/>
        <v>#REF!</v>
      </c>
      <c r="AB108" s="67" t="e">
        <f t="shared" ca="1" si="181"/>
        <v>#REF!</v>
      </c>
      <c r="AC108" s="70" t="e">
        <f ca="1">-IF(INDEX(SC_ZX_CodeA,ZXIDX1)="X", 0, MIN(AB108*MAX(INDEX(SC_ZX_Drawdown,ZXIDX2),0),AA108))</f>
        <v>#REF!</v>
      </c>
      <c r="AD108" s="109" t="e">
        <f t="shared" ca="1" si="209"/>
        <v>#REF!</v>
      </c>
      <c r="AE108" s="75" t="e">
        <f t="shared" ca="1" si="210"/>
        <v>#REF!</v>
      </c>
      <c r="AF108" s="70" t="e">
        <f t="shared" ca="1" si="211"/>
        <v>#REF!</v>
      </c>
      <c r="AG108" s="70" t="e">
        <f t="shared" ca="1" si="212"/>
        <v>#REF!</v>
      </c>
      <c r="AH108" s="70" t="e">
        <f t="shared" ca="1" si="213"/>
        <v>#REF!</v>
      </c>
      <c r="AI108" s="67" t="e">
        <f t="shared" ca="1" si="182"/>
        <v>#REF!</v>
      </c>
      <c r="AJ108" s="70" t="e">
        <f ca="1">-IF(INDEX(SC_ZX_CodeA,ZXIDX1)="X", 0, MIN(AI108*MAX(INDEX(SC_ZX_Drawdown,ZXIDX2),0),AH108))</f>
        <v>#REF!</v>
      </c>
      <c r="AK108" s="109" t="e">
        <f t="shared" ca="1" si="214"/>
        <v>#REF!</v>
      </c>
      <c r="AL108" s="75" t="e">
        <f t="shared" ca="1" si="215"/>
        <v>#REF!</v>
      </c>
      <c r="AM108" s="70" t="e">
        <f t="shared" ca="1" si="216"/>
        <v>#REF!</v>
      </c>
      <c r="AN108" s="70" t="e">
        <f t="shared" ca="1" si="217"/>
        <v>#REF!</v>
      </c>
      <c r="AO108" s="70" t="e">
        <f t="shared" ca="1" si="218"/>
        <v>#REF!</v>
      </c>
      <c r="AP108" s="67" t="e">
        <f t="shared" ca="1" si="183"/>
        <v>#REF!</v>
      </c>
      <c r="AQ108" s="70" t="e">
        <f ca="1">-IF(INDEX(SC_ZX_CodeA,ZXIDX1)="X", 0, MIN(AP108*MAX(INDEX(SC_ZX_Drawdown,ZXIDX2),0),AO108))</f>
        <v>#REF!</v>
      </c>
      <c r="AR108" s="109" t="e">
        <f t="shared" ca="1" si="219"/>
        <v>#REF!</v>
      </c>
      <c r="AS108" s="75" t="e">
        <f t="shared" ca="1" si="220"/>
        <v>#REF!</v>
      </c>
      <c r="AT108" s="70" t="e">
        <f t="shared" ca="1" si="221"/>
        <v>#REF!</v>
      </c>
      <c r="AU108" s="70" t="e">
        <f t="shared" ca="1" si="222"/>
        <v>#REF!</v>
      </c>
      <c r="AV108" s="70" t="e">
        <f t="shared" ca="1" si="223"/>
        <v>#REF!</v>
      </c>
      <c r="AW108" s="67" t="e">
        <f t="shared" ca="1" si="184"/>
        <v>#REF!</v>
      </c>
      <c r="AX108" s="70" t="e">
        <f ca="1">-IF(INDEX(SC_ZX_CodeA,ZXIDX1)="X", 0, MIN(AW108*MAX(INDEX(SC_ZX_Drawdown,ZXIDX2),0),AV108))</f>
        <v>#REF!</v>
      </c>
      <c r="AY108" s="109" t="e">
        <f t="shared" ca="1" si="224"/>
        <v>#REF!</v>
      </c>
      <c r="AZ108" s="75" t="e">
        <f t="shared" ca="1" si="225"/>
        <v>#REF!</v>
      </c>
      <c r="BA108" s="70" t="e">
        <f t="shared" ca="1" si="226"/>
        <v>#REF!</v>
      </c>
      <c r="BB108" s="70" t="e">
        <f t="shared" ca="1" si="227"/>
        <v>#REF!</v>
      </c>
      <c r="BC108" s="70" t="e">
        <f t="shared" ca="1" si="228"/>
        <v>#REF!</v>
      </c>
      <c r="BD108" s="67" t="e">
        <f t="shared" ca="1" si="185"/>
        <v>#REF!</v>
      </c>
      <c r="BE108" s="70" t="e">
        <f ca="1">-IF(INDEX(SC_ZX_CodeA,ZXIDX1)="X", 0, MIN(BD108*MAX(INDEX(SC_ZX_Drawdown,ZXIDX2),0),AZ108))</f>
        <v>#REF!</v>
      </c>
      <c r="BF108" s="109" t="e">
        <f t="shared" ca="1" si="229"/>
        <v>#REF!</v>
      </c>
      <c r="BG108" s="75" t="e">
        <f t="shared" ca="1" si="230"/>
        <v>#REF!</v>
      </c>
      <c r="BH108" s="70" t="e">
        <f t="shared" ca="1" si="231"/>
        <v>#REF!</v>
      </c>
      <c r="BI108" s="70" t="e">
        <f t="shared" ca="1" si="232"/>
        <v>#REF!</v>
      </c>
      <c r="BJ108" s="70" t="e">
        <f t="shared" ca="1" si="233"/>
        <v>#REF!</v>
      </c>
      <c r="BK108" s="67" t="e">
        <f t="shared" ca="1" si="186"/>
        <v>#REF!</v>
      </c>
      <c r="BL108" s="70" t="e">
        <f ca="1">-IF(INDEX(SC_ZX_CodeA,ZXIDX1)="X", 0, MIN(BK108*MAX(INDEX(SC_ZX_Drawdown,ZXIDX2),0),BJ108))</f>
        <v>#REF!</v>
      </c>
      <c r="BM108" s="70" t="e">
        <f t="shared" ca="1" si="234"/>
        <v>#REF!</v>
      </c>
      <c r="BN108" s="111" t="e">
        <f t="shared" ca="1" si="235"/>
        <v>#REF!</v>
      </c>
      <c r="BO108" s="112" t="e">
        <f t="shared" ca="1" si="236"/>
        <v>#REF!</v>
      </c>
      <c r="BP108" s="112" t="e">
        <f ca="1">-($V108-IF(($P108+$R108+$S108)&gt;0,MAX($V108/($P108+$R108+$S108)*($Q108+$R108),$V108),0))*LT_InvestmentQDI</f>
        <v>#VALUE!</v>
      </c>
      <c r="BQ108" s="112" t="e">
        <f ca="1">-($V108-IF(($P108+$R108+$S108)&gt;0,MAX($V108/($P108+$R108+$S108)*($Q108+$R108),$V108),0))*(1-LT_InvestmentQDI)</f>
        <v>#VALUE!</v>
      </c>
      <c r="BR108" s="112" t="e">
        <f t="shared" ca="1" si="237"/>
        <v>#VALUE!</v>
      </c>
      <c r="BS108" s="112" t="e">
        <f t="shared" ca="1" si="238"/>
        <v>#VALUE!</v>
      </c>
      <c r="BT108" s="634" t="e">
        <f ca="1">SUMPRODUCT($BN108:$BN109+$BO108:$BO109, --($E108:$E109&lt;&gt;0))</f>
        <v>#REF!</v>
      </c>
      <c r="BU108" s="617" t="e">
        <f ca="1">SUMPRODUCT($BR108:$BR109+$BS108:$BS109, --($E108:$E109&lt;&gt;0))</f>
        <v>#VALUE!</v>
      </c>
      <c r="BV108" s="617" t="e">
        <f ca="1">$T108+SUMPRODUCT($AA108:$AA109+$AH108:$AH109+$AO108:$AO109+$AV108:$AV109+$BC108:$BC109+$BJ108:$BJ109, --($E108:$E109&lt;&gt;0))</f>
        <v>#VALUE!</v>
      </c>
      <c r="BW108" s="617" t="e">
        <f ca="1">MAX($P108-$Q108,0)+SUMPRODUCT($X108:$X109+$AL108:$AL109+$AZ108:$AZ109, --($E108:$E109&lt;&gt;0))</f>
        <v>#VALUE!</v>
      </c>
      <c r="BX108" s="618" t="e">
        <f ca="1">MIN($P108,$Q108)+SUMPRODUCT($AE108:$AE109+$AS108:$AS109+$BG108:$BG109, --($E108:$E109&lt;&gt;0))</f>
        <v>#VALUE!</v>
      </c>
    </row>
    <row r="109" spans="2:76" x14ac:dyDescent="0.25">
      <c r="B109" s="86">
        <f t="shared" ca="1" si="179"/>
        <v>2071</v>
      </c>
      <c r="C109" s="80" t="s">
        <v>741</v>
      </c>
      <c r="D109" s="147" t="str">
        <f t="shared" si="200"/>
        <v/>
      </c>
      <c r="E109" s="81">
        <f t="shared" si="138"/>
        <v>0</v>
      </c>
      <c r="F109" s="81">
        <f t="shared" si="143"/>
        <v>2</v>
      </c>
      <c r="G109" s="82">
        <f t="shared" si="139"/>
        <v>-1</v>
      </c>
      <c r="H109" s="82">
        <f t="shared" si="201"/>
        <v>0</v>
      </c>
      <c r="I109" s="81" t="b">
        <f t="shared" si="202"/>
        <v>0</v>
      </c>
      <c r="J109" s="81"/>
      <c r="K109" s="81"/>
      <c r="L109" s="81"/>
      <c r="M109" s="81"/>
      <c r="N109" s="633"/>
      <c r="O109" s="243" t="e">
        <f ca="1">LT_InvestmentStocks*INDEX(SP_EA_ARStocks,EAIDX)+LT_InvestmentBonds*INDEX(SC_EA_ARBonds,EAIDX)</f>
        <v>#REF!</v>
      </c>
      <c r="P109" s="634"/>
      <c r="Q109" s="617"/>
      <c r="R109" s="617"/>
      <c r="S109" s="617"/>
      <c r="T109" s="617"/>
      <c r="U109" s="643"/>
      <c r="V109" s="617"/>
      <c r="W109" s="639"/>
      <c r="X109" s="106" t="e">
        <f t="shared" ca="1" si="205"/>
        <v>#REF!</v>
      </c>
      <c r="Y109" s="107" t="e">
        <f t="shared" ca="1" si="206"/>
        <v>#REF!</v>
      </c>
      <c r="Z109" s="107" t="e">
        <f t="shared" ca="1" si="207"/>
        <v>#REF!</v>
      </c>
      <c r="AA109" s="107" t="e">
        <f t="shared" ca="1" si="208"/>
        <v>#REF!</v>
      </c>
      <c r="AB109" s="91" t="e">
        <f t="shared" ca="1" si="181"/>
        <v>#REF!</v>
      </c>
      <c r="AC109" s="107" t="e">
        <f ca="1">-IF(INDEX(SC_ZX_CodeA,ZXIDX1)="X", 0, MIN(AB109*MAX(INDEX(SC_ZX_Drawdown,ZXIDX2),0),AA109))</f>
        <v>#REF!</v>
      </c>
      <c r="AD109" s="110" t="e">
        <f t="shared" ca="1" si="209"/>
        <v>#REF!</v>
      </c>
      <c r="AE109" s="106" t="e">
        <f t="shared" ca="1" si="210"/>
        <v>#REF!</v>
      </c>
      <c r="AF109" s="107" t="e">
        <f t="shared" ca="1" si="211"/>
        <v>#REF!</v>
      </c>
      <c r="AG109" s="107" t="e">
        <f t="shared" ca="1" si="212"/>
        <v>#REF!</v>
      </c>
      <c r="AH109" s="107" t="e">
        <f t="shared" ca="1" si="213"/>
        <v>#REF!</v>
      </c>
      <c r="AI109" s="91" t="e">
        <f t="shared" ca="1" si="182"/>
        <v>#REF!</v>
      </c>
      <c r="AJ109" s="107" t="e">
        <f ca="1">-IF(INDEX(SC_ZX_CodeA,ZXIDX1)="X", 0, MIN(AI109*MAX(INDEX(SC_ZX_Drawdown,ZXIDX2),0),AH109))</f>
        <v>#REF!</v>
      </c>
      <c r="AK109" s="110" t="e">
        <f t="shared" ca="1" si="214"/>
        <v>#REF!</v>
      </c>
      <c r="AL109" s="106" t="e">
        <f t="shared" ca="1" si="215"/>
        <v>#REF!</v>
      </c>
      <c r="AM109" s="107" t="e">
        <f t="shared" ca="1" si="216"/>
        <v>#REF!</v>
      </c>
      <c r="AN109" s="107" t="e">
        <f t="shared" ca="1" si="217"/>
        <v>#REF!</v>
      </c>
      <c r="AO109" s="107" t="e">
        <f t="shared" ca="1" si="218"/>
        <v>#REF!</v>
      </c>
      <c r="AP109" s="91" t="e">
        <f t="shared" ca="1" si="183"/>
        <v>#REF!</v>
      </c>
      <c r="AQ109" s="107" t="e">
        <f ca="1">-IF(INDEX(SC_ZX_CodeA,ZXIDX1)="X", 0, MIN(AP109*MAX(INDEX(SC_ZX_Drawdown,ZXIDX2),0),AO109))</f>
        <v>#REF!</v>
      </c>
      <c r="AR109" s="110" t="e">
        <f t="shared" ca="1" si="219"/>
        <v>#REF!</v>
      </c>
      <c r="AS109" s="106" t="e">
        <f t="shared" ca="1" si="220"/>
        <v>#REF!</v>
      </c>
      <c r="AT109" s="107" t="e">
        <f t="shared" ca="1" si="221"/>
        <v>#REF!</v>
      </c>
      <c r="AU109" s="107" t="e">
        <f t="shared" ca="1" si="222"/>
        <v>#REF!</v>
      </c>
      <c r="AV109" s="107" t="e">
        <f t="shared" ca="1" si="223"/>
        <v>#REF!</v>
      </c>
      <c r="AW109" s="91" t="e">
        <f t="shared" ca="1" si="184"/>
        <v>#REF!</v>
      </c>
      <c r="AX109" s="107" t="e">
        <f ca="1">-IF(INDEX(SC_ZX_CodeA,ZXIDX1)="X", 0, MIN(AW109*MAX(INDEX(SC_ZX_Drawdown,ZXIDX2),0),AV109))</f>
        <v>#REF!</v>
      </c>
      <c r="AY109" s="110" t="e">
        <f t="shared" ca="1" si="224"/>
        <v>#REF!</v>
      </c>
      <c r="AZ109" s="106" t="e">
        <f t="shared" ca="1" si="225"/>
        <v>#REF!</v>
      </c>
      <c r="BA109" s="107" t="e">
        <f t="shared" ca="1" si="226"/>
        <v>#REF!</v>
      </c>
      <c r="BB109" s="107" t="e">
        <f t="shared" ca="1" si="227"/>
        <v>#REF!</v>
      </c>
      <c r="BC109" s="107" t="e">
        <f t="shared" ca="1" si="228"/>
        <v>#REF!</v>
      </c>
      <c r="BD109" s="91" t="e">
        <f t="shared" ca="1" si="185"/>
        <v>#REF!</v>
      </c>
      <c r="BE109" s="107" t="e">
        <f ca="1">-IF(INDEX(SC_ZX_CodeA,ZXIDX1)="X", 0, MIN(BD109*MAX(INDEX(SC_ZX_Drawdown,ZXIDX2),0),AZ109))</f>
        <v>#REF!</v>
      </c>
      <c r="BF109" s="110" t="e">
        <f t="shared" ca="1" si="229"/>
        <v>#REF!</v>
      </c>
      <c r="BG109" s="106" t="e">
        <f t="shared" ca="1" si="230"/>
        <v>#REF!</v>
      </c>
      <c r="BH109" s="107" t="e">
        <f t="shared" ca="1" si="231"/>
        <v>#REF!</v>
      </c>
      <c r="BI109" s="107" t="e">
        <f t="shared" ca="1" si="232"/>
        <v>#REF!</v>
      </c>
      <c r="BJ109" s="107" t="e">
        <f t="shared" ca="1" si="233"/>
        <v>#REF!</v>
      </c>
      <c r="BK109" s="91" t="e">
        <f t="shared" ca="1" si="186"/>
        <v>#REF!</v>
      </c>
      <c r="BL109" s="107" t="e">
        <f ca="1">-IF(INDEX(SC_ZX_CodeA,ZXIDX1)="X", 0, MIN(BK109*MAX(INDEX(SC_ZX_Drawdown,ZXIDX2),0),BJ109))</f>
        <v>#REF!</v>
      </c>
      <c r="BM109" s="107" t="e">
        <f t="shared" ca="1" si="234"/>
        <v>#REF!</v>
      </c>
      <c r="BN109" s="113" t="e">
        <f t="shared" ca="1" si="235"/>
        <v>#REF!</v>
      </c>
      <c r="BO109" s="114" t="e">
        <f t="shared" ca="1" si="236"/>
        <v>#REF!</v>
      </c>
      <c r="BP109" s="114" t="e">
        <f ca="1">-($V109-IF(($P109+$R109+$S109)&gt;0,MAX($V109/($P109+$R109+$S109)*($Q109+$R109),$V109),0))*LT_InvestmentQDI</f>
        <v>#REF!</v>
      </c>
      <c r="BQ109" s="114" t="e">
        <f ca="1">-($V109-IF(($P109+$R109+$S109)&gt;0,MAX($V109/($P109+$R109+$S109)*($Q109+$R109),$V109),0))*(1-LT_InvestmentQDI)</f>
        <v>#REF!</v>
      </c>
      <c r="BR109" s="114" t="e">
        <f t="shared" ca="1" si="237"/>
        <v>#REF!</v>
      </c>
      <c r="BS109" s="114" t="e">
        <f t="shared" ca="1" si="238"/>
        <v>#REF!</v>
      </c>
      <c r="BT109" s="649"/>
      <c r="BU109" s="637"/>
      <c r="BV109" s="637"/>
      <c r="BW109" s="637"/>
      <c r="BX109" s="639"/>
    </row>
    <row r="110" spans="2:76" x14ac:dyDescent="0.25">
      <c r="B110" s="65">
        <f ca="1">B108+1</f>
        <v>2072</v>
      </c>
      <c r="C110" s="76" t="s">
        <v>741</v>
      </c>
      <c r="D110" s="146" t="str">
        <f t="shared" si="200"/>
        <v/>
      </c>
      <c r="E110" s="77">
        <f t="shared" si="138"/>
        <v>0</v>
      </c>
      <c r="F110" s="77">
        <f t="shared" si="143"/>
        <v>1</v>
      </c>
      <c r="G110" s="76">
        <f t="shared" si="139"/>
        <v>1</v>
      </c>
      <c r="H110" s="76">
        <f t="shared" si="201"/>
        <v>0</v>
      </c>
      <c r="I110" s="77" t="b">
        <f t="shared" si="202"/>
        <v>0</v>
      </c>
      <c r="J110" s="77"/>
      <c r="K110" s="77"/>
      <c r="L110" s="77"/>
      <c r="M110" s="77"/>
      <c r="N110" s="632">
        <f ca="1">YEAR(SP_TargetRD)-$B110</f>
        <v>-49</v>
      </c>
      <c r="O110" s="243" t="e">
        <f ca="1">LT_InvestmentStocks*INDEX(SP_EA_ARStocks,EAIDX)+LT_InvestmentBonds*INDEX(SC_EA_ARBonds,EAIDX)</f>
        <v>#REF!</v>
      </c>
      <c r="P110" s="634" t="e">
        <f ca="1">MAX(P108+R108+S108+V108+W108,0)</f>
        <v>#VALUE!</v>
      </c>
      <c r="Q110" s="617" t="e">
        <f t="shared" ref="Q110" ca="1" si="240">MAX(Q108+R108+IF((P108+R108+S108)&gt;0,MAX(V108/(P108+R108+S108)*(Q108+R108),V108),0),0)</f>
        <v>#VALUE!</v>
      </c>
      <c r="R110" s="617" t="e">
        <f ca="1">IF(SC_ZX_CodeA="X", 0, MAX(INDEX(SC_ZX_IncomeSurplus,ZXIDX2)+INDEX(SC_ZX_Debt,ZXIDX2),0))</f>
        <v>#VALUE!</v>
      </c>
      <c r="S110" s="617" t="e">
        <f ca="1">IF(SC_ZX_CodeA="X", 0, INDEX(SC_EX_RolloverCore,EXIDX))</f>
        <v>#VALUE!</v>
      </c>
      <c r="T110" s="617" t="e">
        <f ca="1">P110+R110+S110</f>
        <v>#VALUE!</v>
      </c>
      <c r="U110" s="642" t="e">
        <f ca="1">IF(SC_ZX_BalanceAccessibleA&gt;0, T110/SC_ZX_BalanceAccessibleA, 0)</f>
        <v>#VALUE!</v>
      </c>
      <c r="V110" s="617" t="e">
        <f ca="1">-IF(SC_ZX_CodeA="X",0,MIN(U110*MAX(INDEX(SC_ZX_Drawdown,ZXIDX2),0),T110))</f>
        <v>#VALUE!</v>
      </c>
      <c r="W110" s="618" t="e">
        <f ca="1">(P110+R110+S110+V110)*$O110</f>
        <v>#VALUE!</v>
      </c>
      <c r="X110" s="75" t="e">
        <f t="shared" ca="1" si="205"/>
        <v>#REF!</v>
      </c>
      <c r="Y110" s="70" t="e">
        <f t="shared" ca="1" si="206"/>
        <v>#REF!</v>
      </c>
      <c r="Z110" s="70" t="e">
        <f t="shared" ca="1" si="207"/>
        <v>#REF!</v>
      </c>
      <c r="AA110" s="70" t="e">
        <f t="shared" ca="1" si="208"/>
        <v>#REF!</v>
      </c>
      <c r="AB110" s="67" t="e">
        <f t="shared" ca="1" si="181"/>
        <v>#REF!</v>
      </c>
      <c r="AC110" s="70" t="e">
        <f ca="1">-IF(INDEX(SC_ZX_CodeA,ZXIDX1)="X", 0, MIN(AB110*MAX(INDEX(SC_ZX_Drawdown,ZXIDX2),0),AA110))</f>
        <v>#REF!</v>
      </c>
      <c r="AD110" s="109" t="e">
        <f t="shared" ca="1" si="209"/>
        <v>#REF!</v>
      </c>
      <c r="AE110" s="75" t="e">
        <f t="shared" ca="1" si="210"/>
        <v>#REF!</v>
      </c>
      <c r="AF110" s="70" t="e">
        <f t="shared" ca="1" si="211"/>
        <v>#REF!</v>
      </c>
      <c r="AG110" s="70" t="e">
        <f t="shared" ca="1" si="212"/>
        <v>#REF!</v>
      </c>
      <c r="AH110" s="70" t="e">
        <f t="shared" ca="1" si="213"/>
        <v>#REF!</v>
      </c>
      <c r="AI110" s="67" t="e">
        <f t="shared" ca="1" si="182"/>
        <v>#REF!</v>
      </c>
      <c r="AJ110" s="70" t="e">
        <f ca="1">-IF(INDEX(SC_ZX_CodeA,ZXIDX1)="X", 0, MIN(AI110*MAX(INDEX(SC_ZX_Drawdown,ZXIDX2),0),AH110))</f>
        <v>#REF!</v>
      </c>
      <c r="AK110" s="109" t="e">
        <f t="shared" ca="1" si="214"/>
        <v>#REF!</v>
      </c>
      <c r="AL110" s="75" t="e">
        <f t="shared" ca="1" si="215"/>
        <v>#REF!</v>
      </c>
      <c r="AM110" s="70" t="e">
        <f t="shared" ca="1" si="216"/>
        <v>#REF!</v>
      </c>
      <c r="AN110" s="70" t="e">
        <f t="shared" ca="1" si="217"/>
        <v>#REF!</v>
      </c>
      <c r="AO110" s="70" t="e">
        <f t="shared" ca="1" si="218"/>
        <v>#REF!</v>
      </c>
      <c r="AP110" s="67" t="e">
        <f t="shared" ca="1" si="183"/>
        <v>#REF!</v>
      </c>
      <c r="AQ110" s="70" t="e">
        <f ca="1">-IF(INDEX(SC_ZX_CodeA,ZXIDX1)="X", 0, MIN(AP110*MAX(INDEX(SC_ZX_Drawdown,ZXIDX2),0),AO110))</f>
        <v>#REF!</v>
      </c>
      <c r="AR110" s="109" t="e">
        <f t="shared" ca="1" si="219"/>
        <v>#REF!</v>
      </c>
      <c r="AS110" s="75" t="e">
        <f t="shared" ca="1" si="220"/>
        <v>#REF!</v>
      </c>
      <c r="AT110" s="70" t="e">
        <f t="shared" ca="1" si="221"/>
        <v>#REF!</v>
      </c>
      <c r="AU110" s="70" t="e">
        <f t="shared" ca="1" si="222"/>
        <v>#REF!</v>
      </c>
      <c r="AV110" s="70" t="e">
        <f t="shared" ca="1" si="223"/>
        <v>#REF!</v>
      </c>
      <c r="AW110" s="67" t="e">
        <f t="shared" ca="1" si="184"/>
        <v>#REF!</v>
      </c>
      <c r="AX110" s="70" t="e">
        <f ca="1">-IF(INDEX(SC_ZX_CodeA,ZXIDX1)="X", 0, MIN(AW110*MAX(INDEX(SC_ZX_Drawdown,ZXIDX2),0),AV110))</f>
        <v>#REF!</v>
      </c>
      <c r="AY110" s="109" t="e">
        <f t="shared" ca="1" si="224"/>
        <v>#REF!</v>
      </c>
      <c r="AZ110" s="75" t="e">
        <f t="shared" ca="1" si="225"/>
        <v>#REF!</v>
      </c>
      <c r="BA110" s="70" t="e">
        <f t="shared" ca="1" si="226"/>
        <v>#REF!</v>
      </c>
      <c r="BB110" s="70" t="e">
        <f t="shared" ca="1" si="227"/>
        <v>#REF!</v>
      </c>
      <c r="BC110" s="70" t="e">
        <f t="shared" ca="1" si="228"/>
        <v>#REF!</v>
      </c>
      <c r="BD110" s="67" t="e">
        <f t="shared" ca="1" si="185"/>
        <v>#REF!</v>
      </c>
      <c r="BE110" s="70" t="e">
        <f ca="1">-IF(INDEX(SC_ZX_CodeA,ZXIDX1)="X", 0, MIN(BD110*MAX(INDEX(SC_ZX_Drawdown,ZXIDX2),0),AZ110))</f>
        <v>#REF!</v>
      </c>
      <c r="BF110" s="109" t="e">
        <f t="shared" ca="1" si="229"/>
        <v>#REF!</v>
      </c>
      <c r="BG110" s="75" t="e">
        <f t="shared" ca="1" si="230"/>
        <v>#REF!</v>
      </c>
      <c r="BH110" s="70" t="e">
        <f t="shared" ca="1" si="231"/>
        <v>#REF!</v>
      </c>
      <c r="BI110" s="70" t="e">
        <f t="shared" ca="1" si="232"/>
        <v>#REF!</v>
      </c>
      <c r="BJ110" s="70" t="e">
        <f t="shared" ca="1" si="233"/>
        <v>#REF!</v>
      </c>
      <c r="BK110" s="67" t="e">
        <f t="shared" ca="1" si="186"/>
        <v>#REF!</v>
      </c>
      <c r="BL110" s="70" t="e">
        <f ca="1">-IF(INDEX(SC_ZX_CodeA,ZXIDX1)="X", 0, MIN(BK110*MAX(INDEX(SC_ZX_Drawdown,ZXIDX2),0),BJ110))</f>
        <v>#REF!</v>
      </c>
      <c r="BM110" s="70" t="e">
        <f t="shared" ca="1" si="234"/>
        <v>#REF!</v>
      </c>
      <c r="BN110" s="111" t="e">
        <f t="shared" ca="1" si="235"/>
        <v>#REF!</v>
      </c>
      <c r="BO110" s="112" t="e">
        <f t="shared" ca="1" si="236"/>
        <v>#REF!</v>
      </c>
      <c r="BP110" s="112" t="e">
        <f ca="1">-($V110-IF(($P110+$R110+$S110)&gt;0,MAX($V110/($P110+$R110+$S110)*($Q110+$R110),$V110),0))*LT_InvestmentQDI</f>
        <v>#VALUE!</v>
      </c>
      <c r="BQ110" s="112" t="e">
        <f ca="1">-($V110-IF(($P110+$R110+$S110)&gt;0,MAX($V110/($P110+$R110+$S110)*($Q110+$R110),$V110),0))*(1-LT_InvestmentQDI)</f>
        <v>#VALUE!</v>
      </c>
      <c r="BR110" s="112" t="e">
        <f t="shared" ca="1" si="237"/>
        <v>#VALUE!</v>
      </c>
      <c r="BS110" s="112" t="e">
        <f t="shared" ca="1" si="238"/>
        <v>#VALUE!</v>
      </c>
      <c r="BT110" s="634" t="e">
        <f ca="1">SUMPRODUCT($BN110:$BN111+$BO110:$BO111, --($E110:$E111&lt;&gt;0))</f>
        <v>#REF!</v>
      </c>
      <c r="BU110" s="617" t="e">
        <f ca="1">SUMPRODUCT($BR110:$BR111+$BS110:$BS111, --($E110:$E111&lt;&gt;0))</f>
        <v>#VALUE!</v>
      </c>
      <c r="BV110" s="617" t="e">
        <f ca="1">$T110+SUMPRODUCT($AA110:$AA111+$AH110:$AH111+$AO110:$AO111+$AV110:$AV111+$BC110:$BC111+$BJ110:$BJ111, --($E110:$E111&lt;&gt;0))</f>
        <v>#VALUE!</v>
      </c>
      <c r="BW110" s="617" t="e">
        <f ca="1">MAX($P110-$Q110,0)+SUMPRODUCT($X110:$X111+$AL110:$AL111+$AZ110:$AZ111, --($E110:$E111&lt;&gt;0))</f>
        <v>#VALUE!</v>
      </c>
      <c r="BX110" s="618" t="e">
        <f ca="1">MIN($P110,$Q110)+SUMPRODUCT($AE110:$AE111+$AS110:$AS111+$BG110:$BG111, --($E110:$E111&lt;&gt;0))</f>
        <v>#VALUE!</v>
      </c>
    </row>
    <row r="111" spans="2:76" x14ac:dyDescent="0.25">
      <c r="B111" s="86">
        <f t="shared" ca="1" si="179"/>
        <v>2072</v>
      </c>
      <c r="C111" s="80" t="s">
        <v>741</v>
      </c>
      <c r="D111" s="147" t="str">
        <f t="shared" si="200"/>
        <v/>
      </c>
      <c r="E111" s="81">
        <f t="shared" si="138"/>
        <v>0</v>
      </c>
      <c r="F111" s="81">
        <f t="shared" si="143"/>
        <v>2</v>
      </c>
      <c r="G111" s="82">
        <f t="shared" si="139"/>
        <v>-1</v>
      </c>
      <c r="H111" s="82">
        <f t="shared" si="201"/>
        <v>0</v>
      </c>
      <c r="I111" s="81" t="b">
        <f t="shared" si="202"/>
        <v>0</v>
      </c>
      <c r="J111" s="81"/>
      <c r="K111" s="81"/>
      <c r="L111" s="81"/>
      <c r="M111" s="81"/>
      <c r="N111" s="633"/>
      <c r="O111" s="243" t="e">
        <f ca="1">LT_InvestmentStocks*INDEX(SP_EA_ARStocks,EAIDX)+LT_InvestmentBonds*INDEX(SC_EA_ARBonds,EAIDX)</f>
        <v>#REF!</v>
      </c>
      <c r="P111" s="634"/>
      <c r="Q111" s="617"/>
      <c r="R111" s="617"/>
      <c r="S111" s="617"/>
      <c r="T111" s="617"/>
      <c r="U111" s="643"/>
      <c r="V111" s="617"/>
      <c r="W111" s="639"/>
      <c r="X111" s="106" t="e">
        <f t="shared" ca="1" si="205"/>
        <v>#REF!</v>
      </c>
      <c r="Y111" s="107" t="e">
        <f t="shared" ca="1" si="206"/>
        <v>#REF!</v>
      </c>
      <c r="Z111" s="107" t="e">
        <f t="shared" ca="1" si="207"/>
        <v>#REF!</v>
      </c>
      <c r="AA111" s="107" t="e">
        <f t="shared" ca="1" si="208"/>
        <v>#REF!</v>
      </c>
      <c r="AB111" s="91" t="e">
        <f t="shared" ca="1" si="181"/>
        <v>#REF!</v>
      </c>
      <c r="AC111" s="107" t="e">
        <f ca="1">-IF(INDEX(SC_ZX_CodeA,ZXIDX1)="X", 0, MIN(AB111*MAX(INDEX(SC_ZX_Drawdown,ZXIDX2),0),AA111))</f>
        <v>#REF!</v>
      </c>
      <c r="AD111" s="110" t="e">
        <f t="shared" ca="1" si="209"/>
        <v>#REF!</v>
      </c>
      <c r="AE111" s="106" t="e">
        <f t="shared" ca="1" si="210"/>
        <v>#REF!</v>
      </c>
      <c r="AF111" s="107" t="e">
        <f t="shared" ca="1" si="211"/>
        <v>#REF!</v>
      </c>
      <c r="AG111" s="107" t="e">
        <f t="shared" ca="1" si="212"/>
        <v>#REF!</v>
      </c>
      <c r="AH111" s="107" t="e">
        <f t="shared" ca="1" si="213"/>
        <v>#REF!</v>
      </c>
      <c r="AI111" s="91" t="e">
        <f t="shared" ca="1" si="182"/>
        <v>#REF!</v>
      </c>
      <c r="AJ111" s="107" t="e">
        <f ca="1">-IF(INDEX(SC_ZX_CodeA,ZXIDX1)="X", 0, MIN(AI111*MAX(INDEX(SC_ZX_Drawdown,ZXIDX2),0),AH111))</f>
        <v>#REF!</v>
      </c>
      <c r="AK111" s="110" t="e">
        <f t="shared" ca="1" si="214"/>
        <v>#REF!</v>
      </c>
      <c r="AL111" s="106" t="e">
        <f t="shared" ca="1" si="215"/>
        <v>#REF!</v>
      </c>
      <c r="AM111" s="107" t="e">
        <f t="shared" ca="1" si="216"/>
        <v>#REF!</v>
      </c>
      <c r="AN111" s="107" t="e">
        <f t="shared" ca="1" si="217"/>
        <v>#REF!</v>
      </c>
      <c r="AO111" s="107" t="e">
        <f t="shared" ca="1" si="218"/>
        <v>#REF!</v>
      </c>
      <c r="AP111" s="91" t="e">
        <f t="shared" ca="1" si="183"/>
        <v>#REF!</v>
      </c>
      <c r="AQ111" s="107" t="e">
        <f ca="1">-IF(INDEX(SC_ZX_CodeA,ZXIDX1)="X", 0, MIN(AP111*MAX(INDEX(SC_ZX_Drawdown,ZXIDX2),0),AO111))</f>
        <v>#REF!</v>
      </c>
      <c r="AR111" s="110" t="e">
        <f t="shared" ca="1" si="219"/>
        <v>#REF!</v>
      </c>
      <c r="AS111" s="106" t="e">
        <f t="shared" ca="1" si="220"/>
        <v>#REF!</v>
      </c>
      <c r="AT111" s="107" t="e">
        <f t="shared" ca="1" si="221"/>
        <v>#REF!</v>
      </c>
      <c r="AU111" s="107" t="e">
        <f t="shared" ca="1" si="222"/>
        <v>#REF!</v>
      </c>
      <c r="AV111" s="107" t="e">
        <f t="shared" ca="1" si="223"/>
        <v>#REF!</v>
      </c>
      <c r="AW111" s="91" t="e">
        <f t="shared" ca="1" si="184"/>
        <v>#REF!</v>
      </c>
      <c r="AX111" s="107" t="e">
        <f ca="1">-IF(INDEX(SC_ZX_CodeA,ZXIDX1)="X", 0, MIN(AW111*MAX(INDEX(SC_ZX_Drawdown,ZXIDX2),0),AV111))</f>
        <v>#REF!</v>
      </c>
      <c r="AY111" s="110" t="e">
        <f t="shared" ca="1" si="224"/>
        <v>#REF!</v>
      </c>
      <c r="AZ111" s="106" t="e">
        <f t="shared" ca="1" si="225"/>
        <v>#REF!</v>
      </c>
      <c r="BA111" s="107" t="e">
        <f t="shared" ca="1" si="226"/>
        <v>#REF!</v>
      </c>
      <c r="BB111" s="107" t="e">
        <f t="shared" ca="1" si="227"/>
        <v>#REF!</v>
      </c>
      <c r="BC111" s="107" t="e">
        <f t="shared" ca="1" si="228"/>
        <v>#REF!</v>
      </c>
      <c r="BD111" s="91" t="e">
        <f t="shared" ca="1" si="185"/>
        <v>#REF!</v>
      </c>
      <c r="BE111" s="107" t="e">
        <f ca="1">-IF(INDEX(SC_ZX_CodeA,ZXIDX1)="X", 0, MIN(BD111*MAX(INDEX(SC_ZX_Drawdown,ZXIDX2),0),AZ111))</f>
        <v>#REF!</v>
      </c>
      <c r="BF111" s="110" t="e">
        <f t="shared" ca="1" si="229"/>
        <v>#REF!</v>
      </c>
      <c r="BG111" s="106" t="e">
        <f t="shared" ca="1" si="230"/>
        <v>#REF!</v>
      </c>
      <c r="BH111" s="107" t="e">
        <f t="shared" ca="1" si="231"/>
        <v>#REF!</v>
      </c>
      <c r="BI111" s="107" t="e">
        <f t="shared" ca="1" si="232"/>
        <v>#REF!</v>
      </c>
      <c r="BJ111" s="107" t="e">
        <f t="shared" ca="1" si="233"/>
        <v>#REF!</v>
      </c>
      <c r="BK111" s="91" t="e">
        <f t="shared" ca="1" si="186"/>
        <v>#REF!</v>
      </c>
      <c r="BL111" s="107" t="e">
        <f ca="1">-IF(INDEX(SC_ZX_CodeA,ZXIDX1)="X", 0, MIN(BK111*MAX(INDEX(SC_ZX_Drawdown,ZXIDX2),0),BJ111))</f>
        <v>#REF!</v>
      </c>
      <c r="BM111" s="107" t="e">
        <f t="shared" ca="1" si="234"/>
        <v>#REF!</v>
      </c>
      <c r="BN111" s="113" t="e">
        <f t="shared" ca="1" si="235"/>
        <v>#REF!</v>
      </c>
      <c r="BO111" s="114" t="e">
        <f t="shared" ca="1" si="236"/>
        <v>#REF!</v>
      </c>
      <c r="BP111" s="114" t="e">
        <f ca="1">-($V111-IF(($P111+$R111+$S111)&gt;0,MAX($V111/($P111+$R111+$S111)*($Q111+$R111),$V111),0))*LT_InvestmentQDI</f>
        <v>#REF!</v>
      </c>
      <c r="BQ111" s="114" t="e">
        <f ca="1">-($V111-IF(($P111+$R111+$S111)&gt;0,MAX($V111/($P111+$R111+$S111)*($Q111+$R111),$V111),0))*(1-LT_InvestmentQDI)</f>
        <v>#REF!</v>
      </c>
      <c r="BR111" s="114" t="e">
        <f t="shared" ca="1" si="237"/>
        <v>#REF!</v>
      </c>
      <c r="BS111" s="114" t="e">
        <f t="shared" ca="1" si="238"/>
        <v>#REF!</v>
      </c>
      <c r="BT111" s="649"/>
      <c r="BU111" s="637"/>
      <c r="BV111" s="637"/>
      <c r="BW111" s="637"/>
      <c r="BX111" s="639"/>
    </row>
    <row r="112" spans="2:76" x14ac:dyDescent="0.25">
      <c r="B112" s="65">
        <f ca="1">B110+1</f>
        <v>2073</v>
      </c>
      <c r="C112" s="76" t="s">
        <v>741</v>
      </c>
      <c r="D112" s="146" t="str">
        <f t="shared" si="200"/>
        <v/>
      </c>
      <c r="E112" s="77">
        <f t="shared" si="138"/>
        <v>0</v>
      </c>
      <c r="F112" s="77">
        <f t="shared" si="143"/>
        <v>1</v>
      </c>
      <c r="G112" s="76">
        <f t="shared" si="139"/>
        <v>1</v>
      </c>
      <c r="H112" s="76">
        <f t="shared" si="201"/>
        <v>0</v>
      </c>
      <c r="I112" s="77" t="b">
        <f t="shared" si="202"/>
        <v>0</v>
      </c>
      <c r="J112" s="77"/>
      <c r="K112" s="77"/>
      <c r="L112" s="77"/>
      <c r="M112" s="77"/>
      <c r="N112" s="632">
        <f ca="1">YEAR(SP_TargetRD)-$B112</f>
        <v>-50</v>
      </c>
      <c r="O112" s="243" t="e">
        <f ca="1">LT_InvestmentStocks*INDEX(SP_EA_ARStocks,EAIDX)+LT_InvestmentBonds*INDEX(SC_EA_ARBonds,EAIDX)</f>
        <v>#REF!</v>
      </c>
      <c r="P112" s="634" t="e">
        <f ca="1">MAX(P110+R110+S110+V110+W110,0)</f>
        <v>#VALUE!</v>
      </c>
      <c r="Q112" s="617" t="e">
        <f t="shared" ref="Q112" ca="1" si="241">MAX(Q110+R110+IF((P110+R110+S110)&gt;0,MAX(V110/(P110+R110+S110)*(Q110+R110),V110),0),0)</f>
        <v>#VALUE!</v>
      </c>
      <c r="R112" s="617" t="e">
        <f ca="1">IF(SC_ZX_CodeA="X", 0, MAX(INDEX(SC_ZX_IncomeSurplus,ZXIDX2)+INDEX(SC_ZX_Debt,ZXIDX2),0))</f>
        <v>#VALUE!</v>
      </c>
      <c r="S112" s="617" t="e">
        <f ca="1">IF(SC_ZX_CodeA="X", 0, INDEX(SC_EX_RolloverCore,EXIDX))</f>
        <v>#VALUE!</v>
      </c>
      <c r="T112" s="617" t="e">
        <f ca="1">P112+R112+S112</f>
        <v>#VALUE!</v>
      </c>
      <c r="U112" s="642" t="e">
        <f ca="1">IF(SC_ZX_BalanceAccessibleA&gt;0, T112/SC_ZX_BalanceAccessibleA, 0)</f>
        <v>#VALUE!</v>
      </c>
      <c r="V112" s="617" t="e">
        <f ca="1">-IF(SC_ZX_CodeA="X",0,MIN(U112*MAX(INDEX(SC_ZX_Drawdown,ZXIDX2),0),T112))</f>
        <v>#VALUE!</v>
      </c>
      <c r="W112" s="618" t="e">
        <f ca="1">(P112+R112+S112+V112)*$O112</f>
        <v>#VALUE!</v>
      </c>
      <c r="X112" s="75" t="e">
        <f t="shared" ca="1" si="205"/>
        <v>#REF!</v>
      </c>
      <c r="Y112" s="70" t="e">
        <f t="shared" ca="1" si="206"/>
        <v>#REF!</v>
      </c>
      <c r="Z112" s="70" t="e">
        <f t="shared" ca="1" si="207"/>
        <v>#REF!</v>
      </c>
      <c r="AA112" s="70" t="e">
        <f t="shared" ca="1" si="208"/>
        <v>#REF!</v>
      </c>
      <c r="AB112" s="67" t="e">
        <f t="shared" ca="1" si="181"/>
        <v>#REF!</v>
      </c>
      <c r="AC112" s="70" t="e">
        <f ca="1">-IF(INDEX(SC_ZX_CodeA,ZXIDX1)="X", 0, MIN(AB112*MAX(INDEX(SC_ZX_Drawdown,ZXIDX2),0),AA112))</f>
        <v>#REF!</v>
      </c>
      <c r="AD112" s="109" t="e">
        <f t="shared" ca="1" si="209"/>
        <v>#REF!</v>
      </c>
      <c r="AE112" s="75" t="e">
        <f t="shared" ca="1" si="210"/>
        <v>#REF!</v>
      </c>
      <c r="AF112" s="70" t="e">
        <f t="shared" ca="1" si="211"/>
        <v>#REF!</v>
      </c>
      <c r="AG112" s="70" t="e">
        <f t="shared" ca="1" si="212"/>
        <v>#REF!</v>
      </c>
      <c r="AH112" s="70" t="e">
        <f t="shared" ca="1" si="213"/>
        <v>#REF!</v>
      </c>
      <c r="AI112" s="67" t="e">
        <f t="shared" ca="1" si="182"/>
        <v>#REF!</v>
      </c>
      <c r="AJ112" s="70" t="e">
        <f ca="1">-IF(INDEX(SC_ZX_CodeA,ZXIDX1)="X", 0, MIN(AI112*MAX(INDEX(SC_ZX_Drawdown,ZXIDX2),0),AH112))</f>
        <v>#REF!</v>
      </c>
      <c r="AK112" s="109" t="e">
        <f t="shared" ca="1" si="214"/>
        <v>#REF!</v>
      </c>
      <c r="AL112" s="75" t="e">
        <f t="shared" ca="1" si="215"/>
        <v>#REF!</v>
      </c>
      <c r="AM112" s="70" t="e">
        <f t="shared" ca="1" si="216"/>
        <v>#REF!</v>
      </c>
      <c r="AN112" s="70" t="e">
        <f t="shared" ca="1" si="217"/>
        <v>#REF!</v>
      </c>
      <c r="AO112" s="70" t="e">
        <f t="shared" ca="1" si="218"/>
        <v>#REF!</v>
      </c>
      <c r="AP112" s="67" t="e">
        <f t="shared" ca="1" si="183"/>
        <v>#REF!</v>
      </c>
      <c r="AQ112" s="70" t="e">
        <f ca="1">-IF(INDEX(SC_ZX_CodeA,ZXIDX1)="X", 0, MIN(AP112*MAX(INDEX(SC_ZX_Drawdown,ZXIDX2),0),AO112))</f>
        <v>#REF!</v>
      </c>
      <c r="AR112" s="109" t="e">
        <f t="shared" ca="1" si="219"/>
        <v>#REF!</v>
      </c>
      <c r="AS112" s="75" t="e">
        <f t="shared" ca="1" si="220"/>
        <v>#REF!</v>
      </c>
      <c r="AT112" s="70" t="e">
        <f t="shared" ca="1" si="221"/>
        <v>#REF!</v>
      </c>
      <c r="AU112" s="70" t="e">
        <f t="shared" ca="1" si="222"/>
        <v>#REF!</v>
      </c>
      <c r="AV112" s="70" t="e">
        <f t="shared" ca="1" si="223"/>
        <v>#REF!</v>
      </c>
      <c r="AW112" s="67" t="e">
        <f t="shared" ca="1" si="184"/>
        <v>#REF!</v>
      </c>
      <c r="AX112" s="70" t="e">
        <f ca="1">-IF(INDEX(SC_ZX_CodeA,ZXIDX1)="X", 0, MIN(AW112*MAX(INDEX(SC_ZX_Drawdown,ZXIDX2),0),AV112))</f>
        <v>#REF!</v>
      </c>
      <c r="AY112" s="109" t="e">
        <f t="shared" ca="1" si="224"/>
        <v>#REF!</v>
      </c>
      <c r="AZ112" s="75" t="e">
        <f t="shared" ca="1" si="225"/>
        <v>#REF!</v>
      </c>
      <c r="BA112" s="70" t="e">
        <f t="shared" ca="1" si="226"/>
        <v>#REF!</v>
      </c>
      <c r="BB112" s="70" t="e">
        <f t="shared" ca="1" si="227"/>
        <v>#REF!</v>
      </c>
      <c r="BC112" s="70" t="e">
        <f t="shared" ca="1" si="228"/>
        <v>#REF!</v>
      </c>
      <c r="BD112" s="67" t="e">
        <f t="shared" ca="1" si="185"/>
        <v>#REF!</v>
      </c>
      <c r="BE112" s="70" t="e">
        <f ca="1">-IF(INDEX(SC_ZX_CodeA,ZXIDX1)="X", 0, MIN(BD112*MAX(INDEX(SC_ZX_Drawdown,ZXIDX2),0),AZ112))</f>
        <v>#REF!</v>
      </c>
      <c r="BF112" s="109" t="e">
        <f t="shared" ca="1" si="229"/>
        <v>#REF!</v>
      </c>
      <c r="BG112" s="75" t="e">
        <f t="shared" ca="1" si="230"/>
        <v>#REF!</v>
      </c>
      <c r="BH112" s="70" t="e">
        <f t="shared" ca="1" si="231"/>
        <v>#REF!</v>
      </c>
      <c r="BI112" s="70" t="e">
        <f t="shared" ca="1" si="232"/>
        <v>#REF!</v>
      </c>
      <c r="BJ112" s="70" t="e">
        <f t="shared" ca="1" si="233"/>
        <v>#REF!</v>
      </c>
      <c r="BK112" s="67" t="e">
        <f t="shared" ca="1" si="186"/>
        <v>#REF!</v>
      </c>
      <c r="BL112" s="70" t="e">
        <f ca="1">-IF(INDEX(SC_ZX_CodeA,ZXIDX1)="X", 0, MIN(BK112*MAX(INDEX(SC_ZX_Drawdown,ZXIDX2),0),BJ112))</f>
        <v>#REF!</v>
      </c>
      <c r="BM112" s="70" t="e">
        <f t="shared" ca="1" si="234"/>
        <v>#REF!</v>
      </c>
      <c r="BN112" s="111" t="e">
        <f t="shared" ca="1" si="235"/>
        <v>#REF!</v>
      </c>
      <c r="BO112" s="112" t="e">
        <f t="shared" ca="1" si="236"/>
        <v>#REF!</v>
      </c>
      <c r="BP112" s="112" t="e">
        <f ca="1">-($V112-IF(($P112+$R112+$S112)&gt;0,MAX($V112/($P112+$R112+$S112)*($Q112+$R112),$V112),0))*LT_InvestmentQDI</f>
        <v>#VALUE!</v>
      </c>
      <c r="BQ112" s="112" t="e">
        <f ca="1">-($V112-IF(($P112+$R112+$S112)&gt;0,MAX($V112/($P112+$R112+$S112)*($Q112+$R112),$V112),0))*(1-LT_InvestmentQDI)</f>
        <v>#VALUE!</v>
      </c>
      <c r="BR112" s="112" t="e">
        <f t="shared" ca="1" si="237"/>
        <v>#VALUE!</v>
      </c>
      <c r="BS112" s="112" t="e">
        <f t="shared" ca="1" si="238"/>
        <v>#VALUE!</v>
      </c>
      <c r="BT112" s="634" t="e">
        <f ca="1">SUMPRODUCT($BN112:$BN113+$BO112:$BO113, --($E112:$E113&lt;&gt;0))</f>
        <v>#REF!</v>
      </c>
      <c r="BU112" s="617" t="e">
        <f ca="1">SUMPRODUCT($BR112:$BR113+$BS112:$BS113, --($E112:$E113&lt;&gt;0))</f>
        <v>#VALUE!</v>
      </c>
      <c r="BV112" s="617" t="e">
        <f ca="1">$T112+SUMPRODUCT($AA112:$AA113+$AH112:$AH113+$AO112:$AO113+$AV112:$AV113+$BC112:$BC113+$BJ112:$BJ113, --($E112:$E113&lt;&gt;0))</f>
        <v>#VALUE!</v>
      </c>
      <c r="BW112" s="617" t="e">
        <f ca="1">MAX($P112-$Q112,0)+SUMPRODUCT($X112:$X113+$AL112:$AL113+$AZ112:$AZ113, --($E112:$E113&lt;&gt;0))</f>
        <v>#VALUE!</v>
      </c>
      <c r="BX112" s="618" t="e">
        <f ca="1">MIN($P112,$Q112)+SUMPRODUCT($AE112:$AE113+$AS112:$AS113+$BG112:$BG113, --($E112:$E113&lt;&gt;0))</f>
        <v>#VALUE!</v>
      </c>
    </row>
    <row r="113" spans="2:76" x14ac:dyDescent="0.25">
      <c r="B113" s="86">
        <f t="shared" ca="1" si="179"/>
        <v>2073</v>
      </c>
      <c r="C113" s="80" t="s">
        <v>741</v>
      </c>
      <c r="D113" s="147" t="str">
        <f t="shared" si="200"/>
        <v/>
      </c>
      <c r="E113" s="81">
        <f t="shared" si="138"/>
        <v>0</v>
      </c>
      <c r="F113" s="81">
        <f t="shared" si="143"/>
        <v>2</v>
      </c>
      <c r="G113" s="82">
        <f t="shared" si="139"/>
        <v>-1</v>
      </c>
      <c r="H113" s="82">
        <f t="shared" si="201"/>
        <v>0</v>
      </c>
      <c r="I113" s="81" t="b">
        <f t="shared" si="202"/>
        <v>0</v>
      </c>
      <c r="J113" s="81"/>
      <c r="K113" s="81"/>
      <c r="L113" s="81"/>
      <c r="M113" s="81"/>
      <c r="N113" s="633"/>
      <c r="O113" s="243" t="e">
        <f ca="1">LT_InvestmentStocks*INDEX(SP_EA_ARStocks,EAIDX)+LT_InvestmentBonds*INDEX(SC_EA_ARBonds,EAIDX)</f>
        <v>#REF!</v>
      </c>
      <c r="P113" s="634"/>
      <c r="Q113" s="617"/>
      <c r="R113" s="617"/>
      <c r="S113" s="617"/>
      <c r="T113" s="617"/>
      <c r="U113" s="643"/>
      <c r="V113" s="617"/>
      <c r="W113" s="639"/>
      <c r="X113" s="106" t="e">
        <f t="shared" ca="1" si="205"/>
        <v>#REF!</v>
      </c>
      <c r="Y113" s="107" t="e">
        <f t="shared" ca="1" si="206"/>
        <v>#REF!</v>
      </c>
      <c r="Z113" s="107" t="e">
        <f t="shared" ca="1" si="207"/>
        <v>#REF!</v>
      </c>
      <c r="AA113" s="107" t="e">
        <f t="shared" ca="1" si="208"/>
        <v>#REF!</v>
      </c>
      <c r="AB113" s="91" t="e">
        <f t="shared" ca="1" si="181"/>
        <v>#REF!</v>
      </c>
      <c r="AC113" s="107" t="e">
        <f ca="1">-IF(INDEX(SC_ZX_CodeA,ZXIDX1)="X", 0, MIN(AB113*MAX(INDEX(SC_ZX_Drawdown,ZXIDX2),0),AA113))</f>
        <v>#REF!</v>
      </c>
      <c r="AD113" s="110" t="e">
        <f t="shared" ca="1" si="209"/>
        <v>#REF!</v>
      </c>
      <c r="AE113" s="106" t="e">
        <f t="shared" ca="1" si="210"/>
        <v>#REF!</v>
      </c>
      <c r="AF113" s="107" t="e">
        <f t="shared" ca="1" si="211"/>
        <v>#REF!</v>
      </c>
      <c r="AG113" s="107" t="e">
        <f t="shared" ca="1" si="212"/>
        <v>#REF!</v>
      </c>
      <c r="AH113" s="107" t="e">
        <f t="shared" ca="1" si="213"/>
        <v>#REF!</v>
      </c>
      <c r="AI113" s="91" t="e">
        <f t="shared" ca="1" si="182"/>
        <v>#REF!</v>
      </c>
      <c r="AJ113" s="107" t="e">
        <f ca="1">-IF(INDEX(SC_ZX_CodeA,ZXIDX1)="X", 0, MIN(AI113*MAX(INDEX(SC_ZX_Drawdown,ZXIDX2),0),AH113))</f>
        <v>#REF!</v>
      </c>
      <c r="AK113" s="110" t="e">
        <f t="shared" ca="1" si="214"/>
        <v>#REF!</v>
      </c>
      <c r="AL113" s="106" t="e">
        <f t="shared" ca="1" si="215"/>
        <v>#REF!</v>
      </c>
      <c r="AM113" s="107" t="e">
        <f t="shared" ca="1" si="216"/>
        <v>#REF!</v>
      </c>
      <c r="AN113" s="107" t="e">
        <f t="shared" ca="1" si="217"/>
        <v>#REF!</v>
      </c>
      <c r="AO113" s="107" t="e">
        <f t="shared" ca="1" si="218"/>
        <v>#REF!</v>
      </c>
      <c r="AP113" s="91" t="e">
        <f t="shared" ca="1" si="183"/>
        <v>#REF!</v>
      </c>
      <c r="AQ113" s="107" t="e">
        <f ca="1">-IF(INDEX(SC_ZX_CodeA,ZXIDX1)="X", 0, MIN(AP113*MAX(INDEX(SC_ZX_Drawdown,ZXIDX2),0),AO113))</f>
        <v>#REF!</v>
      </c>
      <c r="AR113" s="110" t="e">
        <f t="shared" ca="1" si="219"/>
        <v>#REF!</v>
      </c>
      <c r="AS113" s="106" t="e">
        <f t="shared" ca="1" si="220"/>
        <v>#REF!</v>
      </c>
      <c r="AT113" s="107" t="e">
        <f t="shared" ca="1" si="221"/>
        <v>#REF!</v>
      </c>
      <c r="AU113" s="107" t="e">
        <f t="shared" ca="1" si="222"/>
        <v>#REF!</v>
      </c>
      <c r="AV113" s="107" t="e">
        <f t="shared" ca="1" si="223"/>
        <v>#REF!</v>
      </c>
      <c r="AW113" s="91" t="e">
        <f t="shared" ca="1" si="184"/>
        <v>#REF!</v>
      </c>
      <c r="AX113" s="107" t="e">
        <f ca="1">-IF(INDEX(SC_ZX_CodeA,ZXIDX1)="X", 0, MIN(AW113*MAX(INDEX(SC_ZX_Drawdown,ZXIDX2),0),AV113))</f>
        <v>#REF!</v>
      </c>
      <c r="AY113" s="110" t="e">
        <f t="shared" ca="1" si="224"/>
        <v>#REF!</v>
      </c>
      <c r="AZ113" s="106" t="e">
        <f t="shared" ca="1" si="225"/>
        <v>#REF!</v>
      </c>
      <c r="BA113" s="107" t="e">
        <f t="shared" ca="1" si="226"/>
        <v>#REF!</v>
      </c>
      <c r="BB113" s="107" t="e">
        <f t="shared" ca="1" si="227"/>
        <v>#REF!</v>
      </c>
      <c r="BC113" s="107" t="e">
        <f t="shared" ca="1" si="228"/>
        <v>#REF!</v>
      </c>
      <c r="BD113" s="91" t="e">
        <f t="shared" ca="1" si="185"/>
        <v>#REF!</v>
      </c>
      <c r="BE113" s="107" t="e">
        <f ca="1">-IF(INDEX(SC_ZX_CodeA,ZXIDX1)="X", 0, MIN(BD113*MAX(INDEX(SC_ZX_Drawdown,ZXIDX2),0),AZ113))</f>
        <v>#REF!</v>
      </c>
      <c r="BF113" s="110" t="e">
        <f t="shared" ca="1" si="229"/>
        <v>#REF!</v>
      </c>
      <c r="BG113" s="106" t="e">
        <f t="shared" ca="1" si="230"/>
        <v>#REF!</v>
      </c>
      <c r="BH113" s="107" t="e">
        <f t="shared" ca="1" si="231"/>
        <v>#REF!</v>
      </c>
      <c r="BI113" s="107" t="e">
        <f t="shared" ca="1" si="232"/>
        <v>#REF!</v>
      </c>
      <c r="BJ113" s="107" t="e">
        <f t="shared" ca="1" si="233"/>
        <v>#REF!</v>
      </c>
      <c r="BK113" s="91" t="e">
        <f t="shared" ca="1" si="186"/>
        <v>#REF!</v>
      </c>
      <c r="BL113" s="107" t="e">
        <f ca="1">-IF(INDEX(SC_ZX_CodeA,ZXIDX1)="X", 0, MIN(BK113*MAX(INDEX(SC_ZX_Drawdown,ZXIDX2),0),BJ113))</f>
        <v>#REF!</v>
      </c>
      <c r="BM113" s="107" t="e">
        <f t="shared" ca="1" si="234"/>
        <v>#REF!</v>
      </c>
      <c r="BN113" s="113" t="e">
        <f t="shared" ca="1" si="235"/>
        <v>#REF!</v>
      </c>
      <c r="BO113" s="114" t="e">
        <f t="shared" ca="1" si="236"/>
        <v>#REF!</v>
      </c>
      <c r="BP113" s="114" t="e">
        <f ca="1">-($V113-IF(($P113+$R113+$S113)&gt;0,MAX($V113/($P113+$R113+$S113)*($Q113+$R113),$V113),0))*LT_InvestmentQDI</f>
        <v>#REF!</v>
      </c>
      <c r="BQ113" s="114" t="e">
        <f ca="1">-($V113-IF(($P113+$R113+$S113)&gt;0,MAX($V113/($P113+$R113+$S113)*($Q113+$R113),$V113),0))*(1-LT_InvestmentQDI)</f>
        <v>#REF!</v>
      </c>
      <c r="BR113" s="114" t="e">
        <f t="shared" ca="1" si="237"/>
        <v>#REF!</v>
      </c>
      <c r="BS113" s="114" t="e">
        <f t="shared" ca="1" si="238"/>
        <v>#REF!</v>
      </c>
      <c r="BT113" s="649"/>
      <c r="BU113" s="637"/>
      <c r="BV113" s="637"/>
      <c r="BW113" s="637"/>
      <c r="BX113" s="639"/>
    </row>
    <row r="114" spans="2:76" x14ac:dyDescent="0.25">
      <c r="B114" s="65">
        <f ca="1">B112+1</f>
        <v>2074</v>
      </c>
      <c r="C114" s="76" t="s">
        <v>741</v>
      </c>
      <c r="D114" s="146" t="str">
        <f t="shared" si="200"/>
        <v/>
      </c>
      <c r="E114" s="77">
        <f t="shared" si="138"/>
        <v>0</v>
      </c>
      <c r="F114" s="77">
        <f t="shared" si="143"/>
        <v>1</v>
      </c>
      <c r="G114" s="76">
        <f t="shared" si="139"/>
        <v>1</v>
      </c>
      <c r="H114" s="76">
        <f t="shared" si="201"/>
        <v>0</v>
      </c>
      <c r="I114" s="77" t="b">
        <f t="shared" si="202"/>
        <v>0</v>
      </c>
      <c r="J114" s="77"/>
      <c r="K114" s="77"/>
      <c r="L114" s="77"/>
      <c r="M114" s="77"/>
      <c r="N114" s="632">
        <f ca="1">YEAR(SP_TargetRD)-$B114</f>
        <v>-51</v>
      </c>
      <c r="O114" s="243" t="e">
        <f ca="1">LT_InvestmentStocks*INDEX(SP_EA_ARStocks,EAIDX)+LT_InvestmentBonds*INDEX(SC_EA_ARBonds,EAIDX)</f>
        <v>#REF!</v>
      </c>
      <c r="P114" s="634" t="e">
        <f ca="1">MAX(P112+R112+S112+V112+W112,0)</f>
        <v>#VALUE!</v>
      </c>
      <c r="Q114" s="617" t="e">
        <f t="shared" ref="Q114" ca="1" si="242">MAX(Q112+R112+IF((P112+R112+S112)&gt;0,MAX(V112/(P112+R112+S112)*(Q112+R112),V112),0),0)</f>
        <v>#VALUE!</v>
      </c>
      <c r="R114" s="617" t="e">
        <f ca="1">IF(SC_ZX_CodeA="X", 0, MAX(INDEX(SC_ZX_IncomeSurplus,ZXIDX2)+INDEX(SC_ZX_Debt,ZXIDX2),0))</f>
        <v>#VALUE!</v>
      </c>
      <c r="S114" s="617" t="e">
        <f ca="1">IF(SC_ZX_CodeA="X", 0, INDEX(SC_EX_RolloverCore,EXIDX))</f>
        <v>#VALUE!</v>
      </c>
      <c r="T114" s="617" t="e">
        <f ca="1">P114+R114+S114</f>
        <v>#VALUE!</v>
      </c>
      <c r="U114" s="642" t="e">
        <f ca="1">IF(SC_ZX_BalanceAccessibleA&gt;0, T114/SC_ZX_BalanceAccessibleA, 0)</f>
        <v>#VALUE!</v>
      </c>
      <c r="V114" s="617" t="e">
        <f ca="1">-IF(SC_ZX_CodeA="X",0,MIN(U114*MAX(INDEX(SC_ZX_Drawdown,ZXIDX2),0),T114))</f>
        <v>#VALUE!</v>
      </c>
      <c r="W114" s="618" t="e">
        <f ca="1">(P114+R114+S114+V114)*$O114</f>
        <v>#VALUE!</v>
      </c>
      <c r="X114" s="75" t="e">
        <f t="shared" ca="1" si="205"/>
        <v>#REF!</v>
      </c>
      <c r="Y114" s="70" t="e">
        <f t="shared" ca="1" si="206"/>
        <v>#REF!</v>
      </c>
      <c r="Z114" s="70" t="e">
        <f t="shared" ca="1" si="207"/>
        <v>#REF!</v>
      </c>
      <c r="AA114" s="70" t="e">
        <f t="shared" ca="1" si="208"/>
        <v>#REF!</v>
      </c>
      <c r="AB114" s="67" t="e">
        <f t="shared" ca="1" si="181"/>
        <v>#REF!</v>
      </c>
      <c r="AC114" s="70" t="e">
        <f ca="1">-IF(INDEX(SC_ZX_CodeA,ZXIDX1)="X", 0, MIN(AB114*MAX(INDEX(SC_ZX_Drawdown,ZXIDX2),0),AA114))</f>
        <v>#REF!</v>
      </c>
      <c r="AD114" s="109" t="e">
        <f t="shared" ca="1" si="209"/>
        <v>#REF!</v>
      </c>
      <c r="AE114" s="75" t="e">
        <f t="shared" ca="1" si="210"/>
        <v>#REF!</v>
      </c>
      <c r="AF114" s="70" t="e">
        <f t="shared" ca="1" si="211"/>
        <v>#REF!</v>
      </c>
      <c r="AG114" s="70" t="e">
        <f t="shared" ca="1" si="212"/>
        <v>#REF!</v>
      </c>
      <c r="AH114" s="70" t="e">
        <f t="shared" ca="1" si="213"/>
        <v>#REF!</v>
      </c>
      <c r="AI114" s="67" t="e">
        <f t="shared" ca="1" si="182"/>
        <v>#REF!</v>
      </c>
      <c r="AJ114" s="70" t="e">
        <f ca="1">-IF(INDEX(SC_ZX_CodeA,ZXIDX1)="X", 0, MIN(AI114*MAX(INDEX(SC_ZX_Drawdown,ZXIDX2),0),AH114))</f>
        <v>#REF!</v>
      </c>
      <c r="AK114" s="109" t="e">
        <f t="shared" ca="1" si="214"/>
        <v>#REF!</v>
      </c>
      <c r="AL114" s="75" t="e">
        <f t="shared" ca="1" si="215"/>
        <v>#REF!</v>
      </c>
      <c r="AM114" s="70" t="e">
        <f t="shared" ca="1" si="216"/>
        <v>#REF!</v>
      </c>
      <c r="AN114" s="70" t="e">
        <f t="shared" ca="1" si="217"/>
        <v>#REF!</v>
      </c>
      <c r="AO114" s="70" t="e">
        <f t="shared" ca="1" si="218"/>
        <v>#REF!</v>
      </c>
      <c r="AP114" s="67" t="e">
        <f t="shared" ca="1" si="183"/>
        <v>#REF!</v>
      </c>
      <c r="AQ114" s="70" t="e">
        <f ca="1">-IF(INDEX(SC_ZX_CodeA,ZXIDX1)="X", 0, MIN(AP114*MAX(INDEX(SC_ZX_Drawdown,ZXIDX2),0),AO114))</f>
        <v>#REF!</v>
      </c>
      <c r="AR114" s="109" t="e">
        <f t="shared" ca="1" si="219"/>
        <v>#REF!</v>
      </c>
      <c r="AS114" s="75" t="e">
        <f t="shared" ca="1" si="220"/>
        <v>#REF!</v>
      </c>
      <c r="AT114" s="70" t="e">
        <f t="shared" ca="1" si="221"/>
        <v>#REF!</v>
      </c>
      <c r="AU114" s="70" t="e">
        <f t="shared" ca="1" si="222"/>
        <v>#REF!</v>
      </c>
      <c r="AV114" s="70" t="e">
        <f t="shared" ca="1" si="223"/>
        <v>#REF!</v>
      </c>
      <c r="AW114" s="67" t="e">
        <f t="shared" ca="1" si="184"/>
        <v>#REF!</v>
      </c>
      <c r="AX114" s="70" t="e">
        <f ca="1">-IF(INDEX(SC_ZX_CodeA,ZXIDX1)="X", 0, MIN(AW114*MAX(INDEX(SC_ZX_Drawdown,ZXIDX2),0),AV114))</f>
        <v>#REF!</v>
      </c>
      <c r="AY114" s="109" t="e">
        <f t="shared" ca="1" si="224"/>
        <v>#REF!</v>
      </c>
      <c r="AZ114" s="75" t="e">
        <f t="shared" ca="1" si="225"/>
        <v>#REF!</v>
      </c>
      <c r="BA114" s="70" t="e">
        <f t="shared" ca="1" si="226"/>
        <v>#REF!</v>
      </c>
      <c r="BB114" s="70" t="e">
        <f t="shared" ca="1" si="227"/>
        <v>#REF!</v>
      </c>
      <c r="BC114" s="70" t="e">
        <f t="shared" ca="1" si="228"/>
        <v>#REF!</v>
      </c>
      <c r="BD114" s="67" t="e">
        <f t="shared" ca="1" si="185"/>
        <v>#REF!</v>
      </c>
      <c r="BE114" s="70" t="e">
        <f ca="1">-IF(INDEX(SC_ZX_CodeA,ZXIDX1)="X", 0, MIN(BD114*MAX(INDEX(SC_ZX_Drawdown,ZXIDX2),0),AZ114))</f>
        <v>#REF!</v>
      </c>
      <c r="BF114" s="109" t="e">
        <f t="shared" ca="1" si="229"/>
        <v>#REF!</v>
      </c>
      <c r="BG114" s="75" t="e">
        <f t="shared" ca="1" si="230"/>
        <v>#REF!</v>
      </c>
      <c r="BH114" s="70" t="e">
        <f t="shared" ca="1" si="231"/>
        <v>#REF!</v>
      </c>
      <c r="BI114" s="70" t="e">
        <f t="shared" ca="1" si="232"/>
        <v>#REF!</v>
      </c>
      <c r="BJ114" s="70" t="e">
        <f t="shared" ca="1" si="233"/>
        <v>#REF!</v>
      </c>
      <c r="BK114" s="67" t="e">
        <f t="shared" ca="1" si="186"/>
        <v>#REF!</v>
      </c>
      <c r="BL114" s="70" t="e">
        <f ca="1">-IF(INDEX(SC_ZX_CodeA,ZXIDX1)="X", 0, MIN(BK114*MAX(INDEX(SC_ZX_Drawdown,ZXIDX2),0),BJ114))</f>
        <v>#REF!</v>
      </c>
      <c r="BM114" s="70" t="e">
        <f t="shared" ca="1" si="234"/>
        <v>#REF!</v>
      </c>
      <c r="BN114" s="111" t="e">
        <f t="shared" ca="1" si="235"/>
        <v>#REF!</v>
      </c>
      <c r="BO114" s="112" t="e">
        <f t="shared" ca="1" si="236"/>
        <v>#REF!</v>
      </c>
      <c r="BP114" s="112" t="e">
        <f ca="1">-($V114-IF(($P114+$R114+$S114)&gt;0,MAX($V114/($P114+$R114+$S114)*($Q114+$R114),$V114),0))*LT_InvestmentQDI</f>
        <v>#VALUE!</v>
      </c>
      <c r="BQ114" s="112" t="e">
        <f ca="1">-($V114-IF(($P114+$R114+$S114)&gt;0,MAX($V114/($P114+$R114+$S114)*($Q114+$R114),$V114),0))*(1-LT_InvestmentQDI)</f>
        <v>#VALUE!</v>
      </c>
      <c r="BR114" s="112" t="e">
        <f t="shared" ca="1" si="237"/>
        <v>#VALUE!</v>
      </c>
      <c r="BS114" s="112" t="e">
        <f t="shared" ca="1" si="238"/>
        <v>#VALUE!</v>
      </c>
      <c r="BT114" s="634" t="e">
        <f ca="1">SUMPRODUCT($BN114:$BN115+$BO114:$BO115, --($E114:$E115&lt;&gt;0))</f>
        <v>#REF!</v>
      </c>
      <c r="BU114" s="617" t="e">
        <f ca="1">SUMPRODUCT($BR114:$BR115+$BS114:$BS115, --($E114:$E115&lt;&gt;0))</f>
        <v>#VALUE!</v>
      </c>
      <c r="BV114" s="617" t="e">
        <f ca="1">$T114+SUMPRODUCT($AA114:$AA115+$AH114:$AH115+$AO114:$AO115+$AV114:$AV115+$BC114:$BC115+$BJ114:$BJ115, --($E114:$E115&lt;&gt;0))</f>
        <v>#VALUE!</v>
      </c>
      <c r="BW114" s="617" t="e">
        <f ca="1">MAX($P114-$Q114,0)+SUMPRODUCT($X114:$X115+$AL114:$AL115+$AZ114:$AZ115, --($E114:$E115&lt;&gt;0))</f>
        <v>#VALUE!</v>
      </c>
      <c r="BX114" s="618" t="e">
        <f ca="1">MIN($P114,$Q114)+SUMPRODUCT($AE114:$AE115+$AS114:$AS115+$BG114:$BG115, --($E114:$E115&lt;&gt;0))</f>
        <v>#VALUE!</v>
      </c>
    </row>
    <row r="115" spans="2:76" x14ac:dyDescent="0.25">
      <c r="B115" s="86">
        <f t="shared" ca="1" si="179"/>
        <v>2074</v>
      </c>
      <c r="C115" s="80" t="s">
        <v>741</v>
      </c>
      <c r="D115" s="147" t="str">
        <f t="shared" si="200"/>
        <v/>
      </c>
      <c r="E115" s="81">
        <f t="shared" si="138"/>
        <v>0</v>
      </c>
      <c r="F115" s="81">
        <f t="shared" si="143"/>
        <v>2</v>
      </c>
      <c r="G115" s="82">
        <f t="shared" si="139"/>
        <v>-1</v>
      </c>
      <c r="H115" s="82">
        <f t="shared" si="201"/>
        <v>0</v>
      </c>
      <c r="I115" s="81" t="b">
        <f t="shared" si="202"/>
        <v>0</v>
      </c>
      <c r="J115" s="81"/>
      <c r="K115" s="81"/>
      <c r="L115" s="81"/>
      <c r="M115" s="81"/>
      <c r="N115" s="633"/>
      <c r="O115" s="243" t="e">
        <f ca="1">LT_InvestmentStocks*INDEX(SP_EA_ARStocks,EAIDX)+LT_InvestmentBonds*INDEX(SC_EA_ARBonds,EAIDX)</f>
        <v>#REF!</v>
      </c>
      <c r="P115" s="634"/>
      <c r="Q115" s="617"/>
      <c r="R115" s="617"/>
      <c r="S115" s="617"/>
      <c r="T115" s="617"/>
      <c r="U115" s="643"/>
      <c r="V115" s="617"/>
      <c r="W115" s="639"/>
      <c r="X115" s="106" t="e">
        <f t="shared" ca="1" si="205"/>
        <v>#REF!</v>
      </c>
      <c r="Y115" s="107" t="e">
        <f t="shared" ca="1" si="206"/>
        <v>#REF!</v>
      </c>
      <c r="Z115" s="107" t="e">
        <f t="shared" ca="1" si="207"/>
        <v>#REF!</v>
      </c>
      <c r="AA115" s="107" t="e">
        <f t="shared" ca="1" si="208"/>
        <v>#REF!</v>
      </c>
      <c r="AB115" s="91" t="e">
        <f t="shared" ca="1" si="181"/>
        <v>#REF!</v>
      </c>
      <c r="AC115" s="107" t="e">
        <f ca="1">-IF(INDEX(SC_ZX_CodeA,ZXIDX1)="X", 0, MIN(AB115*MAX(INDEX(SC_ZX_Drawdown,ZXIDX2),0),AA115))</f>
        <v>#REF!</v>
      </c>
      <c r="AD115" s="110" t="e">
        <f t="shared" ca="1" si="209"/>
        <v>#REF!</v>
      </c>
      <c r="AE115" s="106" t="e">
        <f t="shared" ca="1" si="210"/>
        <v>#REF!</v>
      </c>
      <c r="AF115" s="107" t="e">
        <f t="shared" ca="1" si="211"/>
        <v>#REF!</v>
      </c>
      <c r="AG115" s="107" t="e">
        <f t="shared" ca="1" si="212"/>
        <v>#REF!</v>
      </c>
      <c r="AH115" s="107" t="e">
        <f t="shared" ca="1" si="213"/>
        <v>#REF!</v>
      </c>
      <c r="AI115" s="91" t="e">
        <f t="shared" ca="1" si="182"/>
        <v>#REF!</v>
      </c>
      <c r="AJ115" s="107" t="e">
        <f ca="1">-IF(INDEX(SC_ZX_CodeA,ZXIDX1)="X", 0, MIN(AI115*MAX(INDEX(SC_ZX_Drawdown,ZXIDX2),0),AH115))</f>
        <v>#REF!</v>
      </c>
      <c r="AK115" s="110" t="e">
        <f t="shared" ca="1" si="214"/>
        <v>#REF!</v>
      </c>
      <c r="AL115" s="106" t="e">
        <f t="shared" ca="1" si="215"/>
        <v>#REF!</v>
      </c>
      <c r="AM115" s="107" t="e">
        <f t="shared" ca="1" si="216"/>
        <v>#REF!</v>
      </c>
      <c r="AN115" s="107" t="e">
        <f t="shared" ca="1" si="217"/>
        <v>#REF!</v>
      </c>
      <c r="AO115" s="107" t="e">
        <f t="shared" ca="1" si="218"/>
        <v>#REF!</v>
      </c>
      <c r="AP115" s="91" t="e">
        <f t="shared" ca="1" si="183"/>
        <v>#REF!</v>
      </c>
      <c r="AQ115" s="107" t="e">
        <f ca="1">-IF(INDEX(SC_ZX_CodeA,ZXIDX1)="X", 0, MIN(AP115*MAX(INDEX(SC_ZX_Drawdown,ZXIDX2),0),AO115))</f>
        <v>#REF!</v>
      </c>
      <c r="AR115" s="110" t="e">
        <f t="shared" ca="1" si="219"/>
        <v>#REF!</v>
      </c>
      <c r="AS115" s="106" t="e">
        <f t="shared" ca="1" si="220"/>
        <v>#REF!</v>
      </c>
      <c r="AT115" s="107" t="e">
        <f t="shared" ca="1" si="221"/>
        <v>#REF!</v>
      </c>
      <c r="AU115" s="107" t="e">
        <f t="shared" ca="1" si="222"/>
        <v>#REF!</v>
      </c>
      <c r="AV115" s="107" t="e">
        <f t="shared" ca="1" si="223"/>
        <v>#REF!</v>
      </c>
      <c r="AW115" s="91" t="e">
        <f t="shared" ca="1" si="184"/>
        <v>#REF!</v>
      </c>
      <c r="AX115" s="107" t="e">
        <f ca="1">-IF(INDEX(SC_ZX_CodeA,ZXIDX1)="X", 0, MIN(AW115*MAX(INDEX(SC_ZX_Drawdown,ZXIDX2),0),AV115))</f>
        <v>#REF!</v>
      </c>
      <c r="AY115" s="110" t="e">
        <f t="shared" ca="1" si="224"/>
        <v>#REF!</v>
      </c>
      <c r="AZ115" s="106" t="e">
        <f t="shared" ca="1" si="225"/>
        <v>#REF!</v>
      </c>
      <c r="BA115" s="107" t="e">
        <f t="shared" ca="1" si="226"/>
        <v>#REF!</v>
      </c>
      <c r="BB115" s="107" t="e">
        <f t="shared" ca="1" si="227"/>
        <v>#REF!</v>
      </c>
      <c r="BC115" s="107" t="e">
        <f t="shared" ca="1" si="228"/>
        <v>#REF!</v>
      </c>
      <c r="BD115" s="91" t="e">
        <f t="shared" ca="1" si="185"/>
        <v>#REF!</v>
      </c>
      <c r="BE115" s="107" t="e">
        <f ca="1">-IF(INDEX(SC_ZX_CodeA,ZXIDX1)="X", 0, MIN(BD115*MAX(INDEX(SC_ZX_Drawdown,ZXIDX2),0),AZ115))</f>
        <v>#REF!</v>
      </c>
      <c r="BF115" s="110" t="e">
        <f t="shared" ca="1" si="229"/>
        <v>#REF!</v>
      </c>
      <c r="BG115" s="106" t="e">
        <f t="shared" ca="1" si="230"/>
        <v>#REF!</v>
      </c>
      <c r="BH115" s="107" t="e">
        <f t="shared" ca="1" si="231"/>
        <v>#REF!</v>
      </c>
      <c r="BI115" s="107" t="e">
        <f t="shared" ca="1" si="232"/>
        <v>#REF!</v>
      </c>
      <c r="BJ115" s="107" t="e">
        <f t="shared" ca="1" si="233"/>
        <v>#REF!</v>
      </c>
      <c r="BK115" s="91" t="e">
        <f t="shared" ca="1" si="186"/>
        <v>#REF!</v>
      </c>
      <c r="BL115" s="107" t="e">
        <f ca="1">-IF(INDEX(SC_ZX_CodeA,ZXIDX1)="X", 0, MIN(BK115*MAX(INDEX(SC_ZX_Drawdown,ZXIDX2),0),BJ115))</f>
        <v>#REF!</v>
      </c>
      <c r="BM115" s="107" t="e">
        <f t="shared" ca="1" si="234"/>
        <v>#REF!</v>
      </c>
      <c r="BN115" s="113" t="e">
        <f t="shared" ca="1" si="235"/>
        <v>#REF!</v>
      </c>
      <c r="BO115" s="114" t="e">
        <f t="shared" ca="1" si="236"/>
        <v>#REF!</v>
      </c>
      <c r="BP115" s="114" t="e">
        <f ca="1">-($V115-IF(($P115+$R115+$S115)&gt;0,MAX($V115/($P115+$R115+$S115)*($Q115+$R115),$V115),0))*LT_InvestmentQDI</f>
        <v>#REF!</v>
      </c>
      <c r="BQ115" s="114" t="e">
        <f ca="1">-($V115-IF(($P115+$R115+$S115)&gt;0,MAX($V115/($P115+$R115+$S115)*($Q115+$R115),$V115),0))*(1-LT_InvestmentQDI)</f>
        <v>#REF!</v>
      </c>
      <c r="BR115" s="114" t="e">
        <f t="shared" ca="1" si="237"/>
        <v>#REF!</v>
      </c>
      <c r="BS115" s="114" t="e">
        <f t="shared" ca="1" si="238"/>
        <v>#REF!</v>
      </c>
      <c r="BT115" s="649"/>
      <c r="BU115" s="637"/>
      <c r="BV115" s="637"/>
      <c r="BW115" s="637"/>
      <c r="BX115" s="639"/>
    </row>
    <row r="116" spans="2:76" x14ac:dyDescent="0.25">
      <c r="B116" s="65">
        <f ca="1">B114+1</f>
        <v>2075</v>
      </c>
      <c r="C116" s="76" t="s">
        <v>741</v>
      </c>
      <c r="D116" s="146" t="str">
        <f t="shared" si="200"/>
        <v/>
      </c>
      <c r="E116" s="77">
        <f t="shared" si="138"/>
        <v>0</v>
      </c>
      <c r="F116" s="77">
        <f t="shared" si="143"/>
        <v>1</v>
      </c>
      <c r="G116" s="76">
        <f t="shared" si="139"/>
        <v>1</v>
      </c>
      <c r="H116" s="76">
        <f t="shared" si="201"/>
        <v>0</v>
      </c>
      <c r="I116" s="77" t="b">
        <f t="shared" si="202"/>
        <v>0</v>
      </c>
      <c r="J116" s="77"/>
      <c r="K116" s="77"/>
      <c r="L116" s="77"/>
      <c r="M116" s="77"/>
      <c r="N116" s="632">
        <f ca="1">YEAR(SP_TargetRD)-$B116</f>
        <v>-52</v>
      </c>
      <c r="O116" s="243" t="e">
        <f ca="1">LT_InvestmentStocks*INDEX(SP_EA_ARStocks,EAIDX)+LT_InvestmentBonds*INDEX(SC_EA_ARBonds,EAIDX)</f>
        <v>#REF!</v>
      </c>
      <c r="P116" s="634" t="e">
        <f ca="1">MAX(P114+R114+S114+V114+W114,0)</f>
        <v>#VALUE!</v>
      </c>
      <c r="Q116" s="617" t="e">
        <f t="shared" ref="Q116" ca="1" si="243">MAX(Q114+R114+IF((P114+R114+S114)&gt;0,MAX(V114/(P114+R114+S114)*(Q114+R114),V114),0),0)</f>
        <v>#VALUE!</v>
      </c>
      <c r="R116" s="617" t="e">
        <f ca="1">IF(SC_ZX_CodeA="X", 0, MAX(INDEX(SC_ZX_IncomeSurplus,ZXIDX2)+INDEX(SC_ZX_Debt,ZXIDX2),0))</f>
        <v>#VALUE!</v>
      </c>
      <c r="S116" s="617" t="e">
        <f ca="1">IF(SC_ZX_CodeA="X", 0, INDEX(SC_EX_RolloverCore,EXIDX))</f>
        <v>#VALUE!</v>
      </c>
      <c r="T116" s="617" t="e">
        <f ca="1">P116+R116+S116</f>
        <v>#VALUE!</v>
      </c>
      <c r="U116" s="642" t="e">
        <f ca="1">IF(SC_ZX_BalanceAccessibleA&gt;0, T116/SC_ZX_BalanceAccessibleA, 0)</f>
        <v>#VALUE!</v>
      </c>
      <c r="V116" s="617" t="e">
        <f ca="1">-IF(SC_ZX_CodeA="X",0,MIN(U116*MAX(INDEX(SC_ZX_Drawdown,ZXIDX2),0),T116))</f>
        <v>#VALUE!</v>
      </c>
      <c r="W116" s="618" t="e">
        <f ca="1">(P116+R116+S116+V116)*$O116</f>
        <v>#VALUE!</v>
      </c>
      <c r="X116" s="75" t="e">
        <f t="shared" ca="1" si="205"/>
        <v>#REF!</v>
      </c>
      <c r="Y116" s="70" t="e">
        <f t="shared" ca="1" si="206"/>
        <v>#REF!</v>
      </c>
      <c r="Z116" s="70" t="e">
        <f t="shared" ca="1" si="207"/>
        <v>#REF!</v>
      </c>
      <c r="AA116" s="70" t="e">
        <f t="shared" ca="1" si="208"/>
        <v>#REF!</v>
      </c>
      <c r="AB116" s="67" t="e">
        <f t="shared" ca="1" si="181"/>
        <v>#REF!</v>
      </c>
      <c r="AC116" s="70" t="e">
        <f ca="1">-IF(INDEX(SC_ZX_CodeA,ZXIDX1)="X", 0, MIN(AB116*MAX(INDEX(SC_ZX_Drawdown,ZXIDX2),0),AA116))</f>
        <v>#REF!</v>
      </c>
      <c r="AD116" s="109" t="e">
        <f t="shared" ca="1" si="209"/>
        <v>#REF!</v>
      </c>
      <c r="AE116" s="75" t="e">
        <f t="shared" ca="1" si="210"/>
        <v>#REF!</v>
      </c>
      <c r="AF116" s="70" t="e">
        <f t="shared" ca="1" si="211"/>
        <v>#REF!</v>
      </c>
      <c r="AG116" s="70" t="e">
        <f t="shared" ca="1" si="212"/>
        <v>#REF!</v>
      </c>
      <c r="AH116" s="70" t="e">
        <f t="shared" ca="1" si="213"/>
        <v>#REF!</v>
      </c>
      <c r="AI116" s="67" t="e">
        <f t="shared" ca="1" si="182"/>
        <v>#REF!</v>
      </c>
      <c r="AJ116" s="70" t="e">
        <f ca="1">-IF(INDEX(SC_ZX_CodeA,ZXIDX1)="X", 0, MIN(AI116*MAX(INDEX(SC_ZX_Drawdown,ZXIDX2),0),AH116))</f>
        <v>#REF!</v>
      </c>
      <c r="AK116" s="109" t="e">
        <f t="shared" ca="1" si="214"/>
        <v>#REF!</v>
      </c>
      <c r="AL116" s="75" t="e">
        <f t="shared" ca="1" si="215"/>
        <v>#REF!</v>
      </c>
      <c r="AM116" s="70" t="e">
        <f t="shared" ca="1" si="216"/>
        <v>#REF!</v>
      </c>
      <c r="AN116" s="70" t="e">
        <f t="shared" ca="1" si="217"/>
        <v>#REF!</v>
      </c>
      <c r="AO116" s="70" t="e">
        <f t="shared" ca="1" si="218"/>
        <v>#REF!</v>
      </c>
      <c r="AP116" s="67" t="e">
        <f t="shared" ca="1" si="183"/>
        <v>#REF!</v>
      </c>
      <c r="AQ116" s="70" t="e">
        <f ca="1">-IF(INDEX(SC_ZX_CodeA,ZXIDX1)="X", 0, MIN(AP116*MAX(INDEX(SC_ZX_Drawdown,ZXIDX2),0),AO116))</f>
        <v>#REF!</v>
      </c>
      <c r="AR116" s="109" t="e">
        <f t="shared" ca="1" si="219"/>
        <v>#REF!</v>
      </c>
      <c r="AS116" s="75" t="e">
        <f t="shared" ca="1" si="220"/>
        <v>#REF!</v>
      </c>
      <c r="AT116" s="70" t="e">
        <f t="shared" ca="1" si="221"/>
        <v>#REF!</v>
      </c>
      <c r="AU116" s="70" t="e">
        <f t="shared" ca="1" si="222"/>
        <v>#REF!</v>
      </c>
      <c r="AV116" s="70" t="e">
        <f t="shared" ca="1" si="223"/>
        <v>#REF!</v>
      </c>
      <c r="AW116" s="67" t="e">
        <f t="shared" ca="1" si="184"/>
        <v>#REF!</v>
      </c>
      <c r="AX116" s="70" t="e">
        <f ca="1">-IF(INDEX(SC_ZX_CodeA,ZXIDX1)="X", 0, MIN(AW116*MAX(INDEX(SC_ZX_Drawdown,ZXIDX2),0),AV116))</f>
        <v>#REF!</v>
      </c>
      <c r="AY116" s="109" t="e">
        <f t="shared" ca="1" si="224"/>
        <v>#REF!</v>
      </c>
      <c r="AZ116" s="75" t="e">
        <f t="shared" ca="1" si="225"/>
        <v>#REF!</v>
      </c>
      <c r="BA116" s="70" t="e">
        <f t="shared" ca="1" si="226"/>
        <v>#REF!</v>
      </c>
      <c r="BB116" s="70" t="e">
        <f t="shared" ca="1" si="227"/>
        <v>#REF!</v>
      </c>
      <c r="BC116" s="70" t="e">
        <f t="shared" ca="1" si="228"/>
        <v>#REF!</v>
      </c>
      <c r="BD116" s="67" t="e">
        <f t="shared" ca="1" si="185"/>
        <v>#REF!</v>
      </c>
      <c r="BE116" s="70" t="e">
        <f ca="1">-IF(INDEX(SC_ZX_CodeA,ZXIDX1)="X", 0, MIN(BD116*MAX(INDEX(SC_ZX_Drawdown,ZXIDX2),0),AZ116))</f>
        <v>#REF!</v>
      </c>
      <c r="BF116" s="109" t="e">
        <f t="shared" ca="1" si="229"/>
        <v>#REF!</v>
      </c>
      <c r="BG116" s="75" t="e">
        <f t="shared" ca="1" si="230"/>
        <v>#REF!</v>
      </c>
      <c r="BH116" s="70" t="e">
        <f t="shared" ca="1" si="231"/>
        <v>#REF!</v>
      </c>
      <c r="BI116" s="70" t="e">
        <f t="shared" ca="1" si="232"/>
        <v>#REF!</v>
      </c>
      <c r="BJ116" s="70" t="e">
        <f t="shared" ca="1" si="233"/>
        <v>#REF!</v>
      </c>
      <c r="BK116" s="67" t="e">
        <f t="shared" ca="1" si="186"/>
        <v>#REF!</v>
      </c>
      <c r="BL116" s="70" t="e">
        <f ca="1">-IF(INDEX(SC_ZX_CodeA,ZXIDX1)="X", 0, MIN(BK116*MAX(INDEX(SC_ZX_Drawdown,ZXIDX2),0),BJ116))</f>
        <v>#REF!</v>
      </c>
      <c r="BM116" s="70" t="e">
        <f t="shared" ca="1" si="234"/>
        <v>#REF!</v>
      </c>
      <c r="BN116" s="111" t="e">
        <f t="shared" ca="1" si="235"/>
        <v>#REF!</v>
      </c>
      <c r="BO116" s="112" t="e">
        <f t="shared" ca="1" si="236"/>
        <v>#REF!</v>
      </c>
      <c r="BP116" s="112" t="e">
        <f ca="1">-($V116-IF(($P116+$R116+$S116)&gt;0,MAX($V116/($P116+$R116+$S116)*($Q116+$R116),$V116),0))*LT_InvestmentQDI</f>
        <v>#VALUE!</v>
      </c>
      <c r="BQ116" s="112" t="e">
        <f ca="1">-($V116-IF(($P116+$R116+$S116)&gt;0,MAX($V116/($P116+$R116+$S116)*($Q116+$R116),$V116),0))*(1-LT_InvestmentQDI)</f>
        <v>#VALUE!</v>
      </c>
      <c r="BR116" s="112" t="e">
        <f t="shared" ca="1" si="237"/>
        <v>#VALUE!</v>
      </c>
      <c r="BS116" s="112" t="e">
        <f t="shared" ca="1" si="238"/>
        <v>#VALUE!</v>
      </c>
      <c r="BT116" s="634" t="e">
        <f ca="1">SUMPRODUCT($BN116:$BN117+$BO116:$BO117, --($E116:$E117&lt;&gt;0))</f>
        <v>#REF!</v>
      </c>
      <c r="BU116" s="617" t="e">
        <f ca="1">SUMPRODUCT($BR116:$BR117+$BS116:$BS117, --($E116:$E117&lt;&gt;0))</f>
        <v>#VALUE!</v>
      </c>
      <c r="BV116" s="617" t="e">
        <f ca="1">$T116+SUMPRODUCT($AA116:$AA117+$AH116:$AH117+$AO116:$AO117+$AV116:$AV117+$BC116:$BC117+$BJ116:$BJ117, --($E116:$E117&lt;&gt;0))</f>
        <v>#VALUE!</v>
      </c>
      <c r="BW116" s="617" t="e">
        <f ca="1">MAX($P116-$Q116,0)+SUMPRODUCT($X116:$X117+$AL116:$AL117+$AZ116:$AZ117, --($E116:$E117&lt;&gt;0))</f>
        <v>#VALUE!</v>
      </c>
      <c r="BX116" s="618" t="e">
        <f ca="1">MIN($P116,$Q116)+SUMPRODUCT($AE116:$AE117+$AS116:$AS117+$BG116:$BG117, --($E116:$E117&lt;&gt;0))</f>
        <v>#VALUE!</v>
      </c>
    </row>
    <row r="117" spans="2:76" x14ac:dyDescent="0.25">
      <c r="B117" s="86">
        <f t="shared" ca="1" si="179"/>
        <v>2075</v>
      </c>
      <c r="C117" s="80" t="s">
        <v>741</v>
      </c>
      <c r="D117" s="147" t="str">
        <f t="shared" si="200"/>
        <v/>
      </c>
      <c r="E117" s="81">
        <f t="shared" si="138"/>
        <v>0</v>
      </c>
      <c r="F117" s="81">
        <f t="shared" si="143"/>
        <v>2</v>
      </c>
      <c r="G117" s="82">
        <f t="shared" si="139"/>
        <v>-1</v>
      </c>
      <c r="H117" s="82">
        <f t="shared" si="201"/>
        <v>0</v>
      </c>
      <c r="I117" s="81" t="b">
        <f t="shared" si="202"/>
        <v>0</v>
      </c>
      <c r="J117" s="81"/>
      <c r="K117" s="81"/>
      <c r="L117" s="81"/>
      <c r="M117" s="81"/>
      <c r="N117" s="633"/>
      <c r="O117" s="243" t="e">
        <f ca="1">LT_InvestmentStocks*INDEX(SP_EA_ARStocks,EAIDX)+LT_InvestmentBonds*INDEX(SC_EA_ARBonds,EAIDX)</f>
        <v>#REF!</v>
      </c>
      <c r="P117" s="634"/>
      <c r="Q117" s="617"/>
      <c r="R117" s="617"/>
      <c r="S117" s="617"/>
      <c r="T117" s="617"/>
      <c r="U117" s="643"/>
      <c r="V117" s="617"/>
      <c r="W117" s="639"/>
      <c r="X117" s="106" t="e">
        <f t="shared" ca="1" si="205"/>
        <v>#REF!</v>
      </c>
      <c r="Y117" s="107" t="e">
        <f t="shared" ca="1" si="206"/>
        <v>#REF!</v>
      </c>
      <c r="Z117" s="107" t="e">
        <f t="shared" ca="1" si="207"/>
        <v>#REF!</v>
      </c>
      <c r="AA117" s="107" t="e">
        <f t="shared" ca="1" si="208"/>
        <v>#REF!</v>
      </c>
      <c r="AB117" s="91" t="e">
        <f t="shared" ca="1" si="181"/>
        <v>#REF!</v>
      </c>
      <c r="AC117" s="107" t="e">
        <f ca="1">-IF(INDEX(SC_ZX_CodeA,ZXIDX1)="X", 0, MIN(AB117*MAX(INDEX(SC_ZX_Drawdown,ZXIDX2),0),AA117))</f>
        <v>#REF!</v>
      </c>
      <c r="AD117" s="110" t="e">
        <f t="shared" ca="1" si="209"/>
        <v>#REF!</v>
      </c>
      <c r="AE117" s="106" t="e">
        <f t="shared" ca="1" si="210"/>
        <v>#REF!</v>
      </c>
      <c r="AF117" s="107" t="e">
        <f t="shared" ca="1" si="211"/>
        <v>#REF!</v>
      </c>
      <c r="AG117" s="107" t="e">
        <f t="shared" ca="1" si="212"/>
        <v>#REF!</v>
      </c>
      <c r="AH117" s="107" t="e">
        <f t="shared" ca="1" si="213"/>
        <v>#REF!</v>
      </c>
      <c r="AI117" s="91" t="e">
        <f t="shared" ca="1" si="182"/>
        <v>#REF!</v>
      </c>
      <c r="AJ117" s="107" t="e">
        <f ca="1">-IF(INDEX(SC_ZX_CodeA,ZXIDX1)="X", 0, MIN(AI117*MAX(INDEX(SC_ZX_Drawdown,ZXIDX2),0),AH117))</f>
        <v>#REF!</v>
      </c>
      <c r="AK117" s="110" t="e">
        <f t="shared" ca="1" si="214"/>
        <v>#REF!</v>
      </c>
      <c r="AL117" s="106" t="e">
        <f t="shared" ca="1" si="215"/>
        <v>#REF!</v>
      </c>
      <c r="AM117" s="107" t="e">
        <f t="shared" ca="1" si="216"/>
        <v>#REF!</v>
      </c>
      <c r="AN117" s="107" t="e">
        <f t="shared" ca="1" si="217"/>
        <v>#REF!</v>
      </c>
      <c r="AO117" s="107" t="e">
        <f t="shared" ca="1" si="218"/>
        <v>#REF!</v>
      </c>
      <c r="AP117" s="91" t="e">
        <f t="shared" ca="1" si="183"/>
        <v>#REF!</v>
      </c>
      <c r="AQ117" s="107" t="e">
        <f ca="1">-IF(INDEX(SC_ZX_CodeA,ZXIDX1)="X", 0, MIN(AP117*MAX(INDEX(SC_ZX_Drawdown,ZXIDX2),0),AO117))</f>
        <v>#REF!</v>
      </c>
      <c r="AR117" s="110" t="e">
        <f t="shared" ca="1" si="219"/>
        <v>#REF!</v>
      </c>
      <c r="AS117" s="106" t="e">
        <f t="shared" ca="1" si="220"/>
        <v>#REF!</v>
      </c>
      <c r="AT117" s="107" t="e">
        <f t="shared" ca="1" si="221"/>
        <v>#REF!</v>
      </c>
      <c r="AU117" s="107" t="e">
        <f t="shared" ca="1" si="222"/>
        <v>#REF!</v>
      </c>
      <c r="AV117" s="107" t="e">
        <f t="shared" ca="1" si="223"/>
        <v>#REF!</v>
      </c>
      <c r="AW117" s="91" t="e">
        <f t="shared" ca="1" si="184"/>
        <v>#REF!</v>
      </c>
      <c r="AX117" s="107" t="e">
        <f ca="1">-IF(INDEX(SC_ZX_CodeA,ZXIDX1)="X", 0, MIN(AW117*MAX(INDEX(SC_ZX_Drawdown,ZXIDX2),0),AV117))</f>
        <v>#REF!</v>
      </c>
      <c r="AY117" s="110" t="e">
        <f t="shared" ca="1" si="224"/>
        <v>#REF!</v>
      </c>
      <c r="AZ117" s="106" t="e">
        <f t="shared" ca="1" si="225"/>
        <v>#REF!</v>
      </c>
      <c r="BA117" s="107" t="e">
        <f t="shared" ca="1" si="226"/>
        <v>#REF!</v>
      </c>
      <c r="BB117" s="107" t="e">
        <f t="shared" ca="1" si="227"/>
        <v>#REF!</v>
      </c>
      <c r="BC117" s="107" t="e">
        <f t="shared" ca="1" si="228"/>
        <v>#REF!</v>
      </c>
      <c r="BD117" s="91" t="e">
        <f t="shared" ca="1" si="185"/>
        <v>#REF!</v>
      </c>
      <c r="BE117" s="107" t="e">
        <f ca="1">-IF(INDEX(SC_ZX_CodeA,ZXIDX1)="X", 0, MIN(BD117*MAX(INDEX(SC_ZX_Drawdown,ZXIDX2),0),AZ117))</f>
        <v>#REF!</v>
      </c>
      <c r="BF117" s="110" t="e">
        <f t="shared" ca="1" si="229"/>
        <v>#REF!</v>
      </c>
      <c r="BG117" s="106" t="e">
        <f t="shared" ca="1" si="230"/>
        <v>#REF!</v>
      </c>
      <c r="BH117" s="107" t="e">
        <f t="shared" ca="1" si="231"/>
        <v>#REF!</v>
      </c>
      <c r="BI117" s="107" t="e">
        <f t="shared" ca="1" si="232"/>
        <v>#REF!</v>
      </c>
      <c r="BJ117" s="107" t="e">
        <f t="shared" ca="1" si="233"/>
        <v>#REF!</v>
      </c>
      <c r="BK117" s="91" t="e">
        <f t="shared" ca="1" si="186"/>
        <v>#REF!</v>
      </c>
      <c r="BL117" s="107" t="e">
        <f ca="1">-IF(INDEX(SC_ZX_CodeA,ZXIDX1)="X", 0, MIN(BK117*MAX(INDEX(SC_ZX_Drawdown,ZXIDX2),0),BJ117))</f>
        <v>#REF!</v>
      </c>
      <c r="BM117" s="107" t="e">
        <f t="shared" ca="1" si="234"/>
        <v>#REF!</v>
      </c>
      <c r="BN117" s="113" t="e">
        <f t="shared" ca="1" si="235"/>
        <v>#REF!</v>
      </c>
      <c r="BO117" s="114" t="e">
        <f t="shared" ca="1" si="236"/>
        <v>#REF!</v>
      </c>
      <c r="BP117" s="114" t="e">
        <f ca="1">-($V117-IF(($P117+$R117+$S117)&gt;0,MAX($V117/($P117+$R117+$S117)*($Q117+$R117),$V117),0))*LT_InvestmentQDI</f>
        <v>#REF!</v>
      </c>
      <c r="BQ117" s="114" t="e">
        <f ca="1">-($V117-IF(($P117+$R117+$S117)&gt;0,MAX($V117/($P117+$R117+$S117)*($Q117+$R117),$V117),0))*(1-LT_InvestmentQDI)</f>
        <v>#REF!</v>
      </c>
      <c r="BR117" s="114" t="e">
        <f t="shared" ca="1" si="237"/>
        <v>#REF!</v>
      </c>
      <c r="BS117" s="114" t="e">
        <f t="shared" ca="1" si="238"/>
        <v>#REF!</v>
      </c>
      <c r="BT117" s="649"/>
      <c r="BU117" s="637"/>
      <c r="BV117" s="637"/>
      <c r="BW117" s="637"/>
      <c r="BX117" s="639"/>
    </row>
    <row r="118" spans="2:76" x14ac:dyDescent="0.25">
      <c r="B118" s="65">
        <f ca="1">B116+1</f>
        <v>2076</v>
      </c>
      <c r="C118" s="76" t="s">
        <v>741</v>
      </c>
      <c r="D118" s="146" t="str">
        <f t="shared" si="200"/>
        <v/>
      </c>
      <c r="E118" s="77">
        <f t="shared" si="138"/>
        <v>0</v>
      </c>
      <c r="F118" s="77">
        <f t="shared" si="143"/>
        <v>1</v>
      </c>
      <c r="G118" s="76">
        <f t="shared" si="139"/>
        <v>1</v>
      </c>
      <c r="H118" s="76">
        <f t="shared" si="201"/>
        <v>0</v>
      </c>
      <c r="I118" s="77" t="b">
        <f t="shared" si="202"/>
        <v>0</v>
      </c>
      <c r="J118" s="77"/>
      <c r="K118" s="77"/>
      <c r="L118" s="77"/>
      <c r="M118" s="77"/>
      <c r="N118" s="632">
        <f ca="1">YEAR(SP_TargetRD)-$B118</f>
        <v>-53</v>
      </c>
      <c r="O118" s="243" t="e">
        <f ca="1">LT_InvestmentStocks*INDEX(SP_EA_ARStocks,EAIDX)+LT_InvestmentBonds*INDEX(SC_EA_ARBonds,EAIDX)</f>
        <v>#REF!</v>
      </c>
      <c r="P118" s="634" t="e">
        <f ca="1">MAX(P116+R116+S116+V116+W116,0)</f>
        <v>#VALUE!</v>
      </c>
      <c r="Q118" s="617" t="e">
        <f t="shared" ref="Q118" ca="1" si="244">MAX(Q116+R116+IF((P116+R116+S116)&gt;0,MAX(V116/(P116+R116+S116)*(Q116+R116),V116),0),0)</f>
        <v>#VALUE!</v>
      </c>
      <c r="R118" s="617" t="e">
        <f ca="1">IF(SC_ZX_CodeA="X", 0, MAX(INDEX(SC_ZX_IncomeSurplus,ZXIDX2)+INDEX(SC_ZX_Debt,ZXIDX2),0))</f>
        <v>#VALUE!</v>
      </c>
      <c r="S118" s="617" t="e">
        <f ca="1">IF(SC_ZX_CodeA="X", 0, INDEX(SC_EX_RolloverCore,EXIDX))</f>
        <v>#VALUE!</v>
      </c>
      <c r="T118" s="617" t="e">
        <f ca="1">P118+R118+S118</f>
        <v>#VALUE!</v>
      </c>
      <c r="U118" s="642" t="e">
        <f ca="1">IF(SC_ZX_BalanceAccessibleA&gt;0, T118/SC_ZX_BalanceAccessibleA, 0)</f>
        <v>#VALUE!</v>
      </c>
      <c r="V118" s="617" t="e">
        <f ca="1">-IF(SC_ZX_CodeA="X",0,MIN(U118*MAX(INDEX(SC_ZX_Drawdown,ZXIDX2),0),T118))</f>
        <v>#VALUE!</v>
      </c>
      <c r="W118" s="618" t="e">
        <f ca="1">(P118+R118+S118+V118)*$O118</f>
        <v>#VALUE!</v>
      </c>
      <c r="X118" s="75" t="e">
        <f t="shared" ca="1" si="205"/>
        <v>#REF!</v>
      </c>
      <c r="Y118" s="70" t="e">
        <f t="shared" ca="1" si="206"/>
        <v>#REF!</v>
      </c>
      <c r="Z118" s="70" t="e">
        <f t="shared" ca="1" si="207"/>
        <v>#REF!</v>
      </c>
      <c r="AA118" s="70" t="e">
        <f t="shared" ca="1" si="208"/>
        <v>#REF!</v>
      </c>
      <c r="AB118" s="67" t="e">
        <f t="shared" ca="1" si="181"/>
        <v>#REF!</v>
      </c>
      <c r="AC118" s="70" t="e">
        <f ca="1">-IF(INDEX(SC_ZX_CodeA,ZXIDX1)="X", 0, MIN(AB118*MAX(INDEX(SC_ZX_Drawdown,ZXIDX2),0),AA118))</f>
        <v>#REF!</v>
      </c>
      <c r="AD118" s="109" t="e">
        <f t="shared" ca="1" si="209"/>
        <v>#REF!</v>
      </c>
      <c r="AE118" s="75" t="e">
        <f t="shared" ca="1" si="210"/>
        <v>#REF!</v>
      </c>
      <c r="AF118" s="70" t="e">
        <f t="shared" ca="1" si="211"/>
        <v>#REF!</v>
      </c>
      <c r="AG118" s="70" t="e">
        <f t="shared" ca="1" si="212"/>
        <v>#REF!</v>
      </c>
      <c r="AH118" s="70" t="e">
        <f t="shared" ca="1" si="213"/>
        <v>#REF!</v>
      </c>
      <c r="AI118" s="67" t="e">
        <f t="shared" ca="1" si="182"/>
        <v>#REF!</v>
      </c>
      <c r="AJ118" s="70" t="e">
        <f ca="1">-IF(INDEX(SC_ZX_CodeA,ZXIDX1)="X", 0, MIN(AI118*MAX(INDEX(SC_ZX_Drawdown,ZXIDX2),0),AH118))</f>
        <v>#REF!</v>
      </c>
      <c r="AK118" s="109" t="e">
        <f t="shared" ca="1" si="214"/>
        <v>#REF!</v>
      </c>
      <c r="AL118" s="75" t="e">
        <f t="shared" ca="1" si="215"/>
        <v>#REF!</v>
      </c>
      <c r="AM118" s="70" t="e">
        <f t="shared" ca="1" si="216"/>
        <v>#REF!</v>
      </c>
      <c r="AN118" s="70" t="e">
        <f t="shared" ca="1" si="217"/>
        <v>#REF!</v>
      </c>
      <c r="AO118" s="70" t="e">
        <f t="shared" ca="1" si="218"/>
        <v>#REF!</v>
      </c>
      <c r="AP118" s="67" t="e">
        <f t="shared" ca="1" si="183"/>
        <v>#REF!</v>
      </c>
      <c r="AQ118" s="70" t="e">
        <f ca="1">-IF(INDEX(SC_ZX_CodeA,ZXIDX1)="X", 0, MIN(AP118*MAX(INDEX(SC_ZX_Drawdown,ZXIDX2),0),AO118))</f>
        <v>#REF!</v>
      </c>
      <c r="AR118" s="109" t="e">
        <f t="shared" ca="1" si="219"/>
        <v>#REF!</v>
      </c>
      <c r="AS118" s="75" t="e">
        <f t="shared" ca="1" si="220"/>
        <v>#REF!</v>
      </c>
      <c r="AT118" s="70" t="e">
        <f t="shared" ca="1" si="221"/>
        <v>#REF!</v>
      </c>
      <c r="AU118" s="70" t="e">
        <f t="shared" ca="1" si="222"/>
        <v>#REF!</v>
      </c>
      <c r="AV118" s="70" t="e">
        <f t="shared" ca="1" si="223"/>
        <v>#REF!</v>
      </c>
      <c r="AW118" s="67" t="e">
        <f t="shared" ca="1" si="184"/>
        <v>#REF!</v>
      </c>
      <c r="AX118" s="70" t="e">
        <f ca="1">-IF(INDEX(SC_ZX_CodeA,ZXIDX1)="X", 0, MIN(AW118*MAX(INDEX(SC_ZX_Drawdown,ZXIDX2),0),AV118))</f>
        <v>#REF!</v>
      </c>
      <c r="AY118" s="109" t="e">
        <f t="shared" ca="1" si="224"/>
        <v>#REF!</v>
      </c>
      <c r="AZ118" s="75" t="e">
        <f t="shared" ca="1" si="225"/>
        <v>#REF!</v>
      </c>
      <c r="BA118" s="70" t="e">
        <f t="shared" ca="1" si="226"/>
        <v>#REF!</v>
      </c>
      <c r="BB118" s="70" t="e">
        <f t="shared" ca="1" si="227"/>
        <v>#REF!</v>
      </c>
      <c r="BC118" s="70" t="e">
        <f t="shared" ca="1" si="228"/>
        <v>#REF!</v>
      </c>
      <c r="BD118" s="67" t="e">
        <f t="shared" ca="1" si="185"/>
        <v>#REF!</v>
      </c>
      <c r="BE118" s="70" t="e">
        <f ca="1">-IF(INDEX(SC_ZX_CodeA,ZXIDX1)="X", 0, MIN(BD118*MAX(INDEX(SC_ZX_Drawdown,ZXIDX2),0),AZ118))</f>
        <v>#REF!</v>
      </c>
      <c r="BF118" s="109" t="e">
        <f t="shared" ca="1" si="229"/>
        <v>#REF!</v>
      </c>
      <c r="BG118" s="75" t="e">
        <f t="shared" ca="1" si="230"/>
        <v>#REF!</v>
      </c>
      <c r="BH118" s="70" t="e">
        <f t="shared" ca="1" si="231"/>
        <v>#REF!</v>
      </c>
      <c r="BI118" s="70" t="e">
        <f t="shared" ca="1" si="232"/>
        <v>#REF!</v>
      </c>
      <c r="BJ118" s="70" t="e">
        <f t="shared" ca="1" si="233"/>
        <v>#REF!</v>
      </c>
      <c r="BK118" s="67" t="e">
        <f t="shared" ca="1" si="186"/>
        <v>#REF!</v>
      </c>
      <c r="BL118" s="70" t="e">
        <f ca="1">-IF(INDEX(SC_ZX_CodeA,ZXIDX1)="X", 0, MIN(BK118*MAX(INDEX(SC_ZX_Drawdown,ZXIDX2),0),BJ118))</f>
        <v>#REF!</v>
      </c>
      <c r="BM118" s="70" t="e">
        <f t="shared" ca="1" si="234"/>
        <v>#REF!</v>
      </c>
      <c r="BN118" s="111" t="e">
        <f t="shared" ca="1" si="235"/>
        <v>#REF!</v>
      </c>
      <c r="BO118" s="112" t="e">
        <f t="shared" ca="1" si="236"/>
        <v>#REF!</v>
      </c>
      <c r="BP118" s="112" t="e">
        <f ca="1">-($V118-IF(($P118+$R118+$S118)&gt;0,MAX($V118/($P118+$R118+$S118)*($Q118+$R118),$V118),0))*LT_InvestmentQDI</f>
        <v>#VALUE!</v>
      </c>
      <c r="BQ118" s="112" t="e">
        <f ca="1">-($V118-IF(($P118+$R118+$S118)&gt;0,MAX($V118/($P118+$R118+$S118)*($Q118+$R118),$V118),0))*(1-LT_InvestmentQDI)</f>
        <v>#VALUE!</v>
      </c>
      <c r="BR118" s="112" t="e">
        <f t="shared" ca="1" si="237"/>
        <v>#VALUE!</v>
      </c>
      <c r="BS118" s="112" t="e">
        <f t="shared" ca="1" si="238"/>
        <v>#VALUE!</v>
      </c>
      <c r="BT118" s="634" t="e">
        <f ca="1">SUMPRODUCT($BN118:$BN119+$BO118:$BO119, --($E118:$E119&lt;&gt;0))</f>
        <v>#REF!</v>
      </c>
      <c r="BU118" s="617" t="e">
        <f ca="1">SUMPRODUCT($BR118:$BR119+$BS118:$BS119, --($E118:$E119&lt;&gt;0))</f>
        <v>#VALUE!</v>
      </c>
      <c r="BV118" s="617" t="e">
        <f ca="1">$T118+SUMPRODUCT($AA118:$AA119+$AH118:$AH119+$AO118:$AO119+$AV118:$AV119+$BC118:$BC119+$BJ118:$BJ119, --($E118:$E119&lt;&gt;0))</f>
        <v>#VALUE!</v>
      </c>
      <c r="BW118" s="617" t="e">
        <f ca="1">MAX($P118-$Q118,0)+SUMPRODUCT($X118:$X119+$AL118:$AL119+$AZ118:$AZ119, --($E118:$E119&lt;&gt;0))</f>
        <v>#VALUE!</v>
      </c>
      <c r="BX118" s="618" t="e">
        <f ca="1">MIN($P118,$Q118)+SUMPRODUCT($AE118:$AE119+$AS118:$AS119+$BG118:$BG119, --($E118:$E119&lt;&gt;0))</f>
        <v>#VALUE!</v>
      </c>
    </row>
    <row r="119" spans="2:76" x14ac:dyDescent="0.25">
      <c r="B119" s="86">
        <f t="shared" ca="1" si="179"/>
        <v>2076</v>
      </c>
      <c r="C119" s="80" t="s">
        <v>741</v>
      </c>
      <c r="D119" s="147" t="str">
        <f t="shared" si="200"/>
        <v/>
      </c>
      <c r="E119" s="81">
        <f t="shared" si="138"/>
        <v>0</v>
      </c>
      <c r="F119" s="81">
        <f t="shared" si="143"/>
        <v>2</v>
      </c>
      <c r="G119" s="82">
        <f t="shared" si="139"/>
        <v>-1</v>
      </c>
      <c r="H119" s="82">
        <f t="shared" si="201"/>
        <v>0</v>
      </c>
      <c r="I119" s="81" t="b">
        <f t="shared" si="202"/>
        <v>0</v>
      </c>
      <c r="J119" s="81"/>
      <c r="K119" s="81"/>
      <c r="L119" s="81"/>
      <c r="M119" s="81"/>
      <c r="N119" s="633"/>
      <c r="O119" s="243" t="e">
        <f ca="1">LT_InvestmentStocks*INDEX(SP_EA_ARStocks,EAIDX)+LT_InvestmentBonds*INDEX(SC_EA_ARBonds,EAIDX)</f>
        <v>#REF!</v>
      </c>
      <c r="P119" s="634"/>
      <c r="Q119" s="617"/>
      <c r="R119" s="617"/>
      <c r="S119" s="617"/>
      <c r="T119" s="617"/>
      <c r="U119" s="643"/>
      <c r="V119" s="617"/>
      <c r="W119" s="639"/>
      <c r="X119" s="106" t="e">
        <f t="shared" ca="1" si="205"/>
        <v>#REF!</v>
      </c>
      <c r="Y119" s="107" t="e">
        <f t="shared" ca="1" si="206"/>
        <v>#REF!</v>
      </c>
      <c r="Z119" s="107" t="e">
        <f t="shared" ca="1" si="207"/>
        <v>#REF!</v>
      </c>
      <c r="AA119" s="107" t="e">
        <f t="shared" ca="1" si="208"/>
        <v>#REF!</v>
      </c>
      <c r="AB119" s="91" t="e">
        <f t="shared" ca="1" si="181"/>
        <v>#REF!</v>
      </c>
      <c r="AC119" s="107" t="e">
        <f ca="1">-IF(INDEX(SC_ZX_CodeA,ZXIDX1)="X", 0, MIN(AB119*MAX(INDEX(SC_ZX_Drawdown,ZXIDX2),0),AA119))</f>
        <v>#REF!</v>
      </c>
      <c r="AD119" s="110" t="e">
        <f t="shared" ca="1" si="209"/>
        <v>#REF!</v>
      </c>
      <c r="AE119" s="106" t="e">
        <f t="shared" ca="1" si="210"/>
        <v>#REF!</v>
      </c>
      <c r="AF119" s="107" t="e">
        <f t="shared" ca="1" si="211"/>
        <v>#REF!</v>
      </c>
      <c r="AG119" s="107" t="e">
        <f t="shared" ca="1" si="212"/>
        <v>#REF!</v>
      </c>
      <c r="AH119" s="107" t="e">
        <f t="shared" ca="1" si="213"/>
        <v>#REF!</v>
      </c>
      <c r="AI119" s="91" t="e">
        <f t="shared" ca="1" si="182"/>
        <v>#REF!</v>
      </c>
      <c r="AJ119" s="107" t="e">
        <f ca="1">-IF(INDEX(SC_ZX_CodeA,ZXIDX1)="X", 0, MIN(AI119*MAX(INDEX(SC_ZX_Drawdown,ZXIDX2),0),AH119))</f>
        <v>#REF!</v>
      </c>
      <c r="AK119" s="110" t="e">
        <f t="shared" ca="1" si="214"/>
        <v>#REF!</v>
      </c>
      <c r="AL119" s="106" t="e">
        <f t="shared" ca="1" si="215"/>
        <v>#REF!</v>
      </c>
      <c r="AM119" s="107" t="e">
        <f t="shared" ca="1" si="216"/>
        <v>#REF!</v>
      </c>
      <c r="AN119" s="107" t="e">
        <f t="shared" ca="1" si="217"/>
        <v>#REF!</v>
      </c>
      <c r="AO119" s="107" t="e">
        <f t="shared" ca="1" si="218"/>
        <v>#REF!</v>
      </c>
      <c r="AP119" s="91" t="e">
        <f t="shared" ca="1" si="183"/>
        <v>#REF!</v>
      </c>
      <c r="AQ119" s="107" t="e">
        <f ca="1">-IF(INDEX(SC_ZX_CodeA,ZXIDX1)="X", 0, MIN(AP119*MAX(INDEX(SC_ZX_Drawdown,ZXIDX2),0),AO119))</f>
        <v>#REF!</v>
      </c>
      <c r="AR119" s="110" t="e">
        <f t="shared" ca="1" si="219"/>
        <v>#REF!</v>
      </c>
      <c r="AS119" s="106" t="e">
        <f t="shared" ca="1" si="220"/>
        <v>#REF!</v>
      </c>
      <c r="AT119" s="107" t="e">
        <f t="shared" ca="1" si="221"/>
        <v>#REF!</v>
      </c>
      <c r="AU119" s="107" t="e">
        <f t="shared" ca="1" si="222"/>
        <v>#REF!</v>
      </c>
      <c r="AV119" s="107" t="e">
        <f t="shared" ca="1" si="223"/>
        <v>#REF!</v>
      </c>
      <c r="AW119" s="91" t="e">
        <f t="shared" ca="1" si="184"/>
        <v>#REF!</v>
      </c>
      <c r="AX119" s="107" t="e">
        <f ca="1">-IF(INDEX(SC_ZX_CodeA,ZXIDX1)="X", 0, MIN(AW119*MAX(INDEX(SC_ZX_Drawdown,ZXIDX2),0),AV119))</f>
        <v>#REF!</v>
      </c>
      <c r="AY119" s="110" t="e">
        <f t="shared" ca="1" si="224"/>
        <v>#REF!</v>
      </c>
      <c r="AZ119" s="106" t="e">
        <f t="shared" ca="1" si="225"/>
        <v>#REF!</v>
      </c>
      <c r="BA119" s="107" t="e">
        <f t="shared" ca="1" si="226"/>
        <v>#REF!</v>
      </c>
      <c r="BB119" s="107" t="e">
        <f t="shared" ca="1" si="227"/>
        <v>#REF!</v>
      </c>
      <c r="BC119" s="107" t="e">
        <f t="shared" ca="1" si="228"/>
        <v>#REF!</v>
      </c>
      <c r="BD119" s="91" t="e">
        <f t="shared" ca="1" si="185"/>
        <v>#REF!</v>
      </c>
      <c r="BE119" s="107" t="e">
        <f ca="1">-IF(INDEX(SC_ZX_CodeA,ZXIDX1)="X", 0, MIN(BD119*MAX(INDEX(SC_ZX_Drawdown,ZXIDX2),0),AZ119))</f>
        <v>#REF!</v>
      </c>
      <c r="BF119" s="110" t="e">
        <f t="shared" ca="1" si="229"/>
        <v>#REF!</v>
      </c>
      <c r="BG119" s="106" t="e">
        <f t="shared" ca="1" si="230"/>
        <v>#REF!</v>
      </c>
      <c r="BH119" s="107" t="e">
        <f t="shared" ca="1" si="231"/>
        <v>#REF!</v>
      </c>
      <c r="BI119" s="107" t="e">
        <f t="shared" ca="1" si="232"/>
        <v>#REF!</v>
      </c>
      <c r="BJ119" s="107" t="e">
        <f t="shared" ca="1" si="233"/>
        <v>#REF!</v>
      </c>
      <c r="BK119" s="91" t="e">
        <f t="shared" ca="1" si="186"/>
        <v>#REF!</v>
      </c>
      <c r="BL119" s="107" t="e">
        <f ca="1">-IF(INDEX(SC_ZX_CodeA,ZXIDX1)="X", 0, MIN(BK119*MAX(INDEX(SC_ZX_Drawdown,ZXIDX2),0),BJ119))</f>
        <v>#REF!</v>
      </c>
      <c r="BM119" s="107" t="e">
        <f t="shared" ca="1" si="234"/>
        <v>#REF!</v>
      </c>
      <c r="BN119" s="113" t="e">
        <f t="shared" ca="1" si="235"/>
        <v>#REF!</v>
      </c>
      <c r="BO119" s="114" t="e">
        <f t="shared" ca="1" si="236"/>
        <v>#REF!</v>
      </c>
      <c r="BP119" s="114" t="e">
        <f ca="1">-($V119-IF(($P119+$R119+$S119)&gt;0,MAX($V119/($P119+$R119+$S119)*($Q119+$R119),$V119),0))*LT_InvestmentQDI</f>
        <v>#REF!</v>
      </c>
      <c r="BQ119" s="114" t="e">
        <f ca="1">-($V119-IF(($P119+$R119+$S119)&gt;0,MAX($V119/($P119+$R119+$S119)*($Q119+$R119),$V119),0))*(1-LT_InvestmentQDI)</f>
        <v>#REF!</v>
      </c>
      <c r="BR119" s="114" t="e">
        <f t="shared" ca="1" si="237"/>
        <v>#REF!</v>
      </c>
      <c r="BS119" s="114" t="e">
        <f t="shared" ca="1" si="238"/>
        <v>#REF!</v>
      </c>
      <c r="BT119" s="649"/>
      <c r="BU119" s="637"/>
      <c r="BV119" s="637"/>
      <c r="BW119" s="637"/>
      <c r="BX119" s="639"/>
    </row>
    <row r="120" spans="2:76" x14ac:dyDescent="0.25">
      <c r="B120" s="65">
        <f ca="1">B118+1</f>
        <v>2077</v>
      </c>
      <c r="C120" s="76" t="s">
        <v>741</v>
      </c>
      <c r="D120" s="146" t="str">
        <f t="shared" si="200"/>
        <v/>
      </c>
      <c r="E120" s="77">
        <f t="shared" si="138"/>
        <v>0</v>
      </c>
      <c r="F120" s="77">
        <f t="shared" si="143"/>
        <v>1</v>
      </c>
      <c r="G120" s="76">
        <f t="shared" si="139"/>
        <v>1</v>
      </c>
      <c r="H120" s="76">
        <f t="shared" si="201"/>
        <v>0</v>
      </c>
      <c r="I120" s="77" t="b">
        <f t="shared" si="202"/>
        <v>0</v>
      </c>
      <c r="J120" s="77"/>
      <c r="K120" s="77"/>
      <c r="L120" s="77"/>
      <c r="M120" s="77"/>
      <c r="N120" s="632">
        <f ca="1">YEAR(SP_TargetRD)-$B120</f>
        <v>-54</v>
      </c>
      <c r="O120" s="243" t="e">
        <f ca="1">LT_InvestmentStocks*INDEX(SP_EA_ARStocks,EAIDX)+LT_InvestmentBonds*INDEX(SC_EA_ARBonds,EAIDX)</f>
        <v>#REF!</v>
      </c>
      <c r="P120" s="634" t="e">
        <f ca="1">MAX(P118+R118+S118+V118+W118,0)</f>
        <v>#VALUE!</v>
      </c>
      <c r="Q120" s="617" t="e">
        <f t="shared" ref="Q120" ca="1" si="245">MAX(Q118+R118+IF((P118+R118+S118)&gt;0,MAX(V118/(P118+R118+S118)*(Q118+R118),V118),0),0)</f>
        <v>#VALUE!</v>
      </c>
      <c r="R120" s="617" t="e">
        <f ca="1">IF(SC_ZX_CodeA="X", 0, MAX(INDEX(SC_ZX_IncomeSurplus,ZXIDX2)+INDEX(SC_ZX_Debt,ZXIDX2),0))</f>
        <v>#VALUE!</v>
      </c>
      <c r="S120" s="617" t="e">
        <f ca="1">IF(SC_ZX_CodeA="X", 0, INDEX(SC_EX_RolloverCore,EXIDX))</f>
        <v>#VALUE!</v>
      </c>
      <c r="T120" s="617" t="e">
        <f ca="1">P120+R120+S120</f>
        <v>#VALUE!</v>
      </c>
      <c r="U120" s="642" t="e">
        <f ca="1">IF(SC_ZX_BalanceAccessibleA&gt;0, T120/SC_ZX_BalanceAccessibleA, 0)</f>
        <v>#VALUE!</v>
      </c>
      <c r="V120" s="617" t="e">
        <f ca="1">-IF(SC_ZX_CodeA="X",0,MIN(U120*MAX(INDEX(SC_ZX_Drawdown,ZXIDX2),0),T120))</f>
        <v>#VALUE!</v>
      </c>
      <c r="W120" s="618" t="e">
        <f ca="1">(P120+R120+S120+V120)*$O120</f>
        <v>#VALUE!</v>
      </c>
      <c r="X120" s="75" t="e">
        <f t="shared" ca="1" si="205"/>
        <v>#REF!</v>
      </c>
      <c r="Y120" s="70" t="e">
        <f t="shared" ca="1" si="206"/>
        <v>#REF!</v>
      </c>
      <c r="Z120" s="70" t="e">
        <f t="shared" ca="1" si="207"/>
        <v>#REF!</v>
      </c>
      <c r="AA120" s="70" t="e">
        <f t="shared" ca="1" si="208"/>
        <v>#REF!</v>
      </c>
      <c r="AB120" s="67" t="e">
        <f t="shared" ca="1" si="181"/>
        <v>#REF!</v>
      </c>
      <c r="AC120" s="70" t="e">
        <f ca="1">-IF(INDEX(SC_ZX_CodeA,ZXIDX1)="X", 0, MIN(AB120*MAX(INDEX(SC_ZX_Drawdown,ZXIDX2),0),AA120))</f>
        <v>#REF!</v>
      </c>
      <c r="AD120" s="109" t="e">
        <f t="shared" ca="1" si="209"/>
        <v>#REF!</v>
      </c>
      <c r="AE120" s="75" t="e">
        <f t="shared" ca="1" si="210"/>
        <v>#REF!</v>
      </c>
      <c r="AF120" s="70" t="e">
        <f t="shared" ca="1" si="211"/>
        <v>#REF!</v>
      </c>
      <c r="AG120" s="70" t="e">
        <f t="shared" ca="1" si="212"/>
        <v>#REF!</v>
      </c>
      <c r="AH120" s="70" t="e">
        <f t="shared" ca="1" si="213"/>
        <v>#REF!</v>
      </c>
      <c r="AI120" s="67" t="e">
        <f t="shared" ca="1" si="182"/>
        <v>#REF!</v>
      </c>
      <c r="AJ120" s="70" t="e">
        <f ca="1">-IF(INDEX(SC_ZX_CodeA,ZXIDX1)="X", 0, MIN(AI120*MAX(INDEX(SC_ZX_Drawdown,ZXIDX2),0),AH120))</f>
        <v>#REF!</v>
      </c>
      <c r="AK120" s="109" t="e">
        <f t="shared" ca="1" si="214"/>
        <v>#REF!</v>
      </c>
      <c r="AL120" s="75" t="e">
        <f t="shared" ca="1" si="215"/>
        <v>#REF!</v>
      </c>
      <c r="AM120" s="70" t="e">
        <f t="shared" ca="1" si="216"/>
        <v>#REF!</v>
      </c>
      <c r="AN120" s="70" t="e">
        <f t="shared" ca="1" si="217"/>
        <v>#REF!</v>
      </c>
      <c r="AO120" s="70" t="e">
        <f t="shared" ca="1" si="218"/>
        <v>#REF!</v>
      </c>
      <c r="AP120" s="67" t="e">
        <f t="shared" ca="1" si="183"/>
        <v>#REF!</v>
      </c>
      <c r="AQ120" s="70" t="e">
        <f ca="1">-IF(INDEX(SC_ZX_CodeA,ZXIDX1)="X", 0, MIN(AP120*MAX(INDEX(SC_ZX_Drawdown,ZXIDX2),0),AO120))</f>
        <v>#REF!</v>
      </c>
      <c r="AR120" s="109" t="e">
        <f t="shared" ca="1" si="219"/>
        <v>#REF!</v>
      </c>
      <c r="AS120" s="75" t="e">
        <f t="shared" ca="1" si="220"/>
        <v>#REF!</v>
      </c>
      <c r="AT120" s="70" t="e">
        <f t="shared" ca="1" si="221"/>
        <v>#REF!</v>
      </c>
      <c r="AU120" s="70" t="e">
        <f t="shared" ca="1" si="222"/>
        <v>#REF!</v>
      </c>
      <c r="AV120" s="70" t="e">
        <f t="shared" ca="1" si="223"/>
        <v>#REF!</v>
      </c>
      <c r="AW120" s="67" t="e">
        <f t="shared" ca="1" si="184"/>
        <v>#REF!</v>
      </c>
      <c r="AX120" s="70" t="e">
        <f ca="1">-IF(INDEX(SC_ZX_CodeA,ZXIDX1)="X", 0, MIN(AW120*MAX(INDEX(SC_ZX_Drawdown,ZXIDX2),0),AV120))</f>
        <v>#REF!</v>
      </c>
      <c r="AY120" s="109" t="e">
        <f t="shared" ca="1" si="224"/>
        <v>#REF!</v>
      </c>
      <c r="AZ120" s="75" t="e">
        <f t="shared" ca="1" si="225"/>
        <v>#REF!</v>
      </c>
      <c r="BA120" s="70" t="e">
        <f t="shared" ca="1" si="226"/>
        <v>#REF!</v>
      </c>
      <c r="BB120" s="70" t="e">
        <f t="shared" ca="1" si="227"/>
        <v>#REF!</v>
      </c>
      <c r="BC120" s="70" t="e">
        <f t="shared" ca="1" si="228"/>
        <v>#REF!</v>
      </c>
      <c r="BD120" s="67" t="e">
        <f t="shared" ca="1" si="185"/>
        <v>#REF!</v>
      </c>
      <c r="BE120" s="70" t="e">
        <f ca="1">-IF(INDEX(SC_ZX_CodeA,ZXIDX1)="X", 0, MIN(BD120*MAX(INDEX(SC_ZX_Drawdown,ZXIDX2),0),AZ120))</f>
        <v>#REF!</v>
      </c>
      <c r="BF120" s="109" t="e">
        <f t="shared" ca="1" si="229"/>
        <v>#REF!</v>
      </c>
      <c r="BG120" s="75" t="e">
        <f t="shared" ca="1" si="230"/>
        <v>#REF!</v>
      </c>
      <c r="BH120" s="70" t="e">
        <f t="shared" ca="1" si="231"/>
        <v>#REF!</v>
      </c>
      <c r="BI120" s="70" t="e">
        <f t="shared" ca="1" si="232"/>
        <v>#REF!</v>
      </c>
      <c r="BJ120" s="70" t="e">
        <f t="shared" ca="1" si="233"/>
        <v>#REF!</v>
      </c>
      <c r="BK120" s="67" t="e">
        <f t="shared" ca="1" si="186"/>
        <v>#REF!</v>
      </c>
      <c r="BL120" s="70" t="e">
        <f ca="1">-IF(INDEX(SC_ZX_CodeA,ZXIDX1)="X", 0, MIN(BK120*MAX(INDEX(SC_ZX_Drawdown,ZXIDX2),0),BJ120))</f>
        <v>#REF!</v>
      </c>
      <c r="BM120" s="70" t="e">
        <f t="shared" ca="1" si="234"/>
        <v>#REF!</v>
      </c>
      <c r="BN120" s="111" t="e">
        <f t="shared" ca="1" si="235"/>
        <v>#REF!</v>
      </c>
      <c r="BO120" s="112" t="e">
        <f t="shared" ca="1" si="236"/>
        <v>#REF!</v>
      </c>
      <c r="BP120" s="112" t="e">
        <f ca="1">-($V120-IF(($P120+$R120+$S120)&gt;0,MAX($V120/($P120+$R120+$S120)*($Q120+$R120),$V120),0))*LT_InvestmentQDI</f>
        <v>#VALUE!</v>
      </c>
      <c r="BQ120" s="112" t="e">
        <f ca="1">-($V120-IF(($P120+$R120+$S120)&gt;0,MAX($V120/($P120+$R120+$S120)*($Q120+$R120),$V120),0))*(1-LT_InvestmentQDI)</f>
        <v>#VALUE!</v>
      </c>
      <c r="BR120" s="112" t="e">
        <f t="shared" ca="1" si="237"/>
        <v>#VALUE!</v>
      </c>
      <c r="BS120" s="112" t="e">
        <f t="shared" ca="1" si="238"/>
        <v>#VALUE!</v>
      </c>
      <c r="BT120" s="634" t="e">
        <f ca="1">SUMPRODUCT($BN120:$BN121+$BO120:$BO121, --($E120:$E121&lt;&gt;0))</f>
        <v>#REF!</v>
      </c>
      <c r="BU120" s="617" t="e">
        <f ca="1">SUMPRODUCT($BR120:$BR121+$BS120:$BS121, --($E120:$E121&lt;&gt;0))</f>
        <v>#VALUE!</v>
      </c>
      <c r="BV120" s="617" t="e">
        <f ca="1">$T120+SUMPRODUCT($AA120:$AA121+$AH120:$AH121+$AO120:$AO121+$AV120:$AV121+$BC120:$BC121+$BJ120:$BJ121, --($E120:$E121&lt;&gt;0))</f>
        <v>#VALUE!</v>
      </c>
      <c r="BW120" s="617" t="e">
        <f ca="1">MAX($P120-$Q120,0)+SUMPRODUCT($X120:$X121+$AL120:$AL121+$AZ120:$AZ121, --($E120:$E121&lt;&gt;0))</f>
        <v>#VALUE!</v>
      </c>
      <c r="BX120" s="618" t="e">
        <f ca="1">MIN($P120,$Q120)+SUMPRODUCT($AE120:$AE121+$AS120:$AS121+$BG120:$BG121, --($E120:$E121&lt;&gt;0))</f>
        <v>#VALUE!</v>
      </c>
    </row>
    <row r="121" spans="2:76" x14ac:dyDescent="0.25">
      <c r="B121" s="86">
        <f t="shared" ca="1" si="179"/>
        <v>2077</v>
      </c>
      <c r="C121" s="80" t="s">
        <v>741</v>
      </c>
      <c r="D121" s="147" t="str">
        <f t="shared" si="200"/>
        <v/>
      </c>
      <c r="E121" s="81">
        <f t="shared" si="138"/>
        <v>0</v>
      </c>
      <c r="F121" s="81">
        <f t="shared" si="143"/>
        <v>2</v>
      </c>
      <c r="G121" s="82">
        <f t="shared" si="139"/>
        <v>-1</v>
      </c>
      <c r="H121" s="82">
        <f t="shared" si="201"/>
        <v>0</v>
      </c>
      <c r="I121" s="81" t="b">
        <f t="shared" si="202"/>
        <v>0</v>
      </c>
      <c r="J121" s="81"/>
      <c r="K121" s="81"/>
      <c r="L121" s="81"/>
      <c r="M121" s="81"/>
      <c r="N121" s="633"/>
      <c r="O121" s="243" t="e">
        <f ca="1">LT_InvestmentStocks*INDEX(SP_EA_ARStocks,EAIDX)+LT_InvestmentBonds*INDEX(SC_EA_ARBonds,EAIDX)</f>
        <v>#REF!</v>
      </c>
      <c r="P121" s="634"/>
      <c r="Q121" s="617"/>
      <c r="R121" s="617"/>
      <c r="S121" s="617"/>
      <c r="T121" s="617"/>
      <c r="U121" s="643"/>
      <c r="V121" s="617"/>
      <c r="W121" s="639"/>
      <c r="X121" s="106" t="e">
        <f t="shared" ca="1" si="205"/>
        <v>#REF!</v>
      </c>
      <c r="Y121" s="107" t="e">
        <f t="shared" ca="1" si="206"/>
        <v>#REF!</v>
      </c>
      <c r="Z121" s="107" t="e">
        <f t="shared" ca="1" si="207"/>
        <v>#REF!</v>
      </c>
      <c r="AA121" s="107" t="e">
        <f t="shared" ca="1" si="208"/>
        <v>#REF!</v>
      </c>
      <c r="AB121" s="91" t="e">
        <f t="shared" ca="1" si="181"/>
        <v>#REF!</v>
      </c>
      <c r="AC121" s="107" t="e">
        <f ca="1">-IF(INDEX(SC_ZX_CodeA,ZXIDX1)="X", 0, MIN(AB121*MAX(INDEX(SC_ZX_Drawdown,ZXIDX2),0),AA121))</f>
        <v>#REF!</v>
      </c>
      <c r="AD121" s="110" t="e">
        <f t="shared" ca="1" si="209"/>
        <v>#REF!</v>
      </c>
      <c r="AE121" s="106" t="e">
        <f t="shared" ca="1" si="210"/>
        <v>#REF!</v>
      </c>
      <c r="AF121" s="107" t="e">
        <f t="shared" ca="1" si="211"/>
        <v>#REF!</v>
      </c>
      <c r="AG121" s="107" t="e">
        <f t="shared" ca="1" si="212"/>
        <v>#REF!</v>
      </c>
      <c r="AH121" s="107" t="e">
        <f t="shared" ca="1" si="213"/>
        <v>#REF!</v>
      </c>
      <c r="AI121" s="91" t="e">
        <f t="shared" ca="1" si="182"/>
        <v>#REF!</v>
      </c>
      <c r="AJ121" s="107" t="e">
        <f ca="1">-IF(INDEX(SC_ZX_CodeA,ZXIDX1)="X", 0, MIN(AI121*MAX(INDEX(SC_ZX_Drawdown,ZXIDX2),0),AH121))</f>
        <v>#REF!</v>
      </c>
      <c r="AK121" s="110" t="e">
        <f t="shared" ca="1" si="214"/>
        <v>#REF!</v>
      </c>
      <c r="AL121" s="106" t="e">
        <f t="shared" ca="1" si="215"/>
        <v>#REF!</v>
      </c>
      <c r="AM121" s="107" t="e">
        <f t="shared" ca="1" si="216"/>
        <v>#REF!</v>
      </c>
      <c r="AN121" s="107" t="e">
        <f t="shared" ca="1" si="217"/>
        <v>#REF!</v>
      </c>
      <c r="AO121" s="107" t="e">
        <f t="shared" ca="1" si="218"/>
        <v>#REF!</v>
      </c>
      <c r="AP121" s="91" t="e">
        <f t="shared" ca="1" si="183"/>
        <v>#REF!</v>
      </c>
      <c r="AQ121" s="107" t="e">
        <f ca="1">-IF(INDEX(SC_ZX_CodeA,ZXIDX1)="X", 0, MIN(AP121*MAX(INDEX(SC_ZX_Drawdown,ZXIDX2),0),AO121))</f>
        <v>#REF!</v>
      </c>
      <c r="AR121" s="110" t="e">
        <f t="shared" ca="1" si="219"/>
        <v>#REF!</v>
      </c>
      <c r="AS121" s="106" t="e">
        <f t="shared" ca="1" si="220"/>
        <v>#REF!</v>
      </c>
      <c r="AT121" s="107" t="e">
        <f t="shared" ca="1" si="221"/>
        <v>#REF!</v>
      </c>
      <c r="AU121" s="107" t="e">
        <f t="shared" ca="1" si="222"/>
        <v>#REF!</v>
      </c>
      <c r="AV121" s="107" t="e">
        <f t="shared" ca="1" si="223"/>
        <v>#REF!</v>
      </c>
      <c r="AW121" s="91" t="e">
        <f t="shared" ca="1" si="184"/>
        <v>#REF!</v>
      </c>
      <c r="AX121" s="107" t="e">
        <f ca="1">-IF(INDEX(SC_ZX_CodeA,ZXIDX1)="X", 0, MIN(AW121*MAX(INDEX(SC_ZX_Drawdown,ZXIDX2),0),AV121))</f>
        <v>#REF!</v>
      </c>
      <c r="AY121" s="110" t="e">
        <f t="shared" ca="1" si="224"/>
        <v>#REF!</v>
      </c>
      <c r="AZ121" s="106" t="e">
        <f t="shared" ca="1" si="225"/>
        <v>#REF!</v>
      </c>
      <c r="BA121" s="107" t="e">
        <f t="shared" ca="1" si="226"/>
        <v>#REF!</v>
      </c>
      <c r="BB121" s="107" t="e">
        <f t="shared" ca="1" si="227"/>
        <v>#REF!</v>
      </c>
      <c r="BC121" s="107" t="e">
        <f t="shared" ca="1" si="228"/>
        <v>#REF!</v>
      </c>
      <c r="BD121" s="91" t="e">
        <f t="shared" ca="1" si="185"/>
        <v>#REF!</v>
      </c>
      <c r="BE121" s="107" t="e">
        <f ca="1">-IF(INDEX(SC_ZX_CodeA,ZXIDX1)="X", 0, MIN(BD121*MAX(INDEX(SC_ZX_Drawdown,ZXIDX2),0),AZ121))</f>
        <v>#REF!</v>
      </c>
      <c r="BF121" s="110" t="e">
        <f t="shared" ca="1" si="229"/>
        <v>#REF!</v>
      </c>
      <c r="BG121" s="106" t="e">
        <f t="shared" ca="1" si="230"/>
        <v>#REF!</v>
      </c>
      <c r="BH121" s="107" t="e">
        <f t="shared" ca="1" si="231"/>
        <v>#REF!</v>
      </c>
      <c r="BI121" s="107" t="e">
        <f t="shared" ca="1" si="232"/>
        <v>#REF!</v>
      </c>
      <c r="BJ121" s="107" t="e">
        <f t="shared" ca="1" si="233"/>
        <v>#REF!</v>
      </c>
      <c r="BK121" s="91" t="e">
        <f t="shared" ca="1" si="186"/>
        <v>#REF!</v>
      </c>
      <c r="BL121" s="107" t="e">
        <f ca="1">-IF(INDEX(SC_ZX_CodeA,ZXIDX1)="X", 0, MIN(BK121*MAX(INDEX(SC_ZX_Drawdown,ZXIDX2),0),BJ121))</f>
        <v>#REF!</v>
      </c>
      <c r="BM121" s="107" t="e">
        <f t="shared" ca="1" si="234"/>
        <v>#REF!</v>
      </c>
      <c r="BN121" s="113" t="e">
        <f t="shared" ca="1" si="235"/>
        <v>#REF!</v>
      </c>
      <c r="BO121" s="114" t="e">
        <f t="shared" ca="1" si="236"/>
        <v>#REF!</v>
      </c>
      <c r="BP121" s="114" t="e">
        <f ca="1">-($V121-IF(($P121+$R121+$S121)&gt;0,MAX($V121/($P121+$R121+$S121)*($Q121+$R121),$V121),0))*LT_InvestmentQDI</f>
        <v>#REF!</v>
      </c>
      <c r="BQ121" s="114" t="e">
        <f ca="1">-($V121-IF(($P121+$R121+$S121)&gt;0,MAX($V121/($P121+$R121+$S121)*($Q121+$R121),$V121),0))*(1-LT_InvestmentQDI)</f>
        <v>#REF!</v>
      </c>
      <c r="BR121" s="114" t="e">
        <f t="shared" ca="1" si="237"/>
        <v>#REF!</v>
      </c>
      <c r="BS121" s="114" t="e">
        <f t="shared" ca="1" si="238"/>
        <v>#REF!</v>
      </c>
      <c r="BT121" s="649"/>
      <c r="BU121" s="637"/>
      <c r="BV121" s="637"/>
      <c r="BW121" s="637"/>
      <c r="BX121" s="639"/>
    </row>
    <row r="122" spans="2:76" x14ac:dyDescent="0.25">
      <c r="B122" s="65">
        <f ca="1">B120+1</f>
        <v>2078</v>
      </c>
      <c r="C122" s="76" t="s">
        <v>741</v>
      </c>
      <c r="D122" s="146" t="str">
        <f t="shared" si="200"/>
        <v/>
      </c>
      <c r="E122" s="77">
        <f t="shared" si="138"/>
        <v>0</v>
      </c>
      <c r="F122" s="77">
        <f t="shared" si="143"/>
        <v>1</v>
      </c>
      <c r="G122" s="76">
        <f t="shared" si="139"/>
        <v>1</v>
      </c>
      <c r="H122" s="76">
        <f t="shared" si="201"/>
        <v>0</v>
      </c>
      <c r="I122" s="77" t="b">
        <f t="shared" si="202"/>
        <v>0</v>
      </c>
      <c r="J122" s="77"/>
      <c r="K122" s="77"/>
      <c r="L122" s="77"/>
      <c r="M122" s="77"/>
      <c r="N122" s="632">
        <f ca="1">YEAR(SP_TargetRD)-$B122</f>
        <v>-55</v>
      </c>
      <c r="O122" s="243" t="e">
        <f ca="1">LT_InvestmentStocks*INDEX(SP_EA_ARStocks,EAIDX)+LT_InvestmentBonds*INDEX(SC_EA_ARBonds,EAIDX)</f>
        <v>#REF!</v>
      </c>
      <c r="P122" s="634" t="e">
        <f ca="1">MAX(P120+R120+S120+V120+W120,0)</f>
        <v>#VALUE!</v>
      </c>
      <c r="Q122" s="617" t="e">
        <f t="shared" ref="Q122" ca="1" si="246">MAX(Q120+R120+IF((P120+R120+S120)&gt;0,MAX(V120/(P120+R120+S120)*(Q120+R120),V120),0),0)</f>
        <v>#VALUE!</v>
      </c>
      <c r="R122" s="617" t="e">
        <f ca="1">IF(SC_ZX_CodeA="X", 0, MAX(INDEX(SC_ZX_IncomeSurplus,ZXIDX2)+INDEX(SC_ZX_Debt,ZXIDX2),0))</f>
        <v>#VALUE!</v>
      </c>
      <c r="S122" s="617" t="e">
        <f ca="1">IF(SC_ZX_CodeA="X", 0, INDEX(SC_EX_RolloverCore,EXIDX))</f>
        <v>#VALUE!</v>
      </c>
      <c r="T122" s="617" t="e">
        <f ca="1">P122+R122+S122</f>
        <v>#VALUE!</v>
      </c>
      <c r="U122" s="642" t="e">
        <f ca="1">IF(SC_ZX_BalanceAccessibleA&gt;0, T122/SC_ZX_BalanceAccessibleA, 0)</f>
        <v>#VALUE!</v>
      </c>
      <c r="V122" s="617" t="e">
        <f ca="1">-IF(SC_ZX_CodeA="X",0,MIN(U122*MAX(INDEX(SC_ZX_Drawdown,ZXIDX2),0),T122))</f>
        <v>#VALUE!</v>
      </c>
      <c r="W122" s="618" t="e">
        <f ca="1">(P122+R122+S122+V122)*$O122</f>
        <v>#VALUE!</v>
      </c>
      <c r="X122" s="75" t="e">
        <f t="shared" ca="1" si="205"/>
        <v>#REF!</v>
      </c>
      <c r="Y122" s="70" t="e">
        <f t="shared" ca="1" si="206"/>
        <v>#REF!</v>
      </c>
      <c r="Z122" s="70" t="e">
        <f t="shared" ca="1" si="207"/>
        <v>#REF!</v>
      </c>
      <c r="AA122" s="70" t="e">
        <f t="shared" ca="1" si="208"/>
        <v>#REF!</v>
      </c>
      <c r="AB122" s="67" t="e">
        <f t="shared" ca="1" si="181"/>
        <v>#REF!</v>
      </c>
      <c r="AC122" s="70" t="e">
        <f ca="1">-IF(INDEX(SC_ZX_CodeA,ZXIDX1)="X", 0, MIN(AB122*MAX(INDEX(SC_ZX_Drawdown,ZXIDX2),0),AA122))</f>
        <v>#REF!</v>
      </c>
      <c r="AD122" s="109" t="e">
        <f t="shared" ca="1" si="209"/>
        <v>#REF!</v>
      </c>
      <c r="AE122" s="75" t="e">
        <f t="shared" ca="1" si="210"/>
        <v>#REF!</v>
      </c>
      <c r="AF122" s="70" t="e">
        <f t="shared" ca="1" si="211"/>
        <v>#REF!</v>
      </c>
      <c r="AG122" s="70" t="e">
        <f t="shared" ca="1" si="212"/>
        <v>#REF!</v>
      </c>
      <c r="AH122" s="70" t="e">
        <f t="shared" ca="1" si="213"/>
        <v>#REF!</v>
      </c>
      <c r="AI122" s="67" t="e">
        <f t="shared" ca="1" si="182"/>
        <v>#REF!</v>
      </c>
      <c r="AJ122" s="70" t="e">
        <f ca="1">-IF(INDEX(SC_ZX_CodeA,ZXIDX1)="X", 0, MIN(AI122*MAX(INDEX(SC_ZX_Drawdown,ZXIDX2),0),AH122))</f>
        <v>#REF!</v>
      </c>
      <c r="AK122" s="109" t="e">
        <f t="shared" ca="1" si="214"/>
        <v>#REF!</v>
      </c>
      <c r="AL122" s="75" t="e">
        <f t="shared" ca="1" si="215"/>
        <v>#REF!</v>
      </c>
      <c r="AM122" s="70" t="e">
        <f t="shared" ca="1" si="216"/>
        <v>#REF!</v>
      </c>
      <c r="AN122" s="70" t="e">
        <f t="shared" ca="1" si="217"/>
        <v>#REF!</v>
      </c>
      <c r="AO122" s="70" t="e">
        <f t="shared" ca="1" si="218"/>
        <v>#REF!</v>
      </c>
      <c r="AP122" s="67" t="e">
        <f t="shared" ca="1" si="183"/>
        <v>#REF!</v>
      </c>
      <c r="AQ122" s="70" t="e">
        <f ca="1">-IF(INDEX(SC_ZX_CodeA,ZXIDX1)="X", 0, MIN(AP122*MAX(INDEX(SC_ZX_Drawdown,ZXIDX2),0),AO122))</f>
        <v>#REF!</v>
      </c>
      <c r="AR122" s="109" t="e">
        <f t="shared" ca="1" si="219"/>
        <v>#REF!</v>
      </c>
      <c r="AS122" s="75" t="e">
        <f t="shared" ca="1" si="220"/>
        <v>#REF!</v>
      </c>
      <c r="AT122" s="70" t="e">
        <f t="shared" ca="1" si="221"/>
        <v>#REF!</v>
      </c>
      <c r="AU122" s="70" t="e">
        <f t="shared" ca="1" si="222"/>
        <v>#REF!</v>
      </c>
      <c r="AV122" s="70" t="e">
        <f t="shared" ca="1" si="223"/>
        <v>#REF!</v>
      </c>
      <c r="AW122" s="67" t="e">
        <f t="shared" ca="1" si="184"/>
        <v>#REF!</v>
      </c>
      <c r="AX122" s="70" t="e">
        <f ca="1">-IF(INDEX(SC_ZX_CodeA,ZXIDX1)="X", 0, MIN(AW122*MAX(INDEX(SC_ZX_Drawdown,ZXIDX2),0),AV122))</f>
        <v>#REF!</v>
      </c>
      <c r="AY122" s="109" t="e">
        <f t="shared" ca="1" si="224"/>
        <v>#REF!</v>
      </c>
      <c r="AZ122" s="75" t="e">
        <f t="shared" ca="1" si="225"/>
        <v>#REF!</v>
      </c>
      <c r="BA122" s="70" t="e">
        <f t="shared" ca="1" si="226"/>
        <v>#REF!</v>
      </c>
      <c r="BB122" s="70" t="e">
        <f t="shared" ca="1" si="227"/>
        <v>#REF!</v>
      </c>
      <c r="BC122" s="70" t="e">
        <f t="shared" ca="1" si="228"/>
        <v>#REF!</v>
      </c>
      <c r="BD122" s="67" t="e">
        <f t="shared" ca="1" si="185"/>
        <v>#REF!</v>
      </c>
      <c r="BE122" s="70" t="e">
        <f ca="1">-IF(INDEX(SC_ZX_CodeA,ZXIDX1)="X", 0, MIN(BD122*MAX(INDEX(SC_ZX_Drawdown,ZXIDX2),0),AZ122))</f>
        <v>#REF!</v>
      </c>
      <c r="BF122" s="109" t="e">
        <f t="shared" ca="1" si="229"/>
        <v>#REF!</v>
      </c>
      <c r="BG122" s="75" t="e">
        <f t="shared" ca="1" si="230"/>
        <v>#REF!</v>
      </c>
      <c r="BH122" s="70" t="e">
        <f t="shared" ca="1" si="231"/>
        <v>#REF!</v>
      </c>
      <c r="BI122" s="70" t="e">
        <f t="shared" ca="1" si="232"/>
        <v>#REF!</v>
      </c>
      <c r="BJ122" s="70" t="e">
        <f t="shared" ca="1" si="233"/>
        <v>#REF!</v>
      </c>
      <c r="BK122" s="67" t="e">
        <f t="shared" ca="1" si="186"/>
        <v>#REF!</v>
      </c>
      <c r="BL122" s="70" t="e">
        <f ca="1">-IF(INDEX(SC_ZX_CodeA,ZXIDX1)="X", 0, MIN(BK122*MAX(INDEX(SC_ZX_Drawdown,ZXIDX2),0),BJ122))</f>
        <v>#REF!</v>
      </c>
      <c r="BM122" s="70" t="e">
        <f t="shared" ca="1" si="234"/>
        <v>#REF!</v>
      </c>
      <c r="BN122" s="111" t="e">
        <f t="shared" ca="1" si="235"/>
        <v>#REF!</v>
      </c>
      <c r="BO122" s="112" t="e">
        <f t="shared" ca="1" si="236"/>
        <v>#REF!</v>
      </c>
      <c r="BP122" s="112" t="e">
        <f ca="1">-($V122-IF(($P122+$R122+$S122)&gt;0,MAX($V122/($P122+$R122+$S122)*($Q122+$R122),$V122),0))*LT_InvestmentQDI</f>
        <v>#VALUE!</v>
      </c>
      <c r="BQ122" s="112" t="e">
        <f ca="1">-($V122-IF(($P122+$R122+$S122)&gt;0,MAX($V122/($P122+$R122+$S122)*($Q122+$R122),$V122),0))*(1-LT_InvestmentQDI)</f>
        <v>#VALUE!</v>
      </c>
      <c r="BR122" s="112" t="e">
        <f t="shared" ca="1" si="237"/>
        <v>#VALUE!</v>
      </c>
      <c r="BS122" s="112" t="e">
        <f t="shared" ca="1" si="238"/>
        <v>#VALUE!</v>
      </c>
      <c r="BT122" s="634" t="e">
        <f ca="1">SUMPRODUCT($BN122:$BN123+$BO122:$BO123, --($E122:$E123&lt;&gt;0))</f>
        <v>#REF!</v>
      </c>
      <c r="BU122" s="617" t="e">
        <f ca="1">SUMPRODUCT($BR122:$BR123+$BS122:$BS123, --($E122:$E123&lt;&gt;0))</f>
        <v>#VALUE!</v>
      </c>
      <c r="BV122" s="617" t="e">
        <f ca="1">$T122+SUMPRODUCT($AA122:$AA123+$AH122:$AH123+$AO122:$AO123+$AV122:$AV123+$BC122:$BC123+$BJ122:$BJ123, --($E122:$E123&lt;&gt;0))</f>
        <v>#VALUE!</v>
      </c>
      <c r="BW122" s="617" t="e">
        <f ca="1">MAX($P122-$Q122,0)+SUMPRODUCT($X122:$X123+$AL122:$AL123+$AZ122:$AZ123, --($E122:$E123&lt;&gt;0))</f>
        <v>#VALUE!</v>
      </c>
      <c r="BX122" s="618" t="e">
        <f ca="1">MIN($P122,$Q122)+SUMPRODUCT($AE122:$AE123+$AS122:$AS123+$BG122:$BG123, --($E122:$E123&lt;&gt;0))</f>
        <v>#VALUE!</v>
      </c>
    </row>
    <row r="123" spans="2:76" x14ac:dyDescent="0.25">
      <c r="B123" s="86">
        <f t="shared" ca="1" si="179"/>
        <v>2078</v>
      </c>
      <c r="C123" s="80" t="s">
        <v>741</v>
      </c>
      <c r="D123" s="147" t="str">
        <f t="shared" si="200"/>
        <v/>
      </c>
      <c r="E123" s="81">
        <f t="shared" si="138"/>
        <v>0</v>
      </c>
      <c r="F123" s="81">
        <f t="shared" si="143"/>
        <v>2</v>
      </c>
      <c r="G123" s="82">
        <f t="shared" si="139"/>
        <v>-1</v>
      </c>
      <c r="H123" s="82">
        <f t="shared" si="201"/>
        <v>0</v>
      </c>
      <c r="I123" s="81" t="b">
        <f t="shared" si="202"/>
        <v>0</v>
      </c>
      <c r="J123" s="81"/>
      <c r="K123" s="81"/>
      <c r="L123" s="81"/>
      <c r="M123" s="81"/>
      <c r="N123" s="633"/>
      <c r="O123" s="243" t="e">
        <f ca="1">LT_InvestmentStocks*INDEX(SP_EA_ARStocks,EAIDX)+LT_InvestmentBonds*INDEX(SC_EA_ARBonds,EAIDX)</f>
        <v>#REF!</v>
      </c>
      <c r="P123" s="634"/>
      <c r="Q123" s="617"/>
      <c r="R123" s="617"/>
      <c r="S123" s="617"/>
      <c r="T123" s="617"/>
      <c r="U123" s="643"/>
      <c r="V123" s="617"/>
      <c r="W123" s="639"/>
      <c r="X123" s="106" t="e">
        <f t="shared" ca="1" si="205"/>
        <v>#REF!</v>
      </c>
      <c r="Y123" s="107" t="e">
        <f t="shared" ca="1" si="206"/>
        <v>#REF!</v>
      </c>
      <c r="Z123" s="107" t="e">
        <f t="shared" ca="1" si="207"/>
        <v>#REF!</v>
      </c>
      <c r="AA123" s="107" t="e">
        <f t="shared" ca="1" si="208"/>
        <v>#REF!</v>
      </c>
      <c r="AB123" s="91" t="e">
        <f t="shared" ca="1" si="181"/>
        <v>#REF!</v>
      </c>
      <c r="AC123" s="107" t="e">
        <f ca="1">-IF(INDEX(SC_ZX_CodeA,ZXIDX1)="X", 0, MIN(AB123*MAX(INDEX(SC_ZX_Drawdown,ZXIDX2),0),AA123))</f>
        <v>#REF!</v>
      </c>
      <c r="AD123" s="110" t="e">
        <f t="shared" ca="1" si="209"/>
        <v>#REF!</v>
      </c>
      <c r="AE123" s="106" t="e">
        <f t="shared" ca="1" si="210"/>
        <v>#REF!</v>
      </c>
      <c r="AF123" s="107" t="e">
        <f t="shared" ca="1" si="211"/>
        <v>#REF!</v>
      </c>
      <c r="AG123" s="107" t="e">
        <f t="shared" ca="1" si="212"/>
        <v>#REF!</v>
      </c>
      <c r="AH123" s="107" t="e">
        <f t="shared" ca="1" si="213"/>
        <v>#REF!</v>
      </c>
      <c r="AI123" s="91" t="e">
        <f t="shared" ca="1" si="182"/>
        <v>#REF!</v>
      </c>
      <c r="AJ123" s="107" t="e">
        <f ca="1">-IF(INDEX(SC_ZX_CodeA,ZXIDX1)="X", 0, MIN(AI123*MAX(INDEX(SC_ZX_Drawdown,ZXIDX2),0),AH123))</f>
        <v>#REF!</v>
      </c>
      <c r="AK123" s="110" t="e">
        <f t="shared" ca="1" si="214"/>
        <v>#REF!</v>
      </c>
      <c r="AL123" s="106" t="e">
        <f t="shared" ca="1" si="215"/>
        <v>#REF!</v>
      </c>
      <c r="AM123" s="107" t="e">
        <f t="shared" ca="1" si="216"/>
        <v>#REF!</v>
      </c>
      <c r="AN123" s="107" t="e">
        <f t="shared" ca="1" si="217"/>
        <v>#REF!</v>
      </c>
      <c r="AO123" s="107" t="e">
        <f t="shared" ca="1" si="218"/>
        <v>#REF!</v>
      </c>
      <c r="AP123" s="91" t="e">
        <f t="shared" ca="1" si="183"/>
        <v>#REF!</v>
      </c>
      <c r="AQ123" s="107" t="e">
        <f ca="1">-IF(INDEX(SC_ZX_CodeA,ZXIDX1)="X", 0, MIN(AP123*MAX(INDEX(SC_ZX_Drawdown,ZXIDX2),0),AO123))</f>
        <v>#REF!</v>
      </c>
      <c r="AR123" s="110" t="e">
        <f t="shared" ca="1" si="219"/>
        <v>#REF!</v>
      </c>
      <c r="AS123" s="106" t="e">
        <f t="shared" ca="1" si="220"/>
        <v>#REF!</v>
      </c>
      <c r="AT123" s="107" t="e">
        <f t="shared" ca="1" si="221"/>
        <v>#REF!</v>
      </c>
      <c r="AU123" s="107" t="e">
        <f t="shared" ca="1" si="222"/>
        <v>#REF!</v>
      </c>
      <c r="AV123" s="107" t="e">
        <f t="shared" ca="1" si="223"/>
        <v>#REF!</v>
      </c>
      <c r="AW123" s="91" t="e">
        <f t="shared" ca="1" si="184"/>
        <v>#REF!</v>
      </c>
      <c r="AX123" s="107" t="e">
        <f ca="1">-IF(INDEX(SC_ZX_CodeA,ZXIDX1)="X", 0, MIN(AW123*MAX(INDEX(SC_ZX_Drawdown,ZXIDX2),0),AV123))</f>
        <v>#REF!</v>
      </c>
      <c r="AY123" s="110" t="e">
        <f t="shared" ca="1" si="224"/>
        <v>#REF!</v>
      </c>
      <c r="AZ123" s="106" t="e">
        <f t="shared" ca="1" si="225"/>
        <v>#REF!</v>
      </c>
      <c r="BA123" s="107" t="e">
        <f t="shared" ca="1" si="226"/>
        <v>#REF!</v>
      </c>
      <c r="BB123" s="107" t="e">
        <f t="shared" ca="1" si="227"/>
        <v>#REF!</v>
      </c>
      <c r="BC123" s="107" t="e">
        <f t="shared" ca="1" si="228"/>
        <v>#REF!</v>
      </c>
      <c r="BD123" s="91" t="e">
        <f t="shared" ca="1" si="185"/>
        <v>#REF!</v>
      </c>
      <c r="BE123" s="107" t="e">
        <f ca="1">-IF(INDEX(SC_ZX_CodeA,ZXIDX1)="X", 0, MIN(BD123*MAX(INDEX(SC_ZX_Drawdown,ZXIDX2),0),AZ123))</f>
        <v>#REF!</v>
      </c>
      <c r="BF123" s="110" t="e">
        <f t="shared" ca="1" si="229"/>
        <v>#REF!</v>
      </c>
      <c r="BG123" s="106" t="e">
        <f t="shared" ca="1" si="230"/>
        <v>#REF!</v>
      </c>
      <c r="BH123" s="107" t="e">
        <f t="shared" ca="1" si="231"/>
        <v>#REF!</v>
      </c>
      <c r="BI123" s="107" t="e">
        <f t="shared" ca="1" si="232"/>
        <v>#REF!</v>
      </c>
      <c r="BJ123" s="107" t="e">
        <f t="shared" ca="1" si="233"/>
        <v>#REF!</v>
      </c>
      <c r="BK123" s="91" t="e">
        <f t="shared" ca="1" si="186"/>
        <v>#REF!</v>
      </c>
      <c r="BL123" s="107" t="e">
        <f ca="1">-IF(INDEX(SC_ZX_CodeA,ZXIDX1)="X", 0, MIN(BK123*MAX(INDEX(SC_ZX_Drawdown,ZXIDX2),0),BJ123))</f>
        <v>#REF!</v>
      </c>
      <c r="BM123" s="107" t="e">
        <f t="shared" ca="1" si="234"/>
        <v>#REF!</v>
      </c>
      <c r="BN123" s="113" t="e">
        <f t="shared" ca="1" si="235"/>
        <v>#REF!</v>
      </c>
      <c r="BO123" s="114" t="e">
        <f t="shared" ca="1" si="236"/>
        <v>#REF!</v>
      </c>
      <c r="BP123" s="114" t="e">
        <f ca="1">-($V123-IF(($P123+$R123+$S123)&gt;0,MAX($V123/($P123+$R123+$S123)*($Q123+$R123),$V123),0))*LT_InvestmentQDI</f>
        <v>#REF!</v>
      </c>
      <c r="BQ123" s="114" t="e">
        <f ca="1">-($V123-IF(($P123+$R123+$S123)&gt;0,MAX($V123/($P123+$R123+$S123)*($Q123+$R123),$V123),0))*(1-LT_InvestmentQDI)</f>
        <v>#REF!</v>
      </c>
      <c r="BR123" s="114" t="e">
        <f t="shared" ca="1" si="237"/>
        <v>#REF!</v>
      </c>
      <c r="BS123" s="114" t="e">
        <f t="shared" ca="1" si="238"/>
        <v>#REF!</v>
      </c>
      <c r="BT123" s="649"/>
      <c r="BU123" s="637"/>
      <c r="BV123" s="637"/>
      <c r="BW123" s="637"/>
      <c r="BX123" s="639"/>
    </row>
    <row r="124" spans="2:76" x14ac:dyDescent="0.25">
      <c r="B124" s="65">
        <f ca="1">B122+1</f>
        <v>2079</v>
      </c>
      <c r="C124" s="76" t="s">
        <v>741</v>
      </c>
      <c r="D124" s="146" t="str">
        <f t="shared" si="200"/>
        <v/>
      </c>
      <c r="E124" s="77">
        <f t="shared" si="138"/>
        <v>0</v>
      </c>
      <c r="F124" s="77">
        <f t="shared" si="143"/>
        <v>1</v>
      </c>
      <c r="G124" s="76">
        <f t="shared" si="139"/>
        <v>1</v>
      </c>
      <c r="H124" s="76">
        <f t="shared" si="201"/>
        <v>0</v>
      </c>
      <c r="I124" s="77" t="b">
        <f t="shared" si="202"/>
        <v>0</v>
      </c>
      <c r="J124" s="77"/>
      <c r="K124" s="77"/>
      <c r="L124" s="77"/>
      <c r="M124" s="77"/>
      <c r="N124" s="632">
        <f ca="1">YEAR(SP_TargetRD)-$B124</f>
        <v>-56</v>
      </c>
      <c r="O124" s="243" t="e">
        <f ca="1">LT_InvestmentStocks*INDEX(SP_EA_ARStocks,EAIDX)+LT_InvestmentBonds*INDEX(SC_EA_ARBonds,EAIDX)</f>
        <v>#REF!</v>
      </c>
      <c r="P124" s="634" t="e">
        <f ca="1">MAX(P122+R122+S122+V122+W122,0)</f>
        <v>#VALUE!</v>
      </c>
      <c r="Q124" s="617" t="e">
        <f t="shared" ref="Q124" ca="1" si="247">MAX(Q122+R122+IF((P122+R122+S122)&gt;0,MAX(V122/(P122+R122+S122)*(Q122+R122),V122),0),0)</f>
        <v>#VALUE!</v>
      </c>
      <c r="R124" s="617" t="e">
        <f ca="1">IF(SC_ZX_CodeA="X", 0, MAX(INDEX(SC_ZX_IncomeSurplus,ZXIDX2)+INDEX(SC_ZX_Debt,ZXIDX2),0))</f>
        <v>#VALUE!</v>
      </c>
      <c r="S124" s="617" t="e">
        <f ca="1">IF(SC_ZX_CodeA="X", 0, INDEX(SC_EX_RolloverCore,EXIDX))</f>
        <v>#VALUE!</v>
      </c>
      <c r="T124" s="617" t="e">
        <f ca="1">P124+R124+S124</f>
        <v>#VALUE!</v>
      </c>
      <c r="U124" s="642" t="e">
        <f ca="1">IF(SC_ZX_BalanceAccessibleA&gt;0, T124/SC_ZX_BalanceAccessibleA, 0)</f>
        <v>#VALUE!</v>
      </c>
      <c r="V124" s="617" t="e">
        <f ca="1">-IF(SC_ZX_CodeA="X",0,MIN(U124*MAX(INDEX(SC_ZX_Drawdown,ZXIDX2),0),T124))</f>
        <v>#VALUE!</v>
      </c>
      <c r="W124" s="618" t="e">
        <f ca="1">(P124+R124+S124+V124)*$O124</f>
        <v>#VALUE!</v>
      </c>
      <c r="X124" s="75" t="e">
        <f t="shared" ca="1" si="205"/>
        <v>#REF!</v>
      </c>
      <c r="Y124" s="70" t="e">
        <f t="shared" ca="1" si="206"/>
        <v>#REF!</v>
      </c>
      <c r="Z124" s="70" t="e">
        <f t="shared" ca="1" si="207"/>
        <v>#REF!</v>
      </c>
      <c r="AA124" s="70" t="e">
        <f t="shared" ca="1" si="208"/>
        <v>#REF!</v>
      </c>
      <c r="AB124" s="67" t="e">
        <f t="shared" ca="1" si="181"/>
        <v>#REF!</v>
      </c>
      <c r="AC124" s="70" t="e">
        <f ca="1">-IF(INDEX(SC_ZX_CodeA,ZXIDX1)="X", 0, MIN(AB124*MAX(INDEX(SC_ZX_Drawdown,ZXIDX2),0),AA124))</f>
        <v>#REF!</v>
      </c>
      <c r="AD124" s="109" t="e">
        <f t="shared" ca="1" si="209"/>
        <v>#REF!</v>
      </c>
      <c r="AE124" s="75" t="e">
        <f t="shared" ca="1" si="210"/>
        <v>#REF!</v>
      </c>
      <c r="AF124" s="70" t="e">
        <f t="shared" ca="1" si="211"/>
        <v>#REF!</v>
      </c>
      <c r="AG124" s="70" t="e">
        <f t="shared" ca="1" si="212"/>
        <v>#REF!</v>
      </c>
      <c r="AH124" s="70" t="e">
        <f t="shared" ca="1" si="213"/>
        <v>#REF!</v>
      </c>
      <c r="AI124" s="67" t="e">
        <f t="shared" ca="1" si="182"/>
        <v>#REF!</v>
      </c>
      <c r="AJ124" s="70" t="e">
        <f ca="1">-IF(INDEX(SC_ZX_CodeA,ZXIDX1)="X", 0, MIN(AI124*MAX(INDEX(SC_ZX_Drawdown,ZXIDX2),0),AH124))</f>
        <v>#REF!</v>
      </c>
      <c r="AK124" s="109" t="e">
        <f t="shared" ca="1" si="214"/>
        <v>#REF!</v>
      </c>
      <c r="AL124" s="75" t="e">
        <f t="shared" ca="1" si="215"/>
        <v>#REF!</v>
      </c>
      <c r="AM124" s="70" t="e">
        <f t="shared" ca="1" si="216"/>
        <v>#REF!</v>
      </c>
      <c r="AN124" s="70" t="e">
        <f t="shared" ca="1" si="217"/>
        <v>#REF!</v>
      </c>
      <c r="AO124" s="70" t="e">
        <f t="shared" ca="1" si="218"/>
        <v>#REF!</v>
      </c>
      <c r="AP124" s="67" t="e">
        <f t="shared" ca="1" si="183"/>
        <v>#REF!</v>
      </c>
      <c r="AQ124" s="70" t="e">
        <f ca="1">-IF(INDEX(SC_ZX_CodeA,ZXIDX1)="X", 0, MIN(AP124*MAX(INDEX(SC_ZX_Drawdown,ZXIDX2),0),AO124))</f>
        <v>#REF!</v>
      </c>
      <c r="AR124" s="109" t="e">
        <f t="shared" ca="1" si="219"/>
        <v>#REF!</v>
      </c>
      <c r="AS124" s="75" t="e">
        <f t="shared" ca="1" si="220"/>
        <v>#REF!</v>
      </c>
      <c r="AT124" s="70" t="e">
        <f t="shared" ca="1" si="221"/>
        <v>#REF!</v>
      </c>
      <c r="AU124" s="70" t="e">
        <f t="shared" ca="1" si="222"/>
        <v>#REF!</v>
      </c>
      <c r="AV124" s="70" t="e">
        <f t="shared" ca="1" si="223"/>
        <v>#REF!</v>
      </c>
      <c r="AW124" s="67" t="e">
        <f t="shared" ca="1" si="184"/>
        <v>#REF!</v>
      </c>
      <c r="AX124" s="70" t="e">
        <f ca="1">-IF(INDEX(SC_ZX_CodeA,ZXIDX1)="X", 0, MIN(AW124*MAX(INDEX(SC_ZX_Drawdown,ZXIDX2),0),AV124))</f>
        <v>#REF!</v>
      </c>
      <c r="AY124" s="109" t="e">
        <f t="shared" ca="1" si="224"/>
        <v>#REF!</v>
      </c>
      <c r="AZ124" s="75" t="e">
        <f t="shared" ca="1" si="225"/>
        <v>#REF!</v>
      </c>
      <c r="BA124" s="70" t="e">
        <f t="shared" ca="1" si="226"/>
        <v>#REF!</v>
      </c>
      <c r="BB124" s="70" t="e">
        <f t="shared" ca="1" si="227"/>
        <v>#REF!</v>
      </c>
      <c r="BC124" s="70" t="e">
        <f t="shared" ca="1" si="228"/>
        <v>#REF!</v>
      </c>
      <c r="BD124" s="67" t="e">
        <f t="shared" ca="1" si="185"/>
        <v>#REF!</v>
      </c>
      <c r="BE124" s="70" t="e">
        <f ca="1">-IF(INDEX(SC_ZX_CodeA,ZXIDX1)="X", 0, MIN(BD124*MAX(INDEX(SC_ZX_Drawdown,ZXIDX2),0),AZ124))</f>
        <v>#REF!</v>
      </c>
      <c r="BF124" s="109" t="e">
        <f t="shared" ca="1" si="229"/>
        <v>#REF!</v>
      </c>
      <c r="BG124" s="75" t="e">
        <f t="shared" ca="1" si="230"/>
        <v>#REF!</v>
      </c>
      <c r="BH124" s="70" t="e">
        <f t="shared" ca="1" si="231"/>
        <v>#REF!</v>
      </c>
      <c r="BI124" s="70" t="e">
        <f t="shared" ca="1" si="232"/>
        <v>#REF!</v>
      </c>
      <c r="BJ124" s="70" t="e">
        <f t="shared" ca="1" si="233"/>
        <v>#REF!</v>
      </c>
      <c r="BK124" s="67" t="e">
        <f t="shared" ca="1" si="186"/>
        <v>#REF!</v>
      </c>
      <c r="BL124" s="70" t="e">
        <f ca="1">-IF(INDEX(SC_ZX_CodeA,ZXIDX1)="X", 0, MIN(BK124*MAX(INDEX(SC_ZX_Drawdown,ZXIDX2),0),BJ124))</f>
        <v>#REF!</v>
      </c>
      <c r="BM124" s="70" t="e">
        <f t="shared" ca="1" si="234"/>
        <v>#REF!</v>
      </c>
      <c r="BN124" s="111" t="e">
        <f t="shared" ca="1" si="235"/>
        <v>#REF!</v>
      </c>
      <c r="BO124" s="112" t="e">
        <f t="shared" ca="1" si="236"/>
        <v>#REF!</v>
      </c>
      <c r="BP124" s="112" t="e">
        <f ca="1">-($V124-IF(($P124+$R124+$S124)&gt;0,MAX($V124/($P124+$R124+$S124)*($Q124+$R124),$V124),0))*LT_InvestmentQDI</f>
        <v>#VALUE!</v>
      </c>
      <c r="BQ124" s="112" t="e">
        <f ca="1">-($V124-IF(($P124+$R124+$S124)&gt;0,MAX($V124/($P124+$R124+$S124)*($Q124+$R124),$V124),0))*(1-LT_InvestmentQDI)</f>
        <v>#VALUE!</v>
      </c>
      <c r="BR124" s="112" t="e">
        <f t="shared" ca="1" si="237"/>
        <v>#VALUE!</v>
      </c>
      <c r="BS124" s="112" t="e">
        <f t="shared" ca="1" si="238"/>
        <v>#VALUE!</v>
      </c>
      <c r="BT124" s="634" t="e">
        <f ca="1">SUMPRODUCT($BN124:$BN125+$BO124:$BO125, --($E124:$E125&lt;&gt;0))</f>
        <v>#REF!</v>
      </c>
      <c r="BU124" s="617" t="e">
        <f ca="1">SUMPRODUCT($BR124:$BR125+$BS124:$BS125, --($E124:$E125&lt;&gt;0))</f>
        <v>#VALUE!</v>
      </c>
      <c r="BV124" s="617" t="e">
        <f ca="1">$T124+SUMPRODUCT($AA124:$AA125+$AH124:$AH125+$AO124:$AO125+$AV124:$AV125+$BC124:$BC125+$BJ124:$BJ125, --($E124:$E125&lt;&gt;0))</f>
        <v>#VALUE!</v>
      </c>
      <c r="BW124" s="617" t="e">
        <f ca="1">MAX($P124-$Q124,0)+SUMPRODUCT($X124:$X125+$AL124:$AL125+$AZ124:$AZ125, --($E124:$E125&lt;&gt;0))</f>
        <v>#VALUE!</v>
      </c>
      <c r="BX124" s="618" t="e">
        <f ca="1">MIN($P124,$Q124)+SUMPRODUCT($AE124:$AE125+$AS124:$AS125+$BG124:$BG125, --($E124:$E125&lt;&gt;0))</f>
        <v>#VALUE!</v>
      </c>
    </row>
    <row r="125" spans="2:76" x14ac:dyDescent="0.25">
      <c r="B125" s="86">
        <f t="shared" ca="1" si="179"/>
        <v>2079</v>
      </c>
      <c r="C125" s="80" t="s">
        <v>741</v>
      </c>
      <c r="D125" s="147" t="str">
        <f t="shared" si="200"/>
        <v/>
      </c>
      <c r="E125" s="81">
        <f t="shared" si="138"/>
        <v>0</v>
      </c>
      <c r="F125" s="81">
        <f t="shared" si="143"/>
        <v>2</v>
      </c>
      <c r="G125" s="82">
        <f t="shared" si="139"/>
        <v>-1</v>
      </c>
      <c r="H125" s="82">
        <f t="shared" si="201"/>
        <v>0</v>
      </c>
      <c r="I125" s="81" t="b">
        <f t="shared" si="202"/>
        <v>0</v>
      </c>
      <c r="J125" s="81"/>
      <c r="K125" s="81"/>
      <c r="L125" s="81"/>
      <c r="M125" s="81"/>
      <c r="N125" s="633"/>
      <c r="O125" s="243" t="e">
        <f ca="1">LT_InvestmentStocks*INDEX(SP_EA_ARStocks,EAIDX)+LT_InvestmentBonds*INDEX(SC_EA_ARBonds,EAIDX)</f>
        <v>#REF!</v>
      </c>
      <c r="P125" s="634"/>
      <c r="Q125" s="617"/>
      <c r="R125" s="617"/>
      <c r="S125" s="617"/>
      <c r="T125" s="617"/>
      <c r="U125" s="643"/>
      <c r="V125" s="617"/>
      <c r="W125" s="639"/>
      <c r="X125" s="106" t="e">
        <f t="shared" ca="1" si="205"/>
        <v>#REF!</v>
      </c>
      <c r="Y125" s="107" t="e">
        <f t="shared" ca="1" si="206"/>
        <v>#REF!</v>
      </c>
      <c r="Z125" s="107" t="e">
        <f t="shared" ca="1" si="207"/>
        <v>#REF!</v>
      </c>
      <c r="AA125" s="107" t="e">
        <f t="shared" ca="1" si="208"/>
        <v>#REF!</v>
      </c>
      <c r="AB125" s="91" t="e">
        <f t="shared" ca="1" si="181"/>
        <v>#REF!</v>
      </c>
      <c r="AC125" s="107" t="e">
        <f ca="1">-IF(INDEX(SC_ZX_CodeA,ZXIDX1)="X", 0, MIN(AB125*MAX(INDEX(SC_ZX_Drawdown,ZXIDX2),0),AA125))</f>
        <v>#REF!</v>
      </c>
      <c r="AD125" s="110" t="e">
        <f t="shared" ca="1" si="209"/>
        <v>#REF!</v>
      </c>
      <c r="AE125" s="106" t="e">
        <f t="shared" ca="1" si="210"/>
        <v>#REF!</v>
      </c>
      <c r="AF125" s="107" t="e">
        <f t="shared" ca="1" si="211"/>
        <v>#REF!</v>
      </c>
      <c r="AG125" s="107" t="e">
        <f t="shared" ca="1" si="212"/>
        <v>#REF!</v>
      </c>
      <c r="AH125" s="107" t="e">
        <f t="shared" ca="1" si="213"/>
        <v>#REF!</v>
      </c>
      <c r="AI125" s="91" t="e">
        <f t="shared" ca="1" si="182"/>
        <v>#REF!</v>
      </c>
      <c r="AJ125" s="107" t="e">
        <f ca="1">-IF(INDEX(SC_ZX_CodeA,ZXIDX1)="X", 0, MIN(AI125*MAX(INDEX(SC_ZX_Drawdown,ZXIDX2),0),AH125))</f>
        <v>#REF!</v>
      </c>
      <c r="AK125" s="110" t="e">
        <f t="shared" ca="1" si="214"/>
        <v>#REF!</v>
      </c>
      <c r="AL125" s="106" t="e">
        <f t="shared" ca="1" si="215"/>
        <v>#REF!</v>
      </c>
      <c r="AM125" s="107" t="e">
        <f t="shared" ca="1" si="216"/>
        <v>#REF!</v>
      </c>
      <c r="AN125" s="107" t="e">
        <f t="shared" ca="1" si="217"/>
        <v>#REF!</v>
      </c>
      <c r="AO125" s="107" t="e">
        <f t="shared" ca="1" si="218"/>
        <v>#REF!</v>
      </c>
      <c r="AP125" s="91" t="e">
        <f t="shared" ca="1" si="183"/>
        <v>#REF!</v>
      </c>
      <c r="AQ125" s="107" t="e">
        <f ca="1">-IF(INDEX(SC_ZX_CodeA,ZXIDX1)="X", 0, MIN(AP125*MAX(INDEX(SC_ZX_Drawdown,ZXIDX2),0),AO125))</f>
        <v>#REF!</v>
      </c>
      <c r="AR125" s="110" t="e">
        <f t="shared" ca="1" si="219"/>
        <v>#REF!</v>
      </c>
      <c r="AS125" s="106" t="e">
        <f t="shared" ca="1" si="220"/>
        <v>#REF!</v>
      </c>
      <c r="AT125" s="107" t="e">
        <f t="shared" ca="1" si="221"/>
        <v>#REF!</v>
      </c>
      <c r="AU125" s="107" t="e">
        <f t="shared" ca="1" si="222"/>
        <v>#REF!</v>
      </c>
      <c r="AV125" s="107" t="e">
        <f t="shared" ca="1" si="223"/>
        <v>#REF!</v>
      </c>
      <c r="AW125" s="91" t="e">
        <f t="shared" ca="1" si="184"/>
        <v>#REF!</v>
      </c>
      <c r="AX125" s="107" t="e">
        <f ca="1">-IF(INDEX(SC_ZX_CodeA,ZXIDX1)="X", 0, MIN(AW125*MAX(INDEX(SC_ZX_Drawdown,ZXIDX2),0),AV125))</f>
        <v>#REF!</v>
      </c>
      <c r="AY125" s="110" t="e">
        <f t="shared" ca="1" si="224"/>
        <v>#REF!</v>
      </c>
      <c r="AZ125" s="106" t="e">
        <f t="shared" ca="1" si="225"/>
        <v>#REF!</v>
      </c>
      <c r="BA125" s="107" t="e">
        <f t="shared" ca="1" si="226"/>
        <v>#REF!</v>
      </c>
      <c r="BB125" s="107" t="e">
        <f t="shared" ca="1" si="227"/>
        <v>#REF!</v>
      </c>
      <c r="BC125" s="107" t="e">
        <f t="shared" ca="1" si="228"/>
        <v>#REF!</v>
      </c>
      <c r="BD125" s="91" t="e">
        <f t="shared" ca="1" si="185"/>
        <v>#REF!</v>
      </c>
      <c r="BE125" s="107" t="e">
        <f ca="1">-IF(INDEX(SC_ZX_CodeA,ZXIDX1)="X", 0, MIN(BD125*MAX(INDEX(SC_ZX_Drawdown,ZXIDX2),0),AZ125))</f>
        <v>#REF!</v>
      </c>
      <c r="BF125" s="110" t="e">
        <f t="shared" ca="1" si="229"/>
        <v>#REF!</v>
      </c>
      <c r="BG125" s="106" t="e">
        <f t="shared" ca="1" si="230"/>
        <v>#REF!</v>
      </c>
      <c r="BH125" s="107" t="e">
        <f t="shared" ca="1" si="231"/>
        <v>#REF!</v>
      </c>
      <c r="BI125" s="107" t="e">
        <f t="shared" ca="1" si="232"/>
        <v>#REF!</v>
      </c>
      <c r="BJ125" s="107" t="e">
        <f t="shared" ca="1" si="233"/>
        <v>#REF!</v>
      </c>
      <c r="BK125" s="91" t="e">
        <f t="shared" ca="1" si="186"/>
        <v>#REF!</v>
      </c>
      <c r="BL125" s="107" t="e">
        <f ca="1">-IF(INDEX(SC_ZX_CodeA,ZXIDX1)="X", 0, MIN(BK125*MAX(INDEX(SC_ZX_Drawdown,ZXIDX2),0),BJ125))</f>
        <v>#REF!</v>
      </c>
      <c r="BM125" s="107" t="e">
        <f t="shared" ca="1" si="234"/>
        <v>#REF!</v>
      </c>
      <c r="BN125" s="113" t="e">
        <f t="shared" ca="1" si="235"/>
        <v>#REF!</v>
      </c>
      <c r="BO125" s="114" t="e">
        <f t="shared" ca="1" si="236"/>
        <v>#REF!</v>
      </c>
      <c r="BP125" s="114" t="e">
        <f ca="1">-($V125-IF(($P125+$R125+$S125)&gt;0,MAX($V125/($P125+$R125+$S125)*($Q125+$R125),$V125),0))*LT_InvestmentQDI</f>
        <v>#REF!</v>
      </c>
      <c r="BQ125" s="114" t="e">
        <f ca="1">-($V125-IF(($P125+$R125+$S125)&gt;0,MAX($V125/($P125+$R125+$S125)*($Q125+$R125),$V125),0))*(1-LT_InvestmentQDI)</f>
        <v>#REF!</v>
      </c>
      <c r="BR125" s="114" t="e">
        <f t="shared" ca="1" si="237"/>
        <v>#REF!</v>
      </c>
      <c r="BS125" s="114" t="e">
        <f t="shared" ca="1" si="238"/>
        <v>#REF!</v>
      </c>
      <c r="BT125" s="649"/>
      <c r="BU125" s="637"/>
      <c r="BV125" s="637"/>
      <c r="BW125" s="637"/>
      <c r="BX125" s="639"/>
    </row>
    <row r="126" spans="2:76" x14ac:dyDescent="0.25">
      <c r="B126" s="65">
        <f ca="1">B124+1</f>
        <v>2080</v>
      </c>
      <c r="C126" s="76" t="s">
        <v>741</v>
      </c>
      <c r="D126" s="146" t="str">
        <f t="shared" si="200"/>
        <v/>
      </c>
      <c r="E126" s="77">
        <f t="shared" si="138"/>
        <v>0</v>
      </c>
      <c r="F126" s="77">
        <f t="shared" si="143"/>
        <v>1</v>
      </c>
      <c r="G126" s="76">
        <f t="shared" si="139"/>
        <v>1</v>
      </c>
      <c r="H126" s="76">
        <f t="shared" si="201"/>
        <v>0</v>
      </c>
      <c r="I126" s="77" t="b">
        <f t="shared" si="202"/>
        <v>0</v>
      </c>
      <c r="J126" s="77"/>
      <c r="K126" s="77"/>
      <c r="L126" s="77"/>
      <c r="M126" s="77"/>
      <c r="N126" s="632">
        <f ca="1">YEAR(SP_TargetRD)-$B126</f>
        <v>-57</v>
      </c>
      <c r="O126" s="243" t="e">
        <f ca="1">LT_InvestmentStocks*INDEX(SP_EA_ARStocks,EAIDX)+LT_InvestmentBonds*INDEX(SC_EA_ARBonds,EAIDX)</f>
        <v>#REF!</v>
      </c>
      <c r="P126" s="634" t="e">
        <f ca="1">MAX(P124+R124+S124+V124+W124,0)</f>
        <v>#VALUE!</v>
      </c>
      <c r="Q126" s="617" t="e">
        <f t="shared" ref="Q126" ca="1" si="248">MAX(Q124+R124+IF((P124+R124+S124)&gt;0,MAX(V124/(P124+R124+S124)*(Q124+R124),V124),0),0)</f>
        <v>#VALUE!</v>
      </c>
      <c r="R126" s="617" t="e">
        <f ca="1">IF(SC_ZX_CodeA="X", 0, MAX(INDEX(SC_ZX_IncomeSurplus,ZXIDX2)+INDEX(SC_ZX_Debt,ZXIDX2),0))</f>
        <v>#VALUE!</v>
      </c>
      <c r="S126" s="617" t="e">
        <f ca="1">IF(SC_ZX_CodeA="X", 0, INDEX(SC_EX_RolloverCore,EXIDX))</f>
        <v>#VALUE!</v>
      </c>
      <c r="T126" s="617" t="e">
        <f ca="1">P126+R126+S126</f>
        <v>#VALUE!</v>
      </c>
      <c r="U126" s="642" t="e">
        <f ca="1">IF(SC_ZX_BalanceAccessibleA&gt;0, T126/SC_ZX_BalanceAccessibleA, 0)</f>
        <v>#VALUE!</v>
      </c>
      <c r="V126" s="617" t="e">
        <f ca="1">-IF(SC_ZX_CodeA="X",0,MIN(U126*MAX(INDEX(SC_ZX_Drawdown,ZXIDX2),0),T126))</f>
        <v>#VALUE!</v>
      </c>
      <c r="W126" s="618" t="e">
        <f ca="1">(P126+R126+S126+V126)*$O126</f>
        <v>#VALUE!</v>
      </c>
      <c r="X126" s="75" t="e">
        <f t="shared" ca="1" si="205"/>
        <v>#REF!</v>
      </c>
      <c r="Y126" s="70" t="e">
        <f t="shared" ca="1" si="206"/>
        <v>#REF!</v>
      </c>
      <c r="Z126" s="70" t="e">
        <f t="shared" ca="1" si="207"/>
        <v>#REF!</v>
      </c>
      <c r="AA126" s="70" t="e">
        <f t="shared" ca="1" si="208"/>
        <v>#REF!</v>
      </c>
      <c r="AB126" s="67" t="e">
        <f t="shared" ca="1" si="181"/>
        <v>#REF!</v>
      </c>
      <c r="AC126" s="70" t="e">
        <f ca="1">-IF(INDEX(SC_ZX_CodeA,ZXIDX1)="X", 0, MIN(AB126*MAX(INDEX(SC_ZX_Drawdown,ZXIDX2),0),AA126))</f>
        <v>#REF!</v>
      </c>
      <c r="AD126" s="109" t="e">
        <f t="shared" ca="1" si="209"/>
        <v>#REF!</v>
      </c>
      <c r="AE126" s="75" t="e">
        <f t="shared" ca="1" si="210"/>
        <v>#REF!</v>
      </c>
      <c r="AF126" s="70" t="e">
        <f t="shared" ca="1" si="211"/>
        <v>#REF!</v>
      </c>
      <c r="AG126" s="70" t="e">
        <f t="shared" ca="1" si="212"/>
        <v>#REF!</v>
      </c>
      <c r="AH126" s="70" t="e">
        <f t="shared" ca="1" si="213"/>
        <v>#REF!</v>
      </c>
      <c r="AI126" s="67" t="e">
        <f t="shared" ca="1" si="182"/>
        <v>#REF!</v>
      </c>
      <c r="AJ126" s="70" t="e">
        <f ca="1">-IF(INDEX(SC_ZX_CodeA,ZXIDX1)="X", 0, MIN(AI126*MAX(INDEX(SC_ZX_Drawdown,ZXIDX2),0),AH126))</f>
        <v>#REF!</v>
      </c>
      <c r="AK126" s="109" t="e">
        <f t="shared" ca="1" si="214"/>
        <v>#REF!</v>
      </c>
      <c r="AL126" s="75" t="e">
        <f t="shared" ca="1" si="215"/>
        <v>#REF!</v>
      </c>
      <c r="AM126" s="70" t="e">
        <f t="shared" ca="1" si="216"/>
        <v>#REF!</v>
      </c>
      <c r="AN126" s="70" t="e">
        <f t="shared" ca="1" si="217"/>
        <v>#REF!</v>
      </c>
      <c r="AO126" s="70" t="e">
        <f t="shared" ca="1" si="218"/>
        <v>#REF!</v>
      </c>
      <c r="AP126" s="67" t="e">
        <f t="shared" ca="1" si="183"/>
        <v>#REF!</v>
      </c>
      <c r="AQ126" s="70" t="e">
        <f ca="1">-IF(INDEX(SC_ZX_CodeA,ZXIDX1)="X", 0, MIN(AP126*MAX(INDEX(SC_ZX_Drawdown,ZXIDX2),0),AO126))</f>
        <v>#REF!</v>
      </c>
      <c r="AR126" s="109" t="e">
        <f t="shared" ca="1" si="219"/>
        <v>#REF!</v>
      </c>
      <c r="AS126" s="75" t="e">
        <f t="shared" ca="1" si="220"/>
        <v>#REF!</v>
      </c>
      <c r="AT126" s="70" t="e">
        <f t="shared" ca="1" si="221"/>
        <v>#REF!</v>
      </c>
      <c r="AU126" s="70" t="e">
        <f t="shared" ca="1" si="222"/>
        <v>#REF!</v>
      </c>
      <c r="AV126" s="70" t="e">
        <f t="shared" ca="1" si="223"/>
        <v>#REF!</v>
      </c>
      <c r="AW126" s="67" t="e">
        <f t="shared" ca="1" si="184"/>
        <v>#REF!</v>
      </c>
      <c r="AX126" s="70" t="e">
        <f ca="1">-IF(INDEX(SC_ZX_CodeA,ZXIDX1)="X", 0, MIN(AW126*MAX(INDEX(SC_ZX_Drawdown,ZXIDX2),0),AV126))</f>
        <v>#REF!</v>
      </c>
      <c r="AY126" s="109" t="e">
        <f t="shared" ca="1" si="224"/>
        <v>#REF!</v>
      </c>
      <c r="AZ126" s="75" t="e">
        <f t="shared" ca="1" si="225"/>
        <v>#REF!</v>
      </c>
      <c r="BA126" s="70" t="e">
        <f t="shared" ca="1" si="226"/>
        <v>#REF!</v>
      </c>
      <c r="BB126" s="70" t="e">
        <f t="shared" ca="1" si="227"/>
        <v>#REF!</v>
      </c>
      <c r="BC126" s="70" t="e">
        <f t="shared" ca="1" si="228"/>
        <v>#REF!</v>
      </c>
      <c r="BD126" s="67" t="e">
        <f t="shared" ca="1" si="185"/>
        <v>#REF!</v>
      </c>
      <c r="BE126" s="70" t="e">
        <f ca="1">-IF(INDEX(SC_ZX_CodeA,ZXIDX1)="X", 0, MIN(BD126*MAX(INDEX(SC_ZX_Drawdown,ZXIDX2),0),AZ126))</f>
        <v>#REF!</v>
      </c>
      <c r="BF126" s="109" t="e">
        <f t="shared" ca="1" si="229"/>
        <v>#REF!</v>
      </c>
      <c r="BG126" s="75" t="e">
        <f t="shared" ca="1" si="230"/>
        <v>#REF!</v>
      </c>
      <c r="BH126" s="70" t="e">
        <f t="shared" ca="1" si="231"/>
        <v>#REF!</v>
      </c>
      <c r="BI126" s="70" t="e">
        <f t="shared" ca="1" si="232"/>
        <v>#REF!</v>
      </c>
      <c r="BJ126" s="70" t="e">
        <f t="shared" ca="1" si="233"/>
        <v>#REF!</v>
      </c>
      <c r="BK126" s="67" t="e">
        <f t="shared" ca="1" si="186"/>
        <v>#REF!</v>
      </c>
      <c r="BL126" s="70" t="e">
        <f ca="1">-IF(INDEX(SC_ZX_CodeA,ZXIDX1)="X", 0, MIN(BK126*MAX(INDEX(SC_ZX_Drawdown,ZXIDX2),0),BJ126))</f>
        <v>#REF!</v>
      </c>
      <c r="BM126" s="70" t="e">
        <f t="shared" ca="1" si="234"/>
        <v>#REF!</v>
      </c>
      <c r="BN126" s="111" t="e">
        <f t="shared" ca="1" si="235"/>
        <v>#REF!</v>
      </c>
      <c r="BO126" s="112" t="e">
        <f t="shared" ca="1" si="236"/>
        <v>#REF!</v>
      </c>
      <c r="BP126" s="112" t="e">
        <f ca="1">-($V126-IF(($P126+$R126+$S126)&gt;0,MAX($V126/($P126+$R126+$S126)*($Q126+$R126),$V126),0))*LT_InvestmentQDI</f>
        <v>#VALUE!</v>
      </c>
      <c r="BQ126" s="112" t="e">
        <f ca="1">-($V126-IF(($P126+$R126+$S126)&gt;0,MAX($V126/($P126+$R126+$S126)*($Q126+$R126),$V126),0))*(1-LT_InvestmentQDI)</f>
        <v>#VALUE!</v>
      </c>
      <c r="BR126" s="112" t="e">
        <f t="shared" ca="1" si="237"/>
        <v>#VALUE!</v>
      </c>
      <c r="BS126" s="112" t="e">
        <f t="shared" ca="1" si="238"/>
        <v>#VALUE!</v>
      </c>
      <c r="BT126" s="634" t="e">
        <f ca="1">SUMPRODUCT($BN126:$BN127+$BO126:$BO127, --($E126:$E127&lt;&gt;0))</f>
        <v>#REF!</v>
      </c>
      <c r="BU126" s="617" t="e">
        <f ca="1">SUMPRODUCT($BR126:$BR127+$BS126:$BS127, --($E126:$E127&lt;&gt;0))</f>
        <v>#VALUE!</v>
      </c>
      <c r="BV126" s="617" t="e">
        <f ca="1">$T126+SUMPRODUCT($AA126:$AA127+$AH126:$AH127+$AO126:$AO127+$AV126:$AV127+$BC126:$BC127+$BJ126:$BJ127, --($E126:$E127&lt;&gt;0))</f>
        <v>#VALUE!</v>
      </c>
      <c r="BW126" s="617" t="e">
        <f ca="1">MAX($P126-$Q126,0)+SUMPRODUCT($X126:$X127+$AL126:$AL127+$AZ126:$AZ127, --($E126:$E127&lt;&gt;0))</f>
        <v>#VALUE!</v>
      </c>
      <c r="BX126" s="618" t="e">
        <f ca="1">MIN($P126,$Q126)+SUMPRODUCT($AE126:$AE127+$AS126:$AS127+$BG126:$BG127, --($E126:$E127&lt;&gt;0))</f>
        <v>#VALUE!</v>
      </c>
    </row>
    <row r="127" spans="2:76" x14ac:dyDescent="0.25">
      <c r="B127" s="86">
        <f t="shared" ca="1" si="179"/>
        <v>2080</v>
      </c>
      <c r="C127" s="80" t="s">
        <v>741</v>
      </c>
      <c r="D127" s="147" t="str">
        <f t="shared" si="200"/>
        <v/>
      </c>
      <c r="E127" s="81">
        <f t="shared" si="138"/>
        <v>0</v>
      </c>
      <c r="F127" s="81">
        <f t="shared" si="143"/>
        <v>2</v>
      </c>
      <c r="G127" s="82">
        <f t="shared" si="139"/>
        <v>-1</v>
      </c>
      <c r="H127" s="82">
        <f t="shared" si="201"/>
        <v>0</v>
      </c>
      <c r="I127" s="81" t="b">
        <f t="shared" si="202"/>
        <v>0</v>
      </c>
      <c r="J127" s="81"/>
      <c r="K127" s="81"/>
      <c r="L127" s="81"/>
      <c r="M127" s="81"/>
      <c r="N127" s="633"/>
      <c r="O127" s="243" t="e">
        <f ca="1">LT_InvestmentStocks*INDEX(SP_EA_ARStocks,EAIDX)+LT_InvestmentBonds*INDEX(SC_EA_ARBonds,EAIDX)</f>
        <v>#REF!</v>
      </c>
      <c r="P127" s="634"/>
      <c r="Q127" s="617"/>
      <c r="R127" s="617"/>
      <c r="S127" s="617"/>
      <c r="T127" s="617"/>
      <c r="U127" s="643"/>
      <c r="V127" s="617"/>
      <c r="W127" s="639"/>
      <c r="X127" s="106" t="e">
        <f t="shared" ca="1" si="205"/>
        <v>#REF!</v>
      </c>
      <c r="Y127" s="107" t="e">
        <f t="shared" ca="1" si="206"/>
        <v>#REF!</v>
      </c>
      <c r="Z127" s="107" t="e">
        <f t="shared" ca="1" si="207"/>
        <v>#REF!</v>
      </c>
      <c r="AA127" s="107" t="e">
        <f t="shared" ca="1" si="208"/>
        <v>#REF!</v>
      </c>
      <c r="AB127" s="91" t="e">
        <f t="shared" ca="1" si="181"/>
        <v>#REF!</v>
      </c>
      <c r="AC127" s="107" t="e">
        <f ca="1">-IF(INDEX(SC_ZX_CodeA,ZXIDX1)="X", 0, MIN(AB127*MAX(INDEX(SC_ZX_Drawdown,ZXIDX2),0),AA127))</f>
        <v>#REF!</v>
      </c>
      <c r="AD127" s="110" t="e">
        <f t="shared" ca="1" si="209"/>
        <v>#REF!</v>
      </c>
      <c r="AE127" s="106" t="e">
        <f t="shared" ca="1" si="210"/>
        <v>#REF!</v>
      </c>
      <c r="AF127" s="107" t="e">
        <f t="shared" ca="1" si="211"/>
        <v>#REF!</v>
      </c>
      <c r="AG127" s="107" t="e">
        <f t="shared" ca="1" si="212"/>
        <v>#REF!</v>
      </c>
      <c r="AH127" s="107" t="e">
        <f t="shared" ca="1" si="213"/>
        <v>#REF!</v>
      </c>
      <c r="AI127" s="91" t="e">
        <f t="shared" ca="1" si="182"/>
        <v>#REF!</v>
      </c>
      <c r="AJ127" s="107" t="e">
        <f ca="1">-IF(INDEX(SC_ZX_CodeA,ZXIDX1)="X", 0, MIN(AI127*MAX(INDEX(SC_ZX_Drawdown,ZXIDX2),0),AH127))</f>
        <v>#REF!</v>
      </c>
      <c r="AK127" s="110" t="e">
        <f t="shared" ca="1" si="214"/>
        <v>#REF!</v>
      </c>
      <c r="AL127" s="106" t="e">
        <f t="shared" ca="1" si="215"/>
        <v>#REF!</v>
      </c>
      <c r="AM127" s="107" t="e">
        <f t="shared" ca="1" si="216"/>
        <v>#REF!</v>
      </c>
      <c r="AN127" s="107" t="e">
        <f t="shared" ca="1" si="217"/>
        <v>#REF!</v>
      </c>
      <c r="AO127" s="107" t="e">
        <f t="shared" ca="1" si="218"/>
        <v>#REF!</v>
      </c>
      <c r="AP127" s="91" t="e">
        <f t="shared" ca="1" si="183"/>
        <v>#REF!</v>
      </c>
      <c r="AQ127" s="107" t="e">
        <f ca="1">-IF(INDEX(SC_ZX_CodeA,ZXIDX1)="X", 0, MIN(AP127*MAX(INDEX(SC_ZX_Drawdown,ZXIDX2),0),AO127))</f>
        <v>#REF!</v>
      </c>
      <c r="AR127" s="110" t="e">
        <f t="shared" ca="1" si="219"/>
        <v>#REF!</v>
      </c>
      <c r="AS127" s="106" t="e">
        <f t="shared" ca="1" si="220"/>
        <v>#REF!</v>
      </c>
      <c r="AT127" s="107" t="e">
        <f t="shared" ca="1" si="221"/>
        <v>#REF!</v>
      </c>
      <c r="AU127" s="107" t="e">
        <f t="shared" ca="1" si="222"/>
        <v>#REF!</v>
      </c>
      <c r="AV127" s="107" t="e">
        <f t="shared" ca="1" si="223"/>
        <v>#REF!</v>
      </c>
      <c r="AW127" s="91" t="e">
        <f t="shared" ca="1" si="184"/>
        <v>#REF!</v>
      </c>
      <c r="AX127" s="107" t="e">
        <f ca="1">-IF(INDEX(SC_ZX_CodeA,ZXIDX1)="X", 0, MIN(AW127*MAX(INDEX(SC_ZX_Drawdown,ZXIDX2),0),AV127))</f>
        <v>#REF!</v>
      </c>
      <c r="AY127" s="110" t="e">
        <f t="shared" ca="1" si="224"/>
        <v>#REF!</v>
      </c>
      <c r="AZ127" s="106" t="e">
        <f t="shared" ca="1" si="225"/>
        <v>#REF!</v>
      </c>
      <c r="BA127" s="107" t="e">
        <f t="shared" ca="1" si="226"/>
        <v>#REF!</v>
      </c>
      <c r="BB127" s="107" t="e">
        <f t="shared" ca="1" si="227"/>
        <v>#REF!</v>
      </c>
      <c r="BC127" s="107" t="e">
        <f t="shared" ca="1" si="228"/>
        <v>#REF!</v>
      </c>
      <c r="BD127" s="91" t="e">
        <f t="shared" ca="1" si="185"/>
        <v>#REF!</v>
      </c>
      <c r="BE127" s="107" t="e">
        <f ca="1">-IF(INDEX(SC_ZX_CodeA,ZXIDX1)="X", 0, MIN(BD127*MAX(INDEX(SC_ZX_Drawdown,ZXIDX2),0),AZ127))</f>
        <v>#REF!</v>
      </c>
      <c r="BF127" s="110" t="e">
        <f t="shared" ca="1" si="229"/>
        <v>#REF!</v>
      </c>
      <c r="BG127" s="106" t="e">
        <f t="shared" ca="1" si="230"/>
        <v>#REF!</v>
      </c>
      <c r="BH127" s="107" t="e">
        <f t="shared" ca="1" si="231"/>
        <v>#REF!</v>
      </c>
      <c r="BI127" s="107" t="e">
        <f t="shared" ca="1" si="232"/>
        <v>#REF!</v>
      </c>
      <c r="BJ127" s="107" t="e">
        <f t="shared" ca="1" si="233"/>
        <v>#REF!</v>
      </c>
      <c r="BK127" s="91" t="e">
        <f t="shared" ca="1" si="186"/>
        <v>#REF!</v>
      </c>
      <c r="BL127" s="107" t="e">
        <f ca="1">-IF(INDEX(SC_ZX_CodeA,ZXIDX1)="X", 0, MIN(BK127*MAX(INDEX(SC_ZX_Drawdown,ZXIDX2),0),BJ127))</f>
        <v>#REF!</v>
      </c>
      <c r="BM127" s="107" t="e">
        <f t="shared" ca="1" si="234"/>
        <v>#REF!</v>
      </c>
      <c r="BN127" s="113" t="e">
        <f t="shared" ca="1" si="235"/>
        <v>#REF!</v>
      </c>
      <c r="BO127" s="114" t="e">
        <f t="shared" ca="1" si="236"/>
        <v>#REF!</v>
      </c>
      <c r="BP127" s="114" t="e">
        <f ca="1">-($V127-IF(($P127+$R127+$S127)&gt;0,MAX($V127/($P127+$R127+$S127)*($Q127+$R127),$V127),0))*LT_InvestmentQDI</f>
        <v>#REF!</v>
      </c>
      <c r="BQ127" s="114" t="e">
        <f ca="1">-($V127-IF(($P127+$R127+$S127)&gt;0,MAX($V127/($P127+$R127+$S127)*($Q127+$R127),$V127),0))*(1-LT_InvestmentQDI)</f>
        <v>#REF!</v>
      </c>
      <c r="BR127" s="114" t="e">
        <f t="shared" ca="1" si="237"/>
        <v>#REF!</v>
      </c>
      <c r="BS127" s="114" t="e">
        <f t="shared" ca="1" si="238"/>
        <v>#REF!</v>
      </c>
      <c r="BT127" s="649"/>
      <c r="BU127" s="637"/>
      <c r="BV127" s="637"/>
      <c r="BW127" s="637"/>
      <c r="BX127" s="639"/>
    </row>
    <row r="128" spans="2:76" x14ac:dyDescent="0.25">
      <c r="B128" s="65">
        <f ca="1">B126+1</f>
        <v>2081</v>
      </c>
      <c r="C128" s="76" t="s">
        <v>741</v>
      </c>
      <c r="D128" s="146" t="str">
        <f t="shared" si="200"/>
        <v/>
      </c>
      <c r="E128" s="77">
        <f t="shared" si="138"/>
        <v>0</v>
      </c>
      <c r="F128" s="77">
        <f t="shared" si="143"/>
        <v>1</v>
      </c>
      <c r="G128" s="76">
        <f t="shared" si="139"/>
        <v>1</v>
      </c>
      <c r="H128" s="76">
        <f t="shared" si="201"/>
        <v>0</v>
      </c>
      <c r="I128" s="77" t="b">
        <f t="shared" si="202"/>
        <v>0</v>
      </c>
      <c r="J128" s="77"/>
      <c r="K128" s="77"/>
      <c r="L128" s="77"/>
      <c r="M128" s="77"/>
      <c r="N128" s="632">
        <f ca="1">YEAR(SP_TargetRD)-$B128</f>
        <v>-58</v>
      </c>
      <c r="O128" s="243" t="e">
        <f ca="1">LT_InvestmentStocks*INDEX(SP_EA_ARStocks,EAIDX)+LT_InvestmentBonds*INDEX(SC_EA_ARBonds,EAIDX)</f>
        <v>#REF!</v>
      </c>
      <c r="P128" s="634" t="e">
        <f ca="1">MAX(P126+R126+S126+V126+W126,0)</f>
        <v>#VALUE!</v>
      </c>
      <c r="Q128" s="617" t="e">
        <f t="shared" ref="Q128" ca="1" si="249">MAX(Q126+R126+IF((P126+R126+S126)&gt;0,MAX(V126/(P126+R126+S126)*(Q126+R126),V126),0),0)</f>
        <v>#VALUE!</v>
      </c>
      <c r="R128" s="617" t="e">
        <f ca="1">IF(SC_ZX_CodeA="X", 0, MAX(INDEX(SC_ZX_IncomeSurplus,ZXIDX2)+INDEX(SC_ZX_Debt,ZXIDX2),0))</f>
        <v>#VALUE!</v>
      </c>
      <c r="S128" s="617" t="e">
        <f ca="1">IF(SC_ZX_CodeA="X", 0, INDEX(SC_EX_RolloverCore,EXIDX))</f>
        <v>#VALUE!</v>
      </c>
      <c r="T128" s="617" t="e">
        <f ca="1">P128+R128+S128</f>
        <v>#VALUE!</v>
      </c>
      <c r="U128" s="642" t="e">
        <f ca="1">IF(SC_ZX_BalanceAccessibleA&gt;0, T128/SC_ZX_BalanceAccessibleA, 0)</f>
        <v>#VALUE!</v>
      </c>
      <c r="V128" s="617" t="e">
        <f ca="1">-IF(SC_ZX_CodeA="X",0,MIN(U128*MAX(INDEX(SC_ZX_Drawdown,ZXIDX2),0),T128))</f>
        <v>#VALUE!</v>
      </c>
      <c r="W128" s="618" t="e">
        <f ca="1">(P128+R128+S128+V128)*$O128</f>
        <v>#VALUE!</v>
      </c>
      <c r="X128" s="75" t="e">
        <f t="shared" ca="1" si="205"/>
        <v>#REF!</v>
      </c>
      <c r="Y128" s="70" t="e">
        <f t="shared" ca="1" si="206"/>
        <v>#REF!</v>
      </c>
      <c r="Z128" s="70" t="e">
        <f t="shared" ca="1" si="207"/>
        <v>#REF!</v>
      </c>
      <c r="AA128" s="70" t="e">
        <f t="shared" ca="1" si="208"/>
        <v>#REF!</v>
      </c>
      <c r="AB128" s="67" t="e">
        <f t="shared" ca="1" si="181"/>
        <v>#REF!</v>
      </c>
      <c r="AC128" s="70" t="e">
        <f ca="1">-IF(INDEX(SC_ZX_CodeA,ZXIDX1)="X", 0, MIN(AB128*MAX(INDEX(SC_ZX_Drawdown,ZXIDX2),0),AA128))</f>
        <v>#REF!</v>
      </c>
      <c r="AD128" s="109" t="e">
        <f t="shared" ca="1" si="209"/>
        <v>#REF!</v>
      </c>
      <c r="AE128" s="75" t="e">
        <f t="shared" ca="1" si="210"/>
        <v>#REF!</v>
      </c>
      <c r="AF128" s="70" t="e">
        <f t="shared" ca="1" si="211"/>
        <v>#REF!</v>
      </c>
      <c r="AG128" s="70" t="e">
        <f t="shared" ca="1" si="212"/>
        <v>#REF!</v>
      </c>
      <c r="AH128" s="70" t="e">
        <f t="shared" ca="1" si="213"/>
        <v>#REF!</v>
      </c>
      <c r="AI128" s="67" t="e">
        <f t="shared" ca="1" si="182"/>
        <v>#REF!</v>
      </c>
      <c r="AJ128" s="70" t="e">
        <f ca="1">-IF(INDEX(SC_ZX_CodeA,ZXIDX1)="X", 0, MIN(AI128*MAX(INDEX(SC_ZX_Drawdown,ZXIDX2),0),AH128))</f>
        <v>#REF!</v>
      </c>
      <c r="AK128" s="109" t="e">
        <f t="shared" ca="1" si="214"/>
        <v>#REF!</v>
      </c>
      <c r="AL128" s="75" t="e">
        <f t="shared" ca="1" si="215"/>
        <v>#REF!</v>
      </c>
      <c r="AM128" s="70" t="e">
        <f t="shared" ca="1" si="216"/>
        <v>#REF!</v>
      </c>
      <c r="AN128" s="70" t="e">
        <f t="shared" ca="1" si="217"/>
        <v>#REF!</v>
      </c>
      <c r="AO128" s="70" t="e">
        <f t="shared" ca="1" si="218"/>
        <v>#REF!</v>
      </c>
      <c r="AP128" s="67" t="e">
        <f t="shared" ca="1" si="183"/>
        <v>#REF!</v>
      </c>
      <c r="AQ128" s="70" t="e">
        <f ca="1">-IF(INDEX(SC_ZX_CodeA,ZXIDX1)="X", 0, MIN(AP128*MAX(INDEX(SC_ZX_Drawdown,ZXIDX2),0),AO128))</f>
        <v>#REF!</v>
      </c>
      <c r="AR128" s="109" t="e">
        <f t="shared" ca="1" si="219"/>
        <v>#REF!</v>
      </c>
      <c r="AS128" s="75" t="e">
        <f t="shared" ca="1" si="220"/>
        <v>#REF!</v>
      </c>
      <c r="AT128" s="70" t="e">
        <f t="shared" ca="1" si="221"/>
        <v>#REF!</v>
      </c>
      <c r="AU128" s="70" t="e">
        <f t="shared" ca="1" si="222"/>
        <v>#REF!</v>
      </c>
      <c r="AV128" s="70" t="e">
        <f t="shared" ca="1" si="223"/>
        <v>#REF!</v>
      </c>
      <c r="AW128" s="67" t="e">
        <f t="shared" ca="1" si="184"/>
        <v>#REF!</v>
      </c>
      <c r="AX128" s="70" t="e">
        <f ca="1">-IF(INDEX(SC_ZX_CodeA,ZXIDX1)="X", 0, MIN(AW128*MAX(INDEX(SC_ZX_Drawdown,ZXIDX2),0),AV128))</f>
        <v>#REF!</v>
      </c>
      <c r="AY128" s="109" t="e">
        <f t="shared" ca="1" si="224"/>
        <v>#REF!</v>
      </c>
      <c r="AZ128" s="75" t="e">
        <f t="shared" ca="1" si="225"/>
        <v>#REF!</v>
      </c>
      <c r="BA128" s="70" t="e">
        <f t="shared" ca="1" si="226"/>
        <v>#REF!</v>
      </c>
      <c r="BB128" s="70" t="e">
        <f t="shared" ca="1" si="227"/>
        <v>#REF!</v>
      </c>
      <c r="BC128" s="70" t="e">
        <f t="shared" ca="1" si="228"/>
        <v>#REF!</v>
      </c>
      <c r="BD128" s="67" t="e">
        <f t="shared" ca="1" si="185"/>
        <v>#REF!</v>
      </c>
      <c r="BE128" s="70" t="e">
        <f ca="1">-IF(INDEX(SC_ZX_CodeA,ZXIDX1)="X", 0, MIN(BD128*MAX(INDEX(SC_ZX_Drawdown,ZXIDX2),0),AZ128))</f>
        <v>#REF!</v>
      </c>
      <c r="BF128" s="109" t="e">
        <f t="shared" ca="1" si="229"/>
        <v>#REF!</v>
      </c>
      <c r="BG128" s="75" t="e">
        <f t="shared" ca="1" si="230"/>
        <v>#REF!</v>
      </c>
      <c r="BH128" s="70" t="e">
        <f t="shared" ca="1" si="231"/>
        <v>#REF!</v>
      </c>
      <c r="BI128" s="70" t="e">
        <f t="shared" ca="1" si="232"/>
        <v>#REF!</v>
      </c>
      <c r="BJ128" s="70" t="e">
        <f t="shared" ca="1" si="233"/>
        <v>#REF!</v>
      </c>
      <c r="BK128" s="67" t="e">
        <f t="shared" ca="1" si="186"/>
        <v>#REF!</v>
      </c>
      <c r="BL128" s="70" t="e">
        <f ca="1">-IF(INDEX(SC_ZX_CodeA,ZXIDX1)="X", 0, MIN(BK128*MAX(INDEX(SC_ZX_Drawdown,ZXIDX2),0),BJ128))</f>
        <v>#REF!</v>
      </c>
      <c r="BM128" s="70" t="e">
        <f t="shared" ca="1" si="234"/>
        <v>#REF!</v>
      </c>
      <c r="BN128" s="111" t="e">
        <f t="shared" ca="1" si="235"/>
        <v>#REF!</v>
      </c>
      <c r="BO128" s="112" t="e">
        <f t="shared" ca="1" si="236"/>
        <v>#REF!</v>
      </c>
      <c r="BP128" s="112" t="e">
        <f ca="1">-($V128-IF(($P128+$R128+$S128)&gt;0,MAX($V128/($P128+$R128+$S128)*($Q128+$R128),$V128),0))*LT_InvestmentQDI</f>
        <v>#VALUE!</v>
      </c>
      <c r="BQ128" s="112" t="e">
        <f ca="1">-($V128-IF(($P128+$R128+$S128)&gt;0,MAX($V128/($P128+$R128+$S128)*($Q128+$R128),$V128),0))*(1-LT_InvestmentQDI)</f>
        <v>#VALUE!</v>
      </c>
      <c r="BR128" s="112" t="e">
        <f t="shared" ca="1" si="237"/>
        <v>#VALUE!</v>
      </c>
      <c r="BS128" s="112" t="e">
        <f t="shared" ca="1" si="238"/>
        <v>#VALUE!</v>
      </c>
      <c r="BT128" s="634" t="e">
        <f ca="1">SUMPRODUCT($BN128:$BN129+$BO128:$BO129, --($E128:$E129&lt;&gt;0))</f>
        <v>#REF!</v>
      </c>
      <c r="BU128" s="617" t="e">
        <f ca="1">SUMPRODUCT($BR128:$BR129+$BS128:$BS129, --($E128:$E129&lt;&gt;0))</f>
        <v>#VALUE!</v>
      </c>
      <c r="BV128" s="617" t="e">
        <f ca="1">$T128+SUMPRODUCT($AA128:$AA129+$AH128:$AH129+$AO128:$AO129+$AV128:$AV129+$BC128:$BC129+$BJ128:$BJ129, --($E128:$E129&lt;&gt;0))</f>
        <v>#VALUE!</v>
      </c>
      <c r="BW128" s="617" t="e">
        <f ca="1">MAX($P128-$Q128,0)+SUMPRODUCT($X128:$X129+$AL128:$AL129+$AZ128:$AZ129, --($E128:$E129&lt;&gt;0))</f>
        <v>#VALUE!</v>
      </c>
      <c r="BX128" s="618" t="e">
        <f ca="1">MIN($P128,$Q128)+SUMPRODUCT($AE128:$AE129+$AS128:$AS129+$BG128:$BG129, --($E128:$E129&lt;&gt;0))</f>
        <v>#VALUE!</v>
      </c>
    </row>
    <row r="129" spans="2:76" x14ac:dyDescent="0.25">
      <c r="B129" s="86">
        <f t="shared" ca="1" si="179"/>
        <v>2081</v>
      </c>
      <c r="C129" s="80" t="s">
        <v>741</v>
      </c>
      <c r="D129" s="147" t="str">
        <f t="shared" si="200"/>
        <v/>
      </c>
      <c r="E129" s="81">
        <f t="shared" si="138"/>
        <v>0</v>
      </c>
      <c r="F129" s="81">
        <f t="shared" si="143"/>
        <v>2</v>
      </c>
      <c r="G129" s="82">
        <f t="shared" si="139"/>
        <v>-1</v>
      </c>
      <c r="H129" s="82">
        <f t="shared" si="201"/>
        <v>0</v>
      </c>
      <c r="I129" s="81" t="b">
        <f t="shared" si="202"/>
        <v>0</v>
      </c>
      <c r="J129" s="81"/>
      <c r="K129" s="81"/>
      <c r="L129" s="81"/>
      <c r="M129" s="81"/>
      <c r="N129" s="633"/>
      <c r="O129" s="243" t="e">
        <f ca="1">LT_InvestmentStocks*INDEX(SP_EA_ARStocks,EAIDX)+LT_InvestmentBonds*INDEX(SC_EA_ARBonds,EAIDX)</f>
        <v>#REF!</v>
      </c>
      <c r="P129" s="634"/>
      <c r="Q129" s="617"/>
      <c r="R129" s="617"/>
      <c r="S129" s="617"/>
      <c r="T129" s="617"/>
      <c r="U129" s="643"/>
      <c r="V129" s="617"/>
      <c r="W129" s="639"/>
      <c r="X129" s="106" t="e">
        <f t="shared" ca="1" si="205"/>
        <v>#REF!</v>
      </c>
      <c r="Y129" s="107" t="e">
        <f t="shared" ca="1" si="206"/>
        <v>#REF!</v>
      </c>
      <c r="Z129" s="107" t="e">
        <f t="shared" ca="1" si="207"/>
        <v>#REF!</v>
      </c>
      <c r="AA129" s="107" t="e">
        <f t="shared" ca="1" si="208"/>
        <v>#REF!</v>
      </c>
      <c r="AB129" s="91" t="e">
        <f t="shared" ca="1" si="181"/>
        <v>#REF!</v>
      </c>
      <c r="AC129" s="107" t="e">
        <f ca="1">-IF(INDEX(SC_ZX_CodeA,ZXIDX1)="X", 0, MIN(AB129*MAX(INDEX(SC_ZX_Drawdown,ZXIDX2),0),AA129))</f>
        <v>#REF!</v>
      </c>
      <c r="AD129" s="110" t="e">
        <f t="shared" ca="1" si="209"/>
        <v>#REF!</v>
      </c>
      <c r="AE129" s="106" t="e">
        <f t="shared" ca="1" si="210"/>
        <v>#REF!</v>
      </c>
      <c r="AF129" s="107" t="e">
        <f t="shared" ca="1" si="211"/>
        <v>#REF!</v>
      </c>
      <c r="AG129" s="107" t="e">
        <f t="shared" ca="1" si="212"/>
        <v>#REF!</v>
      </c>
      <c r="AH129" s="107" t="e">
        <f t="shared" ca="1" si="213"/>
        <v>#REF!</v>
      </c>
      <c r="AI129" s="91" t="e">
        <f t="shared" ca="1" si="182"/>
        <v>#REF!</v>
      </c>
      <c r="AJ129" s="107" t="e">
        <f ca="1">-IF(INDEX(SC_ZX_CodeA,ZXIDX1)="X", 0, MIN(AI129*MAX(INDEX(SC_ZX_Drawdown,ZXIDX2),0),AH129))</f>
        <v>#REF!</v>
      </c>
      <c r="AK129" s="110" t="e">
        <f t="shared" ca="1" si="214"/>
        <v>#REF!</v>
      </c>
      <c r="AL129" s="106" t="e">
        <f t="shared" ca="1" si="215"/>
        <v>#REF!</v>
      </c>
      <c r="AM129" s="107" t="e">
        <f t="shared" ca="1" si="216"/>
        <v>#REF!</v>
      </c>
      <c r="AN129" s="107" t="e">
        <f t="shared" ca="1" si="217"/>
        <v>#REF!</v>
      </c>
      <c r="AO129" s="107" t="e">
        <f t="shared" ca="1" si="218"/>
        <v>#REF!</v>
      </c>
      <c r="AP129" s="91" t="e">
        <f t="shared" ca="1" si="183"/>
        <v>#REF!</v>
      </c>
      <c r="AQ129" s="107" t="e">
        <f ca="1">-IF(INDEX(SC_ZX_CodeA,ZXIDX1)="X", 0, MIN(AP129*MAX(INDEX(SC_ZX_Drawdown,ZXIDX2),0),AO129))</f>
        <v>#REF!</v>
      </c>
      <c r="AR129" s="110" t="e">
        <f t="shared" ca="1" si="219"/>
        <v>#REF!</v>
      </c>
      <c r="AS129" s="106" t="e">
        <f t="shared" ca="1" si="220"/>
        <v>#REF!</v>
      </c>
      <c r="AT129" s="107" t="e">
        <f t="shared" ca="1" si="221"/>
        <v>#REF!</v>
      </c>
      <c r="AU129" s="107" t="e">
        <f t="shared" ca="1" si="222"/>
        <v>#REF!</v>
      </c>
      <c r="AV129" s="107" t="e">
        <f t="shared" ca="1" si="223"/>
        <v>#REF!</v>
      </c>
      <c r="AW129" s="91" t="e">
        <f t="shared" ca="1" si="184"/>
        <v>#REF!</v>
      </c>
      <c r="AX129" s="107" t="e">
        <f ca="1">-IF(INDEX(SC_ZX_CodeA,ZXIDX1)="X", 0, MIN(AW129*MAX(INDEX(SC_ZX_Drawdown,ZXIDX2),0),AV129))</f>
        <v>#REF!</v>
      </c>
      <c r="AY129" s="110" t="e">
        <f t="shared" ca="1" si="224"/>
        <v>#REF!</v>
      </c>
      <c r="AZ129" s="106" t="e">
        <f t="shared" ca="1" si="225"/>
        <v>#REF!</v>
      </c>
      <c r="BA129" s="107" t="e">
        <f t="shared" ca="1" si="226"/>
        <v>#REF!</v>
      </c>
      <c r="BB129" s="107" t="e">
        <f t="shared" ca="1" si="227"/>
        <v>#REF!</v>
      </c>
      <c r="BC129" s="107" t="e">
        <f t="shared" ca="1" si="228"/>
        <v>#REF!</v>
      </c>
      <c r="BD129" s="91" t="e">
        <f t="shared" ca="1" si="185"/>
        <v>#REF!</v>
      </c>
      <c r="BE129" s="107" t="e">
        <f ca="1">-IF(INDEX(SC_ZX_CodeA,ZXIDX1)="X", 0, MIN(BD129*MAX(INDEX(SC_ZX_Drawdown,ZXIDX2),0),AZ129))</f>
        <v>#REF!</v>
      </c>
      <c r="BF129" s="110" t="e">
        <f t="shared" ca="1" si="229"/>
        <v>#REF!</v>
      </c>
      <c r="BG129" s="106" t="e">
        <f t="shared" ca="1" si="230"/>
        <v>#REF!</v>
      </c>
      <c r="BH129" s="107" t="e">
        <f t="shared" ca="1" si="231"/>
        <v>#REF!</v>
      </c>
      <c r="BI129" s="107" t="e">
        <f t="shared" ca="1" si="232"/>
        <v>#REF!</v>
      </c>
      <c r="BJ129" s="107" t="e">
        <f t="shared" ca="1" si="233"/>
        <v>#REF!</v>
      </c>
      <c r="BK129" s="91" t="e">
        <f t="shared" ca="1" si="186"/>
        <v>#REF!</v>
      </c>
      <c r="BL129" s="107" t="e">
        <f ca="1">-IF(INDEX(SC_ZX_CodeA,ZXIDX1)="X", 0, MIN(BK129*MAX(INDEX(SC_ZX_Drawdown,ZXIDX2),0),BJ129))</f>
        <v>#REF!</v>
      </c>
      <c r="BM129" s="107" t="e">
        <f t="shared" ca="1" si="234"/>
        <v>#REF!</v>
      </c>
      <c r="BN129" s="113" t="e">
        <f t="shared" ca="1" si="235"/>
        <v>#REF!</v>
      </c>
      <c r="BO129" s="114" t="e">
        <f t="shared" ca="1" si="236"/>
        <v>#REF!</v>
      </c>
      <c r="BP129" s="114" t="e">
        <f ca="1">-($V129-IF(($P129+$R129+$S129)&gt;0,MAX($V129/($P129+$R129+$S129)*($Q129+$R129),$V129),0))*LT_InvestmentQDI</f>
        <v>#REF!</v>
      </c>
      <c r="BQ129" s="114" t="e">
        <f ca="1">-($V129-IF(($P129+$R129+$S129)&gt;0,MAX($V129/($P129+$R129+$S129)*($Q129+$R129),$V129),0))*(1-LT_InvestmentQDI)</f>
        <v>#REF!</v>
      </c>
      <c r="BR129" s="114" t="e">
        <f t="shared" ca="1" si="237"/>
        <v>#REF!</v>
      </c>
      <c r="BS129" s="114" t="e">
        <f t="shared" ca="1" si="238"/>
        <v>#REF!</v>
      </c>
      <c r="BT129" s="649"/>
      <c r="BU129" s="637"/>
      <c r="BV129" s="637"/>
      <c r="BW129" s="637"/>
      <c r="BX129" s="639"/>
    </row>
    <row r="130" spans="2:76" x14ac:dyDescent="0.25">
      <c r="B130" s="65">
        <f ca="1">B128+1</f>
        <v>2082</v>
      </c>
      <c r="C130" s="76" t="s">
        <v>741</v>
      </c>
      <c r="D130" s="146" t="str">
        <f t="shared" si="200"/>
        <v/>
      </c>
      <c r="E130" s="77">
        <f t="shared" si="138"/>
        <v>0</v>
      </c>
      <c r="F130" s="77">
        <f t="shared" si="143"/>
        <v>1</v>
      </c>
      <c r="G130" s="76">
        <f t="shared" si="139"/>
        <v>1</v>
      </c>
      <c r="H130" s="76">
        <f t="shared" si="201"/>
        <v>0</v>
      </c>
      <c r="I130" s="77" t="b">
        <f t="shared" si="202"/>
        <v>0</v>
      </c>
      <c r="J130" s="77"/>
      <c r="K130" s="77"/>
      <c r="L130" s="77"/>
      <c r="M130" s="77"/>
      <c r="N130" s="632">
        <f ca="1">YEAR(SP_TargetRD)-$B130</f>
        <v>-59</v>
      </c>
      <c r="O130" s="243" t="e">
        <f ca="1">LT_InvestmentStocks*INDEX(SP_EA_ARStocks,EAIDX)+LT_InvestmentBonds*INDEX(SC_EA_ARBonds,EAIDX)</f>
        <v>#REF!</v>
      </c>
      <c r="P130" s="634" t="e">
        <f ca="1">MAX(P128+R128+S128+V128+W128,0)</f>
        <v>#VALUE!</v>
      </c>
      <c r="Q130" s="617" t="e">
        <f t="shared" ref="Q130" ca="1" si="250">MAX(Q128+R128+IF((P128+R128+S128)&gt;0,MAX(V128/(P128+R128+S128)*(Q128+R128),V128),0),0)</f>
        <v>#VALUE!</v>
      </c>
      <c r="R130" s="617" t="e">
        <f ca="1">IF(SC_ZX_CodeA="X", 0, MAX(INDEX(SC_ZX_IncomeSurplus,ZXIDX2)+INDEX(SC_ZX_Debt,ZXIDX2),0))</f>
        <v>#VALUE!</v>
      </c>
      <c r="S130" s="617" t="e">
        <f ca="1">IF(SC_ZX_CodeA="X", 0, INDEX(SC_EX_RolloverCore,EXIDX))</f>
        <v>#VALUE!</v>
      </c>
      <c r="T130" s="617" t="e">
        <f ca="1">P130+R130+S130</f>
        <v>#VALUE!</v>
      </c>
      <c r="U130" s="642" t="e">
        <f ca="1">IF(SC_ZX_BalanceAccessibleA&gt;0, T130/SC_ZX_BalanceAccessibleA, 0)</f>
        <v>#VALUE!</v>
      </c>
      <c r="V130" s="617" t="e">
        <f ca="1">-IF(SC_ZX_CodeA="X",0,MIN(U130*MAX(INDEX(SC_ZX_Drawdown,ZXIDX2),0),T130))</f>
        <v>#VALUE!</v>
      </c>
      <c r="W130" s="618" t="e">
        <f ca="1">(P130+R130+S130+V130)*$O130</f>
        <v>#VALUE!</v>
      </c>
      <c r="X130" s="75" t="e">
        <f t="shared" ca="1" si="205"/>
        <v>#REF!</v>
      </c>
      <c r="Y130" s="70" t="e">
        <f t="shared" ca="1" si="206"/>
        <v>#REF!</v>
      </c>
      <c r="Z130" s="70" t="e">
        <f t="shared" ca="1" si="207"/>
        <v>#REF!</v>
      </c>
      <c r="AA130" s="70" t="e">
        <f t="shared" ca="1" si="208"/>
        <v>#REF!</v>
      </c>
      <c r="AB130" s="67" t="e">
        <f t="shared" ca="1" si="181"/>
        <v>#REF!</v>
      </c>
      <c r="AC130" s="70" t="e">
        <f ca="1">-IF(INDEX(SC_ZX_CodeA,ZXIDX1)="X", 0, MIN(AB130*MAX(INDEX(SC_ZX_Drawdown,ZXIDX2),0),AA130))</f>
        <v>#REF!</v>
      </c>
      <c r="AD130" s="109" t="e">
        <f t="shared" ca="1" si="209"/>
        <v>#REF!</v>
      </c>
      <c r="AE130" s="75" t="e">
        <f t="shared" ca="1" si="210"/>
        <v>#REF!</v>
      </c>
      <c r="AF130" s="70" t="e">
        <f t="shared" ca="1" si="211"/>
        <v>#REF!</v>
      </c>
      <c r="AG130" s="70" t="e">
        <f t="shared" ca="1" si="212"/>
        <v>#REF!</v>
      </c>
      <c r="AH130" s="70" t="e">
        <f t="shared" ca="1" si="213"/>
        <v>#REF!</v>
      </c>
      <c r="AI130" s="67" t="e">
        <f t="shared" ca="1" si="182"/>
        <v>#REF!</v>
      </c>
      <c r="AJ130" s="70" t="e">
        <f ca="1">-IF(INDEX(SC_ZX_CodeA,ZXIDX1)="X", 0, MIN(AI130*MAX(INDEX(SC_ZX_Drawdown,ZXIDX2),0),AH130))</f>
        <v>#REF!</v>
      </c>
      <c r="AK130" s="109" t="e">
        <f t="shared" ca="1" si="214"/>
        <v>#REF!</v>
      </c>
      <c r="AL130" s="75" t="e">
        <f t="shared" ca="1" si="215"/>
        <v>#REF!</v>
      </c>
      <c r="AM130" s="70" t="e">
        <f t="shared" ca="1" si="216"/>
        <v>#REF!</v>
      </c>
      <c r="AN130" s="70" t="e">
        <f t="shared" ca="1" si="217"/>
        <v>#REF!</v>
      </c>
      <c r="AO130" s="70" t="e">
        <f t="shared" ca="1" si="218"/>
        <v>#REF!</v>
      </c>
      <c r="AP130" s="67" t="e">
        <f t="shared" ca="1" si="183"/>
        <v>#REF!</v>
      </c>
      <c r="AQ130" s="70" t="e">
        <f ca="1">-IF(INDEX(SC_ZX_CodeA,ZXIDX1)="X", 0, MIN(AP130*MAX(INDEX(SC_ZX_Drawdown,ZXIDX2),0),AO130))</f>
        <v>#REF!</v>
      </c>
      <c r="AR130" s="109" t="e">
        <f t="shared" ca="1" si="219"/>
        <v>#REF!</v>
      </c>
      <c r="AS130" s="75" t="e">
        <f t="shared" ca="1" si="220"/>
        <v>#REF!</v>
      </c>
      <c r="AT130" s="70" t="e">
        <f t="shared" ca="1" si="221"/>
        <v>#REF!</v>
      </c>
      <c r="AU130" s="70" t="e">
        <f t="shared" ca="1" si="222"/>
        <v>#REF!</v>
      </c>
      <c r="AV130" s="70" t="e">
        <f t="shared" ca="1" si="223"/>
        <v>#REF!</v>
      </c>
      <c r="AW130" s="67" t="e">
        <f t="shared" ca="1" si="184"/>
        <v>#REF!</v>
      </c>
      <c r="AX130" s="70" t="e">
        <f ca="1">-IF(INDEX(SC_ZX_CodeA,ZXIDX1)="X", 0, MIN(AW130*MAX(INDEX(SC_ZX_Drawdown,ZXIDX2),0),AV130))</f>
        <v>#REF!</v>
      </c>
      <c r="AY130" s="109" t="e">
        <f t="shared" ca="1" si="224"/>
        <v>#REF!</v>
      </c>
      <c r="AZ130" s="75" t="e">
        <f t="shared" ca="1" si="225"/>
        <v>#REF!</v>
      </c>
      <c r="BA130" s="70" t="e">
        <f t="shared" ca="1" si="226"/>
        <v>#REF!</v>
      </c>
      <c r="BB130" s="70" t="e">
        <f t="shared" ca="1" si="227"/>
        <v>#REF!</v>
      </c>
      <c r="BC130" s="70" t="e">
        <f t="shared" ca="1" si="228"/>
        <v>#REF!</v>
      </c>
      <c r="BD130" s="67" t="e">
        <f t="shared" ca="1" si="185"/>
        <v>#REF!</v>
      </c>
      <c r="BE130" s="70" t="e">
        <f ca="1">-IF(INDEX(SC_ZX_CodeA,ZXIDX1)="X", 0, MIN(BD130*MAX(INDEX(SC_ZX_Drawdown,ZXIDX2),0),AZ130))</f>
        <v>#REF!</v>
      </c>
      <c r="BF130" s="109" t="e">
        <f t="shared" ca="1" si="229"/>
        <v>#REF!</v>
      </c>
      <c r="BG130" s="75" t="e">
        <f t="shared" ca="1" si="230"/>
        <v>#REF!</v>
      </c>
      <c r="BH130" s="70" t="e">
        <f t="shared" ca="1" si="231"/>
        <v>#REF!</v>
      </c>
      <c r="BI130" s="70" t="e">
        <f t="shared" ca="1" si="232"/>
        <v>#REF!</v>
      </c>
      <c r="BJ130" s="70" t="e">
        <f t="shared" ca="1" si="233"/>
        <v>#REF!</v>
      </c>
      <c r="BK130" s="67" t="e">
        <f t="shared" ca="1" si="186"/>
        <v>#REF!</v>
      </c>
      <c r="BL130" s="70" t="e">
        <f ca="1">-IF(INDEX(SC_ZX_CodeA,ZXIDX1)="X", 0, MIN(BK130*MAX(INDEX(SC_ZX_Drawdown,ZXIDX2),0),BJ130))</f>
        <v>#REF!</v>
      </c>
      <c r="BM130" s="70" t="e">
        <f t="shared" ca="1" si="234"/>
        <v>#REF!</v>
      </c>
      <c r="BN130" s="111" t="e">
        <f t="shared" ca="1" si="235"/>
        <v>#REF!</v>
      </c>
      <c r="BO130" s="112" t="e">
        <f t="shared" ca="1" si="236"/>
        <v>#REF!</v>
      </c>
      <c r="BP130" s="112" t="e">
        <f ca="1">-($V130-IF(($P130+$R130+$S130)&gt;0,MAX($V130/($P130+$R130+$S130)*($Q130+$R130),$V130),0))*LT_InvestmentQDI</f>
        <v>#VALUE!</v>
      </c>
      <c r="BQ130" s="112" t="e">
        <f ca="1">-($V130-IF(($P130+$R130+$S130)&gt;0,MAX($V130/($P130+$R130+$S130)*($Q130+$R130),$V130),0))*(1-LT_InvestmentQDI)</f>
        <v>#VALUE!</v>
      </c>
      <c r="BR130" s="112" t="e">
        <f t="shared" ca="1" si="237"/>
        <v>#VALUE!</v>
      </c>
      <c r="BS130" s="112" t="e">
        <f t="shared" ca="1" si="238"/>
        <v>#VALUE!</v>
      </c>
      <c r="BT130" s="634" t="e">
        <f ca="1">SUMPRODUCT($BN130:$BN131+$BO130:$BO131, --($E130:$E131&lt;&gt;0))</f>
        <v>#REF!</v>
      </c>
      <c r="BU130" s="617" t="e">
        <f ca="1">SUMPRODUCT($BR130:$BR131+$BS130:$BS131, --($E130:$E131&lt;&gt;0))</f>
        <v>#VALUE!</v>
      </c>
      <c r="BV130" s="617" t="e">
        <f ca="1">$T130+SUMPRODUCT($AA130:$AA131+$AH130:$AH131+$AO130:$AO131+$AV130:$AV131+$BC130:$BC131+$BJ130:$BJ131, --($E130:$E131&lt;&gt;0))</f>
        <v>#VALUE!</v>
      </c>
      <c r="BW130" s="617" t="e">
        <f ca="1">MAX($P130-$Q130,0)+SUMPRODUCT($X130:$X131+$AL130:$AL131+$AZ130:$AZ131, --($E130:$E131&lt;&gt;0))</f>
        <v>#VALUE!</v>
      </c>
      <c r="BX130" s="618" t="e">
        <f ca="1">MIN($P130,$Q130)+SUMPRODUCT($AE130:$AE131+$AS130:$AS131+$BG130:$BG131, --($E130:$E131&lt;&gt;0))</f>
        <v>#VALUE!</v>
      </c>
    </row>
    <row r="131" spans="2:76" x14ac:dyDescent="0.25">
      <c r="B131" s="86">
        <f t="shared" ca="1" si="179"/>
        <v>2082</v>
      </c>
      <c r="C131" s="80" t="s">
        <v>741</v>
      </c>
      <c r="D131" s="147" t="str">
        <f t="shared" si="200"/>
        <v/>
      </c>
      <c r="E131" s="81">
        <f t="shared" si="138"/>
        <v>0</v>
      </c>
      <c r="F131" s="81">
        <f t="shared" si="143"/>
        <v>2</v>
      </c>
      <c r="G131" s="82">
        <f t="shared" si="139"/>
        <v>-1</v>
      </c>
      <c r="H131" s="82">
        <f t="shared" si="201"/>
        <v>0</v>
      </c>
      <c r="I131" s="81" t="b">
        <f t="shared" si="202"/>
        <v>0</v>
      </c>
      <c r="J131" s="81"/>
      <c r="K131" s="81"/>
      <c r="L131" s="81"/>
      <c r="M131" s="81"/>
      <c r="N131" s="633"/>
      <c r="O131" s="243" t="e">
        <f ca="1">LT_InvestmentStocks*INDEX(SP_EA_ARStocks,EAIDX)+LT_InvestmentBonds*INDEX(SC_EA_ARBonds,EAIDX)</f>
        <v>#REF!</v>
      </c>
      <c r="P131" s="634"/>
      <c r="Q131" s="617"/>
      <c r="R131" s="617"/>
      <c r="S131" s="617"/>
      <c r="T131" s="617"/>
      <c r="U131" s="643"/>
      <c r="V131" s="617"/>
      <c r="W131" s="639"/>
      <c r="X131" s="106" t="e">
        <f t="shared" ca="1" si="205"/>
        <v>#REF!</v>
      </c>
      <c r="Y131" s="107" t="e">
        <f t="shared" ca="1" si="206"/>
        <v>#REF!</v>
      </c>
      <c r="Z131" s="107" t="e">
        <f t="shared" ca="1" si="207"/>
        <v>#REF!</v>
      </c>
      <c r="AA131" s="107" t="e">
        <f t="shared" ca="1" si="208"/>
        <v>#REF!</v>
      </c>
      <c r="AB131" s="91" t="e">
        <f t="shared" ca="1" si="181"/>
        <v>#REF!</v>
      </c>
      <c r="AC131" s="107" t="e">
        <f ca="1">-IF(INDEX(SC_ZX_CodeA,ZXIDX1)="X", 0, MIN(AB131*MAX(INDEX(SC_ZX_Drawdown,ZXIDX2),0),AA131))</f>
        <v>#REF!</v>
      </c>
      <c r="AD131" s="110" t="e">
        <f t="shared" ca="1" si="209"/>
        <v>#REF!</v>
      </c>
      <c r="AE131" s="106" t="e">
        <f t="shared" ca="1" si="210"/>
        <v>#REF!</v>
      </c>
      <c r="AF131" s="107" t="e">
        <f t="shared" ca="1" si="211"/>
        <v>#REF!</v>
      </c>
      <c r="AG131" s="107" t="e">
        <f t="shared" ca="1" si="212"/>
        <v>#REF!</v>
      </c>
      <c r="AH131" s="107" t="e">
        <f t="shared" ca="1" si="213"/>
        <v>#REF!</v>
      </c>
      <c r="AI131" s="91" t="e">
        <f t="shared" ca="1" si="182"/>
        <v>#REF!</v>
      </c>
      <c r="AJ131" s="107" t="e">
        <f ca="1">-IF(INDEX(SC_ZX_CodeA,ZXIDX1)="X", 0, MIN(AI131*MAX(INDEX(SC_ZX_Drawdown,ZXIDX2),0),AH131))</f>
        <v>#REF!</v>
      </c>
      <c r="AK131" s="110" t="e">
        <f t="shared" ca="1" si="214"/>
        <v>#REF!</v>
      </c>
      <c r="AL131" s="106" t="e">
        <f t="shared" ca="1" si="215"/>
        <v>#REF!</v>
      </c>
      <c r="AM131" s="107" t="e">
        <f t="shared" ca="1" si="216"/>
        <v>#REF!</v>
      </c>
      <c r="AN131" s="107" t="e">
        <f t="shared" ca="1" si="217"/>
        <v>#REF!</v>
      </c>
      <c r="AO131" s="107" t="e">
        <f t="shared" ca="1" si="218"/>
        <v>#REF!</v>
      </c>
      <c r="AP131" s="91" t="e">
        <f t="shared" ca="1" si="183"/>
        <v>#REF!</v>
      </c>
      <c r="AQ131" s="107" t="e">
        <f ca="1">-IF(INDEX(SC_ZX_CodeA,ZXIDX1)="X", 0, MIN(AP131*MAX(INDEX(SC_ZX_Drawdown,ZXIDX2),0),AO131))</f>
        <v>#REF!</v>
      </c>
      <c r="AR131" s="110" t="e">
        <f t="shared" ca="1" si="219"/>
        <v>#REF!</v>
      </c>
      <c r="AS131" s="106" t="e">
        <f t="shared" ca="1" si="220"/>
        <v>#REF!</v>
      </c>
      <c r="AT131" s="107" t="e">
        <f t="shared" ca="1" si="221"/>
        <v>#REF!</v>
      </c>
      <c r="AU131" s="107" t="e">
        <f t="shared" ca="1" si="222"/>
        <v>#REF!</v>
      </c>
      <c r="AV131" s="107" t="e">
        <f t="shared" ca="1" si="223"/>
        <v>#REF!</v>
      </c>
      <c r="AW131" s="91" t="e">
        <f t="shared" ca="1" si="184"/>
        <v>#REF!</v>
      </c>
      <c r="AX131" s="107" t="e">
        <f ca="1">-IF(INDEX(SC_ZX_CodeA,ZXIDX1)="X", 0, MIN(AW131*MAX(INDEX(SC_ZX_Drawdown,ZXIDX2),0),AV131))</f>
        <v>#REF!</v>
      </c>
      <c r="AY131" s="110" t="e">
        <f t="shared" ca="1" si="224"/>
        <v>#REF!</v>
      </c>
      <c r="AZ131" s="106" t="e">
        <f t="shared" ca="1" si="225"/>
        <v>#REF!</v>
      </c>
      <c r="BA131" s="107" t="e">
        <f t="shared" ca="1" si="226"/>
        <v>#REF!</v>
      </c>
      <c r="BB131" s="107" t="e">
        <f t="shared" ca="1" si="227"/>
        <v>#REF!</v>
      </c>
      <c r="BC131" s="107" t="e">
        <f t="shared" ca="1" si="228"/>
        <v>#REF!</v>
      </c>
      <c r="BD131" s="91" t="e">
        <f t="shared" ca="1" si="185"/>
        <v>#REF!</v>
      </c>
      <c r="BE131" s="107" t="e">
        <f ca="1">-IF(INDEX(SC_ZX_CodeA,ZXIDX1)="X", 0, MIN(BD131*MAX(INDEX(SC_ZX_Drawdown,ZXIDX2),0),AZ131))</f>
        <v>#REF!</v>
      </c>
      <c r="BF131" s="110" t="e">
        <f t="shared" ca="1" si="229"/>
        <v>#REF!</v>
      </c>
      <c r="BG131" s="106" t="e">
        <f t="shared" ca="1" si="230"/>
        <v>#REF!</v>
      </c>
      <c r="BH131" s="107" t="e">
        <f t="shared" ca="1" si="231"/>
        <v>#REF!</v>
      </c>
      <c r="BI131" s="107" t="e">
        <f t="shared" ca="1" si="232"/>
        <v>#REF!</v>
      </c>
      <c r="BJ131" s="107" t="e">
        <f t="shared" ca="1" si="233"/>
        <v>#REF!</v>
      </c>
      <c r="BK131" s="91" t="e">
        <f t="shared" ca="1" si="186"/>
        <v>#REF!</v>
      </c>
      <c r="BL131" s="107" t="e">
        <f ca="1">-IF(INDEX(SC_ZX_CodeA,ZXIDX1)="X", 0, MIN(BK131*MAX(INDEX(SC_ZX_Drawdown,ZXIDX2),0),BJ131))</f>
        <v>#REF!</v>
      </c>
      <c r="BM131" s="107" t="e">
        <f t="shared" ca="1" si="234"/>
        <v>#REF!</v>
      </c>
      <c r="BN131" s="113" t="e">
        <f t="shared" ca="1" si="235"/>
        <v>#REF!</v>
      </c>
      <c r="BO131" s="114" t="e">
        <f t="shared" ca="1" si="236"/>
        <v>#REF!</v>
      </c>
      <c r="BP131" s="114" t="e">
        <f ca="1">-($V131-IF(($P131+$R131+$S131)&gt;0,MAX($V131/($P131+$R131+$S131)*($Q131+$R131),$V131),0))*LT_InvestmentQDI</f>
        <v>#REF!</v>
      </c>
      <c r="BQ131" s="114" t="e">
        <f ca="1">-($V131-IF(($P131+$R131+$S131)&gt;0,MAX($V131/($P131+$R131+$S131)*($Q131+$R131),$V131),0))*(1-LT_InvestmentQDI)</f>
        <v>#REF!</v>
      </c>
      <c r="BR131" s="114" t="e">
        <f t="shared" ca="1" si="237"/>
        <v>#REF!</v>
      </c>
      <c r="BS131" s="114" t="e">
        <f t="shared" ca="1" si="238"/>
        <v>#REF!</v>
      </c>
      <c r="BT131" s="649"/>
      <c r="BU131" s="637"/>
      <c r="BV131" s="637"/>
      <c r="BW131" s="637"/>
      <c r="BX131" s="639"/>
    </row>
    <row r="132" spans="2:76" x14ac:dyDescent="0.25">
      <c r="B132" s="65">
        <f ca="1">B130+1</f>
        <v>2083</v>
      </c>
      <c r="C132" s="76" t="s">
        <v>741</v>
      </c>
      <c r="D132" s="146" t="str">
        <f t="shared" si="200"/>
        <v/>
      </c>
      <c r="E132" s="77">
        <f t="shared" si="138"/>
        <v>0</v>
      </c>
      <c r="F132" s="77">
        <f t="shared" si="143"/>
        <v>1</v>
      </c>
      <c r="G132" s="76">
        <f t="shared" si="139"/>
        <v>1</v>
      </c>
      <c r="H132" s="76">
        <f t="shared" si="201"/>
        <v>0</v>
      </c>
      <c r="I132" s="77" t="b">
        <f t="shared" si="202"/>
        <v>0</v>
      </c>
      <c r="J132" s="77"/>
      <c r="K132" s="77"/>
      <c r="L132" s="77"/>
      <c r="M132" s="77"/>
      <c r="N132" s="632">
        <f ca="1">YEAR(SP_TargetRD)-$B132</f>
        <v>-60</v>
      </c>
      <c r="O132" s="243" t="e">
        <f ca="1">LT_InvestmentStocks*INDEX(SP_EA_ARStocks,EAIDX)+LT_InvestmentBonds*INDEX(SC_EA_ARBonds,EAIDX)</f>
        <v>#REF!</v>
      </c>
      <c r="P132" s="634" t="e">
        <f ca="1">MAX(P130+R130+S130+V130+W130,0)</f>
        <v>#VALUE!</v>
      </c>
      <c r="Q132" s="617" t="e">
        <f t="shared" ref="Q132" ca="1" si="251">MAX(Q130+R130+IF((P130+R130+S130)&gt;0,MAX(V130/(P130+R130+S130)*(Q130+R130),V130),0),0)</f>
        <v>#VALUE!</v>
      </c>
      <c r="R132" s="617" t="e">
        <f ca="1">IF(SC_ZX_CodeA="X", 0, MAX(INDEX(SC_ZX_IncomeSurplus,ZXIDX2)+INDEX(SC_ZX_Debt,ZXIDX2),0))</f>
        <v>#VALUE!</v>
      </c>
      <c r="S132" s="617" t="e">
        <f ca="1">IF(SC_ZX_CodeA="X", 0, INDEX(SC_EX_RolloverCore,EXIDX))</f>
        <v>#VALUE!</v>
      </c>
      <c r="T132" s="617" t="e">
        <f ca="1">P132+R132+S132</f>
        <v>#VALUE!</v>
      </c>
      <c r="U132" s="642" t="e">
        <f ca="1">IF(SC_ZX_BalanceAccessibleA&gt;0, T132/SC_ZX_BalanceAccessibleA, 0)</f>
        <v>#VALUE!</v>
      </c>
      <c r="V132" s="617" t="e">
        <f ca="1">-IF(SC_ZX_CodeA="X",0,MIN(U132*MAX(INDEX(SC_ZX_Drawdown,ZXIDX2),0),T132))</f>
        <v>#VALUE!</v>
      </c>
      <c r="W132" s="618" t="e">
        <f ca="1">(P132+R132+S132+V132)*$O132</f>
        <v>#VALUE!</v>
      </c>
      <c r="X132" s="75" t="e">
        <f t="shared" ca="1" si="205"/>
        <v>#REF!</v>
      </c>
      <c r="Y132" s="70" t="e">
        <f t="shared" ca="1" si="206"/>
        <v>#REF!</v>
      </c>
      <c r="Z132" s="70" t="e">
        <f t="shared" ca="1" si="207"/>
        <v>#REF!</v>
      </c>
      <c r="AA132" s="70" t="e">
        <f t="shared" ca="1" si="208"/>
        <v>#REF!</v>
      </c>
      <c r="AB132" s="67" t="e">
        <f t="shared" ca="1" si="181"/>
        <v>#REF!</v>
      </c>
      <c r="AC132" s="70" t="e">
        <f ca="1">-IF(INDEX(SC_ZX_CodeA,ZXIDX1)="X", 0, MIN(AB132*MAX(INDEX(SC_ZX_Drawdown,ZXIDX2),0),AA132))</f>
        <v>#REF!</v>
      </c>
      <c r="AD132" s="109" t="e">
        <f t="shared" ca="1" si="209"/>
        <v>#REF!</v>
      </c>
      <c r="AE132" s="75" t="e">
        <f t="shared" ca="1" si="210"/>
        <v>#REF!</v>
      </c>
      <c r="AF132" s="70" t="e">
        <f t="shared" ca="1" si="211"/>
        <v>#REF!</v>
      </c>
      <c r="AG132" s="70" t="e">
        <f t="shared" ca="1" si="212"/>
        <v>#REF!</v>
      </c>
      <c r="AH132" s="70" t="e">
        <f t="shared" ca="1" si="213"/>
        <v>#REF!</v>
      </c>
      <c r="AI132" s="67" t="e">
        <f t="shared" ca="1" si="182"/>
        <v>#REF!</v>
      </c>
      <c r="AJ132" s="70" t="e">
        <f ca="1">-IF(INDEX(SC_ZX_CodeA,ZXIDX1)="X", 0, MIN(AI132*MAX(INDEX(SC_ZX_Drawdown,ZXIDX2),0),AH132))</f>
        <v>#REF!</v>
      </c>
      <c r="AK132" s="109" t="e">
        <f t="shared" ca="1" si="214"/>
        <v>#REF!</v>
      </c>
      <c r="AL132" s="75" t="e">
        <f t="shared" ca="1" si="215"/>
        <v>#REF!</v>
      </c>
      <c r="AM132" s="70" t="e">
        <f t="shared" ca="1" si="216"/>
        <v>#REF!</v>
      </c>
      <c r="AN132" s="70" t="e">
        <f t="shared" ca="1" si="217"/>
        <v>#REF!</v>
      </c>
      <c r="AO132" s="70" t="e">
        <f t="shared" ca="1" si="218"/>
        <v>#REF!</v>
      </c>
      <c r="AP132" s="67" t="e">
        <f t="shared" ca="1" si="183"/>
        <v>#REF!</v>
      </c>
      <c r="AQ132" s="70" t="e">
        <f ca="1">-IF(INDEX(SC_ZX_CodeA,ZXIDX1)="X", 0, MIN(AP132*MAX(INDEX(SC_ZX_Drawdown,ZXIDX2),0),AO132))</f>
        <v>#REF!</v>
      </c>
      <c r="AR132" s="109" t="e">
        <f t="shared" ca="1" si="219"/>
        <v>#REF!</v>
      </c>
      <c r="AS132" s="75" t="e">
        <f t="shared" ca="1" si="220"/>
        <v>#REF!</v>
      </c>
      <c r="AT132" s="70" t="e">
        <f t="shared" ca="1" si="221"/>
        <v>#REF!</v>
      </c>
      <c r="AU132" s="70" t="e">
        <f t="shared" ca="1" si="222"/>
        <v>#REF!</v>
      </c>
      <c r="AV132" s="70" t="e">
        <f t="shared" ca="1" si="223"/>
        <v>#REF!</v>
      </c>
      <c r="AW132" s="67" t="e">
        <f t="shared" ca="1" si="184"/>
        <v>#REF!</v>
      </c>
      <c r="AX132" s="70" t="e">
        <f ca="1">-IF(INDEX(SC_ZX_CodeA,ZXIDX1)="X", 0, MIN(AW132*MAX(INDEX(SC_ZX_Drawdown,ZXIDX2),0),AV132))</f>
        <v>#REF!</v>
      </c>
      <c r="AY132" s="109" t="e">
        <f t="shared" ca="1" si="224"/>
        <v>#REF!</v>
      </c>
      <c r="AZ132" s="75" t="e">
        <f t="shared" ca="1" si="225"/>
        <v>#REF!</v>
      </c>
      <c r="BA132" s="70" t="e">
        <f t="shared" ca="1" si="226"/>
        <v>#REF!</v>
      </c>
      <c r="BB132" s="70" t="e">
        <f t="shared" ca="1" si="227"/>
        <v>#REF!</v>
      </c>
      <c r="BC132" s="70" t="e">
        <f t="shared" ca="1" si="228"/>
        <v>#REF!</v>
      </c>
      <c r="BD132" s="67" t="e">
        <f t="shared" ca="1" si="185"/>
        <v>#REF!</v>
      </c>
      <c r="BE132" s="70" t="e">
        <f ca="1">-IF(INDEX(SC_ZX_CodeA,ZXIDX1)="X", 0, MIN(BD132*MAX(INDEX(SC_ZX_Drawdown,ZXIDX2),0),AZ132))</f>
        <v>#REF!</v>
      </c>
      <c r="BF132" s="109" t="e">
        <f t="shared" ca="1" si="229"/>
        <v>#REF!</v>
      </c>
      <c r="BG132" s="75" t="e">
        <f t="shared" ca="1" si="230"/>
        <v>#REF!</v>
      </c>
      <c r="BH132" s="70" t="e">
        <f t="shared" ca="1" si="231"/>
        <v>#REF!</v>
      </c>
      <c r="BI132" s="70" t="e">
        <f t="shared" ca="1" si="232"/>
        <v>#REF!</v>
      </c>
      <c r="BJ132" s="70" t="e">
        <f t="shared" ca="1" si="233"/>
        <v>#REF!</v>
      </c>
      <c r="BK132" s="67" t="e">
        <f t="shared" ca="1" si="186"/>
        <v>#REF!</v>
      </c>
      <c r="BL132" s="70" t="e">
        <f ca="1">-IF(INDEX(SC_ZX_CodeA,ZXIDX1)="X", 0, MIN(BK132*MAX(INDEX(SC_ZX_Drawdown,ZXIDX2),0),BJ132))</f>
        <v>#REF!</v>
      </c>
      <c r="BM132" s="70" t="e">
        <f t="shared" ca="1" si="234"/>
        <v>#REF!</v>
      </c>
      <c r="BN132" s="111" t="e">
        <f t="shared" ca="1" si="235"/>
        <v>#REF!</v>
      </c>
      <c r="BO132" s="112" t="e">
        <f t="shared" ca="1" si="236"/>
        <v>#REF!</v>
      </c>
      <c r="BP132" s="112" t="e">
        <f ca="1">-($V132-IF(($P132+$R132+$S132)&gt;0,MAX($V132/($P132+$R132+$S132)*($Q132+$R132),$V132),0))*LT_InvestmentQDI</f>
        <v>#VALUE!</v>
      </c>
      <c r="BQ132" s="112" t="e">
        <f ca="1">-($V132-IF(($P132+$R132+$S132)&gt;0,MAX($V132/($P132+$R132+$S132)*($Q132+$R132),$V132),0))*(1-LT_InvestmentQDI)</f>
        <v>#VALUE!</v>
      </c>
      <c r="BR132" s="112" t="e">
        <f t="shared" ca="1" si="237"/>
        <v>#VALUE!</v>
      </c>
      <c r="BS132" s="112" t="e">
        <f t="shared" ca="1" si="238"/>
        <v>#VALUE!</v>
      </c>
      <c r="BT132" s="634" t="e">
        <f ca="1">SUMPRODUCT($BN132:$BN133+$BO132:$BO133, --($E132:$E133&lt;&gt;0))</f>
        <v>#REF!</v>
      </c>
      <c r="BU132" s="617" t="e">
        <f ca="1">SUMPRODUCT($BR132:$BR133+$BS132:$BS133, --($E132:$E133&lt;&gt;0))</f>
        <v>#VALUE!</v>
      </c>
      <c r="BV132" s="617" t="e">
        <f ca="1">$T132+SUMPRODUCT($AA132:$AA133+$AH132:$AH133+$AO132:$AO133+$AV132:$AV133+$BC132:$BC133+$BJ132:$BJ133, --($E132:$E133&lt;&gt;0))</f>
        <v>#VALUE!</v>
      </c>
      <c r="BW132" s="617" t="e">
        <f ca="1">MAX($P132-$Q132,0)+SUMPRODUCT($X132:$X133+$AL132:$AL133+$AZ132:$AZ133, --($E132:$E133&lt;&gt;0))</f>
        <v>#VALUE!</v>
      </c>
      <c r="BX132" s="618" t="e">
        <f ca="1">MIN($P132,$Q132)+SUMPRODUCT($AE132:$AE133+$AS132:$AS133+$BG132:$BG133, --($E132:$E133&lt;&gt;0))</f>
        <v>#VALUE!</v>
      </c>
    </row>
    <row r="133" spans="2:76" x14ac:dyDescent="0.25">
      <c r="B133" s="86">
        <f t="shared" ca="1" si="179"/>
        <v>2083</v>
      </c>
      <c r="C133" s="80" t="s">
        <v>741</v>
      </c>
      <c r="D133" s="147" t="str">
        <f t="shared" si="200"/>
        <v/>
      </c>
      <c r="E133" s="81">
        <f t="shared" si="138"/>
        <v>0</v>
      </c>
      <c r="F133" s="81">
        <f t="shared" si="143"/>
        <v>2</v>
      </c>
      <c r="G133" s="82">
        <f t="shared" si="139"/>
        <v>-1</v>
      </c>
      <c r="H133" s="82">
        <f t="shared" si="201"/>
        <v>0</v>
      </c>
      <c r="I133" s="81" t="b">
        <f t="shared" si="202"/>
        <v>0</v>
      </c>
      <c r="J133" s="81"/>
      <c r="K133" s="81"/>
      <c r="L133" s="81"/>
      <c r="M133" s="81"/>
      <c r="N133" s="633"/>
      <c r="O133" s="243" t="e">
        <f ca="1">LT_InvestmentStocks*INDEX(SP_EA_ARStocks,EAIDX)+LT_InvestmentBonds*INDEX(SC_EA_ARBonds,EAIDX)</f>
        <v>#REF!</v>
      </c>
      <c r="P133" s="634"/>
      <c r="Q133" s="617"/>
      <c r="R133" s="617"/>
      <c r="S133" s="617"/>
      <c r="T133" s="617"/>
      <c r="U133" s="643"/>
      <c r="V133" s="617"/>
      <c r="W133" s="639"/>
      <c r="X133" s="106" t="e">
        <f t="shared" ca="1" si="205"/>
        <v>#REF!</v>
      </c>
      <c r="Y133" s="107" t="e">
        <f t="shared" ca="1" si="206"/>
        <v>#REF!</v>
      </c>
      <c r="Z133" s="107" t="e">
        <f t="shared" ca="1" si="207"/>
        <v>#REF!</v>
      </c>
      <c r="AA133" s="107" t="e">
        <f t="shared" ca="1" si="208"/>
        <v>#REF!</v>
      </c>
      <c r="AB133" s="91" t="e">
        <f t="shared" ca="1" si="181"/>
        <v>#REF!</v>
      </c>
      <c r="AC133" s="107" t="e">
        <f ca="1">-IF(INDEX(SC_ZX_CodeA,ZXIDX1)="X", 0, MIN(AB133*MAX(INDEX(SC_ZX_Drawdown,ZXIDX2),0),AA133))</f>
        <v>#REF!</v>
      </c>
      <c r="AD133" s="110" t="e">
        <f t="shared" ca="1" si="209"/>
        <v>#REF!</v>
      </c>
      <c r="AE133" s="106" t="e">
        <f t="shared" ca="1" si="210"/>
        <v>#REF!</v>
      </c>
      <c r="AF133" s="107" t="e">
        <f t="shared" ca="1" si="211"/>
        <v>#REF!</v>
      </c>
      <c r="AG133" s="107" t="e">
        <f t="shared" ca="1" si="212"/>
        <v>#REF!</v>
      </c>
      <c r="AH133" s="107" t="e">
        <f t="shared" ca="1" si="213"/>
        <v>#REF!</v>
      </c>
      <c r="AI133" s="91" t="e">
        <f t="shared" ca="1" si="182"/>
        <v>#REF!</v>
      </c>
      <c r="AJ133" s="107" t="e">
        <f ca="1">-IF(INDEX(SC_ZX_CodeA,ZXIDX1)="X", 0, MIN(AI133*MAX(INDEX(SC_ZX_Drawdown,ZXIDX2),0),AH133))</f>
        <v>#REF!</v>
      </c>
      <c r="AK133" s="110" t="e">
        <f t="shared" ca="1" si="214"/>
        <v>#REF!</v>
      </c>
      <c r="AL133" s="106" t="e">
        <f t="shared" ca="1" si="215"/>
        <v>#REF!</v>
      </c>
      <c r="AM133" s="107" t="e">
        <f t="shared" ca="1" si="216"/>
        <v>#REF!</v>
      </c>
      <c r="AN133" s="107" t="e">
        <f t="shared" ca="1" si="217"/>
        <v>#REF!</v>
      </c>
      <c r="AO133" s="107" t="e">
        <f t="shared" ca="1" si="218"/>
        <v>#REF!</v>
      </c>
      <c r="AP133" s="91" t="e">
        <f t="shared" ca="1" si="183"/>
        <v>#REF!</v>
      </c>
      <c r="AQ133" s="107" t="e">
        <f ca="1">-IF(INDEX(SC_ZX_CodeA,ZXIDX1)="X", 0, MIN(AP133*MAX(INDEX(SC_ZX_Drawdown,ZXIDX2),0),AO133))</f>
        <v>#REF!</v>
      </c>
      <c r="AR133" s="110" t="e">
        <f t="shared" ca="1" si="219"/>
        <v>#REF!</v>
      </c>
      <c r="AS133" s="106" t="e">
        <f t="shared" ca="1" si="220"/>
        <v>#REF!</v>
      </c>
      <c r="AT133" s="107" t="e">
        <f t="shared" ca="1" si="221"/>
        <v>#REF!</v>
      </c>
      <c r="AU133" s="107" t="e">
        <f t="shared" ca="1" si="222"/>
        <v>#REF!</v>
      </c>
      <c r="AV133" s="107" t="e">
        <f t="shared" ca="1" si="223"/>
        <v>#REF!</v>
      </c>
      <c r="AW133" s="91" t="e">
        <f t="shared" ca="1" si="184"/>
        <v>#REF!</v>
      </c>
      <c r="AX133" s="107" t="e">
        <f ca="1">-IF(INDEX(SC_ZX_CodeA,ZXIDX1)="X", 0, MIN(AW133*MAX(INDEX(SC_ZX_Drawdown,ZXIDX2),0),AV133))</f>
        <v>#REF!</v>
      </c>
      <c r="AY133" s="110" t="e">
        <f t="shared" ca="1" si="224"/>
        <v>#REF!</v>
      </c>
      <c r="AZ133" s="106" t="e">
        <f t="shared" ca="1" si="225"/>
        <v>#REF!</v>
      </c>
      <c r="BA133" s="107" t="e">
        <f t="shared" ca="1" si="226"/>
        <v>#REF!</v>
      </c>
      <c r="BB133" s="107" t="e">
        <f t="shared" ca="1" si="227"/>
        <v>#REF!</v>
      </c>
      <c r="BC133" s="107" t="e">
        <f t="shared" ca="1" si="228"/>
        <v>#REF!</v>
      </c>
      <c r="BD133" s="91" t="e">
        <f t="shared" ca="1" si="185"/>
        <v>#REF!</v>
      </c>
      <c r="BE133" s="107" t="e">
        <f ca="1">-IF(INDEX(SC_ZX_CodeA,ZXIDX1)="X", 0, MIN(BD133*MAX(INDEX(SC_ZX_Drawdown,ZXIDX2),0),AZ133))</f>
        <v>#REF!</v>
      </c>
      <c r="BF133" s="110" t="e">
        <f t="shared" ca="1" si="229"/>
        <v>#REF!</v>
      </c>
      <c r="BG133" s="106" t="e">
        <f t="shared" ca="1" si="230"/>
        <v>#REF!</v>
      </c>
      <c r="BH133" s="107" t="e">
        <f t="shared" ca="1" si="231"/>
        <v>#REF!</v>
      </c>
      <c r="BI133" s="107" t="e">
        <f t="shared" ca="1" si="232"/>
        <v>#REF!</v>
      </c>
      <c r="BJ133" s="107" t="e">
        <f t="shared" ca="1" si="233"/>
        <v>#REF!</v>
      </c>
      <c r="BK133" s="91" t="e">
        <f t="shared" ca="1" si="186"/>
        <v>#REF!</v>
      </c>
      <c r="BL133" s="107" t="e">
        <f ca="1">-IF(INDEX(SC_ZX_CodeA,ZXIDX1)="X", 0, MIN(BK133*MAX(INDEX(SC_ZX_Drawdown,ZXIDX2),0),BJ133))</f>
        <v>#REF!</v>
      </c>
      <c r="BM133" s="107" t="e">
        <f t="shared" ca="1" si="234"/>
        <v>#REF!</v>
      </c>
      <c r="BN133" s="113" t="e">
        <f t="shared" ca="1" si="235"/>
        <v>#REF!</v>
      </c>
      <c r="BO133" s="114" t="e">
        <f t="shared" ca="1" si="236"/>
        <v>#REF!</v>
      </c>
      <c r="BP133" s="114" t="e">
        <f ca="1">-($V133-IF(($P133+$R133+$S133)&gt;0,MAX($V133/($P133+$R133+$S133)*($Q133+$R133),$V133),0))*LT_InvestmentQDI</f>
        <v>#REF!</v>
      </c>
      <c r="BQ133" s="114" t="e">
        <f ca="1">-($V133-IF(($P133+$R133+$S133)&gt;0,MAX($V133/($P133+$R133+$S133)*($Q133+$R133),$V133),0))*(1-LT_InvestmentQDI)</f>
        <v>#REF!</v>
      </c>
      <c r="BR133" s="114" t="e">
        <f t="shared" ca="1" si="237"/>
        <v>#REF!</v>
      </c>
      <c r="BS133" s="114" t="e">
        <f t="shared" ca="1" si="238"/>
        <v>#REF!</v>
      </c>
      <c r="BT133" s="649"/>
      <c r="BU133" s="637"/>
      <c r="BV133" s="637"/>
      <c r="BW133" s="637"/>
      <c r="BX133" s="639"/>
    </row>
    <row r="134" spans="2:76" x14ac:dyDescent="0.25">
      <c r="B134" s="65">
        <f ca="1">B132+1</f>
        <v>2084</v>
      </c>
      <c r="C134" s="76" t="s">
        <v>741</v>
      </c>
      <c r="D134" s="146" t="str">
        <f t="shared" si="200"/>
        <v/>
      </c>
      <c r="E134" s="77">
        <f t="shared" si="138"/>
        <v>0</v>
      </c>
      <c r="F134" s="77">
        <f t="shared" si="143"/>
        <v>1</v>
      </c>
      <c r="G134" s="76">
        <f t="shared" si="139"/>
        <v>1</v>
      </c>
      <c r="H134" s="76">
        <f t="shared" si="201"/>
        <v>0</v>
      </c>
      <c r="I134" s="77" t="b">
        <f t="shared" si="202"/>
        <v>0</v>
      </c>
      <c r="J134" s="77"/>
      <c r="K134" s="77"/>
      <c r="L134" s="77"/>
      <c r="M134" s="77"/>
      <c r="N134" s="632">
        <f ca="1">YEAR(SP_TargetRD)-$B134</f>
        <v>-61</v>
      </c>
      <c r="O134" s="243" t="e">
        <f ca="1">LT_InvestmentStocks*INDEX(SP_EA_ARStocks,EAIDX)+LT_InvestmentBonds*INDEX(SC_EA_ARBonds,EAIDX)</f>
        <v>#REF!</v>
      </c>
      <c r="P134" s="634" t="e">
        <f ca="1">MAX(P132+R132+S132+V132+W132,0)</f>
        <v>#VALUE!</v>
      </c>
      <c r="Q134" s="617" t="e">
        <f t="shared" ref="Q134" ca="1" si="252">MAX(Q132+R132+IF((P132+R132+S132)&gt;0,MAX(V132/(P132+R132+S132)*(Q132+R132),V132),0),0)</f>
        <v>#VALUE!</v>
      </c>
      <c r="R134" s="617" t="e">
        <f ca="1">IF(SC_ZX_CodeA="X", 0, MAX(INDEX(SC_ZX_IncomeSurplus,ZXIDX2)+INDEX(SC_ZX_Debt,ZXIDX2),0))</f>
        <v>#VALUE!</v>
      </c>
      <c r="S134" s="617" t="e">
        <f ca="1">IF(SC_ZX_CodeA="X", 0, INDEX(SC_EX_RolloverCore,EXIDX))</f>
        <v>#VALUE!</v>
      </c>
      <c r="T134" s="617" t="e">
        <f ca="1">P134+R134+S134</f>
        <v>#VALUE!</v>
      </c>
      <c r="U134" s="642" t="e">
        <f ca="1">IF(SC_ZX_BalanceAccessibleA&gt;0, T134/SC_ZX_BalanceAccessibleA, 0)</f>
        <v>#VALUE!</v>
      </c>
      <c r="V134" s="617" t="e">
        <f ca="1">-IF(SC_ZX_CodeA="X",0,MIN(U134*MAX(INDEX(SC_ZX_Drawdown,ZXIDX2),0),T134))</f>
        <v>#VALUE!</v>
      </c>
      <c r="W134" s="618" t="e">
        <f ca="1">(P134+R134+S134+V134)*$O134</f>
        <v>#VALUE!</v>
      </c>
      <c r="X134" s="75" t="e">
        <f t="shared" ca="1" si="205"/>
        <v>#REF!</v>
      </c>
      <c r="Y134" s="70" t="e">
        <f t="shared" ca="1" si="206"/>
        <v>#REF!</v>
      </c>
      <c r="Z134" s="70" t="e">
        <f t="shared" ca="1" si="207"/>
        <v>#REF!</v>
      </c>
      <c r="AA134" s="70" t="e">
        <f t="shared" ca="1" si="208"/>
        <v>#REF!</v>
      </c>
      <c r="AB134" s="67" t="e">
        <f t="shared" ca="1" si="181"/>
        <v>#REF!</v>
      </c>
      <c r="AC134" s="70" t="e">
        <f ca="1">-IF(INDEX(SC_ZX_CodeA,ZXIDX1)="X", 0, MIN(AB134*MAX(INDEX(SC_ZX_Drawdown,ZXIDX2),0),AA134))</f>
        <v>#REF!</v>
      </c>
      <c r="AD134" s="109" t="e">
        <f t="shared" ca="1" si="209"/>
        <v>#REF!</v>
      </c>
      <c r="AE134" s="75" t="e">
        <f t="shared" ca="1" si="210"/>
        <v>#REF!</v>
      </c>
      <c r="AF134" s="70" t="e">
        <f t="shared" ca="1" si="211"/>
        <v>#REF!</v>
      </c>
      <c r="AG134" s="70" t="e">
        <f t="shared" ca="1" si="212"/>
        <v>#REF!</v>
      </c>
      <c r="AH134" s="70" t="e">
        <f t="shared" ca="1" si="213"/>
        <v>#REF!</v>
      </c>
      <c r="AI134" s="67" t="e">
        <f t="shared" ca="1" si="182"/>
        <v>#REF!</v>
      </c>
      <c r="AJ134" s="70" t="e">
        <f ca="1">-IF(INDEX(SC_ZX_CodeA,ZXIDX1)="X", 0, MIN(AI134*MAX(INDEX(SC_ZX_Drawdown,ZXIDX2),0),AH134))</f>
        <v>#REF!</v>
      </c>
      <c r="AK134" s="109" t="e">
        <f t="shared" ca="1" si="214"/>
        <v>#REF!</v>
      </c>
      <c r="AL134" s="75" t="e">
        <f t="shared" ca="1" si="215"/>
        <v>#REF!</v>
      </c>
      <c r="AM134" s="70" t="e">
        <f t="shared" ca="1" si="216"/>
        <v>#REF!</v>
      </c>
      <c r="AN134" s="70" t="e">
        <f t="shared" ca="1" si="217"/>
        <v>#REF!</v>
      </c>
      <c r="AO134" s="70" t="e">
        <f t="shared" ca="1" si="218"/>
        <v>#REF!</v>
      </c>
      <c r="AP134" s="67" t="e">
        <f t="shared" ca="1" si="183"/>
        <v>#REF!</v>
      </c>
      <c r="AQ134" s="70" t="e">
        <f ca="1">-IF(INDEX(SC_ZX_CodeA,ZXIDX1)="X", 0, MIN(AP134*MAX(INDEX(SC_ZX_Drawdown,ZXIDX2),0),AO134))</f>
        <v>#REF!</v>
      </c>
      <c r="AR134" s="109" t="e">
        <f t="shared" ca="1" si="219"/>
        <v>#REF!</v>
      </c>
      <c r="AS134" s="75" t="e">
        <f t="shared" ca="1" si="220"/>
        <v>#REF!</v>
      </c>
      <c r="AT134" s="70" t="e">
        <f t="shared" ca="1" si="221"/>
        <v>#REF!</v>
      </c>
      <c r="AU134" s="70" t="e">
        <f t="shared" ca="1" si="222"/>
        <v>#REF!</v>
      </c>
      <c r="AV134" s="70" t="e">
        <f t="shared" ca="1" si="223"/>
        <v>#REF!</v>
      </c>
      <c r="AW134" s="67" t="e">
        <f t="shared" ca="1" si="184"/>
        <v>#REF!</v>
      </c>
      <c r="AX134" s="70" t="e">
        <f ca="1">-IF(INDEX(SC_ZX_CodeA,ZXIDX1)="X", 0, MIN(AW134*MAX(INDEX(SC_ZX_Drawdown,ZXIDX2),0),AV134))</f>
        <v>#REF!</v>
      </c>
      <c r="AY134" s="109" t="e">
        <f t="shared" ca="1" si="224"/>
        <v>#REF!</v>
      </c>
      <c r="AZ134" s="75" t="e">
        <f t="shared" ca="1" si="225"/>
        <v>#REF!</v>
      </c>
      <c r="BA134" s="70" t="e">
        <f t="shared" ca="1" si="226"/>
        <v>#REF!</v>
      </c>
      <c r="BB134" s="70" t="e">
        <f t="shared" ca="1" si="227"/>
        <v>#REF!</v>
      </c>
      <c r="BC134" s="70" t="e">
        <f t="shared" ca="1" si="228"/>
        <v>#REF!</v>
      </c>
      <c r="BD134" s="67" t="e">
        <f t="shared" ca="1" si="185"/>
        <v>#REF!</v>
      </c>
      <c r="BE134" s="70" t="e">
        <f ca="1">-IF(INDEX(SC_ZX_CodeA,ZXIDX1)="X", 0, MIN(BD134*MAX(INDEX(SC_ZX_Drawdown,ZXIDX2),0),AZ134))</f>
        <v>#REF!</v>
      </c>
      <c r="BF134" s="109" t="e">
        <f t="shared" ca="1" si="229"/>
        <v>#REF!</v>
      </c>
      <c r="BG134" s="75" t="e">
        <f t="shared" ca="1" si="230"/>
        <v>#REF!</v>
      </c>
      <c r="BH134" s="70" t="e">
        <f t="shared" ca="1" si="231"/>
        <v>#REF!</v>
      </c>
      <c r="BI134" s="70" t="e">
        <f t="shared" ca="1" si="232"/>
        <v>#REF!</v>
      </c>
      <c r="BJ134" s="70" t="e">
        <f t="shared" ca="1" si="233"/>
        <v>#REF!</v>
      </c>
      <c r="BK134" s="67" t="e">
        <f t="shared" ca="1" si="186"/>
        <v>#REF!</v>
      </c>
      <c r="BL134" s="70" t="e">
        <f ca="1">-IF(INDEX(SC_ZX_CodeA,ZXIDX1)="X", 0, MIN(BK134*MAX(INDEX(SC_ZX_Drawdown,ZXIDX2),0),BJ134))</f>
        <v>#REF!</v>
      </c>
      <c r="BM134" s="70" t="e">
        <f t="shared" ca="1" si="234"/>
        <v>#REF!</v>
      </c>
      <c r="BN134" s="111" t="e">
        <f t="shared" ca="1" si="235"/>
        <v>#REF!</v>
      </c>
      <c r="BO134" s="112" t="e">
        <f t="shared" ca="1" si="236"/>
        <v>#REF!</v>
      </c>
      <c r="BP134" s="112" t="e">
        <f ca="1">-($V134-IF(($P134+$R134+$S134)&gt;0,MAX($V134/($P134+$R134+$S134)*($Q134+$R134),$V134),0))*LT_InvestmentQDI</f>
        <v>#VALUE!</v>
      </c>
      <c r="BQ134" s="112" t="e">
        <f ca="1">-($V134-IF(($P134+$R134+$S134)&gt;0,MAX($V134/($P134+$R134+$S134)*($Q134+$R134),$V134),0))*(1-LT_InvestmentQDI)</f>
        <v>#VALUE!</v>
      </c>
      <c r="BR134" s="112" t="e">
        <f t="shared" ca="1" si="237"/>
        <v>#VALUE!</v>
      </c>
      <c r="BS134" s="112" t="e">
        <f t="shared" ca="1" si="238"/>
        <v>#VALUE!</v>
      </c>
      <c r="BT134" s="634" t="e">
        <f ca="1">SUMPRODUCT($BN134:$BN135+$BO134:$BO135, --($E134:$E135&lt;&gt;0))</f>
        <v>#REF!</v>
      </c>
      <c r="BU134" s="617" t="e">
        <f ca="1">SUMPRODUCT($BR134:$BR135+$BS134:$BS135, --($E134:$E135&lt;&gt;0))</f>
        <v>#VALUE!</v>
      </c>
      <c r="BV134" s="617" t="e">
        <f ca="1">$T134+SUMPRODUCT($AA134:$AA135+$AH134:$AH135+$AO134:$AO135+$AV134:$AV135+$BC134:$BC135+$BJ134:$BJ135, --($E134:$E135&lt;&gt;0))</f>
        <v>#VALUE!</v>
      </c>
      <c r="BW134" s="617" t="e">
        <f ca="1">MAX($P134-$Q134,0)+SUMPRODUCT($X134:$X135+$AL134:$AL135+$AZ134:$AZ135, --($E134:$E135&lt;&gt;0))</f>
        <v>#VALUE!</v>
      </c>
      <c r="BX134" s="618" t="e">
        <f ca="1">MIN($P134,$Q134)+SUMPRODUCT($AE134:$AE135+$AS134:$AS135+$BG134:$BG135, --($E134:$E135&lt;&gt;0))</f>
        <v>#VALUE!</v>
      </c>
    </row>
    <row r="135" spans="2:76" x14ac:dyDescent="0.25">
      <c r="B135" s="86">
        <f t="shared" ca="1" si="179"/>
        <v>2084</v>
      </c>
      <c r="C135" s="80" t="s">
        <v>741</v>
      </c>
      <c r="D135" s="147" t="str">
        <f t="shared" si="200"/>
        <v/>
      </c>
      <c r="E135" s="81">
        <f t="shared" si="138"/>
        <v>0</v>
      </c>
      <c r="F135" s="81">
        <f t="shared" si="143"/>
        <v>2</v>
      </c>
      <c r="G135" s="82">
        <f t="shared" si="139"/>
        <v>-1</v>
      </c>
      <c r="H135" s="82">
        <f t="shared" si="201"/>
        <v>0</v>
      </c>
      <c r="I135" s="81" t="b">
        <f t="shared" si="202"/>
        <v>0</v>
      </c>
      <c r="J135" s="81"/>
      <c r="K135" s="81"/>
      <c r="L135" s="81"/>
      <c r="M135" s="81"/>
      <c r="N135" s="633"/>
      <c r="O135" s="243" t="e">
        <f ca="1">LT_InvestmentStocks*INDEX(SP_EA_ARStocks,EAIDX)+LT_InvestmentBonds*INDEX(SC_EA_ARBonds,EAIDX)</f>
        <v>#REF!</v>
      </c>
      <c r="P135" s="634"/>
      <c r="Q135" s="617"/>
      <c r="R135" s="617"/>
      <c r="S135" s="617"/>
      <c r="T135" s="617"/>
      <c r="U135" s="643"/>
      <c r="V135" s="617"/>
      <c r="W135" s="639"/>
      <c r="X135" s="106" t="e">
        <f t="shared" ca="1" si="205"/>
        <v>#REF!</v>
      </c>
      <c r="Y135" s="107" t="e">
        <f t="shared" ca="1" si="206"/>
        <v>#REF!</v>
      </c>
      <c r="Z135" s="107" t="e">
        <f t="shared" ca="1" si="207"/>
        <v>#REF!</v>
      </c>
      <c r="AA135" s="107" t="e">
        <f t="shared" ca="1" si="208"/>
        <v>#REF!</v>
      </c>
      <c r="AB135" s="91" t="e">
        <f t="shared" ca="1" si="181"/>
        <v>#REF!</v>
      </c>
      <c r="AC135" s="107" t="e">
        <f ca="1">-IF(INDEX(SC_ZX_CodeA,ZXIDX1)="X", 0, MIN(AB135*MAX(INDEX(SC_ZX_Drawdown,ZXIDX2),0),AA135))</f>
        <v>#REF!</v>
      </c>
      <c r="AD135" s="110" t="e">
        <f t="shared" ca="1" si="209"/>
        <v>#REF!</v>
      </c>
      <c r="AE135" s="106" t="e">
        <f t="shared" ca="1" si="210"/>
        <v>#REF!</v>
      </c>
      <c r="AF135" s="107" t="e">
        <f t="shared" ca="1" si="211"/>
        <v>#REF!</v>
      </c>
      <c r="AG135" s="107" t="e">
        <f t="shared" ca="1" si="212"/>
        <v>#REF!</v>
      </c>
      <c r="AH135" s="107" t="e">
        <f t="shared" ca="1" si="213"/>
        <v>#REF!</v>
      </c>
      <c r="AI135" s="91" t="e">
        <f t="shared" ca="1" si="182"/>
        <v>#REF!</v>
      </c>
      <c r="AJ135" s="107" t="e">
        <f ca="1">-IF(INDEX(SC_ZX_CodeA,ZXIDX1)="X", 0, MIN(AI135*MAX(INDEX(SC_ZX_Drawdown,ZXIDX2),0),AH135))</f>
        <v>#REF!</v>
      </c>
      <c r="AK135" s="110" t="e">
        <f t="shared" ca="1" si="214"/>
        <v>#REF!</v>
      </c>
      <c r="AL135" s="106" t="e">
        <f t="shared" ca="1" si="215"/>
        <v>#REF!</v>
      </c>
      <c r="AM135" s="107" t="e">
        <f t="shared" ca="1" si="216"/>
        <v>#REF!</v>
      </c>
      <c r="AN135" s="107" t="e">
        <f t="shared" ca="1" si="217"/>
        <v>#REF!</v>
      </c>
      <c r="AO135" s="107" t="e">
        <f t="shared" ca="1" si="218"/>
        <v>#REF!</v>
      </c>
      <c r="AP135" s="91" t="e">
        <f t="shared" ca="1" si="183"/>
        <v>#REF!</v>
      </c>
      <c r="AQ135" s="107" t="e">
        <f ca="1">-IF(INDEX(SC_ZX_CodeA,ZXIDX1)="X", 0, MIN(AP135*MAX(INDEX(SC_ZX_Drawdown,ZXIDX2),0),AO135))</f>
        <v>#REF!</v>
      </c>
      <c r="AR135" s="110" t="e">
        <f t="shared" ca="1" si="219"/>
        <v>#REF!</v>
      </c>
      <c r="AS135" s="106" t="e">
        <f t="shared" ca="1" si="220"/>
        <v>#REF!</v>
      </c>
      <c r="AT135" s="107" t="e">
        <f t="shared" ca="1" si="221"/>
        <v>#REF!</v>
      </c>
      <c r="AU135" s="107" t="e">
        <f t="shared" ca="1" si="222"/>
        <v>#REF!</v>
      </c>
      <c r="AV135" s="107" t="e">
        <f t="shared" ca="1" si="223"/>
        <v>#REF!</v>
      </c>
      <c r="AW135" s="91" t="e">
        <f t="shared" ca="1" si="184"/>
        <v>#REF!</v>
      </c>
      <c r="AX135" s="107" t="e">
        <f ca="1">-IF(INDEX(SC_ZX_CodeA,ZXIDX1)="X", 0, MIN(AW135*MAX(INDEX(SC_ZX_Drawdown,ZXIDX2),0),AV135))</f>
        <v>#REF!</v>
      </c>
      <c r="AY135" s="110" t="e">
        <f t="shared" ca="1" si="224"/>
        <v>#REF!</v>
      </c>
      <c r="AZ135" s="106" t="e">
        <f t="shared" ca="1" si="225"/>
        <v>#REF!</v>
      </c>
      <c r="BA135" s="107" t="e">
        <f t="shared" ca="1" si="226"/>
        <v>#REF!</v>
      </c>
      <c r="BB135" s="107" t="e">
        <f t="shared" ca="1" si="227"/>
        <v>#REF!</v>
      </c>
      <c r="BC135" s="107" t="e">
        <f t="shared" ca="1" si="228"/>
        <v>#REF!</v>
      </c>
      <c r="BD135" s="91" t="e">
        <f t="shared" ca="1" si="185"/>
        <v>#REF!</v>
      </c>
      <c r="BE135" s="107" t="e">
        <f ca="1">-IF(INDEX(SC_ZX_CodeA,ZXIDX1)="X", 0, MIN(BD135*MAX(INDEX(SC_ZX_Drawdown,ZXIDX2),0),AZ135))</f>
        <v>#REF!</v>
      </c>
      <c r="BF135" s="110" t="e">
        <f t="shared" ca="1" si="229"/>
        <v>#REF!</v>
      </c>
      <c r="BG135" s="106" t="e">
        <f t="shared" ca="1" si="230"/>
        <v>#REF!</v>
      </c>
      <c r="BH135" s="107" t="e">
        <f t="shared" ca="1" si="231"/>
        <v>#REF!</v>
      </c>
      <c r="BI135" s="107" t="e">
        <f t="shared" ca="1" si="232"/>
        <v>#REF!</v>
      </c>
      <c r="BJ135" s="107" t="e">
        <f t="shared" ca="1" si="233"/>
        <v>#REF!</v>
      </c>
      <c r="BK135" s="91" t="e">
        <f t="shared" ca="1" si="186"/>
        <v>#REF!</v>
      </c>
      <c r="BL135" s="107" t="e">
        <f ca="1">-IF(INDEX(SC_ZX_CodeA,ZXIDX1)="X", 0, MIN(BK135*MAX(INDEX(SC_ZX_Drawdown,ZXIDX2),0),BJ135))</f>
        <v>#REF!</v>
      </c>
      <c r="BM135" s="107" t="e">
        <f t="shared" ca="1" si="234"/>
        <v>#REF!</v>
      </c>
      <c r="BN135" s="113" t="e">
        <f t="shared" ca="1" si="235"/>
        <v>#REF!</v>
      </c>
      <c r="BO135" s="114" t="e">
        <f t="shared" ca="1" si="236"/>
        <v>#REF!</v>
      </c>
      <c r="BP135" s="114" t="e">
        <f ca="1">-($V135-IF(($P135+$R135+$S135)&gt;0,MAX($V135/($P135+$R135+$S135)*($Q135+$R135),$V135),0))*LT_InvestmentQDI</f>
        <v>#REF!</v>
      </c>
      <c r="BQ135" s="114" t="e">
        <f ca="1">-($V135-IF(($P135+$R135+$S135)&gt;0,MAX($V135/($P135+$R135+$S135)*($Q135+$R135),$V135),0))*(1-LT_InvestmentQDI)</f>
        <v>#REF!</v>
      </c>
      <c r="BR135" s="114" t="e">
        <f t="shared" ca="1" si="237"/>
        <v>#REF!</v>
      </c>
      <c r="BS135" s="114" t="e">
        <f t="shared" ca="1" si="238"/>
        <v>#REF!</v>
      </c>
      <c r="BT135" s="649"/>
      <c r="BU135" s="637"/>
      <c r="BV135" s="637"/>
      <c r="BW135" s="637"/>
      <c r="BX135" s="639"/>
    </row>
    <row r="136" spans="2:76" x14ac:dyDescent="0.25">
      <c r="B136" s="65">
        <f ca="1">B134+1</f>
        <v>2085</v>
      </c>
      <c r="C136" s="76" t="s">
        <v>741</v>
      </c>
      <c r="D136" s="146" t="str">
        <f t="shared" ref="D136:D167" si="253">INDEX(SP_Initials,F136)</f>
        <v/>
      </c>
      <c r="E136" s="77">
        <f t="shared" ref="E136:E169" si="254">INDEX(SC_TaxIndex,$F136)</f>
        <v>0</v>
      </c>
      <c r="F136" s="77">
        <f t="shared" si="143"/>
        <v>1</v>
      </c>
      <c r="G136" s="76">
        <f t="shared" ref="G136:G169" si="255">MOD($F136,2)-($F136-1)</f>
        <v>1</v>
      </c>
      <c r="H136" s="76">
        <f t="shared" ref="H136:H169" si="256">IF(INDEX(SC_ShowRetireatee,$F136),IF($B136&lt;YEAR(INDEX(SP_BirthDate,$F136)),0,$B136-YEAR(INDEX(SP_BirthDate,$F136))),0)</f>
        <v>0</v>
      </c>
      <c r="I136" s="77" t="b">
        <f t="shared" ref="I136:I169" si="257">IF(INDEX(SC_ShowRetireatee,$F136),IF($B136&gt;(YEAR(INDEX(SP_BirthDate,$F136))+INDEX(SP_LifeExp,$F136)),0,$H136))</f>
        <v>0</v>
      </c>
      <c r="J136" s="77"/>
      <c r="K136" s="77"/>
      <c r="L136" s="77"/>
      <c r="M136" s="77"/>
      <c r="N136" s="632">
        <f ca="1">YEAR(SP_TargetRD)-$B136</f>
        <v>-62</v>
      </c>
      <c r="O136" s="243" t="e">
        <f ca="1">LT_InvestmentStocks*INDEX(SP_EA_ARStocks,EAIDX)+LT_InvestmentBonds*INDEX(SC_EA_ARBonds,EAIDX)</f>
        <v>#REF!</v>
      </c>
      <c r="P136" s="634" t="e">
        <f ca="1">MAX(P134+R134+S134+V134+W134,0)</f>
        <v>#VALUE!</v>
      </c>
      <c r="Q136" s="617" t="e">
        <f t="shared" ref="Q136" ca="1" si="258">MAX(Q134+R134+IF((P134+R134+S134)&gt;0,MAX(V134/(P134+R134+S134)*(Q134+R134),V134),0),0)</f>
        <v>#VALUE!</v>
      </c>
      <c r="R136" s="617" t="e">
        <f ca="1">IF(SC_ZX_CodeA="X", 0, MAX(INDEX(SC_ZX_IncomeSurplus,ZXIDX2)+INDEX(SC_ZX_Debt,ZXIDX2),0))</f>
        <v>#VALUE!</v>
      </c>
      <c r="S136" s="617" t="e">
        <f ca="1">IF(SC_ZX_CodeA="X", 0, INDEX(SC_EX_RolloverCore,EXIDX))</f>
        <v>#VALUE!</v>
      </c>
      <c r="T136" s="617" t="e">
        <f ca="1">P136+R136+S136</f>
        <v>#VALUE!</v>
      </c>
      <c r="U136" s="642" t="e">
        <f ca="1">IF(SC_ZX_BalanceAccessibleA&gt;0, T136/SC_ZX_BalanceAccessibleA, 0)</f>
        <v>#VALUE!</v>
      </c>
      <c r="V136" s="617" t="e">
        <f ca="1">-IF(SC_ZX_CodeA="X",0,MIN(U136*MAX(INDEX(SC_ZX_Drawdown,ZXIDX2),0),T136))</f>
        <v>#VALUE!</v>
      </c>
      <c r="W136" s="618" t="e">
        <f ca="1">(P136+R136+S136+V136)*$O136</f>
        <v>#VALUE!</v>
      </c>
      <c r="X136" s="75" t="e">
        <f t="shared" ca="1" si="205"/>
        <v>#REF!</v>
      </c>
      <c r="Y136" s="70" t="e">
        <f t="shared" ca="1" si="206"/>
        <v>#REF!</v>
      </c>
      <c r="Z136" s="70" t="e">
        <f t="shared" ca="1" si="207"/>
        <v>#REF!</v>
      </c>
      <c r="AA136" s="70" t="e">
        <f t="shared" ca="1" si="208"/>
        <v>#REF!</v>
      </c>
      <c r="AB136" s="67" t="e">
        <f t="shared" ca="1" si="181"/>
        <v>#REF!</v>
      </c>
      <c r="AC136" s="70" t="e">
        <f ca="1">-IF(INDEX(SC_ZX_CodeA,ZXIDX1)="X", 0, MIN(AB136*MAX(INDEX(SC_ZX_Drawdown,ZXIDX2),0),AA136))</f>
        <v>#REF!</v>
      </c>
      <c r="AD136" s="109" t="e">
        <f t="shared" ca="1" si="209"/>
        <v>#REF!</v>
      </c>
      <c r="AE136" s="75" t="e">
        <f t="shared" ca="1" si="210"/>
        <v>#REF!</v>
      </c>
      <c r="AF136" s="70" t="e">
        <f t="shared" ca="1" si="211"/>
        <v>#REF!</v>
      </c>
      <c r="AG136" s="70" t="e">
        <f t="shared" ca="1" si="212"/>
        <v>#REF!</v>
      </c>
      <c r="AH136" s="70" t="e">
        <f t="shared" ca="1" si="213"/>
        <v>#REF!</v>
      </c>
      <c r="AI136" s="67" t="e">
        <f t="shared" ca="1" si="182"/>
        <v>#REF!</v>
      </c>
      <c r="AJ136" s="70" t="e">
        <f ca="1">-IF(INDEX(SC_ZX_CodeA,ZXIDX1)="X", 0, MIN(AI136*MAX(INDEX(SC_ZX_Drawdown,ZXIDX2),0),AH136))</f>
        <v>#REF!</v>
      </c>
      <c r="AK136" s="109" t="e">
        <f t="shared" ca="1" si="214"/>
        <v>#REF!</v>
      </c>
      <c r="AL136" s="75" t="e">
        <f t="shared" ca="1" si="215"/>
        <v>#REF!</v>
      </c>
      <c r="AM136" s="70" t="e">
        <f t="shared" ca="1" si="216"/>
        <v>#REF!</v>
      </c>
      <c r="AN136" s="70" t="e">
        <f t="shared" ca="1" si="217"/>
        <v>#REF!</v>
      </c>
      <c r="AO136" s="70" t="e">
        <f t="shared" ca="1" si="218"/>
        <v>#REF!</v>
      </c>
      <c r="AP136" s="67" t="e">
        <f t="shared" ca="1" si="183"/>
        <v>#REF!</v>
      </c>
      <c r="AQ136" s="70" t="e">
        <f ca="1">-IF(INDEX(SC_ZX_CodeA,ZXIDX1)="X", 0, MIN(AP136*MAX(INDEX(SC_ZX_Drawdown,ZXIDX2),0),AO136))</f>
        <v>#REF!</v>
      </c>
      <c r="AR136" s="109" t="e">
        <f t="shared" ca="1" si="219"/>
        <v>#REF!</v>
      </c>
      <c r="AS136" s="75" t="e">
        <f t="shared" ca="1" si="220"/>
        <v>#REF!</v>
      </c>
      <c r="AT136" s="70" t="e">
        <f t="shared" ca="1" si="221"/>
        <v>#REF!</v>
      </c>
      <c r="AU136" s="70" t="e">
        <f t="shared" ca="1" si="222"/>
        <v>#REF!</v>
      </c>
      <c r="AV136" s="70" t="e">
        <f t="shared" ca="1" si="223"/>
        <v>#REF!</v>
      </c>
      <c r="AW136" s="67" t="e">
        <f t="shared" ca="1" si="184"/>
        <v>#REF!</v>
      </c>
      <c r="AX136" s="70" t="e">
        <f ca="1">-IF(INDEX(SC_ZX_CodeA,ZXIDX1)="X", 0, MIN(AW136*MAX(INDEX(SC_ZX_Drawdown,ZXIDX2),0),AV136))</f>
        <v>#REF!</v>
      </c>
      <c r="AY136" s="109" t="e">
        <f t="shared" ca="1" si="224"/>
        <v>#REF!</v>
      </c>
      <c r="AZ136" s="75" t="e">
        <f t="shared" ca="1" si="225"/>
        <v>#REF!</v>
      </c>
      <c r="BA136" s="70" t="e">
        <f t="shared" ca="1" si="226"/>
        <v>#REF!</v>
      </c>
      <c r="BB136" s="70" t="e">
        <f t="shared" ca="1" si="227"/>
        <v>#REF!</v>
      </c>
      <c r="BC136" s="70" t="e">
        <f t="shared" ca="1" si="228"/>
        <v>#REF!</v>
      </c>
      <c r="BD136" s="67" t="e">
        <f t="shared" ca="1" si="185"/>
        <v>#REF!</v>
      </c>
      <c r="BE136" s="70" t="e">
        <f ca="1">-IF(INDEX(SC_ZX_CodeA,ZXIDX1)="X", 0, MIN(BD136*MAX(INDEX(SC_ZX_Drawdown,ZXIDX2),0),AZ136))</f>
        <v>#REF!</v>
      </c>
      <c r="BF136" s="109" t="e">
        <f t="shared" ca="1" si="229"/>
        <v>#REF!</v>
      </c>
      <c r="BG136" s="75" t="e">
        <f t="shared" ca="1" si="230"/>
        <v>#REF!</v>
      </c>
      <c r="BH136" s="70" t="e">
        <f t="shared" ca="1" si="231"/>
        <v>#REF!</v>
      </c>
      <c r="BI136" s="70" t="e">
        <f t="shared" ca="1" si="232"/>
        <v>#REF!</v>
      </c>
      <c r="BJ136" s="70" t="e">
        <f t="shared" ca="1" si="233"/>
        <v>#REF!</v>
      </c>
      <c r="BK136" s="67" t="e">
        <f t="shared" ca="1" si="186"/>
        <v>#REF!</v>
      </c>
      <c r="BL136" s="70" t="e">
        <f ca="1">-IF(INDEX(SC_ZX_CodeA,ZXIDX1)="X", 0, MIN(BK136*MAX(INDEX(SC_ZX_Drawdown,ZXIDX2),0),BJ136))</f>
        <v>#REF!</v>
      </c>
      <c r="BM136" s="70" t="e">
        <f t="shared" ca="1" si="234"/>
        <v>#REF!</v>
      </c>
      <c r="BN136" s="111" t="e">
        <f t="shared" ca="1" si="235"/>
        <v>#REF!</v>
      </c>
      <c r="BO136" s="112" t="e">
        <f t="shared" ca="1" si="236"/>
        <v>#REF!</v>
      </c>
      <c r="BP136" s="112" t="e">
        <f ca="1">-($V136-IF(($P136+$R136+$S136)&gt;0,MAX($V136/($P136+$R136+$S136)*($Q136+$R136),$V136),0))*LT_InvestmentQDI</f>
        <v>#VALUE!</v>
      </c>
      <c r="BQ136" s="112" t="e">
        <f ca="1">-($V136-IF(($P136+$R136+$S136)&gt;0,MAX($V136/($P136+$R136+$S136)*($Q136+$R136),$V136),0))*(1-LT_InvestmentQDI)</f>
        <v>#VALUE!</v>
      </c>
      <c r="BR136" s="112" t="e">
        <f t="shared" ca="1" si="237"/>
        <v>#VALUE!</v>
      </c>
      <c r="BS136" s="112" t="e">
        <f t="shared" ca="1" si="238"/>
        <v>#VALUE!</v>
      </c>
      <c r="BT136" s="634" t="e">
        <f ca="1">SUMPRODUCT($BN136:$BN137+$BO136:$BO137, --($E136:$E137&lt;&gt;0))</f>
        <v>#REF!</v>
      </c>
      <c r="BU136" s="617" t="e">
        <f ca="1">SUMPRODUCT($BR136:$BR137+$BS136:$BS137, --($E136:$E137&lt;&gt;0))</f>
        <v>#VALUE!</v>
      </c>
      <c r="BV136" s="617" t="e">
        <f ca="1">$T136+SUMPRODUCT($AA136:$AA137+$AH136:$AH137+$AO136:$AO137+$AV136:$AV137+$BC136:$BC137+$BJ136:$BJ137, --($E136:$E137&lt;&gt;0))</f>
        <v>#VALUE!</v>
      </c>
      <c r="BW136" s="617" t="e">
        <f ca="1">MAX($P136-$Q136,0)+SUMPRODUCT($X136:$X137+$AL136:$AL137+$AZ136:$AZ137, --($E136:$E137&lt;&gt;0))</f>
        <v>#VALUE!</v>
      </c>
      <c r="BX136" s="618" t="e">
        <f ca="1">MIN($P136,$Q136)+SUMPRODUCT($AE136:$AE137+$AS136:$AS137+$BG136:$BG137, --($E136:$E137&lt;&gt;0))</f>
        <v>#VALUE!</v>
      </c>
    </row>
    <row r="137" spans="2:76" x14ac:dyDescent="0.25">
      <c r="B137" s="86">
        <f t="shared" ca="1" si="179"/>
        <v>2085</v>
      </c>
      <c r="C137" s="80" t="s">
        <v>741</v>
      </c>
      <c r="D137" s="147" t="str">
        <f t="shared" si="253"/>
        <v/>
      </c>
      <c r="E137" s="81">
        <f t="shared" si="254"/>
        <v>0</v>
      </c>
      <c r="F137" s="81">
        <f t="shared" ref="F137:F169" si="259">MOD(ROW(),2)+1</f>
        <v>2</v>
      </c>
      <c r="G137" s="82">
        <f t="shared" si="255"/>
        <v>-1</v>
      </c>
      <c r="H137" s="82">
        <f t="shared" si="256"/>
        <v>0</v>
      </c>
      <c r="I137" s="81" t="b">
        <f t="shared" si="257"/>
        <v>0</v>
      </c>
      <c r="J137" s="81"/>
      <c r="K137" s="81"/>
      <c r="L137" s="81"/>
      <c r="M137" s="81"/>
      <c r="N137" s="633"/>
      <c r="O137" s="243" t="e">
        <f ca="1">LT_InvestmentStocks*INDEX(SP_EA_ARStocks,EAIDX)+LT_InvestmentBonds*INDEX(SC_EA_ARBonds,EAIDX)</f>
        <v>#REF!</v>
      </c>
      <c r="P137" s="634"/>
      <c r="Q137" s="617"/>
      <c r="R137" s="617"/>
      <c r="S137" s="617"/>
      <c r="T137" s="617"/>
      <c r="U137" s="643"/>
      <c r="V137" s="617"/>
      <c r="W137" s="639"/>
      <c r="X137" s="106" t="e">
        <f t="shared" ca="1" si="205"/>
        <v>#REF!</v>
      </c>
      <c r="Y137" s="107" t="e">
        <f t="shared" ca="1" si="206"/>
        <v>#REF!</v>
      </c>
      <c r="Z137" s="107" t="e">
        <f t="shared" ca="1" si="207"/>
        <v>#REF!</v>
      </c>
      <c r="AA137" s="107" t="e">
        <f t="shared" ca="1" si="208"/>
        <v>#REF!</v>
      </c>
      <c r="AB137" s="91" t="e">
        <f t="shared" ca="1" si="181"/>
        <v>#REF!</v>
      </c>
      <c r="AC137" s="107" t="e">
        <f ca="1">-IF(INDEX(SC_ZX_CodeA,ZXIDX1)="X", 0, MIN(AB137*MAX(INDEX(SC_ZX_Drawdown,ZXIDX2),0),AA137))</f>
        <v>#REF!</v>
      </c>
      <c r="AD137" s="110" t="e">
        <f t="shared" ca="1" si="209"/>
        <v>#REF!</v>
      </c>
      <c r="AE137" s="106" t="e">
        <f t="shared" ca="1" si="210"/>
        <v>#REF!</v>
      </c>
      <c r="AF137" s="107" t="e">
        <f t="shared" ca="1" si="211"/>
        <v>#REF!</v>
      </c>
      <c r="AG137" s="107" t="e">
        <f t="shared" ca="1" si="212"/>
        <v>#REF!</v>
      </c>
      <c r="AH137" s="107" t="e">
        <f t="shared" ca="1" si="213"/>
        <v>#REF!</v>
      </c>
      <c r="AI137" s="91" t="e">
        <f t="shared" ca="1" si="182"/>
        <v>#REF!</v>
      </c>
      <c r="AJ137" s="107" t="e">
        <f ca="1">-IF(INDEX(SC_ZX_CodeA,ZXIDX1)="X", 0, MIN(AI137*MAX(INDEX(SC_ZX_Drawdown,ZXIDX2),0),AH137))</f>
        <v>#REF!</v>
      </c>
      <c r="AK137" s="110" t="e">
        <f t="shared" ca="1" si="214"/>
        <v>#REF!</v>
      </c>
      <c r="AL137" s="106" t="e">
        <f t="shared" ca="1" si="215"/>
        <v>#REF!</v>
      </c>
      <c r="AM137" s="107" t="e">
        <f t="shared" ca="1" si="216"/>
        <v>#REF!</v>
      </c>
      <c r="AN137" s="107" t="e">
        <f t="shared" ca="1" si="217"/>
        <v>#REF!</v>
      </c>
      <c r="AO137" s="107" t="e">
        <f t="shared" ca="1" si="218"/>
        <v>#REF!</v>
      </c>
      <c r="AP137" s="91" t="e">
        <f t="shared" ca="1" si="183"/>
        <v>#REF!</v>
      </c>
      <c r="AQ137" s="107" t="e">
        <f ca="1">-IF(INDEX(SC_ZX_CodeA,ZXIDX1)="X", 0, MIN(AP137*MAX(INDEX(SC_ZX_Drawdown,ZXIDX2),0),AO137))</f>
        <v>#REF!</v>
      </c>
      <c r="AR137" s="110" t="e">
        <f t="shared" ca="1" si="219"/>
        <v>#REF!</v>
      </c>
      <c r="AS137" s="106" t="e">
        <f t="shared" ca="1" si="220"/>
        <v>#REF!</v>
      </c>
      <c r="AT137" s="107" t="e">
        <f t="shared" ca="1" si="221"/>
        <v>#REF!</v>
      </c>
      <c r="AU137" s="107" t="e">
        <f t="shared" ca="1" si="222"/>
        <v>#REF!</v>
      </c>
      <c r="AV137" s="107" t="e">
        <f t="shared" ca="1" si="223"/>
        <v>#REF!</v>
      </c>
      <c r="AW137" s="91" t="e">
        <f t="shared" ca="1" si="184"/>
        <v>#REF!</v>
      </c>
      <c r="AX137" s="107" t="e">
        <f ca="1">-IF(INDEX(SC_ZX_CodeA,ZXIDX1)="X", 0, MIN(AW137*MAX(INDEX(SC_ZX_Drawdown,ZXIDX2),0),AV137))</f>
        <v>#REF!</v>
      </c>
      <c r="AY137" s="110" t="e">
        <f t="shared" ca="1" si="224"/>
        <v>#REF!</v>
      </c>
      <c r="AZ137" s="106" t="e">
        <f t="shared" ca="1" si="225"/>
        <v>#REF!</v>
      </c>
      <c r="BA137" s="107" t="e">
        <f t="shared" ca="1" si="226"/>
        <v>#REF!</v>
      </c>
      <c r="BB137" s="107" t="e">
        <f t="shared" ca="1" si="227"/>
        <v>#REF!</v>
      </c>
      <c r="BC137" s="107" t="e">
        <f t="shared" ca="1" si="228"/>
        <v>#REF!</v>
      </c>
      <c r="BD137" s="91" t="e">
        <f t="shared" ca="1" si="185"/>
        <v>#REF!</v>
      </c>
      <c r="BE137" s="107" t="e">
        <f ca="1">-IF(INDEX(SC_ZX_CodeA,ZXIDX1)="X", 0, MIN(BD137*MAX(INDEX(SC_ZX_Drawdown,ZXIDX2),0),AZ137))</f>
        <v>#REF!</v>
      </c>
      <c r="BF137" s="110" t="e">
        <f t="shared" ca="1" si="229"/>
        <v>#REF!</v>
      </c>
      <c r="BG137" s="106" t="e">
        <f t="shared" ca="1" si="230"/>
        <v>#REF!</v>
      </c>
      <c r="BH137" s="107" t="e">
        <f t="shared" ca="1" si="231"/>
        <v>#REF!</v>
      </c>
      <c r="BI137" s="107" t="e">
        <f t="shared" ca="1" si="232"/>
        <v>#REF!</v>
      </c>
      <c r="BJ137" s="107" t="e">
        <f t="shared" ca="1" si="233"/>
        <v>#REF!</v>
      </c>
      <c r="BK137" s="91" t="e">
        <f t="shared" ca="1" si="186"/>
        <v>#REF!</v>
      </c>
      <c r="BL137" s="107" t="e">
        <f ca="1">-IF(INDEX(SC_ZX_CodeA,ZXIDX1)="X", 0, MIN(BK137*MAX(INDEX(SC_ZX_Drawdown,ZXIDX2),0),BJ137))</f>
        <v>#REF!</v>
      </c>
      <c r="BM137" s="107" t="e">
        <f t="shared" ca="1" si="234"/>
        <v>#REF!</v>
      </c>
      <c r="BN137" s="113" t="e">
        <f t="shared" ca="1" si="235"/>
        <v>#REF!</v>
      </c>
      <c r="BO137" s="114" t="e">
        <f t="shared" ca="1" si="236"/>
        <v>#REF!</v>
      </c>
      <c r="BP137" s="114" t="e">
        <f ca="1">-($V137-IF(($P137+$R137+$S137)&gt;0,MAX($V137/($P137+$R137+$S137)*($Q137+$R137),$V137),0))*LT_InvestmentQDI</f>
        <v>#REF!</v>
      </c>
      <c r="BQ137" s="114" t="e">
        <f ca="1">-($V137-IF(($P137+$R137+$S137)&gt;0,MAX($V137/($P137+$R137+$S137)*($Q137+$R137),$V137),0))*(1-LT_InvestmentQDI)</f>
        <v>#REF!</v>
      </c>
      <c r="BR137" s="114" t="e">
        <f t="shared" ca="1" si="237"/>
        <v>#REF!</v>
      </c>
      <c r="BS137" s="114" t="e">
        <f t="shared" ca="1" si="238"/>
        <v>#REF!</v>
      </c>
      <c r="BT137" s="649"/>
      <c r="BU137" s="637"/>
      <c r="BV137" s="637"/>
      <c r="BW137" s="637"/>
      <c r="BX137" s="639"/>
    </row>
    <row r="138" spans="2:76" x14ac:dyDescent="0.25">
      <c r="B138" s="65">
        <f ca="1">B136+1</f>
        <v>2086</v>
      </c>
      <c r="C138" s="76" t="s">
        <v>741</v>
      </c>
      <c r="D138" s="146" t="str">
        <f t="shared" si="253"/>
        <v/>
      </c>
      <c r="E138" s="77">
        <f t="shared" si="254"/>
        <v>0</v>
      </c>
      <c r="F138" s="77">
        <f t="shared" si="259"/>
        <v>1</v>
      </c>
      <c r="G138" s="76">
        <f t="shared" si="255"/>
        <v>1</v>
      </c>
      <c r="H138" s="76">
        <f t="shared" si="256"/>
        <v>0</v>
      </c>
      <c r="I138" s="77" t="b">
        <f t="shared" si="257"/>
        <v>0</v>
      </c>
      <c r="J138" s="77"/>
      <c r="K138" s="77"/>
      <c r="L138" s="77"/>
      <c r="M138" s="77"/>
      <c r="N138" s="632">
        <f ca="1">YEAR(SP_TargetRD)-$B138</f>
        <v>-63</v>
      </c>
      <c r="O138" s="243" t="e">
        <f ca="1">LT_InvestmentStocks*INDEX(SP_EA_ARStocks,EAIDX)+LT_InvestmentBonds*INDEX(SC_EA_ARBonds,EAIDX)</f>
        <v>#REF!</v>
      </c>
      <c r="P138" s="634" t="e">
        <f ca="1">MAX(P136+R136+S136+V136+W136,0)</f>
        <v>#VALUE!</v>
      </c>
      <c r="Q138" s="617" t="e">
        <f t="shared" ref="Q138" ca="1" si="260">MAX(Q136+R136+IF((P136+R136+S136)&gt;0,MAX(V136/(P136+R136+S136)*(Q136+R136),V136),0),0)</f>
        <v>#VALUE!</v>
      </c>
      <c r="R138" s="617" t="e">
        <f ca="1">IF(SC_ZX_CodeA="X", 0, MAX(INDEX(SC_ZX_IncomeSurplus,ZXIDX2)+INDEX(SC_ZX_Debt,ZXIDX2),0))</f>
        <v>#VALUE!</v>
      </c>
      <c r="S138" s="617" t="e">
        <f ca="1">IF(SC_ZX_CodeA="X", 0, INDEX(SC_EX_RolloverCore,EXIDX))</f>
        <v>#VALUE!</v>
      </c>
      <c r="T138" s="617" t="e">
        <f ca="1">P138+R138+S138</f>
        <v>#VALUE!</v>
      </c>
      <c r="U138" s="642" t="e">
        <f ca="1">IF(SC_ZX_BalanceAccessibleA&gt;0, T138/SC_ZX_BalanceAccessibleA, 0)</f>
        <v>#VALUE!</v>
      </c>
      <c r="V138" s="617" t="e">
        <f ca="1">-IF(SC_ZX_CodeA="X",0,MIN(U138*MAX(INDEX(SC_ZX_Drawdown,ZXIDX2),0),T138))</f>
        <v>#VALUE!</v>
      </c>
      <c r="W138" s="618" t="e">
        <f ca="1">(P138+R138+S138+V138)*$O138</f>
        <v>#VALUE!</v>
      </c>
      <c r="X138" s="75" t="e">
        <f t="shared" ref="X138:X169" ca="1" si="261">MAX(X136+Y136+Z136+AC136+AD136,0)</f>
        <v>#REF!</v>
      </c>
      <c r="Y138" s="70" t="e">
        <f t="shared" ref="Y138:Y169" ca="1" si="262">MAX(INDEX(SC_EX_IncomeEmployer,EXIDX)*INDEX(SP_401KContrib,$F138),0)</f>
        <v>#REF!</v>
      </c>
      <c r="Z138" s="70" t="e">
        <f t="shared" ref="Z138:Z169" ca="1" si="263">MAX(INDEX(SC_EX_IncomeEmployer,EXIDX)*INDEX(SP_401KMatch,$F138),0)</f>
        <v>#REF!</v>
      </c>
      <c r="AA138" s="70" t="e">
        <f t="shared" ref="AA138:AA169" ca="1" si="264">(X138+Y138+Z138)*IF($H138&gt;=INDEX(SP_401KDistribAge,$F138),1,0)</f>
        <v>#REF!</v>
      </c>
      <c r="AB138" s="67" t="e">
        <f t="shared" ca="1" si="181"/>
        <v>#REF!</v>
      </c>
      <c r="AC138" s="70" t="e">
        <f ca="1">-IF(INDEX(SC_ZX_CodeA,ZXIDX1)="X", 0, MIN(AB138*MAX(INDEX(SC_ZX_Drawdown,ZXIDX2),0),AA138))</f>
        <v>#REF!</v>
      </c>
      <c r="AD138" s="109" t="e">
        <f t="shared" ref="AD138:AD169" ca="1" si="265">(X138+Y138+Z138+AC138)*$O138</f>
        <v>#REF!</v>
      </c>
      <c r="AE138" s="75" t="e">
        <f t="shared" ref="AE138:AE169" ca="1" si="266">MAX(AE136+AG136+AJ136+AK136,0)</f>
        <v>#REF!</v>
      </c>
      <c r="AF138" s="70" t="e">
        <f t="shared" ref="AF138:AF169" ca="1" si="267">MAX(AF136+AG136+AJ136,0)</f>
        <v>#REF!</v>
      </c>
      <c r="AG138" s="70" t="e">
        <f t="shared" ref="AG138:AG169" ca="1" si="268">MAX(INDEX(SC_EX_IncomeEmployer, EXIDX)*INDEX(SP_Roth401KContrib,$F138),0)</f>
        <v>#REF!</v>
      </c>
      <c r="AH138" s="70" t="e">
        <f t="shared" ref="AH138:AH169" ca="1" si="269">(AE138+AG138)*IF($H138&gt;=INDEX(SP_401KDistribAge,$F138),1,0)</f>
        <v>#REF!</v>
      </c>
      <c r="AI138" s="67" t="e">
        <f t="shared" ca="1" si="182"/>
        <v>#REF!</v>
      </c>
      <c r="AJ138" s="70" t="e">
        <f ca="1">-IF(INDEX(SC_ZX_CodeA,ZXIDX1)="X", 0, MIN(AI138*MAX(INDEX(SC_ZX_Drawdown,ZXIDX2),0),AH138))</f>
        <v>#REF!</v>
      </c>
      <c r="AK138" s="109" t="e">
        <f t="shared" ref="AK138:AK169" ca="1" si="270">(AE138+AG138+AJ138)*$O138</f>
        <v>#REF!</v>
      </c>
      <c r="AL138" s="75" t="e">
        <f t="shared" ref="AL138:AL169" ca="1" si="271">MAX(AL136+AM136+AN136+AQ136+AR136,0)</f>
        <v>#REF!</v>
      </c>
      <c r="AM138" s="70" t="e">
        <f t="shared" ref="AM138:AM169" ca="1" si="272">MAX(INDEX(SC_EX_IncomeSE,EXIDX)*INDEX(SP_Solo401KContrib,$F138),0)</f>
        <v>#REF!</v>
      </c>
      <c r="AN138" s="70" t="e">
        <f t="shared" ref="AN138:AN169" ca="1" si="273">MAX(INDEX(SC_EX_IncomeSE,EXIDX)*INDEX(SP_Solo401KMatch,$F138),0)</f>
        <v>#REF!</v>
      </c>
      <c r="AO138" s="70" t="e">
        <f t="shared" ref="AO138:AO169" ca="1" si="274">(AL138+AM138+AN138)*IF($H138&gt;=INDEX(SP_Solo401KDistribAge,$F138),1,0)</f>
        <v>#REF!</v>
      </c>
      <c r="AP138" s="67" t="e">
        <f t="shared" ca="1" si="183"/>
        <v>#REF!</v>
      </c>
      <c r="AQ138" s="70" t="e">
        <f ca="1">-IF(INDEX(SC_ZX_CodeA,ZXIDX1)="X", 0, MIN(AP138*MAX(INDEX(SC_ZX_Drawdown,ZXIDX2),0),AO138))</f>
        <v>#REF!</v>
      </c>
      <c r="AR138" s="109" t="e">
        <f t="shared" ref="AR138:AR169" ca="1" si="275">(AL138+AM138+AN138+AQ138)*$O138</f>
        <v>#REF!</v>
      </c>
      <c r="AS138" s="75" t="e">
        <f t="shared" ref="AS138:AS169" ca="1" si="276">MAX(AS136+AU136+AX136+AY136,0)</f>
        <v>#REF!</v>
      </c>
      <c r="AT138" s="70" t="e">
        <f t="shared" ref="AT138:AT169" ca="1" si="277">MAX(AT136+AU136+AX136,0)</f>
        <v>#REF!</v>
      </c>
      <c r="AU138" s="70" t="e">
        <f t="shared" ref="AU138:AU169" ca="1" si="278">MAX(INDEX(SC_EX_IncomeSE, EXIDX)*INDEX(SP_RothSolo401KContrib,$F138),0)</f>
        <v>#REF!</v>
      </c>
      <c r="AV138" s="70" t="e">
        <f t="shared" ref="AV138:AV169" ca="1" si="279">(AS138+AU138)*IF($H138&gt;=INDEX(SP_401KDistribAge,$F138),1,0)</f>
        <v>#REF!</v>
      </c>
      <c r="AW138" s="67" t="e">
        <f t="shared" ca="1" si="184"/>
        <v>#REF!</v>
      </c>
      <c r="AX138" s="70" t="e">
        <f ca="1">-IF(INDEX(SC_ZX_CodeA,ZXIDX1)="X", 0, MIN(AW138*MAX(INDEX(SC_ZX_Drawdown,ZXIDX2),0),AV138))</f>
        <v>#REF!</v>
      </c>
      <c r="AY138" s="109" t="e">
        <f t="shared" ref="AY138:AY169" ca="1" si="280">(AS138+AU138+AX138)*$O138</f>
        <v>#REF!</v>
      </c>
      <c r="AZ138" s="75" t="e">
        <f t="shared" ref="AZ138:AZ169" ca="1" si="281">MAX(AZ136+BA136+BB136+BE136+BF136,0)</f>
        <v>#REF!</v>
      </c>
      <c r="BA138" s="70" t="e">
        <f t="shared" ref="BA138:BA169" ca="1" si="282">MAX(INDEX(SP_IRAContrib,$F138)/INDEX(SC_EA_InflationWageIdx, EAIDX)*ABS(INDEX(SC_EX_APW, EXIDX)),0)</f>
        <v>#REF!</v>
      </c>
      <c r="BB138" s="70" t="e">
        <f t="shared" ref="BB138:BB169" ca="1" si="283">MAX(INDEX(SP_IRASpousalContrib, OFFSET($F138,$G138,0))/INDEX(SC_EA_InflationWageIdx, EAIDX)*ABS(INDEX(SC_EX_APW, EXIDX)),0)</f>
        <v>#REF!</v>
      </c>
      <c r="BC138" s="70" t="e">
        <f t="shared" ref="BC138:BC169" ca="1" si="284">(AZ138+BA138+BB138)*IF($H138&gt;=INDEX(SP_IRADistribAge,$F138),1,0)</f>
        <v>#REF!</v>
      </c>
      <c r="BD138" s="67" t="e">
        <f t="shared" ca="1" si="185"/>
        <v>#REF!</v>
      </c>
      <c r="BE138" s="70" t="e">
        <f ca="1">-IF(INDEX(SC_ZX_CodeA,ZXIDX1)="X", 0, MIN(BD138*MAX(INDEX(SC_ZX_Drawdown,ZXIDX2),0),AZ138))</f>
        <v>#REF!</v>
      </c>
      <c r="BF138" s="109" t="e">
        <f t="shared" ref="BF138:BF169" ca="1" si="285">(AZ138+BA138+BB138+BE138)*$O138</f>
        <v>#REF!</v>
      </c>
      <c r="BG138" s="75" t="e">
        <f t="shared" ref="BG138:BG169" ca="1" si="286">MAX(BG136+BI136+BL136+BM136,0)</f>
        <v>#REF!</v>
      </c>
      <c r="BH138" s="70" t="e">
        <f t="shared" ref="BH138:BH169" ca="1" si="287">MAX(BH136+BI136+BL136,0)</f>
        <v>#REF!</v>
      </c>
      <c r="BI138" s="70" t="e">
        <f t="shared" ref="BI138:BI169" ca="1" si="288">MAX(INDEX(SP_RothIRAContrib,$F138)/INDEX(SC_EA_InflationWageIdx, EAIDX)*ABS(INDEX(SC_EX_APW, EXIDX)),0)</f>
        <v>#REF!</v>
      </c>
      <c r="BJ138" s="70" t="e">
        <f t="shared" ref="BJ138:BJ169" ca="1" si="289">IF($H138&gt;=INDEX(SP_IRADistribAge,$F138),BG138+BI138,MIN(BG138+BI138,BH138+BI138))</f>
        <v>#REF!</v>
      </c>
      <c r="BK138" s="67" t="e">
        <f t="shared" ca="1" si="186"/>
        <v>#REF!</v>
      </c>
      <c r="BL138" s="70" t="e">
        <f ca="1">-IF(INDEX(SC_ZX_CodeA,ZXIDX1)="X", 0, MIN(BK138*MAX(INDEX(SC_ZX_Drawdown,ZXIDX2),0),BJ138))</f>
        <v>#REF!</v>
      </c>
      <c r="BM138" s="70" t="e">
        <f t="shared" ref="BM138:BM169" ca="1" si="290">(BG138+BI138+BL138)*$O138</f>
        <v>#REF!</v>
      </c>
      <c r="BN138" s="111" t="e">
        <f t="shared" ref="BN138:BN169" ca="1" si="291">-(Y138+AM138+BA138)-OFFSET(BB138,$G138,0)</f>
        <v>#REF!</v>
      </c>
      <c r="BO138" s="112" t="e">
        <f t="shared" ref="BO138:BO169" ca="1" si="292">-(AG138+AU138+BI138)</f>
        <v>#REF!</v>
      </c>
      <c r="BP138" s="112" t="e">
        <f ca="1">-($V138-IF(($P138+$R138+$S138)&gt;0,MAX($V138/($P138+$R138+$S138)*($Q138+$R138),$V138),0))*LT_InvestmentQDI</f>
        <v>#VALUE!</v>
      </c>
      <c r="BQ138" s="112" t="e">
        <f ca="1">-($V138-IF(($P138+$R138+$S138)&gt;0,MAX($V138/($P138+$R138+$S138)*($Q138+$R138),$V138),0))*(1-LT_InvestmentQDI)</f>
        <v>#VALUE!</v>
      </c>
      <c r="BR138" s="112" t="e">
        <f t="shared" ref="BR138:BR169" ca="1" si="293">BP138+BQ138-AC138-AQ138-BE138</f>
        <v>#VALUE!</v>
      </c>
      <c r="BS138" s="112" t="e">
        <f t="shared" ref="BS138:BS169" ca="1" si="294">-V138-BP138-BQ138-AJ138-AX138-BL138</f>
        <v>#VALUE!</v>
      </c>
      <c r="BT138" s="634" t="e">
        <f ca="1">SUMPRODUCT($BN138:$BN139+$BO138:$BO139, --($E138:$E139&lt;&gt;0))</f>
        <v>#REF!</v>
      </c>
      <c r="BU138" s="617" t="e">
        <f ca="1">SUMPRODUCT($BR138:$BR139+$BS138:$BS139, --($E138:$E139&lt;&gt;0))</f>
        <v>#VALUE!</v>
      </c>
      <c r="BV138" s="617" t="e">
        <f ca="1">$T138+SUMPRODUCT($AA138:$AA139+$AH138:$AH139+$AO138:$AO139+$AV138:$AV139+$BC138:$BC139+$BJ138:$BJ139, --($E138:$E139&lt;&gt;0))</f>
        <v>#VALUE!</v>
      </c>
      <c r="BW138" s="617" t="e">
        <f ca="1">MAX($P138-$Q138,0)+SUMPRODUCT($X138:$X139+$AL138:$AL139+$AZ138:$AZ139, --($E138:$E139&lt;&gt;0))</f>
        <v>#VALUE!</v>
      </c>
      <c r="BX138" s="618" t="e">
        <f ca="1">MIN($P138,$Q138)+SUMPRODUCT($AE138:$AE139+$AS138:$AS139+$BG138:$BG139, --($E138:$E139&lt;&gt;0))</f>
        <v>#VALUE!</v>
      </c>
    </row>
    <row r="139" spans="2:76" x14ac:dyDescent="0.25">
      <c r="B139" s="86">
        <f t="shared" ref="B139:B169" ca="1" si="295">B137+1</f>
        <v>2086</v>
      </c>
      <c r="C139" s="80" t="s">
        <v>741</v>
      </c>
      <c r="D139" s="147" t="str">
        <f t="shared" si="253"/>
        <v/>
      </c>
      <c r="E139" s="81">
        <f t="shared" si="254"/>
        <v>0</v>
      </c>
      <c r="F139" s="81">
        <f t="shared" si="259"/>
        <v>2</v>
      </c>
      <c r="G139" s="82">
        <f t="shared" si="255"/>
        <v>-1</v>
      </c>
      <c r="H139" s="82">
        <f t="shared" si="256"/>
        <v>0</v>
      </c>
      <c r="I139" s="81" t="b">
        <f t="shared" si="257"/>
        <v>0</v>
      </c>
      <c r="J139" s="81"/>
      <c r="K139" s="81"/>
      <c r="L139" s="81"/>
      <c r="M139" s="81"/>
      <c r="N139" s="633"/>
      <c r="O139" s="243" t="e">
        <f ca="1">LT_InvestmentStocks*INDEX(SP_EA_ARStocks,EAIDX)+LT_InvestmentBonds*INDEX(SC_EA_ARBonds,EAIDX)</f>
        <v>#REF!</v>
      </c>
      <c r="P139" s="634"/>
      <c r="Q139" s="617"/>
      <c r="R139" s="617"/>
      <c r="S139" s="617"/>
      <c r="T139" s="617"/>
      <c r="U139" s="643"/>
      <c r="V139" s="617"/>
      <c r="W139" s="639"/>
      <c r="X139" s="106" t="e">
        <f t="shared" ca="1" si="261"/>
        <v>#REF!</v>
      </c>
      <c r="Y139" s="107" t="e">
        <f t="shared" ca="1" si="262"/>
        <v>#REF!</v>
      </c>
      <c r="Z139" s="107" t="e">
        <f t="shared" ca="1" si="263"/>
        <v>#REF!</v>
      </c>
      <c r="AA139" s="107" t="e">
        <f t="shared" ca="1" si="264"/>
        <v>#REF!</v>
      </c>
      <c r="AB139" s="91" t="e">
        <f t="shared" ca="1" si="181"/>
        <v>#REF!</v>
      </c>
      <c r="AC139" s="107" t="e">
        <f ca="1">-IF(INDEX(SC_ZX_CodeA,ZXIDX1)="X", 0, MIN(AB139*MAX(INDEX(SC_ZX_Drawdown,ZXIDX2),0),AA139))</f>
        <v>#REF!</v>
      </c>
      <c r="AD139" s="110" t="e">
        <f t="shared" ca="1" si="265"/>
        <v>#REF!</v>
      </c>
      <c r="AE139" s="106" t="e">
        <f t="shared" ca="1" si="266"/>
        <v>#REF!</v>
      </c>
      <c r="AF139" s="107" t="e">
        <f t="shared" ca="1" si="267"/>
        <v>#REF!</v>
      </c>
      <c r="AG139" s="107" t="e">
        <f t="shared" ca="1" si="268"/>
        <v>#REF!</v>
      </c>
      <c r="AH139" s="107" t="e">
        <f t="shared" ca="1" si="269"/>
        <v>#REF!</v>
      </c>
      <c r="AI139" s="91" t="e">
        <f t="shared" ca="1" si="182"/>
        <v>#REF!</v>
      </c>
      <c r="AJ139" s="107" t="e">
        <f ca="1">-IF(INDEX(SC_ZX_CodeA,ZXIDX1)="X", 0, MIN(AI139*MAX(INDEX(SC_ZX_Drawdown,ZXIDX2),0),AH139))</f>
        <v>#REF!</v>
      </c>
      <c r="AK139" s="110" t="e">
        <f t="shared" ca="1" si="270"/>
        <v>#REF!</v>
      </c>
      <c r="AL139" s="106" t="e">
        <f t="shared" ca="1" si="271"/>
        <v>#REF!</v>
      </c>
      <c r="AM139" s="107" t="e">
        <f t="shared" ca="1" si="272"/>
        <v>#REF!</v>
      </c>
      <c r="AN139" s="107" t="e">
        <f t="shared" ca="1" si="273"/>
        <v>#REF!</v>
      </c>
      <c r="AO139" s="107" t="e">
        <f t="shared" ca="1" si="274"/>
        <v>#REF!</v>
      </c>
      <c r="AP139" s="91" t="e">
        <f t="shared" ca="1" si="183"/>
        <v>#REF!</v>
      </c>
      <c r="AQ139" s="107" t="e">
        <f ca="1">-IF(INDEX(SC_ZX_CodeA,ZXIDX1)="X", 0, MIN(AP139*MAX(INDEX(SC_ZX_Drawdown,ZXIDX2),0),AO139))</f>
        <v>#REF!</v>
      </c>
      <c r="AR139" s="110" t="e">
        <f t="shared" ca="1" si="275"/>
        <v>#REF!</v>
      </c>
      <c r="AS139" s="106" t="e">
        <f t="shared" ca="1" si="276"/>
        <v>#REF!</v>
      </c>
      <c r="AT139" s="107" t="e">
        <f t="shared" ca="1" si="277"/>
        <v>#REF!</v>
      </c>
      <c r="AU139" s="107" t="e">
        <f t="shared" ca="1" si="278"/>
        <v>#REF!</v>
      </c>
      <c r="AV139" s="107" t="e">
        <f t="shared" ca="1" si="279"/>
        <v>#REF!</v>
      </c>
      <c r="AW139" s="91" t="e">
        <f t="shared" ca="1" si="184"/>
        <v>#REF!</v>
      </c>
      <c r="AX139" s="107" t="e">
        <f ca="1">-IF(INDEX(SC_ZX_CodeA,ZXIDX1)="X", 0, MIN(AW139*MAX(INDEX(SC_ZX_Drawdown,ZXIDX2),0),AV139))</f>
        <v>#REF!</v>
      </c>
      <c r="AY139" s="110" t="e">
        <f t="shared" ca="1" si="280"/>
        <v>#REF!</v>
      </c>
      <c r="AZ139" s="106" t="e">
        <f t="shared" ca="1" si="281"/>
        <v>#REF!</v>
      </c>
      <c r="BA139" s="107" t="e">
        <f t="shared" ca="1" si="282"/>
        <v>#REF!</v>
      </c>
      <c r="BB139" s="107" t="e">
        <f t="shared" ca="1" si="283"/>
        <v>#REF!</v>
      </c>
      <c r="BC139" s="107" t="e">
        <f t="shared" ca="1" si="284"/>
        <v>#REF!</v>
      </c>
      <c r="BD139" s="91" t="e">
        <f t="shared" ca="1" si="185"/>
        <v>#REF!</v>
      </c>
      <c r="BE139" s="107" t="e">
        <f ca="1">-IF(INDEX(SC_ZX_CodeA,ZXIDX1)="X", 0, MIN(BD139*MAX(INDEX(SC_ZX_Drawdown,ZXIDX2),0),AZ139))</f>
        <v>#REF!</v>
      </c>
      <c r="BF139" s="110" t="e">
        <f t="shared" ca="1" si="285"/>
        <v>#REF!</v>
      </c>
      <c r="BG139" s="106" t="e">
        <f t="shared" ca="1" si="286"/>
        <v>#REF!</v>
      </c>
      <c r="BH139" s="107" t="e">
        <f t="shared" ca="1" si="287"/>
        <v>#REF!</v>
      </c>
      <c r="BI139" s="107" t="e">
        <f t="shared" ca="1" si="288"/>
        <v>#REF!</v>
      </c>
      <c r="BJ139" s="107" t="e">
        <f t="shared" ca="1" si="289"/>
        <v>#REF!</v>
      </c>
      <c r="BK139" s="91" t="e">
        <f t="shared" ca="1" si="186"/>
        <v>#REF!</v>
      </c>
      <c r="BL139" s="107" t="e">
        <f ca="1">-IF(INDEX(SC_ZX_CodeA,ZXIDX1)="X", 0, MIN(BK139*MAX(INDEX(SC_ZX_Drawdown,ZXIDX2),0),BJ139))</f>
        <v>#REF!</v>
      </c>
      <c r="BM139" s="107" t="e">
        <f t="shared" ca="1" si="290"/>
        <v>#REF!</v>
      </c>
      <c r="BN139" s="113" t="e">
        <f t="shared" ca="1" si="291"/>
        <v>#REF!</v>
      </c>
      <c r="BO139" s="114" t="e">
        <f t="shared" ca="1" si="292"/>
        <v>#REF!</v>
      </c>
      <c r="BP139" s="114" t="e">
        <f ca="1">-($V139-IF(($P139+$R139+$S139)&gt;0,MAX($V139/($P139+$R139+$S139)*($Q139+$R139),$V139),0))*LT_InvestmentQDI</f>
        <v>#REF!</v>
      </c>
      <c r="BQ139" s="114" t="e">
        <f ca="1">-($V139-IF(($P139+$R139+$S139)&gt;0,MAX($V139/($P139+$R139+$S139)*($Q139+$R139),$V139),0))*(1-LT_InvestmentQDI)</f>
        <v>#REF!</v>
      </c>
      <c r="BR139" s="114" t="e">
        <f t="shared" ca="1" si="293"/>
        <v>#REF!</v>
      </c>
      <c r="BS139" s="114" t="e">
        <f t="shared" ca="1" si="294"/>
        <v>#REF!</v>
      </c>
      <c r="BT139" s="649"/>
      <c r="BU139" s="637"/>
      <c r="BV139" s="637"/>
      <c r="BW139" s="637"/>
      <c r="BX139" s="639"/>
    </row>
    <row r="140" spans="2:76" x14ac:dyDescent="0.25">
      <c r="B140" s="65">
        <f ca="1">B138+1</f>
        <v>2087</v>
      </c>
      <c r="C140" s="76" t="s">
        <v>741</v>
      </c>
      <c r="D140" s="146" t="str">
        <f t="shared" si="253"/>
        <v/>
      </c>
      <c r="E140" s="77">
        <f t="shared" si="254"/>
        <v>0</v>
      </c>
      <c r="F140" s="77">
        <f t="shared" si="259"/>
        <v>1</v>
      </c>
      <c r="G140" s="76">
        <f t="shared" si="255"/>
        <v>1</v>
      </c>
      <c r="H140" s="76">
        <f t="shared" si="256"/>
        <v>0</v>
      </c>
      <c r="I140" s="77" t="b">
        <f t="shared" si="257"/>
        <v>0</v>
      </c>
      <c r="J140" s="77"/>
      <c r="K140" s="77"/>
      <c r="L140" s="77"/>
      <c r="M140" s="77"/>
      <c r="N140" s="632">
        <f ca="1">YEAR(SP_TargetRD)-$B140</f>
        <v>-64</v>
      </c>
      <c r="O140" s="243" t="e">
        <f ca="1">LT_InvestmentStocks*INDEX(SP_EA_ARStocks,EAIDX)+LT_InvestmentBonds*INDEX(SC_EA_ARBonds,EAIDX)</f>
        <v>#REF!</v>
      </c>
      <c r="P140" s="634" t="e">
        <f ca="1">MAX(P138+R138+S138+V138+W138,0)</f>
        <v>#VALUE!</v>
      </c>
      <c r="Q140" s="617" t="e">
        <f t="shared" ref="Q140" ca="1" si="296">MAX(Q138+R138+IF((P138+R138+S138)&gt;0,MAX(V138/(P138+R138+S138)*(Q138+R138),V138),0),0)</f>
        <v>#VALUE!</v>
      </c>
      <c r="R140" s="617" t="e">
        <f ca="1">IF(SC_ZX_CodeA="X", 0, MAX(INDEX(SC_ZX_IncomeSurplus,ZXIDX2)+INDEX(SC_ZX_Debt,ZXIDX2),0))</f>
        <v>#VALUE!</v>
      </c>
      <c r="S140" s="617" t="e">
        <f ca="1">IF(SC_ZX_CodeA="X", 0, INDEX(SC_EX_RolloverCore,EXIDX))</f>
        <v>#VALUE!</v>
      </c>
      <c r="T140" s="617" t="e">
        <f ca="1">P140+R140+S140</f>
        <v>#VALUE!</v>
      </c>
      <c r="U140" s="642" t="e">
        <f ca="1">IF(SC_ZX_BalanceAccessibleA&gt;0, T140/SC_ZX_BalanceAccessibleA, 0)</f>
        <v>#VALUE!</v>
      </c>
      <c r="V140" s="617" t="e">
        <f ca="1">-IF(SC_ZX_CodeA="X",0,MIN(U140*MAX(INDEX(SC_ZX_Drawdown,ZXIDX2),0),T140))</f>
        <v>#VALUE!</v>
      </c>
      <c r="W140" s="618" t="e">
        <f ca="1">(P140+R140+S140+V140)*$O140</f>
        <v>#VALUE!</v>
      </c>
      <c r="X140" s="75" t="e">
        <f t="shared" ca="1" si="261"/>
        <v>#REF!</v>
      </c>
      <c r="Y140" s="70" t="e">
        <f t="shared" ca="1" si="262"/>
        <v>#REF!</v>
      </c>
      <c r="Z140" s="70" t="e">
        <f t="shared" ca="1" si="263"/>
        <v>#REF!</v>
      </c>
      <c r="AA140" s="70" t="e">
        <f t="shared" ca="1" si="264"/>
        <v>#REF!</v>
      </c>
      <c r="AB140" s="67" t="e">
        <f t="shared" ca="1" si="181"/>
        <v>#REF!</v>
      </c>
      <c r="AC140" s="70" t="e">
        <f ca="1">-IF(INDEX(SC_ZX_CodeA,ZXIDX1)="X", 0, MIN(AB140*MAX(INDEX(SC_ZX_Drawdown,ZXIDX2),0),AA140))</f>
        <v>#REF!</v>
      </c>
      <c r="AD140" s="109" t="e">
        <f t="shared" ca="1" si="265"/>
        <v>#REF!</v>
      </c>
      <c r="AE140" s="75" t="e">
        <f t="shared" ca="1" si="266"/>
        <v>#REF!</v>
      </c>
      <c r="AF140" s="70" t="e">
        <f t="shared" ca="1" si="267"/>
        <v>#REF!</v>
      </c>
      <c r="AG140" s="70" t="e">
        <f t="shared" ca="1" si="268"/>
        <v>#REF!</v>
      </c>
      <c r="AH140" s="70" t="e">
        <f t="shared" ca="1" si="269"/>
        <v>#REF!</v>
      </c>
      <c r="AI140" s="67" t="e">
        <f t="shared" ca="1" si="182"/>
        <v>#REF!</v>
      </c>
      <c r="AJ140" s="70" t="e">
        <f ca="1">-IF(INDEX(SC_ZX_CodeA,ZXIDX1)="X", 0, MIN(AI140*MAX(INDEX(SC_ZX_Drawdown,ZXIDX2),0),AH140))</f>
        <v>#REF!</v>
      </c>
      <c r="AK140" s="109" t="e">
        <f t="shared" ca="1" si="270"/>
        <v>#REF!</v>
      </c>
      <c r="AL140" s="75" t="e">
        <f t="shared" ca="1" si="271"/>
        <v>#REF!</v>
      </c>
      <c r="AM140" s="70" t="e">
        <f t="shared" ca="1" si="272"/>
        <v>#REF!</v>
      </c>
      <c r="AN140" s="70" t="e">
        <f t="shared" ca="1" si="273"/>
        <v>#REF!</v>
      </c>
      <c r="AO140" s="70" t="e">
        <f t="shared" ca="1" si="274"/>
        <v>#REF!</v>
      </c>
      <c r="AP140" s="67" t="e">
        <f t="shared" ca="1" si="183"/>
        <v>#REF!</v>
      </c>
      <c r="AQ140" s="70" t="e">
        <f ca="1">-IF(INDEX(SC_ZX_CodeA,ZXIDX1)="X", 0, MIN(AP140*MAX(INDEX(SC_ZX_Drawdown,ZXIDX2),0),AO140))</f>
        <v>#REF!</v>
      </c>
      <c r="AR140" s="109" t="e">
        <f t="shared" ca="1" si="275"/>
        <v>#REF!</v>
      </c>
      <c r="AS140" s="75" t="e">
        <f t="shared" ca="1" si="276"/>
        <v>#REF!</v>
      </c>
      <c r="AT140" s="70" t="e">
        <f t="shared" ca="1" si="277"/>
        <v>#REF!</v>
      </c>
      <c r="AU140" s="70" t="e">
        <f t="shared" ca="1" si="278"/>
        <v>#REF!</v>
      </c>
      <c r="AV140" s="70" t="e">
        <f t="shared" ca="1" si="279"/>
        <v>#REF!</v>
      </c>
      <c r="AW140" s="67" t="e">
        <f t="shared" ca="1" si="184"/>
        <v>#REF!</v>
      </c>
      <c r="AX140" s="70" t="e">
        <f ca="1">-IF(INDEX(SC_ZX_CodeA,ZXIDX1)="X", 0, MIN(AW140*MAX(INDEX(SC_ZX_Drawdown,ZXIDX2),0),AV140))</f>
        <v>#REF!</v>
      </c>
      <c r="AY140" s="109" t="e">
        <f t="shared" ca="1" si="280"/>
        <v>#REF!</v>
      </c>
      <c r="AZ140" s="75" t="e">
        <f t="shared" ca="1" si="281"/>
        <v>#REF!</v>
      </c>
      <c r="BA140" s="70" t="e">
        <f t="shared" ca="1" si="282"/>
        <v>#REF!</v>
      </c>
      <c r="BB140" s="70" t="e">
        <f t="shared" ca="1" si="283"/>
        <v>#REF!</v>
      </c>
      <c r="BC140" s="70" t="e">
        <f t="shared" ca="1" si="284"/>
        <v>#REF!</v>
      </c>
      <c r="BD140" s="67" t="e">
        <f t="shared" ca="1" si="185"/>
        <v>#REF!</v>
      </c>
      <c r="BE140" s="70" t="e">
        <f ca="1">-IF(INDEX(SC_ZX_CodeA,ZXIDX1)="X", 0, MIN(BD140*MAX(INDEX(SC_ZX_Drawdown,ZXIDX2),0),AZ140))</f>
        <v>#REF!</v>
      </c>
      <c r="BF140" s="109" t="e">
        <f t="shared" ca="1" si="285"/>
        <v>#REF!</v>
      </c>
      <c r="BG140" s="75" t="e">
        <f t="shared" ca="1" si="286"/>
        <v>#REF!</v>
      </c>
      <c r="BH140" s="70" t="e">
        <f t="shared" ca="1" si="287"/>
        <v>#REF!</v>
      </c>
      <c r="BI140" s="70" t="e">
        <f t="shared" ca="1" si="288"/>
        <v>#REF!</v>
      </c>
      <c r="BJ140" s="70" t="e">
        <f t="shared" ca="1" si="289"/>
        <v>#REF!</v>
      </c>
      <c r="BK140" s="67" t="e">
        <f t="shared" ca="1" si="186"/>
        <v>#REF!</v>
      </c>
      <c r="BL140" s="70" t="e">
        <f ca="1">-IF(INDEX(SC_ZX_CodeA,ZXIDX1)="X", 0, MIN(BK140*MAX(INDEX(SC_ZX_Drawdown,ZXIDX2),0),BJ140))</f>
        <v>#REF!</v>
      </c>
      <c r="BM140" s="70" t="e">
        <f t="shared" ca="1" si="290"/>
        <v>#REF!</v>
      </c>
      <c r="BN140" s="111" t="e">
        <f t="shared" ca="1" si="291"/>
        <v>#REF!</v>
      </c>
      <c r="BO140" s="112" t="e">
        <f t="shared" ca="1" si="292"/>
        <v>#REF!</v>
      </c>
      <c r="BP140" s="112" t="e">
        <f ca="1">-($V140-IF(($P140+$R140+$S140)&gt;0,MAX($V140/($P140+$R140+$S140)*($Q140+$R140),$V140),0))*LT_InvestmentQDI</f>
        <v>#VALUE!</v>
      </c>
      <c r="BQ140" s="112" t="e">
        <f ca="1">-($V140-IF(($P140+$R140+$S140)&gt;0,MAX($V140/($P140+$R140+$S140)*($Q140+$R140),$V140),0))*(1-LT_InvestmentQDI)</f>
        <v>#VALUE!</v>
      </c>
      <c r="BR140" s="112" t="e">
        <f t="shared" ca="1" si="293"/>
        <v>#VALUE!</v>
      </c>
      <c r="BS140" s="112" t="e">
        <f t="shared" ca="1" si="294"/>
        <v>#VALUE!</v>
      </c>
      <c r="BT140" s="634" t="e">
        <f ca="1">SUMPRODUCT($BN140:$BN141+$BO140:$BO141, --($E140:$E141&lt;&gt;0))</f>
        <v>#REF!</v>
      </c>
      <c r="BU140" s="617" t="e">
        <f ca="1">SUMPRODUCT($BR140:$BR141+$BS140:$BS141, --($E140:$E141&lt;&gt;0))</f>
        <v>#VALUE!</v>
      </c>
      <c r="BV140" s="617" t="e">
        <f ca="1">$T140+SUMPRODUCT($AA140:$AA141+$AH140:$AH141+$AO140:$AO141+$AV140:$AV141+$BC140:$BC141+$BJ140:$BJ141, --($E140:$E141&lt;&gt;0))</f>
        <v>#VALUE!</v>
      </c>
      <c r="BW140" s="617" t="e">
        <f ca="1">MAX($P140-$Q140,0)+SUMPRODUCT($X140:$X141+$AL140:$AL141+$AZ140:$AZ141, --($E140:$E141&lt;&gt;0))</f>
        <v>#VALUE!</v>
      </c>
      <c r="BX140" s="618" t="e">
        <f ca="1">MIN($P140,$Q140)+SUMPRODUCT($AE140:$AE141+$AS140:$AS141+$BG140:$BG141, --($E140:$E141&lt;&gt;0))</f>
        <v>#VALUE!</v>
      </c>
    </row>
    <row r="141" spans="2:76" x14ac:dyDescent="0.25">
      <c r="B141" s="86">
        <f t="shared" ca="1" si="295"/>
        <v>2087</v>
      </c>
      <c r="C141" s="80" t="s">
        <v>741</v>
      </c>
      <c r="D141" s="147" t="str">
        <f t="shared" si="253"/>
        <v/>
      </c>
      <c r="E141" s="81">
        <f t="shared" si="254"/>
        <v>0</v>
      </c>
      <c r="F141" s="81">
        <f t="shared" si="259"/>
        <v>2</v>
      </c>
      <c r="G141" s="82">
        <f t="shared" si="255"/>
        <v>-1</v>
      </c>
      <c r="H141" s="82">
        <f t="shared" si="256"/>
        <v>0</v>
      </c>
      <c r="I141" s="81" t="b">
        <f t="shared" si="257"/>
        <v>0</v>
      </c>
      <c r="J141" s="81"/>
      <c r="K141" s="81"/>
      <c r="L141" s="81"/>
      <c r="M141" s="81"/>
      <c r="N141" s="633"/>
      <c r="O141" s="243" t="e">
        <f ca="1">LT_InvestmentStocks*INDEX(SP_EA_ARStocks,EAIDX)+LT_InvestmentBonds*INDEX(SC_EA_ARBonds,EAIDX)</f>
        <v>#REF!</v>
      </c>
      <c r="P141" s="634"/>
      <c r="Q141" s="617"/>
      <c r="R141" s="617"/>
      <c r="S141" s="617"/>
      <c r="T141" s="617"/>
      <c r="U141" s="643"/>
      <c r="V141" s="617"/>
      <c r="W141" s="639"/>
      <c r="X141" s="106" t="e">
        <f t="shared" ca="1" si="261"/>
        <v>#REF!</v>
      </c>
      <c r="Y141" s="107" t="e">
        <f t="shared" ca="1" si="262"/>
        <v>#REF!</v>
      </c>
      <c r="Z141" s="107" t="e">
        <f t="shared" ca="1" si="263"/>
        <v>#REF!</v>
      </c>
      <c r="AA141" s="107" t="e">
        <f t="shared" ca="1" si="264"/>
        <v>#REF!</v>
      </c>
      <c r="AB141" s="91" t="e">
        <f t="shared" ref="AB141:AB169" ca="1" si="297">IF(INDEX(SC_ZX_BalanceAccessibleA,ZXIDX1)&gt;0, AA141/INDEX(SC_ZX_BalanceAccessibleA,ZXIDX1), 0)</f>
        <v>#REF!</v>
      </c>
      <c r="AC141" s="107" t="e">
        <f ca="1">-IF(INDEX(SC_ZX_CodeA,ZXIDX1)="X", 0, MIN(AB141*MAX(INDEX(SC_ZX_Drawdown,ZXIDX2),0),AA141))</f>
        <v>#REF!</v>
      </c>
      <c r="AD141" s="110" t="e">
        <f t="shared" ca="1" si="265"/>
        <v>#REF!</v>
      </c>
      <c r="AE141" s="106" t="e">
        <f t="shared" ca="1" si="266"/>
        <v>#REF!</v>
      </c>
      <c r="AF141" s="107" t="e">
        <f t="shared" ca="1" si="267"/>
        <v>#REF!</v>
      </c>
      <c r="AG141" s="107" t="e">
        <f t="shared" ca="1" si="268"/>
        <v>#REF!</v>
      </c>
      <c r="AH141" s="107" t="e">
        <f t="shared" ca="1" si="269"/>
        <v>#REF!</v>
      </c>
      <c r="AI141" s="91" t="e">
        <f t="shared" ref="AI141:AI169" ca="1" si="298">IF(INDEX(SC_ZX_BalanceAccessibleA,ZXIDX1)&gt;0, AH141/INDEX(SC_ZX_BalanceAccessibleA,ZXIDX1), 0)</f>
        <v>#REF!</v>
      </c>
      <c r="AJ141" s="107" t="e">
        <f ca="1">-IF(INDEX(SC_ZX_CodeA,ZXIDX1)="X", 0, MIN(AI141*MAX(INDEX(SC_ZX_Drawdown,ZXIDX2),0),AH141))</f>
        <v>#REF!</v>
      </c>
      <c r="AK141" s="110" t="e">
        <f t="shared" ca="1" si="270"/>
        <v>#REF!</v>
      </c>
      <c r="AL141" s="106" t="e">
        <f t="shared" ca="1" si="271"/>
        <v>#REF!</v>
      </c>
      <c r="AM141" s="107" t="e">
        <f t="shared" ca="1" si="272"/>
        <v>#REF!</v>
      </c>
      <c r="AN141" s="107" t="e">
        <f t="shared" ca="1" si="273"/>
        <v>#REF!</v>
      </c>
      <c r="AO141" s="107" t="e">
        <f t="shared" ca="1" si="274"/>
        <v>#REF!</v>
      </c>
      <c r="AP141" s="91" t="e">
        <f t="shared" ref="AP141:AP169" ca="1" si="299">IF(INDEX(SC_ZX_BalanceAccessibleA,ZXIDX1)&gt;0, AO141/INDEX(SC_ZX_BalanceAccessibleA,ZXIDX1), 0)</f>
        <v>#REF!</v>
      </c>
      <c r="AQ141" s="107" t="e">
        <f ca="1">-IF(INDEX(SC_ZX_CodeA,ZXIDX1)="X", 0, MIN(AP141*MAX(INDEX(SC_ZX_Drawdown,ZXIDX2),0),AO141))</f>
        <v>#REF!</v>
      </c>
      <c r="AR141" s="110" t="e">
        <f t="shared" ca="1" si="275"/>
        <v>#REF!</v>
      </c>
      <c r="AS141" s="106" t="e">
        <f t="shared" ca="1" si="276"/>
        <v>#REF!</v>
      </c>
      <c r="AT141" s="107" t="e">
        <f t="shared" ca="1" si="277"/>
        <v>#REF!</v>
      </c>
      <c r="AU141" s="107" t="e">
        <f t="shared" ca="1" si="278"/>
        <v>#REF!</v>
      </c>
      <c r="AV141" s="107" t="e">
        <f t="shared" ca="1" si="279"/>
        <v>#REF!</v>
      </c>
      <c r="AW141" s="91" t="e">
        <f t="shared" ref="AW141:AW169" ca="1" si="300">IF(INDEX(SC_ZX_BalanceAccessibleA,ZXIDX1)&gt;0, AV141/INDEX(SC_ZX_BalanceAccessibleA,ZXIDX1), 0)</f>
        <v>#REF!</v>
      </c>
      <c r="AX141" s="107" t="e">
        <f ca="1">-IF(INDEX(SC_ZX_CodeA,ZXIDX1)="X", 0, MIN(AW141*MAX(INDEX(SC_ZX_Drawdown,ZXIDX2),0),AV141))</f>
        <v>#REF!</v>
      </c>
      <c r="AY141" s="110" t="e">
        <f t="shared" ca="1" si="280"/>
        <v>#REF!</v>
      </c>
      <c r="AZ141" s="106" t="e">
        <f t="shared" ca="1" si="281"/>
        <v>#REF!</v>
      </c>
      <c r="BA141" s="107" t="e">
        <f t="shared" ca="1" si="282"/>
        <v>#REF!</v>
      </c>
      <c r="BB141" s="107" t="e">
        <f t="shared" ca="1" si="283"/>
        <v>#REF!</v>
      </c>
      <c r="BC141" s="107" t="e">
        <f t="shared" ca="1" si="284"/>
        <v>#REF!</v>
      </c>
      <c r="BD141" s="91" t="e">
        <f t="shared" ref="BD141:BD169" ca="1" si="301">IF(INDEX(SC_ZX_BalanceAccessibleA,ZXIDX1)&gt;0, BC141/INDEX(SC_ZX_BalanceAccessibleA,ZXIDX1), 0)</f>
        <v>#REF!</v>
      </c>
      <c r="BE141" s="107" t="e">
        <f ca="1">-IF(INDEX(SC_ZX_CodeA,ZXIDX1)="X", 0, MIN(BD141*MAX(INDEX(SC_ZX_Drawdown,ZXIDX2),0),AZ141))</f>
        <v>#REF!</v>
      </c>
      <c r="BF141" s="110" t="e">
        <f t="shared" ca="1" si="285"/>
        <v>#REF!</v>
      </c>
      <c r="BG141" s="106" t="e">
        <f t="shared" ca="1" si="286"/>
        <v>#REF!</v>
      </c>
      <c r="BH141" s="107" t="e">
        <f t="shared" ca="1" si="287"/>
        <v>#REF!</v>
      </c>
      <c r="BI141" s="107" t="e">
        <f t="shared" ca="1" si="288"/>
        <v>#REF!</v>
      </c>
      <c r="BJ141" s="107" t="e">
        <f t="shared" ca="1" si="289"/>
        <v>#REF!</v>
      </c>
      <c r="BK141" s="91" t="e">
        <f t="shared" ref="BK141:BK169" ca="1" si="302">IF(INDEX(SC_ZX_BalanceAccessibleA,ZXIDX1)&gt;0, BJ141/INDEX(SC_ZX_BalanceAccessibleA,ZXIDX1), 0)</f>
        <v>#REF!</v>
      </c>
      <c r="BL141" s="107" t="e">
        <f ca="1">-IF(INDEX(SC_ZX_CodeA,ZXIDX1)="X", 0, MIN(BK141*MAX(INDEX(SC_ZX_Drawdown,ZXIDX2),0),BJ141))</f>
        <v>#REF!</v>
      </c>
      <c r="BM141" s="107" t="e">
        <f t="shared" ca="1" si="290"/>
        <v>#REF!</v>
      </c>
      <c r="BN141" s="113" t="e">
        <f t="shared" ca="1" si="291"/>
        <v>#REF!</v>
      </c>
      <c r="BO141" s="114" t="e">
        <f t="shared" ca="1" si="292"/>
        <v>#REF!</v>
      </c>
      <c r="BP141" s="114" t="e">
        <f ca="1">-($V141-IF(($P141+$R141+$S141)&gt;0,MAX($V141/($P141+$R141+$S141)*($Q141+$R141),$V141),0))*LT_InvestmentQDI</f>
        <v>#REF!</v>
      </c>
      <c r="BQ141" s="114" t="e">
        <f ca="1">-($V141-IF(($P141+$R141+$S141)&gt;0,MAX($V141/($P141+$R141+$S141)*($Q141+$R141),$V141),0))*(1-LT_InvestmentQDI)</f>
        <v>#REF!</v>
      </c>
      <c r="BR141" s="114" t="e">
        <f t="shared" ca="1" si="293"/>
        <v>#REF!</v>
      </c>
      <c r="BS141" s="114" t="e">
        <f t="shared" ca="1" si="294"/>
        <v>#REF!</v>
      </c>
      <c r="BT141" s="649"/>
      <c r="BU141" s="637"/>
      <c r="BV141" s="637"/>
      <c r="BW141" s="637"/>
      <c r="BX141" s="639"/>
    </row>
    <row r="142" spans="2:76" x14ac:dyDescent="0.25">
      <c r="B142" s="65">
        <f ca="1">B140+1</f>
        <v>2088</v>
      </c>
      <c r="C142" s="76" t="s">
        <v>741</v>
      </c>
      <c r="D142" s="146" t="str">
        <f t="shared" si="253"/>
        <v/>
      </c>
      <c r="E142" s="77">
        <f t="shared" si="254"/>
        <v>0</v>
      </c>
      <c r="F142" s="77">
        <f t="shared" si="259"/>
        <v>1</v>
      </c>
      <c r="G142" s="76">
        <f t="shared" si="255"/>
        <v>1</v>
      </c>
      <c r="H142" s="76">
        <f t="shared" si="256"/>
        <v>0</v>
      </c>
      <c r="I142" s="77" t="b">
        <f t="shared" si="257"/>
        <v>0</v>
      </c>
      <c r="J142" s="77"/>
      <c r="K142" s="77"/>
      <c r="L142" s="77"/>
      <c r="M142" s="77"/>
      <c r="N142" s="632">
        <f ca="1">YEAR(SP_TargetRD)-$B142</f>
        <v>-65</v>
      </c>
      <c r="O142" s="243" t="e">
        <f ca="1">LT_InvestmentStocks*INDEX(SP_EA_ARStocks,EAIDX)+LT_InvestmentBonds*INDEX(SC_EA_ARBonds,EAIDX)</f>
        <v>#REF!</v>
      </c>
      <c r="P142" s="634" t="e">
        <f ca="1">MAX(P140+R140+S140+V140+W140,0)</f>
        <v>#VALUE!</v>
      </c>
      <c r="Q142" s="617" t="e">
        <f t="shared" ref="Q142" ca="1" si="303">MAX(Q140+R140+IF((P140+R140+S140)&gt;0,MAX(V140/(P140+R140+S140)*(Q140+R140),V140),0),0)</f>
        <v>#VALUE!</v>
      </c>
      <c r="R142" s="617" t="e">
        <f ca="1">IF(SC_ZX_CodeA="X", 0, MAX(INDEX(SC_ZX_IncomeSurplus,ZXIDX2)+INDEX(SC_ZX_Debt,ZXIDX2),0))</f>
        <v>#VALUE!</v>
      </c>
      <c r="S142" s="617" t="e">
        <f ca="1">IF(SC_ZX_CodeA="X", 0, INDEX(SC_EX_RolloverCore,EXIDX))</f>
        <v>#VALUE!</v>
      </c>
      <c r="T142" s="617" t="e">
        <f ca="1">P142+R142+S142</f>
        <v>#VALUE!</v>
      </c>
      <c r="U142" s="642" t="e">
        <f ca="1">IF(SC_ZX_BalanceAccessibleA&gt;0, T142/SC_ZX_BalanceAccessibleA, 0)</f>
        <v>#VALUE!</v>
      </c>
      <c r="V142" s="617" t="e">
        <f ca="1">-IF(SC_ZX_CodeA="X",0,MIN(U142*MAX(INDEX(SC_ZX_Drawdown,ZXIDX2),0),T142))</f>
        <v>#VALUE!</v>
      </c>
      <c r="W142" s="618" t="e">
        <f ca="1">(P142+R142+S142+V142)*$O142</f>
        <v>#VALUE!</v>
      </c>
      <c r="X142" s="75" t="e">
        <f t="shared" ca="1" si="261"/>
        <v>#REF!</v>
      </c>
      <c r="Y142" s="70" t="e">
        <f t="shared" ca="1" si="262"/>
        <v>#REF!</v>
      </c>
      <c r="Z142" s="70" t="e">
        <f t="shared" ca="1" si="263"/>
        <v>#REF!</v>
      </c>
      <c r="AA142" s="70" t="e">
        <f t="shared" ca="1" si="264"/>
        <v>#REF!</v>
      </c>
      <c r="AB142" s="67" t="e">
        <f t="shared" ca="1" si="297"/>
        <v>#REF!</v>
      </c>
      <c r="AC142" s="70" t="e">
        <f ca="1">-IF(INDEX(SC_ZX_CodeA,ZXIDX1)="X", 0, MIN(AB142*MAX(INDEX(SC_ZX_Drawdown,ZXIDX2),0),AA142))</f>
        <v>#REF!</v>
      </c>
      <c r="AD142" s="109" t="e">
        <f t="shared" ca="1" si="265"/>
        <v>#REF!</v>
      </c>
      <c r="AE142" s="75" t="e">
        <f t="shared" ca="1" si="266"/>
        <v>#REF!</v>
      </c>
      <c r="AF142" s="70" t="e">
        <f t="shared" ca="1" si="267"/>
        <v>#REF!</v>
      </c>
      <c r="AG142" s="70" t="e">
        <f t="shared" ca="1" si="268"/>
        <v>#REF!</v>
      </c>
      <c r="AH142" s="70" t="e">
        <f t="shared" ca="1" si="269"/>
        <v>#REF!</v>
      </c>
      <c r="AI142" s="67" t="e">
        <f t="shared" ca="1" si="298"/>
        <v>#REF!</v>
      </c>
      <c r="AJ142" s="70" t="e">
        <f ca="1">-IF(INDEX(SC_ZX_CodeA,ZXIDX1)="X", 0, MIN(AI142*MAX(INDEX(SC_ZX_Drawdown,ZXIDX2),0),AH142))</f>
        <v>#REF!</v>
      </c>
      <c r="AK142" s="109" t="e">
        <f t="shared" ca="1" si="270"/>
        <v>#REF!</v>
      </c>
      <c r="AL142" s="75" t="e">
        <f t="shared" ca="1" si="271"/>
        <v>#REF!</v>
      </c>
      <c r="AM142" s="70" t="e">
        <f t="shared" ca="1" si="272"/>
        <v>#REF!</v>
      </c>
      <c r="AN142" s="70" t="e">
        <f t="shared" ca="1" si="273"/>
        <v>#REF!</v>
      </c>
      <c r="AO142" s="70" t="e">
        <f t="shared" ca="1" si="274"/>
        <v>#REF!</v>
      </c>
      <c r="AP142" s="67" t="e">
        <f t="shared" ca="1" si="299"/>
        <v>#REF!</v>
      </c>
      <c r="AQ142" s="70" t="e">
        <f ca="1">-IF(INDEX(SC_ZX_CodeA,ZXIDX1)="X", 0, MIN(AP142*MAX(INDEX(SC_ZX_Drawdown,ZXIDX2),0),AO142))</f>
        <v>#REF!</v>
      </c>
      <c r="AR142" s="109" t="e">
        <f t="shared" ca="1" si="275"/>
        <v>#REF!</v>
      </c>
      <c r="AS142" s="75" t="e">
        <f t="shared" ca="1" si="276"/>
        <v>#REF!</v>
      </c>
      <c r="AT142" s="70" t="e">
        <f t="shared" ca="1" si="277"/>
        <v>#REF!</v>
      </c>
      <c r="AU142" s="70" t="e">
        <f t="shared" ca="1" si="278"/>
        <v>#REF!</v>
      </c>
      <c r="AV142" s="70" t="e">
        <f t="shared" ca="1" si="279"/>
        <v>#REF!</v>
      </c>
      <c r="AW142" s="67" t="e">
        <f t="shared" ca="1" si="300"/>
        <v>#REF!</v>
      </c>
      <c r="AX142" s="70" t="e">
        <f ca="1">-IF(INDEX(SC_ZX_CodeA,ZXIDX1)="X", 0, MIN(AW142*MAX(INDEX(SC_ZX_Drawdown,ZXIDX2),0),AV142))</f>
        <v>#REF!</v>
      </c>
      <c r="AY142" s="109" t="e">
        <f t="shared" ca="1" si="280"/>
        <v>#REF!</v>
      </c>
      <c r="AZ142" s="75" t="e">
        <f t="shared" ca="1" si="281"/>
        <v>#REF!</v>
      </c>
      <c r="BA142" s="70" t="e">
        <f t="shared" ca="1" si="282"/>
        <v>#REF!</v>
      </c>
      <c r="BB142" s="70" t="e">
        <f t="shared" ca="1" si="283"/>
        <v>#REF!</v>
      </c>
      <c r="BC142" s="70" t="e">
        <f t="shared" ca="1" si="284"/>
        <v>#REF!</v>
      </c>
      <c r="BD142" s="67" t="e">
        <f t="shared" ca="1" si="301"/>
        <v>#REF!</v>
      </c>
      <c r="BE142" s="70" t="e">
        <f ca="1">-IF(INDEX(SC_ZX_CodeA,ZXIDX1)="X", 0, MIN(BD142*MAX(INDEX(SC_ZX_Drawdown,ZXIDX2),0),AZ142))</f>
        <v>#REF!</v>
      </c>
      <c r="BF142" s="109" t="e">
        <f t="shared" ca="1" si="285"/>
        <v>#REF!</v>
      </c>
      <c r="BG142" s="75" t="e">
        <f t="shared" ca="1" si="286"/>
        <v>#REF!</v>
      </c>
      <c r="BH142" s="70" t="e">
        <f t="shared" ca="1" si="287"/>
        <v>#REF!</v>
      </c>
      <c r="BI142" s="70" t="e">
        <f t="shared" ca="1" si="288"/>
        <v>#REF!</v>
      </c>
      <c r="BJ142" s="70" t="e">
        <f t="shared" ca="1" si="289"/>
        <v>#REF!</v>
      </c>
      <c r="BK142" s="67" t="e">
        <f t="shared" ca="1" si="302"/>
        <v>#REF!</v>
      </c>
      <c r="BL142" s="70" t="e">
        <f ca="1">-IF(INDEX(SC_ZX_CodeA,ZXIDX1)="X", 0, MIN(BK142*MAX(INDEX(SC_ZX_Drawdown,ZXIDX2),0),BJ142))</f>
        <v>#REF!</v>
      </c>
      <c r="BM142" s="70" t="e">
        <f t="shared" ca="1" si="290"/>
        <v>#REF!</v>
      </c>
      <c r="BN142" s="111" t="e">
        <f t="shared" ca="1" si="291"/>
        <v>#REF!</v>
      </c>
      <c r="BO142" s="112" t="e">
        <f t="shared" ca="1" si="292"/>
        <v>#REF!</v>
      </c>
      <c r="BP142" s="112" t="e">
        <f ca="1">-($V142-IF(($P142+$R142+$S142)&gt;0,MAX($V142/($P142+$R142+$S142)*($Q142+$R142),$V142),0))*LT_InvestmentQDI</f>
        <v>#VALUE!</v>
      </c>
      <c r="BQ142" s="112" t="e">
        <f ca="1">-($V142-IF(($P142+$R142+$S142)&gt;0,MAX($V142/($P142+$R142+$S142)*($Q142+$R142),$V142),0))*(1-LT_InvestmentQDI)</f>
        <v>#VALUE!</v>
      </c>
      <c r="BR142" s="112" t="e">
        <f t="shared" ca="1" si="293"/>
        <v>#VALUE!</v>
      </c>
      <c r="BS142" s="112" t="e">
        <f t="shared" ca="1" si="294"/>
        <v>#VALUE!</v>
      </c>
      <c r="BT142" s="634" t="e">
        <f ca="1">SUMPRODUCT($BN142:$BN143+$BO142:$BO143, --($E142:$E143&lt;&gt;0))</f>
        <v>#REF!</v>
      </c>
      <c r="BU142" s="617" t="e">
        <f ca="1">SUMPRODUCT($BR142:$BR143+$BS142:$BS143, --($E142:$E143&lt;&gt;0))</f>
        <v>#VALUE!</v>
      </c>
      <c r="BV142" s="617" t="e">
        <f ca="1">$T142+SUMPRODUCT($AA142:$AA143+$AH142:$AH143+$AO142:$AO143+$AV142:$AV143+$BC142:$BC143+$BJ142:$BJ143, --($E142:$E143&lt;&gt;0))</f>
        <v>#VALUE!</v>
      </c>
      <c r="BW142" s="617" t="e">
        <f ca="1">MAX($P142-$Q142,0)+SUMPRODUCT($X142:$X143+$AL142:$AL143+$AZ142:$AZ143, --($E142:$E143&lt;&gt;0))</f>
        <v>#VALUE!</v>
      </c>
      <c r="BX142" s="618" t="e">
        <f ca="1">MIN($P142,$Q142)+SUMPRODUCT($AE142:$AE143+$AS142:$AS143+$BG142:$BG143, --($E142:$E143&lt;&gt;0))</f>
        <v>#VALUE!</v>
      </c>
    </row>
    <row r="143" spans="2:76" x14ac:dyDescent="0.25">
      <c r="B143" s="86">
        <f t="shared" ca="1" si="295"/>
        <v>2088</v>
      </c>
      <c r="C143" s="80" t="s">
        <v>741</v>
      </c>
      <c r="D143" s="147" t="str">
        <f t="shared" si="253"/>
        <v/>
      </c>
      <c r="E143" s="81">
        <f t="shared" si="254"/>
        <v>0</v>
      </c>
      <c r="F143" s="81">
        <f t="shared" si="259"/>
        <v>2</v>
      </c>
      <c r="G143" s="82">
        <f t="shared" si="255"/>
        <v>-1</v>
      </c>
      <c r="H143" s="82">
        <f t="shared" si="256"/>
        <v>0</v>
      </c>
      <c r="I143" s="81" t="b">
        <f t="shared" si="257"/>
        <v>0</v>
      </c>
      <c r="J143" s="81"/>
      <c r="K143" s="81"/>
      <c r="L143" s="81"/>
      <c r="M143" s="81"/>
      <c r="N143" s="633"/>
      <c r="O143" s="243" t="e">
        <f ca="1">LT_InvestmentStocks*INDEX(SP_EA_ARStocks,EAIDX)+LT_InvestmentBonds*INDEX(SC_EA_ARBonds,EAIDX)</f>
        <v>#REF!</v>
      </c>
      <c r="P143" s="634"/>
      <c r="Q143" s="617"/>
      <c r="R143" s="617"/>
      <c r="S143" s="617"/>
      <c r="T143" s="617"/>
      <c r="U143" s="643"/>
      <c r="V143" s="617"/>
      <c r="W143" s="639"/>
      <c r="X143" s="106" t="e">
        <f t="shared" ca="1" si="261"/>
        <v>#REF!</v>
      </c>
      <c r="Y143" s="107" t="e">
        <f t="shared" ca="1" si="262"/>
        <v>#REF!</v>
      </c>
      <c r="Z143" s="107" t="e">
        <f t="shared" ca="1" si="263"/>
        <v>#REF!</v>
      </c>
      <c r="AA143" s="107" t="e">
        <f t="shared" ca="1" si="264"/>
        <v>#REF!</v>
      </c>
      <c r="AB143" s="91" t="e">
        <f t="shared" ca="1" si="297"/>
        <v>#REF!</v>
      </c>
      <c r="AC143" s="107" t="e">
        <f ca="1">-IF(INDEX(SC_ZX_CodeA,ZXIDX1)="X", 0, MIN(AB143*MAX(INDEX(SC_ZX_Drawdown,ZXIDX2),0),AA143))</f>
        <v>#REF!</v>
      </c>
      <c r="AD143" s="110" t="e">
        <f t="shared" ca="1" si="265"/>
        <v>#REF!</v>
      </c>
      <c r="AE143" s="106" t="e">
        <f t="shared" ca="1" si="266"/>
        <v>#REF!</v>
      </c>
      <c r="AF143" s="107" t="e">
        <f t="shared" ca="1" si="267"/>
        <v>#REF!</v>
      </c>
      <c r="AG143" s="107" t="e">
        <f t="shared" ca="1" si="268"/>
        <v>#REF!</v>
      </c>
      <c r="AH143" s="107" t="e">
        <f t="shared" ca="1" si="269"/>
        <v>#REF!</v>
      </c>
      <c r="AI143" s="91" t="e">
        <f t="shared" ca="1" si="298"/>
        <v>#REF!</v>
      </c>
      <c r="AJ143" s="107" t="e">
        <f ca="1">-IF(INDEX(SC_ZX_CodeA,ZXIDX1)="X", 0, MIN(AI143*MAX(INDEX(SC_ZX_Drawdown,ZXIDX2),0),AH143))</f>
        <v>#REF!</v>
      </c>
      <c r="AK143" s="110" t="e">
        <f t="shared" ca="1" si="270"/>
        <v>#REF!</v>
      </c>
      <c r="AL143" s="106" t="e">
        <f t="shared" ca="1" si="271"/>
        <v>#REF!</v>
      </c>
      <c r="AM143" s="107" t="e">
        <f t="shared" ca="1" si="272"/>
        <v>#REF!</v>
      </c>
      <c r="AN143" s="107" t="e">
        <f t="shared" ca="1" si="273"/>
        <v>#REF!</v>
      </c>
      <c r="AO143" s="107" t="e">
        <f t="shared" ca="1" si="274"/>
        <v>#REF!</v>
      </c>
      <c r="AP143" s="91" t="e">
        <f t="shared" ca="1" si="299"/>
        <v>#REF!</v>
      </c>
      <c r="AQ143" s="107" t="e">
        <f ca="1">-IF(INDEX(SC_ZX_CodeA,ZXIDX1)="X", 0, MIN(AP143*MAX(INDEX(SC_ZX_Drawdown,ZXIDX2),0),AO143))</f>
        <v>#REF!</v>
      </c>
      <c r="AR143" s="110" t="e">
        <f t="shared" ca="1" si="275"/>
        <v>#REF!</v>
      </c>
      <c r="AS143" s="106" t="e">
        <f t="shared" ca="1" si="276"/>
        <v>#REF!</v>
      </c>
      <c r="AT143" s="107" t="e">
        <f t="shared" ca="1" si="277"/>
        <v>#REF!</v>
      </c>
      <c r="AU143" s="107" t="e">
        <f t="shared" ca="1" si="278"/>
        <v>#REF!</v>
      </c>
      <c r="AV143" s="107" t="e">
        <f t="shared" ca="1" si="279"/>
        <v>#REF!</v>
      </c>
      <c r="AW143" s="91" t="e">
        <f t="shared" ca="1" si="300"/>
        <v>#REF!</v>
      </c>
      <c r="AX143" s="107" t="e">
        <f ca="1">-IF(INDEX(SC_ZX_CodeA,ZXIDX1)="X", 0, MIN(AW143*MAX(INDEX(SC_ZX_Drawdown,ZXIDX2),0),AV143))</f>
        <v>#REF!</v>
      </c>
      <c r="AY143" s="110" t="e">
        <f t="shared" ca="1" si="280"/>
        <v>#REF!</v>
      </c>
      <c r="AZ143" s="106" t="e">
        <f t="shared" ca="1" si="281"/>
        <v>#REF!</v>
      </c>
      <c r="BA143" s="107" t="e">
        <f t="shared" ca="1" si="282"/>
        <v>#REF!</v>
      </c>
      <c r="BB143" s="107" t="e">
        <f t="shared" ca="1" si="283"/>
        <v>#REF!</v>
      </c>
      <c r="BC143" s="107" t="e">
        <f t="shared" ca="1" si="284"/>
        <v>#REF!</v>
      </c>
      <c r="BD143" s="91" t="e">
        <f t="shared" ca="1" si="301"/>
        <v>#REF!</v>
      </c>
      <c r="BE143" s="107" t="e">
        <f ca="1">-IF(INDEX(SC_ZX_CodeA,ZXIDX1)="X", 0, MIN(BD143*MAX(INDEX(SC_ZX_Drawdown,ZXIDX2),0),AZ143))</f>
        <v>#REF!</v>
      </c>
      <c r="BF143" s="110" t="e">
        <f t="shared" ca="1" si="285"/>
        <v>#REF!</v>
      </c>
      <c r="BG143" s="106" t="e">
        <f t="shared" ca="1" si="286"/>
        <v>#REF!</v>
      </c>
      <c r="BH143" s="107" t="e">
        <f t="shared" ca="1" si="287"/>
        <v>#REF!</v>
      </c>
      <c r="BI143" s="107" t="e">
        <f t="shared" ca="1" si="288"/>
        <v>#REF!</v>
      </c>
      <c r="BJ143" s="107" t="e">
        <f t="shared" ca="1" si="289"/>
        <v>#REF!</v>
      </c>
      <c r="BK143" s="91" t="e">
        <f t="shared" ca="1" si="302"/>
        <v>#REF!</v>
      </c>
      <c r="BL143" s="107" t="e">
        <f ca="1">-IF(INDEX(SC_ZX_CodeA,ZXIDX1)="X", 0, MIN(BK143*MAX(INDEX(SC_ZX_Drawdown,ZXIDX2),0),BJ143))</f>
        <v>#REF!</v>
      </c>
      <c r="BM143" s="107" t="e">
        <f t="shared" ca="1" si="290"/>
        <v>#REF!</v>
      </c>
      <c r="BN143" s="113" t="e">
        <f t="shared" ca="1" si="291"/>
        <v>#REF!</v>
      </c>
      <c r="BO143" s="114" t="e">
        <f t="shared" ca="1" si="292"/>
        <v>#REF!</v>
      </c>
      <c r="BP143" s="114" t="e">
        <f ca="1">-($V143-IF(($P143+$R143+$S143)&gt;0,MAX($V143/($P143+$R143+$S143)*($Q143+$R143),$V143),0))*LT_InvestmentQDI</f>
        <v>#REF!</v>
      </c>
      <c r="BQ143" s="114" t="e">
        <f ca="1">-($V143-IF(($P143+$R143+$S143)&gt;0,MAX($V143/($P143+$R143+$S143)*($Q143+$R143),$V143),0))*(1-LT_InvestmentQDI)</f>
        <v>#REF!</v>
      </c>
      <c r="BR143" s="114" t="e">
        <f t="shared" ca="1" si="293"/>
        <v>#REF!</v>
      </c>
      <c r="BS143" s="114" t="e">
        <f t="shared" ca="1" si="294"/>
        <v>#REF!</v>
      </c>
      <c r="BT143" s="649"/>
      <c r="BU143" s="637"/>
      <c r="BV143" s="637"/>
      <c r="BW143" s="637"/>
      <c r="BX143" s="639"/>
    </row>
    <row r="144" spans="2:76" x14ac:dyDescent="0.25">
      <c r="B144" s="65">
        <f ca="1">B142+1</f>
        <v>2089</v>
      </c>
      <c r="C144" s="76" t="s">
        <v>741</v>
      </c>
      <c r="D144" s="146" t="str">
        <f t="shared" si="253"/>
        <v/>
      </c>
      <c r="E144" s="77">
        <f t="shared" si="254"/>
        <v>0</v>
      </c>
      <c r="F144" s="77">
        <f t="shared" si="259"/>
        <v>1</v>
      </c>
      <c r="G144" s="76">
        <f t="shared" si="255"/>
        <v>1</v>
      </c>
      <c r="H144" s="76">
        <f t="shared" si="256"/>
        <v>0</v>
      </c>
      <c r="I144" s="77" t="b">
        <f t="shared" si="257"/>
        <v>0</v>
      </c>
      <c r="J144" s="77"/>
      <c r="K144" s="77"/>
      <c r="L144" s="77"/>
      <c r="M144" s="77"/>
      <c r="N144" s="632">
        <f ca="1">YEAR(SP_TargetRD)-$B144</f>
        <v>-66</v>
      </c>
      <c r="O144" s="243" t="e">
        <f ca="1">LT_InvestmentStocks*INDEX(SP_EA_ARStocks,EAIDX)+LT_InvestmentBonds*INDEX(SC_EA_ARBonds,EAIDX)</f>
        <v>#REF!</v>
      </c>
      <c r="P144" s="634" t="e">
        <f ca="1">MAX(P142+R142+S142+V142+W142,0)</f>
        <v>#VALUE!</v>
      </c>
      <c r="Q144" s="617" t="e">
        <f t="shared" ref="Q144" ca="1" si="304">MAX(Q142+R142+IF((P142+R142+S142)&gt;0,MAX(V142/(P142+R142+S142)*(Q142+R142),V142),0),0)</f>
        <v>#VALUE!</v>
      </c>
      <c r="R144" s="617" t="e">
        <f ca="1">IF(SC_ZX_CodeA="X", 0, MAX(INDEX(SC_ZX_IncomeSurplus,ZXIDX2)+INDEX(SC_ZX_Debt,ZXIDX2),0))</f>
        <v>#VALUE!</v>
      </c>
      <c r="S144" s="617" t="e">
        <f ca="1">IF(SC_ZX_CodeA="X", 0, INDEX(SC_EX_RolloverCore,EXIDX))</f>
        <v>#VALUE!</v>
      </c>
      <c r="T144" s="617" t="e">
        <f ca="1">P144+R144+S144</f>
        <v>#VALUE!</v>
      </c>
      <c r="U144" s="642" t="e">
        <f ca="1">IF(SC_ZX_BalanceAccessibleA&gt;0, T144/SC_ZX_BalanceAccessibleA, 0)</f>
        <v>#VALUE!</v>
      </c>
      <c r="V144" s="617" t="e">
        <f ca="1">-IF(SC_ZX_CodeA="X",0,MIN(U144*MAX(INDEX(SC_ZX_Drawdown,ZXIDX2),0),T144))</f>
        <v>#VALUE!</v>
      </c>
      <c r="W144" s="618" t="e">
        <f ca="1">(P144+R144+S144+V144)*$O144</f>
        <v>#VALUE!</v>
      </c>
      <c r="X144" s="75" t="e">
        <f t="shared" ca="1" si="261"/>
        <v>#REF!</v>
      </c>
      <c r="Y144" s="70" t="e">
        <f t="shared" ca="1" si="262"/>
        <v>#REF!</v>
      </c>
      <c r="Z144" s="70" t="e">
        <f t="shared" ca="1" si="263"/>
        <v>#REF!</v>
      </c>
      <c r="AA144" s="70" t="e">
        <f t="shared" ca="1" si="264"/>
        <v>#REF!</v>
      </c>
      <c r="AB144" s="67" t="e">
        <f t="shared" ca="1" si="297"/>
        <v>#REF!</v>
      </c>
      <c r="AC144" s="70" t="e">
        <f ca="1">-IF(INDEX(SC_ZX_CodeA,ZXIDX1)="X", 0, MIN(AB144*MAX(INDEX(SC_ZX_Drawdown,ZXIDX2),0),AA144))</f>
        <v>#REF!</v>
      </c>
      <c r="AD144" s="109" t="e">
        <f t="shared" ca="1" si="265"/>
        <v>#REF!</v>
      </c>
      <c r="AE144" s="75" t="e">
        <f t="shared" ca="1" si="266"/>
        <v>#REF!</v>
      </c>
      <c r="AF144" s="70" t="e">
        <f t="shared" ca="1" si="267"/>
        <v>#REF!</v>
      </c>
      <c r="AG144" s="70" t="e">
        <f t="shared" ca="1" si="268"/>
        <v>#REF!</v>
      </c>
      <c r="AH144" s="70" t="e">
        <f t="shared" ca="1" si="269"/>
        <v>#REF!</v>
      </c>
      <c r="AI144" s="67" t="e">
        <f t="shared" ca="1" si="298"/>
        <v>#REF!</v>
      </c>
      <c r="AJ144" s="70" t="e">
        <f ca="1">-IF(INDEX(SC_ZX_CodeA,ZXIDX1)="X", 0, MIN(AI144*MAX(INDEX(SC_ZX_Drawdown,ZXIDX2),0),AH144))</f>
        <v>#REF!</v>
      </c>
      <c r="AK144" s="109" t="e">
        <f t="shared" ca="1" si="270"/>
        <v>#REF!</v>
      </c>
      <c r="AL144" s="75" t="e">
        <f t="shared" ca="1" si="271"/>
        <v>#REF!</v>
      </c>
      <c r="AM144" s="70" t="e">
        <f t="shared" ca="1" si="272"/>
        <v>#REF!</v>
      </c>
      <c r="AN144" s="70" t="e">
        <f t="shared" ca="1" si="273"/>
        <v>#REF!</v>
      </c>
      <c r="AO144" s="70" t="e">
        <f t="shared" ca="1" si="274"/>
        <v>#REF!</v>
      </c>
      <c r="AP144" s="67" t="e">
        <f t="shared" ca="1" si="299"/>
        <v>#REF!</v>
      </c>
      <c r="AQ144" s="70" t="e">
        <f ca="1">-IF(INDEX(SC_ZX_CodeA,ZXIDX1)="X", 0, MIN(AP144*MAX(INDEX(SC_ZX_Drawdown,ZXIDX2),0),AO144))</f>
        <v>#REF!</v>
      </c>
      <c r="AR144" s="109" t="e">
        <f t="shared" ca="1" si="275"/>
        <v>#REF!</v>
      </c>
      <c r="AS144" s="75" t="e">
        <f t="shared" ca="1" si="276"/>
        <v>#REF!</v>
      </c>
      <c r="AT144" s="70" t="e">
        <f t="shared" ca="1" si="277"/>
        <v>#REF!</v>
      </c>
      <c r="AU144" s="70" t="e">
        <f t="shared" ca="1" si="278"/>
        <v>#REF!</v>
      </c>
      <c r="AV144" s="70" t="e">
        <f t="shared" ca="1" si="279"/>
        <v>#REF!</v>
      </c>
      <c r="AW144" s="67" t="e">
        <f t="shared" ca="1" si="300"/>
        <v>#REF!</v>
      </c>
      <c r="AX144" s="70" t="e">
        <f ca="1">-IF(INDEX(SC_ZX_CodeA,ZXIDX1)="X", 0, MIN(AW144*MAX(INDEX(SC_ZX_Drawdown,ZXIDX2),0),AV144))</f>
        <v>#REF!</v>
      </c>
      <c r="AY144" s="109" t="e">
        <f t="shared" ca="1" si="280"/>
        <v>#REF!</v>
      </c>
      <c r="AZ144" s="75" t="e">
        <f t="shared" ca="1" si="281"/>
        <v>#REF!</v>
      </c>
      <c r="BA144" s="70" t="e">
        <f t="shared" ca="1" si="282"/>
        <v>#REF!</v>
      </c>
      <c r="BB144" s="70" t="e">
        <f t="shared" ca="1" si="283"/>
        <v>#REF!</v>
      </c>
      <c r="BC144" s="70" t="e">
        <f t="shared" ca="1" si="284"/>
        <v>#REF!</v>
      </c>
      <c r="BD144" s="67" t="e">
        <f t="shared" ca="1" si="301"/>
        <v>#REF!</v>
      </c>
      <c r="BE144" s="70" t="e">
        <f ca="1">-IF(INDEX(SC_ZX_CodeA,ZXIDX1)="X", 0, MIN(BD144*MAX(INDEX(SC_ZX_Drawdown,ZXIDX2),0),AZ144))</f>
        <v>#REF!</v>
      </c>
      <c r="BF144" s="109" t="e">
        <f t="shared" ca="1" si="285"/>
        <v>#REF!</v>
      </c>
      <c r="BG144" s="75" t="e">
        <f t="shared" ca="1" si="286"/>
        <v>#REF!</v>
      </c>
      <c r="BH144" s="70" t="e">
        <f t="shared" ca="1" si="287"/>
        <v>#REF!</v>
      </c>
      <c r="BI144" s="70" t="e">
        <f t="shared" ca="1" si="288"/>
        <v>#REF!</v>
      </c>
      <c r="BJ144" s="70" t="e">
        <f t="shared" ca="1" si="289"/>
        <v>#REF!</v>
      </c>
      <c r="BK144" s="67" t="e">
        <f t="shared" ca="1" si="302"/>
        <v>#REF!</v>
      </c>
      <c r="BL144" s="70" t="e">
        <f ca="1">-IF(INDEX(SC_ZX_CodeA,ZXIDX1)="X", 0, MIN(BK144*MAX(INDEX(SC_ZX_Drawdown,ZXIDX2),0),BJ144))</f>
        <v>#REF!</v>
      </c>
      <c r="BM144" s="70" t="e">
        <f t="shared" ca="1" si="290"/>
        <v>#REF!</v>
      </c>
      <c r="BN144" s="111" t="e">
        <f t="shared" ca="1" si="291"/>
        <v>#REF!</v>
      </c>
      <c r="BO144" s="112" t="e">
        <f t="shared" ca="1" si="292"/>
        <v>#REF!</v>
      </c>
      <c r="BP144" s="112" t="e">
        <f ca="1">-($V144-IF(($P144+$R144+$S144)&gt;0,MAX($V144/($P144+$R144+$S144)*($Q144+$R144),$V144),0))*LT_InvestmentQDI</f>
        <v>#VALUE!</v>
      </c>
      <c r="BQ144" s="112" t="e">
        <f ca="1">-($V144-IF(($P144+$R144+$S144)&gt;0,MAX($V144/($P144+$R144+$S144)*($Q144+$R144),$V144),0))*(1-LT_InvestmentQDI)</f>
        <v>#VALUE!</v>
      </c>
      <c r="BR144" s="112" t="e">
        <f t="shared" ca="1" si="293"/>
        <v>#VALUE!</v>
      </c>
      <c r="BS144" s="112" t="e">
        <f t="shared" ca="1" si="294"/>
        <v>#VALUE!</v>
      </c>
      <c r="BT144" s="634" t="e">
        <f ca="1">SUMPRODUCT($BN144:$BN145+$BO144:$BO145, --($E144:$E145&lt;&gt;0))</f>
        <v>#REF!</v>
      </c>
      <c r="BU144" s="617" t="e">
        <f ca="1">SUMPRODUCT($BR144:$BR145+$BS144:$BS145, --($E144:$E145&lt;&gt;0))</f>
        <v>#VALUE!</v>
      </c>
      <c r="BV144" s="617" t="e">
        <f ca="1">$T144+SUMPRODUCT($AA144:$AA145+$AH144:$AH145+$AO144:$AO145+$AV144:$AV145+$BC144:$BC145+$BJ144:$BJ145, --($E144:$E145&lt;&gt;0))</f>
        <v>#VALUE!</v>
      </c>
      <c r="BW144" s="617" t="e">
        <f ca="1">MAX($P144-$Q144,0)+SUMPRODUCT($X144:$X145+$AL144:$AL145+$AZ144:$AZ145, --($E144:$E145&lt;&gt;0))</f>
        <v>#VALUE!</v>
      </c>
      <c r="BX144" s="618" t="e">
        <f ca="1">MIN($P144,$Q144)+SUMPRODUCT($AE144:$AE145+$AS144:$AS145+$BG144:$BG145, --($E144:$E145&lt;&gt;0))</f>
        <v>#VALUE!</v>
      </c>
    </row>
    <row r="145" spans="2:76" x14ac:dyDescent="0.25">
      <c r="B145" s="86">
        <f t="shared" ca="1" si="295"/>
        <v>2089</v>
      </c>
      <c r="C145" s="80" t="s">
        <v>741</v>
      </c>
      <c r="D145" s="147" t="str">
        <f t="shared" si="253"/>
        <v/>
      </c>
      <c r="E145" s="81">
        <f t="shared" si="254"/>
        <v>0</v>
      </c>
      <c r="F145" s="81">
        <f t="shared" si="259"/>
        <v>2</v>
      </c>
      <c r="G145" s="82">
        <f t="shared" si="255"/>
        <v>-1</v>
      </c>
      <c r="H145" s="82">
        <f t="shared" si="256"/>
        <v>0</v>
      </c>
      <c r="I145" s="81" t="b">
        <f t="shared" si="257"/>
        <v>0</v>
      </c>
      <c r="J145" s="81"/>
      <c r="K145" s="81"/>
      <c r="L145" s="81"/>
      <c r="M145" s="81"/>
      <c r="N145" s="633"/>
      <c r="O145" s="243" t="e">
        <f ca="1">LT_InvestmentStocks*INDEX(SP_EA_ARStocks,EAIDX)+LT_InvestmentBonds*INDEX(SC_EA_ARBonds,EAIDX)</f>
        <v>#REF!</v>
      </c>
      <c r="P145" s="634"/>
      <c r="Q145" s="617"/>
      <c r="R145" s="617"/>
      <c r="S145" s="617"/>
      <c r="T145" s="617"/>
      <c r="U145" s="643"/>
      <c r="V145" s="617"/>
      <c r="W145" s="639"/>
      <c r="X145" s="106" t="e">
        <f t="shared" ca="1" si="261"/>
        <v>#REF!</v>
      </c>
      <c r="Y145" s="107" t="e">
        <f t="shared" ca="1" si="262"/>
        <v>#REF!</v>
      </c>
      <c r="Z145" s="107" t="e">
        <f t="shared" ca="1" si="263"/>
        <v>#REF!</v>
      </c>
      <c r="AA145" s="107" t="e">
        <f t="shared" ca="1" si="264"/>
        <v>#REF!</v>
      </c>
      <c r="AB145" s="91" t="e">
        <f t="shared" ca="1" si="297"/>
        <v>#REF!</v>
      </c>
      <c r="AC145" s="107" t="e">
        <f ca="1">-IF(INDEX(SC_ZX_CodeA,ZXIDX1)="X", 0, MIN(AB145*MAX(INDEX(SC_ZX_Drawdown,ZXIDX2),0),AA145))</f>
        <v>#REF!</v>
      </c>
      <c r="AD145" s="110" t="e">
        <f t="shared" ca="1" si="265"/>
        <v>#REF!</v>
      </c>
      <c r="AE145" s="106" t="e">
        <f t="shared" ca="1" si="266"/>
        <v>#REF!</v>
      </c>
      <c r="AF145" s="107" t="e">
        <f t="shared" ca="1" si="267"/>
        <v>#REF!</v>
      </c>
      <c r="AG145" s="107" t="e">
        <f t="shared" ca="1" si="268"/>
        <v>#REF!</v>
      </c>
      <c r="AH145" s="107" t="e">
        <f t="shared" ca="1" si="269"/>
        <v>#REF!</v>
      </c>
      <c r="AI145" s="91" t="e">
        <f t="shared" ca="1" si="298"/>
        <v>#REF!</v>
      </c>
      <c r="AJ145" s="107" t="e">
        <f ca="1">-IF(INDEX(SC_ZX_CodeA,ZXIDX1)="X", 0, MIN(AI145*MAX(INDEX(SC_ZX_Drawdown,ZXIDX2),0),AH145))</f>
        <v>#REF!</v>
      </c>
      <c r="AK145" s="110" t="e">
        <f t="shared" ca="1" si="270"/>
        <v>#REF!</v>
      </c>
      <c r="AL145" s="106" t="e">
        <f t="shared" ca="1" si="271"/>
        <v>#REF!</v>
      </c>
      <c r="AM145" s="107" t="e">
        <f t="shared" ca="1" si="272"/>
        <v>#REF!</v>
      </c>
      <c r="AN145" s="107" t="e">
        <f t="shared" ca="1" si="273"/>
        <v>#REF!</v>
      </c>
      <c r="AO145" s="107" t="e">
        <f t="shared" ca="1" si="274"/>
        <v>#REF!</v>
      </c>
      <c r="AP145" s="91" t="e">
        <f t="shared" ca="1" si="299"/>
        <v>#REF!</v>
      </c>
      <c r="AQ145" s="107" t="e">
        <f ca="1">-IF(INDEX(SC_ZX_CodeA,ZXIDX1)="X", 0, MIN(AP145*MAX(INDEX(SC_ZX_Drawdown,ZXIDX2),0),AO145))</f>
        <v>#REF!</v>
      </c>
      <c r="AR145" s="110" t="e">
        <f t="shared" ca="1" si="275"/>
        <v>#REF!</v>
      </c>
      <c r="AS145" s="106" t="e">
        <f t="shared" ca="1" si="276"/>
        <v>#REF!</v>
      </c>
      <c r="AT145" s="107" t="e">
        <f t="shared" ca="1" si="277"/>
        <v>#REF!</v>
      </c>
      <c r="AU145" s="107" t="e">
        <f t="shared" ca="1" si="278"/>
        <v>#REF!</v>
      </c>
      <c r="AV145" s="107" t="e">
        <f t="shared" ca="1" si="279"/>
        <v>#REF!</v>
      </c>
      <c r="AW145" s="91" t="e">
        <f t="shared" ca="1" si="300"/>
        <v>#REF!</v>
      </c>
      <c r="AX145" s="107" t="e">
        <f ca="1">-IF(INDEX(SC_ZX_CodeA,ZXIDX1)="X", 0, MIN(AW145*MAX(INDEX(SC_ZX_Drawdown,ZXIDX2),0),AV145))</f>
        <v>#REF!</v>
      </c>
      <c r="AY145" s="110" t="e">
        <f t="shared" ca="1" si="280"/>
        <v>#REF!</v>
      </c>
      <c r="AZ145" s="106" t="e">
        <f t="shared" ca="1" si="281"/>
        <v>#REF!</v>
      </c>
      <c r="BA145" s="107" t="e">
        <f t="shared" ca="1" si="282"/>
        <v>#REF!</v>
      </c>
      <c r="BB145" s="107" t="e">
        <f t="shared" ca="1" si="283"/>
        <v>#REF!</v>
      </c>
      <c r="BC145" s="107" t="e">
        <f t="shared" ca="1" si="284"/>
        <v>#REF!</v>
      </c>
      <c r="BD145" s="91" t="e">
        <f t="shared" ca="1" si="301"/>
        <v>#REF!</v>
      </c>
      <c r="BE145" s="107" t="e">
        <f ca="1">-IF(INDEX(SC_ZX_CodeA,ZXIDX1)="X", 0, MIN(BD145*MAX(INDEX(SC_ZX_Drawdown,ZXIDX2),0),AZ145))</f>
        <v>#REF!</v>
      </c>
      <c r="BF145" s="110" t="e">
        <f t="shared" ca="1" si="285"/>
        <v>#REF!</v>
      </c>
      <c r="BG145" s="106" t="e">
        <f t="shared" ca="1" si="286"/>
        <v>#REF!</v>
      </c>
      <c r="BH145" s="107" t="e">
        <f t="shared" ca="1" si="287"/>
        <v>#REF!</v>
      </c>
      <c r="BI145" s="107" t="e">
        <f t="shared" ca="1" si="288"/>
        <v>#REF!</v>
      </c>
      <c r="BJ145" s="107" t="e">
        <f t="shared" ca="1" si="289"/>
        <v>#REF!</v>
      </c>
      <c r="BK145" s="91" t="e">
        <f t="shared" ca="1" si="302"/>
        <v>#REF!</v>
      </c>
      <c r="BL145" s="107" t="e">
        <f ca="1">-IF(INDEX(SC_ZX_CodeA,ZXIDX1)="X", 0, MIN(BK145*MAX(INDEX(SC_ZX_Drawdown,ZXIDX2),0),BJ145))</f>
        <v>#REF!</v>
      </c>
      <c r="BM145" s="107" t="e">
        <f t="shared" ca="1" si="290"/>
        <v>#REF!</v>
      </c>
      <c r="BN145" s="113" t="e">
        <f t="shared" ca="1" si="291"/>
        <v>#REF!</v>
      </c>
      <c r="BO145" s="114" t="e">
        <f t="shared" ca="1" si="292"/>
        <v>#REF!</v>
      </c>
      <c r="BP145" s="114" t="e">
        <f ca="1">-($V145-IF(($P145+$R145+$S145)&gt;0,MAX($V145/($P145+$R145+$S145)*($Q145+$R145),$V145),0))*LT_InvestmentQDI</f>
        <v>#REF!</v>
      </c>
      <c r="BQ145" s="114" t="e">
        <f ca="1">-($V145-IF(($P145+$R145+$S145)&gt;0,MAX($V145/($P145+$R145+$S145)*($Q145+$R145),$V145),0))*(1-LT_InvestmentQDI)</f>
        <v>#REF!</v>
      </c>
      <c r="BR145" s="114" t="e">
        <f t="shared" ca="1" si="293"/>
        <v>#REF!</v>
      </c>
      <c r="BS145" s="114" t="e">
        <f t="shared" ca="1" si="294"/>
        <v>#REF!</v>
      </c>
      <c r="BT145" s="649"/>
      <c r="BU145" s="637"/>
      <c r="BV145" s="637"/>
      <c r="BW145" s="637"/>
      <c r="BX145" s="639"/>
    </row>
    <row r="146" spans="2:76" x14ac:dyDescent="0.25">
      <c r="B146" s="65">
        <f ca="1">B144+1</f>
        <v>2090</v>
      </c>
      <c r="C146" s="76" t="s">
        <v>741</v>
      </c>
      <c r="D146" s="146" t="str">
        <f t="shared" si="253"/>
        <v/>
      </c>
      <c r="E146" s="77">
        <f t="shared" si="254"/>
        <v>0</v>
      </c>
      <c r="F146" s="77">
        <f t="shared" si="259"/>
        <v>1</v>
      </c>
      <c r="G146" s="76">
        <f t="shared" si="255"/>
        <v>1</v>
      </c>
      <c r="H146" s="76">
        <f t="shared" si="256"/>
        <v>0</v>
      </c>
      <c r="I146" s="77" t="b">
        <f t="shared" si="257"/>
        <v>0</v>
      </c>
      <c r="J146" s="77"/>
      <c r="K146" s="77"/>
      <c r="L146" s="77"/>
      <c r="M146" s="77"/>
      <c r="N146" s="632">
        <f ca="1">YEAR(SP_TargetRD)-$B146</f>
        <v>-67</v>
      </c>
      <c r="O146" s="243" t="e">
        <f ca="1">LT_InvestmentStocks*INDEX(SP_EA_ARStocks,EAIDX)+LT_InvestmentBonds*INDEX(SC_EA_ARBonds,EAIDX)</f>
        <v>#REF!</v>
      </c>
      <c r="P146" s="634" t="e">
        <f ca="1">MAX(P144+R144+S144+V144+W144,0)</f>
        <v>#VALUE!</v>
      </c>
      <c r="Q146" s="617" t="e">
        <f t="shared" ref="Q146" ca="1" si="305">MAX(Q144+R144+IF((P144+R144+S144)&gt;0,MAX(V144/(P144+R144+S144)*(Q144+R144),V144),0),0)</f>
        <v>#VALUE!</v>
      </c>
      <c r="R146" s="617" t="e">
        <f ca="1">IF(SC_ZX_CodeA="X", 0, MAX(INDEX(SC_ZX_IncomeSurplus,ZXIDX2)+INDEX(SC_ZX_Debt,ZXIDX2),0))</f>
        <v>#VALUE!</v>
      </c>
      <c r="S146" s="617" t="e">
        <f ca="1">IF(SC_ZX_CodeA="X", 0, INDEX(SC_EX_RolloverCore,EXIDX))</f>
        <v>#VALUE!</v>
      </c>
      <c r="T146" s="617" t="e">
        <f ca="1">P146+R146+S146</f>
        <v>#VALUE!</v>
      </c>
      <c r="U146" s="642" t="e">
        <f ca="1">IF(SC_ZX_BalanceAccessibleA&gt;0, T146/SC_ZX_BalanceAccessibleA, 0)</f>
        <v>#VALUE!</v>
      </c>
      <c r="V146" s="617" t="e">
        <f ca="1">-IF(SC_ZX_CodeA="X",0,MIN(U146*MAX(INDEX(SC_ZX_Drawdown,ZXIDX2),0),T146))</f>
        <v>#VALUE!</v>
      </c>
      <c r="W146" s="618" t="e">
        <f ca="1">(P146+R146+S146+V146)*$O146</f>
        <v>#VALUE!</v>
      </c>
      <c r="X146" s="75" t="e">
        <f t="shared" ca="1" si="261"/>
        <v>#REF!</v>
      </c>
      <c r="Y146" s="70" t="e">
        <f t="shared" ca="1" si="262"/>
        <v>#REF!</v>
      </c>
      <c r="Z146" s="70" t="e">
        <f t="shared" ca="1" si="263"/>
        <v>#REF!</v>
      </c>
      <c r="AA146" s="70" t="e">
        <f t="shared" ca="1" si="264"/>
        <v>#REF!</v>
      </c>
      <c r="AB146" s="67" t="e">
        <f t="shared" ca="1" si="297"/>
        <v>#REF!</v>
      </c>
      <c r="AC146" s="70" t="e">
        <f ca="1">-IF(INDEX(SC_ZX_CodeA,ZXIDX1)="X", 0, MIN(AB146*MAX(INDEX(SC_ZX_Drawdown,ZXIDX2),0),AA146))</f>
        <v>#REF!</v>
      </c>
      <c r="AD146" s="109" t="e">
        <f t="shared" ca="1" si="265"/>
        <v>#REF!</v>
      </c>
      <c r="AE146" s="75" t="e">
        <f t="shared" ca="1" si="266"/>
        <v>#REF!</v>
      </c>
      <c r="AF146" s="70" t="e">
        <f t="shared" ca="1" si="267"/>
        <v>#REF!</v>
      </c>
      <c r="AG146" s="70" t="e">
        <f t="shared" ca="1" si="268"/>
        <v>#REF!</v>
      </c>
      <c r="AH146" s="70" t="e">
        <f t="shared" ca="1" si="269"/>
        <v>#REF!</v>
      </c>
      <c r="AI146" s="67" t="e">
        <f t="shared" ca="1" si="298"/>
        <v>#REF!</v>
      </c>
      <c r="AJ146" s="70" t="e">
        <f ca="1">-IF(INDEX(SC_ZX_CodeA,ZXIDX1)="X", 0, MIN(AI146*MAX(INDEX(SC_ZX_Drawdown,ZXIDX2),0),AH146))</f>
        <v>#REF!</v>
      </c>
      <c r="AK146" s="109" t="e">
        <f t="shared" ca="1" si="270"/>
        <v>#REF!</v>
      </c>
      <c r="AL146" s="75" t="e">
        <f t="shared" ca="1" si="271"/>
        <v>#REF!</v>
      </c>
      <c r="AM146" s="70" t="e">
        <f t="shared" ca="1" si="272"/>
        <v>#REF!</v>
      </c>
      <c r="AN146" s="70" t="e">
        <f t="shared" ca="1" si="273"/>
        <v>#REF!</v>
      </c>
      <c r="AO146" s="70" t="e">
        <f t="shared" ca="1" si="274"/>
        <v>#REF!</v>
      </c>
      <c r="AP146" s="67" t="e">
        <f t="shared" ca="1" si="299"/>
        <v>#REF!</v>
      </c>
      <c r="AQ146" s="70" t="e">
        <f ca="1">-IF(INDEX(SC_ZX_CodeA,ZXIDX1)="X", 0, MIN(AP146*MAX(INDEX(SC_ZX_Drawdown,ZXIDX2),0),AO146))</f>
        <v>#REF!</v>
      </c>
      <c r="AR146" s="109" t="e">
        <f t="shared" ca="1" si="275"/>
        <v>#REF!</v>
      </c>
      <c r="AS146" s="75" t="e">
        <f t="shared" ca="1" si="276"/>
        <v>#REF!</v>
      </c>
      <c r="AT146" s="70" t="e">
        <f t="shared" ca="1" si="277"/>
        <v>#REF!</v>
      </c>
      <c r="AU146" s="70" t="e">
        <f t="shared" ca="1" si="278"/>
        <v>#REF!</v>
      </c>
      <c r="AV146" s="70" t="e">
        <f t="shared" ca="1" si="279"/>
        <v>#REF!</v>
      </c>
      <c r="AW146" s="67" t="e">
        <f t="shared" ca="1" si="300"/>
        <v>#REF!</v>
      </c>
      <c r="AX146" s="70" t="e">
        <f ca="1">-IF(INDEX(SC_ZX_CodeA,ZXIDX1)="X", 0, MIN(AW146*MAX(INDEX(SC_ZX_Drawdown,ZXIDX2),0),AV146))</f>
        <v>#REF!</v>
      </c>
      <c r="AY146" s="109" t="e">
        <f t="shared" ca="1" si="280"/>
        <v>#REF!</v>
      </c>
      <c r="AZ146" s="75" t="e">
        <f t="shared" ca="1" si="281"/>
        <v>#REF!</v>
      </c>
      <c r="BA146" s="70" t="e">
        <f t="shared" ca="1" si="282"/>
        <v>#REF!</v>
      </c>
      <c r="BB146" s="70" t="e">
        <f t="shared" ca="1" si="283"/>
        <v>#REF!</v>
      </c>
      <c r="BC146" s="70" t="e">
        <f t="shared" ca="1" si="284"/>
        <v>#REF!</v>
      </c>
      <c r="BD146" s="67" t="e">
        <f t="shared" ca="1" si="301"/>
        <v>#REF!</v>
      </c>
      <c r="BE146" s="70" t="e">
        <f ca="1">-IF(INDEX(SC_ZX_CodeA,ZXIDX1)="X", 0, MIN(BD146*MAX(INDEX(SC_ZX_Drawdown,ZXIDX2),0),AZ146))</f>
        <v>#REF!</v>
      </c>
      <c r="BF146" s="109" t="e">
        <f t="shared" ca="1" si="285"/>
        <v>#REF!</v>
      </c>
      <c r="BG146" s="75" t="e">
        <f t="shared" ca="1" si="286"/>
        <v>#REF!</v>
      </c>
      <c r="BH146" s="70" t="e">
        <f t="shared" ca="1" si="287"/>
        <v>#REF!</v>
      </c>
      <c r="BI146" s="70" t="e">
        <f t="shared" ca="1" si="288"/>
        <v>#REF!</v>
      </c>
      <c r="BJ146" s="70" t="e">
        <f t="shared" ca="1" si="289"/>
        <v>#REF!</v>
      </c>
      <c r="BK146" s="67" t="e">
        <f t="shared" ca="1" si="302"/>
        <v>#REF!</v>
      </c>
      <c r="BL146" s="70" t="e">
        <f ca="1">-IF(INDEX(SC_ZX_CodeA,ZXIDX1)="X", 0, MIN(BK146*MAX(INDEX(SC_ZX_Drawdown,ZXIDX2),0),BJ146))</f>
        <v>#REF!</v>
      </c>
      <c r="BM146" s="70" t="e">
        <f t="shared" ca="1" si="290"/>
        <v>#REF!</v>
      </c>
      <c r="BN146" s="111" t="e">
        <f t="shared" ca="1" si="291"/>
        <v>#REF!</v>
      </c>
      <c r="BO146" s="112" t="e">
        <f t="shared" ca="1" si="292"/>
        <v>#REF!</v>
      </c>
      <c r="BP146" s="112" t="e">
        <f ca="1">-($V146-IF(($P146+$R146+$S146)&gt;0,MAX($V146/($P146+$R146+$S146)*($Q146+$R146),$V146),0))*LT_InvestmentQDI</f>
        <v>#VALUE!</v>
      </c>
      <c r="BQ146" s="112" t="e">
        <f ca="1">-($V146-IF(($P146+$R146+$S146)&gt;0,MAX($V146/($P146+$R146+$S146)*($Q146+$R146),$V146),0))*(1-LT_InvestmentQDI)</f>
        <v>#VALUE!</v>
      </c>
      <c r="BR146" s="112" t="e">
        <f t="shared" ca="1" si="293"/>
        <v>#VALUE!</v>
      </c>
      <c r="BS146" s="112" t="e">
        <f t="shared" ca="1" si="294"/>
        <v>#VALUE!</v>
      </c>
      <c r="BT146" s="634" t="e">
        <f ca="1">SUMPRODUCT($BN146:$BN147+$BO146:$BO147, --($E146:$E147&lt;&gt;0))</f>
        <v>#REF!</v>
      </c>
      <c r="BU146" s="617" t="e">
        <f ca="1">SUMPRODUCT($BR146:$BR147+$BS146:$BS147, --($E146:$E147&lt;&gt;0))</f>
        <v>#VALUE!</v>
      </c>
      <c r="BV146" s="617" t="e">
        <f ca="1">$T146+SUMPRODUCT($AA146:$AA147+$AH146:$AH147+$AO146:$AO147+$AV146:$AV147+$BC146:$BC147+$BJ146:$BJ147, --($E146:$E147&lt;&gt;0))</f>
        <v>#VALUE!</v>
      </c>
      <c r="BW146" s="617" t="e">
        <f ca="1">MAX($P146-$Q146,0)+SUMPRODUCT($X146:$X147+$AL146:$AL147+$AZ146:$AZ147, --($E146:$E147&lt;&gt;0))</f>
        <v>#VALUE!</v>
      </c>
      <c r="BX146" s="618" t="e">
        <f ca="1">MIN($P146,$Q146)+SUMPRODUCT($AE146:$AE147+$AS146:$AS147+$BG146:$BG147, --($E146:$E147&lt;&gt;0))</f>
        <v>#VALUE!</v>
      </c>
    </row>
    <row r="147" spans="2:76" x14ac:dyDescent="0.25">
      <c r="B147" s="86">
        <f t="shared" ca="1" si="295"/>
        <v>2090</v>
      </c>
      <c r="C147" s="80" t="s">
        <v>741</v>
      </c>
      <c r="D147" s="147" t="str">
        <f t="shared" si="253"/>
        <v/>
      </c>
      <c r="E147" s="81">
        <f t="shared" si="254"/>
        <v>0</v>
      </c>
      <c r="F147" s="81">
        <f t="shared" si="259"/>
        <v>2</v>
      </c>
      <c r="G147" s="82">
        <f t="shared" si="255"/>
        <v>-1</v>
      </c>
      <c r="H147" s="82">
        <f t="shared" si="256"/>
        <v>0</v>
      </c>
      <c r="I147" s="81" t="b">
        <f t="shared" si="257"/>
        <v>0</v>
      </c>
      <c r="J147" s="81"/>
      <c r="K147" s="81"/>
      <c r="L147" s="81"/>
      <c r="M147" s="81"/>
      <c r="N147" s="633"/>
      <c r="O147" s="243" t="e">
        <f ca="1">LT_InvestmentStocks*INDEX(SP_EA_ARStocks,EAIDX)+LT_InvestmentBonds*INDEX(SC_EA_ARBonds,EAIDX)</f>
        <v>#REF!</v>
      </c>
      <c r="P147" s="634"/>
      <c r="Q147" s="617"/>
      <c r="R147" s="617"/>
      <c r="S147" s="617"/>
      <c r="T147" s="617"/>
      <c r="U147" s="643"/>
      <c r="V147" s="617"/>
      <c r="W147" s="639"/>
      <c r="X147" s="106" t="e">
        <f t="shared" ca="1" si="261"/>
        <v>#REF!</v>
      </c>
      <c r="Y147" s="107" t="e">
        <f t="shared" ca="1" si="262"/>
        <v>#REF!</v>
      </c>
      <c r="Z147" s="107" t="e">
        <f t="shared" ca="1" si="263"/>
        <v>#REF!</v>
      </c>
      <c r="AA147" s="107" t="e">
        <f t="shared" ca="1" si="264"/>
        <v>#REF!</v>
      </c>
      <c r="AB147" s="91" t="e">
        <f t="shared" ca="1" si="297"/>
        <v>#REF!</v>
      </c>
      <c r="AC147" s="107" t="e">
        <f ca="1">-IF(INDEX(SC_ZX_CodeA,ZXIDX1)="X", 0, MIN(AB147*MAX(INDEX(SC_ZX_Drawdown,ZXIDX2),0),AA147))</f>
        <v>#REF!</v>
      </c>
      <c r="AD147" s="110" t="e">
        <f t="shared" ca="1" si="265"/>
        <v>#REF!</v>
      </c>
      <c r="AE147" s="106" t="e">
        <f t="shared" ca="1" si="266"/>
        <v>#REF!</v>
      </c>
      <c r="AF147" s="107" t="e">
        <f t="shared" ca="1" si="267"/>
        <v>#REF!</v>
      </c>
      <c r="AG147" s="107" t="e">
        <f t="shared" ca="1" si="268"/>
        <v>#REF!</v>
      </c>
      <c r="AH147" s="107" t="e">
        <f t="shared" ca="1" si="269"/>
        <v>#REF!</v>
      </c>
      <c r="AI147" s="91" t="e">
        <f t="shared" ca="1" si="298"/>
        <v>#REF!</v>
      </c>
      <c r="AJ147" s="107" t="e">
        <f ca="1">-IF(INDEX(SC_ZX_CodeA,ZXIDX1)="X", 0, MIN(AI147*MAX(INDEX(SC_ZX_Drawdown,ZXIDX2),0),AH147))</f>
        <v>#REF!</v>
      </c>
      <c r="AK147" s="110" t="e">
        <f t="shared" ca="1" si="270"/>
        <v>#REF!</v>
      </c>
      <c r="AL147" s="106" t="e">
        <f t="shared" ca="1" si="271"/>
        <v>#REF!</v>
      </c>
      <c r="AM147" s="107" t="e">
        <f t="shared" ca="1" si="272"/>
        <v>#REF!</v>
      </c>
      <c r="AN147" s="107" t="e">
        <f t="shared" ca="1" si="273"/>
        <v>#REF!</v>
      </c>
      <c r="AO147" s="107" t="e">
        <f t="shared" ca="1" si="274"/>
        <v>#REF!</v>
      </c>
      <c r="AP147" s="91" t="e">
        <f t="shared" ca="1" si="299"/>
        <v>#REF!</v>
      </c>
      <c r="AQ147" s="107" t="e">
        <f ca="1">-IF(INDEX(SC_ZX_CodeA,ZXIDX1)="X", 0, MIN(AP147*MAX(INDEX(SC_ZX_Drawdown,ZXIDX2),0),AO147))</f>
        <v>#REF!</v>
      </c>
      <c r="AR147" s="110" t="e">
        <f t="shared" ca="1" si="275"/>
        <v>#REF!</v>
      </c>
      <c r="AS147" s="106" t="e">
        <f t="shared" ca="1" si="276"/>
        <v>#REF!</v>
      </c>
      <c r="AT147" s="107" t="e">
        <f t="shared" ca="1" si="277"/>
        <v>#REF!</v>
      </c>
      <c r="AU147" s="107" t="e">
        <f t="shared" ca="1" si="278"/>
        <v>#REF!</v>
      </c>
      <c r="AV147" s="107" t="e">
        <f t="shared" ca="1" si="279"/>
        <v>#REF!</v>
      </c>
      <c r="AW147" s="91" t="e">
        <f t="shared" ca="1" si="300"/>
        <v>#REF!</v>
      </c>
      <c r="AX147" s="107" t="e">
        <f ca="1">-IF(INDEX(SC_ZX_CodeA,ZXIDX1)="X", 0, MIN(AW147*MAX(INDEX(SC_ZX_Drawdown,ZXIDX2),0),AV147))</f>
        <v>#REF!</v>
      </c>
      <c r="AY147" s="110" t="e">
        <f t="shared" ca="1" si="280"/>
        <v>#REF!</v>
      </c>
      <c r="AZ147" s="106" t="e">
        <f t="shared" ca="1" si="281"/>
        <v>#REF!</v>
      </c>
      <c r="BA147" s="107" t="e">
        <f t="shared" ca="1" si="282"/>
        <v>#REF!</v>
      </c>
      <c r="BB147" s="107" t="e">
        <f t="shared" ca="1" si="283"/>
        <v>#REF!</v>
      </c>
      <c r="BC147" s="107" t="e">
        <f t="shared" ca="1" si="284"/>
        <v>#REF!</v>
      </c>
      <c r="BD147" s="91" t="e">
        <f t="shared" ca="1" si="301"/>
        <v>#REF!</v>
      </c>
      <c r="BE147" s="107" t="e">
        <f ca="1">-IF(INDEX(SC_ZX_CodeA,ZXIDX1)="X", 0, MIN(BD147*MAX(INDEX(SC_ZX_Drawdown,ZXIDX2),0),AZ147))</f>
        <v>#REF!</v>
      </c>
      <c r="BF147" s="110" t="e">
        <f t="shared" ca="1" si="285"/>
        <v>#REF!</v>
      </c>
      <c r="BG147" s="106" t="e">
        <f t="shared" ca="1" si="286"/>
        <v>#REF!</v>
      </c>
      <c r="BH147" s="107" t="e">
        <f t="shared" ca="1" si="287"/>
        <v>#REF!</v>
      </c>
      <c r="BI147" s="107" t="e">
        <f t="shared" ca="1" si="288"/>
        <v>#REF!</v>
      </c>
      <c r="BJ147" s="107" t="e">
        <f t="shared" ca="1" si="289"/>
        <v>#REF!</v>
      </c>
      <c r="BK147" s="91" t="e">
        <f t="shared" ca="1" si="302"/>
        <v>#REF!</v>
      </c>
      <c r="BL147" s="107" t="e">
        <f ca="1">-IF(INDEX(SC_ZX_CodeA,ZXIDX1)="X", 0, MIN(BK147*MAX(INDEX(SC_ZX_Drawdown,ZXIDX2),0),BJ147))</f>
        <v>#REF!</v>
      </c>
      <c r="BM147" s="107" t="e">
        <f t="shared" ca="1" si="290"/>
        <v>#REF!</v>
      </c>
      <c r="BN147" s="113" t="e">
        <f t="shared" ca="1" si="291"/>
        <v>#REF!</v>
      </c>
      <c r="BO147" s="114" t="e">
        <f t="shared" ca="1" si="292"/>
        <v>#REF!</v>
      </c>
      <c r="BP147" s="114" t="e">
        <f ca="1">-($V147-IF(($P147+$R147+$S147)&gt;0,MAX($V147/($P147+$R147+$S147)*($Q147+$R147),$V147),0))*LT_InvestmentQDI</f>
        <v>#REF!</v>
      </c>
      <c r="BQ147" s="114" t="e">
        <f ca="1">-($V147-IF(($P147+$R147+$S147)&gt;0,MAX($V147/($P147+$R147+$S147)*($Q147+$R147),$V147),0))*(1-LT_InvestmentQDI)</f>
        <v>#REF!</v>
      </c>
      <c r="BR147" s="114" t="e">
        <f t="shared" ca="1" si="293"/>
        <v>#REF!</v>
      </c>
      <c r="BS147" s="114" t="e">
        <f t="shared" ca="1" si="294"/>
        <v>#REF!</v>
      </c>
      <c r="BT147" s="649"/>
      <c r="BU147" s="637"/>
      <c r="BV147" s="637"/>
      <c r="BW147" s="637"/>
      <c r="BX147" s="639"/>
    </row>
    <row r="148" spans="2:76" x14ac:dyDescent="0.25">
      <c r="B148" s="65">
        <f ca="1">B146+1</f>
        <v>2091</v>
      </c>
      <c r="C148" s="76" t="s">
        <v>741</v>
      </c>
      <c r="D148" s="146" t="str">
        <f t="shared" si="253"/>
        <v/>
      </c>
      <c r="E148" s="77">
        <f t="shared" si="254"/>
        <v>0</v>
      </c>
      <c r="F148" s="77">
        <f t="shared" si="259"/>
        <v>1</v>
      </c>
      <c r="G148" s="76">
        <f t="shared" si="255"/>
        <v>1</v>
      </c>
      <c r="H148" s="76">
        <f t="shared" si="256"/>
        <v>0</v>
      </c>
      <c r="I148" s="77" t="b">
        <f t="shared" si="257"/>
        <v>0</v>
      </c>
      <c r="J148" s="77"/>
      <c r="K148" s="77"/>
      <c r="L148" s="77"/>
      <c r="M148" s="77"/>
      <c r="N148" s="632">
        <f ca="1">YEAR(SP_TargetRD)-$B148</f>
        <v>-68</v>
      </c>
      <c r="O148" s="243" t="e">
        <f ca="1">LT_InvestmentStocks*INDEX(SP_EA_ARStocks,EAIDX)+LT_InvestmentBonds*INDEX(SC_EA_ARBonds,EAIDX)</f>
        <v>#REF!</v>
      </c>
      <c r="P148" s="634" t="e">
        <f ca="1">MAX(P146+R146+S146+V146+W146,0)</f>
        <v>#VALUE!</v>
      </c>
      <c r="Q148" s="617" t="e">
        <f t="shared" ref="Q148" ca="1" si="306">MAX(Q146+R146+IF((P146+R146+S146)&gt;0,MAX(V146/(P146+R146+S146)*(Q146+R146),V146),0),0)</f>
        <v>#VALUE!</v>
      </c>
      <c r="R148" s="617" t="e">
        <f ca="1">IF(SC_ZX_CodeA="X", 0, MAX(INDEX(SC_ZX_IncomeSurplus,ZXIDX2)+INDEX(SC_ZX_Debt,ZXIDX2),0))</f>
        <v>#VALUE!</v>
      </c>
      <c r="S148" s="617" t="e">
        <f ca="1">IF(SC_ZX_CodeA="X", 0, INDEX(SC_EX_RolloverCore,EXIDX))</f>
        <v>#VALUE!</v>
      </c>
      <c r="T148" s="617" t="e">
        <f ca="1">P148+R148+S148</f>
        <v>#VALUE!</v>
      </c>
      <c r="U148" s="642" t="e">
        <f ca="1">IF(SC_ZX_BalanceAccessibleA&gt;0, T148/SC_ZX_BalanceAccessibleA, 0)</f>
        <v>#VALUE!</v>
      </c>
      <c r="V148" s="617" t="e">
        <f ca="1">-IF(SC_ZX_CodeA="X",0,MIN(U148*MAX(INDEX(SC_ZX_Drawdown,ZXIDX2),0),T148))</f>
        <v>#VALUE!</v>
      </c>
      <c r="W148" s="618" t="e">
        <f ca="1">(P148+R148+S148+V148)*$O148</f>
        <v>#VALUE!</v>
      </c>
      <c r="X148" s="75" t="e">
        <f t="shared" ca="1" si="261"/>
        <v>#REF!</v>
      </c>
      <c r="Y148" s="70" t="e">
        <f t="shared" ca="1" si="262"/>
        <v>#REF!</v>
      </c>
      <c r="Z148" s="70" t="e">
        <f t="shared" ca="1" si="263"/>
        <v>#REF!</v>
      </c>
      <c r="AA148" s="70" t="e">
        <f t="shared" ca="1" si="264"/>
        <v>#REF!</v>
      </c>
      <c r="AB148" s="67" t="e">
        <f t="shared" ca="1" si="297"/>
        <v>#REF!</v>
      </c>
      <c r="AC148" s="70" t="e">
        <f ca="1">-IF(INDEX(SC_ZX_CodeA,ZXIDX1)="X", 0, MIN(AB148*MAX(INDEX(SC_ZX_Drawdown,ZXIDX2),0),AA148))</f>
        <v>#REF!</v>
      </c>
      <c r="AD148" s="109" t="e">
        <f t="shared" ca="1" si="265"/>
        <v>#REF!</v>
      </c>
      <c r="AE148" s="75" t="e">
        <f t="shared" ca="1" si="266"/>
        <v>#REF!</v>
      </c>
      <c r="AF148" s="70" t="e">
        <f t="shared" ca="1" si="267"/>
        <v>#REF!</v>
      </c>
      <c r="AG148" s="70" t="e">
        <f t="shared" ca="1" si="268"/>
        <v>#REF!</v>
      </c>
      <c r="AH148" s="70" t="e">
        <f t="shared" ca="1" si="269"/>
        <v>#REF!</v>
      </c>
      <c r="AI148" s="67" t="e">
        <f t="shared" ca="1" si="298"/>
        <v>#REF!</v>
      </c>
      <c r="AJ148" s="70" t="e">
        <f ca="1">-IF(INDEX(SC_ZX_CodeA,ZXIDX1)="X", 0, MIN(AI148*MAX(INDEX(SC_ZX_Drawdown,ZXIDX2),0),AH148))</f>
        <v>#REF!</v>
      </c>
      <c r="AK148" s="109" t="e">
        <f t="shared" ca="1" si="270"/>
        <v>#REF!</v>
      </c>
      <c r="AL148" s="75" t="e">
        <f t="shared" ca="1" si="271"/>
        <v>#REF!</v>
      </c>
      <c r="AM148" s="70" t="e">
        <f t="shared" ca="1" si="272"/>
        <v>#REF!</v>
      </c>
      <c r="AN148" s="70" t="e">
        <f t="shared" ca="1" si="273"/>
        <v>#REF!</v>
      </c>
      <c r="AO148" s="70" t="e">
        <f t="shared" ca="1" si="274"/>
        <v>#REF!</v>
      </c>
      <c r="AP148" s="67" t="e">
        <f t="shared" ca="1" si="299"/>
        <v>#REF!</v>
      </c>
      <c r="AQ148" s="70" t="e">
        <f ca="1">-IF(INDEX(SC_ZX_CodeA,ZXIDX1)="X", 0, MIN(AP148*MAX(INDEX(SC_ZX_Drawdown,ZXIDX2),0),AO148))</f>
        <v>#REF!</v>
      </c>
      <c r="AR148" s="109" t="e">
        <f t="shared" ca="1" si="275"/>
        <v>#REF!</v>
      </c>
      <c r="AS148" s="75" t="e">
        <f t="shared" ca="1" si="276"/>
        <v>#REF!</v>
      </c>
      <c r="AT148" s="70" t="e">
        <f t="shared" ca="1" si="277"/>
        <v>#REF!</v>
      </c>
      <c r="AU148" s="70" t="e">
        <f t="shared" ca="1" si="278"/>
        <v>#REF!</v>
      </c>
      <c r="AV148" s="70" t="e">
        <f t="shared" ca="1" si="279"/>
        <v>#REF!</v>
      </c>
      <c r="AW148" s="67" t="e">
        <f t="shared" ca="1" si="300"/>
        <v>#REF!</v>
      </c>
      <c r="AX148" s="70" t="e">
        <f ca="1">-IF(INDEX(SC_ZX_CodeA,ZXIDX1)="X", 0, MIN(AW148*MAX(INDEX(SC_ZX_Drawdown,ZXIDX2),0),AV148))</f>
        <v>#REF!</v>
      </c>
      <c r="AY148" s="109" t="e">
        <f t="shared" ca="1" si="280"/>
        <v>#REF!</v>
      </c>
      <c r="AZ148" s="75" t="e">
        <f t="shared" ca="1" si="281"/>
        <v>#REF!</v>
      </c>
      <c r="BA148" s="70" t="e">
        <f t="shared" ca="1" si="282"/>
        <v>#REF!</v>
      </c>
      <c r="BB148" s="70" t="e">
        <f t="shared" ca="1" si="283"/>
        <v>#REF!</v>
      </c>
      <c r="BC148" s="70" t="e">
        <f t="shared" ca="1" si="284"/>
        <v>#REF!</v>
      </c>
      <c r="BD148" s="67" t="e">
        <f t="shared" ca="1" si="301"/>
        <v>#REF!</v>
      </c>
      <c r="BE148" s="70" t="e">
        <f ca="1">-IF(INDEX(SC_ZX_CodeA,ZXIDX1)="X", 0, MIN(BD148*MAX(INDEX(SC_ZX_Drawdown,ZXIDX2),0),AZ148))</f>
        <v>#REF!</v>
      </c>
      <c r="BF148" s="109" t="e">
        <f t="shared" ca="1" si="285"/>
        <v>#REF!</v>
      </c>
      <c r="BG148" s="75" t="e">
        <f t="shared" ca="1" si="286"/>
        <v>#REF!</v>
      </c>
      <c r="BH148" s="70" t="e">
        <f t="shared" ca="1" si="287"/>
        <v>#REF!</v>
      </c>
      <c r="BI148" s="70" t="e">
        <f t="shared" ca="1" si="288"/>
        <v>#REF!</v>
      </c>
      <c r="BJ148" s="70" t="e">
        <f t="shared" ca="1" si="289"/>
        <v>#REF!</v>
      </c>
      <c r="BK148" s="67" t="e">
        <f t="shared" ca="1" si="302"/>
        <v>#REF!</v>
      </c>
      <c r="BL148" s="70" t="e">
        <f ca="1">-IF(INDEX(SC_ZX_CodeA,ZXIDX1)="X", 0, MIN(BK148*MAX(INDEX(SC_ZX_Drawdown,ZXIDX2),0),BJ148))</f>
        <v>#REF!</v>
      </c>
      <c r="BM148" s="70" t="e">
        <f t="shared" ca="1" si="290"/>
        <v>#REF!</v>
      </c>
      <c r="BN148" s="111" t="e">
        <f t="shared" ca="1" si="291"/>
        <v>#REF!</v>
      </c>
      <c r="BO148" s="112" t="e">
        <f t="shared" ca="1" si="292"/>
        <v>#REF!</v>
      </c>
      <c r="BP148" s="112" t="e">
        <f ca="1">-($V148-IF(($P148+$R148+$S148)&gt;0,MAX($V148/($P148+$R148+$S148)*($Q148+$R148),$V148),0))*LT_InvestmentQDI</f>
        <v>#VALUE!</v>
      </c>
      <c r="BQ148" s="112" t="e">
        <f ca="1">-($V148-IF(($P148+$R148+$S148)&gt;0,MAX($V148/($P148+$R148+$S148)*($Q148+$R148),$V148),0))*(1-LT_InvestmentQDI)</f>
        <v>#VALUE!</v>
      </c>
      <c r="BR148" s="112" t="e">
        <f t="shared" ca="1" si="293"/>
        <v>#VALUE!</v>
      </c>
      <c r="BS148" s="112" t="e">
        <f t="shared" ca="1" si="294"/>
        <v>#VALUE!</v>
      </c>
      <c r="BT148" s="634" t="e">
        <f ca="1">SUMPRODUCT($BN148:$BN149+$BO148:$BO149, --($E148:$E149&lt;&gt;0))</f>
        <v>#REF!</v>
      </c>
      <c r="BU148" s="617" t="e">
        <f ca="1">SUMPRODUCT($BR148:$BR149+$BS148:$BS149, --($E148:$E149&lt;&gt;0))</f>
        <v>#VALUE!</v>
      </c>
      <c r="BV148" s="617" t="e">
        <f ca="1">$T148+SUMPRODUCT($AA148:$AA149+$AH148:$AH149+$AO148:$AO149+$AV148:$AV149+$BC148:$BC149+$BJ148:$BJ149, --($E148:$E149&lt;&gt;0))</f>
        <v>#VALUE!</v>
      </c>
      <c r="BW148" s="617" t="e">
        <f ca="1">MAX($P148-$Q148,0)+SUMPRODUCT($X148:$X149+$AL148:$AL149+$AZ148:$AZ149, --($E148:$E149&lt;&gt;0))</f>
        <v>#VALUE!</v>
      </c>
      <c r="BX148" s="618" t="e">
        <f ca="1">MIN($P148,$Q148)+SUMPRODUCT($AE148:$AE149+$AS148:$AS149+$BG148:$BG149, --($E148:$E149&lt;&gt;0))</f>
        <v>#VALUE!</v>
      </c>
    </row>
    <row r="149" spans="2:76" x14ac:dyDescent="0.25">
      <c r="B149" s="86">
        <f t="shared" ca="1" si="295"/>
        <v>2091</v>
      </c>
      <c r="C149" s="80" t="s">
        <v>741</v>
      </c>
      <c r="D149" s="147" t="str">
        <f t="shared" si="253"/>
        <v/>
      </c>
      <c r="E149" s="81">
        <f t="shared" si="254"/>
        <v>0</v>
      </c>
      <c r="F149" s="81">
        <f t="shared" si="259"/>
        <v>2</v>
      </c>
      <c r="G149" s="82">
        <f t="shared" si="255"/>
        <v>-1</v>
      </c>
      <c r="H149" s="82">
        <f t="shared" si="256"/>
        <v>0</v>
      </c>
      <c r="I149" s="81" t="b">
        <f t="shared" si="257"/>
        <v>0</v>
      </c>
      <c r="J149" s="81"/>
      <c r="K149" s="81"/>
      <c r="L149" s="81"/>
      <c r="M149" s="81"/>
      <c r="N149" s="633"/>
      <c r="O149" s="243" t="e">
        <f ca="1">LT_InvestmentStocks*INDEX(SP_EA_ARStocks,EAIDX)+LT_InvestmentBonds*INDEX(SC_EA_ARBonds,EAIDX)</f>
        <v>#REF!</v>
      </c>
      <c r="P149" s="634"/>
      <c r="Q149" s="617"/>
      <c r="R149" s="617"/>
      <c r="S149" s="617"/>
      <c r="T149" s="617"/>
      <c r="U149" s="643"/>
      <c r="V149" s="617"/>
      <c r="W149" s="639"/>
      <c r="X149" s="106" t="e">
        <f t="shared" ca="1" si="261"/>
        <v>#REF!</v>
      </c>
      <c r="Y149" s="107" t="e">
        <f t="shared" ca="1" si="262"/>
        <v>#REF!</v>
      </c>
      <c r="Z149" s="107" t="e">
        <f t="shared" ca="1" si="263"/>
        <v>#REF!</v>
      </c>
      <c r="AA149" s="107" t="e">
        <f t="shared" ca="1" si="264"/>
        <v>#REF!</v>
      </c>
      <c r="AB149" s="91" t="e">
        <f t="shared" ca="1" si="297"/>
        <v>#REF!</v>
      </c>
      <c r="AC149" s="107" t="e">
        <f ca="1">-IF(INDEX(SC_ZX_CodeA,ZXIDX1)="X", 0, MIN(AB149*MAX(INDEX(SC_ZX_Drawdown,ZXIDX2),0),AA149))</f>
        <v>#REF!</v>
      </c>
      <c r="AD149" s="110" t="e">
        <f t="shared" ca="1" si="265"/>
        <v>#REF!</v>
      </c>
      <c r="AE149" s="106" t="e">
        <f t="shared" ca="1" si="266"/>
        <v>#REF!</v>
      </c>
      <c r="AF149" s="107" t="e">
        <f t="shared" ca="1" si="267"/>
        <v>#REF!</v>
      </c>
      <c r="AG149" s="107" t="e">
        <f t="shared" ca="1" si="268"/>
        <v>#REF!</v>
      </c>
      <c r="AH149" s="107" t="e">
        <f t="shared" ca="1" si="269"/>
        <v>#REF!</v>
      </c>
      <c r="AI149" s="91" t="e">
        <f t="shared" ca="1" si="298"/>
        <v>#REF!</v>
      </c>
      <c r="AJ149" s="107" t="e">
        <f ca="1">-IF(INDEX(SC_ZX_CodeA,ZXIDX1)="X", 0, MIN(AI149*MAX(INDEX(SC_ZX_Drawdown,ZXIDX2),0),AH149))</f>
        <v>#REF!</v>
      </c>
      <c r="AK149" s="110" t="e">
        <f t="shared" ca="1" si="270"/>
        <v>#REF!</v>
      </c>
      <c r="AL149" s="106" t="e">
        <f t="shared" ca="1" si="271"/>
        <v>#REF!</v>
      </c>
      <c r="AM149" s="107" t="e">
        <f t="shared" ca="1" si="272"/>
        <v>#REF!</v>
      </c>
      <c r="AN149" s="107" t="e">
        <f t="shared" ca="1" si="273"/>
        <v>#REF!</v>
      </c>
      <c r="AO149" s="107" t="e">
        <f t="shared" ca="1" si="274"/>
        <v>#REF!</v>
      </c>
      <c r="AP149" s="91" t="e">
        <f t="shared" ca="1" si="299"/>
        <v>#REF!</v>
      </c>
      <c r="AQ149" s="107" t="e">
        <f ca="1">-IF(INDEX(SC_ZX_CodeA,ZXIDX1)="X", 0, MIN(AP149*MAX(INDEX(SC_ZX_Drawdown,ZXIDX2),0),AO149))</f>
        <v>#REF!</v>
      </c>
      <c r="AR149" s="110" t="e">
        <f t="shared" ca="1" si="275"/>
        <v>#REF!</v>
      </c>
      <c r="AS149" s="106" t="e">
        <f t="shared" ca="1" si="276"/>
        <v>#REF!</v>
      </c>
      <c r="AT149" s="107" t="e">
        <f t="shared" ca="1" si="277"/>
        <v>#REF!</v>
      </c>
      <c r="AU149" s="107" t="e">
        <f t="shared" ca="1" si="278"/>
        <v>#REF!</v>
      </c>
      <c r="AV149" s="107" t="e">
        <f t="shared" ca="1" si="279"/>
        <v>#REF!</v>
      </c>
      <c r="AW149" s="91" t="e">
        <f t="shared" ca="1" si="300"/>
        <v>#REF!</v>
      </c>
      <c r="AX149" s="107" t="e">
        <f ca="1">-IF(INDEX(SC_ZX_CodeA,ZXIDX1)="X", 0, MIN(AW149*MAX(INDEX(SC_ZX_Drawdown,ZXIDX2),0),AV149))</f>
        <v>#REF!</v>
      </c>
      <c r="AY149" s="110" t="e">
        <f t="shared" ca="1" si="280"/>
        <v>#REF!</v>
      </c>
      <c r="AZ149" s="106" t="e">
        <f t="shared" ca="1" si="281"/>
        <v>#REF!</v>
      </c>
      <c r="BA149" s="107" t="e">
        <f t="shared" ca="1" si="282"/>
        <v>#REF!</v>
      </c>
      <c r="BB149" s="107" t="e">
        <f t="shared" ca="1" si="283"/>
        <v>#REF!</v>
      </c>
      <c r="BC149" s="107" t="e">
        <f t="shared" ca="1" si="284"/>
        <v>#REF!</v>
      </c>
      <c r="BD149" s="91" t="e">
        <f t="shared" ca="1" si="301"/>
        <v>#REF!</v>
      </c>
      <c r="BE149" s="107" t="e">
        <f ca="1">-IF(INDEX(SC_ZX_CodeA,ZXIDX1)="X", 0, MIN(BD149*MAX(INDEX(SC_ZX_Drawdown,ZXIDX2),0),AZ149))</f>
        <v>#REF!</v>
      </c>
      <c r="BF149" s="110" t="e">
        <f t="shared" ca="1" si="285"/>
        <v>#REF!</v>
      </c>
      <c r="BG149" s="106" t="e">
        <f t="shared" ca="1" si="286"/>
        <v>#REF!</v>
      </c>
      <c r="BH149" s="107" t="e">
        <f t="shared" ca="1" si="287"/>
        <v>#REF!</v>
      </c>
      <c r="BI149" s="107" t="e">
        <f t="shared" ca="1" si="288"/>
        <v>#REF!</v>
      </c>
      <c r="BJ149" s="107" t="e">
        <f t="shared" ca="1" si="289"/>
        <v>#REF!</v>
      </c>
      <c r="BK149" s="91" t="e">
        <f t="shared" ca="1" si="302"/>
        <v>#REF!</v>
      </c>
      <c r="BL149" s="107" t="e">
        <f ca="1">-IF(INDEX(SC_ZX_CodeA,ZXIDX1)="X", 0, MIN(BK149*MAX(INDEX(SC_ZX_Drawdown,ZXIDX2),0),BJ149))</f>
        <v>#REF!</v>
      </c>
      <c r="BM149" s="107" t="e">
        <f t="shared" ca="1" si="290"/>
        <v>#REF!</v>
      </c>
      <c r="BN149" s="113" t="e">
        <f t="shared" ca="1" si="291"/>
        <v>#REF!</v>
      </c>
      <c r="BO149" s="114" t="e">
        <f t="shared" ca="1" si="292"/>
        <v>#REF!</v>
      </c>
      <c r="BP149" s="114" t="e">
        <f ca="1">-($V149-IF(($P149+$R149+$S149)&gt;0,MAX($V149/($P149+$R149+$S149)*($Q149+$R149),$V149),0))*LT_InvestmentQDI</f>
        <v>#REF!</v>
      </c>
      <c r="BQ149" s="114" t="e">
        <f ca="1">-($V149-IF(($P149+$R149+$S149)&gt;0,MAX($V149/($P149+$R149+$S149)*($Q149+$R149),$V149),0))*(1-LT_InvestmentQDI)</f>
        <v>#REF!</v>
      </c>
      <c r="BR149" s="114" t="e">
        <f t="shared" ca="1" si="293"/>
        <v>#REF!</v>
      </c>
      <c r="BS149" s="114" t="e">
        <f t="shared" ca="1" si="294"/>
        <v>#REF!</v>
      </c>
      <c r="BT149" s="649"/>
      <c r="BU149" s="637"/>
      <c r="BV149" s="637"/>
      <c r="BW149" s="637"/>
      <c r="BX149" s="639"/>
    </row>
    <row r="150" spans="2:76" x14ac:dyDescent="0.25">
      <c r="B150" s="65">
        <f ca="1">B148+1</f>
        <v>2092</v>
      </c>
      <c r="C150" s="76" t="s">
        <v>741</v>
      </c>
      <c r="D150" s="146" t="str">
        <f t="shared" si="253"/>
        <v/>
      </c>
      <c r="E150" s="77">
        <f t="shared" si="254"/>
        <v>0</v>
      </c>
      <c r="F150" s="77">
        <f t="shared" si="259"/>
        <v>1</v>
      </c>
      <c r="G150" s="76">
        <f t="shared" si="255"/>
        <v>1</v>
      </c>
      <c r="H150" s="76">
        <f t="shared" si="256"/>
        <v>0</v>
      </c>
      <c r="I150" s="77" t="b">
        <f t="shared" si="257"/>
        <v>0</v>
      </c>
      <c r="J150" s="77"/>
      <c r="K150" s="77"/>
      <c r="L150" s="77"/>
      <c r="M150" s="77"/>
      <c r="N150" s="632">
        <f ca="1">YEAR(SP_TargetRD)-$B150</f>
        <v>-69</v>
      </c>
      <c r="O150" s="243" t="e">
        <f ca="1">LT_InvestmentStocks*INDEX(SP_EA_ARStocks,EAIDX)+LT_InvestmentBonds*INDEX(SC_EA_ARBonds,EAIDX)</f>
        <v>#REF!</v>
      </c>
      <c r="P150" s="634" t="e">
        <f ca="1">MAX(P148+R148+S148+V148+W148,0)</f>
        <v>#VALUE!</v>
      </c>
      <c r="Q150" s="617" t="e">
        <f t="shared" ref="Q150" ca="1" si="307">MAX(Q148+R148+IF((P148+R148+S148)&gt;0,MAX(V148/(P148+R148+S148)*(Q148+R148),V148),0),0)</f>
        <v>#VALUE!</v>
      </c>
      <c r="R150" s="617" t="e">
        <f ca="1">IF(SC_ZX_CodeA="X", 0, MAX(INDEX(SC_ZX_IncomeSurplus,ZXIDX2)+INDEX(SC_ZX_Debt,ZXIDX2),0))</f>
        <v>#VALUE!</v>
      </c>
      <c r="S150" s="617" t="e">
        <f ca="1">IF(SC_ZX_CodeA="X", 0, INDEX(SC_EX_RolloverCore,EXIDX))</f>
        <v>#VALUE!</v>
      </c>
      <c r="T150" s="617" t="e">
        <f ca="1">P150+R150+S150</f>
        <v>#VALUE!</v>
      </c>
      <c r="U150" s="642" t="e">
        <f ca="1">IF(SC_ZX_BalanceAccessibleA&gt;0, T150/SC_ZX_BalanceAccessibleA, 0)</f>
        <v>#VALUE!</v>
      </c>
      <c r="V150" s="617" t="e">
        <f ca="1">-IF(SC_ZX_CodeA="X",0,MIN(U150*MAX(INDEX(SC_ZX_Drawdown,ZXIDX2),0),T150))</f>
        <v>#VALUE!</v>
      </c>
      <c r="W150" s="618" t="e">
        <f ca="1">(P150+R150+S150+V150)*$O150</f>
        <v>#VALUE!</v>
      </c>
      <c r="X150" s="75" t="e">
        <f t="shared" ca="1" si="261"/>
        <v>#REF!</v>
      </c>
      <c r="Y150" s="70" t="e">
        <f t="shared" ca="1" si="262"/>
        <v>#REF!</v>
      </c>
      <c r="Z150" s="70" t="e">
        <f t="shared" ca="1" si="263"/>
        <v>#REF!</v>
      </c>
      <c r="AA150" s="70" t="e">
        <f t="shared" ca="1" si="264"/>
        <v>#REF!</v>
      </c>
      <c r="AB150" s="67" t="e">
        <f t="shared" ca="1" si="297"/>
        <v>#REF!</v>
      </c>
      <c r="AC150" s="70" t="e">
        <f ca="1">-IF(INDEX(SC_ZX_CodeA,ZXIDX1)="X", 0, MIN(AB150*MAX(INDEX(SC_ZX_Drawdown,ZXIDX2),0),AA150))</f>
        <v>#REF!</v>
      </c>
      <c r="AD150" s="109" t="e">
        <f t="shared" ca="1" si="265"/>
        <v>#REF!</v>
      </c>
      <c r="AE150" s="75" t="e">
        <f t="shared" ca="1" si="266"/>
        <v>#REF!</v>
      </c>
      <c r="AF150" s="70" t="e">
        <f t="shared" ca="1" si="267"/>
        <v>#REF!</v>
      </c>
      <c r="AG150" s="70" t="e">
        <f t="shared" ca="1" si="268"/>
        <v>#REF!</v>
      </c>
      <c r="AH150" s="70" t="e">
        <f t="shared" ca="1" si="269"/>
        <v>#REF!</v>
      </c>
      <c r="AI150" s="67" t="e">
        <f t="shared" ca="1" si="298"/>
        <v>#REF!</v>
      </c>
      <c r="AJ150" s="70" t="e">
        <f ca="1">-IF(INDEX(SC_ZX_CodeA,ZXIDX1)="X", 0, MIN(AI150*MAX(INDEX(SC_ZX_Drawdown,ZXIDX2),0),AH150))</f>
        <v>#REF!</v>
      </c>
      <c r="AK150" s="109" t="e">
        <f t="shared" ca="1" si="270"/>
        <v>#REF!</v>
      </c>
      <c r="AL150" s="75" t="e">
        <f t="shared" ca="1" si="271"/>
        <v>#REF!</v>
      </c>
      <c r="AM150" s="70" t="e">
        <f t="shared" ca="1" si="272"/>
        <v>#REF!</v>
      </c>
      <c r="AN150" s="70" t="e">
        <f t="shared" ca="1" si="273"/>
        <v>#REF!</v>
      </c>
      <c r="AO150" s="70" t="e">
        <f t="shared" ca="1" si="274"/>
        <v>#REF!</v>
      </c>
      <c r="AP150" s="67" t="e">
        <f t="shared" ca="1" si="299"/>
        <v>#REF!</v>
      </c>
      <c r="AQ150" s="70" t="e">
        <f ca="1">-IF(INDEX(SC_ZX_CodeA,ZXIDX1)="X", 0, MIN(AP150*MAX(INDEX(SC_ZX_Drawdown,ZXIDX2),0),AO150))</f>
        <v>#REF!</v>
      </c>
      <c r="AR150" s="109" t="e">
        <f t="shared" ca="1" si="275"/>
        <v>#REF!</v>
      </c>
      <c r="AS150" s="75" t="e">
        <f t="shared" ca="1" si="276"/>
        <v>#REF!</v>
      </c>
      <c r="AT150" s="70" t="e">
        <f t="shared" ca="1" si="277"/>
        <v>#REF!</v>
      </c>
      <c r="AU150" s="70" t="e">
        <f t="shared" ca="1" si="278"/>
        <v>#REF!</v>
      </c>
      <c r="AV150" s="70" t="e">
        <f t="shared" ca="1" si="279"/>
        <v>#REF!</v>
      </c>
      <c r="AW150" s="67" t="e">
        <f t="shared" ca="1" si="300"/>
        <v>#REF!</v>
      </c>
      <c r="AX150" s="70" t="e">
        <f ca="1">-IF(INDEX(SC_ZX_CodeA,ZXIDX1)="X", 0, MIN(AW150*MAX(INDEX(SC_ZX_Drawdown,ZXIDX2),0),AV150))</f>
        <v>#REF!</v>
      </c>
      <c r="AY150" s="109" t="e">
        <f t="shared" ca="1" si="280"/>
        <v>#REF!</v>
      </c>
      <c r="AZ150" s="75" t="e">
        <f t="shared" ca="1" si="281"/>
        <v>#REF!</v>
      </c>
      <c r="BA150" s="70" t="e">
        <f t="shared" ca="1" si="282"/>
        <v>#REF!</v>
      </c>
      <c r="BB150" s="70" t="e">
        <f t="shared" ca="1" si="283"/>
        <v>#REF!</v>
      </c>
      <c r="BC150" s="70" t="e">
        <f t="shared" ca="1" si="284"/>
        <v>#REF!</v>
      </c>
      <c r="BD150" s="67" t="e">
        <f t="shared" ca="1" si="301"/>
        <v>#REF!</v>
      </c>
      <c r="BE150" s="70" t="e">
        <f ca="1">-IF(INDEX(SC_ZX_CodeA,ZXIDX1)="X", 0, MIN(BD150*MAX(INDEX(SC_ZX_Drawdown,ZXIDX2),0),AZ150))</f>
        <v>#REF!</v>
      </c>
      <c r="BF150" s="109" t="e">
        <f t="shared" ca="1" si="285"/>
        <v>#REF!</v>
      </c>
      <c r="BG150" s="75" t="e">
        <f t="shared" ca="1" si="286"/>
        <v>#REF!</v>
      </c>
      <c r="BH150" s="70" t="e">
        <f t="shared" ca="1" si="287"/>
        <v>#REF!</v>
      </c>
      <c r="BI150" s="70" t="e">
        <f t="shared" ca="1" si="288"/>
        <v>#REF!</v>
      </c>
      <c r="BJ150" s="70" t="e">
        <f t="shared" ca="1" si="289"/>
        <v>#REF!</v>
      </c>
      <c r="BK150" s="67" t="e">
        <f t="shared" ca="1" si="302"/>
        <v>#REF!</v>
      </c>
      <c r="BL150" s="70" t="e">
        <f ca="1">-IF(INDEX(SC_ZX_CodeA,ZXIDX1)="X", 0, MIN(BK150*MAX(INDEX(SC_ZX_Drawdown,ZXIDX2),0),BJ150))</f>
        <v>#REF!</v>
      </c>
      <c r="BM150" s="70" t="e">
        <f t="shared" ca="1" si="290"/>
        <v>#REF!</v>
      </c>
      <c r="BN150" s="111" t="e">
        <f t="shared" ca="1" si="291"/>
        <v>#REF!</v>
      </c>
      <c r="BO150" s="112" t="e">
        <f t="shared" ca="1" si="292"/>
        <v>#REF!</v>
      </c>
      <c r="BP150" s="112" t="e">
        <f ca="1">-($V150-IF(($P150+$R150+$S150)&gt;0,MAX($V150/($P150+$R150+$S150)*($Q150+$R150),$V150),0))*LT_InvestmentQDI</f>
        <v>#VALUE!</v>
      </c>
      <c r="BQ150" s="112" t="e">
        <f ca="1">-($V150-IF(($P150+$R150+$S150)&gt;0,MAX($V150/($P150+$R150+$S150)*($Q150+$R150),$V150),0))*(1-LT_InvestmentQDI)</f>
        <v>#VALUE!</v>
      </c>
      <c r="BR150" s="112" t="e">
        <f t="shared" ca="1" si="293"/>
        <v>#VALUE!</v>
      </c>
      <c r="BS150" s="112" t="e">
        <f t="shared" ca="1" si="294"/>
        <v>#VALUE!</v>
      </c>
      <c r="BT150" s="634" t="e">
        <f ca="1">SUMPRODUCT($BN150:$BN151+$BO150:$BO151, --($E150:$E151&lt;&gt;0))</f>
        <v>#REF!</v>
      </c>
      <c r="BU150" s="617" t="e">
        <f ca="1">SUMPRODUCT($BR150:$BR151+$BS150:$BS151, --($E150:$E151&lt;&gt;0))</f>
        <v>#VALUE!</v>
      </c>
      <c r="BV150" s="617" t="e">
        <f ca="1">$T150+SUMPRODUCT($AA150:$AA151+$AH150:$AH151+$AO150:$AO151+$AV150:$AV151+$BC150:$BC151+$BJ150:$BJ151, --($E150:$E151&lt;&gt;0))</f>
        <v>#VALUE!</v>
      </c>
      <c r="BW150" s="617" t="e">
        <f ca="1">MAX($P150-$Q150,0)+SUMPRODUCT($X150:$X151+$AL150:$AL151+$AZ150:$AZ151, --($E150:$E151&lt;&gt;0))</f>
        <v>#VALUE!</v>
      </c>
      <c r="BX150" s="618" t="e">
        <f ca="1">MIN($P150,$Q150)+SUMPRODUCT($AE150:$AE151+$AS150:$AS151+$BG150:$BG151, --($E150:$E151&lt;&gt;0))</f>
        <v>#VALUE!</v>
      </c>
    </row>
    <row r="151" spans="2:76" x14ac:dyDescent="0.25">
      <c r="B151" s="86">
        <f t="shared" ca="1" si="295"/>
        <v>2092</v>
      </c>
      <c r="C151" s="80" t="s">
        <v>741</v>
      </c>
      <c r="D151" s="147" t="str">
        <f t="shared" si="253"/>
        <v/>
      </c>
      <c r="E151" s="81">
        <f t="shared" si="254"/>
        <v>0</v>
      </c>
      <c r="F151" s="81">
        <f t="shared" si="259"/>
        <v>2</v>
      </c>
      <c r="G151" s="82">
        <f t="shared" si="255"/>
        <v>-1</v>
      </c>
      <c r="H151" s="82">
        <f t="shared" si="256"/>
        <v>0</v>
      </c>
      <c r="I151" s="81" t="b">
        <f t="shared" si="257"/>
        <v>0</v>
      </c>
      <c r="J151" s="81"/>
      <c r="K151" s="81"/>
      <c r="L151" s="81"/>
      <c r="M151" s="81"/>
      <c r="N151" s="633"/>
      <c r="O151" s="243" t="e">
        <f ca="1">LT_InvestmentStocks*INDEX(SP_EA_ARStocks,EAIDX)+LT_InvestmentBonds*INDEX(SC_EA_ARBonds,EAIDX)</f>
        <v>#REF!</v>
      </c>
      <c r="P151" s="634"/>
      <c r="Q151" s="617"/>
      <c r="R151" s="617"/>
      <c r="S151" s="617"/>
      <c r="T151" s="617"/>
      <c r="U151" s="643"/>
      <c r="V151" s="617"/>
      <c r="W151" s="639"/>
      <c r="X151" s="106" t="e">
        <f t="shared" ca="1" si="261"/>
        <v>#REF!</v>
      </c>
      <c r="Y151" s="107" t="e">
        <f t="shared" ca="1" si="262"/>
        <v>#REF!</v>
      </c>
      <c r="Z151" s="107" t="e">
        <f t="shared" ca="1" si="263"/>
        <v>#REF!</v>
      </c>
      <c r="AA151" s="107" t="e">
        <f t="shared" ca="1" si="264"/>
        <v>#REF!</v>
      </c>
      <c r="AB151" s="91" t="e">
        <f t="shared" ca="1" si="297"/>
        <v>#REF!</v>
      </c>
      <c r="AC151" s="107" t="e">
        <f ca="1">-IF(INDEX(SC_ZX_CodeA,ZXIDX1)="X", 0, MIN(AB151*MAX(INDEX(SC_ZX_Drawdown,ZXIDX2),0),AA151))</f>
        <v>#REF!</v>
      </c>
      <c r="AD151" s="110" t="e">
        <f t="shared" ca="1" si="265"/>
        <v>#REF!</v>
      </c>
      <c r="AE151" s="106" t="e">
        <f t="shared" ca="1" si="266"/>
        <v>#REF!</v>
      </c>
      <c r="AF151" s="107" t="e">
        <f t="shared" ca="1" si="267"/>
        <v>#REF!</v>
      </c>
      <c r="AG151" s="107" t="e">
        <f t="shared" ca="1" si="268"/>
        <v>#REF!</v>
      </c>
      <c r="AH151" s="107" t="e">
        <f t="shared" ca="1" si="269"/>
        <v>#REF!</v>
      </c>
      <c r="AI151" s="91" t="e">
        <f t="shared" ca="1" si="298"/>
        <v>#REF!</v>
      </c>
      <c r="AJ151" s="107" t="e">
        <f ca="1">-IF(INDEX(SC_ZX_CodeA,ZXIDX1)="X", 0, MIN(AI151*MAX(INDEX(SC_ZX_Drawdown,ZXIDX2),0),AH151))</f>
        <v>#REF!</v>
      </c>
      <c r="AK151" s="110" t="e">
        <f t="shared" ca="1" si="270"/>
        <v>#REF!</v>
      </c>
      <c r="AL151" s="106" t="e">
        <f t="shared" ca="1" si="271"/>
        <v>#REF!</v>
      </c>
      <c r="AM151" s="107" t="e">
        <f t="shared" ca="1" si="272"/>
        <v>#REF!</v>
      </c>
      <c r="AN151" s="107" t="e">
        <f t="shared" ca="1" si="273"/>
        <v>#REF!</v>
      </c>
      <c r="AO151" s="107" t="e">
        <f t="shared" ca="1" si="274"/>
        <v>#REF!</v>
      </c>
      <c r="AP151" s="91" t="e">
        <f t="shared" ca="1" si="299"/>
        <v>#REF!</v>
      </c>
      <c r="AQ151" s="107" t="e">
        <f ca="1">-IF(INDEX(SC_ZX_CodeA,ZXIDX1)="X", 0, MIN(AP151*MAX(INDEX(SC_ZX_Drawdown,ZXIDX2),0),AO151))</f>
        <v>#REF!</v>
      </c>
      <c r="AR151" s="110" t="e">
        <f t="shared" ca="1" si="275"/>
        <v>#REF!</v>
      </c>
      <c r="AS151" s="106" t="e">
        <f t="shared" ca="1" si="276"/>
        <v>#REF!</v>
      </c>
      <c r="AT151" s="107" t="e">
        <f t="shared" ca="1" si="277"/>
        <v>#REF!</v>
      </c>
      <c r="AU151" s="107" t="e">
        <f t="shared" ca="1" si="278"/>
        <v>#REF!</v>
      </c>
      <c r="AV151" s="107" t="e">
        <f t="shared" ca="1" si="279"/>
        <v>#REF!</v>
      </c>
      <c r="AW151" s="91" t="e">
        <f t="shared" ca="1" si="300"/>
        <v>#REF!</v>
      </c>
      <c r="AX151" s="107" t="e">
        <f ca="1">-IF(INDEX(SC_ZX_CodeA,ZXIDX1)="X", 0, MIN(AW151*MAX(INDEX(SC_ZX_Drawdown,ZXIDX2),0),AV151))</f>
        <v>#REF!</v>
      </c>
      <c r="AY151" s="110" t="e">
        <f t="shared" ca="1" si="280"/>
        <v>#REF!</v>
      </c>
      <c r="AZ151" s="106" t="e">
        <f t="shared" ca="1" si="281"/>
        <v>#REF!</v>
      </c>
      <c r="BA151" s="107" t="e">
        <f t="shared" ca="1" si="282"/>
        <v>#REF!</v>
      </c>
      <c r="BB151" s="107" t="e">
        <f t="shared" ca="1" si="283"/>
        <v>#REF!</v>
      </c>
      <c r="BC151" s="107" t="e">
        <f t="shared" ca="1" si="284"/>
        <v>#REF!</v>
      </c>
      <c r="BD151" s="91" t="e">
        <f t="shared" ca="1" si="301"/>
        <v>#REF!</v>
      </c>
      <c r="BE151" s="107" t="e">
        <f ca="1">-IF(INDEX(SC_ZX_CodeA,ZXIDX1)="X", 0, MIN(BD151*MAX(INDEX(SC_ZX_Drawdown,ZXIDX2),0),AZ151))</f>
        <v>#REF!</v>
      </c>
      <c r="BF151" s="110" t="e">
        <f t="shared" ca="1" si="285"/>
        <v>#REF!</v>
      </c>
      <c r="BG151" s="106" t="e">
        <f t="shared" ca="1" si="286"/>
        <v>#REF!</v>
      </c>
      <c r="BH151" s="107" t="e">
        <f t="shared" ca="1" si="287"/>
        <v>#REF!</v>
      </c>
      <c r="BI151" s="107" t="e">
        <f t="shared" ca="1" si="288"/>
        <v>#REF!</v>
      </c>
      <c r="BJ151" s="107" t="e">
        <f t="shared" ca="1" si="289"/>
        <v>#REF!</v>
      </c>
      <c r="BK151" s="91" t="e">
        <f t="shared" ca="1" si="302"/>
        <v>#REF!</v>
      </c>
      <c r="BL151" s="107" t="e">
        <f ca="1">-IF(INDEX(SC_ZX_CodeA,ZXIDX1)="X", 0, MIN(BK151*MAX(INDEX(SC_ZX_Drawdown,ZXIDX2),0),BJ151))</f>
        <v>#REF!</v>
      </c>
      <c r="BM151" s="107" t="e">
        <f t="shared" ca="1" si="290"/>
        <v>#REF!</v>
      </c>
      <c r="BN151" s="113" t="e">
        <f t="shared" ca="1" si="291"/>
        <v>#REF!</v>
      </c>
      <c r="BO151" s="114" t="e">
        <f t="shared" ca="1" si="292"/>
        <v>#REF!</v>
      </c>
      <c r="BP151" s="114" t="e">
        <f ca="1">-($V151-IF(($P151+$R151+$S151)&gt;0,MAX($V151/($P151+$R151+$S151)*($Q151+$R151),$V151),0))*LT_InvestmentQDI</f>
        <v>#REF!</v>
      </c>
      <c r="BQ151" s="114" t="e">
        <f ca="1">-($V151-IF(($P151+$R151+$S151)&gt;0,MAX($V151/($P151+$R151+$S151)*($Q151+$R151),$V151),0))*(1-LT_InvestmentQDI)</f>
        <v>#REF!</v>
      </c>
      <c r="BR151" s="114" t="e">
        <f t="shared" ca="1" si="293"/>
        <v>#REF!</v>
      </c>
      <c r="BS151" s="114" t="e">
        <f t="shared" ca="1" si="294"/>
        <v>#REF!</v>
      </c>
      <c r="BT151" s="649"/>
      <c r="BU151" s="637"/>
      <c r="BV151" s="637"/>
      <c r="BW151" s="637"/>
      <c r="BX151" s="639"/>
    </row>
    <row r="152" spans="2:76" x14ac:dyDescent="0.25">
      <c r="B152" s="65">
        <f ca="1">B150+1</f>
        <v>2093</v>
      </c>
      <c r="C152" s="76" t="s">
        <v>741</v>
      </c>
      <c r="D152" s="146" t="str">
        <f t="shared" si="253"/>
        <v/>
      </c>
      <c r="E152" s="77">
        <f t="shared" si="254"/>
        <v>0</v>
      </c>
      <c r="F152" s="77">
        <f t="shared" si="259"/>
        <v>1</v>
      </c>
      <c r="G152" s="76">
        <f t="shared" si="255"/>
        <v>1</v>
      </c>
      <c r="H152" s="76">
        <f t="shared" si="256"/>
        <v>0</v>
      </c>
      <c r="I152" s="77" t="b">
        <f t="shared" si="257"/>
        <v>0</v>
      </c>
      <c r="J152" s="77"/>
      <c r="K152" s="77"/>
      <c r="L152" s="77"/>
      <c r="M152" s="77"/>
      <c r="N152" s="632">
        <f ca="1">YEAR(SP_TargetRD)-$B152</f>
        <v>-70</v>
      </c>
      <c r="O152" s="243" t="e">
        <f ca="1">LT_InvestmentStocks*INDEX(SP_EA_ARStocks,EAIDX)+LT_InvestmentBonds*INDEX(SC_EA_ARBonds,EAIDX)</f>
        <v>#REF!</v>
      </c>
      <c r="P152" s="634" t="e">
        <f ca="1">MAX(P150+R150+S150+V150+W150,0)</f>
        <v>#VALUE!</v>
      </c>
      <c r="Q152" s="617" t="e">
        <f t="shared" ref="Q152" ca="1" si="308">MAX(Q150+R150+IF((P150+R150+S150)&gt;0,MAX(V150/(P150+R150+S150)*(Q150+R150),V150),0),0)</f>
        <v>#VALUE!</v>
      </c>
      <c r="R152" s="617" t="e">
        <f ca="1">IF(SC_ZX_CodeA="X", 0, MAX(INDEX(SC_ZX_IncomeSurplus,ZXIDX2)+INDEX(SC_ZX_Debt,ZXIDX2),0))</f>
        <v>#VALUE!</v>
      </c>
      <c r="S152" s="617" t="e">
        <f ca="1">IF(SC_ZX_CodeA="X", 0, INDEX(SC_EX_RolloverCore,EXIDX))</f>
        <v>#VALUE!</v>
      </c>
      <c r="T152" s="617" t="e">
        <f ca="1">P152+R152+S152</f>
        <v>#VALUE!</v>
      </c>
      <c r="U152" s="642" t="e">
        <f ca="1">IF(SC_ZX_BalanceAccessibleA&gt;0, T152/SC_ZX_BalanceAccessibleA, 0)</f>
        <v>#VALUE!</v>
      </c>
      <c r="V152" s="617" t="e">
        <f ca="1">-IF(SC_ZX_CodeA="X",0,MIN(U152*MAX(INDEX(SC_ZX_Drawdown,ZXIDX2),0),T152))</f>
        <v>#VALUE!</v>
      </c>
      <c r="W152" s="618" t="e">
        <f ca="1">(P152+R152+S152+V152)*$O152</f>
        <v>#VALUE!</v>
      </c>
      <c r="X152" s="75" t="e">
        <f t="shared" ca="1" si="261"/>
        <v>#REF!</v>
      </c>
      <c r="Y152" s="70" t="e">
        <f t="shared" ca="1" si="262"/>
        <v>#REF!</v>
      </c>
      <c r="Z152" s="70" t="e">
        <f t="shared" ca="1" si="263"/>
        <v>#REF!</v>
      </c>
      <c r="AA152" s="70" t="e">
        <f t="shared" ca="1" si="264"/>
        <v>#REF!</v>
      </c>
      <c r="AB152" s="67" t="e">
        <f t="shared" ca="1" si="297"/>
        <v>#REF!</v>
      </c>
      <c r="AC152" s="70" t="e">
        <f ca="1">-IF(INDEX(SC_ZX_CodeA,ZXIDX1)="X", 0, MIN(AB152*MAX(INDEX(SC_ZX_Drawdown,ZXIDX2),0),AA152))</f>
        <v>#REF!</v>
      </c>
      <c r="AD152" s="109" t="e">
        <f t="shared" ca="1" si="265"/>
        <v>#REF!</v>
      </c>
      <c r="AE152" s="75" t="e">
        <f t="shared" ca="1" si="266"/>
        <v>#REF!</v>
      </c>
      <c r="AF152" s="70" t="e">
        <f t="shared" ca="1" si="267"/>
        <v>#REF!</v>
      </c>
      <c r="AG152" s="70" t="e">
        <f t="shared" ca="1" si="268"/>
        <v>#REF!</v>
      </c>
      <c r="AH152" s="70" t="e">
        <f t="shared" ca="1" si="269"/>
        <v>#REF!</v>
      </c>
      <c r="AI152" s="67" t="e">
        <f t="shared" ca="1" si="298"/>
        <v>#REF!</v>
      </c>
      <c r="AJ152" s="70" t="e">
        <f ca="1">-IF(INDEX(SC_ZX_CodeA,ZXIDX1)="X", 0, MIN(AI152*MAX(INDEX(SC_ZX_Drawdown,ZXIDX2),0),AH152))</f>
        <v>#REF!</v>
      </c>
      <c r="AK152" s="109" t="e">
        <f t="shared" ca="1" si="270"/>
        <v>#REF!</v>
      </c>
      <c r="AL152" s="75" t="e">
        <f t="shared" ca="1" si="271"/>
        <v>#REF!</v>
      </c>
      <c r="AM152" s="70" t="e">
        <f t="shared" ca="1" si="272"/>
        <v>#REF!</v>
      </c>
      <c r="AN152" s="70" t="e">
        <f t="shared" ca="1" si="273"/>
        <v>#REF!</v>
      </c>
      <c r="AO152" s="70" t="e">
        <f t="shared" ca="1" si="274"/>
        <v>#REF!</v>
      </c>
      <c r="AP152" s="67" t="e">
        <f t="shared" ca="1" si="299"/>
        <v>#REF!</v>
      </c>
      <c r="AQ152" s="70" t="e">
        <f ca="1">-IF(INDEX(SC_ZX_CodeA,ZXIDX1)="X", 0, MIN(AP152*MAX(INDEX(SC_ZX_Drawdown,ZXIDX2),0),AO152))</f>
        <v>#REF!</v>
      </c>
      <c r="AR152" s="109" t="e">
        <f t="shared" ca="1" si="275"/>
        <v>#REF!</v>
      </c>
      <c r="AS152" s="75" t="e">
        <f t="shared" ca="1" si="276"/>
        <v>#REF!</v>
      </c>
      <c r="AT152" s="70" t="e">
        <f t="shared" ca="1" si="277"/>
        <v>#REF!</v>
      </c>
      <c r="AU152" s="70" t="e">
        <f t="shared" ca="1" si="278"/>
        <v>#REF!</v>
      </c>
      <c r="AV152" s="70" t="e">
        <f t="shared" ca="1" si="279"/>
        <v>#REF!</v>
      </c>
      <c r="AW152" s="67" t="e">
        <f t="shared" ca="1" si="300"/>
        <v>#REF!</v>
      </c>
      <c r="AX152" s="70" t="e">
        <f ca="1">-IF(INDEX(SC_ZX_CodeA,ZXIDX1)="X", 0, MIN(AW152*MAX(INDEX(SC_ZX_Drawdown,ZXIDX2),0),AV152))</f>
        <v>#REF!</v>
      </c>
      <c r="AY152" s="109" t="e">
        <f t="shared" ca="1" si="280"/>
        <v>#REF!</v>
      </c>
      <c r="AZ152" s="75" t="e">
        <f t="shared" ca="1" si="281"/>
        <v>#REF!</v>
      </c>
      <c r="BA152" s="70" t="e">
        <f t="shared" ca="1" si="282"/>
        <v>#REF!</v>
      </c>
      <c r="BB152" s="70" t="e">
        <f t="shared" ca="1" si="283"/>
        <v>#REF!</v>
      </c>
      <c r="BC152" s="70" t="e">
        <f t="shared" ca="1" si="284"/>
        <v>#REF!</v>
      </c>
      <c r="BD152" s="67" t="e">
        <f t="shared" ca="1" si="301"/>
        <v>#REF!</v>
      </c>
      <c r="BE152" s="70" t="e">
        <f ca="1">-IF(INDEX(SC_ZX_CodeA,ZXIDX1)="X", 0, MIN(BD152*MAX(INDEX(SC_ZX_Drawdown,ZXIDX2),0),AZ152))</f>
        <v>#REF!</v>
      </c>
      <c r="BF152" s="109" t="e">
        <f t="shared" ca="1" si="285"/>
        <v>#REF!</v>
      </c>
      <c r="BG152" s="75" t="e">
        <f t="shared" ca="1" si="286"/>
        <v>#REF!</v>
      </c>
      <c r="BH152" s="70" t="e">
        <f t="shared" ca="1" si="287"/>
        <v>#REF!</v>
      </c>
      <c r="BI152" s="70" t="e">
        <f t="shared" ca="1" si="288"/>
        <v>#REF!</v>
      </c>
      <c r="BJ152" s="70" t="e">
        <f t="shared" ca="1" si="289"/>
        <v>#REF!</v>
      </c>
      <c r="BK152" s="67" t="e">
        <f t="shared" ca="1" si="302"/>
        <v>#REF!</v>
      </c>
      <c r="BL152" s="70" t="e">
        <f ca="1">-IF(INDEX(SC_ZX_CodeA,ZXIDX1)="X", 0, MIN(BK152*MAX(INDEX(SC_ZX_Drawdown,ZXIDX2),0),BJ152))</f>
        <v>#REF!</v>
      </c>
      <c r="BM152" s="70" t="e">
        <f t="shared" ca="1" si="290"/>
        <v>#REF!</v>
      </c>
      <c r="BN152" s="111" t="e">
        <f t="shared" ca="1" si="291"/>
        <v>#REF!</v>
      </c>
      <c r="BO152" s="112" t="e">
        <f t="shared" ca="1" si="292"/>
        <v>#REF!</v>
      </c>
      <c r="BP152" s="112" t="e">
        <f ca="1">-($V152-IF(($P152+$R152+$S152)&gt;0,MAX($V152/($P152+$R152+$S152)*($Q152+$R152),$V152),0))*LT_InvestmentQDI</f>
        <v>#VALUE!</v>
      </c>
      <c r="BQ152" s="112" t="e">
        <f ca="1">-($V152-IF(($P152+$R152+$S152)&gt;0,MAX($V152/($P152+$R152+$S152)*($Q152+$R152),$V152),0))*(1-LT_InvestmentQDI)</f>
        <v>#VALUE!</v>
      </c>
      <c r="BR152" s="112" t="e">
        <f t="shared" ca="1" si="293"/>
        <v>#VALUE!</v>
      </c>
      <c r="BS152" s="112" t="e">
        <f t="shared" ca="1" si="294"/>
        <v>#VALUE!</v>
      </c>
      <c r="BT152" s="634" t="e">
        <f ca="1">SUMPRODUCT($BN152:$BN153+$BO152:$BO153, --($E152:$E153&lt;&gt;0))</f>
        <v>#REF!</v>
      </c>
      <c r="BU152" s="617" t="e">
        <f ca="1">SUMPRODUCT($BR152:$BR153+$BS152:$BS153, --($E152:$E153&lt;&gt;0))</f>
        <v>#VALUE!</v>
      </c>
      <c r="BV152" s="617" t="e">
        <f ca="1">$T152+SUMPRODUCT($AA152:$AA153+$AH152:$AH153+$AO152:$AO153+$AV152:$AV153+$BC152:$BC153+$BJ152:$BJ153, --($E152:$E153&lt;&gt;0))</f>
        <v>#VALUE!</v>
      </c>
      <c r="BW152" s="617" t="e">
        <f ca="1">MAX($P152-$Q152,0)+SUMPRODUCT($X152:$X153+$AL152:$AL153+$AZ152:$AZ153, --($E152:$E153&lt;&gt;0))</f>
        <v>#VALUE!</v>
      </c>
      <c r="BX152" s="618" t="e">
        <f ca="1">MIN($P152,$Q152)+SUMPRODUCT($AE152:$AE153+$AS152:$AS153+$BG152:$BG153, --($E152:$E153&lt;&gt;0))</f>
        <v>#VALUE!</v>
      </c>
    </row>
    <row r="153" spans="2:76" x14ac:dyDescent="0.25">
      <c r="B153" s="86">
        <f t="shared" ca="1" si="295"/>
        <v>2093</v>
      </c>
      <c r="C153" s="80" t="s">
        <v>741</v>
      </c>
      <c r="D153" s="147" t="str">
        <f t="shared" si="253"/>
        <v/>
      </c>
      <c r="E153" s="81">
        <f t="shared" si="254"/>
        <v>0</v>
      </c>
      <c r="F153" s="81">
        <f t="shared" si="259"/>
        <v>2</v>
      </c>
      <c r="G153" s="82">
        <f t="shared" si="255"/>
        <v>-1</v>
      </c>
      <c r="H153" s="82">
        <f t="shared" si="256"/>
        <v>0</v>
      </c>
      <c r="I153" s="81" t="b">
        <f t="shared" si="257"/>
        <v>0</v>
      </c>
      <c r="J153" s="81"/>
      <c r="K153" s="81"/>
      <c r="L153" s="81"/>
      <c r="M153" s="81"/>
      <c r="N153" s="633"/>
      <c r="O153" s="243" t="e">
        <f ca="1">LT_InvestmentStocks*INDEX(SP_EA_ARStocks,EAIDX)+LT_InvestmentBonds*INDEX(SC_EA_ARBonds,EAIDX)</f>
        <v>#REF!</v>
      </c>
      <c r="P153" s="634"/>
      <c r="Q153" s="617"/>
      <c r="R153" s="617"/>
      <c r="S153" s="617"/>
      <c r="T153" s="617"/>
      <c r="U153" s="643"/>
      <c r="V153" s="617"/>
      <c r="W153" s="639"/>
      <c r="X153" s="106" t="e">
        <f t="shared" ca="1" si="261"/>
        <v>#REF!</v>
      </c>
      <c r="Y153" s="107" t="e">
        <f t="shared" ca="1" si="262"/>
        <v>#REF!</v>
      </c>
      <c r="Z153" s="107" t="e">
        <f t="shared" ca="1" si="263"/>
        <v>#REF!</v>
      </c>
      <c r="AA153" s="107" t="e">
        <f t="shared" ca="1" si="264"/>
        <v>#REF!</v>
      </c>
      <c r="AB153" s="91" t="e">
        <f t="shared" ca="1" si="297"/>
        <v>#REF!</v>
      </c>
      <c r="AC153" s="107" t="e">
        <f ca="1">-IF(INDEX(SC_ZX_CodeA,ZXIDX1)="X", 0, MIN(AB153*MAX(INDEX(SC_ZX_Drawdown,ZXIDX2),0),AA153))</f>
        <v>#REF!</v>
      </c>
      <c r="AD153" s="110" t="e">
        <f t="shared" ca="1" si="265"/>
        <v>#REF!</v>
      </c>
      <c r="AE153" s="106" t="e">
        <f t="shared" ca="1" si="266"/>
        <v>#REF!</v>
      </c>
      <c r="AF153" s="107" t="e">
        <f t="shared" ca="1" si="267"/>
        <v>#REF!</v>
      </c>
      <c r="AG153" s="107" t="e">
        <f t="shared" ca="1" si="268"/>
        <v>#REF!</v>
      </c>
      <c r="AH153" s="107" t="e">
        <f t="shared" ca="1" si="269"/>
        <v>#REF!</v>
      </c>
      <c r="AI153" s="91" t="e">
        <f t="shared" ca="1" si="298"/>
        <v>#REF!</v>
      </c>
      <c r="AJ153" s="107" t="e">
        <f ca="1">-IF(INDEX(SC_ZX_CodeA,ZXIDX1)="X", 0, MIN(AI153*MAX(INDEX(SC_ZX_Drawdown,ZXIDX2),0),AH153))</f>
        <v>#REF!</v>
      </c>
      <c r="AK153" s="110" t="e">
        <f t="shared" ca="1" si="270"/>
        <v>#REF!</v>
      </c>
      <c r="AL153" s="106" t="e">
        <f t="shared" ca="1" si="271"/>
        <v>#REF!</v>
      </c>
      <c r="AM153" s="107" t="e">
        <f t="shared" ca="1" si="272"/>
        <v>#REF!</v>
      </c>
      <c r="AN153" s="107" t="e">
        <f t="shared" ca="1" si="273"/>
        <v>#REF!</v>
      </c>
      <c r="AO153" s="107" t="e">
        <f t="shared" ca="1" si="274"/>
        <v>#REF!</v>
      </c>
      <c r="AP153" s="91" t="e">
        <f t="shared" ca="1" si="299"/>
        <v>#REF!</v>
      </c>
      <c r="AQ153" s="107" t="e">
        <f ca="1">-IF(INDEX(SC_ZX_CodeA,ZXIDX1)="X", 0, MIN(AP153*MAX(INDEX(SC_ZX_Drawdown,ZXIDX2),0),AO153))</f>
        <v>#REF!</v>
      </c>
      <c r="AR153" s="110" t="e">
        <f t="shared" ca="1" si="275"/>
        <v>#REF!</v>
      </c>
      <c r="AS153" s="106" t="e">
        <f t="shared" ca="1" si="276"/>
        <v>#REF!</v>
      </c>
      <c r="AT153" s="107" t="e">
        <f t="shared" ca="1" si="277"/>
        <v>#REF!</v>
      </c>
      <c r="AU153" s="107" t="e">
        <f t="shared" ca="1" si="278"/>
        <v>#REF!</v>
      </c>
      <c r="AV153" s="107" t="e">
        <f t="shared" ca="1" si="279"/>
        <v>#REF!</v>
      </c>
      <c r="AW153" s="91" t="e">
        <f t="shared" ca="1" si="300"/>
        <v>#REF!</v>
      </c>
      <c r="AX153" s="107" t="e">
        <f ca="1">-IF(INDEX(SC_ZX_CodeA,ZXIDX1)="X", 0, MIN(AW153*MAX(INDEX(SC_ZX_Drawdown,ZXIDX2),0),AV153))</f>
        <v>#REF!</v>
      </c>
      <c r="AY153" s="110" t="e">
        <f t="shared" ca="1" si="280"/>
        <v>#REF!</v>
      </c>
      <c r="AZ153" s="106" t="e">
        <f t="shared" ca="1" si="281"/>
        <v>#REF!</v>
      </c>
      <c r="BA153" s="107" t="e">
        <f t="shared" ca="1" si="282"/>
        <v>#REF!</v>
      </c>
      <c r="BB153" s="107" t="e">
        <f t="shared" ca="1" si="283"/>
        <v>#REF!</v>
      </c>
      <c r="BC153" s="107" t="e">
        <f t="shared" ca="1" si="284"/>
        <v>#REF!</v>
      </c>
      <c r="BD153" s="91" t="e">
        <f t="shared" ca="1" si="301"/>
        <v>#REF!</v>
      </c>
      <c r="BE153" s="107" t="e">
        <f ca="1">-IF(INDEX(SC_ZX_CodeA,ZXIDX1)="X", 0, MIN(BD153*MAX(INDEX(SC_ZX_Drawdown,ZXIDX2),0),AZ153))</f>
        <v>#REF!</v>
      </c>
      <c r="BF153" s="110" t="e">
        <f t="shared" ca="1" si="285"/>
        <v>#REF!</v>
      </c>
      <c r="BG153" s="106" t="e">
        <f t="shared" ca="1" si="286"/>
        <v>#REF!</v>
      </c>
      <c r="BH153" s="107" t="e">
        <f t="shared" ca="1" si="287"/>
        <v>#REF!</v>
      </c>
      <c r="BI153" s="107" t="e">
        <f t="shared" ca="1" si="288"/>
        <v>#REF!</v>
      </c>
      <c r="BJ153" s="107" t="e">
        <f t="shared" ca="1" si="289"/>
        <v>#REF!</v>
      </c>
      <c r="BK153" s="91" t="e">
        <f t="shared" ca="1" si="302"/>
        <v>#REF!</v>
      </c>
      <c r="BL153" s="107" t="e">
        <f ca="1">-IF(INDEX(SC_ZX_CodeA,ZXIDX1)="X", 0, MIN(BK153*MAX(INDEX(SC_ZX_Drawdown,ZXIDX2),0),BJ153))</f>
        <v>#REF!</v>
      </c>
      <c r="BM153" s="107" t="e">
        <f t="shared" ca="1" si="290"/>
        <v>#REF!</v>
      </c>
      <c r="BN153" s="113" t="e">
        <f t="shared" ca="1" si="291"/>
        <v>#REF!</v>
      </c>
      <c r="BO153" s="114" t="e">
        <f t="shared" ca="1" si="292"/>
        <v>#REF!</v>
      </c>
      <c r="BP153" s="114" t="e">
        <f ca="1">-($V153-IF(($P153+$R153+$S153)&gt;0,MAX($V153/($P153+$R153+$S153)*($Q153+$R153),$V153),0))*LT_InvestmentQDI</f>
        <v>#REF!</v>
      </c>
      <c r="BQ153" s="114" t="e">
        <f ca="1">-($V153-IF(($P153+$R153+$S153)&gt;0,MAX($V153/($P153+$R153+$S153)*($Q153+$R153),$V153),0))*(1-LT_InvestmentQDI)</f>
        <v>#REF!</v>
      </c>
      <c r="BR153" s="114" t="e">
        <f t="shared" ca="1" si="293"/>
        <v>#REF!</v>
      </c>
      <c r="BS153" s="114" t="e">
        <f t="shared" ca="1" si="294"/>
        <v>#REF!</v>
      </c>
      <c r="BT153" s="649"/>
      <c r="BU153" s="637"/>
      <c r="BV153" s="637"/>
      <c r="BW153" s="637"/>
      <c r="BX153" s="639"/>
    </row>
    <row r="154" spans="2:76" x14ac:dyDescent="0.25">
      <c r="B154" s="65">
        <f ca="1">B152+1</f>
        <v>2094</v>
      </c>
      <c r="C154" s="76" t="s">
        <v>741</v>
      </c>
      <c r="D154" s="146" t="str">
        <f t="shared" si="253"/>
        <v/>
      </c>
      <c r="E154" s="77">
        <f t="shared" si="254"/>
        <v>0</v>
      </c>
      <c r="F154" s="77">
        <f t="shared" si="259"/>
        <v>1</v>
      </c>
      <c r="G154" s="76">
        <f t="shared" si="255"/>
        <v>1</v>
      </c>
      <c r="H154" s="76">
        <f t="shared" si="256"/>
        <v>0</v>
      </c>
      <c r="I154" s="77" t="b">
        <f t="shared" si="257"/>
        <v>0</v>
      </c>
      <c r="J154" s="77"/>
      <c r="K154" s="77"/>
      <c r="L154" s="77"/>
      <c r="M154" s="77"/>
      <c r="N154" s="632">
        <f ca="1">YEAR(SP_TargetRD)-$B154</f>
        <v>-71</v>
      </c>
      <c r="O154" s="243" t="e">
        <f ca="1">LT_InvestmentStocks*INDEX(SP_EA_ARStocks,EAIDX)+LT_InvestmentBonds*INDEX(SC_EA_ARBonds,EAIDX)</f>
        <v>#REF!</v>
      </c>
      <c r="P154" s="634" t="e">
        <f ca="1">MAX(P152+R152+S152+V152+W152,0)</f>
        <v>#VALUE!</v>
      </c>
      <c r="Q154" s="617" t="e">
        <f t="shared" ref="Q154" ca="1" si="309">MAX(Q152+R152+IF((P152+R152+S152)&gt;0,MAX(V152/(P152+R152+S152)*(Q152+R152),V152),0),0)</f>
        <v>#VALUE!</v>
      </c>
      <c r="R154" s="617" t="e">
        <f ca="1">IF(SC_ZX_CodeA="X", 0, MAX(INDEX(SC_ZX_IncomeSurplus,ZXIDX2)+INDEX(SC_ZX_Debt,ZXIDX2),0))</f>
        <v>#VALUE!</v>
      </c>
      <c r="S154" s="617" t="e">
        <f ca="1">IF(SC_ZX_CodeA="X", 0, INDEX(SC_EX_RolloverCore,EXIDX))</f>
        <v>#VALUE!</v>
      </c>
      <c r="T154" s="617" t="e">
        <f ca="1">P154+R154+S154</f>
        <v>#VALUE!</v>
      </c>
      <c r="U154" s="642" t="e">
        <f ca="1">IF(SC_ZX_BalanceAccessibleA&gt;0, T154/SC_ZX_BalanceAccessibleA, 0)</f>
        <v>#VALUE!</v>
      </c>
      <c r="V154" s="617" t="e">
        <f ca="1">-IF(SC_ZX_CodeA="X",0,MIN(U154*MAX(INDEX(SC_ZX_Drawdown,ZXIDX2),0),T154))</f>
        <v>#VALUE!</v>
      </c>
      <c r="W154" s="618" t="e">
        <f ca="1">(P154+R154+S154+V154)*$O154</f>
        <v>#VALUE!</v>
      </c>
      <c r="X154" s="75" t="e">
        <f t="shared" ca="1" si="261"/>
        <v>#REF!</v>
      </c>
      <c r="Y154" s="70" t="e">
        <f t="shared" ca="1" si="262"/>
        <v>#REF!</v>
      </c>
      <c r="Z154" s="70" t="e">
        <f t="shared" ca="1" si="263"/>
        <v>#REF!</v>
      </c>
      <c r="AA154" s="70" t="e">
        <f t="shared" ca="1" si="264"/>
        <v>#REF!</v>
      </c>
      <c r="AB154" s="67" t="e">
        <f t="shared" ca="1" si="297"/>
        <v>#REF!</v>
      </c>
      <c r="AC154" s="70" t="e">
        <f ca="1">-IF(INDEX(SC_ZX_CodeA,ZXIDX1)="X", 0, MIN(AB154*MAX(INDEX(SC_ZX_Drawdown,ZXIDX2),0),AA154))</f>
        <v>#REF!</v>
      </c>
      <c r="AD154" s="109" t="e">
        <f t="shared" ca="1" si="265"/>
        <v>#REF!</v>
      </c>
      <c r="AE154" s="75" t="e">
        <f t="shared" ca="1" si="266"/>
        <v>#REF!</v>
      </c>
      <c r="AF154" s="70" t="e">
        <f t="shared" ca="1" si="267"/>
        <v>#REF!</v>
      </c>
      <c r="AG154" s="70" t="e">
        <f t="shared" ca="1" si="268"/>
        <v>#REF!</v>
      </c>
      <c r="AH154" s="70" t="e">
        <f t="shared" ca="1" si="269"/>
        <v>#REF!</v>
      </c>
      <c r="AI154" s="67" t="e">
        <f t="shared" ca="1" si="298"/>
        <v>#REF!</v>
      </c>
      <c r="AJ154" s="70" t="e">
        <f ca="1">-IF(INDEX(SC_ZX_CodeA,ZXIDX1)="X", 0, MIN(AI154*MAX(INDEX(SC_ZX_Drawdown,ZXIDX2),0),AH154))</f>
        <v>#REF!</v>
      </c>
      <c r="AK154" s="109" t="e">
        <f t="shared" ca="1" si="270"/>
        <v>#REF!</v>
      </c>
      <c r="AL154" s="75" t="e">
        <f t="shared" ca="1" si="271"/>
        <v>#REF!</v>
      </c>
      <c r="AM154" s="70" t="e">
        <f t="shared" ca="1" si="272"/>
        <v>#REF!</v>
      </c>
      <c r="AN154" s="70" t="e">
        <f t="shared" ca="1" si="273"/>
        <v>#REF!</v>
      </c>
      <c r="AO154" s="70" t="e">
        <f t="shared" ca="1" si="274"/>
        <v>#REF!</v>
      </c>
      <c r="AP154" s="67" t="e">
        <f t="shared" ca="1" si="299"/>
        <v>#REF!</v>
      </c>
      <c r="AQ154" s="70" t="e">
        <f ca="1">-IF(INDEX(SC_ZX_CodeA,ZXIDX1)="X", 0, MIN(AP154*MAX(INDEX(SC_ZX_Drawdown,ZXIDX2),0),AO154))</f>
        <v>#REF!</v>
      </c>
      <c r="AR154" s="109" t="e">
        <f t="shared" ca="1" si="275"/>
        <v>#REF!</v>
      </c>
      <c r="AS154" s="75" t="e">
        <f t="shared" ca="1" si="276"/>
        <v>#REF!</v>
      </c>
      <c r="AT154" s="70" t="e">
        <f t="shared" ca="1" si="277"/>
        <v>#REF!</v>
      </c>
      <c r="AU154" s="70" t="e">
        <f t="shared" ca="1" si="278"/>
        <v>#REF!</v>
      </c>
      <c r="AV154" s="70" t="e">
        <f t="shared" ca="1" si="279"/>
        <v>#REF!</v>
      </c>
      <c r="AW154" s="67" t="e">
        <f t="shared" ca="1" si="300"/>
        <v>#REF!</v>
      </c>
      <c r="AX154" s="70" t="e">
        <f ca="1">-IF(INDEX(SC_ZX_CodeA,ZXIDX1)="X", 0, MIN(AW154*MAX(INDEX(SC_ZX_Drawdown,ZXIDX2),0),AV154))</f>
        <v>#REF!</v>
      </c>
      <c r="AY154" s="109" t="e">
        <f t="shared" ca="1" si="280"/>
        <v>#REF!</v>
      </c>
      <c r="AZ154" s="75" t="e">
        <f t="shared" ca="1" si="281"/>
        <v>#REF!</v>
      </c>
      <c r="BA154" s="70" t="e">
        <f t="shared" ca="1" si="282"/>
        <v>#REF!</v>
      </c>
      <c r="BB154" s="70" t="e">
        <f t="shared" ca="1" si="283"/>
        <v>#REF!</v>
      </c>
      <c r="BC154" s="70" t="e">
        <f t="shared" ca="1" si="284"/>
        <v>#REF!</v>
      </c>
      <c r="BD154" s="67" t="e">
        <f t="shared" ca="1" si="301"/>
        <v>#REF!</v>
      </c>
      <c r="BE154" s="70" t="e">
        <f ca="1">-IF(INDEX(SC_ZX_CodeA,ZXIDX1)="X", 0, MIN(BD154*MAX(INDEX(SC_ZX_Drawdown,ZXIDX2),0),AZ154))</f>
        <v>#REF!</v>
      </c>
      <c r="BF154" s="109" t="e">
        <f t="shared" ca="1" si="285"/>
        <v>#REF!</v>
      </c>
      <c r="BG154" s="75" t="e">
        <f t="shared" ca="1" si="286"/>
        <v>#REF!</v>
      </c>
      <c r="BH154" s="70" t="e">
        <f t="shared" ca="1" si="287"/>
        <v>#REF!</v>
      </c>
      <c r="BI154" s="70" t="e">
        <f t="shared" ca="1" si="288"/>
        <v>#REF!</v>
      </c>
      <c r="BJ154" s="70" t="e">
        <f t="shared" ca="1" si="289"/>
        <v>#REF!</v>
      </c>
      <c r="BK154" s="67" t="e">
        <f t="shared" ca="1" si="302"/>
        <v>#REF!</v>
      </c>
      <c r="BL154" s="70" t="e">
        <f ca="1">-IF(INDEX(SC_ZX_CodeA,ZXIDX1)="X", 0, MIN(BK154*MAX(INDEX(SC_ZX_Drawdown,ZXIDX2),0),BJ154))</f>
        <v>#REF!</v>
      </c>
      <c r="BM154" s="70" t="e">
        <f t="shared" ca="1" si="290"/>
        <v>#REF!</v>
      </c>
      <c r="BN154" s="111" t="e">
        <f t="shared" ca="1" si="291"/>
        <v>#REF!</v>
      </c>
      <c r="BO154" s="112" t="e">
        <f t="shared" ca="1" si="292"/>
        <v>#REF!</v>
      </c>
      <c r="BP154" s="112" t="e">
        <f ca="1">-($V154-IF(($P154+$R154+$S154)&gt;0,MAX($V154/($P154+$R154+$S154)*($Q154+$R154),$V154),0))*LT_InvestmentQDI</f>
        <v>#VALUE!</v>
      </c>
      <c r="BQ154" s="112" t="e">
        <f ca="1">-($V154-IF(($P154+$R154+$S154)&gt;0,MAX($V154/($P154+$R154+$S154)*($Q154+$R154),$V154),0))*(1-LT_InvestmentQDI)</f>
        <v>#VALUE!</v>
      </c>
      <c r="BR154" s="112" t="e">
        <f t="shared" ca="1" si="293"/>
        <v>#VALUE!</v>
      </c>
      <c r="BS154" s="112" t="e">
        <f t="shared" ca="1" si="294"/>
        <v>#VALUE!</v>
      </c>
      <c r="BT154" s="634" t="e">
        <f ca="1">SUMPRODUCT($BN154:$BN155+$BO154:$BO155, --($E154:$E155&lt;&gt;0))</f>
        <v>#REF!</v>
      </c>
      <c r="BU154" s="617" t="e">
        <f ca="1">SUMPRODUCT($BR154:$BR155+$BS154:$BS155, --($E154:$E155&lt;&gt;0))</f>
        <v>#VALUE!</v>
      </c>
      <c r="BV154" s="617" t="e">
        <f ca="1">$T154+SUMPRODUCT($AA154:$AA155+$AH154:$AH155+$AO154:$AO155+$AV154:$AV155+$BC154:$BC155+$BJ154:$BJ155, --($E154:$E155&lt;&gt;0))</f>
        <v>#VALUE!</v>
      </c>
      <c r="BW154" s="617" t="e">
        <f ca="1">MAX($P154-$Q154,0)+SUMPRODUCT($X154:$X155+$AL154:$AL155+$AZ154:$AZ155, --($E154:$E155&lt;&gt;0))</f>
        <v>#VALUE!</v>
      </c>
      <c r="BX154" s="618" t="e">
        <f ca="1">MIN($P154,$Q154)+SUMPRODUCT($AE154:$AE155+$AS154:$AS155+$BG154:$BG155, --($E154:$E155&lt;&gt;0))</f>
        <v>#VALUE!</v>
      </c>
    </row>
    <row r="155" spans="2:76" x14ac:dyDescent="0.25">
      <c r="B155" s="86">
        <f t="shared" ca="1" si="295"/>
        <v>2094</v>
      </c>
      <c r="C155" s="80" t="s">
        <v>741</v>
      </c>
      <c r="D155" s="147" t="str">
        <f t="shared" si="253"/>
        <v/>
      </c>
      <c r="E155" s="81">
        <f t="shared" si="254"/>
        <v>0</v>
      </c>
      <c r="F155" s="81">
        <f t="shared" si="259"/>
        <v>2</v>
      </c>
      <c r="G155" s="82">
        <f t="shared" si="255"/>
        <v>-1</v>
      </c>
      <c r="H155" s="82">
        <f t="shared" si="256"/>
        <v>0</v>
      </c>
      <c r="I155" s="81" t="b">
        <f t="shared" si="257"/>
        <v>0</v>
      </c>
      <c r="J155" s="81"/>
      <c r="K155" s="81"/>
      <c r="L155" s="81"/>
      <c r="M155" s="81"/>
      <c r="N155" s="633"/>
      <c r="O155" s="243" t="e">
        <f ca="1">LT_InvestmentStocks*INDEX(SP_EA_ARStocks,EAIDX)+LT_InvestmentBonds*INDEX(SC_EA_ARBonds,EAIDX)</f>
        <v>#REF!</v>
      </c>
      <c r="P155" s="634"/>
      <c r="Q155" s="617"/>
      <c r="R155" s="617"/>
      <c r="S155" s="617"/>
      <c r="T155" s="617"/>
      <c r="U155" s="643"/>
      <c r="V155" s="617"/>
      <c r="W155" s="639"/>
      <c r="X155" s="106" t="e">
        <f t="shared" ca="1" si="261"/>
        <v>#REF!</v>
      </c>
      <c r="Y155" s="107" t="e">
        <f t="shared" ca="1" si="262"/>
        <v>#REF!</v>
      </c>
      <c r="Z155" s="107" t="e">
        <f t="shared" ca="1" si="263"/>
        <v>#REF!</v>
      </c>
      <c r="AA155" s="107" t="e">
        <f t="shared" ca="1" si="264"/>
        <v>#REF!</v>
      </c>
      <c r="AB155" s="91" t="e">
        <f t="shared" ca="1" si="297"/>
        <v>#REF!</v>
      </c>
      <c r="AC155" s="107" t="e">
        <f ca="1">-IF(INDEX(SC_ZX_CodeA,ZXIDX1)="X", 0, MIN(AB155*MAX(INDEX(SC_ZX_Drawdown,ZXIDX2),0),AA155))</f>
        <v>#REF!</v>
      </c>
      <c r="AD155" s="110" t="e">
        <f t="shared" ca="1" si="265"/>
        <v>#REF!</v>
      </c>
      <c r="AE155" s="106" t="e">
        <f t="shared" ca="1" si="266"/>
        <v>#REF!</v>
      </c>
      <c r="AF155" s="107" t="e">
        <f t="shared" ca="1" si="267"/>
        <v>#REF!</v>
      </c>
      <c r="AG155" s="107" t="e">
        <f t="shared" ca="1" si="268"/>
        <v>#REF!</v>
      </c>
      <c r="AH155" s="107" t="e">
        <f t="shared" ca="1" si="269"/>
        <v>#REF!</v>
      </c>
      <c r="AI155" s="91" t="e">
        <f t="shared" ca="1" si="298"/>
        <v>#REF!</v>
      </c>
      <c r="AJ155" s="107" t="e">
        <f ca="1">-IF(INDEX(SC_ZX_CodeA,ZXIDX1)="X", 0, MIN(AI155*MAX(INDEX(SC_ZX_Drawdown,ZXIDX2),0),AH155))</f>
        <v>#REF!</v>
      </c>
      <c r="AK155" s="110" t="e">
        <f t="shared" ca="1" si="270"/>
        <v>#REF!</v>
      </c>
      <c r="AL155" s="106" t="e">
        <f t="shared" ca="1" si="271"/>
        <v>#REF!</v>
      </c>
      <c r="AM155" s="107" t="e">
        <f t="shared" ca="1" si="272"/>
        <v>#REF!</v>
      </c>
      <c r="AN155" s="107" t="e">
        <f t="shared" ca="1" si="273"/>
        <v>#REF!</v>
      </c>
      <c r="AO155" s="107" t="e">
        <f t="shared" ca="1" si="274"/>
        <v>#REF!</v>
      </c>
      <c r="AP155" s="91" t="e">
        <f t="shared" ca="1" si="299"/>
        <v>#REF!</v>
      </c>
      <c r="AQ155" s="107" t="e">
        <f ca="1">-IF(INDEX(SC_ZX_CodeA,ZXIDX1)="X", 0, MIN(AP155*MAX(INDEX(SC_ZX_Drawdown,ZXIDX2),0),AO155))</f>
        <v>#REF!</v>
      </c>
      <c r="AR155" s="110" t="e">
        <f t="shared" ca="1" si="275"/>
        <v>#REF!</v>
      </c>
      <c r="AS155" s="106" t="e">
        <f t="shared" ca="1" si="276"/>
        <v>#REF!</v>
      </c>
      <c r="AT155" s="107" t="e">
        <f t="shared" ca="1" si="277"/>
        <v>#REF!</v>
      </c>
      <c r="AU155" s="107" t="e">
        <f t="shared" ca="1" si="278"/>
        <v>#REF!</v>
      </c>
      <c r="AV155" s="107" t="e">
        <f t="shared" ca="1" si="279"/>
        <v>#REF!</v>
      </c>
      <c r="AW155" s="91" t="e">
        <f t="shared" ca="1" si="300"/>
        <v>#REF!</v>
      </c>
      <c r="AX155" s="107" t="e">
        <f ca="1">-IF(INDEX(SC_ZX_CodeA,ZXIDX1)="X", 0, MIN(AW155*MAX(INDEX(SC_ZX_Drawdown,ZXIDX2),0),AV155))</f>
        <v>#REF!</v>
      </c>
      <c r="AY155" s="110" t="e">
        <f t="shared" ca="1" si="280"/>
        <v>#REF!</v>
      </c>
      <c r="AZ155" s="106" t="e">
        <f t="shared" ca="1" si="281"/>
        <v>#REF!</v>
      </c>
      <c r="BA155" s="107" t="e">
        <f t="shared" ca="1" si="282"/>
        <v>#REF!</v>
      </c>
      <c r="BB155" s="107" t="e">
        <f t="shared" ca="1" si="283"/>
        <v>#REF!</v>
      </c>
      <c r="BC155" s="107" t="e">
        <f t="shared" ca="1" si="284"/>
        <v>#REF!</v>
      </c>
      <c r="BD155" s="91" t="e">
        <f t="shared" ca="1" si="301"/>
        <v>#REF!</v>
      </c>
      <c r="BE155" s="107" t="e">
        <f ca="1">-IF(INDEX(SC_ZX_CodeA,ZXIDX1)="X", 0, MIN(BD155*MAX(INDEX(SC_ZX_Drawdown,ZXIDX2),0),AZ155))</f>
        <v>#REF!</v>
      </c>
      <c r="BF155" s="110" t="e">
        <f t="shared" ca="1" si="285"/>
        <v>#REF!</v>
      </c>
      <c r="BG155" s="106" t="e">
        <f t="shared" ca="1" si="286"/>
        <v>#REF!</v>
      </c>
      <c r="BH155" s="107" t="e">
        <f t="shared" ca="1" si="287"/>
        <v>#REF!</v>
      </c>
      <c r="BI155" s="107" t="e">
        <f t="shared" ca="1" si="288"/>
        <v>#REF!</v>
      </c>
      <c r="BJ155" s="107" t="e">
        <f t="shared" ca="1" si="289"/>
        <v>#REF!</v>
      </c>
      <c r="BK155" s="91" t="e">
        <f t="shared" ca="1" si="302"/>
        <v>#REF!</v>
      </c>
      <c r="BL155" s="107" t="e">
        <f ca="1">-IF(INDEX(SC_ZX_CodeA,ZXIDX1)="X", 0, MIN(BK155*MAX(INDEX(SC_ZX_Drawdown,ZXIDX2),0),BJ155))</f>
        <v>#REF!</v>
      </c>
      <c r="BM155" s="107" t="e">
        <f t="shared" ca="1" si="290"/>
        <v>#REF!</v>
      </c>
      <c r="BN155" s="113" t="e">
        <f t="shared" ca="1" si="291"/>
        <v>#REF!</v>
      </c>
      <c r="BO155" s="114" t="e">
        <f t="shared" ca="1" si="292"/>
        <v>#REF!</v>
      </c>
      <c r="BP155" s="114" t="e">
        <f ca="1">-($V155-IF(($P155+$R155+$S155)&gt;0,MAX($V155/($P155+$R155+$S155)*($Q155+$R155),$V155),0))*LT_InvestmentQDI</f>
        <v>#REF!</v>
      </c>
      <c r="BQ155" s="114" t="e">
        <f ca="1">-($V155-IF(($P155+$R155+$S155)&gt;0,MAX($V155/($P155+$R155+$S155)*($Q155+$R155),$V155),0))*(1-LT_InvestmentQDI)</f>
        <v>#REF!</v>
      </c>
      <c r="BR155" s="114" t="e">
        <f t="shared" ca="1" si="293"/>
        <v>#REF!</v>
      </c>
      <c r="BS155" s="114" t="e">
        <f t="shared" ca="1" si="294"/>
        <v>#REF!</v>
      </c>
      <c r="BT155" s="649"/>
      <c r="BU155" s="637"/>
      <c r="BV155" s="637"/>
      <c r="BW155" s="637"/>
      <c r="BX155" s="639"/>
    </row>
    <row r="156" spans="2:76" x14ac:dyDescent="0.25">
      <c r="B156" s="65">
        <f ca="1">B154+1</f>
        <v>2095</v>
      </c>
      <c r="C156" s="76" t="s">
        <v>741</v>
      </c>
      <c r="D156" s="146" t="str">
        <f t="shared" si="253"/>
        <v/>
      </c>
      <c r="E156" s="77">
        <f t="shared" si="254"/>
        <v>0</v>
      </c>
      <c r="F156" s="77">
        <f t="shared" si="259"/>
        <v>1</v>
      </c>
      <c r="G156" s="76">
        <f t="shared" si="255"/>
        <v>1</v>
      </c>
      <c r="H156" s="76">
        <f t="shared" si="256"/>
        <v>0</v>
      </c>
      <c r="I156" s="77" t="b">
        <f t="shared" si="257"/>
        <v>0</v>
      </c>
      <c r="J156" s="77"/>
      <c r="K156" s="77"/>
      <c r="L156" s="77"/>
      <c r="M156" s="77"/>
      <c r="N156" s="632">
        <f ca="1">YEAR(SP_TargetRD)-$B156</f>
        <v>-72</v>
      </c>
      <c r="O156" s="243" t="e">
        <f ca="1">LT_InvestmentStocks*INDEX(SP_EA_ARStocks,EAIDX)+LT_InvestmentBonds*INDEX(SC_EA_ARBonds,EAIDX)</f>
        <v>#REF!</v>
      </c>
      <c r="P156" s="634" t="e">
        <f ca="1">MAX(P154+R154+S154+V154+W154,0)</f>
        <v>#VALUE!</v>
      </c>
      <c r="Q156" s="617" t="e">
        <f t="shared" ref="Q156" ca="1" si="310">MAX(Q154+R154+IF((P154+R154+S154)&gt;0,MAX(V154/(P154+R154+S154)*(Q154+R154),V154),0),0)</f>
        <v>#VALUE!</v>
      </c>
      <c r="R156" s="617" t="e">
        <f ca="1">IF(SC_ZX_CodeA="X", 0, MAX(INDEX(SC_ZX_IncomeSurplus,ZXIDX2)+INDEX(SC_ZX_Debt,ZXIDX2),0))</f>
        <v>#VALUE!</v>
      </c>
      <c r="S156" s="617" t="e">
        <f ca="1">IF(SC_ZX_CodeA="X", 0, INDEX(SC_EX_RolloverCore,EXIDX))</f>
        <v>#VALUE!</v>
      </c>
      <c r="T156" s="617" t="e">
        <f ca="1">P156+R156+S156</f>
        <v>#VALUE!</v>
      </c>
      <c r="U156" s="642" t="e">
        <f ca="1">IF(SC_ZX_BalanceAccessibleA&gt;0, T156/SC_ZX_BalanceAccessibleA, 0)</f>
        <v>#VALUE!</v>
      </c>
      <c r="V156" s="617" t="e">
        <f ca="1">-IF(SC_ZX_CodeA="X",0,MIN(U156*MAX(INDEX(SC_ZX_Drawdown,ZXIDX2),0),T156))</f>
        <v>#VALUE!</v>
      </c>
      <c r="W156" s="618" t="e">
        <f ca="1">(P156+R156+S156+V156)*$O156</f>
        <v>#VALUE!</v>
      </c>
      <c r="X156" s="75" t="e">
        <f t="shared" ca="1" si="261"/>
        <v>#REF!</v>
      </c>
      <c r="Y156" s="70" t="e">
        <f t="shared" ca="1" si="262"/>
        <v>#REF!</v>
      </c>
      <c r="Z156" s="70" t="e">
        <f t="shared" ca="1" si="263"/>
        <v>#REF!</v>
      </c>
      <c r="AA156" s="70" t="e">
        <f t="shared" ca="1" si="264"/>
        <v>#REF!</v>
      </c>
      <c r="AB156" s="67" t="e">
        <f t="shared" ca="1" si="297"/>
        <v>#REF!</v>
      </c>
      <c r="AC156" s="70" t="e">
        <f ca="1">-IF(INDEX(SC_ZX_CodeA,ZXIDX1)="X", 0, MIN(AB156*MAX(INDEX(SC_ZX_Drawdown,ZXIDX2),0),AA156))</f>
        <v>#REF!</v>
      </c>
      <c r="AD156" s="109" t="e">
        <f t="shared" ca="1" si="265"/>
        <v>#REF!</v>
      </c>
      <c r="AE156" s="75" t="e">
        <f t="shared" ca="1" si="266"/>
        <v>#REF!</v>
      </c>
      <c r="AF156" s="70" t="e">
        <f t="shared" ca="1" si="267"/>
        <v>#REF!</v>
      </c>
      <c r="AG156" s="70" t="e">
        <f t="shared" ca="1" si="268"/>
        <v>#REF!</v>
      </c>
      <c r="AH156" s="70" t="e">
        <f t="shared" ca="1" si="269"/>
        <v>#REF!</v>
      </c>
      <c r="AI156" s="67" t="e">
        <f t="shared" ca="1" si="298"/>
        <v>#REF!</v>
      </c>
      <c r="AJ156" s="70" t="e">
        <f ca="1">-IF(INDEX(SC_ZX_CodeA,ZXIDX1)="X", 0, MIN(AI156*MAX(INDEX(SC_ZX_Drawdown,ZXIDX2),0),AH156))</f>
        <v>#REF!</v>
      </c>
      <c r="AK156" s="109" t="e">
        <f t="shared" ca="1" si="270"/>
        <v>#REF!</v>
      </c>
      <c r="AL156" s="75" t="e">
        <f t="shared" ca="1" si="271"/>
        <v>#REF!</v>
      </c>
      <c r="AM156" s="70" t="e">
        <f t="shared" ca="1" si="272"/>
        <v>#REF!</v>
      </c>
      <c r="AN156" s="70" t="e">
        <f t="shared" ca="1" si="273"/>
        <v>#REF!</v>
      </c>
      <c r="AO156" s="70" t="e">
        <f t="shared" ca="1" si="274"/>
        <v>#REF!</v>
      </c>
      <c r="AP156" s="67" t="e">
        <f t="shared" ca="1" si="299"/>
        <v>#REF!</v>
      </c>
      <c r="AQ156" s="70" t="e">
        <f ca="1">-IF(INDEX(SC_ZX_CodeA,ZXIDX1)="X", 0, MIN(AP156*MAX(INDEX(SC_ZX_Drawdown,ZXIDX2),0),AO156))</f>
        <v>#REF!</v>
      </c>
      <c r="AR156" s="109" t="e">
        <f t="shared" ca="1" si="275"/>
        <v>#REF!</v>
      </c>
      <c r="AS156" s="75" t="e">
        <f t="shared" ca="1" si="276"/>
        <v>#REF!</v>
      </c>
      <c r="AT156" s="70" t="e">
        <f t="shared" ca="1" si="277"/>
        <v>#REF!</v>
      </c>
      <c r="AU156" s="70" t="e">
        <f t="shared" ca="1" si="278"/>
        <v>#REF!</v>
      </c>
      <c r="AV156" s="70" t="e">
        <f t="shared" ca="1" si="279"/>
        <v>#REF!</v>
      </c>
      <c r="AW156" s="67" t="e">
        <f t="shared" ca="1" si="300"/>
        <v>#REF!</v>
      </c>
      <c r="AX156" s="70" t="e">
        <f ca="1">-IF(INDEX(SC_ZX_CodeA,ZXIDX1)="X", 0, MIN(AW156*MAX(INDEX(SC_ZX_Drawdown,ZXIDX2),0),AV156))</f>
        <v>#REF!</v>
      </c>
      <c r="AY156" s="109" t="e">
        <f t="shared" ca="1" si="280"/>
        <v>#REF!</v>
      </c>
      <c r="AZ156" s="75" t="e">
        <f t="shared" ca="1" si="281"/>
        <v>#REF!</v>
      </c>
      <c r="BA156" s="70" t="e">
        <f t="shared" ca="1" si="282"/>
        <v>#REF!</v>
      </c>
      <c r="BB156" s="70" t="e">
        <f t="shared" ca="1" si="283"/>
        <v>#REF!</v>
      </c>
      <c r="BC156" s="70" t="e">
        <f t="shared" ca="1" si="284"/>
        <v>#REF!</v>
      </c>
      <c r="BD156" s="67" t="e">
        <f t="shared" ca="1" si="301"/>
        <v>#REF!</v>
      </c>
      <c r="BE156" s="70" t="e">
        <f ca="1">-IF(INDEX(SC_ZX_CodeA,ZXIDX1)="X", 0, MIN(BD156*MAX(INDEX(SC_ZX_Drawdown,ZXIDX2),0),AZ156))</f>
        <v>#REF!</v>
      </c>
      <c r="BF156" s="109" t="e">
        <f t="shared" ca="1" si="285"/>
        <v>#REF!</v>
      </c>
      <c r="BG156" s="75" t="e">
        <f t="shared" ca="1" si="286"/>
        <v>#REF!</v>
      </c>
      <c r="BH156" s="70" t="e">
        <f t="shared" ca="1" si="287"/>
        <v>#REF!</v>
      </c>
      <c r="BI156" s="70" t="e">
        <f t="shared" ca="1" si="288"/>
        <v>#REF!</v>
      </c>
      <c r="BJ156" s="70" t="e">
        <f t="shared" ca="1" si="289"/>
        <v>#REF!</v>
      </c>
      <c r="BK156" s="67" t="e">
        <f t="shared" ca="1" si="302"/>
        <v>#REF!</v>
      </c>
      <c r="BL156" s="70" t="e">
        <f ca="1">-IF(INDEX(SC_ZX_CodeA,ZXIDX1)="X", 0, MIN(BK156*MAX(INDEX(SC_ZX_Drawdown,ZXIDX2),0),BJ156))</f>
        <v>#REF!</v>
      </c>
      <c r="BM156" s="70" t="e">
        <f t="shared" ca="1" si="290"/>
        <v>#REF!</v>
      </c>
      <c r="BN156" s="111" t="e">
        <f t="shared" ca="1" si="291"/>
        <v>#REF!</v>
      </c>
      <c r="BO156" s="112" t="e">
        <f t="shared" ca="1" si="292"/>
        <v>#REF!</v>
      </c>
      <c r="BP156" s="112" t="e">
        <f ca="1">-($V156-IF(($P156+$R156+$S156)&gt;0,MAX($V156/($P156+$R156+$S156)*($Q156+$R156),$V156),0))*LT_InvestmentQDI</f>
        <v>#VALUE!</v>
      </c>
      <c r="BQ156" s="112" t="e">
        <f ca="1">-($V156-IF(($P156+$R156+$S156)&gt;0,MAX($V156/($P156+$R156+$S156)*($Q156+$R156),$V156),0))*(1-LT_InvestmentQDI)</f>
        <v>#VALUE!</v>
      </c>
      <c r="BR156" s="112" t="e">
        <f t="shared" ca="1" si="293"/>
        <v>#VALUE!</v>
      </c>
      <c r="BS156" s="112" t="e">
        <f t="shared" ca="1" si="294"/>
        <v>#VALUE!</v>
      </c>
      <c r="BT156" s="634" t="e">
        <f ca="1">SUMPRODUCT($BN156:$BN157+$BO156:$BO157, --($E156:$E157&lt;&gt;0))</f>
        <v>#REF!</v>
      </c>
      <c r="BU156" s="617" t="e">
        <f ca="1">SUMPRODUCT($BR156:$BR157+$BS156:$BS157, --($E156:$E157&lt;&gt;0))</f>
        <v>#VALUE!</v>
      </c>
      <c r="BV156" s="617" t="e">
        <f ca="1">$T156+SUMPRODUCT($AA156:$AA157+$AH156:$AH157+$AO156:$AO157+$AV156:$AV157+$BC156:$BC157+$BJ156:$BJ157, --($E156:$E157&lt;&gt;0))</f>
        <v>#VALUE!</v>
      </c>
      <c r="BW156" s="617" t="e">
        <f ca="1">MAX($P156-$Q156,0)+SUMPRODUCT($X156:$X157+$AL156:$AL157+$AZ156:$AZ157, --($E156:$E157&lt;&gt;0))</f>
        <v>#VALUE!</v>
      </c>
      <c r="BX156" s="618" t="e">
        <f ca="1">MIN($P156,$Q156)+SUMPRODUCT($AE156:$AE157+$AS156:$AS157+$BG156:$BG157, --($E156:$E157&lt;&gt;0))</f>
        <v>#VALUE!</v>
      </c>
    </row>
    <row r="157" spans="2:76" x14ac:dyDescent="0.25">
      <c r="B157" s="86">
        <f t="shared" ca="1" si="295"/>
        <v>2095</v>
      </c>
      <c r="C157" s="80" t="s">
        <v>741</v>
      </c>
      <c r="D157" s="147" t="str">
        <f t="shared" si="253"/>
        <v/>
      </c>
      <c r="E157" s="81">
        <f t="shared" si="254"/>
        <v>0</v>
      </c>
      <c r="F157" s="81">
        <f t="shared" si="259"/>
        <v>2</v>
      </c>
      <c r="G157" s="82">
        <f t="shared" si="255"/>
        <v>-1</v>
      </c>
      <c r="H157" s="82">
        <f t="shared" si="256"/>
        <v>0</v>
      </c>
      <c r="I157" s="81" t="b">
        <f t="shared" si="257"/>
        <v>0</v>
      </c>
      <c r="J157" s="81"/>
      <c r="K157" s="81"/>
      <c r="L157" s="81"/>
      <c r="M157" s="81"/>
      <c r="N157" s="633"/>
      <c r="O157" s="243" t="e">
        <f ca="1">LT_InvestmentStocks*INDEX(SP_EA_ARStocks,EAIDX)+LT_InvestmentBonds*INDEX(SC_EA_ARBonds,EAIDX)</f>
        <v>#REF!</v>
      </c>
      <c r="P157" s="634"/>
      <c r="Q157" s="617"/>
      <c r="R157" s="617"/>
      <c r="S157" s="617"/>
      <c r="T157" s="617"/>
      <c r="U157" s="643"/>
      <c r="V157" s="617"/>
      <c r="W157" s="639"/>
      <c r="X157" s="106" t="e">
        <f t="shared" ca="1" si="261"/>
        <v>#REF!</v>
      </c>
      <c r="Y157" s="107" t="e">
        <f t="shared" ca="1" si="262"/>
        <v>#REF!</v>
      </c>
      <c r="Z157" s="107" t="e">
        <f t="shared" ca="1" si="263"/>
        <v>#REF!</v>
      </c>
      <c r="AA157" s="107" t="e">
        <f t="shared" ca="1" si="264"/>
        <v>#REF!</v>
      </c>
      <c r="AB157" s="91" t="e">
        <f t="shared" ca="1" si="297"/>
        <v>#REF!</v>
      </c>
      <c r="AC157" s="107" t="e">
        <f ca="1">-IF(INDEX(SC_ZX_CodeA,ZXIDX1)="X", 0, MIN(AB157*MAX(INDEX(SC_ZX_Drawdown,ZXIDX2),0),AA157))</f>
        <v>#REF!</v>
      </c>
      <c r="AD157" s="110" t="e">
        <f t="shared" ca="1" si="265"/>
        <v>#REF!</v>
      </c>
      <c r="AE157" s="106" t="e">
        <f t="shared" ca="1" si="266"/>
        <v>#REF!</v>
      </c>
      <c r="AF157" s="107" t="e">
        <f t="shared" ca="1" si="267"/>
        <v>#REF!</v>
      </c>
      <c r="AG157" s="107" t="e">
        <f t="shared" ca="1" si="268"/>
        <v>#REF!</v>
      </c>
      <c r="AH157" s="107" t="e">
        <f t="shared" ca="1" si="269"/>
        <v>#REF!</v>
      </c>
      <c r="AI157" s="91" t="e">
        <f t="shared" ca="1" si="298"/>
        <v>#REF!</v>
      </c>
      <c r="AJ157" s="107" t="e">
        <f ca="1">-IF(INDEX(SC_ZX_CodeA,ZXIDX1)="X", 0, MIN(AI157*MAX(INDEX(SC_ZX_Drawdown,ZXIDX2),0),AH157))</f>
        <v>#REF!</v>
      </c>
      <c r="AK157" s="110" t="e">
        <f t="shared" ca="1" si="270"/>
        <v>#REF!</v>
      </c>
      <c r="AL157" s="106" t="e">
        <f t="shared" ca="1" si="271"/>
        <v>#REF!</v>
      </c>
      <c r="AM157" s="107" t="e">
        <f t="shared" ca="1" si="272"/>
        <v>#REF!</v>
      </c>
      <c r="AN157" s="107" t="e">
        <f t="shared" ca="1" si="273"/>
        <v>#REF!</v>
      </c>
      <c r="AO157" s="107" t="e">
        <f t="shared" ca="1" si="274"/>
        <v>#REF!</v>
      </c>
      <c r="AP157" s="91" t="e">
        <f t="shared" ca="1" si="299"/>
        <v>#REF!</v>
      </c>
      <c r="AQ157" s="107" t="e">
        <f ca="1">-IF(INDEX(SC_ZX_CodeA,ZXIDX1)="X", 0, MIN(AP157*MAX(INDEX(SC_ZX_Drawdown,ZXIDX2),0),AO157))</f>
        <v>#REF!</v>
      </c>
      <c r="AR157" s="110" t="e">
        <f t="shared" ca="1" si="275"/>
        <v>#REF!</v>
      </c>
      <c r="AS157" s="106" t="e">
        <f t="shared" ca="1" si="276"/>
        <v>#REF!</v>
      </c>
      <c r="AT157" s="107" t="e">
        <f t="shared" ca="1" si="277"/>
        <v>#REF!</v>
      </c>
      <c r="AU157" s="107" t="e">
        <f t="shared" ca="1" si="278"/>
        <v>#REF!</v>
      </c>
      <c r="AV157" s="107" t="e">
        <f t="shared" ca="1" si="279"/>
        <v>#REF!</v>
      </c>
      <c r="AW157" s="91" t="e">
        <f t="shared" ca="1" si="300"/>
        <v>#REF!</v>
      </c>
      <c r="AX157" s="107" t="e">
        <f ca="1">-IF(INDEX(SC_ZX_CodeA,ZXIDX1)="X", 0, MIN(AW157*MAX(INDEX(SC_ZX_Drawdown,ZXIDX2),0),AV157))</f>
        <v>#REF!</v>
      </c>
      <c r="AY157" s="110" t="e">
        <f t="shared" ca="1" si="280"/>
        <v>#REF!</v>
      </c>
      <c r="AZ157" s="106" t="e">
        <f t="shared" ca="1" si="281"/>
        <v>#REF!</v>
      </c>
      <c r="BA157" s="107" t="e">
        <f t="shared" ca="1" si="282"/>
        <v>#REF!</v>
      </c>
      <c r="BB157" s="107" t="e">
        <f t="shared" ca="1" si="283"/>
        <v>#REF!</v>
      </c>
      <c r="BC157" s="107" t="e">
        <f t="shared" ca="1" si="284"/>
        <v>#REF!</v>
      </c>
      <c r="BD157" s="91" t="e">
        <f t="shared" ca="1" si="301"/>
        <v>#REF!</v>
      </c>
      <c r="BE157" s="107" t="e">
        <f ca="1">-IF(INDEX(SC_ZX_CodeA,ZXIDX1)="X", 0, MIN(BD157*MAX(INDEX(SC_ZX_Drawdown,ZXIDX2),0),AZ157))</f>
        <v>#REF!</v>
      </c>
      <c r="BF157" s="110" t="e">
        <f t="shared" ca="1" si="285"/>
        <v>#REF!</v>
      </c>
      <c r="BG157" s="106" t="e">
        <f t="shared" ca="1" si="286"/>
        <v>#REF!</v>
      </c>
      <c r="BH157" s="107" t="e">
        <f t="shared" ca="1" si="287"/>
        <v>#REF!</v>
      </c>
      <c r="BI157" s="107" t="e">
        <f t="shared" ca="1" si="288"/>
        <v>#REF!</v>
      </c>
      <c r="BJ157" s="107" t="e">
        <f t="shared" ca="1" si="289"/>
        <v>#REF!</v>
      </c>
      <c r="BK157" s="91" t="e">
        <f t="shared" ca="1" si="302"/>
        <v>#REF!</v>
      </c>
      <c r="BL157" s="107" t="e">
        <f ca="1">-IF(INDEX(SC_ZX_CodeA,ZXIDX1)="X", 0, MIN(BK157*MAX(INDEX(SC_ZX_Drawdown,ZXIDX2),0),BJ157))</f>
        <v>#REF!</v>
      </c>
      <c r="BM157" s="107" t="e">
        <f t="shared" ca="1" si="290"/>
        <v>#REF!</v>
      </c>
      <c r="BN157" s="113" t="e">
        <f t="shared" ca="1" si="291"/>
        <v>#REF!</v>
      </c>
      <c r="BO157" s="114" t="e">
        <f t="shared" ca="1" si="292"/>
        <v>#REF!</v>
      </c>
      <c r="BP157" s="114" t="e">
        <f ca="1">-($V157-IF(($P157+$R157+$S157)&gt;0,MAX($V157/($P157+$R157+$S157)*($Q157+$R157),$V157),0))*LT_InvestmentQDI</f>
        <v>#REF!</v>
      </c>
      <c r="BQ157" s="114" t="e">
        <f ca="1">-($V157-IF(($P157+$R157+$S157)&gt;0,MAX($V157/($P157+$R157+$S157)*($Q157+$R157),$V157),0))*(1-LT_InvestmentQDI)</f>
        <v>#REF!</v>
      </c>
      <c r="BR157" s="114" t="e">
        <f t="shared" ca="1" si="293"/>
        <v>#REF!</v>
      </c>
      <c r="BS157" s="114" t="e">
        <f t="shared" ca="1" si="294"/>
        <v>#REF!</v>
      </c>
      <c r="BT157" s="649"/>
      <c r="BU157" s="637"/>
      <c r="BV157" s="637"/>
      <c r="BW157" s="637"/>
      <c r="BX157" s="639"/>
    </row>
    <row r="158" spans="2:76" x14ac:dyDescent="0.25">
      <c r="B158" s="65">
        <f ca="1">B156+1</f>
        <v>2096</v>
      </c>
      <c r="C158" s="76" t="s">
        <v>741</v>
      </c>
      <c r="D158" s="146" t="str">
        <f t="shared" si="253"/>
        <v/>
      </c>
      <c r="E158" s="77">
        <f t="shared" si="254"/>
        <v>0</v>
      </c>
      <c r="F158" s="77">
        <f t="shared" si="259"/>
        <v>1</v>
      </c>
      <c r="G158" s="76">
        <f t="shared" si="255"/>
        <v>1</v>
      </c>
      <c r="H158" s="76">
        <f t="shared" si="256"/>
        <v>0</v>
      </c>
      <c r="I158" s="77" t="b">
        <f t="shared" si="257"/>
        <v>0</v>
      </c>
      <c r="J158" s="77"/>
      <c r="K158" s="77"/>
      <c r="L158" s="77"/>
      <c r="M158" s="77"/>
      <c r="N158" s="632">
        <f ca="1">YEAR(SP_TargetRD)-$B158</f>
        <v>-73</v>
      </c>
      <c r="O158" s="243" t="e">
        <f ca="1">LT_InvestmentStocks*INDEX(SP_EA_ARStocks,EAIDX)+LT_InvestmentBonds*INDEX(SC_EA_ARBonds,EAIDX)</f>
        <v>#REF!</v>
      </c>
      <c r="P158" s="634" t="e">
        <f ca="1">MAX(P156+R156+S156+V156+W156,0)</f>
        <v>#VALUE!</v>
      </c>
      <c r="Q158" s="617" t="e">
        <f t="shared" ref="Q158" ca="1" si="311">MAX(Q156+R156+IF((P156+R156+S156)&gt;0,MAX(V156/(P156+R156+S156)*(Q156+R156),V156),0),0)</f>
        <v>#VALUE!</v>
      </c>
      <c r="R158" s="617" t="e">
        <f ca="1">IF(SC_ZX_CodeA="X", 0, MAX(INDEX(SC_ZX_IncomeSurplus,ZXIDX2)+INDEX(SC_ZX_Debt,ZXIDX2),0))</f>
        <v>#VALUE!</v>
      </c>
      <c r="S158" s="617" t="e">
        <f ca="1">IF(SC_ZX_CodeA="X", 0, INDEX(SC_EX_RolloverCore,EXIDX))</f>
        <v>#VALUE!</v>
      </c>
      <c r="T158" s="617" t="e">
        <f ca="1">P158+R158+S158</f>
        <v>#VALUE!</v>
      </c>
      <c r="U158" s="642" t="e">
        <f ca="1">IF(SC_ZX_BalanceAccessibleA&gt;0, T158/SC_ZX_BalanceAccessibleA, 0)</f>
        <v>#VALUE!</v>
      </c>
      <c r="V158" s="617" t="e">
        <f ca="1">-IF(SC_ZX_CodeA="X",0,MIN(U158*MAX(INDEX(SC_ZX_Drawdown,ZXIDX2),0),T158))</f>
        <v>#VALUE!</v>
      </c>
      <c r="W158" s="618" t="e">
        <f ca="1">(P158+R158+S158+V158)*$O158</f>
        <v>#VALUE!</v>
      </c>
      <c r="X158" s="75" t="e">
        <f t="shared" ca="1" si="261"/>
        <v>#REF!</v>
      </c>
      <c r="Y158" s="70" t="e">
        <f t="shared" ca="1" si="262"/>
        <v>#REF!</v>
      </c>
      <c r="Z158" s="70" t="e">
        <f t="shared" ca="1" si="263"/>
        <v>#REF!</v>
      </c>
      <c r="AA158" s="70" t="e">
        <f t="shared" ca="1" si="264"/>
        <v>#REF!</v>
      </c>
      <c r="AB158" s="67" t="e">
        <f t="shared" ca="1" si="297"/>
        <v>#REF!</v>
      </c>
      <c r="AC158" s="70" t="e">
        <f ca="1">-IF(INDEX(SC_ZX_CodeA,ZXIDX1)="X", 0, MIN(AB158*MAX(INDEX(SC_ZX_Drawdown,ZXIDX2),0),AA158))</f>
        <v>#REF!</v>
      </c>
      <c r="AD158" s="109" t="e">
        <f t="shared" ca="1" si="265"/>
        <v>#REF!</v>
      </c>
      <c r="AE158" s="75" t="e">
        <f t="shared" ca="1" si="266"/>
        <v>#REF!</v>
      </c>
      <c r="AF158" s="70" t="e">
        <f t="shared" ca="1" si="267"/>
        <v>#REF!</v>
      </c>
      <c r="AG158" s="70" t="e">
        <f t="shared" ca="1" si="268"/>
        <v>#REF!</v>
      </c>
      <c r="AH158" s="70" t="e">
        <f t="shared" ca="1" si="269"/>
        <v>#REF!</v>
      </c>
      <c r="AI158" s="67" t="e">
        <f t="shared" ca="1" si="298"/>
        <v>#REF!</v>
      </c>
      <c r="AJ158" s="70" t="e">
        <f ca="1">-IF(INDEX(SC_ZX_CodeA,ZXIDX1)="X", 0, MIN(AI158*MAX(INDEX(SC_ZX_Drawdown,ZXIDX2),0),AH158))</f>
        <v>#REF!</v>
      </c>
      <c r="AK158" s="109" t="e">
        <f t="shared" ca="1" si="270"/>
        <v>#REF!</v>
      </c>
      <c r="AL158" s="75" t="e">
        <f t="shared" ca="1" si="271"/>
        <v>#REF!</v>
      </c>
      <c r="AM158" s="70" t="e">
        <f t="shared" ca="1" si="272"/>
        <v>#REF!</v>
      </c>
      <c r="AN158" s="70" t="e">
        <f t="shared" ca="1" si="273"/>
        <v>#REF!</v>
      </c>
      <c r="AO158" s="70" t="e">
        <f t="shared" ca="1" si="274"/>
        <v>#REF!</v>
      </c>
      <c r="AP158" s="67" t="e">
        <f t="shared" ca="1" si="299"/>
        <v>#REF!</v>
      </c>
      <c r="AQ158" s="70" t="e">
        <f ca="1">-IF(INDEX(SC_ZX_CodeA,ZXIDX1)="X", 0, MIN(AP158*MAX(INDEX(SC_ZX_Drawdown,ZXIDX2),0),AO158))</f>
        <v>#REF!</v>
      </c>
      <c r="AR158" s="109" t="e">
        <f t="shared" ca="1" si="275"/>
        <v>#REF!</v>
      </c>
      <c r="AS158" s="75" t="e">
        <f t="shared" ca="1" si="276"/>
        <v>#REF!</v>
      </c>
      <c r="AT158" s="70" t="e">
        <f t="shared" ca="1" si="277"/>
        <v>#REF!</v>
      </c>
      <c r="AU158" s="70" t="e">
        <f t="shared" ca="1" si="278"/>
        <v>#REF!</v>
      </c>
      <c r="AV158" s="70" t="e">
        <f t="shared" ca="1" si="279"/>
        <v>#REF!</v>
      </c>
      <c r="AW158" s="67" t="e">
        <f t="shared" ca="1" si="300"/>
        <v>#REF!</v>
      </c>
      <c r="AX158" s="70" t="e">
        <f ca="1">-IF(INDEX(SC_ZX_CodeA,ZXIDX1)="X", 0, MIN(AW158*MAX(INDEX(SC_ZX_Drawdown,ZXIDX2),0),AV158))</f>
        <v>#REF!</v>
      </c>
      <c r="AY158" s="109" t="e">
        <f t="shared" ca="1" si="280"/>
        <v>#REF!</v>
      </c>
      <c r="AZ158" s="75" t="e">
        <f t="shared" ca="1" si="281"/>
        <v>#REF!</v>
      </c>
      <c r="BA158" s="70" t="e">
        <f t="shared" ca="1" si="282"/>
        <v>#REF!</v>
      </c>
      <c r="BB158" s="70" t="e">
        <f t="shared" ca="1" si="283"/>
        <v>#REF!</v>
      </c>
      <c r="BC158" s="70" t="e">
        <f t="shared" ca="1" si="284"/>
        <v>#REF!</v>
      </c>
      <c r="BD158" s="67" t="e">
        <f t="shared" ca="1" si="301"/>
        <v>#REF!</v>
      </c>
      <c r="BE158" s="70" t="e">
        <f ca="1">-IF(INDEX(SC_ZX_CodeA,ZXIDX1)="X", 0, MIN(BD158*MAX(INDEX(SC_ZX_Drawdown,ZXIDX2),0),AZ158))</f>
        <v>#REF!</v>
      </c>
      <c r="BF158" s="109" t="e">
        <f t="shared" ca="1" si="285"/>
        <v>#REF!</v>
      </c>
      <c r="BG158" s="75" t="e">
        <f t="shared" ca="1" si="286"/>
        <v>#REF!</v>
      </c>
      <c r="BH158" s="70" t="e">
        <f t="shared" ca="1" si="287"/>
        <v>#REF!</v>
      </c>
      <c r="BI158" s="70" t="e">
        <f t="shared" ca="1" si="288"/>
        <v>#REF!</v>
      </c>
      <c r="BJ158" s="70" t="e">
        <f t="shared" ca="1" si="289"/>
        <v>#REF!</v>
      </c>
      <c r="BK158" s="67" t="e">
        <f t="shared" ca="1" si="302"/>
        <v>#REF!</v>
      </c>
      <c r="BL158" s="70" t="e">
        <f ca="1">-IF(INDEX(SC_ZX_CodeA,ZXIDX1)="X", 0, MIN(BK158*MAX(INDEX(SC_ZX_Drawdown,ZXIDX2),0),BJ158))</f>
        <v>#REF!</v>
      </c>
      <c r="BM158" s="70" t="e">
        <f t="shared" ca="1" si="290"/>
        <v>#REF!</v>
      </c>
      <c r="BN158" s="111" t="e">
        <f t="shared" ca="1" si="291"/>
        <v>#REF!</v>
      </c>
      <c r="BO158" s="112" t="e">
        <f t="shared" ca="1" si="292"/>
        <v>#REF!</v>
      </c>
      <c r="BP158" s="112" t="e">
        <f ca="1">-($V158-IF(($P158+$R158+$S158)&gt;0,MAX($V158/($P158+$R158+$S158)*($Q158+$R158),$V158),0))*LT_InvestmentQDI</f>
        <v>#VALUE!</v>
      </c>
      <c r="BQ158" s="112" t="e">
        <f ca="1">-($V158-IF(($P158+$R158+$S158)&gt;0,MAX($V158/($P158+$R158+$S158)*($Q158+$R158),$V158),0))*(1-LT_InvestmentQDI)</f>
        <v>#VALUE!</v>
      </c>
      <c r="BR158" s="112" t="e">
        <f t="shared" ca="1" si="293"/>
        <v>#VALUE!</v>
      </c>
      <c r="BS158" s="112" t="e">
        <f t="shared" ca="1" si="294"/>
        <v>#VALUE!</v>
      </c>
      <c r="BT158" s="634" t="e">
        <f ca="1">SUMPRODUCT($BN158:$BN159+$BO158:$BO159, --($E158:$E159&lt;&gt;0))</f>
        <v>#REF!</v>
      </c>
      <c r="BU158" s="617" t="e">
        <f ca="1">SUMPRODUCT($BR158:$BR159+$BS158:$BS159, --($E158:$E159&lt;&gt;0))</f>
        <v>#VALUE!</v>
      </c>
      <c r="BV158" s="617" t="e">
        <f ca="1">$T158+SUMPRODUCT($AA158:$AA159+$AH158:$AH159+$AO158:$AO159+$AV158:$AV159+$BC158:$BC159+$BJ158:$BJ159, --($E158:$E159&lt;&gt;0))</f>
        <v>#VALUE!</v>
      </c>
      <c r="BW158" s="617" t="e">
        <f ca="1">MAX($P158-$Q158,0)+SUMPRODUCT($X158:$X159+$AL158:$AL159+$AZ158:$AZ159, --($E158:$E159&lt;&gt;0))</f>
        <v>#VALUE!</v>
      </c>
      <c r="BX158" s="618" t="e">
        <f ca="1">MIN($P158,$Q158)+SUMPRODUCT($AE158:$AE159+$AS158:$AS159+$BG158:$BG159, --($E158:$E159&lt;&gt;0))</f>
        <v>#VALUE!</v>
      </c>
    </row>
    <row r="159" spans="2:76" x14ac:dyDescent="0.25">
      <c r="B159" s="86">
        <f t="shared" ca="1" si="295"/>
        <v>2096</v>
      </c>
      <c r="C159" s="80" t="s">
        <v>741</v>
      </c>
      <c r="D159" s="147" t="str">
        <f t="shared" si="253"/>
        <v/>
      </c>
      <c r="E159" s="81">
        <f t="shared" si="254"/>
        <v>0</v>
      </c>
      <c r="F159" s="81">
        <f t="shared" si="259"/>
        <v>2</v>
      </c>
      <c r="G159" s="82">
        <f t="shared" si="255"/>
        <v>-1</v>
      </c>
      <c r="H159" s="82">
        <f t="shared" si="256"/>
        <v>0</v>
      </c>
      <c r="I159" s="81" t="b">
        <f t="shared" si="257"/>
        <v>0</v>
      </c>
      <c r="J159" s="81"/>
      <c r="K159" s="81"/>
      <c r="L159" s="81"/>
      <c r="M159" s="81"/>
      <c r="N159" s="633"/>
      <c r="O159" s="243" t="e">
        <f ca="1">LT_InvestmentStocks*INDEX(SP_EA_ARStocks,EAIDX)+LT_InvestmentBonds*INDEX(SC_EA_ARBonds,EAIDX)</f>
        <v>#REF!</v>
      </c>
      <c r="P159" s="634"/>
      <c r="Q159" s="617"/>
      <c r="R159" s="617"/>
      <c r="S159" s="617"/>
      <c r="T159" s="617"/>
      <c r="U159" s="643"/>
      <c r="V159" s="617"/>
      <c r="W159" s="639"/>
      <c r="X159" s="106" t="e">
        <f t="shared" ca="1" si="261"/>
        <v>#REF!</v>
      </c>
      <c r="Y159" s="107" t="e">
        <f t="shared" ca="1" si="262"/>
        <v>#REF!</v>
      </c>
      <c r="Z159" s="107" t="e">
        <f t="shared" ca="1" si="263"/>
        <v>#REF!</v>
      </c>
      <c r="AA159" s="107" t="e">
        <f t="shared" ca="1" si="264"/>
        <v>#REF!</v>
      </c>
      <c r="AB159" s="91" t="e">
        <f t="shared" ca="1" si="297"/>
        <v>#REF!</v>
      </c>
      <c r="AC159" s="107" t="e">
        <f ca="1">-IF(INDEX(SC_ZX_CodeA,ZXIDX1)="X", 0, MIN(AB159*MAX(INDEX(SC_ZX_Drawdown,ZXIDX2),0),AA159))</f>
        <v>#REF!</v>
      </c>
      <c r="AD159" s="110" t="e">
        <f t="shared" ca="1" si="265"/>
        <v>#REF!</v>
      </c>
      <c r="AE159" s="106" t="e">
        <f t="shared" ca="1" si="266"/>
        <v>#REF!</v>
      </c>
      <c r="AF159" s="107" t="e">
        <f t="shared" ca="1" si="267"/>
        <v>#REF!</v>
      </c>
      <c r="AG159" s="107" t="e">
        <f t="shared" ca="1" si="268"/>
        <v>#REF!</v>
      </c>
      <c r="AH159" s="107" t="e">
        <f t="shared" ca="1" si="269"/>
        <v>#REF!</v>
      </c>
      <c r="AI159" s="91" t="e">
        <f t="shared" ca="1" si="298"/>
        <v>#REF!</v>
      </c>
      <c r="AJ159" s="107" t="e">
        <f ca="1">-IF(INDEX(SC_ZX_CodeA,ZXIDX1)="X", 0, MIN(AI159*MAX(INDEX(SC_ZX_Drawdown,ZXIDX2),0),AH159))</f>
        <v>#REF!</v>
      </c>
      <c r="AK159" s="110" t="e">
        <f t="shared" ca="1" si="270"/>
        <v>#REF!</v>
      </c>
      <c r="AL159" s="106" t="e">
        <f t="shared" ca="1" si="271"/>
        <v>#REF!</v>
      </c>
      <c r="AM159" s="107" t="e">
        <f t="shared" ca="1" si="272"/>
        <v>#REF!</v>
      </c>
      <c r="AN159" s="107" t="e">
        <f t="shared" ca="1" si="273"/>
        <v>#REF!</v>
      </c>
      <c r="AO159" s="107" t="e">
        <f t="shared" ca="1" si="274"/>
        <v>#REF!</v>
      </c>
      <c r="AP159" s="91" t="e">
        <f t="shared" ca="1" si="299"/>
        <v>#REF!</v>
      </c>
      <c r="AQ159" s="107" t="e">
        <f ca="1">-IF(INDEX(SC_ZX_CodeA,ZXIDX1)="X", 0, MIN(AP159*MAX(INDEX(SC_ZX_Drawdown,ZXIDX2),0),AO159))</f>
        <v>#REF!</v>
      </c>
      <c r="AR159" s="110" t="e">
        <f t="shared" ca="1" si="275"/>
        <v>#REF!</v>
      </c>
      <c r="AS159" s="106" t="e">
        <f t="shared" ca="1" si="276"/>
        <v>#REF!</v>
      </c>
      <c r="AT159" s="107" t="e">
        <f t="shared" ca="1" si="277"/>
        <v>#REF!</v>
      </c>
      <c r="AU159" s="107" t="e">
        <f t="shared" ca="1" si="278"/>
        <v>#REF!</v>
      </c>
      <c r="AV159" s="107" t="e">
        <f t="shared" ca="1" si="279"/>
        <v>#REF!</v>
      </c>
      <c r="AW159" s="91" t="e">
        <f t="shared" ca="1" si="300"/>
        <v>#REF!</v>
      </c>
      <c r="AX159" s="107" t="e">
        <f ca="1">-IF(INDEX(SC_ZX_CodeA,ZXIDX1)="X", 0, MIN(AW159*MAX(INDEX(SC_ZX_Drawdown,ZXIDX2),0),AV159))</f>
        <v>#REF!</v>
      </c>
      <c r="AY159" s="110" t="e">
        <f t="shared" ca="1" si="280"/>
        <v>#REF!</v>
      </c>
      <c r="AZ159" s="106" t="e">
        <f t="shared" ca="1" si="281"/>
        <v>#REF!</v>
      </c>
      <c r="BA159" s="107" t="e">
        <f t="shared" ca="1" si="282"/>
        <v>#REF!</v>
      </c>
      <c r="BB159" s="107" t="e">
        <f t="shared" ca="1" si="283"/>
        <v>#REF!</v>
      </c>
      <c r="BC159" s="107" t="e">
        <f t="shared" ca="1" si="284"/>
        <v>#REF!</v>
      </c>
      <c r="BD159" s="91" t="e">
        <f t="shared" ca="1" si="301"/>
        <v>#REF!</v>
      </c>
      <c r="BE159" s="107" t="e">
        <f ca="1">-IF(INDEX(SC_ZX_CodeA,ZXIDX1)="X", 0, MIN(BD159*MAX(INDEX(SC_ZX_Drawdown,ZXIDX2),0),AZ159))</f>
        <v>#REF!</v>
      </c>
      <c r="BF159" s="110" t="e">
        <f t="shared" ca="1" si="285"/>
        <v>#REF!</v>
      </c>
      <c r="BG159" s="106" t="e">
        <f t="shared" ca="1" si="286"/>
        <v>#REF!</v>
      </c>
      <c r="BH159" s="107" t="e">
        <f t="shared" ca="1" si="287"/>
        <v>#REF!</v>
      </c>
      <c r="BI159" s="107" t="e">
        <f t="shared" ca="1" si="288"/>
        <v>#REF!</v>
      </c>
      <c r="BJ159" s="107" t="e">
        <f t="shared" ca="1" si="289"/>
        <v>#REF!</v>
      </c>
      <c r="BK159" s="91" t="e">
        <f t="shared" ca="1" si="302"/>
        <v>#REF!</v>
      </c>
      <c r="BL159" s="107" t="e">
        <f ca="1">-IF(INDEX(SC_ZX_CodeA,ZXIDX1)="X", 0, MIN(BK159*MAX(INDEX(SC_ZX_Drawdown,ZXIDX2),0),BJ159))</f>
        <v>#REF!</v>
      </c>
      <c r="BM159" s="107" t="e">
        <f t="shared" ca="1" si="290"/>
        <v>#REF!</v>
      </c>
      <c r="BN159" s="113" t="e">
        <f t="shared" ca="1" si="291"/>
        <v>#REF!</v>
      </c>
      <c r="BO159" s="114" t="e">
        <f t="shared" ca="1" si="292"/>
        <v>#REF!</v>
      </c>
      <c r="BP159" s="114" t="e">
        <f ca="1">-($V159-IF(($P159+$R159+$S159)&gt;0,MAX($V159/($P159+$R159+$S159)*($Q159+$R159),$V159),0))*LT_InvestmentQDI</f>
        <v>#REF!</v>
      </c>
      <c r="BQ159" s="114" t="e">
        <f ca="1">-($V159-IF(($P159+$R159+$S159)&gt;0,MAX($V159/($P159+$R159+$S159)*($Q159+$R159),$V159),0))*(1-LT_InvestmentQDI)</f>
        <v>#REF!</v>
      </c>
      <c r="BR159" s="114" t="e">
        <f t="shared" ca="1" si="293"/>
        <v>#REF!</v>
      </c>
      <c r="BS159" s="114" t="e">
        <f t="shared" ca="1" si="294"/>
        <v>#REF!</v>
      </c>
      <c r="BT159" s="649"/>
      <c r="BU159" s="637"/>
      <c r="BV159" s="637"/>
      <c r="BW159" s="637"/>
      <c r="BX159" s="639"/>
    </row>
    <row r="160" spans="2:76" x14ac:dyDescent="0.25">
      <c r="B160" s="65">
        <f ca="1">B158+1</f>
        <v>2097</v>
      </c>
      <c r="C160" s="76" t="s">
        <v>741</v>
      </c>
      <c r="D160" s="146" t="str">
        <f t="shared" si="253"/>
        <v/>
      </c>
      <c r="E160" s="77">
        <f t="shared" si="254"/>
        <v>0</v>
      </c>
      <c r="F160" s="77">
        <f t="shared" si="259"/>
        <v>1</v>
      </c>
      <c r="G160" s="76">
        <f t="shared" si="255"/>
        <v>1</v>
      </c>
      <c r="H160" s="76">
        <f t="shared" si="256"/>
        <v>0</v>
      </c>
      <c r="I160" s="77" t="b">
        <f t="shared" si="257"/>
        <v>0</v>
      </c>
      <c r="J160" s="77"/>
      <c r="K160" s="77"/>
      <c r="L160" s="77"/>
      <c r="M160" s="77"/>
      <c r="N160" s="632">
        <f ca="1">YEAR(SP_TargetRD)-$B160</f>
        <v>-74</v>
      </c>
      <c r="O160" s="243" t="e">
        <f ca="1">LT_InvestmentStocks*INDEX(SP_EA_ARStocks,EAIDX)+LT_InvestmentBonds*INDEX(SC_EA_ARBonds,EAIDX)</f>
        <v>#REF!</v>
      </c>
      <c r="P160" s="634" t="e">
        <f ca="1">MAX(P158+R158+S158+V158+W158,0)</f>
        <v>#VALUE!</v>
      </c>
      <c r="Q160" s="617" t="e">
        <f t="shared" ref="Q160" ca="1" si="312">MAX(Q158+R158+IF((P158+R158+S158)&gt;0,MAX(V158/(P158+R158+S158)*(Q158+R158),V158),0),0)</f>
        <v>#VALUE!</v>
      </c>
      <c r="R160" s="617" t="e">
        <f ca="1">IF(SC_ZX_CodeA="X", 0, MAX(INDEX(SC_ZX_IncomeSurplus,ZXIDX2)+INDEX(SC_ZX_Debt,ZXIDX2),0))</f>
        <v>#VALUE!</v>
      </c>
      <c r="S160" s="617" t="e">
        <f ca="1">IF(SC_ZX_CodeA="X", 0, INDEX(SC_EX_RolloverCore,EXIDX))</f>
        <v>#VALUE!</v>
      </c>
      <c r="T160" s="617" t="e">
        <f ca="1">P160+R160+S160</f>
        <v>#VALUE!</v>
      </c>
      <c r="U160" s="642" t="e">
        <f ca="1">IF(SC_ZX_BalanceAccessibleA&gt;0, T160/SC_ZX_BalanceAccessibleA, 0)</f>
        <v>#VALUE!</v>
      </c>
      <c r="V160" s="617" t="e">
        <f ca="1">-IF(SC_ZX_CodeA="X",0,MIN(U160*MAX(INDEX(SC_ZX_Drawdown,ZXIDX2),0),T160))</f>
        <v>#VALUE!</v>
      </c>
      <c r="W160" s="618" t="e">
        <f ca="1">(P160+R160+S160+V160)*$O160</f>
        <v>#VALUE!</v>
      </c>
      <c r="X160" s="75" t="e">
        <f t="shared" ca="1" si="261"/>
        <v>#REF!</v>
      </c>
      <c r="Y160" s="70" t="e">
        <f t="shared" ca="1" si="262"/>
        <v>#REF!</v>
      </c>
      <c r="Z160" s="70" t="e">
        <f t="shared" ca="1" si="263"/>
        <v>#REF!</v>
      </c>
      <c r="AA160" s="70" t="e">
        <f t="shared" ca="1" si="264"/>
        <v>#REF!</v>
      </c>
      <c r="AB160" s="67" t="e">
        <f t="shared" ca="1" si="297"/>
        <v>#REF!</v>
      </c>
      <c r="AC160" s="70" t="e">
        <f ca="1">-IF(INDEX(SC_ZX_CodeA,ZXIDX1)="X", 0, MIN(AB160*MAX(INDEX(SC_ZX_Drawdown,ZXIDX2),0),AA160))</f>
        <v>#REF!</v>
      </c>
      <c r="AD160" s="109" t="e">
        <f t="shared" ca="1" si="265"/>
        <v>#REF!</v>
      </c>
      <c r="AE160" s="75" t="e">
        <f t="shared" ca="1" si="266"/>
        <v>#REF!</v>
      </c>
      <c r="AF160" s="70" t="e">
        <f t="shared" ca="1" si="267"/>
        <v>#REF!</v>
      </c>
      <c r="AG160" s="70" t="e">
        <f t="shared" ca="1" si="268"/>
        <v>#REF!</v>
      </c>
      <c r="AH160" s="70" t="e">
        <f t="shared" ca="1" si="269"/>
        <v>#REF!</v>
      </c>
      <c r="AI160" s="67" t="e">
        <f t="shared" ca="1" si="298"/>
        <v>#REF!</v>
      </c>
      <c r="AJ160" s="70" t="e">
        <f ca="1">-IF(INDEX(SC_ZX_CodeA,ZXIDX1)="X", 0, MIN(AI160*MAX(INDEX(SC_ZX_Drawdown,ZXIDX2),0),AH160))</f>
        <v>#REF!</v>
      </c>
      <c r="AK160" s="109" t="e">
        <f t="shared" ca="1" si="270"/>
        <v>#REF!</v>
      </c>
      <c r="AL160" s="75" t="e">
        <f t="shared" ca="1" si="271"/>
        <v>#REF!</v>
      </c>
      <c r="AM160" s="70" t="e">
        <f t="shared" ca="1" si="272"/>
        <v>#REF!</v>
      </c>
      <c r="AN160" s="70" t="e">
        <f t="shared" ca="1" si="273"/>
        <v>#REF!</v>
      </c>
      <c r="AO160" s="70" t="e">
        <f t="shared" ca="1" si="274"/>
        <v>#REF!</v>
      </c>
      <c r="AP160" s="67" t="e">
        <f t="shared" ca="1" si="299"/>
        <v>#REF!</v>
      </c>
      <c r="AQ160" s="70" t="e">
        <f ca="1">-IF(INDEX(SC_ZX_CodeA,ZXIDX1)="X", 0, MIN(AP160*MAX(INDEX(SC_ZX_Drawdown,ZXIDX2),0),AO160))</f>
        <v>#REF!</v>
      </c>
      <c r="AR160" s="109" t="e">
        <f t="shared" ca="1" si="275"/>
        <v>#REF!</v>
      </c>
      <c r="AS160" s="75" t="e">
        <f t="shared" ca="1" si="276"/>
        <v>#REF!</v>
      </c>
      <c r="AT160" s="70" t="e">
        <f t="shared" ca="1" si="277"/>
        <v>#REF!</v>
      </c>
      <c r="AU160" s="70" t="e">
        <f t="shared" ca="1" si="278"/>
        <v>#REF!</v>
      </c>
      <c r="AV160" s="70" t="e">
        <f t="shared" ca="1" si="279"/>
        <v>#REF!</v>
      </c>
      <c r="AW160" s="67" t="e">
        <f t="shared" ca="1" si="300"/>
        <v>#REF!</v>
      </c>
      <c r="AX160" s="70" t="e">
        <f ca="1">-IF(INDEX(SC_ZX_CodeA,ZXIDX1)="X", 0, MIN(AW160*MAX(INDEX(SC_ZX_Drawdown,ZXIDX2),0),AV160))</f>
        <v>#REF!</v>
      </c>
      <c r="AY160" s="109" t="e">
        <f t="shared" ca="1" si="280"/>
        <v>#REF!</v>
      </c>
      <c r="AZ160" s="75" t="e">
        <f t="shared" ca="1" si="281"/>
        <v>#REF!</v>
      </c>
      <c r="BA160" s="70" t="e">
        <f t="shared" ca="1" si="282"/>
        <v>#REF!</v>
      </c>
      <c r="BB160" s="70" t="e">
        <f t="shared" ca="1" si="283"/>
        <v>#REF!</v>
      </c>
      <c r="BC160" s="70" t="e">
        <f t="shared" ca="1" si="284"/>
        <v>#REF!</v>
      </c>
      <c r="BD160" s="67" t="e">
        <f t="shared" ca="1" si="301"/>
        <v>#REF!</v>
      </c>
      <c r="BE160" s="70" t="e">
        <f ca="1">-IF(INDEX(SC_ZX_CodeA,ZXIDX1)="X", 0, MIN(BD160*MAX(INDEX(SC_ZX_Drawdown,ZXIDX2),0),AZ160))</f>
        <v>#REF!</v>
      </c>
      <c r="BF160" s="109" t="e">
        <f t="shared" ca="1" si="285"/>
        <v>#REF!</v>
      </c>
      <c r="BG160" s="75" t="e">
        <f t="shared" ca="1" si="286"/>
        <v>#REF!</v>
      </c>
      <c r="BH160" s="70" t="e">
        <f t="shared" ca="1" si="287"/>
        <v>#REF!</v>
      </c>
      <c r="BI160" s="70" t="e">
        <f t="shared" ca="1" si="288"/>
        <v>#REF!</v>
      </c>
      <c r="BJ160" s="70" t="e">
        <f t="shared" ca="1" si="289"/>
        <v>#REF!</v>
      </c>
      <c r="BK160" s="67" t="e">
        <f t="shared" ca="1" si="302"/>
        <v>#REF!</v>
      </c>
      <c r="BL160" s="70" t="e">
        <f ca="1">-IF(INDEX(SC_ZX_CodeA,ZXIDX1)="X", 0, MIN(BK160*MAX(INDEX(SC_ZX_Drawdown,ZXIDX2),0),BJ160))</f>
        <v>#REF!</v>
      </c>
      <c r="BM160" s="70" t="e">
        <f t="shared" ca="1" si="290"/>
        <v>#REF!</v>
      </c>
      <c r="BN160" s="111" t="e">
        <f t="shared" ca="1" si="291"/>
        <v>#REF!</v>
      </c>
      <c r="BO160" s="112" t="e">
        <f t="shared" ca="1" si="292"/>
        <v>#REF!</v>
      </c>
      <c r="BP160" s="112" t="e">
        <f ca="1">-($V160-IF(($P160+$R160+$S160)&gt;0,MAX($V160/($P160+$R160+$S160)*($Q160+$R160),$V160),0))*LT_InvestmentQDI</f>
        <v>#VALUE!</v>
      </c>
      <c r="BQ160" s="112" t="e">
        <f ca="1">-($V160-IF(($P160+$R160+$S160)&gt;0,MAX($V160/($P160+$R160+$S160)*($Q160+$R160),$V160),0))*(1-LT_InvestmentQDI)</f>
        <v>#VALUE!</v>
      </c>
      <c r="BR160" s="112" t="e">
        <f t="shared" ca="1" si="293"/>
        <v>#VALUE!</v>
      </c>
      <c r="BS160" s="112" t="e">
        <f t="shared" ca="1" si="294"/>
        <v>#VALUE!</v>
      </c>
      <c r="BT160" s="634" t="e">
        <f ca="1">SUMPRODUCT($BN160:$BN161+$BO160:$BO161, --($E160:$E161&lt;&gt;0))</f>
        <v>#REF!</v>
      </c>
      <c r="BU160" s="617" t="e">
        <f ca="1">SUMPRODUCT($BR160:$BR161+$BS160:$BS161, --($E160:$E161&lt;&gt;0))</f>
        <v>#VALUE!</v>
      </c>
      <c r="BV160" s="617" t="e">
        <f ca="1">$T160+SUMPRODUCT($AA160:$AA161+$AH160:$AH161+$AO160:$AO161+$AV160:$AV161+$BC160:$BC161+$BJ160:$BJ161, --($E160:$E161&lt;&gt;0))</f>
        <v>#VALUE!</v>
      </c>
      <c r="BW160" s="617" t="e">
        <f ca="1">MAX($P160-$Q160,0)+SUMPRODUCT($X160:$X161+$AL160:$AL161+$AZ160:$AZ161, --($E160:$E161&lt;&gt;0))</f>
        <v>#VALUE!</v>
      </c>
      <c r="BX160" s="618" t="e">
        <f ca="1">MIN($P160,$Q160)+SUMPRODUCT($AE160:$AE161+$AS160:$AS161+$BG160:$BG161, --($E160:$E161&lt;&gt;0))</f>
        <v>#VALUE!</v>
      </c>
    </row>
    <row r="161" spans="2:76" x14ac:dyDescent="0.25">
      <c r="B161" s="86">
        <f t="shared" ca="1" si="295"/>
        <v>2097</v>
      </c>
      <c r="C161" s="80" t="s">
        <v>741</v>
      </c>
      <c r="D161" s="147" t="str">
        <f t="shared" si="253"/>
        <v/>
      </c>
      <c r="E161" s="81">
        <f t="shared" si="254"/>
        <v>0</v>
      </c>
      <c r="F161" s="81">
        <f t="shared" si="259"/>
        <v>2</v>
      </c>
      <c r="G161" s="82">
        <f t="shared" si="255"/>
        <v>-1</v>
      </c>
      <c r="H161" s="82">
        <f t="shared" si="256"/>
        <v>0</v>
      </c>
      <c r="I161" s="81" t="b">
        <f t="shared" si="257"/>
        <v>0</v>
      </c>
      <c r="J161" s="81"/>
      <c r="K161" s="81"/>
      <c r="L161" s="81"/>
      <c r="M161" s="81"/>
      <c r="N161" s="633"/>
      <c r="O161" s="243" t="e">
        <f ca="1">LT_InvestmentStocks*INDEX(SP_EA_ARStocks,EAIDX)+LT_InvestmentBonds*INDEX(SC_EA_ARBonds,EAIDX)</f>
        <v>#REF!</v>
      </c>
      <c r="P161" s="634"/>
      <c r="Q161" s="617"/>
      <c r="R161" s="617"/>
      <c r="S161" s="617"/>
      <c r="T161" s="617"/>
      <c r="U161" s="643"/>
      <c r="V161" s="617"/>
      <c r="W161" s="639"/>
      <c r="X161" s="106" t="e">
        <f t="shared" ca="1" si="261"/>
        <v>#REF!</v>
      </c>
      <c r="Y161" s="107" t="e">
        <f t="shared" ca="1" si="262"/>
        <v>#REF!</v>
      </c>
      <c r="Z161" s="107" t="e">
        <f t="shared" ca="1" si="263"/>
        <v>#REF!</v>
      </c>
      <c r="AA161" s="107" t="e">
        <f t="shared" ca="1" si="264"/>
        <v>#REF!</v>
      </c>
      <c r="AB161" s="91" t="e">
        <f t="shared" ca="1" si="297"/>
        <v>#REF!</v>
      </c>
      <c r="AC161" s="107" t="e">
        <f ca="1">-IF(INDEX(SC_ZX_CodeA,ZXIDX1)="X", 0, MIN(AB161*MAX(INDEX(SC_ZX_Drawdown,ZXIDX2),0),AA161))</f>
        <v>#REF!</v>
      </c>
      <c r="AD161" s="110" t="e">
        <f t="shared" ca="1" si="265"/>
        <v>#REF!</v>
      </c>
      <c r="AE161" s="106" t="e">
        <f t="shared" ca="1" si="266"/>
        <v>#REF!</v>
      </c>
      <c r="AF161" s="107" t="e">
        <f t="shared" ca="1" si="267"/>
        <v>#REF!</v>
      </c>
      <c r="AG161" s="107" t="e">
        <f t="shared" ca="1" si="268"/>
        <v>#REF!</v>
      </c>
      <c r="AH161" s="107" t="e">
        <f t="shared" ca="1" si="269"/>
        <v>#REF!</v>
      </c>
      <c r="AI161" s="91" t="e">
        <f t="shared" ca="1" si="298"/>
        <v>#REF!</v>
      </c>
      <c r="AJ161" s="107" t="e">
        <f ca="1">-IF(INDEX(SC_ZX_CodeA,ZXIDX1)="X", 0, MIN(AI161*MAX(INDEX(SC_ZX_Drawdown,ZXIDX2),0),AH161))</f>
        <v>#REF!</v>
      </c>
      <c r="AK161" s="110" t="e">
        <f t="shared" ca="1" si="270"/>
        <v>#REF!</v>
      </c>
      <c r="AL161" s="106" t="e">
        <f t="shared" ca="1" si="271"/>
        <v>#REF!</v>
      </c>
      <c r="AM161" s="107" t="e">
        <f t="shared" ca="1" si="272"/>
        <v>#REF!</v>
      </c>
      <c r="AN161" s="107" t="e">
        <f t="shared" ca="1" si="273"/>
        <v>#REF!</v>
      </c>
      <c r="AO161" s="107" t="e">
        <f t="shared" ca="1" si="274"/>
        <v>#REF!</v>
      </c>
      <c r="AP161" s="91" t="e">
        <f t="shared" ca="1" si="299"/>
        <v>#REF!</v>
      </c>
      <c r="AQ161" s="107" t="e">
        <f ca="1">-IF(INDEX(SC_ZX_CodeA,ZXIDX1)="X", 0, MIN(AP161*MAX(INDEX(SC_ZX_Drawdown,ZXIDX2),0),AO161))</f>
        <v>#REF!</v>
      </c>
      <c r="AR161" s="110" t="e">
        <f t="shared" ca="1" si="275"/>
        <v>#REF!</v>
      </c>
      <c r="AS161" s="106" t="e">
        <f t="shared" ca="1" si="276"/>
        <v>#REF!</v>
      </c>
      <c r="AT161" s="107" t="e">
        <f t="shared" ca="1" si="277"/>
        <v>#REF!</v>
      </c>
      <c r="AU161" s="107" t="e">
        <f t="shared" ca="1" si="278"/>
        <v>#REF!</v>
      </c>
      <c r="AV161" s="107" t="e">
        <f t="shared" ca="1" si="279"/>
        <v>#REF!</v>
      </c>
      <c r="AW161" s="91" t="e">
        <f t="shared" ca="1" si="300"/>
        <v>#REF!</v>
      </c>
      <c r="AX161" s="107" t="e">
        <f ca="1">-IF(INDEX(SC_ZX_CodeA,ZXIDX1)="X", 0, MIN(AW161*MAX(INDEX(SC_ZX_Drawdown,ZXIDX2),0),AV161))</f>
        <v>#REF!</v>
      </c>
      <c r="AY161" s="110" t="e">
        <f t="shared" ca="1" si="280"/>
        <v>#REF!</v>
      </c>
      <c r="AZ161" s="106" t="e">
        <f t="shared" ca="1" si="281"/>
        <v>#REF!</v>
      </c>
      <c r="BA161" s="107" t="e">
        <f t="shared" ca="1" si="282"/>
        <v>#REF!</v>
      </c>
      <c r="BB161" s="107" t="e">
        <f t="shared" ca="1" si="283"/>
        <v>#REF!</v>
      </c>
      <c r="BC161" s="107" t="e">
        <f t="shared" ca="1" si="284"/>
        <v>#REF!</v>
      </c>
      <c r="BD161" s="91" t="e">
        <f t="shared" ca="1" si="301"/>
        <v>#REF!</v>
      </c>
      <c r="BE161" s="107" t="e">
        <f ca="1">-IF(INDEX(SC_ZX_CodeA,ZXIDX1)="X", 0, MIN(BD161*MAX(INDEX(SC_ZX_Drawdown,ZXIDX2),0),AZ161))</f>
        <v>#REF!</v>
      </c>
      <c r="BF161" s="110" t="e">
        <f t="shared" ca="1" si="285"/>
        <v>#REF!</v>
      </c>
      <c r="BG161" s="106" t="e">
        <f t="shared" ca="1" si="286"/>
        <v>#REF!</v>
      </c>
      <c r="BH161" s="107" t="e">
        <f t="shared" ca="1" si="287"/>
        <v>#REF!</v>
      </c>
      <c r="BI161" s="107" t="e">
        <f t="shared" ca="1" si="288"/>
        <v>#REF!</v>
      </c>
      <c r="BJ161" s="107" t="e">
        <f t="shared" ca="1" si="289"/>
        <v>#REF!</v>
      </c>
      <c r="BK161" s="91" t="e">
        <f t="shared" ca="1" si="302"/>
        <v>#REF!</v>
      </c>
      <c r="BL161" s="107" t="e">
        <f ca="1">-IF(INDEX(SC_ZX_CodeA,ZXIDX1)="X", 0, MIN(BK161*MAX(INDEX(SC_ZX_Drawdown,ZXIDX2),0),BJ161))</f>
        <v>#REF!</v>
      </c>
      <c r="BM161" s="107" t="e">
        <f t="shared" ca="1" si="290"/>
        <v>#REF!</v>
      </c>
      <c r="BN161" s="113" t="e">
        <f t="shared" ca="1" si="291"/>
        <v>#REF!</v>
      </c>
      <c r="BO161" s="114" t="e">
        <f t="shared" ca="1" si="292"/>
        <v>#REF!</v>
      </c>
      <c r="BP161" s="114" t="e">
        <f ca="1">-($V161-IF(($P161+$R161+$S161)&gt;0,MAX($V161/($P161+$R161+$S161)*($Q161+$R161),$V161),0))*LT_InvestmentQDI</f>
        <v>#REF!</v>
      </c>
      <c r="BQ161" s="114" t="e">
        <f ca="1">-($V161-IF(($P161+$R161+$S161)&gt;0,MAX($V161/($P161+$R161+$S161)*($Q161+$R161),$V161),0))*(1-LT_InvestmentQDI)</f>
        <v>#REF!</v>
      </c>
      <c r="BR161" s="114" t="e">
        <f t="shared" ca="1" si="293"/>
        <v>#REF!</v>
      </c>
      <c r="BS161" s="114" t="e">
        <f t="shared" ca="1" si="294"/>
        <v>#REF!</v>
      </c>
      <c r="BT161" s="649"/>
      <c r="BU161" s="637"/>
      <c r="BV161" s="637"/>
      <c r="BW161" s="637"/>
      <c r="BX161" s="639"/>
    </row>
    <row r="162" spans="2:76" x14ac:dyDescent="0.25">
      <c r="B162" s="65">
        <f ca="1">B160+1</f>
        <v>2098</v>
      </c>
      <c r="C162" s="76" t="s">
        <v>741</v>
      </c>
      <c r="D162" s="146" t="str">
        <f t="shared" si="253"/>
        <v/>
      </c>
      <c r="E162" s="77">
        <f t="shared" si="254"/>
        <v>0</v>
      </c>
      <c r="F162" s="77">
        <f t="shared" si="259"/>
        <v>1</v>
      </c>
      <c r="G162" s="76">
        <f t="shared" si="255"/>
        <v>1</v>
      </c>
      <c r="H162" s="76">
        <f t="shared" si="256"/>
        <v>0</v>
      </c>
      <c r="I162" s="77" t="b">
        <f t="shared" si="257"/>
        <v>0</v>
      </c>
      <c r="J162" s="77"/>
      <c r="K162" s="77"/>
      <c r="L162" s="77"/>
      <c r="M162" s="77"/>
      <c r="N162" s="632">
        <f ca="1">YEAR(SP_TargetRD)-$B162</f>
        <v>-75</v>
      </c>
      <c r="O162" s="243" t="e">
        <f ca="1">LT_InvestmentStocks*INDEX(SP_EA_ARStocks,EAIDX)+LT_InvestmentBonds*INDEX(SC_EA_ARBonds,EAIDX)</f>
        <v>#REF!</v>
      </c>
      <c r="P162" s="634" t="e">
        <f ca="1">MAX(P160+R160+S160+V160+W160,0)</f>
        <v>#VALUE!</v>
      </c>
      <c r="Q162" s="617" t="e">
        <f t="shared" ref="Q162" ca="1" si="313">MAX(Q160+R160+IF((P160+R160+S160)&gt;0,MAX(V160/(P160+R160+S160)*(Q160+R160),V160),0),0)</f>
        <v>#VALUE!</v>
      </c>
      <c r="R162" s="617" t="e">
        <f ca="1">IF(SC_ZX_CodeA="X", 0, MAX(INDEX(SC_ZX_IncomeSurplus,ZXIDX2)+INDEX(SC_ZX_Debt,ZXIDX2),0))</f>
        <v>#VALUE!</v>
      </c>
      <c r="S162" s="617" t="e">
        <f ca="1">IF(SC_ZX_CodeA="X", 0, INDEX(SC_EX_RolloverCore,EXIDX))</f>
        <v>#VALUE!</v>
      </c>
      <c r="T162" s="617" t="e">
        <f ca="1">P162+R162+S162</f>
        <v>#VALUE!</v>
      </c>
      <c r="U162" s="642" t="e">
        <f ca="1">IF(SC_ZX_BalanceAccessibleA&gt;0, T162/SC_ZX_BalanceAccessibleA, 0)</f>
        <v>#VALUE!</v>
      </c>
      <c r="V162" s="617" t="e">
        <f ca="1">-IF(SC_ZX_CodeA="X",0,MIN(U162*MAX(INDEX(SC_ZX_Drawdown,ZXIDX2),0),T162))</f>
        <v>#VALUE!</v>
      </c>
      <c r="W162" s="618" t="e">
        <f ca="1">(P162+R162+S162+V162)*$O162</f>
        <v>#VALUE!</v>
      </c>
      <c r="X162" s="75" t="e">
        <f t="shared" ca="1" si="261"/>
        <v>#REF!</v>
      </c>
      <c r="Y162" s="70" t="e">
        <f t="shared" ca="1" si="262"/>
        <v>#REF!</v>
      </c>
      <c r="Z162" s="70" t="e">
        <f t="shared" ca="1" si="263"/>
        <v>#REF!</v>
      </c>
      <c r="AA162" s="70" t="e">
        <f t="shared" ca="1" si="264"/>
        <v>#REF!</v>
      </c>
      <c r="AB162" s="67" t="e">
        <f t="shared" ca="1" si="297"/>
        <v>#REF!</v>
      </c>
      <c r="AC162" s="70" t="e">
        <f ca="1">-IF(INDEX(SC_ZX_CodeA,ZXIDX1)="X", 0, MIN(AB162*MAX(INDEX(SC_ZX_Drawdown,ZXIDX2),0),AA162))</f>
        <v>#REF!</v>
      </c>
      <c r="AD162" s="109" t="e">
        <f t="shared" ca="1" si="265"/>
        <v>#REF!</v>
      </c>
      <c r="AE162" s="75" t="e">
        <f t="shared" ca="1" si="266"/>
        <v>#REF!</v>
      </c>
      <c r="AF162" s="70" t="e">
        <f t="shared" ca="1" si="267"/>
        <v>#REF!</v>
      </c>
      <c r="AG162" s="70" t="e">
        <f t="shared" ca="1" si="268"/>
        <v>#REF!</v>
      </c>
      <c r="AH162" s="70" t="e">
        <f t="shared" ca="1" si="269"/>
        <v>#REF!</v>
      </c>
      <c r="AI162" s="67" t="e">
        <f t="shared" ca="1" si="298"/>
        <v>#REF!</v>
      </c>
      <c r="AJ162" s="70" t="e">
        <f ca="1">-IF(INDEX(SC_ZX_CodeA,ZXIDX1)="X", 0, MIN(AI162*MAX(INDEX(SC_ZX_Drawdown,ZXIDX2),0),AH162))</f>
        <v>#REF!</v>
      </c>
      <c r="AK162" s="109" t="e">
        <f t="shared" ca="1" si="270"/>
        <v>#REF!</v>
      </c>
      <c r="AL162" s="75" t="e">
        <f t="shared" ca="1" si="271"/>
        <v>#REF!</v>
      </c>
      <c r="AM162" s="70" t="e">
        <f t="shared" ca="1" si="272"/>
        <v>#REF!</v>
      </c>
      <c r="AN162" s="70" t="e">
        <f t="shared" ca="1" si="273"/>
        <v>#REF!</v>
      </c>
      <c r="AO162" s="70" t="e">
        <f t="shared" ca="1" si="274"/>
        <v>#REF!</v>
      </c>
      <c r="AP162" s="67" t="e">
        <f t="shared" ca="1" si="299"/>
        <v>#REF!</v>
      </c>
      <c r="AQ162" s="70" t="e">
        <f ca="1">-IF(INDEX(SC_ZX_CodeA,ZXIDX1)="X", 0, MIN(AP162*MAX(INDEX(SC_ZX_Drawdown,ZXIDX2),0),AO162))</f>
        <v>#REF!</v>
      </c>
      <c r="AR162" s="109" t="e">
        <f t="shared" ca="1" si="275"/>
        <v>#REF!</v>
      </c>
      <c r="AS162" s="75" t="e">
        <f t="shared" ca="1" si="276"/>
        <v>#REF!</v>
      </c>
      <c r="AT162" s="70" t="e">
        <f t="shared" ca="1" si="277"/>
        <v>#REF!</v>
      </c>
      <c r="AU162" s="70" t="e">
        <f t="shared" ca="1" si="278"/>
        <v>#REF!</v>
      </c>
      <c r="AV162" s="70" t="e">
        <f t="shared" ca="1" si="279"/>
        <v>#REF!</v>
      </c>
      <c r="AW162" s="67" t="e">
        <f t="shared" ca="1" si="300"/>
        <v>#REF!</v>
      </c>
      <c r="AX162" s="70" t="e">
        <f ca="1">-IF(INDEX(SC_ZX_CodeA,ZXIDX1)="X", 0, MIN(AW162*MAX(INDEX(SC_ZX_Drawdown,ZXIDX2),0),AV162))</f>
        <v>#REF!</v>
      </c>
      <c r="AY162" s="109" t="e">
        <f t="shared" ca="1" si="280"/>
        <v>#REF!</v>
      </c>
      <c r="AZ162" s="75" t="e">
        <f t="shared" ca="1" si="281"/>
        <v>#REF!</v>
      </c>
      <c r="BA162" s="70" t="e">
        <f t="shared" ca="1" si="282"/>
        <v>#REF!</v>
      </c>
      <c r="BB162" s="70" t="e">
        <f t="shared" ca="1" si="283"/>
        <v>#REF!</v>
      </c>
      <c r="BC162" s="70" t="e">
        <f t="shared" ca="1" si="284"/>
        <v>#REF!</v>
      </c>
      <c r="BD162" s="67" t="e">
        <f t="shared" ca="1" si="301"/>
        <v>#REF!</v>
      </c>
      <c r="BE162" s="70" t="e">
        <f ca="1">-IF(INDEX(SC_ZX_CodeA,ZXIDX1)="X", 0, MIN(BD162*MAX(INDEX(SC_ZX_Drawdown,ZXIDX2),0),AZ162))</f>
        <v>#REF!</v>
      </c>
      <c r="BF162" s="109" t="e">
        <f t="shared" ca="1" si="285"/>
        <v>#REF!</v>
      </c>
      <c r="BG162" s="75" t="e">
        <f t="shared" ca="1" si="286"/>
        <v>#REF!</v>
      </c>
      <c r="BH162" s="70" t="e">
        <f t="shared" ca="1" si="287"/>
        <v>#REF!</v>
      </c>
      <c r="BI162" s="70" t="e">
        <f t="shared" ca="1" si="288"/>
        <v>#REF!</v>
      </c>
      <c r="BJ162" s="70" t="e">
        <f t="shared" ca="1" si="289"/>
        <v>#REF!</v>
      </c>
      <c r="BK162" s="67" t="e">
        <f t="shared" ca="1" si="302"/>
        <v>#REF!</v>
      </c>
      <c r="BL162" s="70" t="e">
        <f ca="1">-IF(INDEX(SC_ZX_CodeA,ZXIDX1)="X", 0, MIN(BK162*MAX(INDEX(SC_ZX_Drawdown,ZXIDX2),0),BJ162))</f>
        <v>#REF!</v>
      </c>
      <c r="BM162" s="70" t="e">
        <f t="shared" ca="1" si="290"/>
        <v>#REF!</v>
      </c>
      <c r="BN162" s="111" t="e">
        <f t="shared" ca="1" si="291"/>
        <v>#REF!</v>
      </c>
      <c r="BO162" s="112" t="e">
        <f t="shared" ca="1" si="292"/>
        <v>#REF!</v>
      </c>
      <c r="BP162" s="112" t="e">
        <f ca="1">-($V162-IF(($P162+$R162+$S162)&gt;0,MAX($V162/($P162+$R162+$S162)*($Q162+$R162),$V162),0))*LT_InvestmentQDI</f>
        <v>#VALUE!</v>
      </c>
      <c r="BQ162" s="112" t="e">
        <f ca="1">-($V162-IF(($P162+$R162+$S162)&gt;0,MAX($V162/($P162+$R162+$S162)*($Q162+$R162),$V162),0))*(1-LT_InvestmentQDI)</f>
        <v>#VALUE!</v>
      </c>
      <c r="BR162" s="112" t="e">
        <f t="shared" ca="1" si="293"/>
        <v>#VALUE!</v>
      </c>
      <c r="BS162" s="112" t="e">
        <f t="shared" ca="1" si="294"/>
        <v>#VALUE!</v>
      </c>
      <c r="BT162" s="634" t="e">
        <f ca="1">SUMPRODUCT($BN162:$BN163+$BO162:$BO163, --($E162:$E163&lt;&gt;0))</f>
        <v>#REF!</v>
      </c>
      <c r="BU162" s="617" t="e">
        <f ca="1">SUMPRODUCT($BR162:$BR163+$BS162:$BS163, --($E162:$E163&lt;&gt;0))</f>
        <v>#VALUE!</v>
      </c>
      <c r="BV162" s="617" t="e">
        <f ca="1">$T162+SUMPRODUCT($AA162:$AA163+$AH162:$AH163+$AO162:$AO163+$AV162:$AV163+$BC162:$BC163+$BJ162:$BJ163, --($E162:$E163&lt;&gt;0))</f>
        <v>#VALUE!</v>
      </c>
      <c r="BW162" s="617" t="e">
        <f ca="1">MAX($P162-$Q162,0)+SUMPRODUCT($X162:$X163+$AL162:$AL163+$AZ162:$AZ163, --($E162:$E163&lt;&gt;0))</f>
        <v>#VALUE!</v>
      </c>
      <c r="BX162" s="618" t="e">
        <f ca="1">MIN($P162,$Q162)+SUMPRODUCT($AE162:$AE163+$AS162:$AS163+$BG162:$BG163, --($E162:$E163&lt;&gt;0))</f>
        <v>#VALUE!</v>
      </c>
    </row>
    <row r="163" spans="2:76" x14ac:dyDescent="0.25">
      <c r="B163" s="86">
        <f t="shared" ca="1" si="295"/>
        <v>2098</v>
      </c>
      <c r="C163" s="80" t="s">
        <v>741</v>
      </c>
      <c r="D163" s="147" t="str">
        <f t="shared" si="253"/>
        <v/>
      </c>
      <c r="E163" s="81">
        <f t="shared" si="254"/>
        <v>0</v>
      </c>
      <c r="F163" s="81">
        <f t="shared" si="259"/>
        <v>2</v>
      </c>
      <c r="G163" s="82">
        <f t="shared" si="255"/>
        <v>-1</v>
      </c>
      <c r="H163" s="82">
        <f t="shared" si="256"/>
        <v>0</v>
      </c>
      <c r="I163" s="81" t="b">
        <f t="shared" si="257"/>
        <v>0</v>
      </c>
      <c r="J163" s="81"/>
      <c r="K163" s="81"/>
      <c r="L163" s="81"/>
      <c r="M163" s="81"/>
      <c r="N163" s="633"/>
      <c r="O163" s="243" t="e">
        <f ca="1">LT_InvestmentStocks*INDEX(SP_EA_ARStocks,EAIDX)+LT_InvestmentBonds*INDEX(SC_EA_ARBonds,EAIDX)</f>
        <v>#REF!</v>
      </c>
      <c r="P163" s="634"/>
      <c r="Q163" s="617"/>
      <c r="R163" s="617"/>
      <c r="S163" s="617"/>
      <c r="T163" s="617"/>
      <c r="U163" s="643"/>
      <c r="V163" s="617"/>
      <c r="W163" s="639"/>
      <c r="X163" s="106" t="e">
        <f t="shared" ca="1" si="261"/>
        <v>#REF!</v>
      </c>
      <c r="Y163" s="107" t="e">
        <f t="shared" ca="1" si="262"/>
        <v>#REF!</v>
      </c>
      <c r="Z163" s="107" t="e">
        <f t="shared" ca="1" si="263"/>
        <v>#REF!</v>
      </c>
      <c r="AA163" s="107" t="e">
        <f t="shared" ca="1" si="264"/>
        <v>#REF!</v>
      </c>
      <c r="AB163" s="91" t="e">
        <f t="shared" ca="1" si="297"/>
        <v>#REF!</v>
      </c>
      <c r="AC163" s="107" t="e">
        <f ca="1">-IF(INDEX(SC_ZX_CodeA,ZXIDX1)="X", 0, MIN(AB163*MAX(INDEX(SC_ZX_Drawdown,ZXIDX2),0),AA163))</f>
        <v>#REF!</v>
      </c>
      <c r="AD163" s="110" t="e">
        <f t="shared" ca="1" si="265"/>
        <v>#REF!</v>
      </c>
      <c r="AE163" s="106" t="e">
        <f t="shared" ca="1" si="266"/>
        <v>#REF!</v>
      </c>
      <c r="AF163" s="107" t="e">
        <f t="shared" ca="1" si="267"/>
        <v>#REF!</v>
      </c>
      <c r="AG163" s="107" t="e">
        <f t="shared" ca="1" si="268"/>
        <v>#REF!</v>
      </c>
      <c r="AH163" s="107" t="e">
        <f t="shared" ca="1" si="269"/>
        <v>#REF!</v>
      </c>
      <c r="AI163" s="91" t="e">
        <f t="shared" ca="1" si="298"/>
        <v>#REF!</v>
      </c>
      <c r="AJ163" s="107" t="e">
        <f ca="1">-IF(INDEX(SC_ZX_CodeA,ZXIDX1)="X", 0, MIN(AI163*MAX(INDEX(SC_ZX_Drawdown,ZXIDX2),0),AH163))</f>
        <v>#REF!</v>
      </c>
      <c r="AK163" s="110" t="e">
        <f t="shared" ca="1" si="270"/>
        <v>#REF!</v>
      </c>
      <c r="AL163" s="106" t="e">
        <f t="shared" ca="1" si="271"/>
        <v>#REF!</v>
      </c>
      <c r="AM163" s="107" t="e">
        <f t="shared" ca="1" si="272"/>
        <v>#REF!</v>
      </c>
      <c r="AN163" s="107" t="e">
        <f t="shared" ca="1" si="273"/>
        <v>#REF!</v>
      </c>
      <c r="AO163" s="107" t="e">
        <f t="shared" ca="1" si="274"/>
        <v>#REF!</v>
      </c>
      <c r="AP163" s="91" t="e">
        <f t="shared" ca="1" si="299"/>
        <v>#REF!</v>
      </c>
      <c r="AQ163" s="107" t="e">
        <f ca="1">-IF(INDEX(SC_ZX_CodeA,ZXIDX1)="X", 0, MIN(AP163*MAX(INDEX(SC_ZX_Drawdown,ZXIDX2),0),AO163))</f>
        <v>#REF!</v>
      </c>
      <c r="AR163" s="110" t="e">
        <f t="shared" ca="1" si="275"/>
        <v>#REF!</v>
      </c>
      <c r="AS163" s="106" t="e">
        <f t="shared" ca="1" si="276"/>
        <v>#REF!</v>
      </c>
      <c r="AT163" s="107" t="e">
        <f t="shared" ca="1" si="277"/>
        <v>#REF!</v>
      </c>
      <c r="AU163" s="107" t="e">
        <f t="shared" ca="1" si="278"/>
        <v>#REF!</v>
      </c>
      <c r="AV163" s="107" t="e">
        <f t="shared" ca="1" si="279"/>
        <v>#REF!</v>
      </c>
      <c r="AW163" s="91" t="e">
        <f t="shared" ca="1" si="300"/>
        <v>#REF!</v>
      </c>
      <c r="AX163" s="107" t="e">
        <f ca="1">-IF(INDEX(SC_ZX_CodeA,ZXIDX1)="X", 0, MIN(AW163*MAX(INDEX(SC_ZX_Drawdown,ZXIDX2),0),AV163))</f>
        <v>#REF!</v>
      </c>
      <c r="AY163" s="110" t="e">
        <f t="shared" ca="1" si="280"/>
        <v>#REF!</v>
      </c>
      <c r="AZ163" s="106" t="e">
        <f t="shared" ca="1" si="281"/>
        <v>#REF!</v>
      </c>
      <c r="BA163" s="107" t="e">
        <f t="shared" ca="1" si="282"/>
        <v>#REF!</v>
      </c>
      <c r="BB163" s="107" t="e">
        <f t="shared" ca="1" si="283"/>
        <v>#REF!</v>
      </c>
      <c r="BC163" s="107" t="e">
        <f t="shared" ca="1" si="284"/>
        <v>#REF!</v>
      </c>
      <c r="BD163" s="91" t="e">
        <f t="shared" ca="1" si="301"/>
        <v>#REF!</v>
      </c>
      <c r="BE163" s="107" t="e">
        <f ca="1">-IF(INDEX(SC_ZX_CodeA,ZXIDX1)="X", 0, MIN(BD163*MAX(INDEX(SC_ZX_Drawdown,ZXIDX2),0),AZ163))</f>
        <v>#REF!</v>
      </c>
      <c r="BF163" s="110" t="e">
        <f t="shared" ca="1" si="285"/>
        <v>#REF!</v>
      </c>
      <c r="BG163" s="106" t="e">
        <f t="shared" ca="1" si="286"/>
        <v>#REF!</v>
      </c>
      <c r="BH163" s="107" t="e">
        <f t="shared" ca="1" si="287"/>
        <v>#REF!</v>
      </c>
      <c r="BI163" s="107" t="e">
        <f t="shared" ca="1" si="288"/>
        <v>#REF!</v>
      </c>
      <c r="BJ163" s="107" t="e">
        <f t="shared" ca="1" si="289"/>
        <v>#REF!</v>
      </c>
      <c r="BK163" s="91" t="e">
        <f t="shared" ca="1" si="302"/>
        <v>#REF!</v>
      </c>
      <c r="BL163" s="107" t="e">
        <f ca="1">-IF(INDEX(SC_ZX_CodeA,ZXIDX1)="X", 0, MIN(BK163*MAX(INDEX(SC_ZX_Drawdown,ZXIDX2),0),BJ163))</f>
        <v>#REF!</v>
      </c>
      <c r="BM163" s="107" t="e">
        <f t="shared" ca="1" si="290"/>
        <v>#REF!</v>
      </c>
      <c r="BN163" s="113" t="e">
        <f t="shared" ca="1" si="291"/>
        <v>#REF!</v>
      </c>
      <c r="BO163" s="114" t="e">
        <f t="shared" ca="1" si="292"/>
        <v>#REF!</v>
      </c>
      <c r="BP163" s="114" t="e">
        <f ca="1">-($V163-IF(($P163+$R163+$S163)&gt;0,MAX($V163/($P163+$R163+$S163)*($Q163+$R163),$V163),0))*LT_InvestmentQDI</f>
        <v>#REF!</v>
      </c>
      <c r="BQ163" s="114" t="e">
        <f ca="1">-($V163-IF(($P163+$R163+$S163)&gt;0,MAX($V163/($P163+$R163+$S163)*($Q163+$R163),$V163),0))*(1-LT_InvestmentQDI)</f>
        <v>#REF!</v>
      </c>
      <c r="BR163" s="114" t="e">
        <f t="shared" ca="1" si="293"/>
        <v>#REF!</v>
      </c>
      <c r="BS163" s="114" t="e">
        <f t="shared" ca="1" si="294"/>
        <v>#REF!</v>
      </c>
      <c r="BT163" s="649"/>
      <c r="BU163" s="637"/>
      <c r="BV163" s="637"/>
      <c r="BW163" s="637"/>
      <c r="BX163" s="639"/>
    </row>
    <row r="164" spans="2:76" x14ac:dyDescent="0.25">
      <c r="B164" s="65">
        <f ca="1">B162+1</f>
        <v>2099</v>
      </c>
      <c r="C164" s="76" t="s">
        <v>741</v>
      </c>
      <c r="D164" s="146" t="str">
        <f t="shared" si="253"/>
        <v/>
      </c>
      <c r="E164" s="77">
        <f t="shared" si="254"/>
        <v>0</v>
      </c>
      <c r="F164" s="77">
        <f t="shared" si="259"/>
        <v>1</v>
      </c>
      <c r="G164" s="76">
        <f t="shared" si="255"/>
        <v>1</v>
      </c>
      <c r="H164" s="76">
        <f t="shared" si="256"/>
        <v>0</v>
      </c>
      <c r="I164" s="77" t="b">
        <f t="shared" si="257"/>
        <v>0</v>
      </c>
      <c r="J164" s="77"/>
      <c r="K164" s="77"/>
      <c r="L164" s="77"/>
      <c r="M164" s="77"/>
      <c r="N164" s="632">
        <f ca="1">YEAR(SP_TargetRD)-$B164</f>
        <v>-76</v>
      </c>
      <c r="O164" s="243" t="e">
        <f ca="1">LT_InvestmentStocks*INDEX(SP_EA_ARStocks,EAIDX)+LT_InvestmentBonds*INDEX(SC_EA_ARBonds,EAIDX)</f>
        <v>#REF!</v>
      </c>
      <c r="P164" s="634" t="e">
        <f ca="1">MAX(P162+R162+S162+V162+W162,0)</f>
        <v>#VALUE!</v>
      </c>
      <c r="Q164" s="617" t="e">
        <f t="shared" ref="Q164" ca="1" si="314">MAX(Q162+R162+IF((P162+R162+S162)&gt;0,MAX(V162/(P162+R162+S162)*(Q162+R162),V162),0),0)</f>
        <v>#VALUE!</v>
      </c>
      <c r="R164" s="617" t="e">
        <f ca="1">IF(SC_ZX_CodeA="X", 0, MAX(INDEX(SC_ZX_IncomeSurplus,ZXIDX2)+INDEX(SC_ZX_Debt,ZXIDX2),0))</f>
        <v>#VALUE!</v>
      </c>
      <c r="S164" s="617" t="e">
        <f ca="1">IF(SC_ZX_CodeA="X", 0, INDEX(SC_EX_RolloverCore,EXIDX))</f>
        <v>#VALUE!</v>
      </c>
      <c r="T164" s="617" t="e">
        <f ca="1">P164+R164+S164</f>
        <v>#VALUE!</v>
      </c>
      <c r="U164" s="642" t="e">
        <f ca="1">IF(SC_ZX_BalanceAccessibleA&gt;0, T164/SC_ZX_BalanceAccessibleA, 0)</f>
        <v>#VALUE!</v>
      </c>
      <c r="V164" s="617" t="e">
        <f ca="1">-IF(SC_ZX_CodeA="X",0,MIN(U164*MAX(INDEX(SC_ZX_Drawdown,ZXIDX2),0),T164))</f>
        <v>#VALUE!</v>
      </c>
      <c r="W164" s="618" t="e">
        <f ca="1">(P164+R164+S164+V164)*$O164</f>
        <v>#VALUE!</v>
      </c>
      <c r="X164" s="75" t="e">
        <f t="shared" ca="1" si="261"/>
        <v>#REF!</v>
      </c>
      <c r="Y164" s="70" t="e">
        <f t="shared" ca="1" si="262"/>
        <v>#REF!</v>
      </c>
      <c r="Z164" s="70" t="e">
        <f t="shared" ca="1" si="263"/>
        <v>#REF!</v>
      </c>
      <c r="AA164" s="70" t="e">
        <f t="shared" ca="1" si="264"/>
        <v>#REF!</v>
      </c>
      <c r="AB164" s="67" t="e">
        <f t="shared" ca="1" si="297"/>
        <v>#REF!</v>
      </c>
      <c r="AC164" s="70" t="e">
        <f ca="1">-IF(INDEX(SC_ZX_CodeA,ZXIDX1)="X", 0, MIN(AB164*MAX(INDEX(SC_ZX_Drawdown,ZXIDX2),0),AA164))</f>
        <v>#REF!</v>
      </c>
      <c r="AD164" s="109" t="e">
        <f t="shared" ca="1" si="265"/>
        <v>#REF!</v>
      </c>
      <c r="AE164" s="75" t="e">
        <f t="shared" ca="1" si="266"/>
        <v>#REF!</v>
      </c>
      <c r="AF164" s="70" t="e">
        <f t="shared" ca="1" si="267"/>
        <v>#REF!</v>
      </c>
      <c r="AG164" s="70" t="e">
        <f t="shared" ca="1" si="268"/>
        <v>#REF!</v>
      </c>
      <c r="AH164" s="70" t="e">
        <f t="shared" ca="1" si="269"/>
        <v>#REF!</v>
      </c>
      <c r="AI164" s="67" t="e">
        <f t="shared" ca="1" si="298"/>
        <v>#REF!</v>
      </c>
      <c r="AJ164" s="70" t="e">
        <f ca="1">-IF(INDEX(SC_ZX_CodeA,ZXIDX1)="X", 0, MIN(AI164*MAX(INDEX(SC_ZX_Drawdown,ZXIDX2),0),AH164))</f>
        <v>#REF!</v>
      </c>
      <c r="AK164" s="109" t="e">
        <f t="shared" ca="1" si="270"/>
        <v>#REF!</v>
      </c>
      <c r="AL164" s="75" t="e">
        <f t="shared" ca="1" si="271"/>
        <v>#REF!</v>
      </c>
      <c r="AM164" s="70" t="e">
        <f t="shared" ca="1" si="272"/>
        <v>#REF!</v>
      </c>
      <c r="AN164" s="70" t="e">
        <f t="shared" ca="1" si="273"/>
        <v>#REF!</v>
      </c>
      <c r="AO164" s="70" t="e">
        <f t="shared" ca="1" si="274"/>
        <v>#REF!</v>
      </c>
      <c r="AP164" s="67" t="e">
        <f t="shared" ca="1" si="299"/>
        <v>#REF!</v>
      </c>
      <c r="AQ164" s="70" t="e">
        <f ca="1">-IF(INDEX(SC_ZX_CodeA,ZXIDX1)="X", 0, MIN(AP164*MAX(INDEX(SC_ZX_Drawdown,ZXIDX2),0),AO164))</f>
        <v>#REF!</v>
      </c>
      <c r="AR164" s="109" t="e">
        <f t="shared" ca="1" si="275"/>
        <v>#REF!</v>
      </c>
      <c r="AS164" s="75" t="e">
        <f t="shared" ca="1" si="276"/>
        <v>#REF!</v>
      </c>
      <c r="AT164" s="70" t="e">
        <f t="shared" ca="1" si="277"/>
        <v>#REF!</v>
      </c>
      <c r="AU164" s="70" t="e">
        <f t="shared" ca="1" si="278"/>
        <v>#REF!</v>
      </c>
      <c r="AV164" s="70" t="e">
        <f t="shared" ca="1" si="279"/>
        <v>#REF!</v>
      </c>
      <c r="AW164" s="67" t="e">
        <f t="shared" ca="1" si="300"/>
        <v>#REF!</v>
      </c>
      <c r="AX164" s="70" t="e">
        <f ca="1">-IF(INDEX(SC_ZX_CodeA,ZXIDX1)="X", 0, MIN(AW164*MAX(INDEX(SC_ZX_Drawdown,ZXIDX2),0),AV164))</f>
        <v>#REF!</v>
      </c>
      <c r="AY164" s="109" t="e">
        <f t="shared" ca="1" si="280"/>
        <v>#REF!</v>
      </c>
      <c r="AZ164" s="75" t="e">
        <f t="shared" ca="1" si="281"/>
        <v>#REF!</v>
      </c>
      <c r="BA164" s="70" t="e">
        <f t="shared" ca="1" si="282"/>
        <v>#REF!</v>
      </c>
      <c r="BB164" s="70" t="e">
        <f t="shared" ca="1" si="283"/>
        <v>#REF!</v>
      </c>
      <c r="BC164" s="70" t="e">
        <f t="shared" ca="1" si="284"/>
        <v>#REF!</v>
      </c>
      <c r="BD164" s="67" t="e">
        <f t="shared" ca="1" si="301"/>
        <v>#REF!</v>
      </c>
      <c r="BE164" s="70" t="e">
        <f ca="1">-IF(INDEX(SC_ZX_CodeA,ZXIDX1)="X", 0, MIN(BD164*MAX(INDEX(SC_ZX_Drawdown,ZXIDX2),0),AZ164))</f>
        <v>#REF!</v>
      </c>
      <c r="BF164" s="109" t="e">
        <f t="shared" ca="1" si="285"/>
        <v>#REF!</v>
      </c>
      <c r="BG164" s="75" t="e">
        <f t="shared" ca="1" si="286"/>
        <v>#REF!</v>
      </c>
      <c r="BH164" s="70" t="e">
        <f t="shared" ca="1" si="287"/>
        <v>#REF!</v>
      </c>
      <c r="BI164" s="70" t="e">
        <f t="shared" ca="1" si="288"/>
        <v>#REF!</v>
      </c>
      <c r="BJ164" s="70" t="e">
        <f t="shared" ca="1" si="289"/>
        <v>#REF!</v>
      </c>
      <c r="BK164" s="67" t="e">
        <f t="shared" ca="1" si="302"/>
        <v>#REF!</v>
      </c>
      <c r="BL164" s="70" t="e">
        <f ca="1">-IF(INDEX(SC_ZX_CodeA,ZXIDX1)="X", 0, MIN(BK164*MAX(INDEX(SC_ZX_Drawdown,ZXIDX2),0),BJ164))</f>
        <v>#REF!</v>
      </c>
      <c r="BM164" s="70" t="e">
        <f t="shared" ca="1" si="290"/>
        <v>#REF!</v>
      </c>
      <c r="BN164" s="111" t="e">
        <f t="shared" ca="1" si="291"/>
        <v>#REF!</v>
      </c>
      <c r="BO164" s="112" t="e">
        <f t="shared" ca="1" si="292"/>
        <v>#REF!</v>
      </c>
      <c r="BP164" s="112" t="e">
        <f ca="1">-($V164-IF(($P164+$R164+$S164)&gt;0,MAX($V164/($P164+$R164+$S164)*($Q164+$R164),$V164),0))*LT_InvestmentQDI</f>
        <v>#VALUE!</v>
      </c>
      <c r="BQ164" s="112" t="e">
        <f ca="1">-($V164-IF(($P164+$R164+$S164)&gt;0,MAX($V164/($P164+$R164+$S164)*($Q164+$R164),$V164),0))*(1-LT_InvestmentQDI)</f>
        <v>#VALUE!</v>
      </c>
      <c r="BR164" s="112" t="e">
        <f t="shared" ca="1" si="293"/>
        <v>#VALUE!</v>
      </c>
      <c r="BS164" s="112" t="e">
        <f t="shared" ca="1" si="294"/>
        <v>#VALUE!</v>
      </c>
      <c r="BT164" s="634" t="e">
        <f ca="1">SUMPRODUCT($BN164:$BN165+$BO164:$BO165, --($E164:$E165&lt;&gt;0))</f>
        <v>#REF!</v>
      </c>
      <c r="BU164" s="617" t="e">
        <f ca="1">SUMPRODUCT($BR164:$BR165+$BS164:$BS165, --($E164:$E165&lt;&gt;0))</f>
        <v>#VALUE!</v>
      </c>
      <c r="BV164" s="617" t="e">
        <f ca="1">$T164+SUMPRODUCT($AA164:$AA165+$AH164:$AH165+$AO164:$AO165+$AV164:$AV165+$BC164:$BC165+$BJ164:$BJ165, --($E164:$E165&lt;&gt;0))</f>
        <v>#VALUE!</v>
      </c>
      <c r="BW164" s="617" t="e">
        <f ca="1">MAX($P164-$Q164,0)+SUMPRODUCT($X164:$X165+$AL164:$AL165+$AZ164:$AZ165, --($E164:$E165&lt;&gt;0))</f>
        <v>#VALUE!</v>
      </c>
      <c r="BX164" s="618" t="e">
        <f ca="1">MIN($P164,$Q164)+SUMPRODUCT($AE164:$AE165+$AS164:$AS165+$BG164:$BG165, --($E164:$E165&lt;&gt;0))</f>
        <v>#VALUE!</v>
      </c>
    </row>
    <row r="165" spans="2:76" x14ac:dyDescent="0.25">
      <c r="B165" s="86">
        <f t="shared" ca="1" si="295"/>
        <v>2099</v>
      </c>
      <c r="C165" s="80" t="s">
        <v>741</v>
      </c>
      <c r="D165" s="147" t="str">
        <f t="shared" si="253"/>
        <v/>
      </c>
      <c r="E165" s="81">
        <f t="shared" si="254"/>
        <v>0</v>
      </c>
      <c r="F165" s="81">
        <f t="shared" si="259"/>
        <v>2</v>
      </c>
      <c r="G165" s="82">
        <f t="shared" si="255"/>
        <v>-1</v>
      </c>
      <c r="H165" s="82">
        <f t="shared" si="256"/>
        <v>0</v>
      </c>
      <c r="I165" s="81" t="b">
        <f t="shared" si="257"/>
        <v>0</v>
      </c>
      <c r="J165" s="81"/>
      <c r="K165" s="81"/>
      <c r="L165" s="81"/>
      <c r="M165" s="81"/>
      <c r="N165" s="633"/>
      <c r="O165" s="243" t="e">
        <f ca="1">LT_InvestmentStocks*INDEX(SP_EA_ARStocks,EAIDX)+LT_InvestmentBonds*INDEX(SC_EA_ARBonds,EAIDX)</f>
        <v>#REF!</v>
      </c>
      <c r="P165" s="634"/>
      <c r="Q165" s="617"/>
      <c r="R165" s="617"/>
      <c r="S165" s="617"/>
      <c r="T165" s="617"/>
      <c r="U165" s="643"/>
      <c r="V165" s="617"/>
      <c r="W165" s="639"/>
      <c r="X165" s="106" t="e">
        <f t="shared" ca="1" si="261"/>
        <v>#REF!</v>
      </c>
      <c r="Y165" s="107" t="e">
        <f t="shared" ca="1" si="262"/>
        <v>#REF!</v>
      </c>
      <c r="Z165" s="107" t="e">
        <f t="shared" ca="1" si="263"/>
        <v>#REF!</v>
      </c>
      <c r="AA165" s="107" t="e">
        <f t="shared" ca="1" si="264"/>
        <v>#REF!</v>
      </c>
      <c r="AB165" s="91" t="e">
        <f t="shared" ca="1" si="297"/>
        <v>#REF!</v>
      </c>
      <c r="AC165" s="107" t="e">
        <f ca="1">-IF(INDEX(SC_ZX_CodeA,ZXIDX1)="X", 0, MIN(AB165*MAX(INDEX(SC_ZX_Drawdown,ZXIDX2),0),AA165))</f>
        <v>#REF!</v>
      </c>
      <c r="AD165" s="110" t="e">
        <f t="shared" ca="1" si="265"/>
        <v>#REF!</v>
      </c>
      <c r="AE165" s="106" t="e">
        <f t="shared" ca="1" si="266"/>
        <v>#REF!</v>
      </c>
      <c r="AF165" s="107" t="e">
        <f t="shared" ca="1" si="267"/>
        <v>#REF!</v>
      </c>
      <c r="AG165" s="107" t="e">
        <f t="shared" ca="1" si="268"/>
        <v>#REF!</v>
      </c>
      <c r="AH165" s="107" t="e">
        <f t="shared" ca="1" si="269"/>
        <v>#REF!</v>
      </c>
      <c r="AI165" s="91" t="e">
        <f t="shared" ca="1" si="298"/>
        <v>#REF!</v>
      </c>
      <c r="AJ165" s="107" t="e">
        <f ca="1">-IF(INDEX(SC_ZX_CodeA,ZXIDX1)="X", 0, MIN(AI165*MAX(INDEX(SC_ZX_Drawdown,ZXIDX2),0),AH165))</f>
        <v>#REF!</v>
      </c>
      <c r="AK165" s="110" t="e">
        <f t="shared" ca="1" si="270"/>
        <v>#REF!</v>
      </c>
      <c r="AL165" s="106" t="e">
        <f t="shared" ca="1" si="271"/>
        <v>#REF!</v>
      </c>
      <c r="AM165" s="107" t="e">
        <f t="shared" ca="1" si="272"/>
        <v>#REF!</v>
      </c>
      <c r="AN165" s="107" t="e">
        <f t="shared" ca="1" si="273"/>
        <v>#REF!</v>
      </c>
      <c r="AO165" s="107" t="e">
        <f t="shared" ca="1" si="274"/>
        <v>#REF!</v>
      </c>
      <c r="AP165" s="91" t="e">
        <f t="shared" ca="1" si="299"/>
        <v>#REF!</v>
      </c>
      <c r="AQ165" s="107" t="e">
        <f ca="1">-IF(INDEX(SC_ZX_CodeA,ZXIDX1)="X", 0, MIN(AP165*MAX(INDEX(SC_ZX_Drawdown,ZXIDX2),0),AO165))</f>
        <v>#REF!</v>
      </c>
      <c r="AR165" s="110" t="e">
        <f t="shared" ca="1" si="275"/>
        <v>#REF!</v>
      </c>
      <c r="AS165" s="106" t="e">
        <f t="shared" ca="1" si="276"/>
        <v>#REF!</v>
      </c>
      <c r="AT165" s="107" t="e">
        <f t="shared" ca="1" si="277"/>
        <v>#REF!</v>
      </c>
      <c r="AU165" s="107" t="e">
        <f t="shared" ca="1" si="278"/>
        <v>#REF!</v>
      </c>
      <c r="AV165" s="107" t="e">
        <f t="shared" ca="1" si="279"/>
        <v>#REF!</v>
      </c>
      <c r="AW165" s="91" t="e">
        <f t="shared" ca="1" si="300"/>
        <v>#REF!</v>
      </c>
      <c r="AX165" s="107" t="e">
        <f ca="1">-IF(INDEX(SC_ZX_CodeA,ZXIDX1)="X", 0, MIN(AW165*MAX(INDEX(SC_ZX_Drawdown,ZXIDX2),0),AV165))</f>
        <v>#REF!</v>
      </c>
      <c r="AY165" s="110" t="e">
        <f t="shared" ca="1" si="280"/>
        <v>#REF!</v>
      </c>
      <c r="AZ165" s="106" t="e">
        <f t="shared" ca="1" si="281"/>
        <v>#REF!</v>
      </c>
      <c r="BA165" s="107" t="e">
        <f t="shared" ca="1" si="282"/>
        <v>#REF!</v>
      </c>
      <c r="BB165" s="107" t="e">
        <f t="shared" ca="1" si="283"/>
        <v>#REF!</v>
      </c>
      <c r="BC165" s="107" t="e">
        <f t="shared" ca="1" si="284"/>
        <v>#REF!</v>
      </c>
      <c r="BD165" s="91" t="e">
        <f t="shared" ca="1" si="301"/>
        <v>#REF!</v>
      </c>
      <c r="BE165" s="107" t="e">
        <f ca="1">-IF(INDEX(SC_ZX_CodeA,ZXIDX1)="X", 0, MIN(BD165*MAX(INDEX(SC_ZX_Drawdown,ZXIDX2),0),AZ165))</f>
        <v>#REF!</v>
      </c>
      <c r="BF165" s="110" t="e">
        <f t="shared" ca="1" si="285"/>
        <v>#REF!</v>
      </c>
      <c r="BG165" s="106" t="e">
        <f t="shared" ca="1" si="286"/>
        <v>#REF!</v>
      </c>
      <c r="BH165" s="107" t="e">
        <f t="shared" ca="1" si="287"/>
        <v>#REF!</v>
      </c>
      <c r="BI165" s="107" t="e">
        <f t="shared" ca="1" si="288"/>
        <v>#REF!</v>
      </c>
      <c r="BJ165" s="107" t="e">
        <f t="shared" ca="1" si="289"/>
        <v>#REF!</v>
      </c>
      <c r="BK165" s="91" t="e">
        <f t="shared" ca="1" si="302"/>
        <v>#REF!</v>
      </c>
      <c r="BL165" s="107" t="e">
        <f ca="1">-IF(INDEX(SC_ZX_CodeA,ZXIDX1)="X", 0, MIN(BK165*MAX(INDEX(SC_ZX_Drawdown,ZXIDX2),0),BJ165))</f>
        <v>#REF!</v>
      </c>
      <c r="BM165" s="107" t="e">
        <f t="shared" ca="1" si="290"/>
        <v>#REF!</v>
      </c>
      <c r="BN165" s="113" t="e">
        <f t="shared" ca="1" si="291"/>
        <v>#REF!</v>
      </c>
      <c r="BO165" s="114" t="e">
        <f t="shared" ca="1" si="292"/>
        <v>#REF!</v>
      </c>
      <c r="BP165" s="114" t="e">
        <f ca="1">-($V165-IF(($P165+$R165+$S165)&gt;0,MAX($V165/($P165+$R165+$S165)*($Q165+$R165),$V165),0))*LT_InvestmentQDI</f>
        <v>#REF!</v>
      </c>
      <c r="BQ165" s="114" t="e">
        <f ca="1">-($V165-IF(($P165+$R165+$S165)&gt;0,MAX($V165/($P165+$R165+$S165)*($Q165+$R165),$V165),0))*(1-LT_InvestmentQDI)</f>
        <v>#REF!</v>
      </c>
      <c r="BR165" s="114" t="e">
        <f t="shared" ca="1" si="293"/>
        <v>#REF!</v>
      </c>
      <c r="BS165" s="114" t="e">
        <f t="shared" ca="1" si="294"/>
        <v>#REF!</v>
      </c>
      <c r="BT165" s="649"/>
      <c r="BU165" s="637"/>
      <c r="BV165" s="637"/>
      <c r="BW165" s="637"/>
      <c r="BX165" s="639"/>
    </row>
    <row r="166" spans="2:76" x14ac:dyDescent="0.25">
      <c r="B166" s="65">
        <f ca="1">B164+1</f>
        <v>2100</v>
      </c>
      <c r="C166" s="76" t="s">
        <v>741</v>
      </c>
      <c r="D166" s="146" t="str">
        <f t="shared" si="253"/>
        <v/>
      </c>
      <c r="E166" s="77">
        <f t="shared" si="254"/>
        <v>0</v>
      </c>
      <c r="F166" s="77">
        <f t="shared" si="259"/>
        <v>1</v>
      </c>
      <c r="G166" s="76">
        <f t="shared" si="255"/>
        <v>1</v>
      </c>
      <c r="H166" s="76">
        <f t="shared" si="256"/>
        <v>0</v>
      </c>
      <c r="I166" s="77" t="b">
        <f t="shared" si="257"/>
        <v>0</v>
      </c>
      <c r="J166" s="77"/>
      <c r="K166" s="77"/>
      <c r="L166" s="77"/>
      <c r="M166" s="77"/>
      <c r="N166" s="632">
        <f ca="1">YEAR(SP_TargetRD)-$B166</f>
        <v>-77</v>
      </c>
      <c r="O166" s="243" t="e">
        <f ca="1">LT_InvestmentStocks*INDEX(SP_EA_ARStocks,EAIDX)+LT_InvestmentBonds*INDEX(SC_EA_ARBonds,EAIDX)</f>
        <v>#REF!</v>
      </c>
      <c r="P166" s="634" t="e">
        <f ca="1">MAX(P164+R164+S164+V164+W164,0)</f>
        <v>#VALUE!</v>
      </c>
      <c r="Q166" s="617" t="e">
        <f t="shared" ref="Q166" ca="1" si="315">MAX(Q164+R164+IF((P164+R164+S164)&gt;0,MAX(V164/(P164+R164+S164)*(Q164+R164),V164),0),0)</f>
        <v>#VALUE!</v>
      </c>
      <c r="R166" s="617" t="e">
        <f ca="1">IF(SC_ZX_CodeA="X", 0, MAX(INDEX(SC_ZX_IncomeSurplus,ZXIDX2)+INDEX(SC_ZX_Debt,ZXIDX2),0))</f>
        <v>#VALUE!</v>
      </c>
      <c r="S166" s="617" t="e">
        <f ca="1">IF(SC_ZX_CodeA="X", 0, INDEX(SC_EX_RolloverCore,EXIDX))</f>
        <v>#VALUE!</v>
      </c>
      <c r="T166" s="617" t="e">
        <f ca="1">P166+R166+S166</f>
        <v>#VALUE!</v>
      </c>
      <c r="U166" s="642" t="e">
        <f ca="1">IF(SC_ZX_BalanceAccessibleA&gt;0, T166/SC_ZX_BalanceAccessibleA, 0)</f>
        <v>#VALUE!</v>
      </c>
      <c r="V166" s="617" t="e">
        <f ca="1">-IF(SC_ZX_CodeA="X",0,MIN(U166*MAX(INDEX(SC_ZX_Drawdown,ZXIDX2),0),T166))</f>
        <v>#VALUE!</v>
      </c>
      <c r="W166" s="618" t="e">
        <f ca="1">(P166+R166+S166+V166)*$O166</f>
        <v>#VALUE!</v>
      </c>
      <c r="X166" s="75" t="e">
        <f t="shared" ca="1" si="261"/>
        <v>#REF!</v>
      </c>
      <c r="Y166" s="70" t="e">
        <f t="shared" ca="1" si="262"/>
        <v>#REF!</v>
      </c>
      <c r="Z166" s="70" t="e">
        <f t="shared" ca="1" si="263"/>
        <v>#REF!</v>
      </c>
      <c r="AA166" s="70" t="e">
        <f t="shared" ca="1" si="264"/>
        <v>#REF!</v>
      </c>
      <c r="AB166" s="67" t="e">
        <f t="shared" ca="1" si="297"/>
        <v>#REF!</v>
      </c>
      <c r="AC166" s="70" t="e">
        <f ca="1">-IF(INDEX(SC_ZX_CodeA,ZXIDX1)="X", 0, MIN(AB166*MAX(INDEX(SC_ZX_Drawdown,ZXIDX2),0),AA166))</f>
        <v>#REF!</v>
      </c>
      <c r="AD166" s="109" t="e">
        <f t="shared" ca="1" si="265"/>
        <v>#REF!</v>
      </c>
      <c r="AE166" s="75" t="e">
        <f t="shared" ca="1" si="266"/>
        <v>#REF!</v>
      </c>
      <c r="AF166" s="70" t="e">
        <f t="shared" ca="1" si="267"/>
        <v>#REF!</v>
      </c>
      <c r="AG166" s="70" t="e">
        <f t="shared" ca="1" si="268"/>
        <v>#REF!</v>
      </c>
      <c r="AH166" s="70" t="e">
        <f t="shared" ca="1" si="269"/>
        <v>#REF!</v>
      </c>
      <c r="AI166" s="67" t="e">
        <f t="shared" ca="1" si="298"/>
        <v>#REF!</v>
      </c>
      <c r="AJ166" s="70" t="e">
        <f ca="1">-IF(INDEX(SC_ZX_CodeA,ZXIDX1)="X", 0, MIN(AI166*MAX(INDEX(SC_ZX_Drawdown,ZXIDX2),0),AH166))</f>
        <v>#REF!</v>
      </c>
      <c r="AK166" s="109" t="e">
        <f t="shared" ca="1" si="270"/>
        <v>#REF!</v>
      </c>
      <c r="AL166" s="75" t="e">
        <f t="shared" ca="1" si="271"/>
        <v>#REF!</v>
      </c>
      <c r="AM166" s="70" t="e">
        <f t="shared" ca="1" si="272"/>
        <v>#REF!</v>
      </c>
      <c r="AN166" s="70" t="e">
        <f t="shared" ca="1" si="273"/>
        <v>#REF!</v>
      </c>
      <c r="AO166" s="70" t="e">
        <f t="shared" ca="1" si="274"/>
        <v>#REF!</v>
      </c>
      <c r="AP166" s="67" t="e">
        <f t="shared" ca="1" si="299"/>
        <v>#REF!</v>
      </c>
      <c r="AQ166" s="70" t="e">
        <f ca="1">-IF(INDEX(SC_ZX_CodeA,ZXIDX1)="X", 0, MIN(AP166*MAX(INDEX(SC_ZX_Drawdown,ZXIDX2),0),AO166))</f>
        <v>#REF!</v>
      </c>
      <c r="AR166" s="109" t="e">
        <f t="shared" ca="1" si="275"/>
        <v>#REF!</v>
      </c>
      <c r="AS166" s="75" t="e">
        <f t="shared" ca="1" si="276"/>
        <v>#REF!</v>
      </c>
      <c r="AT166" s="70" t="e">
        <f t="shared" ca="1" si="277"/>
        <v>#REF!</v>
      </c>
      <c r="AU166" s="70" t="e">
        <f t="shared" ca="1" si="278"/>
        <v>#REF!</v>
      </c>
      <c r="AV166" s="70" t="e">
        <f t="shared" ca="1" si="279"/>
        <v>#REF!</v>
      </c>
      <c r="AW166" s="67" t="e">
        <f t="shared" ca="1" si="300"/>
        <v>#REF!</v>
      </c>
      <c r="AX166" s="70" t="e">
        <f ca="1">-IF(INDEX(SC_ZX_CodeA,ZXIDX1)="X", 0, MIN(AW166*MAX(INDEX(SC_ZX_Drawdown,ZXIDX2),0),AV166))</f>
        <v>#REF!</v>
      </c>
      <c r="AY166" s="109" t="e">
        <f t="shared" ca="1" si="280"/>
        <v>#REF!</v>
      </c>
      <c r="AZ166" s="75" t="e">
        <f t="shared" ca="1" si="281"/>
        <v>#REF!</v>
      </c>
      <c r="BA166" s="70" t="e">
        <f t="shared" ca="1" si="282"/>
        <v>#REF!</v>
      </c>
      <c r="BB166" s="70" t="e">
        <f t="shared" ca="1" si="283"/>
        <v>#REF!</v>
      </c>
      <c r="BC166" s="70" t="e">
        <f t="shared" ca="1" si="284"/>
        <v>#REF!</v>
      </c>
      <c r="BD166" s="67" t="e">
        <f t="shared" ca="1" si="301"/>
        <v>#REF!</v>
      </c>
      <c r="BE166" s="70" t="e">
        <f ca="1">-IF(INDEX(SC_ZX_CodeA,ZXIDX1)="X", 0, MIN(BD166*MAX(INDEX(SC_ZX_Drawdown,ZXIDX2),0),AZ166))</f>
        <v>#REF!</v>
      </c>
      <c r="BF166" s="109" t="e">
        <f t="shared" ca="1" si="285"/>
        <v>#REF!</v>
      </c>
      <c r="BG166" s="75" t="e">
        <f t="shared" ca="1" si="286"/>
        <v>#REF!</v>
      </c>
      <c r="BH166" s="70" t="e">
        <f t="shared" ca="1" si="287"/>
        <v>#REF!</v>
      </c>
      <c r="BI166" s="70" t="e">
        <f t="shared" ca="1" si="288"/>
        <v>#REF!</v>
      </c>
      <c r="BJ166" s="70" t="e">
        <f t="shared" ca="1" si="289"/>
        <v>#REF!</v>
      </c>
      <c r="BK166" s="67" t="e">
        <f t="shared" ca="1" si="302"/>
        <v>#REF!</v>
      </c>
      <c r="BL166" s="70" t="e">
        <f ca="1">-IF(INDEX(SC_ZX_CodeA,ZXIDX1)="X", 0, MIN(BK166*MAX(INDEX(SC_ZX_Drawdown,ZXIDX2),0),BJ166))</f>
        <v>#REF!</v>
      </c>
      <c r="BM166" s="70" t="e">
        <f t="shared" ca="1" si="290"/>
        <v>#REF!</v>
      </c>
      <c r="BN166" s="111" t="e">
        <f t="shared" ca="1" si="291"/>
        <v>#REF!</v>
      </c>
      <c r="BO166" s="112" t="e">
        <f t="shared" ca="1" si="292"/>
        <v>#REF!</v>
      </c>
      <c r="BP166" s="112" t="e">
        <f ca="1">-($V166-IF(($P166+$R166+$S166)&gt;0,MAX($V166/($P166+$R166+$S166)*($Q166+$R166),$V166),0))*LT_InvestmentQDI</f>
        <v>#VALUE!</v>
      </c>
      <c r="BQ166" s="112" t="e">
        <f ca="1">-($V166-IF(($P166+$R166+$S166)&gt;0,MAX($V166/($P166+$R166+$S166)*($Q166+$R166),$V166),0))*(1-LT_InvestmentQDI)</f>
        <v>#VALUE!</v>
      </c>
      <c r="BR166" s="112" t="e">
        <f t="shared" ca="1" si="293"/>
        <v>#VALUE!</v>
      </c>
      <c r="BS166" s="112" t="e">
        <f t="shared" ca="1" si="294"/>
        <v>#VALUE!</v>
      </c>
      <c r="BT166" s="634" t="e">
        <f ca="1">SUMPRODUCT($BN166:$BN167+$BO166:$BO167, --($E166:$E167&lt;&gt;0))</f>
        <v>#REF!</v>
      </c>
      <c r="BU166" s="617" t="e">
        <f ca="1">SUMPRODUCT($BR166:$BR167+$BS166:$BS167, --($E166:$E167&lt;&gt;0))</f>
        <v>#VALUE!</v>
      </c>
      <c r="BV166" s="617" t="e">
        <f ca="1">$T166+SUMPRODUCT($AA166:$AA167+$AH166:$AH167+$AO166:$AO167+$AV166:$AV167+$BC166:$BC167+$BJ166:$BJ167, --($E166:$E167&lt;&gt;0))</f>
        <v>#VALUE!</v>
      </c>
      <c r="BW166" s="617" t="e">
        <f ca="1">MAX($P166-$Q166,0)+SUMPRODUCT($X166:$X167+$AL166:$AL167+$AZ166:$AZ167, --($E166:$E167&lt;&gt;0))</f>
        <v>#VALUE!</v>
      </c>
      <c r="BX166" s="618" t="e">
        <f ca="1">MIN($P166,$Q166)+SUMPRODUCT($AE166:$AE167+$AS166:$AS167+$BG166:$BG167, --($E166:$E167&lt;&gt;0))</f>
        <v>#VALUE!</v>
      </c>
    </row>
    <row r="167" spans="2:76" x14ac:dyDescent="0.25">
      <c r="B167" s="86">
        <f t="shared" ca="1" si="295"/>
        <v>2100</v>
      </c>
      <c r="C167" s="80" t="s">
        <v>741</v>
      </c>
      <c r="D167" s="147" t="str">
        <f t="shared" si="253"/>
        <v/>
      </c>
      <c r="E167" s="81">
        <f t="shared" si="254"/>
        <v>0</v>
      </c>
      <c r="F167" s="81">
        <f t="shared" si="259"/>
        <v>2</v>
      </c>
      <c r="G167" s="82">
        <f t="shared" si="255"/>
        <v>-1</v>
      </c>
      <c r="H167" s="82">
        <f t="shared" si="256"/>
        <v>0</v>
      </c>
      <c r="I167" s="81" t="b">
        <f t="shared" si="257"/>
        <v>0</v>
      </c>
      <c r="J167" s="81"/>
      <c r="K167" s="81"/>
      <c r="L167" s="81"/>
      <c r="M167" s="81"/>
      <c r="N167" s="633"/>
      <c r="O167" s="243" t="e">
        <f ca="1">LT_InvestmentStocks*INDEX(SP_EA_ARStocks,EAIDX)+LT_InvestmentBonds*INDEX(SC_EA_ARBonds,EAIDX)</f>
        <v>#REF!</v>
      </c>
      <c r="P167" s="634"/>
      <c r="Q167" s="617"/>
      <c r="R167" s="617"/>
      <c r="S167" s="617"/>
      <c r="T167" s="617"/>
      <c r="U167" s="643"/>
      <c r="V167" s="617"/>
      <c r="W167" s="639"/>
      <c r="X167" s="106" t="e">
        <f t="shared" ca="1" si="261"/>
        <v>#REF!</v>
      </c>
      <c r="Y167" s="107" t="e">
        <f t="shared" ca="1" si="262"/>
        <v>#REF!</v>
      </c>
      <c r="Z167" s="107" t="e">
        <f t="shared" ca="1" si="263"/>
        <v>#REF!</v>
      </c>
      <c r="AA167" s="107" t="e">
        <f t="shared" ca="1" si="264"/>
        <v>#REF!</v>
      </c>
      <c r="AB167" s="91" t="e">
        <f t="shared" ca="1" si="297"/>
        <v>#REF!</v>
      </c>
      <c r="AC167" s="107" t="e">
        <f ca="1">-IF(INDEX(SC_ZX_CodeA,ZXIDX1)="X", 0, MIN(AB167*MAX(INDEX(SC_ZX_Drawdown,ZXIDX2),0),AA167))</f>
        <v>#REF!</v>
      </c>
      <c r="AD167" s="110" t="e">
        <f t="shared" ca="1" si="265"/>
        <v>#REF!</v>
      </c>
      <c r="AE167" s="106" t="e">
        <f t="shared" ca="1" si="266"/>
        <v>#REF!</v>
      </c>
      <c r="AF167" s="107" t="e">
        <f t="shared" ca="1" si="267"/>
        <v>#REF!</v>
      </c>
      <c r="AG167" s="107" t="e">
        <f t="shared" ca="1" si="268"/>
        <v>#REF!</v>
      </c>
      <c r="AH167" s="107" t="e">
        <f t="shared" ca="1" si="269"/>
        <v>#REF!</v>
      </c>
      <c r="AI167" s="91" t="e">
        <f t="shared" ca="1" si="298"/>
        <v>#REF!</v>
      </c>
      <c r="AJ167" s="107" t="e">
        <f ca="1">-IF(INDEX(SC_ZX_CodeA,ZXIDX1)="X", 0, MIN(AI167*MAX(INDEX(SC_ZX_Drawdown,ZXIDX2),0),AH167))</f>
        <v>#REF!</v>
      </c>
      <c r="AK167" s="110" t="e">
        <f t="shared" ca="1" si="270"/>
        <v>#REF!</v>
      </c>
      <c r="AL167" s="106" t="e">
        <f t="shared" ca="1" si="271"/>
        <v>#REF!</v>
      </c>
      <c r="AM167" s="107" t="e">
        <f t="shared" ca="1" si="272"/>
        <v>#REF!</v>
      </c>
      <c r="AN167" s="107" t="e">
        <f t="shared" ca="1" si="273"/>
        <v>#REF!</v>
      </c>
      <c r="AO167" s="107" t="e">
        <f t="shared" ca="1" si="274"/>
        <v>#REF!</v>
      </c>
      <c r="AP167" s="91" t="e">
        <f t="shared" ca="1" si="299"/>
        <v>#REF!</v>
      </c>
      <c r="AQ167" s="107" t="e">
        <f ca="1">-IF(INDEX(SC_ZX_CodeA,ZXIDX1)="X", 0, MIN(AP167*MAX(INDEX(SC_ZX_Drawdown,ZXIDX2),0),AO167))</f>
        <v>#REF!</v>
      </c>
      <c r="AR167" s="110" t="e">
        <f t="shared" ca="1" si="275"/>
        <v>#REF!</v>
      </c>
      <c r="AS167" s="106" t="e">
        <f t="shared" ca="1" si="276"/>
        <v>#REF!</v>
      </c>
      <c r="AT167" s="107" t="e">
        <f t="shared" ca="1" si="277"/>
        <v>#REF!</v>
      </c>
      <c r="AU167" s="107" t="e">
        <f t="shared" ca="1" si="278"/>
        <v>#REF!</v>
      </c>
      <c r="AV167" s="107" t="e">
        <f t="shared" ca="1" si="279"/>
        <v>#REF!</v>
      </c>
      <c r="AW167" s="91" t="e">
        <f t="shared" ca="1" si="300"/>
        <v>#REF!</v>
      </c>
      <c r="AX167" s="107" t="e">
        <f ca="1">-IF(INDEX(SC_ZX_CodeA,ZXIDX1)="X", 0, MIN(AW167*MAX(INDEX(SC_ZX_Drawdown,ZXIDX2),0),AV167))</f>
        <v>#REF!</v>
      </c>
      <c r="AY167" s="110" t="e">
        <f t="shared" ca="1" si="280"/>
        <v>#REF!</v>
      </c>
      <c r="AZ167" s="106" t="e">
        <f t="shared" ca="1" si="281"/>
        <v>#REF!</v>
      </c>
      <c r="BA167" s="107" t="e">
        <f t="shared" ca="1" si="282"/>
        <v>#REF!</v>
      </c>
      <c r="BB167" s="107" t="e">
        <f t="shared" ca="1" si="283"/>
        <v>#REF!</v>
      </c>
      <c r="BC167" s="107" t="e">
        <f t="shared" ca="1" si="284"/>
        <v>#REF!</v>
      </c>
      <c r="BD167" s="91" t="e">
        <f t="shared" ca="1" si="301"/>
        <v>#REF!</v>
      </c>
      <c r="BE167" s="107" t="e">
        <f ca="1">-IF(INDEX(SC_ZX_CodeA,ZXIDX1)="X", 0, MIN(BD167*MAX(INDEX(SC_ZX_Drawdown,ZXIDX2),0),AZ167))</f>
        <v>#REF!</v>
      </c>
      <c r="BF167" s="110" t="e">
        <f t="shared" ca="1" si="285"/>
        <v>#REF!</v>
      </c>
      <c r="BG167" s="106" t="e">
        <f t="shared" ca="1" si="286"/>
        <v>#REF!</v>
      </c>
      <c r="BH167" s="107" t="e">
        <f t="shared" ca="1" si="287"/>
        <v>#REF!</v>
      </c>
      <c r="BI167" s="107" t="e">
        <f t="shared" ca="1" si="288"/>
        <v>#REF!</v>
      </c>
      <c r="BJ167" s="107" t="e">
        <f t="shared" ca="1" si="289"/>
        <v>#REF!</v>
      </c>
      <c r="BK167" s="91" t="e">
        <f t="shared" ca="1" si="302"/>
        <v>#REF!</v>
      </c>
      <c r="BL167" s="107" t="e">
        <f ca="1">-IF(INDEX(SC_ZX_CodeA,ZXIDX1)="X", 0, MIN(BK167*MAX(INDEX(SC_ZX_Drawdown,ZXIDX2),0),BJ167))</f>
        <v>#REF!</v>
      </c>
      <c r="BM167" s="107" t="e">
        <f t="shared" ca="1" si="290"/>
        <v>#REF!</v>
      </c>
      <c r="BN167" s="113" t="e">
        <f t="shared" ca="1" si="291"/>
        <v>#REF!</v>
      </c>
      <c r="BO167" s="114" t="e">
        <f t="shared" ca="1" si="292"/>
        <v>#REF!</v>
      </c>
      <c r="BP167" s="114" t="e">
        <f ca="1">-($V167-IF(($P167+$R167+$S167)&gt;0,MAX($V167/($P167+$R167+$S167)*($Q167+$R167),$V167),0))*LT_InvestmentQDI</f>
        <v>#REF!</v>
      </c>
      <c r="BQ167" s="114" t="e">
        <f ca="1">-($V167-IF(($P167+$R167+$S167)&gt;0,MAX($V167/($P167+$R167+$S167)*($Q167+$R167),$V167),0))*(1-LT_InvestmentQDI)</f>
        <v>#REF!</v>
      </c>
      <c r="BR167" s="114" t="e">
        <f t="shared" ca="1" si="293"/>
        <v>#REF!</v>
      </c>
      <c r="BS167" s="114" t="e">
        <f t="shared" ca="1" si="294"/>
        <v>#REF!</v>
      </c>
      <c r="BT167" s="649"/>
      <c r="BU167" s="637"/>
      <c r="BV167" s="637"/>
      <c r="BW167" s="637"/>
      <c r="BX167" s="639"/>
    </row>
    <row r="168" spans="2:76" x14ac:dyDescent="0.25">
      <c r="B168" s="65">
        <f ca="1">B166+1</f>
        <v>2101</v>
      </c>
      <c r="C168" s="76" t="s">
        <v>741</v>
      </c>
      <c r="D168" s="146" t="str">
        <f t="shared" ref="D168:D169" si="316">INDEX(SP_Initials,F168)</f>
        <v/>
      </c>
      <c r="E168" s="77">
        <f t="shared" si="254"/>
        <v>0</v>
      </c>
      <c r="F168" s="77">
        <f t="shared" si="259"/>
        <v>1</v>
      </c>
      <c r="G168" s="76">
        <f t="shared" si="255"/>
        <v>1</v>
      </c>
      <c r="H168" s="76">
        <f t="shared" si="256"/>
        <v>0</v>
      </c>
      <c r="I168" s="77" t="b">
        <f t="shared" si="257"/>
        <v>0</v>
      </c>
      <c r="J168" s="77"/>
      <c r="K168" s="77"/>
      <c r="L168" s="77"/>
      <c r="M168" s="77"/>
      <c r="N168" s="632">
        <f ca="1">YEAR(SP_TargetRD)-$B168</f>
        <v>-78</v>
      </c>
      <c r="O168" s="243" t="e">
        <f ca="1">LT_InvestmentStocks*INDEX(SP_EA_ARStocks,EAIDX)+LT_InvestmentBonds*INDEX(SC_EA_ARBonds,EAIDX)</f>
        <v>#REF!</v>
      </c>
      <c r="P168" s="634" t="e">
        <f ca="1">MAX(P166+R166+S166+V166+W166,0)</f>
        <v>#VALUE!</v>
      </c>
      <c r="Q168" s="617" t="e">
        <f t="shared" ref="Q168" ca="1" si="317">MAX(Q166+R166+IF((P166+R166+S166)&gt;0,MAX(V166/(P166+R166+S166)*(Q166+R166),V166),0),0)</f>
        <v>#VALUE!</v>
      </c>
      <c r="R168" s="617" t="e">
        <f ca="1">IF(SC_ZX_CodeA="X", 0, MAX(INDEX(SC_ZX_IncomeSurplus,ZXIDX2)+INDEX(SC_ZX_Debt,ZXIDX2),0))</f>
        <v>#VALUE!</v>
      </c>
      <c r="S168" s="617" t="e">
        <f ca="1">IF(SC_ZX_CodeA="X", 0, INDEX(SC_EX_RolloverCore,EXIDX))</f>
        <v>#VALUE!</v>
      </c>
      <c r="T168" s="617" t="e">
        <f ca="1">P168+R168+S168</f>
        <v>#VALUE!</v>
      </c>
      <c r="U168" s="642" t="e">
        <f ca="1">IF(SC_ZX_BalanceAccessibleA&gt;0, T168/SC_ZX_BalanceAccessibleA, 0)</f>
        <v>#VALUE!</v>
      </c>
      <c r="V168" s="617" t="e">
        <f ca="1">-IF(SC_ZX_CodeA="X",0,MIN(U168*MAX(INDEX(SC_ZX_Drawdown,ZXIDX2),0),T168))</f>
        <v>#VALUE!</v>
      </c>
      <c r="W168" s="618" t="e">
        <f ca="1">(P168+R168+S168+V168)*$O168</f>
        <v>#VALUE!</v>
      </c>
      <c r="X168" s="75" t="e">
        <f t="shared" ca="1" si="261"/>
        <v>#REF!</v>
      </c>
      <c r="Y168" s="70" t="e">
        <f t="shared" ca="1" si="262"/>
        <v>#REF!</v>
      </c>
      <c r="Z168" s="70" t="e">
        <f t="shared" ca="1" si="263"/>
        <v>#REF!</v>
      </c>
      <c r="AA168" s="70" t="e">
        <f t="shared" ca="1" si="264"/>
        <v>#REF!</v>
      </c>
      <c r="AB168" s="67" t="e">
        <f t="shared" ca="1" si="297"/>
        <v>#REF!</v>
      </c>
      <c r="AC168" s="70" t="e">
        <f ca="1">-IF(INDEX(SC_ZX_CodeA,ZXIDX1)="X", 0, MIN(AB168*MAX(INDEX(SC_ZX_Drawdown,ZXIDX2),0),AA168))</f>
        <v>#REF!</v>
      </c>
      <c r="AD168" s="109" t="e">
        <f t="shared" ca="1" si="265"/>
        <v>#REF!</v>
      </c>
      <c r="AE168" s="75" t="e">
        <f t="shared" ca="1" si="266"/>
        <v>#REF!</v>
      </c>
      <c r="AF168" s="70" t="e">
        <f t="shared" ca="1" si="267"/>
        <v>#REF!</v>
      </c>
      <c r="AG168" s="70" t="e">
        <f t="shared" ca="1" si="268"/>
        <v>#REF!</v>
      </c>
      <c r="AH168" s="70" t="e">
        <f t="shared" ca="1" si="269"/>
        <v>#REF!</v>
      </c>
      <c r="AI168" s="67" t="e">
        <f t="shared" ca="1" si="298"/>
        <v>#REF!</v>
      </c>
      <c r="AJ168" s="70" t="e">
        <f ca="1">-IF(INDEX(SC_ZX_CodeA,ZXIDX1)="X", 0, MIN(AI168*MAX(INDEX(SC_ZX_Drawdown,ZXIDX2),0),AH168))</f>
        <v>#REF!</v>
      </c>
      <c r="AK168" s="109" t="e">
        <f t="shared" ca="1" si="270"/>
        <v>#REF!</v>
      </c>
      <c r="AL168" s="75" t="e">
        <f t="shared" ca="1" si="271"/>
        <v>#REF!</v>
      </c>
      <c r="AM168" s="70" t="e">
        <f t="shared" ca="1" si="272"/>
        <v>#REF!</v>
      </c>
      <c r="AN168" s="70" t="e">
        <f t="shared" ca="1" si="273"/>
        <v>#REF!</v>
      </c>
      <c r="AO168" s="70" t="e">
        <f t="shared" ca="1" si="274"/>
        <v>#REF!</v>
      </c>
      <c r="AP168" s="67" t="e">
        <f t="shared" ca="1" si="299"/>
        <v>#REF!</v>
      </c>
      <c r="AQ168" s="70" t="e">
        <f ca="1">-IF(INDEX(SC_ZX_CodeA,ZXIDX1)="X", 0, MIN(AP168*MAX(INDEX(SC_ZX_Drawdown,ZXIDX2),0),AO168))</f>
        <v>#REF!</v>
      </c>
      <c r="AR168" s="109" t="e">
        <f t="shared" ca="1" si="275"/>
        <v>#REF!</v>
      </c>
      <c r="AS168" s="75" t="e">
        <f t="shared" ca="1" si="276"/>
        <v>#REF!</v>
      </c>
      <c r="AT168" s="70" t="e">
        <f t="shared" ca="1" si="277"/>
        <v>#REF!</v>
      </c>
      <c r="AU168" s="70" t="e">
        <f t="shared" ca="1" si="278"/>
        <v>#REF!</v>
      </c>
      <c r="AV168" s="70" t="e">
        <f t="shared" ca="1" si="279"/>
        <v>#REF!</v>
      </c>
      <c r="AW168" s="67" t="e">
        <f t="shared" ca="1" si="300"/>
        <v>#REF!</v>
      </c>
      <c r="AX168" s="70" t="e">
        <f ca="1">-IF(INDEX(SC_ZX_CodeA,ZXIDX1)="X", 0, MIN(AW168*MAX(INDEX(SC_ZX_Drawdown,ZXIDX2),0),AV168))</f>
        <v>#REF!</v>
      </c>
      <c r="AY168" s="109" t="e">
        <f t="shared" ca="1" si="280"/>
        <v>#REF!</v>
      </c>
      <c r="AZ168" s="75" t="e">
        <f t="shared" ca="1" si="281"/>
        <v>#REF!</v>
      </c>
      <c r="BA168" s="70" t="e">
        <f t="shared" ca="1" si="282"/>
        <v>#REF!</v>
      </c>
      <c r="BB168" s="70" t="e">
        <f t="shared" ca="1" si="283"/>
        <v>#REF!</v>
      </c>
      <c r="BC168" s="70" t="e">
        <f t="shared" ca="1" si="284"/>
        <v>#REF!</v>
      </c>
      <c r="BD168" s="67" t="e">
        <f t="shared" ca="1" si="301"/>
        <v>#REF!</v>
      </c>
      <c r="BE168" s="70" t="e">
        <f ca="1">-IF(INDEX(SC_ZX_CodeA,ZXIDX1)="X", 0, MIN(BD168*MAX(INDEX(SC_ZX_Drawdown,ZXIDX2),0),AZ168))</f>
        <v>#REF!</v>
      </c>
      <c r="BF168" s="109" t="e">
        <f t="shared" ca="1" si="285"/>
        <v>#REF!</v>
      </c>
      <c r="BG168" s="75" t="e">
        <f t="shared" ca="1" si="286"/>
        <v>#REF!</v>
      </c>
      <c r="BH168" s="70" t="e">
        <f t="shared" ca="1" si="287"/>
        <v>#REF!</v>
      </c>
      <c r="BI168" s="70" t="e">
        <f t="shared" ca="1" si="288"/>
        <v>#REF!</v>
      </c>
      <c r="BJ168" s="70" t="e">
        <f t="shared" ca="1" si="289"/>
        <v>#REF!</v>
      </c>
      <c r="BK168" s="67" t="e">
        <f t="shared" ca="1" si="302"/>
        <v>#REF!</v>
      </c>
      <c r="BL168" s="70" t="e">
        <f ca="1">-IF(INDEX(SC_ZX_CodeA,ZXIDX1)="X", 0, MIN(BK168*MAX(INDEX(SC_ZX_Drawdown,ZXIDX2),0),BJ168))</f>
        <v>#REF!</v>
      </c>
      <c r="BM168" s="70" t="e">
        <f t="shared" ca="1" si="290"/>
        <v>#REF!</v>
      </c>
      <c r="BN168" s="111" t="e">
        <f t="shared" ca="1" si="291"/>
        <v>#REF!</v>
      </c>
      <c r="BO168" s="112" t="e">
        <f t="shared" ca="1" si="292"/>
        <v>#REF!</v>
      </c>
      <c r="BP168" s="112" t="e">
        <f ca="1">-($V168-IF(($P168+$R168+$S168)&gt;0,MAX($V168/($P168+$R168+$S168)*($Q168+$R168),$V168),0))*LT_InvestmentQDI</f>
        <v>#VALUE!</v>
      </c>
      <c r="BQ168" s="112" t="e">
        <f ca="1">-($V168-IF(($P168+$R168+$S168)&gt;0,MAX($V168/($P168+$R168+$S168)*($Q168+$R168),$V168),0))*(1-LT_InvestmentQDI)</f>
        <v>#VALUE!</v>
      </c>
      <c r="BR168" s="112" t="e">
        <f t="shared" ca="1" si="293"/>
        <v>#VALUE!</v>
      </c>
      <c r="BS168" s="112" t="e">
        <f t="shared" ca="1" si="294"/>
        <v>#VALUE!</v>
      </c>
      <c r="BT168" s="634" t="e">
        <f ca="1">SUMPRODUCT($BN168:$BN169+$BO168:$BO169, --($E168:$E169&lt;&gt;0))</f>
        <v>#REF!</v>
      </c>
      <c r="BU168" s="617" t="e">
        <f ca="1">SUMPRODUCT($BR168:$BR169+$BS168:$BS169, --($E168:$E169&lt;&gt;0))</f>
        <v>#VALUE!</v>
      </c>
      <c r="BV168" s="617" t="e">
        <f ca="1">$T168+SUMPRODUCT($AA168:$AA169+$AH168:$AH169+$AO168:$AO169+$AV168:$AV169+$BC168:$BC169+$BJ168:$BJ169, --($E168:$E169&lt;&gt;0))</f>
        <v>#VALUE!</v>
      </c>
      <c r="BW168" s="617" t="e">
        <f ca="1">MAX($P168-$Q168,0)+SUMPRODUCT($X168:$X169+$AL168:$AL169+$AZ168:$AZ169, --($E168:$E169&lt;&gt;0))</f>
        <v>#VALUE!</v>
      </c>
      <c r="BX168" s="618" t="e">
        <f ca="1">MIN($P168,$Q168)+SUMPRODUCT($AE168:$AE169+$AS168:$AS169+$BG168:$BG169, --($E168:$E169&lt;&gt;0))</f>
        <v>#VALUE!</v>
      </c>
    </row>
    <row r="169" spans="2:76" x14ac:dyDescent="0.25">
      <c r="B169" s="86">
        <f t="shared" ca="1" si="295"/>
        <v>2101</v>
      </c>
      <c r="C169" s="80" t="s">
        <v>741</v>
      </c>
      <c r="D169" s="147" t="str">
        <f t="shared" si="316"/>
        <v/>
      </c>
      <c r="E169" s="81">
        <f t="shared" si="254"/>
        <v>0</v>
      </c>
      <c r="F169" s="81">
        <f t="shared" si="259"/>
        <v>2</v>
      </c>
      <c r="G169" s="82">
        <f t="shared" si="255"/>
        <v>-1</v>
      </c>
      <c r="H169" s="82">
        <f t="shared" si="256"/>
        <v>0</v>
      </c>
      <c r="I169" s="81" t="b">
        <f t="shared" si="257"/>
        <v>0</v>
      </c>
      <c r="J169" s="81"/>
      <c r="K169" s="81"/>
      <c r="L169" s="81"/>
      <c r="M169" s="81"/>
      <c r="N169" s="633"/>
      <c r="O169" s="243" t="e">
        <f ca="1">LT_InvestmentStocks*INDEX(SP_EA_ARStocks,EAIDX)+LT_InvestmentBonds*INDEX(SC_EA_ARBonds,EAIDX)</f>
        <v>#REF!</v>
      </c>
      <c r="P169" s="634"/>
      <c r="Q169" s="617"/>
      <c r="R169" s="617"/>
      <c r="S169" s="617"/>
      <c r="T169" s="617"/>
      <c r="U169" s="643"/>
      <c r="V169" s="617"/>
      <c r="W169" s="639"/>
      <c r="X169" s="106" t="e">
        <f t="shared" ca="1" si="261"/>
        <v>#REF!</v>
      </c>
      <c r="Y169" s="107" t="e">
        <f t="shared" ca="1" si="262"/>
        <v>#REF!</v>
      </c>
      <c r="Z169" s="107" t="e">
        <f t="shared" ca="1" si="263"/>
        <v>#REF!</v>
      </c>
      <c r="AA169" s="107" t="e">
        <f t="shared" ca="1" si="264"/>
        <v>#REF!</v>
      </c>
      <c r="AB169" s="91" t="e">
        <f t="shared" ca="1" si="297"/>
        <v>#REF!</v>
      </c>
      <c r="AC169" s="107" t="e">
        <f ca="1">-IF(INDEX(SC_ZX_CodeA,ZXIDX1)="X", 0, MIN(AB169*MAX(INDEX(SC_ZX_Drawdown,ZXIDX2),0),AA169))</f>
        <v>#REF!</v>
      </c>
      <c r="AD169" s="110" t="e">
        <f t="shared" ca="1" si="265"/>
        <v>#REF!</v>
      </c>
      <c r="AE169" s="106" t="e">
        <f t="shared" ca="1" si="266"/>
        <v>#REF!</v>
      </c>
      <c r="AF169" s="107" t="e">
        <f t="shared" ca="1" si="267"/>
        <v>#REF!</v>
      </c>
      <c r="AG169" s="107" t="e">
        <f t="shared" ca="1" si="268"/>
        <v>#REF!</v>
      </c>
      <c r="AH169" s="107" t="e">
        <f t="shared" ca="1" si="269"/>
        <v>#REF!</v>
      </c>
      <c r="AI169" s="91" t="e">
        <f t="shared" ca="1" si="298"/>
        <v>#REF!</v>
      </c>
      <c r="AJ169" s="107" t="e">
        <f ca="1">-IF(INDEX(SC_ZX_CodeA,ZXIDX1)="X", 0, MIN(AI169*MAX(INDEX(SC_ZX_Drawdown,ZXIDX2),0),AH169))</f>
        <v>#REF!</v>
      </c>
      <c r="AK169" s="110" t="e">
        <f t="shared" ca="1" si="270"/>
        <v>#REF!</v>
      </c>
      <c r="AL169" s="106" t="e">
        <f t="shared" ca="1" si="271"/>
        <v>#REF!</v>
      </c>
      <c r="AM169" s="107" t="e">
        <f t="shared" ca="1" si="272"/>
        <v>#REF!</v>
      </c>
      <c r="AN169" s="107" t="e">
        <f t="shared" ca="1" si="273"/>
        <v>#REF!</v>
      </c>
      <c r="AO169" s="107" t="e">
        <f t="shared" ca="1" si="274"/>
        <v>#REF!</v>
      </c>
      <c r="AP169" s="91" t="e">
        <f t="shared" ca="1" si="299"/>
        <v>#REF!</v>
      </c>
      <c r="AQ169" s="107" t="e">
        <f ca="1">-IF(INDEX(SC_ZX_CodeA,ZXIDX1)="X", 0, MIN(AP169*MAX(INDEX(SC_ZX_Drawdown,ZXIDX2),0),AO169))</f>
        <v>#REF!</v>
      </c>
      <c r="AR169" s="110" t="e">
        <f t="shared" ca="1" si="275"/>
        <v>#REF!</v>
      </c>
      <c r="AS169" s="106" t="e">
        <f t="shared" ca="1" si="276"/>
        <v>#REF!</v>
      </c>
      <c r="AT169" s="107" t="e">
        <f t="shared" ca="1" si="277"/>
        <v>#REF!</v>
      </c>
      <c r="AU169" s="107" t="e">
        <f t="shared" ca="1" si="278"/>
        <v>#REF!</v>
      </c>
      <c r="AV169" s="107" t="e">
        <f t="shared" ca="1" si="279"/>
        <v>#REF!</v>
      </c>
      <c r="AW169" s="91" t="e">
        <f t="shared" ca="1" si="300"/>
        <v>#REF!</v>
      </c>
      <c r="AX169" s="107" t="e">
        <f ca="1">-IF(INDEX(SC_ZX_CodeA,ZXIDX1)="X", 0, MIN(AW169*MAX(INDEX(SC_ZX_Drawdown,ZXIDX2),0),AV169))</f>
        <v>#REF!</v>
      </c>
      <c r="AY169" s="110" t="e">
        <f t="shared" ca="1" si="280"/>
        <v>#REF!</v>
      </c>
      <c r="AZ169" s="106" t="e">
        <f t="shared" ca="1" si="281"/>
        <v>#REF!</v>
      </c>
      <c r="BA169" s="107" t="e">
        <f t="shared" ca="1" si="282"/>
        <v>#REF!</v>
      </c>
      <c r="BB169" s="107" t="e">
        <f t="shared" ca="1" si="283"/>
        <v>#REF!</v>
      </c>
      <c r="BC169" s="107" t="e">
        <f t="shared" ca="1" si="284"/>
        <v>#REF!</v>
      </c>
      <c r="BD169" s="91" t="e">
        <f t="shared" ca="1" si="301"/>
        <v>#REF!</v>
      </c>
      <c r="BE169" s="107" t="e">
        <f ca="1">-IF(INDEX(SC_ZX_CodeA,ZXIDX1)="X", 0, MIN(BD169*MAX(INDEX(SC_ZX_Drawdown,ZXIDX2),0),AZ169))</f>
        <v>#REF!</v>
      </c>
      <c r="BF169" s="110" t="e">
        <f t="shared" ca="1" si="285"/>
        <v>#REF!</v>
      </c>
      <c r="BG169" s="106" t="e">
        <f t="shared" ca="1" si="286"/>
        <v>#REF!</v>
      </c>
      <c r="BH169" s="107" t="e">
        <f t="shared" ca="1" si="287"/>
        <v>#REF!</v>
      </c>
      <c r="BI169" s="107" t="e">
        <f t="shared" ca="1" si="288"/>
        <v>#REF!</v>
      </c>
      <c r="BJ169" s="107" t="e">
        <f t="shared" ca="1" si="289"/>
        <v>#REF!</v>
      </c>
      <c r="BK169" s="91" t="e">
        <f t="shared" ca="1" si="302"/>
        <v>#REF!</v>
      </c>
      <c r="BL169" s="107" t="e">
        <f ca="1">-IF(INDEX(SC_ZX_CodeA,ZXIDX1)="X", 0, MIN(BK169*MAX(INDEX(SC_ZX_Drawdown,ZXIDX2),0),BJ169))</f>
        <v>#REF!</v>
      </c>
      <c r="BM169" s="107" t="e">
        <f t="shared" ca="1" si="290"/>
        <v>#REF!</v>
      </c>
      <c r="BN169" s="113" t="e">
        <f t="shared" ca="1" si="291"/>
        <v>#REF!</v>
      </c>
      <c r="BO169" s="114" t="e">
        <f t="shared" ca="1" si="292"/>
        <v>#REF!</v>
      </c>
      <c r="BP169" s="114" t="e">
        <f ca="1">-($V169-IF(($P169+$R169+$S169)&gt;0,MAX($V169/($P169+$R169+$S169)*($Q169+$R169),$V169),0))*LT_InvestmentQDI</f>
        <v>#REF!</v>
      </c>
      <c r="BQ169" s="114" t="e">
        <f ca="1">-($V169-IF(($P169+$R169+$S169)&gt;0,MAX($V169/($P169+$R169+$S169)*($Q169+$R169),$V169),0))*(1-LT_InvestmentQDI)</f>
        <v>#REF!</v>
      </c>
      <c r="BR169" s="114" t="e">
        <f t="shared" ca="1" si="293"/>
        <v>#REF!</v>
      </c>
      <c r="BS169" s="114" t="e">
        <f t="shared" ca="1" si="294"/>
        <v>#REF!</v>
      </c>
      <c r="BT169" s="649"/>
      <c r="BU169" s="637"/>
      <c r="BV169" s="637"/>
      <c r="BW169" s="637"/>
      <c r="BX169" s="639"/>
    </row>
  </sheetData>
  <sheetProtection sheet="1" objects="1" scenarios="1" autoFilter="0"/>
  <mergeCells count="1171">
    <mergeCell ref="P2:W2"/>
    <mergeCell ref="T150:T151"/>
    <mergeCell ref="T152:T153"/>
    <mergeCell ref="T154:T155"/>
    <mergeCell ref="T156:T157"/>
    <mergeCell ref="T158:T159"/>
    <mergeCell ref="T160:T161"/>
    <mergeCell ref="T162:T163"/>
    <mergeCell ref="T164:T165"/>
    <mergeCell ref="T166:T167"/>
    <mergeCell ref="T168:T169"/>
    <mergeCell ref="T106:T107"/>
    <mergeCell ref="T108:T109"/>
    <mergeCell ref="T110:T111"/>
    <mergeCell ref="T112:T113"/>
    <mergeCell ref="T114:T115"/>
    <mergeCell ref="T116:T117"/>
    <mergeCell ref="T118:T119"/>
    <mergeCell ref="T120:T121"/>
    <mergeCell ref="T122:T123"/>
    <mergeCell ref="T124:T125"/>
    <mergeCell ref="T126:T127"/>
    <mergeCell ref="T128:T129"/>
    <mergeCell ref="T130:T131"/>
    <mergeCell ref="T132:T133"/>
    <mergeCell ref="T134:T135"/>
    <mergeCell ref="T136:T137"/>
    <mergeCell ref="T138:T139"/>
    <mergeCell ref="T76:T77"/>
    <mergeCell ref="T78:T79"/>
    <mergeCell ref="T80:T81"/>
    <mergeCell ref="T82:T83"/>
    <mergeCell ref="BT118:BT119"/>
    <mergeCell ref="BT84:BT85"/>
    <mergeCell ref="T84:T85"/>
    <mergeCell ref="T86:T87"/>
    <mergeCell ref="T88:T89"/>
    <mergeCell ref="T90:T91"/>
    <mergeCell ref="T92:T93"/>
    <mergeCell ref="T94:T95"/>
    <mergeCell ref="T96:T97"/>
    <mergeCell ref="T98:T99"/>
    <mergeCell ref="T100:T101"/>
    <mergeCell ref="T142:T143"/>
    <mergeCell ref="T144:T145"/>
    <mergeCell ref="T146:T147"/>
    <mergeCell ref="T148:T149"/>
    <mergeCell ref="R6:R7"/>
    <mergeCell ref="V6:V7"/>
    <mergeCell ref="W6:W7"/>
    <mergeCell ref="BT6:BT7"/>
    <mergeCell ref="U146:U147"/>
    <mergeCell ref="U148:U149"/>
    <mergeCell ref="BT30:BT31"/>
    <mergeCell ref="BT32:BT33"/>
    <mergeCell ref="BT34:BT35"/>
    <mergeCell ref="BT36:BT37"/>
    <mergeCell ref="BT38:BT39"/>
    <mergeCell ref="BT40:BT41"/>
    <mergeCell ref="BT42:BT43"/>
    <mergeCell ref="BT44:BT45"/>
    <mergeCell ref="BT46:BT47"/>
    <mergeCell ref="BT86:BT87"/>
    <mergeCell ref="BT88:BT89"/>
    <mergeCell ref="BT70:BT71"/>
    <mergeCell ref="BT80:BT81"/>
    <mergeCell ref="BT82:BT83"/>
    <mergeCell ref="BT48:BT49"/>
    <mergeCell ref="BT50:BT51"/>
    <mergeCell ref="BT52:BT53"/>
    <mergeCell ref="BT54:BT55"/>
    <mergeCell ref="BT56:BT57"/>
    <mergeCell ref="BT58:BT59"/>
    <mergeCell ref="BT102:BT103"/>
    <mergeCell ref="BT104:BT105"/>
    <mergeCell ref="BT106:BT107"/>
    <mergeCell ref="BT108:BT109"/>
    <mergeCell ref="BT110:BT111"/>
    <mergeCell ref="BT112:BT113"/>
    <mergeCell ref="BT114:BT115"/>
    <mergeCell ref="BT116:BT117"/>
    <mergeCell ref="BT60:BT61"/>
    <mergeCell ref="BT62:BT63"/>
    <mergeCell ref="BT64:BT65"/>
    <mergeCell ref="BT100:BT101"/>
    <mergeCell ref="BT66:BT67"/>
    <mergeCell ref="BT68:BT69"/>
    <mergeCell ref="BT90:BT91"/>
    <mergeCell ref="BT92:BT93"/>
    <mergeCell ref="BT94:BT95"/>
    <mergeCell ref="BT96:BT97"/>
    <mergeCell ref="BT98:BT99"/>
    <mergeCell ref="Q146:Q147"/>
    <mergeCell ref="Q12:Q13"/>
    <mergeCell ref="Q14:Q15"/>
    <mergeCell ref="Q16:Q17"/>
    <mergeCell ref="Q66:Q67"/>
    <mergeCell ref="U150:U151"/>
    <mergeCell ref="Q50:Q51"/>
    <mergeCell ref="Q52:Q53"/>
    <mergeCell ref="Q54:Q55"/>
    <mergeCell ref="Q56:Q57"/>
    <mergeCell ref="Q58:Q59"/>
    <mergeCell ref="Q60:Q61"/>
    <mergeCell ref="S82:S83"/>
    <mergeCell ref="S84:S85"/>
    <mergeCell ref="S86:S87"/>
    <mergeCell ref="S88:S89"/>
    <mergeCell ref="S90:S91"/>
    <mergeCell ref="S92:S93"/>
    <mergeCell ref="S102:S103"/>
    <mergeCell ref="S104:S105"/>
    <mergeCell ref="S106:S107"/>
    <mergeCell ref="S108:S109"/>
    <mergeCell ref="S42:S43"/>
    <mergeCell ref="S44:S45"/>
    <mergeCell ref="S46:S47"/>
    <mergeCell ref="S48:S49"/>
    <mergeCell ref="S50:S51"/>
    <mergeCell ref="S72:S73"/>
    <mergeCell ref="S76:S77"/>
    <mergeCell ref="S74:S75"/>
    <mergeCell ref="BT136:BT137"/>
    <mergeCell ref="BT164:BT165"/>
    <mergeCell ref="BT166:BT167"/>
    <mergeCell ref="BT156:BT157"/>
    <mergeCell ref="BT158:BT159"/>
    <mergeCell ref="BT160:BT161"/>
    <mergeCell ref="BT162:BT163"/>
    <mergeCell ref="BU6:BU7"/>
    <mergeCell ref="Q152:Q153"/>
    <mergeCell ref="Q154:Q155"/>
    <mergeCell ref="Q156:Q157"/>
    <mergeCell ref="Q158:Q159"/>
    <mergeCell ref="Q160:Q161"/>
    <mergeCell ref="Q98:Q99"/>
    <mergeCell ref="Q100:Q101"/>
    <mergeCell ref="Q102:Q103"/>
    <mergeCell ref="Q104:Q105"/>
    <mergeCell ref="Q106:Q107"/>
    <mergeCell ref="Q108:Q109"/>
    <mergeCell ref="Q110:Q111"/>
    <mergeCell ref="Q112:Q113"/>
    <mergeCell ref="Q114:Q115"/>
    <mergeCell ref="Q80:Q81"/>
    <mergeCell ref="Q82:Q83"/>
    <mergeCell ref="Q84:Q85"/>
    <mergeCell ref="Q86:Q87"/>
    <mergeCell ref="Q72:Q73"/>
    <mergeCell ref="Q74:Q75"/>
    <mergeCell ref="Q44:Q45"/>
    <mergeCell ref="Q46:Q47"/>
    <mergeCell ref="Q48:Q49"/>
    <mergeCell ref="Q90:Q91"/>
    <mergeCell ref="BT12:BT13"/>
    <mergeCell ref="BT14:BT15"/>
    <mergeCell ref="BT16:BT17"/>
    <mergeCell ref="BT18:BT19"/>
    <mergeCell ref="BT20:BT21"/>
    <mergeCell ref="BT22:BT23"/>
    <mergeCell ref="BT24:BT25"/>
    <mergeCell ref="BT26:BT27"/>
    <mergeCell ref="BT28:BT29"/>
    <mergeCell ref="BT72:BT73"/>
    <mergeCell ref="BT74:BT75"/>
    <mergeCell ref="BT76:BT77"/>
    <mergeCell ref="BT78:BT79"/>
    <mergeCell ref="BU168:BU169"/>
    <mergeCell ref="BT168:BT169"/>
    <mergeCell ref="BT138:BT139"/>
    <mergeCell ref="BT140:BT141"/>
    <mergeCell ref="BT142:BT143"/>
    <mergeCell ref="BT144:BT145"/>
    <mergeCell ref="BT146:BT147"/>
    <mergeCell ref="BT148:BT149"/>
    <mergeCell ref="BT150:BT151"/>
    <mergeCell ref="BT152:BT153"/>
    <mergeCell ref="BT154:BT155"/>
    <mergeCell ref="BT120:BT121"/>
    <mergeCell ref="BT122:BT123"/>
    <mergeCell ref="BT124:BT125"/>
    <mergeCell ref="BT126:BT127"/>
    <mergeCell ref="BT128:BT129"/>
    <mergeCell ref="BT130:BT131"/>
    <mergeCell ref="BT132:BT133"/>
    <mergeCell ref="BT134:BT135"/>
    <mergeCell ref="BW168:BW169"/>
    <mergeCell ref="BX168:BX169"/>
    <mergeCell ref="BU164:BU165"/>
    <mergeCell ref="BW166:BW167"/>
    <mergeCell ref="BX166:BX167"/>
    <mergeCell ref="BU166:BU167"/>
    <mergeCell ref="BW164:BW165"/>
    <mergeCell ref="BX164:BX165"/>
    <mergeCell ref="BV164:BV165"/>
    <mergeCell ref="BV166:BV167"/>
    <mergeCell ref="BV168:BV169"/>
    <mergeCell ref="BU156:BU157"/>
    <mergeCell ref="BW158:BW159"/>
    <mergeCell ref="BX158:BX159"/>
    <mergeCell ref="BU158:BU159"/>
    <mergeCell ref="BW156:BW157"/>
    <mergeCell ref="BX156:BX157"/>
    <mergeCell ref="BU160:BU161"/>
    <mergeCell ref="BX136:BX137"/>
    <mergeCell ref="BV132:BV133"/>
    <mergeCell ref="BV134:BV135"/>
    <mergeCell ref="BV136:BV137"/>
    <mergeCell ref="BV138:BV139"/>
    <mergeCell ref="BW162:BW163"/>
    <mergeCell ref="BX162:BX163"/>
    <mergeCell ref="BU162:BU163"/>
    <mergeCell ref="BW160:BW161"/>
    <mergeCell ref="BX160:BX161"/>
    <mergeCell ref="BV156:BV157"/>
    <mergeCell ref="BV158:BV159"/>
    <mergeCell ref="BV160:BV161"/>
    <mergeCell ref="BV162:BV163"/>
    <mergeCell ref="BU148:BU149"/>
    <mergeCell ref="BW150:BW151"/>
    <mergeCell ref="BX150:BX151"/>
    <mergeCell ref="BU150:BU151"/>
    <mergeCell ref="BW148:BW149"/>
    <mergeCell ref="BX148:BX149"/>
    <mergeCell ref="BU152:BU153"/>
    <mergeCell ref="BW154:BW155"/>
    <mergeCell ref="BX154:BX155"/>
    <mergeCell ref="BU154:BU155"/>
    <mergeCell ref="BW152:BW153"/>
    <mergeCell ref="BX152:BX153"/>
    <mergeCell ref="BV148:BV149"/>
    <mergeCell ref="BV150:BV151"/>
    <mergeCell ref="BV152:BV153"/>
    <mergeCell ref="BV154:BV155"/>
    <mergeCell ref="BX120:BX121"/>
    <mergeCell ref="BV116:BV117"/>
    <mergeCell ref="BV118:BV119"/>
    <mergeCell ref="BV120:BV121"/>
    <mergeCell ref="BV122:BV123"/>
    <mergeCell ref="BU140:BU141"/>
    <mergeCell ref="BW142:BW143"/>
    <mergeCell ref="BX142:BX143"/>
    <mergeCell ref="BU142:BU143"/>
    <mergeCell ref="BW140:BW141"/>
    <mergeCell ref="BX140:BX141"/>
    <mergeCell ref="BU144:BU145"/>
    <mergeCell ref="BW146:BW147"/>
    <mergeCell ref="BX146:BX147"/>
    <mergeCell ref="BU146:BU147"/>
    <mergeCell ref="BW144:BW145"/>
    <mergeCell ref="BX144:BX145"/>
    <mergeCell ref="BV140:BV141"/>
    <mergeCell ref="BV142:BV143"/>
    <mergeCell ref="BV144:BV145"/>
    <mergeCell ref="BV146:BV147"/>
    <mergeCell ref="BU132:BU133"/>
    <mergeCell ref="BW134:BW135"/>
    <mergeCell ref="BX134:BX135"/>
    <mergeCell ref="BU134:BU135"/>
    <mergeCell ref="BW132:BW133"/>
    <mergeCell ref="BX132:BX133"/>
    <mergeCell ref="BU136:BU137"/>
    <mergeCell ref="BW138:BW139"/>
    <mergeCell ref="BX138:BX139"/>
    <mergeCell ref="BU138:BU139"/>
    <mergeCell ref="BW136:BW137"/>
    <mergeCell ref="BX104:BX105"/>
    <mergeCell ref="BV100:BV101"/>
    <mergeCell ref="BV102:BV103"/>
    <mergeCell ref="BV104:BV105"/>
    <mergeCell ref="BV106:BV107"/>
    <mergeCell ref="BU124:BU125"/>
    <mergeCell ref="BW126:BW127"/>
    <mergeCell ref="BX126:BX127"/>
    <mergeCell ref="BU126:BU127"/>
    <mergeCell ref="BW124:BW125"/>
    <mergeCell ref="BX124:BX125"/>
    <mergeCell ref="BU128:BU129"/>
    <mergeCell ref="BW130:BW131"/>
    <mergeCell ref="BX130:BX131"/>
    <mergeCell ref="BU130:BU131"/>
    <mergeCell ref="BW128:BW129"/>
    <mergeCell ref="BX128:BX129"/>
    <mergeCell ref="BV124:BV125"/>
    <mergeCell ref="BV126:BV127"/>
    <mergeCell ref="BV128:BV129"/>
    <mergeCell ref="BV130:BV131"/>
    <mergeCell ref="BU116:BU117"/>
    <mergeCell ref="BW118:BW119"/>
    <mergeCell ref="BX118:BX119"/>
    <mergeCell ref="BU118:BU119"/>
    <mergeCell ref="BW116:BW117"/>
    <mergeCell ref="BX116:BX117"/>
    <mergeCell ref="BU120:BU121"/>
    <mergeCell ref="BW122:BW123"/>
    <mergeCell ref="BX122:BX123"/>
    <mergeCell ref="BU122:BU123"/>
    <mergeCell ref="BW120:BW121"/>
    <mergeCell ref="BX88:BX89"/>
    <mergeCell ref="BV84:BV85"/>
    <mergeCell ref="BV86:BV87"/>
    <mergeCell ref="BV88:BV89"/>
    <mergeCell ref="BV90:BV91"/>
    <mergeCell ref="BU108:BU109"/>
    <mergeCell ref="BW110:BW111"/>
    <mergeCell ref="BX110:BX111"/>
    <mergeCell ref="BU110:BU111"/>
    <mergeCell ref="BW108:BW109"/>
    <mergeCell ref="BX108:BX109"/>
    <mergeCell ref="BU112:BU113"/>
    <mergeCell ref="BW114:BW115"/>
    <mergeCell ref="BX114:BX115"/>
    <mergeCell ref="BU114:BU115"/>
    <mergeCell ref="BW112:BW113"/>
    <mergeCell ref="BX112:BX113"/>
    <mergeCell ref="BV108:BV109"/>
    <mergeCell ref="BV110:BV111"/>
    <mergeCell ref="BV112:BV113"/>
    <mergeCell ref="BV114:BV115"/>
    <mergeCell ref="BU100:BU101"/>
    <mergeCell ref="BW102:BW103"/>
    <mergeCell ref="BX102:BX103"/>
    <mergeCell ref="BU102:BU103"/>
    <mergeCell ref="BW100:BW101"/>
    <mergeCell ref="BX100:BX101"/>
    <mergeCell ref="BU104:BU105"/>
    <mergeCell ref="BW106:BW107"/>
    <mergeCell ref="BX106:BX107"/>
    <mergeCell ref="BU106:BU107"/>
    <mergeCell ref="BW104:BW105"/>
    <mergeCell ref="BX72:BX73"/>
    <mergeCell ref="BV68:BV69"/>
    <mergeCell ref="BV70:BV71"/>
    <mergeCell ref="BV72:BV73"/>
    <mergeCell ref="BV74:BV75"/>
    <mergeCell ref="BU92:BU93"/>
    <mergeCell ref="BW94:BW95"/>
    <mergeCell ref="BX94:BX95"/>
    <mergeCell ref="BU94:BU95"/>
    <mergeCell ref="BW92:BW93"/>
    <mergeCell ref="BX92:BX93"/>
    <mergeCell ref="BU96:BU97"/>
    <mergeCell ref="BW98:BW99"/>
    <mergeCell ref="BX98:BX99"/>
    <mergeCell ref="BU98:BU99"/>
    <mergeCell ref="BW96:BW97"/>
    <mergeCell ref="BX96:BX97"/>
    <mergeCell ref="BV92:BV93"/>
    <mergeCell ref="BV94:BV95"/>
    <mergeCell ref="BV96:BV97"/>
    <mergeCell ref="BV98:BV99"/>
    <mergeCell ref="BU84:BU85"/>
    <mergeCell ref="BW86:BW87"/>
    <mergeCell ref="BX86:BX87"/>
    <mergeCell ref="BU86:BU87"/>
    <mergeCell ref="BW84:BW85"/>
    <mergeCell ref="BX84:BX85"/>
    <mergeCell ref="BU88:BU89"/>
    <mergeCell ref="BW90:BW91"/>
    <mergeCell ref="BX90:BX91"/>
    <mergeCell ref="BU90:BU91"/>
    <mergeCell ref="BW88:BW89"/>
    <mergeCell ref="BX56:BX57"/>
    <mergeCell ref="BV52:BV53"/>
    <mergeCell ref="BV54:BV55"/>
    <mergeCell ref="BV56:BV57"/>
    <mergeCell ref="BV58:BV59"/>
    <mergeCell ref="BU76:BU77"/>
    <mergeCell ref="BW78:BW79"/>
    <mergeCell ref="BX78:BX79"/>
    <mergeCell ref="BU78:BU79"/>
    <mergeCell ref="BW76:BW77"/>
    <mergeCell ref="BX76:BX77"/>
    <mergeCell ref="BU80:BU81"/>
    <mergeCell ref="BW82:BW83"/>
    <mergeCell ref="BX82:BX83"/>
    <mergeCell ref="BU82:BU83"/>
    <mergeCell ref="BW80:BW81"/>
    <mergeCell ref="BX80:BX81"/>
    <mergeCell ref="BV76:BV77"/>
    <mergeCell ref="BV78:BV79"/>
    <mergeCell ref="BV80:BV81"/>
    <mergeCell ref="BV82:BV83"/>
    <mergeCell ref="BU68:BU69"/>
    <mergeCell ref="BW70:BW71"/>
    <mergeCell ref="BX70:BX71"/>
    <mergeCell ref="BU70:BU71"/>
    <mergeCell ref="BW68:BW69"/>
    <mergeCell ref="BX68:BX69"/>
    <mergeCell ref="BU72:BU73"/>
    <mergeCell ref="BW74:BW75"/>
    <mergeCell ref="BX74:BX75"/>
    <mergeCell ref="BU74:BU75"/>
    <mergeCell ref="BW72:BW73"/>
    <mergeCell ref="BX40:BX41"/>
    <mergeCell ref="BV36:BV37"/>
    <mergeCell ref="BV38:BV39"/>
    <mergeCell ref="BV40:BV41"/>
    <mergeCell ref="BV42:BV43"/>
    <mergeCell ref="BU60:BU61"/>
    <mergeCell ref="BW62:BW63"/>
    <mergeCell ref="BX62:BX63"/>
    <mergeCell ref="BU62:BU63"/>
    <mergeCell ref="BW60:BW61"/>
    <mergeCell ref="BX60:BX61"/>
    <mergeCell ref="BU64:BU65"/>
    <mergeCell ref="BW66:BW67"/>
    <mergeCell ref="BX66:BX67"/>
    <mergeCell ref="BU66:BU67"/>
    <mergeCell ref="BW64:BW65"/>
    <mergeCell ref="BX64:BX65"/>
    <mergeCell ref="BV60:BV61"/>
    <mergeCell ref="BV62:BV63"/>
    <mergeCell ref="BV64:BV65"/>
    <mergeCell ref="BV66:BV67"/>
    <mergeCell ref="BU52:BU53"/>
    <mergeCell ref="BW54:BW55"/>
    <mergeCell ref="BX54:BX55"/>
    <mergeCell ref="BU54:BU55"/>
    <mergeCell ref="BW52:BW53"/>
    <mergeCell ref="BX52:BX53"/>
    <mergeCell ref="BU56:BU57"/>
    <mergeCell ref="BW58:BW59"/>
    <mergeCell ref="BX58:BX59"/>
    <mergeCell ref="BU58:BU59"/>
    <mergeCell ref="BW56:BW57"/>
    <mergeCell ref="BV32:BV33"/>
    <mergeCell ref="BV34:BV35"/>
    <mergeCell ref="BW22:BW23"/>
    <mergeCell ref="BX22:BX23"/>
    <mergeCell ref="BU22:BU23"/>
    <mergeCell ref="BU44:BU45"/>
    <mergeCell ref="BW46:BW47"/>
    <mergeCell ref="BX46:BX47"/>
    <mergeCell ref="BU46:BU47"/>
    <mergeCell ref="BW44:BW45"/>
    <mergeCell ref="BX44:BX45"/>
    <mergeCell ref="BU48:BU49"/>
    <mergeCell ref="BW50:BW51"/>
    <mergeCell ref="BX50:BX51"/>
    <mergeCell ref="BU50:BU51"/>
    <mergeCell ref="BW48:BW49"/>
    <mergeCell ref="BX48:BX49"/>
    <mergeCell ref="BV44:BV45"/>
    <mergeCell ref="BV46:BV47"/>
    <mergeCell ref="BV48:BV49"/>
    <mergeCell ref="BV50:BV51"/>
    <mergeCell ref="BU36:BU37"/>
    <mergeCell ref="BW38:BW39"/>
    <mergeCell ref="BX38:BX39"/>
    <mergeCell ref="BU38:BU39"/>
    <mergeCell ref="BW36:BW37"/>
    <mergeCell ref="BX36:BX37"/>
    <mergeCell ref="BU40:BU41"/>
    <mergeCell ref="BW42:BW43"/>
    <mergeCell ref="BX42:BX43"/>
    <mergeCell ref="BU42:BU43"/>
    <mergeCell ref="BW40:BW41"/>
    <mergeCell ref="BW14:BW15"/>
    <mergeCell ref="BX14:BX15"/>
    <mergeCell ref="BU14:BU15"/>
    <mergeCell ref="BW12:BW13"/>
    <mergeCell ref="BX12:BX13"/>
    <mergeCell ref="BU16:BU17"/>
    <mergeCell ref="BW18:BW19"/>
    <mergeCell ref="BX18:BX19"/>
    <mergeCell ref="BU18:BU19"/>
    <mergeCell ref="BW16:BW17"/>
    <mergeCell ref="BX16:BX17"/>
    <mergeCell ref="BV12:BV13"/>
    <mergeCell ref="BV14:BV15"/>
    <mergeCell ref="BV16:BV17"/>
    <mergeCell ref="BV18:BV19"/>
    <mergeCell ref="BW30:BW31"/>
    <mergeCell ref="BX30:BX31"/>
    <mergeCell ref="BU30:BU31"/>
    <mergeCell ref="BW28:BW29"/>
    <mergeCell ref="BX28:BX29"/>
    <mergeCell ref="BV28:BV29"/>
    <mergeCell ref="BV30:BV31"/>
    <mergeCell ref="P126:P127"/>
    <mergeCell ref="R126:R127"/>
    <mergeCell ref="V126:V127"/>
    <mergeCell ref="W126:W127"/>
    <mergeCell ref="P128:P129"/>
    <mergeCell ref="R128:R129"/>
    <mergeCell ref="V128:V129"/>
    <mergeCell ref="W128:W129"/>
    <mergeCell ref="Q126:Q127"/>
    <mergeCell ref="Q128:Q129"/>
    <mergeCell ref="P122:P123"/>
    <mergeCell ref="R122:R123"/>
    <mergeCell ref="V122:V123"/>
    <mergeCell ref="R120:R121"/>
    <mergeCell ref="BW20:BW21"/>
    <mergeCell ref="BX20:BX21"/>
    <mergeCell ref="BU24:BU25"/>
    <mergeCell ref="BW26:BW27"/>
    <mergeCell ref="BX26:BX27"/>
    <mergeCell ref="BU26:BU27"/>
    <mergeCell ref="BW24:BW25"/>
    <mergeCell ref="BX24:BX25"/>
    <mergeCell ref="BV20:BV21"/>
    <mergeCell ref="BV22:BV23"/>
    <mergeCell ref="BV24:BV25"/>
    <mergeCell ref="BV26:BV27"/>
    <mergeCell ref="BU32:BU33"/>
    <mergeCell ref="BW34:BW35"/>
    <mergeCell ref="BX34:BX35"/>
    <mergeCell ref="BU34:BU35"/>
    <mergeCell ref="BW32:BW33"/>
    <mergeCell ref="BX32:BX33"/>
    <mergeCell ref="P138:P139"/>
    <mergeCell ref="R138:R139"/>
    <mergeCell ref="V138:V139"/>
    <mergeCell ref="W138:W139"/>
    <mergeCell ref="P140:P141"/>
    <mergeCell ref="R140:R141"/>
    <mergeCell ref="V140:V141"/>
    <mergeCell ref="W140:W141"/>
    <mergeCell ref="P134:P135"/>
    <mergeCell ref="R134:R135"/>
    <mergeCell ref="V134:V135"/>
    <mergeCell ref="W134:W135"/>
    <mergeCell ref="P136:P137"/>
    <mergeCell ref="R136:R137"/>
    <mergeCell ref="V136:V137"/>
    <mergeCell ref="Q130:Q131"/>
    <mergeCell ref="Q132:Q133"/>
    <mergeCell ref="T140:T141"/>
    <mergeCell ref="P160:P161"/>
    <mergeCell ref="R160:R161"/>
    <mergeCell ref="V160:V161"/>
    <mergeCell ref="W160:W161"/>
    <mergeCell ref="U134:U135"/>
    <mergeCell ref="U136:U137"/>
    <mergeCell ref="U138:U139"/>
    <mergeCell ref="U140:U141"/>
    <mergeCell ref="Q134:Q135"/>
    <mergeCell ref="Q136:Q137"/>
    <mergeCell ref="Q138:Q139"/>
    <mergeCell ref="Q140:Q141"/>
    <mergeCell ref="Q148:Q149"/>
    <mergeCell ref="Q150:Q151"/>
    <mergeCell ref="W136:W137"/>
    <mergeCell ref="U142:U143"/>
    <mergeCell ref="U144:U145"/>
    <mergeCell ref="P158:P159"/>
    <mergeCell ref="R158:R159"/>
    <mergeCell ref="V158:V159"/>
    <mergeCell ref="W158:W159"/>
    <mergeCell ref="P148:P149"/>
    <mergeCell ref="R148:R149"/>
    <mergeCell ref="V148:V149"/>
    <mergeCell ref="W148:W149"/>
    <mergeCell ref="P142:P143"/>
    <mergeCell ref="R142:R143"/>
    <mergeCell ref="V142:V143"/>
    <mergeCell ref="W142:W143"/>
    <mergeCell ref="P144:P145"/>
    <mergeCell ref="R144:R145"/>
    <mergeCell ref="V144:V145"/>
    <mergeCell ref="P154:P155"/>
    <mergeCell ref="R154:R155"/>
    <mergeCell ref="V154:V155"/>
    <mergeCell ref="W154:W155"/>
    <mergeCell ref="P156:P157"/>
    <mergeCell ref="R156:R157"/>
    <mergeCell ref="V156:V157"/>
    <mergeCell ref="W156:W157"/>
    <mergeCell ref="P150:P151"/>
    <mergeCell ref="R150:R151"/>
    <mergeCell ref="V150:V151"/>
    <mergeCell ref="W150:W151"/>
    <mergeCell ref="BU12:BU13"/>
    <mergeCell ref="BU20:BU21"/>
    <mergeCell ref="BU28:BU29"/>
    <mergeCell ref="P132:P133"/>
    <mergeCell ref="R132:R133"/>
    <mergeCell ref="V132:V133"/>
    <mergeCell ref="W132:W133"/>
    <mergeCell ref="P152:P153"/>
    <mergeCell ref="R152:R153"/>
    <mergeCell ref="V152:V153"/>
    <mergeCell ref="W152:W153"/>
    <mergeCell ref="P146:P147"/>
    <mergeCell ref="R146:R147"/>
    <mergeCell ref="V146:V147"/>
    <mergeCell ref="W146:W147"/>
    <mergeCell ref="P130:P131"/>
    <mergeCell ref="R130:R131"/>
    <mergeCell ref="V130:V131"/>
    <mergeCell ref="W130:W131"/>
    <mergeCell ref="P120:P121"/>
    <mergeCell ref="P168:P169"/>
    <mergeCell ref="R168:R169"/>
    <mergeCell ref="V168:V169"/>
    <mergeCell ref="W168:W169"/>
    <mergeCell ref="P162:P163"/>
    <mergeCell ref="R162:R163"/>
    <mergeCell ref="V162:V163"/>
    <mergeCell ref="W162:W163"/>
    <mergeCell ref="P164:P165"/>
    <mergeCell ref="R164:R165"/>
    <mergeCell ref="V164:V165"/>
    <mergeCell ref="W164:W165"/>
    <mergeCell ref="P166:P167"/>
    <mergeCell ref="R166:R167"/>
    <mergeCell ref="V166:V167"/>
    <mergeCell ref="W166:W167"/>
    <mergeCell ref="U166:U167"/>
    <mergeCell ref="U168:U169"/>
    <mergeCell ref="Q162:Q163"/>
    <mergeCell ref="Q164:Q165"/>
    <mergeCell ref="Q166:Q167"/>
    <mergeCell ref="Q168:Q169"/>
    <mergeCell ref="U162:U163"/>
    <mergeCell ref="U164:U165"/>
    <mergeCell ref="S162:S163"/>
    <mergeCell ref="S164:S165"/>
    <mergeCell ref="S166:S167"/>
    <mergeCell ref="S168:S169"/>
    <mergeCell ref="V120:V121"/>
    <mergeCell ref="W120:W121"/>
    <mergeCell ref="Q118:Q119"/>
    <mergeCell ref="Q120:Q121"/>
    <mergeCell ref="Q122:Q123"/>
    <mergeCell ref="Q124:Q125"/>
    <mergeCell ref="U160:U161"/>
    <mergeCell ref="U126:U127"/>
    <mergeCell ref="U128:U129"/>
    <mergeCell ref="U130:U131"/>
    <mergeCell ref="U132:U133"/>
    <mergeCell ref="S160:S161"/>
    <mergeCell ref="S126:S127"/>
    <mergeCell ref="S128:S129"/>
    <mergeCell ref="S130:S131"/>
    <mergeCell ref="S132:S133"/>
    <mergeCell ref="S134:S135"/>
    <mergeCell ref="S136:S137"/>
    <mergeCell ref="S138:S139"/>
    <mergeCell ref="S140:S141"/>
    <mergeCell ref="S142:S143"/>
    <mergeCell ref="S144:S145"/>
    <mergeCell ref="W144:W145"/>
    <mergeCell ref="S146:S147"/>
    <mergeCell ref="S148:S149"/>
    <mergeCell ref="S150:S151"/>
    <mergeCell ref="S152:S153"/>
    <mergeCell ref="S154:S155"/>
    <mergeCell ref="S156:S157"/>
    <mergeCell ref="S158:S159"/>
    <mergeCell ref="Q142:Q143"/>
    <mergeCell ref="Q144:Q145"/>
    <mergeCell ref="P116:P117"/>
    <mergeCell ref="R116:R117"/>
    <mergeCell ref="V116:V117"/>
    <mergeCell ref="W116:W117"/>
    <mergeCell ref="Q116:Q117"/>
    <mergeCell ref="S116:S117"/>
    <mergeCell ref="S118:S119"/>
    <mergeCell ref="S120:S121"/>
    <mergeCell ref="S122:S123"/>
    <mergeCell ref="S124:S125"/>
    <mergeCell ref="P110:P111"/>
    <mergeCell ref="R110:R111"/>
    <mergeCell ref="V110:V111"/>
    <mergeCell ref="W110:W111"/>
    <mergeCell ref="P112:P113"/>
    <mergeCell ref="R112:R113"/>
    <mergeCell ref="V112:V113"/>
    <mergeCell ref="W112:W113"/>
    <mergeCell ref="U116:U117"/>
    <mergeCell ref="U118:U119"/>
    <mergeCell ref="U120:U121"/>
    <mergeCell ref="U122:U123"/>
    <mergeCell ref="U124:U125"/>
    <mergeCell ref="W122:W123"/>
    <mergeCell ref="P124:P125"/>
    <mergeCell ref="R124:R125"/>
    <mergeCell ref="V124:V125"/>
    <mergeCell ref="W124:W125"/>
    <mergeCell ref="P118:P119"/>
    <mergeCell ref="R118:R119"/>
    <mergeCell ref="V118:V119"/>
    <mergeCell ref="W118:W119"/>
    <mergeCell ref="P106:P107"/>
    <mergeCell ref="R106:R107"/>
    <mergeCell ref="V106:V107"/>
    <mergeCell ref="W106:W107"/>
    <mergeCell ref="U110:U111"/>
    <mergeCell ref="U112:U113"/>
    <mergeCell ref="U114:U115"/>
    <mergeCell ref="P108:P109"/>
    <mergeCell ref="R108:R109"/>
    <mergeCell ref="V108:V109"/>
    <mergeCell ref="W108:W109"/>
    <mergeCell ref="S110:S111"/>
    <mergeCell ref="S112:S113"/>
    <mergeCell ref="S114:S115"/>
    <mergeCell ref="P102:P103"/>
    <mergeCell ref="R102:R103"/>
    <mergeCell ref="V102:V103"/>
    <mergeCell ref="W102:W103"/>
    <mergeCell ref="P104:P105"/>
    <mergeCell ref="R104:R105"/>
    <mergeCell ref="V104:V105"/>
    <mergeCell ref="W104:W105"/>
    <mergeCell ref="U102:U103"/>
    <mergeCell ref="U104:U105"/>
    <mergeCell ref="U106:U107"/>
    <mergeCell ref="U108:U109"/>
    <mergeCell ref="P114:P115"/>
    <mergeCell ref="R114:R115"/>
    <mergeCell ref="V114:V115"/>
    <mergeCell ref="W114:W115"/>
    <mergeCell ref="T102:T103"/>
    <mergeCell ref="T104:T105"/>
    <mergeCell ref="P98:P99"/>
    <mergeCell ref="R98:R99"/>
    <mergeCell ref="V98:V99"/>
    <mergeCell ref="W98:W99"/>
    <mergeCell ref="P100:P101"/>
    <mergeCell ref="R100:R101"/>
    <mergeCell ref="V100:V101"/>
    <mergeCell ref="W100:W101"/>
    <mergeCell ref="P94:P95"/>
    <mergeCell ref="R94:R95"/>
    <mergeCell ref="V94:V95"/>
    <mergeCell ref="W94:W95"/>
    <mergeCell ref="U94:U95"/>
    <mergeCell ref="U96:U97"/>
    <mergeCell ref="P96:P97"/>
    <mergeCell ref="R96:R97"/>
    <mergeCell ref="V96:V97"/>
    <mergeCell ref="W96:W97"/>
    <mergeCell ref="Q94:Q95"/>
    <mergeCell ref="Q96:Q97"/>
    <mergeCell ref="U98:U99"/>
    <mergeCell ref="U100:U101"/>
    <mergeCell ref="S94:S95"/>
    <mergeCell ref="S96:S97"/>
    <mergeCell ref="S98:S99"/>
    <mergeCell ref="S100:S101"/>
    <mergeCell ref="P90:P91"/>
    <mergeCell ref="R90:R91"/>
    <mergeCell ref="V90:V91"/>
    <mergeCell ref="W90:W91"/>
    <mergeCell ref="P92:P93"/>
    <mergeCell ref="R92:R93"/>
    <mergeCell ref="V92:V93"/>
    <mergeCell ref="W92:W93"/>
    <mergeCell ref="P86:P87"/>
    <mergeCell ref="R86:R87"/>
    <mergeCell ref="V86:V87"/>
    <mergeCell ref="W86:W87"/>
    <mergeCell ref="P88:P89"/>
    <mergeCell ref="R88:R89"/>
    <mergeCell ref="V88:V89"/>
    <mergeCell ref="W88:W89"/>
    <mergeCell ref="P82:P83"/>
    <mergeCell ref="R82:R83"/>
    <mergeCell ref="V82:V83"/>
    <mergeCell ref="W82:W83"/>
    <mergeCell ref="U82:U83"/>
    <mergeCell ref="U84:U85"/>
    <mergeCell ref="U86:U87"/>
    <mergeCell ref="U88:U89"/>
    <mergeCell ref="U90:U91"/>
    <mergeCell ref="U92:U93"/>
    <mergeCell ref="P84:P85"/>
    <mergeCell ref="R84:R85"/>
    <mergeCell ref="V84:V85"/>
    <mergeCell ref="W84:W85"/>
    <mergeCell ref="Q92:Q93"/>
    <mergeCell ref="Q88:Q89"/>
    <mergeCell ref="V78:V79"/>
    <mergeCell ref="W78:W79"/>
    <mergeCell ref="P80:P81"/>
    <mergeCell ref="R80:R81"/>
    <mergeCell ref="V80:V81"/>
    <mergeCell ref="W80:W81"/>
    <mergeCell ref="P74:P75"/>
    <mergeCell ref="R74:R75"/>
    <mergeCell ref="V74:V75"/>
    <mergeCell ref="W74:W75"/>
    <mergeCell ref="P76:P77"/>
    <mergeCell ref="R76:R77"/>
    <mergeCell ref="V76:V77"/>
    <mergeCell ref="W76:W77"/>
    <mergeCell ref="P70:P71"/>
    <mergeCell ref="R70:R71"/>
    <mergeCell ref="V70:V71"/>
    <mergeCell ref="W70:W71"/>
    <mergeCell ref="U70:U71"/>
    <mergeCell ref="U72:U73"/>
    <mergeCell ref="U74:U75"/>
    <mergeCell ref="U76:U77"/>
    <mergeCell ref="U78:U79"/>
    <mergeCell ref="U80:U81"/>
    <mergeCell ref="P72:P73"/>
    <mergeCell ref="R72:R73"/>
    <mergeCell ref="V72:V73"/>
    <mergeCell ref="W72:W73"/>
    <mergeCell ref="Q76:Q77"/>
    <mergeCell ref="Q78:Q79"/>
    <mergeCell ref="S80:S81"/>
    <mergeCell ref="T70:T71"/>
    <mergeCell ref="V66:V67"/>
    <mergeCell ref="W66:W67"/>
    <mergeCell ref="P68:P69"/>
    <mergeCell ref="R68:R69"/>
    <mergeCell ref="V68:V69"/>
    <mergeCell ref="W68:W69"/>
    <mergeCell ref="P62:P63"/>
    <mergeCell ref="R62:R63"/>
    <mergeCell ref="V62:V63"/>
    <mergeCell ref="W62:W63"/>
    <mergeCell ref="P64:P65"/>
    <mergeCell ref="R64:R65"/>
    <mergeCell ref="V64:V65"/>
    <mergeCell ref="W64:W65"/>
    <mergeCell ref="P58:P59"/>
    <mergeCell ref="R58:R59"/>
    <mergeCell ref="V58:V59"/>
    <mergeCell ref="W58:W59"/>
    <mergeCell ref="U58:U59"/>
    <mergeCell ref="U60:U61"/>
    <mergeCell ref="U62:U63"/>
    <mergeCell ref="U64:U65"/>
    <mergeCell ref="U66:U67"/>
    <mergeCell ref="U68:U69"/>
    <mergeCell ref="P60:P61"/>
    <mergeCell ref="R60:R61"/>
    <mergeCell ref="V60:V61"/>
    <mergeCell ref="W60:W61"/>
    <mergeCell ref="Q62:Q63"/>
    <mergeCell ref="Q64:Q65"/>
    <mergeCell ref="Q68:Q69"/>
    <mergeCell ref="T58:T59"/>
    <mergeCell ref="V54:V55"/>
    <mergeCell ref="W54:W55"/>
    <mergeCell ref="P56:P57"/>
    <mergeCell ref="R56:R57"/>
    <mergeCell ref="V56:V57"/>
    <mergeCell ref="W56:W57"/>
    <mergeCell ref="P50:P51"/>
    <mergeCell ref="R50:R51"/>
    <mergeCell ref="V50:V51"/>
    <mergeCell ref="W50:W51"/>
    <mergeCell ref="P52:P53"/>
    <mergeCell ref="R52:R53"/>
    <mergeCell ref="V52:V53"/>
    <mergeCell ref="W52:W53"/>
    <mergeCell ref="P46:P47"/>
    <mergeCell ref="R46:R47"/>
    <mergeCell ref="V46:V47"/>
    <mergeCell ref="W46:W47"/>
    <mergeCell ref="U46:U47"/>
    <mergeCell ref="U48:U49"/>
    <mergeCell ref="U50:U51"/>
    <mergeCell ref="U52:U53"/>
    <mergeCell ref="U54:U55"/>
    <mergeCell ref="U56:U57"/>
    <mergeCell ref="P48:P49"/>
    <mergeCell ref="R48:R49"/>
    <mergeCell ref="V48:V49"/>
    <mergeCell ref="W48:W49"/>
    <mergeCell ref="T46:T47"/>
    <mergeCell ref="T48:T49"/>
    <mergeCell ref="T50:T51"/>
    <mergeCell ref="T52:T53"/>
    <mergeCell ref="V42:V43"/>
    <mergeCell ref="W42:W43"/>
    <mergeCell ref="P44:P45"/>
    <mergeCell ref="R44:R45"/>
    <mergeCell ref="V44:V45"/>
    <mergeCell ref="W44:W45"/>
    <mergeCell ref="P38:P39"/>
    <mergeCell ref="R38:R39"/>
    <mergeCell ref="V38:V39"/>
    <mergeCell ref="W38:W39"/>
    <mergeCell ref="P40:P41"/>
    <mergeCell ref="R40:R41"/>
    <mergeCell ref="V40:V41"/>
    <mergeCell ref="W40:W41"/>
    <mergeCell ref="P34:P35"/>
    <mergeCell ref="R34:R35"/>
    <mergeCell ref="V34:V35"/>
    <mergeCell ref="W34:W35"/>
    <mergeCell ref="U42:U43"/>
    <mergeCell ref="U44:U45"/>
    <mergeCell ref="P36:P37"/>
    <mergeCell ref="R36:R37"/>
    <mergeCell ref="V36:V37"/>
    <mergeCell ref="W36:W37"/>
    <mergeCell ref="Q34:Q35"/>
    <mergeCell ref="Q42:Q43"/>
    <mergeCell ref="S38:S39"/>
    <mergeCell ref="S40:S41"/>
    <mergeCell ref="U38:U39"/>
    <mergeCell ref="U40:U41"/>
    <mergeCell ref="Q36:Q37"/>
    <mergeCell ref="Q38:Q39"/>
    <mergeCell ref="V12:V13"/>
    <mergeCell ref="W12:W13"/>
    <mergeCell ref="P30:P31"/>
    <mergeCell ref="R30:R31"/>
    <mergeCell ref="V30:V31"/>
    <mergeCell ref="W30:W31"/>
    <mergeCell ref="P32:P33"/>
    <mergeCell ref="R32:R33"/>
    <mergeCell ref="V32:V33"/>
    <mergeCell ref="W32:W33"/>
    <mergeCell ref="P26:P27"/>
    <mergeCell ref="R26:R27"/>
    <mergeCell ref="V26:V27"/>
    <mergeCell ref="W26:W27"/>
    <mergeCell ref="P28:P29"/>
    <mergeCell ref="R28:R29"/>
    <mergeCell ref="V28:V29"/>
    <mergeCell ref="W28:W29"/>
    <mergeCell ref="P22:P23"/>
    <mergeCell ref="R22:R23"/>
    <mergeCell ref="V22:V23"/>
    <mergeCell ref="W22:W23"/>
    <mergeCell ref="P18:P19"/>
    <mergeCell ref="R18:R19"/>
    <mergeCell ref="V18:V19"/>
    <mergeCell ref="W18:W19"/>
    <mergeCell ref="P20:P21"/>
    <mergeCell ref="R20:R21"/>
    <mergeCell ref="V20:V21"/>
    <mergeCell ref="W20:W21"/>
    <mergeCell ref="V14:V15"/>
    <mergeCell ref="T12:T13"/>
    <mergeCell ref="BT2:BX2"/>
    <mergeCell ref="X2:AD2"/>
    <mergeCell ref="AE2:AK2"/>
    <mergeCell ref="BG2:BM2"/>
    <mergeCell ref="BW8:BW9"/>
    <mergeCell ref="P10:P11"/>
    <mergeCell ref="R10:R11"/>
    <mergeCell ref="V10:V11"/>
    <mergeCell ref="W10:W11"/>
    <mergeCell ref="BX8:BX9"/>
    <mergeCell ref="BU8:BU9"/>
    <mergeCell ref="BX10:BX11"/>
    <mergeCell ref="BV8:BV9"/>
    <mergeCell ref="BV10:BV11"/>
    <mergeCell ref="BN2:BS2"/>
    <mergeCell ref="P8:P9"/>
    <mergeCell ref="R8:R9"/>
    <mergeCell ref="V8:V9"/>
    <mergeCell ref="W8:W9"/>
    <mergeCell ref="BW10:BW11"/>
    <mergeCell ref="AZ2:BF2"/>
    <mergeCell ref="BT8:BT9"/>
    <mergeCell ref="BT10:BT11"/>
    <mergeCell ref="BV6:BV7"/>
    <mergeCell ref="BW6:BW7"/>
    <mergeCell ref="BX6:BX7"/>
    <mergeCell ref="Q8:Q9"/>
    <mergeCell ref="Q10:Q11"/>
    <mergeCell ref="P6:P7"/>
    <mergeCell ref="Q6:Q7"/>
    <mergeCell ref="U6:U7"/>
    <mergeCell ref="BU10:BU11"/>
    <mergeCell ref="W14:W15"/>
    <mergeCell ref="P16:P17"/>
    <mergeCell ref="R16:R17"/>
    <mergeCell ref="V16:V17"/>
    <mergeCell ref="W16:W17"/>
    <mergeCell ref="P24:P25"/>
    <mergeCell ref="R24:R25"/>
    <mergeCell ref="V24:V25"/>
    <mergeCell ref="W24:W25"/>
    <mergeCell ref="Q26:Q27"/>
    <mergeCell ref="Q28:Q29"/>
    <mergeCell ref="Q30:Q31"/>
    <mergeCell ref="Q32:Q33"/>
    <mergeCell ref="Q18:Q19"/>
    <mergeCell ref="Q20:Q21"/>
    <mergeCell ref="Q22:Q23"/>
    <mergeCell ref="Q24:Q25"/>
    <mergeCell ref="T14:T15"/>
    <mergeCell ref="T16:T17"/>
    <mergeCell ref="T18:T19"/>
    <mergeCell ref="T20:T21"/>
    <mergeCell ref="T22:T23"/>
    <mergeCell ref="T24:T25"/>
    <mergeCell ref="T26:T27"/>
    <mergeCell ref="T28:T29"/>
    <mergeCell ref="T30:T31"/>
    <mergeCell ref="T32:T33"/>
    <mergeCell ref="P14:P15"/>
    <mergeCell ref="R14:R15"/>
    <mergeCell ref="BV4:BV5"/>
    <mergeCell ref="BW4:BW5"/>
    <mergeCell ref="BX4:BX5"/>
    <mergeCell ref="P4:P5"/>
    <mergeCell ref="Q4:Q5"/>
    <mergeCell ref="U4:U5"/>
    <mergeCell ref="R4:R5"/>
    <mergeCell ref="V4:V5"/>
    <mergeCell ref="W4:W5"/>
    <mergeCell ref="BT4:BT5"/>
    <mergeCell ref="BU4:BU5"/>
    <mergeCell ref="AL2:AR2"/>
    <mergeCell ref="AS2:AY2"/>
    <mergeCell ref="U152:U153"/>
    <mergeCell ref="U154:U155"/>
    <mergeCell ref="U156:U157"/>
    <mergeCell ref="U158:U159"/>
    <mergeCell ref="U10:U11"/>
    <mergeCell ref="U8:U9"/>
    <mergeCell ref="U12:U13"/>
    <mergeCell ref="U14:U15"/>
    <mergeCell ref="U16:U17"/>
    <mergeCell ref="U18:U19"/>
    <mergeCell ref="U20:U21"/>
    <mergeCell ref="U22:U23"/>
    <mergeCell ref="U24:U25"/>
    <mergeCell ref="U26:U27"/>
    <mergeCell ref="U28:U29"/>
    <mergeCell ref="U30:U31"/>
    <mergeCell ref="U32:U33"/>
    <mergeCell ref="U34:U35"/>
    <mergeCell ref="U36:U37"/>
    <mergeCell ref="P12:P13"/>
    <mergeCell ref="R12:R13"/>
    <mergeCell ref="P42:P43"/>
    <mergeCell ref="R42:R43"/>
    <mergeCell ref="P54:P55"/>
    <mergeCell ref="R54:R55"/>
    <mergeCell ref="P66:P67"/>
    <mergeCell ref="R66:R67"/>
    <mergeCell ref="Q70:Q71"/>
    <mergeCell ref="S4:S5"/>
    <mergeCell ref="S6:S7"/>
    <mergeCell ref="S8:S9"/>
    <mergeCell ref="S10:S11"/>
    <mergeCell ref="S12:S13"/>
    <mergeCell ref="S14:S15"/>
    <mergeCell ref="S16:S17"/>
    <mergeCell ref="S18:S19"/>
    <mergeCell ref="S20:S21"/>
    <mergeCell ref="S22:S23"/>
    <mergeCell ref="S24:S25"/>
    <mergeCell ref="S26:S27"/>
    <mergeCell ref="S28:S29"/>
    <mergeCell ref="S30:S31"/>
    <mergeCell ref="S32:S33"/>
    <mergeCell ref="S34:S35"/>
    <mergeCell ref="S36:S37"/>
    <mergeCell ref="N44:N45"/>
    <mergeCell ref="N46:N47"/>
    <mergeCell ref="S78:S79"/>
    <mergeCell ref="Q40:Q41"/>
    <mergeCell ref="P78:P79"/>
    <mergeCell ref="R78:R79"/>
    <mergeCell ref="T34:T35"/>
    <mergeCell ref="T36:T37"/>
    <mergeCell ref="T38:T39"/>
    <mergeCell ref="T40:T41"/>
    <mergeCell ref="T42:T43"/>
    <mergeCell ref="T44:T45"/>
    <mergeCell ref="T54:T55"/>
    <mergeCell ref="T56:T57"/>
    <mergeCell ref="T60:T61"/>
    <mergeCell ref="T62:T63"/>
    <mergeCell ref="T64:T65"/>
    <mergeCell ref="T66:T67"/>
    <mergeCell ref="N78:N79"/>
    <mergeCell ref="T68:T69"/>
    <mergeCell ref="T72:T73"/>
    <mergeCell ref="T74:T75"/>
    <mergeCell ref="S52:S53"/>
    <mergeCell ref="S54:S55"/>
    <mergeCell ref="S56:S57"/>
    <mergeCell ref="S58:S59"/>
    <mergeCell ref="S60:S61"/>
    <mergeCell ref="S62:S63"/>
    <mergeCell ref="S64:S65"/>
    <mergeCell ref="S66:S67"/>
    <mergeCell ref="S68:S69"/>
    <mergeCell ref="S70:S71"/>
    <mergeCell ref="N80:N81"/>
    <mergeCell ref="N82:N83"/>
    <mergeCell ref="N84:N85"/>
    <mergeCell ref="N86:N87"/>
    <mergeCell ref="N88:N89"/>
    <mergeCell ref="N90:N91"/>
    <mergeCell ref="N92:N93"/>
    <mergeCell ref="N94:N95"/>
    <mergeCell ref="N96:N97"/>
    <mergeCell ref="N98:N99"/>
    <mergeCell ref="N100:N101"/>
    <mergeCell ref="N102:N103"/>
    <mergeCell ref="N104:N105"/>
    <mergeCell ref="N106:N107"/>
    <mergeCell ref="N108:N109"/>
    <mergeCell ref="N10:N11"/>
    <mergeCell ref="N12:N13"/>
    <mergeCell ref="N14:N15"/>
    <mergeCell ref="N16:N17"/>
    <mergeCell ref="N18:N19"/>
    <mergeCell ref="N20:N21"/>
    <mergeCell ref="N22:N23"/>
    <mergeCell ref="N24:N25"/>
    <mergeCell ref="N26:N27"/>
    <mergeCell ref="N28:N29"/>
    <mergeCell ref="N30:N31"/>
    <mergeCell ref="N32:N33"/>
    <mergeCell ref="N34:N35"/>
    <mergeCell ref="N36:N37"/>
    <mergeCell ref="N38:N39"/>
    <mergeCell ref="N40:N41"/>
    <mergeCell ref="N42:N43"/>
    <mergeCell ref="N164:N165"/>
    <mergeCell ref="N166:N167"/>
    <mergeCell ref="N168:N169"/>
    <mergeCell ref="N110:N111"/>
    <mergeCell ref="N112:N113"/>
    <mergeCell ref="N114:N115"/>
    <mergeCell ref="N116:N117"/>
    <mergeCell ref="N118:N119"/>
    <mergeCell ref="N120:N121"/>
    <mergeCell ref="N122:N123"/>
    <mergeCell ref="N124:N125"/>
    <mergeCell ref="N126:N127"/>
    <mergeCell ref="N128:N129"/>
    <mergeCell ref="N130:N131"/>
    <mergeCell ref="N132:N133"/>
    <mergeCell ref="N134:N135"/>
    <mergeCell ref="N136:N137"/>
    <mergeCell ref="N138:N139"/>
    <mergeCell ref="N140:N141"/>
    <mergeCell ref="N142:N143"/>
    <mergeCell ref="T4:T5"/>
    <mergeCell ref="T6:T7"/>
    <mergeCell ref="T8:T9"/>
    <mergeCell ref="T10:T11"/>
    <mergeCell ref="N4:N5"/>
    <mergeCell ref="N6:N7"/>
    <mergeCell ref="N8:N9"/>
    <mergeCell ref="N144:N145"/>
    <mergeCell ref="N146:N147"/>
    <mergeCell ref="N148:N149"/>
    <mergeCell ref="N150:N151"/>
    <mergeCell ref="N152:N153"/>
    <mergeCell ref="N154:N155"/>
    <mergeCell ref="N156:N157"/>
    <mergeCell ref="N158:N159"/>
    <mergeCell ref="N160:N161"/>
    <mergeCell ref="N162:N163"/>
    <mergeCell ref="N48:N49"/>
    <mergeCell ref="N50:N51"/>
    <mergeCell ref="N52:N53"/>
    <mergeCell ref="N54:N55"/>
    <mergeCell ref="N56:N57"/>
    <mergeCell ref="N58:N59"/>
    <mergeCell ref="N60:N61"/>
    <mergeCell ref="N62:N63"/>
    <mergeCell ref="N64:N65"/>
    <mergeCell ref="N66:N67"/>
    <mergeCell ref="N68:N69"/>
    <mergeCell ref="N70:N71"/>
    <mergeCell ref="N72:N73"/>
    <mergeCell ref="N74:N75"/>
    <mergeCell ref="N76:N77"/>
  </mergeCells>
  <conditionalFormatting sqref="B10:B169">
    <cfRule type="expression" dxfId="6" priority="1">
      <formula>($B10=SP_CurrentYear)</formula>
    </cfRule>
  </conditionalFormatting>
  <pageMargins left="0.7" right="0.7" top="0.75" bottom="0.75" header="0.3" footer="0.3"/>
  <pageSetup orientation="portrait" horizontalDpi="4294967293" verticalDpi="0" r:id="rId1"/>
  <ignoredErrors>
    <ignoredError sqref="Q8 P8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1:XK165"/>
  <sheetViews>
    <sheetView workbookViewId="0">
      <pane xSplit="7" ySplit="3" topLeftCell="H4" activePane="bottomRight" state="frozen"/>
      <selection pane="topRight" activeCell="F1" sqref="F1"/>
      <selection pane="bottomLeft" activeCell="A4" sqref="A4"/>
      <selection pane="bottomRight"/>
    </sheetView>
  </sheetViews>
  <sheetFormatPr defaultRowHeight="15" x14ac:dyDescent="0.25"/>
  <cols>
    <col min="1" max="1" width="9" hidden="1" customWidth="1"/>
    <col min="2" max="2" width="5" hidden="1" customWidth="1"/>
    <col min="3" max="3" width="4.28515625" hidden="1" customWidth="1"/>
    <col min="4" max="5" width="6.5703125" style="334" hidden="1" customWidth="1"/>
    <col min="6" max="6" width="6.5703125" hidden="1" customWidth="1"/>
    <col min="7" max="7" width="6.7109375" hidden="1" customWidth="1"/>
    <col min="8" max="9" width="5.28515625" hidden="1" customWidth="1"/>
    <col min="10" max="10" width="4.5703125" hidden="1" customWidth="1"/>
    <col min="11" max="11" width="3.5703125" hidden="1" customWidth="1"/>
    <col min="12" max="12" width="8.140625" hidden="1" customWidth="1"/>
    <col min="13" max="13" width="8" hidden="1" customWidth="1"/>
    <col min="14" max="15" width="8.28515625" hidden="1" customWidth="1"/>
    <col min="16" max="18" width="8.5703125" hidden="1" customWidth="1"/>
    <col min="19" max="19" width="8.85546875" hidden="1" customWidth="1"/>
    <col min="20" max="20" width="9" hidden="1" customWidth="1"/>
    <col min="21" max="21" width="8.85546875" hidden="1" customWidth="1"/>
    <col min="22" max="24" width="13.140625" hidden="1" customWidth="1"/>
    <col min="25" max="25" width="13.140625" style="290" hidden="1" customWidth="1"/>
    <col min="26" max="26" width="13.140625" hidden="1" customWidth="1"/>
    <col min="27" max="27" width="13" hidden="1" customWidth="1"/>
    <col min="28" max="33" width="13.140625" hidden="1" customWidth="1"/>
    <col min="34" max="35" width="13" hidden="1" customWidth="1"/>
    <col min="36" max="635" width="5.5703125" hidden="1" customWidth="1"/>
  </cols>
  <sheetData>
    <row r="1" spans="1:635" hidden="1" x14ac:dyDescent="0.25">
      <c r="A1">
        <f>PMADVANCED+VMONLINE+VMMACRO</f>
        <v>38</v>
      </c>
      <c r="B1">
        <f>PMBASIC+PMADVANCED+VMONLINE+VMMACRO</f>
        <v>54</v>
      </c>
      <c r="C1">
        <f>PMBASIC+PMADVANCED+VMONLINE+VMMACRO</f>
        <v>54</v>
      </c>
      <c r="D1" s="334">
        <f>PMBASIC+PMADVANCED+IF(INDEX(SC_ShowRetireatee,1), VMONLINE+VMMACRO, 0)</f>
        <v>48</v>
      </c>
      <c r="E1" s="334">
        <f>PMBASIC+PMADVANCED+IF(INDEX(SC_ShowRetireatee,2), VMONLINE+VMMACRO,0)</f>
        <v>48</v>
      </c>
      <c r="F1" s="334">
        <f t="shared" ref="F1:K1" si="0">PMBASIC+PMADVANCED</f>
        <v>48</v>
      </c>
      <c r="G1" s="334">
        <f t="shared" si="0"/>
        <v>48</v>
      </c>
      <c r="H1">
        <f t="shared" si="0"/>
        <v>48</v>
      </c>
      <c r="I1">
        <f t="shared" si="0"/>
        <v>48</v>
      </c>
      <c r="J1">
        <f t="shared" si="0"/>
        <v>48</v>
      </c>
      <c r="K1">
        <f t="shared" si="0"/>
        <v>48</v>
      </c>
      <c r="L1" s="271">
        <f>PMBASIC+PMADVANCED+VMONLINE+VMMACRO</f>
        <v>54</v>
      </c>
      <c r="M1" s="271">
        <f t="shared" ref="M1:T1" si="1">PMBASIC+PMADVANCED</f>
        <v>48</v>
      </c>
      <c r="N1" s="391">
        <f t="shared" si="1"/>
        <v>48</v>
      </c>
      <c r="O1" s="271">
        <f t="shared" si="1"/>
        <v>48</v>
      </c>
      <c r="P1" s="271">
        <f t="shared" si="1"/>
        <v>48</v>
      </c>
      <c r="Q1" s="271">
        <f t="shared" si="1"/>
        <v>48</v>
      </c>
      <c r="R1" s="271">
        <f t="shared" si="1"/>
        <v>48</v>
      </c>
      <c r="S1" s="271">
        <f t="shared" si="1"/>
        <v>48</v>
      </c>
      <c r="T1" s="271">
        <f t="shared" si="1"/>
        <v>48</v>
      </c>
      <c r="U1" s="271">
        <f t="shared" ref="U1:AB1" si="2">PMBASIC+PMADVANCED+VMONLINE+VMMACRO</f>
        <v>54</v>
      </c>
      <c r="V1" s="271">
        <f t="shared" si="2"/>
        <v>54</v>
      </c>
      <c r="W1" s="271">
        <f t="shared" si="2"/>
        <v>54</v>
      </c>
      <c r="X1" s="271">
        <f t="shared" si="2"/>
        <v>54</v>
      </c>
      <c r="Y1" s="271">
        <f t="shared" si="2"/>
        <v>54</v>
      </c>
      <c r="Z1" s="271">
        <f t="shared" si="2"/>
        <v>54</v>
      </c>
      <c r="AA1" s="271">
        <f t="shared" si="2"/>
        <v>54</v>
      </c>
      <c r="AB1" s="271">
        <f t="shared" si="2"/>
        <v>54</v>
      </c>
      <c r="AC1" s="319">
        <f>PMBASIC+PMADVANCED</f>
        <v>48</v>
      </c>
      <c r="AD1">
        <f t="shared" ref="AD1:AI1" si="3">PMBASIC+PMADVANCED+VMONLINE+VMMACRO</f>
        <v>54</v>
      </c>
      <c r="AE1">
        <f t="shared" si="3"/>
        <v>54</v>
      </c>
      <c r="AF1">
        <f t="shared" si="3"/>
        <v>54</v>
      </c>
      <c r="AG1">
        <f t="shared" si="3"/>
        <v>54</v>
      </c>
      <c r="AH1">
        <f t="shared" si="3"/>
        <v>54</v>
      </c>
      <c r="AI1">
        <f t="shared" si="3"/>
        <v>54</v>
      </c>
      <c r="AJ1">
        <f t="shared" ref="AJ1:CU1" si="4">PMBASIC+PMADVANCED</f>
        <v>48</v>
      </c>
      <c r="AK1">
        <f t="shared" si="4"/>
        <v>48</v>
      </c>
      <c r="AL1">
        <f t="shared" si="4"/>
        <v>48</v>
      </c>
      <c r="AM1">
        <f t="shared" si="4"/>
        <v>48</v>
      </c>
      <c r="AN1">
        <f t="shared" si="4"/>
        <v>48</v>
      </c>
      <c r="AO1">
        <f t="shared" si="4"/>
        <v>48</v>
      </c>
      <c r="AP1">
        <f t="shared" si="4"/>
        <v>48</v>
      </c>
      <c r="AQ1">
        <f t="shared" si="4"/>
        <v>48</v>
      </c>
      <c r="AR1">
        <f t="shared" si="4"/>
        <v>48</v>
      </c>
      <c r="AS1">
        <f t="shared" si="4"/>
        <v>48</v>
      </c>
      <c r="AT1">
        <f t="shared" si="4"/>
        <v>48</v>
      </c>
      <c r="AU1">
        <f t="shared" si="4"/>
        <v>48</v>
      </c>
      <c r="AV1">
        <f t="shared" si="4"/>
        <v>48</v>
      </c>
      <c r="AW1">
        <f t="shared" si="4"/>
        <v>48</v>
      </c>
      <c r="AX1">
        <f t="shared" si="4"/>
        <v>48</v>
      </c>
      <c r="AY1">
        <f t="shared" si="4"/>
        <v>48</v>
      </c>
      <c r="AZ1">
        <f t="shared" si="4"/>
        <v>48</v>
      </c>
      <c r="BA1">
        <f t="shared" si="4"/>
        <v>48</v>
      </c>
      <c r="BB1">
        <f t="shared" si="4"/>
        <v>48</v>
      </c>
      <c r="BC1">
        <f t="shared" si="4"/>
        <v>48</v>
      </c>
      <c r="BD1">
        <f t="shared" si="4"/>
        <v>48</v>
      </c>
      <c r="BE1">
        <f t="shared" si="4"/>
        <v>48</v>
      </c>
      <c r="BF1">
        <f t="shared" si="4"/>
        <v>48</v>
      </c>
      <c r="BG1">
        <f t="shared" si="4"/>
        <v>48</v>
      </c>
      <c r="BH1">
        <f t="shared" si="4"/>
        <v>48</v>
      </c>
      <c r="BI1">
        <f t="shared" si="4"/>
        <v>48</v>
      </c>
      <c r="BJ1">
        <f t="shared" si="4"/>
        <v>48</v>
      </c>
      <c r="BK1">
        <f t="shared" si="4"/>
        <v>48</v>
      </c>
      <c r="BL1">
        <f t="shared" si="4"/>
        <v>48</v>
      </c>
      <c r="BM1">
        <f t="shared" si="4"/>
        <v>48</v>
      </c>
      <c r="BN1">
        <f t="shared" si="4"/>
        <v>48</v>
      </c>
      <c r="BO1">
        <f t="shared" si="4"/>
        <v>48</v>
      </c>
      <c r="BP1">
        <f t="shared" si="4"/>
        <v>48</v>
      </c>
      <c r="BQ1">
        <f t="shared" si="4"/>
        <v>48</v>
      </c>
      <c r="BR1">
        <f t="shared" si="4"/>
        <v>48</v>
      </c>
      <c r="BS1">
        <f t="shared" si="4"/>
        <v>48</v>
      </c>
      <c r="BT1">
        <f t="shared" si="4"/>
        <v>48</v>
      </c>
      <c r="BU1">
        <f t="shared" si="4"/>
        <v>48</v>
      </c>
      <c r="BV1">
        <f t="shared" si="4"/>
        <v>48</v>
      </c>
      <c r="BW1">
        <f t="shared" si="4"/>
        <v>48</v>
      </c>
      <c r="BX1">
        <f t="shared" si="4"/>
        <v>48</v>
      </c>
      <c r="BY1">
        <f t="shared" si="4"/>
        <v>48</v>
      </c>
      <c r="BZ1">
        <f t="shared" si="4"/>
        <v>48</v>
      </c>
      <c r="CA1">
        <f t="shared" si="4"/>
        <v>48</v>
      </c>
      <c r="CB1">
        <f t="shared" si="4"/>
        <v>48</v>
      </c>
      <c r="CC1">
        <f t="shared" si="4"/>
        <v>48</v>
      </c>
      <c r="CD1">
        <f t="shared" si="4"/>
        <v>48</v>
      </c>
      <c r="CE1">
        <f t="shared" si="4"/>
        <v>48</v>
      </c>
      <c r="CF1">
        <f t="shared" si="4"/>
        <v>48</v>
      </c>
      <c r="CG1">
        <f t="shared" si="4"/>
        <v>48</v>
      </c>
      <c r="CH1">
        <f t="shared" si="4"/>
        <v>48</v>
      </c>
      <c r="CI1">
        <f t="shared" si="4"/>
        <v>48</v>
      </c>
      <c r="CJ1">
        <f t="shared" si="4"/>
        <v>48</v>
      </c>
      <c r="CK1">
        <f t="shared" si="4"/>
        <v>48</v>
      </c>
      <c r="CL1">
        <f t="shared" si="4"/>
        <v>48</v>
      </c>
      <c r="CM1">
        <f t="shared" si="4"/>
        <v>48</v>
      </c>
      <c r="CN1">
        <f t="shared" si="4"/>
        <v>48</v>
      </c>
      <c r="CO1">
        <f t="shared" si="4"/>
        <v>48</v>
      </c>
      <c r="CP1">
        <f t="shared" si="4"/>
        <v>48</v>
      </c>
      <c r="CQ1">
        <f t="shared" si="4"/>
        <v>48</v>
      </c>
      <c r="CR1">
        <f t="shared" si="4"/>
        <v>48</v>
      </c>
      <c r="CS1">
        <f t="shared" si="4"/>
        <v>48</v>
      </c>
      <c r="CT1">
        <f t="shared" si="4"/>
        <v>48</v>
      </c>
      <c r="CU1">
        <f t="shared" si="4"/>
        <v>48</v>
      </c>
      <c r="CV1">
        <f t="shared" ref="CV1:FG1" si="5">PMBASIC+PMADVANCED</f>
        <v>48</v>
      </c>
      <c r="CW1">
        <f t="shared" si="5"/>
        <v>48</v>
      </c>
      <c r="CX1">
        <f t="shared" si="5"/>
        <v>48</v>
      </c>
      <c r="CY1">
        <f t="shared" si="5"/>
        <v>48</v>
      </c>
      <c r="CZ1">
        <f t="shared" si="5"/>
        <v>48</v>
      </c>
      <c r="DA1">
        <f t="shared" si="5"/>
        <v>48</v>
      </c>
      <c r="DB1">
        <f t="shared" si="5"/>
        <v>48</v>
      </c>
      <c r="DC1">
        <f t="shared" si="5"/>
        <v>48</v>
      </c>
      <c r="DD1">
        <f t="shared" si="5"/>
        <v>48</v>
      </c>
      <c r="DE1">
        <f t="shared" si="5"/>
        <v>48</v>
      </c>
      <c r="DF1">
        <f t="shared" si="5"/>
        <v>48</v>
      </c>
      <c r="DG1">
        <f t="shared" si="5"/>
        <v>48</v>
      </c>
      <c r="DH1">
        <f t="shared" si="5"/>
        <v>48</v>
      </c>
      <c r="DI1">
        <f t="shared" si="5"/>
        <v>48</v>
      </c>
      <c r="DJ1">
        <f t="shared" si="5"/>
        <v>48</v>
      </c>
      <c r="DK1">
        <f t="shared" si="5"/>
        <v>48</v>
      </c>
      <c r="DL1">
        <f t="shared" si="5"/>
        <v>48</v>
      </c>
      <c r="DM1">
        <f t="shared" si="5"/>
        <v>48</v>
      </c>
      <c r="DN1">
        <f t="shared" si="5"/>
        <v>48</v>
      </c>
      <c r="DO1">
        <f t="shared" si="5"/>
        <v>48</v>
      </c>
      <c r="DP1">
        <f t="shared" si="5"/>
        <v>48</v>
      </c>
      <c r="DQ1">
        <f t="shared" si="5"/>
        <v>48</v>
      </c>
      <c r="DR1">
        <f t="shared" si="5"/>
        <v>48</v>
      </c>
      <c r="DS1">
        <f t="shared" si="5"/>
        <v>48</v>
      </c>
      <c r="DT1">
        <f t="shared" si="5"/>
        <v>48</v>
      </c>
      <c r="DU1">
        <f t="shared" si="5"/>
        <v>48</v>
      </c>
      <c r="DV1">
        <f t="shared" si="5"/>
        <v>48</v>
      </c>
      <c r="DW1">
        <f t="shared" si="5"/>
        <v>48</v>
      </c>
      <c r="DX1">
        <f t="shared" si="5"/>
        <v>48</v>
      </c>
      <c r="DY1">
        <f t="shared" si="5"/>
        <v>48</v>
      </c>
      <c r="DZ1">
        <f t="shared" si="5"/>
        <v>48</v>
      </c>
      <c r="EA1">
        <f t="shared" si="5"/>
        <v>48</v>
      </c>
      <c r="EB1">
        <f t="shared" si="5"/>
        <v>48</v>
      </c>
      <c r="EC1">
        <f t="shared" si="5"/>
        <v>48</v>
      </c>
      <c r="ED1">
        <f t="shared" si="5"/>
        <v>48</v>
      </c>
      <c r="EE1">
        <f t="shared" si="5"/>
        <v>48</v>
      </c>
      <c r="EF1">
        <f t="shared" si="5"/>
        <v>48</v>
      </c>
      <c r="EG1">
        <f t="shared" si="5"/>
        <v>48</v>
      </c>
      <c r="EH1">
        <f t="shared" si="5"/>
        <v>48</v>
      </c>
      <c r="EI1">
        <f t="shared" si="5"/>
        <v>48</v>
      </c>
      <c r="EJ1">
        <f t="shared" si="5"/>
        <v>48</v>
      </c>
      <c r="EK1">
        <f t="shared" si="5"/>
        <v>48</v>
      </c>
      <c r="EL1">
        <f t="shared" si="5"/>
        <v>48</v>
      </c>
      <c r="EM1">
        <f t="shared" si="5"/>
        <v>48</v>
      </c>
      <c r="EN1">
        <f t="shared" si="5"/>
        <v>48</v>
      </c>
      <c r="EO1">
        <f t="shared" si="5"/>
        <v>48</v>
      </c>
      <c r="EP1">
        <f t="shared" si="5"/>
        <v>48</v>
      </c>
      <c r="EQ1">
        <f t="shared" si="5"/>
        <v>48</v>
      </c>
      <c r="ER1">
        <f t="shared" si="5"/>
        <v>48</v>
      </c>
      <c r="ES1">
        <f t="shared" si="5"/>
        <v>48</v>
      </c>
      <c r="ET1">
        <f t="shared" si="5"/>
        <v>48</v>
      </c>
      <c r="EU1">
        <f t="shared" si="5"/>
        <v>48</v>
      </c>
      <c r="EV1">
        <f t="shared" si="5"/>
        <v>48</v>
      </c>
      <c r="EW1">
        <f t="shared" si="5"/>
        <v>48</v>
      </c>
      <c r="EX1">
        <f t="shared" si="5"/>
        <v>48</v>
      </c>
      <c r="EY1">
        <f t="shared" si="5"/>
        <v>48</v>
      </c>
      <c r="EZ1">
        <f t="shared" si="5"/>
        <v>48</v>
      </c>
      <c r="FA1">
        <f t="shared" si="5"/>
        <v>48</v>
      </c>
      <c r="FB1">
        <f t="shared" si="5"/>
        <v>48</v>
      </c>
      <c r="FC1">
        <f t="shared" si="5"/>
        <v>48</v>
      </c>
      <c r="FD1">
        <f t="shared" si="5"/>
        <v>48</v>
      </c>
      <c r="FE1">
        <f t="shared" si="5"/>
        <v>48</v>
      </c>
      <c r="FF1">
        <f t="shared" si="5"/>
        <v>48</v>
      </c>
      <c r="FG1">
        <f t="shared" si="5"/>
        <v>48</v>
      </c>
      <c r="FH1">
        <f t="shared" ref="FH1:HS1" si="6">PMBASIC+PMADVANCED</f>
        <v>48</v>
      </c>
      <c r="FI1">
        <f t="shared" si="6"/>
        <v>48</v>
      </c>
      <c r="FJ1">
        <f t="shared" si="6"/>
        <v>48</v>
      </c>
      <c r="FK1">
        <f t="shared" si="6"/>
        <v>48</v>
      </c>
      <c r="FL1">
        <f t="shared" si="6"/>
        <v>48</v>
      </c>
      <c r="FM1">
        <f t="shared" si="6"/>
        <v>48</v>
      </c>
      <c r="FN1">
        <f t="shared" si="6"/>
        <v>48</v>
      </c>
      <c r="FO1">
        <f t="shared" si="6"/>
        <v>48</v>
      </c>
      <c r="FP1">
        <f t="shared" si="6"/>
        <v>48</v>
      </c>
      <c r="FQ1">
        <f t="shared" si="6"/>
        <v>48</v>
      </c>
      <c r="FR1">
        <f t="shared" si="6"/>
        <v>48</v>
      </c>
      <c r="FS1">
        <f t="shared" si="6"/>
        <v>48</v>
      </c>
      <c r="FT1">
        <f t="shared" si="6"/>
        <v>48</v>
      </c>
      <c r="FU1">
        <f t="shared" si="6"/>
        <v>48</v>
      </c>
      <c r="FV1">
        <f t="shared" si="6"/>
        <v>48</v>
      </c>
      <c r="FW1">
        <f t="shared" si="6"/>
        <v>48</v>
      </c>
      <c r="FX1">
        <f t="shared" si="6"/>
        <v>48</v>
      </c>
      <c r="FY1">
        <f t="shared" si="6"/>
        <v>48</v>
      </c>
      <c r="FZ1">
        <f t="shared" si="6"/>
        <v>48</v>
      </c>
      <c r="GA1">
        <f t="shared" si="6"/>
        <v>48</v>
      </c>
      <c r="GB1">
        <f t="shared" si="6"/>
        <v>48</v>
      </c>
      <c r="GC1">
        <f t="shared" si="6"/>
        <v>48</v>
      </c>
      <c r="GD1">
        <f t="shared" si="6"/>
        <v>48</v>
      </c>
      <c r="GE1">
        <f t="shared" si="6"/>
        <v>48</v>
      </c>
      <c r="GF1">
        <f t="shared" si="6"/>
        <v>48</v>
      </c>
      <c r="GG1">
        <f t="shared" si="6"/>
        <v>48</v>
      </c>
      <c r="GH1">
        <f t="shared" si="6"/>
        <v>48</v>
      </c>
      <c r="GI1">
        <f t="shared" si="6"/>
        <v>48</v>
      </c>
      <c r="GJ1">
        <f t="shared" si="6"/>
        <v>48</v>
      </c>
      <c r="GK1">
        <f t="shared" si="6"/>
        <v>48</v>
      </c>
      <c r="GL1">
        <f t="shared" si="6"/>
        <v>48</v>
      </c>
      <c r="GM1">
        <f t="shared" si="6"/>
        <v>48</v>
      </c>
      <c r="GN1">
        <f t="shared" si="6"/>
        <v>48</v>
      </c>
      <c r="GO1">
        <f t="shared" si="6"/>
        <v>48</v>
      </c>
      <c r="GP1">
        <f t="shared" si="6"/>
        <v>48</v>
      </c>
      <c r="GQ1">
        <f t="shared" si="6"/>
        <v>48</v>
      </c>
      <c r="GR1">
        <f t="shared" si="6"/>
        <v>48</v>
      </c>
      <c r="GS1">
        <f t="shared" si="6"/>
        <v>48</v>
      </c>
      <c r="GT1">
        <f t="shared" si="6"/>
        <v>48</v>
      </c>
      <c r="GU1">
        <f t="shared" si="6"/>
        <v>48</v>
      </c>
      <c r="GV1">
        <f t="shared" si="6"/>
        <v>48</v>
      </c>
      <c r="GW1">
        <f t="shared" si="6"/>
        <v>48</v>
      </c>
      <c r="GX1">
        <f t="shared" si="6"/>
        <v>48</v>
      </c>
      <c r="GY1">
        <f t="shared" si="6"/>
        <v>48</v>
      </c>
      <c r="GZ1">
        <f t="shared" si="6"/>
        <v>48</v>
      </c>
      <c r="HA1">
        <f t="shared" si="6"/>
        <v>48</v>
      </c>
      <c r="HB1">
        <f t="shared" si="6"/>
        <v>48</v>
      </c>
      <c r="HC1">
        <f t="shared" si="6"/>
        <v>48</v>
      </c>
      <c r="HD1">
        <f t="shared" si="6"/>
        <v>48</v>
      </c>
      <c r="HE1">
        <f t="shared" si="6"/>
        <v>48</v>
      </c>
      <c r="HF1">
        <f t="shared" si="6"/>
        <v>48</v>
      </c>
      <c r="HG1">
        <f t="shared" si="6"/>
        <v>48</v>
      </c>
      <c r="HH1">
        <f t="shared" si="6"/>
        <v>48</v>
      </c>
      <c r="HI1">
        <f t="shared" si="6"/>
        <v>48</v>
      </c>
      <c r="HJ1">
        <f t="shared" si="6"/>
        <v>48</v>
      </c>
      <c r="HK1">
        <f t="shared" si="6"/>
        <v>48</v>
      </c>
      <c r="HL1">
        <f t="shared" si="6"/>
        <v>48</v>
      </c>
      <c r="HM1">
        <f t="shared" si="6"/>
        <v>48</v>
      </c>
      <c r="HN1">
        <f t="shared" si="6"/>
        <v>48</v>
      </c>
      <c r="HO1">
        <f t="shared" si="6"/>
        <v>48</v>
      </c>
      <c r="HP1">
        <f t="shared" si="6"/>
        <v>48</v>
      </c>
      <c r="HQ1">
        <f t="shared" si="6"/>
        <v>48</v>
      </c>
      <c r="HR1">
        <f t="shared" si="6"/>
        <v>48</v>
      </c>
      <c r="HS1">
        <f t="shared" si="6"/>
        <v>48</v>
      </c>
      <c r="HT1">
        <f t="shared" ref="HT1:KE1" si="7">PMBASIC+PMADVANCED</f>
        <v>48</v>
      </c>
      <c r="HU1">
        <f t="shared" si="7"/>
        <v>48</v>
      </c>
      <c r="HV1">
        <f t="shared" si="7"/>
        <v>48</v>
      </c>
      <c r="HW1">
        <f t="shared" si="7"/>
        <v>48</v>
      </c>
      <c r="HX1">
        <f t="shared" si="7"/>
        <v>48</v>
      </c>
      <c r="HY1">
        <f t="shared" si="7"/>
        <v>48</v>
      </c>
      <c r="HZ1">
        <f t="shared" si="7"/>
        <v>48</v>
      </c>
      <c r="IA1">
        <f t="shared" si="7"/>
        <v>48</v>
      </c>
      <c r="IB1">
        <f t="shared" si="7"/>
        <v>48</v>
      </c>
      <c r="IC1">
        <f t="shared" si="7"/>
        <v>48</v>
      </c>
      <c r="ID1">
        <f t="shared" si="7"/>
        <v>48</v>
      </c>
      <c r="IE1">
        <f t="shared" si="7"/>
        <v>48</v>
      </c>
      <c r="IF1">
        <f t="shared" si="7"/>
        <v>48</v>
      </c>
      <c r="IG1">
        <f t="shared" si="7"/>
        <v>48</v>
      </c>
      <c r="IH1">
        <f t="shared" si="7"/>
        <v>48</v>
      </c>
      <c r="II1">
        <f t="shared" si="7"/>
        <v>48</v>
      </c>
      <c r="IJ1">
        <f t="shared" si="7"/>
        <v>48</v>
      </c>
      <c r="IK1">
        <f t="shared" si="7"/>
        <v>48</v>
      </c>
      <c r="IL1">
        <f t="shared" si="7"/>
        <v>48</v>
      </c>
      <c r="IM1">
        <f t="shared" si="7"/>
        <v>48</v>
      </c>
      <c r="IN1">
        <f t="shared" si="7"/>
        <v>48</v>
      </c>
      <c r="IO1">
        <f t="shared" si="7"/>
        <v>48</v>
      </c>
      <c r="IP1">
        <f t="shared" si="7"/>
        <v>48</v>
      </c>
      <c r="IQ1">
        <f t="shared" si="7"/>
        <v>48</v>
      </c>
      <c r="IR1">
        <f t="shared" si="7"/>
        <v>48</v>
      </c>
      <c r="IS1">
        <f t="shared" si="7"/>
        <v>48</v>
      </c>
      <c r="IT1">
        <f t="shared" si="7"/>
        <v>48</v>
      </c>
      <c r="IU1">
        <f t="shared" si="7"/>
        <v>48</v>
      </c>
      <c r="IV1">
        <f t="shared" si="7"/>
        <v>48</v>
      </c>
      <c r="IW1">
        <f t="shared" si="7"/>
        <v>48</v>
      </c>
      <c r="IX1">
        <f t="shared" si="7"/>
        <v>48</v>
      </c>
      <c r="IY1">
        <f t="shared" si="7"/>
        <v>48</v>
      </c>
      <c r="IZ1">
        <f t="shared" si="7"/>
        <v>48</v>
      </c>
      <c r="JA1">
        <f t="shared" si="7"/>
        <v>48</v>
      </c>
      <c r="JB1">
        <f t="shared" si="7"/>
        <v>48</v>
      </c>
      <c r="JC1">
        <f t="shared" si="7"/>
        <v>48</v>
      </c>
      <c r="JD1">
        <f t="shared" si="7"/>
        <v>48</v>
      </c>
      <c r="JE1">
        <f t="shared" si="7"/>
        <v>48</v>
      </c>
      <c r="JF1">
        <f t="shared" si="7"/>
        <v>48</v>
      </c>
      <c r="JG1">
        <f t="shared" si="7"/>
        <v>48</v>
      </c>
      <c r="JH1">
        <f t="shared" si="7"/>
        <v>48</v>
      </c>
      <c r="JI1">
        <f t="shared" si="7"/>
        <v>48</v>
      </c>
      <c r="JJ1">
        <f t="shared" si="7"/>
        <v>48</v>
      </c>
      <c r="JK1">
        <f t="shared" si="7"/>
        <v>48</v>
      </c>
      <c r="JL1">
        <f t="shared" si="7"/>
        <v>48</v>
      </c>
      <c r="JM1">
        <f t="shared" si="7"/>
        <v>48</v>
      </c>
      <c r="JN1">
        <f t="shared" si="7"/>
        <v>48</v>
      </c>
      <c r="JO1">
        <f t="shared" si="7"/>
        <v>48</v>
      </c>
      <c r="JP1">
        <f t="shared" si="7"/>
        <v>48</v>
      </c>
      <c r="JQ1">
        <f t="shared" si="7"/>
        <v>48</v>
      </c>
      <c r="JR1">
        <f t="shared" si="7"/>
        <v>48</v>
      </c>
      <c r="JS1">
        <f t="shared" si="7"/>
        <v>48</v>
      </c>
      <c r="JT1">
        <f t="shared" si="7"/>
        <v>48</v>
      </c>
      <c r="JU1">
        <f t="shared" si="7"/>
        <v>48</v>
      </c>
      <c r="JV1">
        <f t="shared" si="7"/>
        <v>48</v>
      </c>
      <c r="JW1">
        <f t="shared" si="7"/>
        <v>48</v>
      </c>
      <c r="JX1">
        <f t="shared" si="7"/>
        <v>48</v>
      </c>
      <c r="JY1">
        <f t="shared" si="7"/>
        <v>48</v>
      </c>
      <c r="JZ1">
        <f t="shared" si="7"/>
        <v>48</v>
      </c>
      <c r="KA1">
        <f t="shared" si="7"/>
        <v>48</v>
      </c>
      <c r="KB1">
        <f t="shared" si="7"/>
        <v>48</v>
      </c>
      <c r="KC1">
        <f t="shared" si="7"/>
        <v>48</v>
      </c>
      <c r="KD1">
        <f t="shared" si="7"/>
        <v>48</v>
      </c>
      <c r="KE1">
        <f t="shared" si="7"/>
        <v>48</v>
      </c>
      <c r="KF1">
        <f t="shared" ref="KF1:MQ1" si="8">PMBASIC+PMADVANCED</f>
        <v>48</v>
      </c>
      <c r="KG1">
        <f t="shared" si="8"/>
        <v>48</v>
      </c>
      <c r="KH1">
        <f t="shared" si="8"/>
        <v>48</v>
      </c>
      <c r="KI1">
        <f t="shared" si="8"/>
        <v>48</v>
      </c>
      <c r="KJ1">
        <f t="shared" si="8"/>
        <v>48</v>
      </c>
      <c r="KK1">
        <f t="shared" si="8"/>
        <v>48</v>
      </c>
      <c r="KL1">
        <f t="shared" si="8"/>
        <v>48</v>
      </c>
      <c r="KM1">
        <f t="shared" si="8"/>
        <v>48</v>
      </c>
      <c r="KN1">
        <f t="shared" si="8"/>
        <v>48</v>
      </c>
      <c r="KO1">
        <f t="shared" si="8"/>
        <v>48</v>
      </c>
      <c r="KP1">
        <f t="shared" si="8"/>
        <v>48</v>
      </c>
      <c r="KQ1">
        <f t="shared" si="8"/>
        <v>48</v>
      </c>
      <c r="KR1">
        <f t="shared" si="8"/>
        <v>48</v>
      </c>
      <c r="KS1">
        <f t="shared" si="8"/>
        <v>48</v>
      </c>
      <c r="KT1">
        <f t="shared" si="8"/>
        <v>48</v>
      </c>
      <c r="KU1">
        <f t="shared" si="8"/>
        <v>48</v>
      </c>
      <c r="KV1">
        <f t="shared" si="8"/>
        <v>48</v>
      </c>
      <c r="KW1">
        <f t="shared" si="8"/>
        <v>48</v>
      </c>
      <c r="KX1">
        <f t="shared" si="8"/>
        <v>48</v>
      </c>
      <c r="KY1">
        <f t="shared" si="8"/>
        <v>48</v>
      </c>
      <c r="KZ1">
        <f t="shared" si="8"/>
        <v>48</v>
      </c>
      <c r="LA1">
        <f t="shared" si="8"/>
        <v>48</v>
      </c>
      <c r="LB1">
        <f t="shared" si="8"/>
        <v>48</v>
      </c>
      <c r="LC1">
        <f t="shared" si="8"/>
        <v>48</v>
      </c>
      <c r="LD1">
        <f t="shared" si="8"/>
        <v>48</v>
      </c>
      <c r="LE1">
        <f t="shared" si="8"/>
        <v>48</v>
      </c>
      <c r="LF1">
        <f t="shared" si="8"/>
        <v>48</v>
      </c>
      <c r="LG1">
        <f t="shared" si="8"/>
        <v>48</v>
      </c>
      <c r="LH1">
        <f t="shared" si="8"/>
        <v>48</v>
      </c>
      <c r="LI1">
        <f t="shared" si="8"/>
        <v>48</v>
      </c>
      <c r="LJ1">
        <f t="shared" si="8"/>
        <v>48</v>
      </c>
      <c r="LK1">
        <f t="shared" si="8"/>
        <v>48</v>
      </c>
      <c r="LL1">
        <f t="shared" si="8"/>
        <v>48</v>
      </c>
      <c r="LM1">
        <f t="shared" si="8"/>
        <v>48</v>
      </c>
      <c r="LN1">
        <f t="shared" si="8"/>
        <v>48</v>
      </c>
      <c r="LO1">
        <f t="shared" si="8"/>
        <v>48</v>
      </c>
      <c r="LP1">
        <f t="shared" si="8"/>
        <v>48</v>
      </c>
      <c r="LQ1">
        <f t="shared" si="8"/>
        <v>48</v>
      </c>
      <c r="LR1">
        <f t="shared" si="8"/>
        <v>48</v>
      </c>
      <c r="LS1">
        <f t="shared" si="8"/>
        <v>48</v>
      </c>
      <c r="LT1">
        <f t="shared" si="8"/>
        <v>48</v>
      </c>
      <c r="LU1">
        <f t="shared" si="8"/>
        <v>48</v>
      </c>
      <c r="LV1">
        <f t="shared" si="8"/>
        <v>48</v>
      </c>
      <c r="LW1">
        <f t="shared" si="8"/>
        <v>48</v>
      </c>
      <c r="LX1">
        <f t="shared" si="8"/>
        <v>48</v>
      </c>
      <c r="LY1">
        <f t="shared" si="8"/>
        <v>48</v>
      </c>
      <c r="LZ1">
        <f t="shared" si="8"/>
        <v>48</v>
      </c>
      <c r="MA1">
        <f t="shared" si="8"/>
        <v>48</v>
      </c>
      <c r="MB1">
        <f t="shared" si="8"/>
        <v>48</v>
      </c>
      <c r="MC1">
        <f t="shared" si="8"/>
        <v>48</v>
      </c>
      <c r="MD1">
        <f t="shared" si="8"/>
        <v>48</v>
      </c>
      <c r="ME1">
        <f t="shared" si="8"/>
        <v>48</v>
      </c>
      <c r="MF1">
        <f t="shared" si="8"/>
        <v>48</v>
      </c>
      <c r="MG1">
        <f t="shared" si="8"/>
        <v>48</v>
      </c>
      <c r="MH1">
        <f t="shared" si="8"/>
        <v>48</v>
      </c>
      <c r="MI1">
        <f t="shared" si="8"/>
        <v>48</v>
      </c>
      <c r="MJ1">
        <f t="shared" si="8"/>
        <v>48</v>
      </c>
      <c r="MK1">
        <f t="shared" si="8"/>
        <v>48</v>
      </c>
      <c r="ML1">
        <f t="shared" si="8"/>
        <v>48</v>
      </c>
      <c r="MM1">
        <f t="shared" si="8"/>
        <v>48</v>
      </c>
      <c r="MN1">
        <f t="shared" si="8"/>
        <v>48</v>
      </c>
      <c r="MO1">
        <f t="shared" si="8"/>
        <v>48</v>
      </c>
      <c r="MP1">
        <f t="shared" si="8"/>
        <v>48</v>
      </c>
      <c r="MQ1">
        <f t="shared" si="8"/>
        <v>48</v>
      </c>
      <c r="MR1">
        <f t="shared" ref="MR1:PC1" si="9">PMBASIC+PMADVANCED</f>
        <v>48</v>
      </c>
      <c r="MS1">
        <f t="shared" si="9"/>
        <v>48</v>
      </c>
      <c r="MT1">
        <f t="shared" si="9"/>
        <v>48</v>
      </c>
      <c r="MU1">
        <f t="shared" si="9"/>
        <v>48</v>
      </c>
      <c r="MV1">
        <f t="shared" si="9"/>
        <v>48</v>
      </c>
      <c r="MW1">
        <f t="shared" si="9"/>
        <v>48</v>
      </c>
      <c r="MX1">
        <f t="shared" si="9"/>
        <v>48</v>
      </c>
      <c r="MY1">
        <f t="shared" si="9"/>
        <v>48</v>
      </c>
      <c r="MZ1">
        <f t="shared" si="9"/>
        <v>48</v>
      </c>
      <c r="NA1">
        <f t="shared" si="9"/>
        <v>48</v>
      </c>
      <c r="NB1">
        <f t="shared" si="9"/>
        <v>48</v>
      </c>
      <c r="NC1">
        <f t="shared" si="9"/>
        <v>48</v>
      </c>
      <c r="ND1">
        <f t="shared" si="9"/>
        <v>48</v>
      </c>
      <c r="NE1">
        <f t="shared" si="9"/>
        <v>48</v>
      </c>
      <c r="NF1">
        <f t="shared" si="9"/>
        <v>48</v>
      </c>
      <c r="NG1">
        <f t="shared" si="9"/>
        <v>48</v>
      </c>
      <c r="NH1">
        <f t="shared" si="9"/>
        <v>48</v>
      </c>
      <c r="NI1">
        <f t="shared" si="9"/>
        <v>48</v>
      </c>
      <c r="NJ1">
        <f t="shared" si="9"/>
        <v>48</v>
      </c>
      <c r="NK1">
        <f t="shared" si="9"/>
        <v>48</v>
      </c>
      <c r="NL1">
        <f t="shared" si="9"/>
        <v>48</v>
      </c>
      <c r="NM1">
        <f t="shared" si="9"/>
        <v>48</v>
      </c>
      <c r="NN1">
        <f t="shared" si="9"/>
        <v>48</v>
      </c>
      <c r="NO1">
        <f t="shared" si="9"/>
        <v>48</v>
      </c>
      <c r="NP1">
        <f t="shared" si="9"/>
        <v>48</v>
      </c>
      <c r="NQ1">
        <f t="shared" si="9"/>
        <v>48</v>
      </c>
      <c r="NR1">
        <f t="shared" si="9"/>
        <v>48</v>
      </c>
      <c r="NS1">
        <f t="shared" si="9"/>
        <v>48</v>
      </c>
      <c r="NT1">
        <f t="shared" si="9"/>
        <v>48</v>
      </c>
      <c r="NU1">
        <f t="shared" si="9"/>
        <v>48</v>
      </c>
      <c r="NV1">
        <f t="shared" si="9"/>
        <v>48</v>
      </c>
      <c r="NW1">
        <f t="shared" si="9"/>
        <v>48</v>
      </c>
      <c r="NX1">
        <f t="shared" si="9"/>
        <v>48</v>
      </c>
      <c r="NY1">
        <f t="shared" si="9"/>
        <v>48</v>
      </c>
      <c r="NZ1">
        <f t="shared" si="9"/>
        <v>48</v>
      </c>
      <c r="OA1">
        <f t="shared" si="9"/>
        <v>48</v>
      </c>
      <c r="OB1">
        <f t="shared" si="9"/>
        <v>48</v>
      </c>
      <c r="OC1">
        <f t="shared" si="9"/>
        <v>48</v>
      </c>
      <c r="OD1">
        <f t="shared" si="9"/>
        <v>48</v>
      </c>
      <c r="OE1">
        <f t="shared" si="9"/>
        <v>48</v>
      </c>
      <c r="OF1">
        <f t="shared" si="9"/>
        <v>48</v>
      </c>
      <c r="OG1">
        <f t="shared" si="9"/>
        <v>48</v>
      </c>
      <c r="OH1">
        <f t="shared" si="9"/>
        <v>48</v>
      </c>
      <c r="OI1">
        <f t="shared" si="9"/>
        <v>48</v>
      </c>
      <c r="OJ1">
        <f t="shared" si="9"/>
        <v>48</v>
      </c>
      <c r="OK1">
        <f t="shared" si="9"/>
        <v>48</v>
      </c>
      <c r="OL1">
        <f t="shared" si="9"/>
        <v>48</v>
      </c>
      <c r="OM1">
        <f t="shared" si="9"/>
        <v>48</v>
      </c>
      <c r="ON1">
        <f t="shared" si="9"/>
        <v>48</v>
      </c>
      <c r="OO1">
        <f t="shared" si="9"/>
        <v>48</v>
      </c>
      <c r="OP1">
        <f t="shared" si="9"/>
        <v>48</v>
      </c>
      <c r="OQ1">
        <f t="shared" si="9"/>
        <v>48</v>
      </c>
      <c r="OR1">
        <f t="shared" si="9"/>
        <v>48</v>
      </c>
      <c r="OS1">
        <f t="shared" si="9"/>
        <v>48</v>
      </c>
      <c r="OT1">
        <f t="shared" si="9"/>
        <v>48</v>
      </c>
      <c r="OU1">
        <f t="shared" si="9"/>
        <v>48</v>
      </c>
      <c r="OV1">
        <f t="shared" si="9"/>
        <v>48</v>
      </c>
      <c r="OW1">
        <f t="shared" si="9"/>
        <v>48</v>
      </c>
      <c r="OX1">
        <f t="shared" si="9"/>
        <v>48</v>
      </c>
      <c r="OY1">
        <f t="shared" si="9"/>
        <v>48</v>
      </c>
      <c r="OZ1">
        <f t="shared" si="9"/>
        <v>48</v>
      </c>
      <c r="PA1">
        <f t="shared" si="9"/>
        <v>48</v>
      </c>
      <c r="PB1">
        <f t="shared" si="9"/>
        <v>48</v>
      </c>
      <c r="PC1">
        <f t="shared" si="9"/>
        <v>48</v>
      </c>
      <c r="PD1">
        <f t="shared" ref="PD1:RO1" si="10">PMBASIC+PMADVANCED</f>
        <v>48</v>
      </c>
      <c r="PE1">
        <f t="shared" si="10"/>
        <v>48</v>
      </c>
      <c r="PF1">
        <f t="shared" si="10"/>
        <v>48</v>
      </c>
      <c r="PG1">
        <f t="shared" si="10"/>
        <v>48</v>
      </c>
      <c r="PH1">
        <f t="shared" si="10"/>
        <v>48</v>
      </c>
      <c r="PI1">
        <f t="shared" si="10"/>
        <v>48</v>
      </c>
      <c r="PJ1">
        <f t="shared" si="10"/>
        <v>48</v>
      </c>
      <c r="PK1">
        <f t="shared" si="10"/>
        <v>48</v>
      </c>
      <c r="PL1">
        <f t="shared" si="10"/>
        <v>48</v>
      </c>
      <c r="PM1">
        <f t="shared" si="10"/>
        <v>48</v>
      </c>
      <c r="PN1">
        <f t="shared" si="10"/>
        <v>48</v>
      </c>
      <c r="PO1">
        <f t="shared" si="10"/>
        <v>48</v>
      </c>
      <c r="PP1">
        <f t="shared" si="10"/>
        <v>48</v>
      </c>
      <c r="PQ1">
        <f t="shared" si="10"/>
        <v>48</v>
      </c>
      <c r="PR1">
        <f t="shared" si="10"/>
        <v>48</v>
      </c>
      <c r="PS1">
        <f t="shared" si="10"/>
        <v>48</v>
      </c>
      <c r="PT1">
        <f t="shared" si="10"/>
        <v>48</v>
      </c>
      <c r="PU1">
        <f t="shared" si="10"/>
        <v>48</v>
      </c>
      <c r="PV1">
        <f t="shared" si="10"/>
        <v>48</v>
      </c>
      <c r="PW1">
        <f t="shared" si="10"/>
        <v>48</v>
      </c>
      <c r="PX1">
        <f t="shared" si="10"/>
        <v>48</v>
      </c>
      <c r="PY1">
        <f t="shared" si="10"/>
        <v>48</v>
      </c>
      <c r="PZ1">
        <f t="shared" si="10"/>
        <v>48</v>
      </c>
      <c r="QA1">
        <f t="shared" si="10"/>
        <v>48</v>
      </c>
      <c r="QB1">
        <f t="shared" si="10"/>
        <v>48</v>
      </c>
      <c r="QC1">
        <f t="shared" si="10"/>
        <v>48</v>
      </c>
      <c r="QD1">
        <f t="shared" si="10"/>
        <v>48</v>
      </c>
      <c r="QE1">
        <f t="shared" si="10"/>
        <v>48</v>
      </c>
      <c r="QF1">
        <f t="shared" si="10"/>
        <v>48</v>
      </c>
      <c r="QG1">
        <f t="shared" si="10"/>
        <v>48</v>
      </c>
      <c r="QH1">
        <f t="shared" si="10"/>
        <v>48</v>
      </c>
      <c r="QI1">
        <f t="shared" si="10"/>
        <v>48</v>
      </c>
      <c r="QJ1">
        <f t="shared" si="10"/>
        <v>48</v>
      </c>
      <c r="QK1">
        <f t="shared" si="10"/>
        <v>48</v>
      </c>
      <c r="QL1">
        <f t="shared" si="10"/>
        <v>48</v>
      </c>
      <c r="QM1">
        <f t="shared" si="10"/>
        <v>48</v>
      </c>
      <c r="QN1">
        <f t="shared" si="10"/>
        <v>48</v>
      </c>
      <c r="QO1">
        <f t="shared" si="10"/>
        <v>48</v>
      </c>
      <c r="QP1">
        <f t="shared" si="10"/>
        <v>48</v>
      </c>
      <c r="QQ1">
        <f t="shared" si="10"/>
        <v>48</v>
      </c>
      <c r="QR1">
        <f t="shared" si="10"/>
        <v>48</v>
      </c>
      <c r="QS1">
        <f t="shared" si="10"/>
        <v>48</v>
      </c>
      <c r="QT1">
        <f t="shared" si="10"/>
        <v>48</v>
      </c>
      <c r="QU1">
        <f t="shared" si="10"/>
        <v>48</v>
      </c>
      <c r="QV1">
        <f t="shared" si="10"/>
        <v>48</v>
      </c>
      <c r="QW1">
        <f t="shared" si="10"/>
        <v>48</v>
      </c>
      <c r="QX1">
        <f t="shared" si="10"/>
        <v>48</v>
      </c>
      <c r="QY1">
        <f t="shared" si="10"/>
        <v>48</v>
      </c>
      <c r="QZ1">
        <f t="shared" si="10"/>
        <v>48</v>
      </c>
      <c r="RA1">
        <f t="shared" si="10"/>
        <v>48</v>
      </c>
      <c r="RB1">
        <f t="shared" si="10"/>
        <v>48</v>
      </c>
      <c r="RC1">
        <f t="shared" si="10"/>
        <v>48</v>
      </c>
      <c r="RD1">
        <f t="shared" si="10"/>
        <v>48</v>
      </c>
      <c r="RE1">
        <f t="shared" si="10"/>
        <v>48</v>
      </c>
      <c r="RF1">
        <f t="shared" si="10"/>
        <v>48</v>
      </c>
      <c r="RG1">
        <f t="shared" si="10"/>
        <v>48</v>
      </c>
      <c r="RH1">
        <f t="shared" si="10"/>
        <v>48</v>
      </c>
      <c r="RI1">
        <f t="shared" si="10"/>
        <v>48</v>
      </c>
      <c r="RJ1">
        <f t="shared" si="10"/>
        <v>48</v>
      </c>
      <c r="RK1">
        <f t="shared" si="10"/>
        <v>48</v>
      </c>
      <c r="RL1">
        <f t="shared" si="10"/>
        <v>48</v>
      </c>
      <c r="RM1">
        <f t="shared" si="10"/>
        <v>48</v>
      </c>
      <c r="RN1">
        <f t="shared" si="10"/>
        <v>48</v>
      </c>
      <c r="RO1">
        <f t="shared" si="10"/>
        <v>48</v>
      </c>
      <c r="RP1">
        <f t="shared" ref="RP1:UA1" si="11">PMBASIC+PMADVANCED</f>
        <v>48</v>
      </c>
      <c r="RQ1">
        <f t="shared" si="11"/>
        <v>48</v>
      </c>
      <c r="RR1">
        <f t="shared" si="11"/>
        <v>48</v>
      </c>
      <c r="RS1">
        <f t="shared" si="11"/>
        <v>48</v>
      </c>
      <c r="RT1">
        <f t="shared" si="11"/>
        <v>48</v>
      </c>
      <c r="RU1">
        <f t="shared" si="11"/>
        <v>48</v>
      </c>
      <c r="RV1">
        <f t="shared" si="11"/>
        <v>48</v>
      </c>
      <c r="RW1">
        <f t="shared" si="11"/>
        <v>48</v>
      </c>
      <c r="RX1">
        <f t="shared" si="11"/>
        <v>48</v>
      </c>
      <c r="RY1">
        <f t="shared" si="11"/>
        <v>48</v>
      </c>
      <c r="RZ1">
        <f t="shared" si="11"/>
        <v>48</v>
      </c>
      <c r="SA1">
        <f t="shared" si="11"/>
        <v>48</v>
      </c>
      <c r="SB1">
        <f t="shared" si="11"/>
        <v>48</v>
      </c>
      <c r="SC1">
        <f t="shared" si="11"/>
        <v>48</v>
      </c>
      <c r="SD1">
        <f t="shared" si="11"/>
        <v>48</v>
      </c>
      <c r="SE1">
        <f t="shared" si="11"/>
        <v>48</v>
      </c>
      <c r="SF1">
        <f t="shared" si="11"/>
        <v>48</v>
      </c>
      <c r="SG1">
        <f t="shared" si="11"/>
        <v>48</v>
      </c>
      <c r="SH1">
        <f t="shared" si="11"/>
        <v>48</v>
      </c>
      <c r="SI1">
        <f t="shared" si="11"/>
        <v>48</v>
      </c>
      <c r="SJ1">
        <f t="shared" si="11"/>
        <v>48</v>
      </c>
      <c r="SK1">
        <f t="shared" si="11"/>
        <v>48</v>
      </c>
      <c r="SL1">
        <f t="shared" si="11"/>
        <v>48</v>
      </c>
      <c r="SM1">
        <f t="shared" si="11"/>
        <v>48</v>
      </c>
      <c r="SN1">
        <f t="shared" si="11"/>
        <v>48</v>
      </c>
      <c r="SO1">
        <f t="shared" si="11"/>
        <v>48</v>
      </c>
      <c r="SP1">
        <f t="shared" si="11"/>
        <v>48</v>
      </c>
      <c r="SQ1">
        <f t="shared" si="11"/>
        <v>48</v>
      </c>
      <c r="SR1">
        <f t="shared" si="11"/>
        <v>48</v>
      </c>
      <c r="SS1">
        <f t="shared" si="11"/>
        <v>48</v>
      </c>
      <c r="ST1">
        <f t="shared" si="11"/>
        <v>48</v>
      </c>
      <c r="SU1">
        <f t="shared" si="11"/>
        <v>48</v>
      </c>
      <c r="SV1">
        <f t="shared" si="11"/>
        <v>48</v>
      </c>
      <c r="SW1">
        <f t="shared" si="11"/>
        <v>48</v>
      </c>
      <c r="SX1">
        <f t="shared" si="11"/>
        <v>48</v>
      </c>
      <c r="SY1">
        <f t="shared" si="11"/>
        <v>48</v>
      </c>
      <c r="SZ1">
        <f t="shared" si="11"/>
        <v>48</v>
      </c>
      <c r="TA1">
        <f t="shared" si="11"/>
        <v>48</v>
      </c>
      <c r="TB1">
        <f t="shared" si="11"/>
        <v>48</v>
      </c>
      <c r="TC1">
        <f t="shared" si="11"/>
        <v>48</v>
      </c>
      <c r="TD1">
        <f t="shared" si="11"/>
        <v>48</v>
      </c>
      <c r="TE1">
        <f t="shared" si="11"/>
        <v>48</v>
      </c>
      <c r="TF1">
        <f t="shared" si="11"/>
        <v>48</v>
      </c>
      <c r="TG1">
        <f t="shared" si="11"/>
        <v>48</v>
      </c>
      <c r="TH1">
        <f t="shared" si="11"/>
        <v>48</v>
      </c>
      <c r="TI1">
        <f t="shared" si="11"/>
        <v>48</v>
      </c>
      <c r="TJ1">
        <f t="shared" si="11"/>
        <v>48</v>
      </c>
      <c r="TK1">
        <f t="shared" si="11"/>
        <v>48</v>
      </c>
      <c r="TL1">
        <f t="shared" si="11"/>
        <v>48</v>
      </c>
      <c r="TM1">
        <f t="shared" si="11"/>
        <v>48</v>
      </c>
      <c r="TN1">
        <f t="shared" si="11"/>
        <v>48</v>
      </c>
      <c r="TO1">
        <f t="shared" si="11"/>
        <v>48</v>
      </c>
      <c r="TP1">
        <f t="shared" si="11"/>
        <v>48</v>
      </c>
      <c r="TQ1">
        <f t="shared" si="11"/>
        <v>48</v>
      </c>
      <c r="TR1">
        <f t="shared" si="11"/>
        <v>48</v>
      </c>
      <c r="TS1">
        <f t="shared" si="11"/>
        <v>48</v>
      </c>
      <c r="TT1">
        <f t="shared" si="11"/>
        <v>48</v>
      </c>
      <c r="TU1">
        <f t="shared" si="11"/>
        <v>48</v>
      </c>
      <c r="TV1">
        <f t="shared" si="11"/>
        <v>48</v>
      </c>
      <c r="TW1">
        <f t="shared" si="11"/>
        <v>48</v>
      </c>
      <c r="TX1">
        <f t="shared" si="11"/>
        <v>48</v>
      </c>
      <c r="TY1">
        <f t="shared" si="11"/>
        <v>48</v>
      </c>
      <c r="TZ1">
        <f t="shared" si="11"/>
        <v>48</v>
      </c>
      <c r="UA1">
        <f t="shared" si="11"/>
        <v>48</v>
      </c>
      <c r="UB1">
        <f t="shared" ref="UB1:WM1" si="12">PMBASIC+PMADVANCED</f>
        <v>48</v>
      </c>
      <c r="UC1">
        <f t="shared" si="12"/>
        <v>48</v>
      </c>
      <c r="UD1">
        <f t="shared" si="12"/>
        <v>48</v>
      </c>
      <c r="UE1">
        <f t="shared" si="12"/>
        <v>48</v>
      </c>
      <c r="UF1">
        <f t="shared" si="12"/>
        <v>48</v>
      </c>
      <c r="UG1">
        <f t="shared" si="12"/>
        <v>48</v>
      </c>
      <c r="UH1">
        <f t="shared" si="12"/>
        <v>48</v>
      </c>
      <c r="UI1">
        <f t="shared" si="12"/>
        <v>48</v>
      </c>
      <c r="UJ1">
        <f t="shared" si="12"/>
        <v>48</v>
      </c>
      <c r="UK1">
        <f t="shared" si="12"/>
        <v>48</v>
      </c>
      <c r="UL1">
        <f t="shared" si="12"/>
        <v>48</v>
      </c>
      <c r="UM1">
        <f t="shared" si="12"/>
        <v>48</v>
      </c>
      <c r="UN1">
        <f t="shared" si="12"/>
        <v>48</v>
      </c>
      <c r="UO1">
        <f t="shared" si="12"/>
        <v>48</v>
      </c>
      <c r="UP1">
        <f t="shared" si="12"/>
        <v>48</v>
      </c>
      <c r="UQ1">
        <f t="shared" si="12"/>
        <v>48</v>
      </c>
      <c r="UR1">
        <f t="shared" si="12"/>
        <v>48</v>
      </c>
      <c r="US1">
        <f t="shared" si="12"/>
        <v>48</v>
      </c>
      <c r="UT1">
        <f t="shared" si="12"/>
        <v>48</v>
      </c>
      <c r="UU1">
        <f t="shared" si="12"/>
        <v>48</v>
      </c>
      <c r="UV1">
        <f t="shared" si="12"/>
        <v>48</v>
      </c>
      <c r="UW1">
        <f t="shared" si="12"/>
        <v>48</v>
      </c>
      <c r="UX1">
        <f t="shared" si="12"/>
        <v>48</v>
      </c>
      <c r="UY1">
        <f t="shared" si="12"/>
        <v>48</v>
      </c>
      <c r="UZ1">
        <f t="shared" si="12"/>
        <v>48</v>
      </c>
      <c r="VA1">
        <f t="shared" si="12"/>
        <v>48</v>
      </c>
      <c r="VB1">
        <f t="shared" si="12"/>
        <v>48</v>
      </c>
      <c r="VC1">
        <f t="shared" si="12"/>
        <v>48</v>
      </c>
      <c r="VD1">
        <f t="shared" si="12"/>
        <v>48</v>
      </c>
      <c r="VE1">
        <f t="shared" si="12"/>
        <v>48</v>
      </c>
      <c r="VF1">
        <f t="shared" si="12"/>
        <v>48</v>
      </c>
      <c r="VG1">
        <f t="shared" si="12"/>
        <v>48</v>
      </c>
      <c r="VH1">
        <f t="shared" si="12"/>
        <v>48</v>
      </c>
      <c r="VI1">
        <f t="shared" si="12"/>
        <v>48</v>
      </c>
      <c r="VJ1">
        <f t="shared" si="12"/>
        <v>48</v>
      </c>
      <c r="VK1">
        <f t="shared" si="12"/>
        <v>48</v>
      </c>
      <c r="VL1">
        <f t="shared" si="12"/>
        <v>48</v>
      </c>
      <c r="VM1">
        <f t="shared" si="12"/>
        <v>48</v>
      </c>
      <c r="VN1">
        <f t="shared" si="12"/>
        <v>48</v>
      </c>
      <c r="VO1">
        <f t="shared" si="12"/>
        <v>48</v>
      </c>
      <c r="VP1">
        <f t="shared" si="12"/>
        <v>48</v>
      </c>
      <c r="VQ1">
        <f t="shared" si="12"/>
        <v>48</v>
      </c>
      <c r="VR1">
        <f t="shared" si="12"/>
        <v>48</v>
      </c>
      <c r="VS1">
        <f t="shared" si="12"/>
        <v>48</v>
      </c>
      <c r="VT1">
        <f t="shared" si="12"/>
        <v>48</v>
      </c>
      <c r="VU1">
        <f t="shared" si="12"/>
        <v>48</v>
      </c>
      <c r="VV1">
        <f t="shared" si="12"/>
        <v>48</v>
      </c>
      <c r="VW1">
        <f t="shared" si="12"/>
        <v>48</v>
      </c>
      <c r="VX1">
        <f t="shared" si="12"/>
        <v>48</v>
      </c>
      <c r="VY1">
        <f t="shared" si="12"/>
        <v>48</v>
      </c>
      <c r="VZ1">
        <f t="shared" si="12"/>
        <v>48</v>
      </c>
      <c r="WA1">
        <f t="shared" si="12"/>
        <v>48</v>
      </c>
      <c r="WB1">
        <f t="shared" si="12"/>
        <v>48</v>
      </c>
      <c r="WC1">
        <f t="shared" si="12"/>
        <v>48</v>
      </c>
      <c r="WD1">
        <f t="shared" si="12"/>
        <v>48</v>
      </c>
      <c r="WE1">
        <f t="shared" si="12"/>
        <v>48</v>
      </c>
      <c r="WF1">
        <f t="shared" si="12"/>
        <v>48</v>
      </c>
      <c r="WG1">
        <f t="shared" si="12"/>
        <v>48</v>
      </c>
      <c r="WH1">
        <f t="shared" si="12"/>
        <v>48</v>
      </c>
      <c r="WI1">
        <f t="shared" si="12"/>
        <v>48</v>
      </c>
      <c r="WJ1">
        <f t="shared" si="12"/>
        <v>48</v>
      </c>
      <c r="WK1">
        <f t="shared" si="12"/>
        <v>48</v>
      </c>
      <c r="WL1">
        <f t="shared" si="12"/>
        <v>48</v>
      </c>
      <c r="WM1">
        <f t="shared" si="12"/>
        <v>48</v>
      </c>
      <c r="WN1">
        <f t="shared" ref="WN1:XK1" si="13">PMBASIC+PMADVANCED</f>
        <v>48</v>
      </c>
      <c r="WO1">
        <f t="shared" si="13"/>
        <v>48</v>
      </c>
      <c r="WP1">
        <f t="shared" si="13"/>
        <v>48</v>
      </c>
      <c r="WQ1">
        <f t="shared" si="13"/>
        <v>48</v>
      </c>
      <c r="WR1">
        <f t="shared" si="13"/>
        <v>48</v>
      </c>
      <c r="WS1">
        <f t="shared" si="13"/>
        <v>48</v>
      </c>
      <c r="WT1">
        <f t="shared" si="13"/>
        <v>48</v>
      </c>
      <c r="WU1">
        <f t="shared" si="13"/>
        <v>48</v>
      </c>
      <c r="WV1">
        <f t="shared" si="13"/>
        <v>48</v>
      </c>
      <c r="WW1">
        <f t="shared" si="13"/>
        <v>48</v>
      </c>
      <c r="WX1">
        <f t="shared" si="13"/>
        <v>48</v>
      </c>
      <c r="WY1">
        <f t="shared" si="13"/>
        <v>48</v>
      </c>
      <c r="WZ1">
        <f t="shared" si="13"/>
        <v>48</v>
      </c>
      <c r="XA1">
        <f t="shared" si="13"/>
        <v>48</v>
      </c>
      <c r="XB1">
        <f t="shared" si="13"/>
        <v>48</v>
      </c>
      <c r="XC1">
        <f t="shared" si="13"/>
        <v>48</v>
      </c>
      <c r="XD1">
        <f t="shared" si="13"/>
        <v>48</v>
      </c>
      <c r="XE1">
        <f t="shared" si="13"/>
        <v>48</v>
      </c>
      <c r="XF1">
        <f t="shared" si="13"/>
        <v>48</v>
      </c>
      <c r="XG1">
        <f t="shared" si="13"/>
        <v>48</v>
      </c>
      <c r="XH1">
        <f t="shared" si="13"/>
        <v>48</v>
      </c>
      <c r="XI1">
        <f t="shared" si="13"/>
        <v>48</v>
      </c>
      <c r="XJ1">
        <f t="shared" si="13"/>
        <v>48</v>
      </c>
      <c r="XK1" s="12">
        <f t="shared" si="13"/>
        <v>48</v>
      </c>
    </row>
    <row r="2" spans="1:635" ht="15" hidden="1" customHeight="1" x14ac:dyDescent="0.25">
      <c r="A2">
        <f>PMBASIC+PMADVANCED+VMONLINE+VMMACRO</f>
        <v>54</v>
      </c>
      <c r="L2" s="653" t="s">
        <v>871</v>
      </c>
      <c r="M2" s="655"/>
      <c r="N2" s="655"/>
      <c r="O2" s="655"/>
      <c r="P2" s="655"/>
      <c r="Q2" s="655"/>
      <c r="R2" s="655"/>
      <c r="S2" s="655"/>
      <c r="T2" s="655"/>
      <c r="U2" s="655"/>
      <c r="V2" s="655"/>
      <c r="W2" s="655"/>
      <c r="X2" s="655"/>
      <c r="Y2" s="655"/>
      <c r="Z2" s="655"/>
      <c r="AA2" s="655"/>
      <c r="AB2" s="655"/>
      <c r="AC2" s="656"/>
      <c r="AD2" s="653" t="s">
        <v>716</v>
      </c>
      <c r="AE2" s="595"/>
      <c r="AF2" s="595"/>
      <c r="AG2" s="595"/>
      <c r="AH2" s="595"/>
      <c r="AI2" s="651"/>
      <c r="AJ2" s="654">
        <f>INT((COLUMN()-COLUMN($AJ2))/6)</f>
        <v>0</v>
      </c>
      <c r="AK2" s="631"/>
      <c r="AL2" s="631"/>
      <c r="AM2" s="631"/>
      <c r="AN2" s="631"/>
      <c r="AO2" s="651"/>
      <c r="AP2" s="652">
        <f>INT((COLUMN()-COLUMN($AJ2))/6)</f>
        <v>1</v>
      </c>
      <c r="AQ2" s="631"/>
      <c r="AR2" s="631"/>
      <c r="AS2" s="631"/>
      <c r="AT2" s="631"/>
      <c r="AU2" s="631"/>
      <c r="AV2" s="650">
        <f>INT((COLUMN()-COLUMN($AJ2))/6)</f>
        <v>2</v>
      </c>
      <c r="AW2" s="631"/>
      <c r="AX2" s="631"/>
      <c r="AY2" s="631"/>
      <c r="AZ2" s="631"/>
      <c r="BA2" s="651"/>
      <c r="BB2" s="652">
        <f>INT((COLUMN()-COLUMN($AJ2))/6)</f>
        <v>3</v>
      </c>
      <c r="BC2" s="631"/>
      <c r="BD2" s="631"/>
      <c r="BE2" s="631"/>
      <c r="BF2" s="631"/>
      <c r="BG2" s="631"/>
      <c r="BH2" s="650">
        <f>INT((COLUMN()-COLUMN($AJ2))/6)</f>
        <v>4</v>
      </c>
      <c r="BI2" s="631"/>
      <c r="BJ2" s="631"/>
      <c r="BK2" s="631"/>
      <c r="BL2" s="631"/>
      <c r="BM2" s="651"/>
      <c r="BN2" s="652">
        <f>INT((COLUMN()-COLUMN($AJ2))/6)</f>
        <v>5</v>
      </c>
      <c r="BO2" s="631"/>
      <c r="BP2" s="631"/>
      <c r="BQ2" s="631"/>
      <c r="BR2" s="631"/>
      <c r="BS2" s="631"/>
      <c r="BT2" s="650">
        <f>INT((COLUMN()-COLUMN($AJ2))/6)</f>
        <v>6</v>
      </c>
      <c r="BU2" s="631"/>
      <c r="BV2" s="631"/>
      <c r="BW2" s="631"/>
      <c r="BX2" s="631"/>
      <c r="BY2" s="651"/>
      <c r="BZ2" s="652">
        <f>INT((COLUMN()-COLUMN($AJ2))/6)</f>
        <v>7</v>
      </c>
      <c r="CA2" s="631"/>
      <c r="CB2" s="631"/>
      <c r="CC2" s="631"/>
      <c r="CD2" s="631"/>
      <c r="CE2" s="631"/>
      <c r="CF2" s="650">
        <f>INT((COLUMN()-COLUMN($AJ2))/6)</f>
        <v>8</v>
      </c>
      <c r="CG2" s="631"/>
      <c r="CH2" s="631"/>
      <c r="CI2" s="631"/>
      <c r="CJ2" s="631"/>
      <c r="CK2" s="651"/>
      <c r="CL2" s="652">
        <f>INT((COLUMN()-COLUMN($AJ2))/6)</f>
        <v>9</v>
      </c>
      <c r="CM2" s="631"/>
      <c r="CN2" s="631"/>
      <c r="CO2" s="631"/>
      <c r="CP2" s="631"/>
      <c r="CQ2" s="631"/>
      <c r="CR2" s="650">
        <f>INT((COLUMN()-COLUMN($AJ2))/6)</f>
        <v>10</v>
      </c>
      <c r="CS2" s="631"/>
      <c r="CT2" s="631"/>
      <c r="CU2" s="631"/>
      <c r="CV2" s="631"/>
      <c r="CW2" s="651"/>
      <c r="CX2" s="652">
        <f>INT((COLUMN()-COLUMN($AJ2))/6)</f>
        <v>11</v>
      </c>
      <c r="CY2" s="631"/>
      <c r="CZ2" s="631"/>
      <c r="DA2" s="631"/>
      <c r="DB2" s="631"/>
      <c r="DC2" s="631"/>
      <c r="DD2" s="650">
        <f>INT((COLUMN()-COLUMN($AJ2))/6)</f>
        <v>12</v>
      </c>
      <c r="DE2" s="631"/>
      <c r="DF2" s="631"/>
      <c r="DG2" s="631"/>
      <c r="DH2" s="631"/>
      <c r="DI2" s="651"/>
      <c r="DJ2" s="652">
        <f>INT((COLUMN()-COLUMN($AJ2))/6)</f>
        <v>13</v>
      </c>
      <c r="DK2" s="631"/>
      <c r="DL2" s="631"/>
      <c r="DM2" s="631"/>
      <c r="DN2" s="631"/>
      <c r="DO2" s="631"/>
      <c r="DP2" s="650">
        <f>INT((COLUMN()-COLUMN($AJ2))/6)</f>
        <v>14</v>
      </c>
      <c r="DQ2" s="631"/>
      <c r="DR2" s="631"/>
      <c r="DS2" s="631"/>
      <c r="DT2" s="631"/>
      <c r="DU2" s="651"/>
      <c r="DV2" s="652">
        <f>INT((COLUMN()-COLUMN($AJ2))/6)</f>
        <v>15</v>
      </c>
      <c r="DW2" s="631"/>
      <c r="DX2" s="631"/>
      <c r="DY2" s="631"/>
      <c r="DZ2" s="631"/>
      <c r="EA2" s="631"/>
      <c r="EB2" s="650">
        <f>INT((COLUMN()-COLUMN($AJ2))/6)</f>
        <v>16</v>
      </c>
      <c r="EC2" s="631"/>
      <c r="ED2" s="631"/>
      <c r="EE2" s="631"/>
      <c r="EF2" s="631"/>
      <c r="EG2" s="651"/>
      <c r="EH2" s="652">
        <f>INT((COLUMN()-COLUMN($AJ2))/6)</f>
        <v>17</v>
      </c>
      <c r="EI2" s="631"/>
      <c r="EJ2" s="631"/>
      <c r="EK2" s="631"/>
      <c r="EL2" s="631"/>
      <c r="EM2" s="631"/>
      <c r="EN2" s="650">
        <f>INT((COLUMN()-COLUMN($AJ2))/6)</f>
        <v>18</v>
      </c>
      <c r="EO2" s="631"/>
      <c r="EP2" s="631"/>
      <c r="EQ2" s="631"/>
      <c r="ER2" s="631"/>
      <c r="ES2" s="651"/>
      <c r="ET2" s="652">
        <f>INT((COLUMN()-COLUMN($AJ2))/6)</f>
        <v>19</v>
      </c>
      <c r="EU2" s="631"/>
      <c r="EV2" s="631"/>
      <c r="EW2" s="631"/>
      <c r="EX2" s="631"/>
      <c r="EY2" s="631"/>
      <c r="EZ2" s="650">
        <f>INT((COLUMN()-COLUMN($AJ2))/6)</f>
        <v>20</v>
      </c>
      <c r="FA2" s="631"/>
      <c r="FB2" s="631"/>
      <c r="FC2" s="631"/>
      <c r="FD2" s="631"/>
      <c r="FE2" s="651"/>
      <c r="FF2" s="652">
        <f>INT((COLUMN()-COLUMN($AJ2))/6)</f>
        <v>21</v>
      </c>
      <c r="FG2" s="631"/>
      <c r="FH2" s="631"/>
      <c r="FI2" s="631"/>
      <c r="FJ2" s="631"/>
      <c r="FK2" s="631"/>
      <c r="FL2" s="650">
        <f>INT((COLUMN()-COLUMN($AJ2))/6)</f>
        <v>22</v>
      </c>
      <c r="FM2" s="631"/>
      <c r="FN2" s="631"/>
      <c r="FO2" s="631"/>
      <c r="FP2" s="631"/>
      <c r="FQ2" s="651"/>
      <c r="FR2" s="652">
        <f>INT((COLUMN()-COLUMN($AJ2))/6)</f>
        <v>23</v>
      </c>
      <c r="FS2" s="631"/>
      <c r="FT2" s="631"/>
      <c r="FU2" s="631"/>
      <c r="FV2" s="631"/>
      <c r="FW2" s="631"/>
      <c r="FX2" s="650">
        <f>INT((COLUMN()-COLUMN($AJ2))/6)</f>
        <v>24</v>
      </c>
      <c r="FY2" s="631"/>
      <c r="FZ2" s="631"/>
      <c r="GA2" s="631"/>
      <c r="GB2" s="631"/>
      <c r="GC2" s="651"/>
      <c r="GD2" s="652">
        <f>INT((COLUMN()-COLUMN($AJ2))/6)</f>
        <v>25</v>
      </c>
      <c r="GE2" s="631"/>
      <c r="GF2" s="631"/>
      <c r="GG2" s="631"/>
      <c r="GH2" s="631"/>
      <c r="GI2" s="631"/>
      <c r="GJ2" s="650">
        <f>INT((COLUMN()-COLUMN($AJ2))/6)</f>
        <v>26</v>
      </c>
      <c r="GK2" s="631"/>
      <c r="GL2" s="631"/>
      <c r="GM2" s="631"/>
      <c r="GN2" s="631"/>
      <c r="GO2" s="651"/>
      <c r="GP2" s="652">
        <f>INT((COLUMN()-COLUMN($AJ2))/6)</f>
        <v>27</v>
      </c>
      <c r="GQ2" s="631"/>
      <c r="GR2" s="631"/>
      <c r="GS2" s="631"/>
      <c r="GT2" s="631"/>
      <c r="GU2" s="631"/>
      <c r="GV2" s="650">
        <f>INT((COLUMN()-COLUMN($AJ2))/6)</f>
        <v>28</v>
      </c>
      <c r="GW2" s="631"/>
      <c r="GX2" s="631"/>
      <c r="GY2" s="631"/>
      <c r="GZ2" s="631"/>
      <c r="HA2" s="651"/>
      <c r="HB2" s="652">
        <f>INT((COLUMN()-COLUMN($AJ2))/6)</f>
        <v>29</v>
      </c>
      <c r="HC2" s="631"/>
      <c r="HD2" s="631"/>
      <c r="HE2" s="631"/>
      <c r="HF2" s="631"/>
      <c r="HG2" s="631"/>
      <c r="HH2" s="650">
        <f>INT((COLUMN()-COLUMN($AJ2))/6)</f>
        <v>30</v>
      </c>
      <c r="HI2" s="631"/>
      <c r="HJ2" s="631"/>
      <c r="HK2" s="631"/>
      <c r="HL2" s="631"/>
      <c r="HM2" s="651"/>
      <c r="HN2" s="652">
        <f>INT((COLUMN()-COLUMN($AJ2))/6)</f>
        <v>31</v>
      </c>
      <c r="HO2" s="631"/>
      <c r="HP2" s="631"/>
      <c r="HQ2" s="631"/>
      <c r="HR2" s="631"/>
      <c r="HS2" s="631"/>
      <c r="HT2" s="650">
        <f>INT((COLUMN()-COLUMN($AJ2))/6)</f>
        <v>32</v>
      </c>
      <c r="HU2" s="631"/>
      <c r="HV2" s="631"/>
      <c r="HW2" s="631"/>
      <c r="HX2" s="631"/>
      <c r="HY2" s="651"/>
      <c r="HZ2" s="652">
        <f>INT((COLUMN()-COLUMN($AJ2))/6)</f>
        <v>33</v>
      </c>
      <c r="IA2" s="631"/>
      <c r="IB2" s="631"/>
      <c r="IC2" s="631"/>
      <c r="ID2" s="631"/>
      <c r="IE2" s="631"/>
      <c r="IF2" s="650">
        <f>INT((COLUMN()-COLUMN($AJ2))/6)</f>
        <v>34</v>
      </c>
      <c r="IG2" s="631"/>
      <c r="IH2" s="631"/>
      <c r="II2" s="631"/>
      <c r="IJ2" s="631"/>
      <c r="IK2" s="651"/>
      <c r="IL2" s="652">
        <f>INT((COLUMN()-COLUMN($AJ2))/6)</f>
        <v>35</v>
      </c>
      <c r="IM2" s="631"/>
      <c r="IN2" s="631"/>
      <c r="IO2" s="631"/>
      <c r="IP2" s="631"/>
      <c r="IQ2" s="631"/>
      <c r="IR2" s="650">
        <f>INT((COLUMN()-COLUMN($AJ2))/6)</f>
        <v>36</v>
      </c>
      <c r="IS2" s="631"/>
      <c r="IT2" s="631"/>
      <c r="IU2" s="631"/>
      <c r="IV2" s="631"/>
      <c r="IW2" s="651"/>
      <c r="IX2" s="652">
        <f>INT((COLUMN()-COLUMN($AJ2))/6)</f>
        <v>37</v>
      </c>
      <c r="IY2" s="631"/>
      <c r="IZ2" s="631"/>
      <c r="JA2" s="631"/>
      <c r="JB2" s="631"/>
      <c r="JC2" s="631"/>
      <c r="JD2" s="650">
        <f>INT((COLUMN()-COLUMN($AJ2))/6)</f>
        <v>38</v>
      </c>
      <c r="JE2" s="631"/>
      <c r="JF2" s="631"/>
      <c r="JG2" s="631"/>
      <c r="JH2" s="631"/>
      <c r="JI2" s="651"/>
      <c r="JJ2" s="652">
        <f>INT((COLUMN()-COLUMN($AJ2))/6)</f>
        <v>39</v>
      </c>
      <c r="JK2" s="631"/>
      <c r="JL2" s="631"/>
      <c r="JM2" s="631"/>
      <c r="JN2" s="631"/>
      <c r="JO2" s="631"/>
      <c r="JP2" s="650">
        <f>INT((COLUMN()-COLUMN($AJ2))/6)</f>
        <v>40</v>
      </c>
      <c r="JQ2" s="631"/>
      <c r="JR2" s="631"/>
      <c r="JS2" s="631"/>
      <c r="JT2" s="631"/>
      <c r="JU2" s="651"/>
      <c r="JV2" s="652">
        <f>INT((COLUMN()-COLUMN($AJ2))/6)</f>
        <v>41</v>
      </c>
      <c r="JW2" s="631"/>
      <c r="JX2" s="631"/>
      <c r="JY2" s="631"/>
      <c r="JZ2" s="631"/>
      <c r="KA2" s="631"/>
      <c r="KB2" s="650">
        <f>INT((COLUMN()-COLUMN($AJ2))/6)</f>
        <v>42</v>
      </c>
      <c r="KC2" s="631"/>
      <c r="KD2" s="631"/>
      <c r="KE2" s="631"/>
      <c r="KF2" s="631"/>
      <c r="KG2" s="651"/>
      <c r="KH2" s="652">
        <f>INT((COLUMN()-COLUMN($AJ2))/6)</f>
        <v>43</v>
      </c>
      <c r="KI2" s="631"/>
      <c r="KJ2" s="631"/>
      <c r="KK2" s="631"/>
      <c r="KL2" s="631"/>
      <c r="KM2" s="631"/>
      <c r="KN2" s="650">
        <f>INT((COLUMN()-COLUMN($AJ2))/6)</f>
        <v>44</v>
      </c>
      <c r="KO2" s="631"/>
      <c r="KP2" s="631"/>
      <c r="KQ2" s="631"/>
      <c r="KR2" s="631"/>
      <c r="KS2" s="651"/>
      <c r="KT2" s="652">
        <f>INT((COLUMN()-COLUMN($AJ2))/6)</f>
        <v>45</v>
      </c>
      <c r="KU2" s="631"/>
      <c r="KV2" s="631"/>
      <c r="KW2" s="631"/>
      <c r="KX2" s="631"/>
      <c r="KY2" s="631"/>
      <c r="KZ2" s="650">
        <f>INT((COLUMN()-COLUMN($AJ2))/6)</f>
        <v>46</v>
      </c>
      <c r="LA2" s="631"/>
      <c r="LB2" s="631"/>
      <c r="LC2" s="631"/>
      <c r="LD2" s="631"/>
      <c r="LE2" s="651"/>
      <c r="LF2" s="652">
        <f>INT((COLUMN()-COLUMN($AJ2))/6)</f>
        <v>47</v>
      </c>
      <c r="LG2" s="631"/>
      <c r="LH2" s="631"/>
      <c r="LI2" s="631"/>
      <c r="LJ2" s="631"/>
      <c r="LK2" s="631"/>
      <c r="LL2" s="650">
        <f>INT((COLUMN()-COLUMN($AJ2))/6)</f>
        <v>48</v>
      </c>
      <c r="LM2" s="631"/>
      <c r="LN2" s="631"/>
      <c r="LO2" s="631"/>
      <c r="LP2" s="631"/>
      <c r="LQ2" s="651"/>
      <c r="LR2" s="652">
        <f>INT((COLUMN()-COLUMN($AJ2))/6)</f>
        <v>49</v>
      </c>
      <c r="LS2" s="631"/>
      <c r="LT2" s="631"/>
      <c r="LU2" s="631"/>
      <c r="LV2" s="631"/>
      <c r="LW2" s="631"/>
      <c r="LX2" s="650">
        <f>INT((COLUMN()-COLUMN($AJ2))/6)</f>
        <v>50</v>
      </c>
      <c r="LY2" s="631"/>
      <c r="LZ2" s="631"/>
      <c r="MA2" s="631"/>
      <c r="MB2" s="631"/>
      <c r="MC2" s="651"/>
      <c r="MD2" s="652">
        <f>INT((COLUMN()-COLUMN($AJ2))/6)</f>
        <v>51</v>
      </c>
      <c r="ME2" s="631"/>
      <c r="MF2" s="631"/>
      <c r="MG2" s="631"/>
      <c r="MH2" s="631"/>
      <c r="MI2" s="631"/>
      <c r="MJ2" s="650">
        <f>INT((COLUMN()-COLUMN($AJ2))/6)</f>
        <v>52</v>
      </c>
      <c r="MK2" s="631"/>
      <c r="ML2" s="631"/>
      <c r="MM2" s="631"/>
      <c r="MN2" s="631"/>
      <c r="MO2" s="651"/>
      <c r="MP2" s="652">
        <f>INT((COLUMN()-COLUMN($AJ2))/6)</f>
        <v>53</v>
      </c>
      <c r="MQ2" s="631"/>
      <c r="MR2" s="631"/>
      <c r="MS2" s="631"/>
      <c r="MT2" s="631"/>
      <c r="MU2" s="631"/>
      <c r="MV2" s="650">
        <f>INT((COLUMN()-COLUMN($AJ2))/6)</f>
        <v>54</v>
      </c>
      <c r="MW2" s="631"/>
      <c r="MX2" s="631"/>
      <c r="MY2" s="631"/>
      <c r="MZ2" s="631"/>
      <c r="NA2" s="651"/>
      <c r="NB2" s="652">
        <f>INT((COLUMN()-COLUMN($AJ2))/6)</f>
        <v>55</v>
      </c>
      <c r="NC2" s="631"/>
      <c r="ND2" s="631"/>
      <c r="NE2" s="631"/>
      <c r="NF2" s="631"/>
      <c r="NG2" s="631"/>
      <c r="NH2" s="650">
        <f>INT((COLUMN()-COLUMN($AJ2))/6)</f>
        <v>56</v>
      </c>
      <c r="NI2" s="631"/>
      <c r="NJ2" s="631"/>
      <c r="NK2" s="631"/>
      <c r="NL2" s="631"/>
      <c r="NM2" s="651"/>
      <c r="NN2" s="652">
        <f>INT((COLUMN()-COLUMN($AJ2))/6)</f>
        <v>57</v>
      </c>
      <c r="NO2" s="631"/>
      <c r="NP2" s="631"/>
      <c r="NQ2" s="631"/>
      <c r="NR2" s="631"/>
      <c r="NS2" s="631"/>
      <c r="NT2" s="650">
        <f>INT((COLUMN()-COLUMN($AJ2))/6)</f>
        <v>58</v>
      </c>
      <c r="NU2" s="631"/>
      <c r="NV2" s="631"/>
      <c r="NW2" s="631"/>
      <c r="NX2" s="631"/>
      <c r="NY2" s="651"/>
      <c r="NZ2" s="652">
        <f>INT((COLUMN()-COLUMN($AJ2))/6)</f>
        <v>59</v>
      </c>
      <c r="OA2" s="631"/>
      <c r="OB2" s="631"/>
      <c r="OC2" s="631"/>
      <c r="OD2" s="631"/>
      <c r="OE2" s="631"/>
      <c r="OF2" s="650">
        <f>INT((COLUMN()-COLUMN($AJ2))/6)</f>
        <v>60</v>
      </c>
      <c r="OG2" s="631"/>
      <c r="OH2" s="631"/>
      <c r="OI2" s="631"/>
      <c r="OJ2" s="631"/>
      <c r="OK2" s="651"/>
      <c r="OL2" s="652">
        <f>INT((COLUMN()-COLUMN($AJ2))/6)</f>
        <v>61</v>
      </c>
      <c r="OM2" s="631"/>
      <c r="ON2" s="631"/>
      <c r="OO2" s="631"/>
      <c r="OP2" s="631"/>
      <c r="OQ2" s="631"/>
      <c r="OR2" s="650">
        <f>INT((COLUMN()-COLUMN($AJ2))/6)</f>
        <v>62</v>
      </c>
      <c r="OS2" s="631"/>
      <c r="OT2" s="631"/>
      <c r="OU2" s="631"/>
      <c r="OV2" s="631"/>
      <c r="OW2" s="651"/>
      <c r="OX2" s="652">
        <f>INT((COLUMN()-COLUMN($AJ2))/6)</f>
        <v>63</v>
      </c>
      <c r="OY2" s="631"/>
      <c r="OZ2" s="631"/>
      <c r="PA2" s="631"/>
      <c r="PB2" s="631"/>
      <c r="PC2" s="631"/>
      <c r="PD2" s="650">
        <f>INT((COLUMN()-COLUMN($AJ2))/6)</f>
        <v>64</v>
      </c>
      <c r="PE2" s="631"/>
      <c r="PF2" s="631"/>
      <c r="PG2" s="631"/>
      <c r="PH2" s="631"/>
      <c r="PI2" s="651"/>
      <c r="PJ2" s="652">
        <f>INT((COLUMN()-COLUMN($AJ2))/6)</f>
        <v>65</v>
      </c>
      <c r="PK2" s="631"/>
      <c r="PL2" s="631"/>
      <c r="PM2" s="631"/>
      <c r="PN2" s="631"/>
      <c r="PO2" s="631"/>
      <c r="PP2" s="650">
        <f>INT((COLUMN()-COLUMN($AJ2))/6)</f>
        <v>66</v>
      </c>
      <c r="PQ2" s="631"/>
      <c r="PR2" s="631"/>
      <c r="PS2" s="631"/>
      <c r="PT2" s="631"/>
      <c r="PU2" s="651"/>
      <c r="PV2" s="652">
        <f>INT((COLUMN()-COLUMN($AJ2))/6)</f>
        <v>67</v>
      </c>
      <c r="PW2" s="631"/>
      <c r="PX2" s="631"/>
      <c r="PY2" s="631"/>
      <c r="PZ2" s="631"/>
      <c r="QA2" s="631"/>
      <c r="QB2" s="650">
        <f>INT((COLUMN()-COLUMN($AJ2))/6)</f>
        <v>68</v>
      </c>
      <c r="QC2" s="631"/>
      <c r="QD2" s="631"/>
      <c r="QE2" s="631"/>
      <c r="QF2" s="631"/>
      <c r="QG2" s="651"/>
      <c r="QH2" s="652">
        <f>INT((COLUMN()-COLUMN($AJ2))/6)</f>
        <v>69</v>
      </c>
      <c r="QI2" s="631"/>
      <c r="QJ2" s="631"/>
      <c r="QK2" s="631"/>
      <c r="QL2" s="631"/>
      <c r="QM2" s="631"/>
      <c r="QN2" s="650">
        <f>INT((COLUMN()-COLUMN($AJ2))/6)</f>
        <v>70</v>
      </c>
      <c r="QO2" s="631"/>
      <c r="QP2" s="631"/>
      <c r="QQ2" s="631"/>
      <c r="QR2" s="631"/>
      <c r="QS2" s="651"/>
      <c r="QT2" s="652">
        <f>INT((COLUMN()-COLUMN($AJ2))/6)</f>
        <v>71</v>
      </c>
      <c r="QU2" s="631"/>
      <c r="QV2" s="631"/>
      <c r="QW2" s="631"/>
      <c r="QX2" s="631"/>
      <c r="QY2" s="631"/>
      <c r="QZ2" s="650">
        <f>INT((COLUMN()-COLUMN($AJ2))/6)</f>
        <v>72</v>
      </c>
      <c r="RA2" s="631"/>
      <c r="RB2" s="631"/>
      <c r="RC2" s="631"/>
      <c r="RD2" s="631"/>
      <c r="RE2" s="651"/>
      <c r="RF2" s="652">
        <f>INT((COLUMN()-COLUMN($AJ2))/6)</f>
        <v>73</v>
      </c>
      <c r="RG2" s="631"/>
      <c r="RH2" s="631"/>
      <c r="RI2" s="631"/>
      <c r="RJ2" s="631"/>
      <c r="RK2" s="631"/>
      <c r="RL2" s="650">
        <f>INT((COLUMN()-COLUMN($AJ2))/6)</f>
        <v>74</v>
      </c>
      <c r="RM2" s="631"/>
      <c r="RN2" s="631"/>
      <c r="RO2" s="631"/>
      <c r="RP2" s="631"/>
      <c r="RQ2" s="651"/>
      <c r="RR2" s="652">
        <f>INT((COLUMN()-COLUMN($AJ2))/6)</f>
        <v>75</v>
      </c>
      <c r="RS2" s="631"/>
      <c r="RT2" s="631"/>
      <c r="RU2" s="631"/>
      <c r="RV2" s="631"/>
      <c r="RW2" s="631"/>
      <c r="RX2" s="650">
        <f>INT((COLUMN()-COLUMN($AJ2))/6)</f>
        <v>76</v>
      </c>
      <c r="RY2" s="631"/>
      <c r="RZ2" s="631"/>
      <c r="SA2" s="631"/>
      <c r="SB2" s="631"/>
      <c r="SC2" s="651"/>
      <c r="SD2" s="652">
        <f>INT((COLUMN()-COLUMN($AJ2))/6)</f>
        <v>77</v>
      </c>
      <c r="SE2" s="631"/>
      <c r="SF2" s="631"/>
      <c r="SG2" s="631"/>
      <c r="SH2" s="631"/>
      <c r="SI2" s="631"/>
      <c r="SJ2" s="650">
        <f>INT((COLUMN()-COLUMN($AJ2))/6)</f>
        <v>78</v>
      </c>
      <c r="SK2" s="631"/>
      <c r="SL2" s="631"/>
      <c r="SM2" s="631"/>
      <c r="SN2" s="631"/>
      <c r="SO2" s="651"/>
      <c r="SP2" s="652">
        <f>INT((COLUMN()-COLUMN($AJ2))/6)</f>
        <v>79</v>
      </c>
      <c r="SQ2" s="631"/>
      <c r="SR2" s="631"/>
      <c r="SS2" s="631"/>
      <c r="ST2" s="631"/>
      <c r="SU2" s="631"/>
      <c r="SV2" s="650">
        <f>INT((COLUMN()-COLUMN($AJ2))/6)</f>
        <v>80</v>
      </c>
      <c r="SW2" s="631"/>
      <c r="SX2" s="631"/>
      <c r="SY2" s="631"/>
      <c r="SZ2" s="631"/>
      <c r="TA2" s="651"/>
      <c r="TB2" s="652">
        <f>INT((COLUMN()-COLUMN($AJ2))/6)</f>
        <v>81</v>
      </c>
      <c r="TC2" s="631"/>
      <c r="TD2" s="631"/>
      <c r="TE2" s="631"/>
      <c r="TF2" s="631"/>
      <c r="TG2" s="631"/>
      <c r="TH2" s="650">
        <f>INT((COLUMN()-COLUMN($AJ2))/6)</f>
        <v>82</v>
      </c>
      <c r="TI2" s="631"/>
      <c r="TJ2" s="631"/>
      <c r="TK2" s="631"/>
      <c r="TL2" s="631"/>
      <c r="TM2" s="651"/>
      <c r="TN2" s="652">
        <f>INT((COLUMN()-COLUMN($AJ2))/6)</f>
        <v>83</v>
      </c>
      <c r="TO2" s="631"/>
      <c r="TP2" s="631"/>
      <c r="TQ2" s="631"/>
      <c r="TR2" s="631"/>
      <c r="TS2" s="631"/>
      <c r="TT2" s="650">
        <f>INT((COLUMN()-COLUMN($AJ2))/6)</f>
        <v>84</v>
      </c>
      <c r="TU2" s="631"/>
      <c r="TV2" s="631"/>
      <c r="TW2" s="631"/>
      <c r="TX2" s="631"/>
      <c r="TY2" s="651"/>
      <c r="TZ2" s="652">
        <f>INT((COLUMN()-COLUMN($AJ2))/6)</f>
        <v>85</v>
      </c>
      <c r="UA2" s="631"/>
      <c r="UB2" s="631"/>
      <c r="UC2" s="631"/>
      <c r="UD2" s="631"/>
      <c r="UE2" s="631"/>
      <c r="UF2" s="650">
        <f>INT((COLUMN()-COLUMN($AJ2))/6)</f>
        <v>86</v>
      </c>
      <c r="UG2" s="631"/>
      <c r="UH2" s="631"/>
      <c r="UI2" s="631"/>
      <c r="UJ2" s="631"/>
      <c r="UK2" s="651"/>
      <c r="UL2" s="652">
        <f>INT((COLUMN()-COLUMN($AJ2))/6)</f>
        <v>87</v>
      </c>
      <c r="UM2" s="631"/>
      <c r="UN2" s="631"/>
      <c r="UO2" s="631"/>
      <c r="UP2" s="631"/>
      <c r="UQ2" s="631"/>
      <c r="UR2" s="650">
        <f>INT((COLUMN()-COLUMN($AJ2))/6)</f>
        <v>88</v>
      </c>
      <c r="US2" s="631"/>
      <c r="UT2" s="631"/>
      <c r="UU2" s="631"/>
      <c r="UV2" s="631"/>
      <c r="UW2" s="651"/>
      <c r="UX2" s="652">
        <f>INT((COLUMN()-COLUMN($AJ2))/6)</f>
        <v>89</v>
      </c>
      <c r="UY2" s="631"/>
      <c r="UZ2" s="631"/>
      <c r="VA2" s="631"/>
      <c r="VB2" s="631"/>
      <c r="VC2" s="631"/>
      <c r="VD2" s="650">
        <f>INT((COLUMN()-COLUMN($AJ2))/6)</f>
        <v>90</v>
      </c>
      <c r="VE2" s="631"/>
      <c r="VF2" s="631"/>
      <c r="VG2" s="631"/>
      <c r="VH2" s="631"/>
      <c r="VI2" s="651"/>
      <c r="VJ2" s="652">
        <f>INT((COLUMN()-COLUMN($AJ2))/6)</f>
        <v>91</v>
      </c>
      <c r="VK2" s="631"/>
      <c r="VL2" s="631"/>
      <c r="VM2" s="631"/>
      <c r="VN2" s="631"/>
      <c r="VO2" s="631"/>
      <c r="VP2" s="650">
        <f>INT((COLUMN()-COLUMN($AJ2))/6)</f>
        <v>92</v>
      </c>
      <c r="VQ2" s="631"/>
      <c r="VR2" s="631"/>
      <c r="VS2" s="631"/>
      <c r="VT2" s="631"/>
      <c r="VU2" s="651"/>
      <c r="VV2" s="652">
        <f>INT((COLUMN()-COLUMN($AJ2))/6)</f>
        <v>93</v>
      </c>
      <c r="VW2" s="631"/>
      <c r="VX2" s="631"/>
      <c r="VY2" s="631"/>
      <c r="VZ2" s="631"/>
      <c r="WA2" s="631"/>
      <c r="WB2" s="650">
        <f>INT((COLUMN()-COLUMN($AJ2))/6)</f>
        <v>94</v>
      </c>
      <c r="WC2" s="631"/>
      <c r="WD2" s="631"/>
      <c r="WE2" s="631"/>
      <c r="WF2" s="631"/>
      <c r="WG2" s="651"/>
      <c r="WH2" s="652">
        <f>INT((COLUMN()-COLUMN($AJ2))/6)</f>
        <v>95</v>
      </c>
      <c r="WI2" s="631"/>
      <c r="WJ2" s="631"/>
      <c r="WK2" s="631"/>
      <c r="WL2" s="631"/>
      <c r="WM2" s="631"/>
      <c r="WN2" s="650">
        <f>INT((COLUMN()-COLUMN($AJ2))/6)</f>
        <v>96</v>
      </c>
      <c r="WO2" s="631"/>
      <c r="WP2" s="631"/>
      <c r="WQ2" s="631"/>
      <c r="WR2" s="631"/>
      <c r="WS2" s="651"/>
      <c r="WT2" s="652">
        <f>INT((COLUMN()-COLUMN($AJ2))/6)</f>
        <v>97</v>
      </c>
      <c r="WU2" s="631"/>
      <c r="WV2" s="631"/>
      <c r="WW2" s="631"/>
      <c r="WX2" s="631"/>
      <c r="WY2" s="631"/>
      <c r="WZ2" s="650">
        <f>INT((COLUMN()-COLUMN($AJ2))/6)</f>
        <v>98</v>
      </c>
      <c r="XA2" s="631"/>
      <c r="XB2" s="631"/>
      <c r="XC2" s="631"/>
      <c r="XD2" s="631"/>
      <c r="XE2" s="651"/>
      <c r="XF2" s="652">
        <f>INT((COLUMN()-COLUMN($AJ2))/6)</f>
        <v>99</v>
      </c>
      <c r="XG2" s="631"/>
      <c r="XH2" s="631"/>
      <c r="XI2" s="631"/>
      <c r="XJ2" s="631"/>
      <c r="XK2" s="651"/>
    </row>
    <row r="3" spans="1:635" ht="45" hidden="1" x14ac:dyDescent="0.25">
      <c r="A3">
        <f>PMBASIC+PMADVANCED+VMONLINE+VMMACRO</f>
        <v>54</v>
      </c>
      <c r="B3" s="28" t="s">
        <v>0</v>
      </c>
      <c r="C3" s="200" t="s">
        <v>740</v>
      </c>
      <c r="D3" s="44" t="str">
        <f>"Age " &amp; INDEX(SP_Initials,1)</f>
        <v xml:space="preserve">Age </v>
      </c>
      <c r="E3" s="44" t="str">
        <f>"Age " &amp; INDEX(SP_Initials,2)</f>
        <v xml:space="preserve">Age </v>
      </c>
      <c r="F3" s="44" t="str">
        <f>"Age LE " &amp; INDEX(SP_Initials,1)</f>
        <v xml:space="preserve">Age LE </v>
      </c>
      <c r="G3" s="44" t="str">
        <f>"Age LE " &amp; INDEX(SP_Initials,2)</f>
        <v xml:space="preserve">Age LE </v>
      </c>
      <c r="H3" s="22" t="s">
        <v>63</v>
      </c>
      <c r="I3" s="22" t="s">
        <v>826</v>
      </c>
      <c r="J3" s="22" t="s">
        <v>827</v>
      </c>
      <c r="K3" s="22" t="s">
        <v>825</v>
      </c>
      <c r="L3" s="287" t="s">
        <v>900</v>
      </c>
      <c r="M3" s="287" t="s">
        <v>907</v>
      </c>
      <c r="N3" s="286" t="s">
        <v>884</v>
      </c>
      <c r="O3" s="286" t="s">
        <v>885</v>
      </c>
      <c r="P3" s="321" t="s">
        <v>896</v>
      </c>
      <c r="Q3" s="321" t="s">
        <v>897</v>
      </c>
      <c r="R3" s="321" t="s">
        <v>908</v>
      </c>
      <c r="S3" s="21" t="s">
        <v>887</v>
      </c>
      <c r="T3" s="287" t="s">
        <v>886</v>
      </c>
      <c r="U3" s="21" t="s">
        <v>852</v>
      </c>
      <c r="V3" s="287" t="s">
        <v>822</v>
      </c>
      <c r="W3" s="286" t="s">
        <v>742</v>
      </c>
      <c r="X3" s="286" t="s">
        <v>883</v>
      </c>
      <c r="Y3" s="286" t="s">
        <v>1001</v>
      </c>
      <c r="Z3" s="286" t="s">
        <v>888</v>
      </c>
      <c r="AA3" s="286" t="s">
        <v>882</v>
      </c>
      <c r="AB3" s="286" t="s">
        <v>8</v>
      </c>
      <c r="AC3" s="27" t="s">
        <v>910</v>
      </c>
      <c r="AD3" s="24" t="s">
        <v>889</v>
      </c>
      <c r="AE3" s="22" t="s">
        <v>890</v>
      </c>
      <c r="AF3" s="22" t="s">
        <v>891</v>
      </c>
      <c r="AG3" s="22" t="s">
        <v>892</v>
      </c>
      <c r="AH3" s="286" t="s">
        <v>698</v>
      </c>
      <c r="AI3" s="27" t="s">
        <v>699</v>
      </c>
      <c r="AJ3" s="286" t="s">
        <v>905</v>
      </c>
      <c r="AK3" s="16" t="s">
        <v>879</v>
      </c>
      <c r="AL3" s="230" t="s">
        <v>880</v>
      </c>
      <c r="AM3" s="230" t="s">
        <v>898</v>
      </c>
      <c r="AN3" s="230" t="s">
        <v>899</v>
      </c>
      <c r="AO3" s="240" t="s">
        <v>906</v>
      </c>
      <c r="AP3" s="28" t="s">
        <v>905</v>
      </c>
      <c r="AQ3" s="16" t="s">
        <v>879</v>
      </c>
      <c r="AR3" s="230" t="s">
        <v>880</v>
      </c>
      <c r="AS3" s="230" t="s">
        <v>898</v>
      </c>
      <c r="AT3" s="230" t="s">
        <v>899</v>
      </c>
      <c r="AU3" s="230" t="s">
        <v>906</v>
      </c>
      <c r="AV3" s="24" t="s">
        <v>905</v>
      </c>
      <c r="AW3" s="16" t="s">
        <v>879</v>
      </c>
      <c r="AX3" s="230" t="s">
        <v>880</v>
      </c>
      <c r="AY3" s="230" t="s">
        <v>898</v>
      </c>
      <c r="AZ3" s="230" t="s">
        <v>899</v>
      </c>
      <c r="BA3" s="240" t="s">
        <v>906</v>
      </c>
      <c r="BB3" s="28" t="s">
        <v>905</v>
      </c>
      <c r="BC3" s="16" t="s">
        <v>879</v>
      </c>
      <c r="BD3" s="230" t="s">
        <v>880</v>
      </c>
      <c r="BE3" s="230" t="s">
        <v>898</v>
      </c>
      <c r="BF3" s="230" t="s">
        <v>899</v>
      </c>
      <c r="BG3" s="230" t="s">
        <v>906</v>
      </c>
      <c r="BH3" s="24" t="s">
        <v>905</v>
      </c>
      <c r="BI3" s="16" t="s">
        <v>879</v>
      </c>
      <c r="BJ3" s="230" t="s">
        <v>880</v>
      </c>
      <c r="BK3" s="230" t="s">
        <v>898</v>
      </c>
      <c r="BL3" s="230" t="s">
        <v>899</v>
      </c>
      <c r="BM3" s="240" t="s">
        <v>906</v>
      </c>
      <c r="BN3" s="28" t="s">
        <v>905</v>
      </c>
      <c r="BO3" s="16" t="s">
        <v>879</v>
      </c>
      <c r="BP3" s="230" t="s">
        <v>880</v>
      </c>
      <c r="BQ3" s="230" t="s">
        <v>898</v>
      </c>
      <c r="BR3" s="230" t="s">
        <v>899</v>
      </c>
      <c r="BS3" s="230" t="s">
        <v>906</v>
      </c>
      <c r="BT3" s="24" t="s">
        <v>905</v>
      </c>
      <c r="BU3" s="16" t="s">
        <v>879</v>
      </c>
      <c r="BV3" s="230" t="s">
        <v>880</v>
      </c>
      <c r="BW3" s="230" t="s">
        <v>898</v>
      </c>
      <c r="BX3" s="230" t="s">
        <v>899</v>
      </c>
      <c r="BY3" s="240" t="s">
        <v>906</v>
      </c>
      <c r="BZ3" s="28" t="s">
        <v>905</v>
      </c>
      <c r="CA3" s="16" t="s">
        <v>879</v>
      </c>
      <c r="CB3" s="230" t="s">
        <v>880</v>
      </c>
      <c r="CC3" s="230" t="s">
        <v>898</v>
      </c>
      <c r="CD3" s="230" t="s">
        <v>899</v>
      </c>
      <c r="CE3" s="230" t="s">
        <v>906</v>
      </c>
      <c r="CF3" s="24" t="s">
        <v>905</v>
      </c>
      <c r="CG3" s="16" t="s">
        <v>879</v>
      </c>
      <c r="CH3" s="230" t="s">
        <v>880</v>
      </c>
      <c r="CI3" s="230" t="s">
        <v>898</v>
      </c>
      <c r="CJ3" s="230" t="s">
        <v>899</v>
      </c>
      <c r="CK3" s="240" t="s">
        <v>906</v>
      </c>
      <c r="CL3" s="28" t="s">
        <v>905</v>
      </c>
      <c r="CM3" s="16" t="s">
        <v>879</v>
      </c>
      <c r="CN3" s="230" t="s">
        <v>880</v>
      </c>
      <c r="CO3" s="230" t="s">
        <v>898</v>
      </c>
      <c r="CP3" s="230" t="s">
        <v>899</v>
      </c>
      <c r="CQ3" s="230" t="s">
        <v>906</v>
      </c>
      <c r="CR3" s="24" t="s">
        <v>905</v>
      </c>
      <c r="CS3" s="16" t="s">
        <v>879</v>
      </c>
      <c r="CT3" s="230" t="s">
        <v>880</v>
      </c>
      <c r="CU3" s="230" t="s">
        <v>898</v>
      </c>
      <c r="CV3" s="230" t="s">
        <v>899</v>
      </c>
      <c r="CW3" s="240" t="s">
        <v>906</v>
      </c>
      <c r="CX3" s="28" t="s">
        <v>905</v>
      </c>
      <c r="CY3" s="16" t="s">
        <v>879</v>
      </c>
      <c r="CZ3" s="230" t="s">
        <v>880</v>
      </c>
      <c r="DA3" s="230" t="s">
        <v>898</v>
      </c>
      <c r="DB3" s="230" t="s">
        <v>899</v>
      </c>
      <c r="DC3" s="230" t="s">
        <v>906</v>
      </c>
      <c r="DD3" s="24" t="s">
        <v>905</v>
      </c>
      <c r="DE3" s="16" t="s">
        <v>879</v>
      </c>
      <c r="DF3" s="230" t="s">
        <v>880</v>
      </c>
      <c r="DG3" s="230" t="s">
        <v>898</v>
      </c>
      <c r="DH3" s="230" t="s">
        <v>899</v>
      </c>
      <c r="DI3" s="240" t="s">
        <v>906</v>
      </c>
      <c r="DJ3" s="28" t="s">
        <v>905</v>
      </c>
      <c r="DK3" s="16" t="s">
        <v>879</v>
      </c>
      <c r="DL3" s="230" t="s">
        <v>880</v>
      </c>
      <c r="DM3" s="230" t="s">
        <v>898</v>
      </c>
      <c r="DN3" s="230" t="s">
        <v>899</v>
      </c>
      <c r="DO3" s="230" t="s">
        <v>906</v>
      </c>
      <c r="DP3" s="24" t="s">
        <v>905</v>
      </c>
      <c r="DQ3" s="16" t="s">
        <v>879</v>
      </c>
      <c r="DR3" s="230" t="s">
        <v>880</v>
      </c>
      <c r="DS3" s="230" t="s">
        <v>898</v>
      </c>
      <c r="DT3" s="230" t="s">
        <v>899</v>
      </c>
      <c r="DU3" s="240" t="s">
        <v>906</v>
      </c>
      <c r="DV3" s="28" t="s">
        <v>905</v>
      </c>
      <c r="DW3" s="16" t="s">
        <v>879</v>
      </c>
      <c r="DX3" s="230" t="s">
        <v>880</v>
      </c>
      <c r="DY3" s="230" t="s">
        <v>898</v>
      </c>
      <c r="DZ3" s="230" t="s">
        <v>899</v>
      </c>
      <c r="EA3" s="230" t="s">
        <v>906</v>
      </c>
      <c r="EB3" s="24" t="s">
        <v>905</v>
      </c>
      <c r="EC3" s="16" t="s">
        <v>879</v>
      </c>
      <c r="ED3" s="230" t="s">
        <v>880</v>
      </c>
      <c r="EE3" s="230" t="s">
        <v>898</v>
      </c>
      <c r="EF3" s="230" t="s">
        <v>899</v>
      </c>
      <c r="EG3" s="240" t="s">
        <v>906</v>
      </c>
      <c r="EH3" s="28" t="s">
        <v>905</v>
      </c>
      <c r="EI3" s="16" t="s">
        <v>879</v>
      </c>
      <c r="EJ3" s="230" t="s">
        <v>880</v>
      </c>
      <c r="EK3" s="230" t="s">
        <v>898</v>
      </c>
      <c r="EL3" s="230" t="s">
        <v>899</v>
      </c>
      <c r="EM3" s="230" t="s">
        <v>906</v>
      </c>
      <c r="EN3" s="24" t="s">
        <v>905</v>
      </c>
      <c r="EO3" s="16" t="s">
        <v>879</v>
      </c>
      <c r="EP3" s="230" t="s">
        <v>880</v>
      </c>
      <c r="EQ3" s="230" t="s">
        <v>898</v>
      </c>
      <c r="ER3" s="230" t="s">
        <v>899</v>
      </c>
      <c r="ES3" s="240" t="s">
        <v>906</v>
      </c>
      <c r="ET3" s="28" t="s">
        <v>905</v>
      </c>
      <c r="EU3" s="16" t="s">
        <v>879</v>
      </c>
      <c r="EV3" s="230" t="s">
        <v>880</v>
      </c>
      <c r="EW3" s="230" t="s">
        <v>898</v>
      </c>
      <c r="EX3" s="230" t="s">
        <v>899</v>
      </c>
      <c r="EY3" s="230" t="s">
        <v>906</v>
      </c>
      <c r="EZ3" s="24" t="s">
        <v>905</v>
      </c>
      <c r="FA3" s="16" t="s">
        <v>879</v>
      </c>
      <c r="FB3" s="230" t="s">
        <v>880</v>
      </c>
      <c r="FC3" s="230" t="s">
        <v>898</v>
      </c>
      <c r="FD3" s="230" t="s">
        <v>899</v>
      </c>
      <c r="FE3" s="240" t="s">
        <v>906</v>
      </c>
      <c r="FF3" s="28" t="s">
        <v>905</v>
      </c>
      <c r="FG3" s="16" t="s">
        <v>879</v>
      </c>
      <c r="FH3" s="230" t="s">
        <v>880</v>
      </c>
      <c r="FI3" s="230" t="s">
        <v>898</v>
      </c>
      <c r="FJ3" s="230" t="s">
        <v>899</v>
      </c>
      <c r="FK3" s="230" t="s">
        <v>906</v>
      </c>
      <c r="FL3" s="24" t="s">
        <v>905</v>
      </c>
      <c r="FM3" s="16" t="s">
        <v>879</v>
      </c>
      <c r="FN3" s="230" t="s">
        <v>880</v>
      </c>
      <c r="FO3" s="230" t="s">
        <v>898</v>
      </c>
      <c r="FP3" s="230" t="s">
        <v>899</v>
      </c>
      <c r="FQ3" s="240" t="s">
        <v>906</v>
      </c>
      <c r="FR3" s="28" t="s">
        <v>905</v>
      </c>
      <c r="FS3" s="16" t="s">
        <v>879</v>
      </c>
      <c r="FT3" s="230" t="s">
        <v>880</v>
      </c>
      <c r="FU3" s="230" t="s">
        <v>898</v>
      </c>
      <c r="FV3" s="230" t="s">
        <v>899</v>
      </c>
      <c r="FW3" s="230" t="s">
        <v>906</v>
      </c>
      <c r="FX3" s="24" t="s">
        <v>905</v>
      </c>
      <c r="FY3" s="16" t="s">
        <v>879</v>
      </c>
      <c r="FZ3" s="230" t="s">
        <v>880</v>
      </c>
      <c r="GA3" s="230" t="s">
        <v>898</v>
      </c>
      <c r="GB3" s="230" t="s">
        <v>899</v>
      </c>
      <c r="GC3" s="240" t="s">
        <v>906</v>
      </c>
      <c r="GD3" s="28" t="s">
        <v>905</v>
      </c>
      <c r="GE3" s="16" t="s">
        <v>879</v>
      </c>
      <c r="GF3" s="230" t="s">
        <v>880</v>
      </c>
      <c r="GG3" s="230" t="s">
        <v>898</v>
      </c>
      <c r="GH3" s="230" t="s">
        <v>899</v>
      </c>
      <c r="GI3" s="230" t="s">
        <v>906</v>
      </c>
      <c r="GJ3" s="24" t="s">
        <v>905</v>
      </c>
      <c r="GK3" s="16" t="s">
        <v>879</v>
      </c>
      <c r="GL3" s="230" t="s">
        <v>880</v>
      </c>
      <c r="GM3" s="230" t="s">
        <v>898</v>
      </c>
      <c r="GN3" s="230" t="s">
        <v>899</v>
      </c>
      <c r="GO3" s="240" t="s">
        <v>906</v>
      </c>
      <c r="GP3" s="28" t="s">
        <v>905</v>
      </c>
      <c r="GQ3" s="16" t="s">
        <v>879</v>
      </c>
      <c r="GR3" s="230" t="s">
        <v>880</v>
      </c>
      <c r="GS3" s="230" t="s">
        <v>898</v>
      </c>
      <c r="GT3" s="230" t="s">
        <v>899</v>
      </c>
      <c r="GU3" s="230" t="s">
        <v>906</v>
      </c>
      <c r="GV3" s="24" t="s">
        <v>905</v>
      </c>
      <c r="GW3" s="16" t="s">
        <v>879</v>
      </c>
      <c r="GX3" s="230" t="s">
        <v>880</v>
      </c>
      <c r="GY3" s="230" t="s">
        <v>898</v>
      </c>
      <c r="GZ3" s="230" t="s">
        <v>899</v>
      </c>
      <c r="HA3" s="240" t="s">
        <v>906</v>
      </c>
      <c r="HB3" s="28" t="s">
        <v>905</v>
      </c>
      <c r="HC3" s="16" t="s">
        <v>879</v>
      </c>
      <c r="HD3" s="230" t="s">
        <v>880</v>
      </c>
      <c r="HE3" s="230" t="s">
        <v>898</v>
      </c>
      <c r="HF3" s="230" t="s">
        <v>899</v>
      </c>
      <c r="HG3" s="230" t="s">
        <v>906</v>
      </c>
      <c r="HH3" s="24" t="s">
        <v>905</v>
      </c>
      <c r="HI3" s="16" t="s">
        <v>879</v>
      </c>
      <c r="HJ3" s="230" t="s">
        <v>880</v>
      </c>
      <c r="HK3" s="230" t="s">
        <v>898</v>
      </c>
      <c r="HL3" s="230" t="s">
        <v>899</v>
      </c>
      <c r="HM3" s="240" t="s">
        <v>906</v>
      </c>
      <c r="HN3" s="28" t="s">
        <v>905</v>
      </c>
      <c r="HO3" s="16" t="s">
        <v>879</v>
      </c>
      <c r="HP3" s="230" t="s">
        <v>880</v>
      </c>
      <c r="HQ3" s="230" t="s">
        <v>898</v>
      </c>
      <c r="HR3" s="230" t="s">
        <v>899</v>
      </c>
      <c r="HS3" s="230" t="s">
        <v>906</v>
      </c>
      <c r="HT3" s="24" t="s">
        <v>905</v>
      </c>
      <c r="HU3" s="16" t="s">
        <v>879</v>
      </c>
      <c r="HV3" s="230" t="s">
        <v>880</v>
      </c>
      <c r="HW3" s="230" t="s">
        <v>898</v>
      </c>
      <c r="HX3" s="230" t="s">
        <v>899</v>
      </c>
      <c r="HY3" s="240" t="s">
        <v>906</v>
      </c>
      <c r="HZ3" s="28" t="s">
        <v>905</v>
      </c>
      <c r="IA3" s="16" t="s">
        <v>879</v>
      </c>
      <c r="IB3" s="230" t="s">
        <v>880</v>
      </c>
      <c r="IC3" s="230" t="s">
        <v>898</v>
      </c>
      <c r="ID3" s="230" t="s">
        <v>899</v>
      </c>
      <c r="IE3" s="230" t="s">
        <v>906</v>
      </c>
      <c r="IF3" s="24" t="s">
        <v>905</v>
      </c>
      <c r="IG3" s="16" t="s">
        <v>879</v>
      </c>
      <c r="IH3" s="230" t="s">
        <v>880</v>
      </c>
      <c r="II3" s="230" t="s">
        <v>898</v>
      </c>
      <c r="IJ3" s="230" t="s">
        <v>899</v>
      </c>
      <c r="IK3" s="240" t="s">
        <v>906</v>
      </c>
      <c r="IL3" s="28" t="s">
        <v>905</v>
      </c>
      <c r="IM3" s="16" t="s">
        <v>879</v>
      </c>
      <c r="IN3" s="230" t="s">
        <v>880</v>
      </c>
      <c r="IO3" s="230" t="s">
        <v>898</v>
      </c>
      <c r="IP3" s="230" t="s">
        <v>899</v>
      </c>
      <c r="IQ3" s="230" t="s">
        <v>906</v>
      </c>
      <c r="IR3" s="24" t="s">
        <v>905</v>
      </c>
      <c r="IS3" s="16" t="s">
        <v>879</v>
      </c>
      <c r="IT3" s="230" t="s">
        <v>880</v>
      </c>
      <c r="IU3" s="230" t="s">
        <v>898</v>
      </c>
      <c r="IV3" s="230" t="s">
        <v>899</v>
      </c>
      <c r="IW3" s="240" t="s">
        <v>906</v>
      </c>
      <c r="IX3" s="28" t="s">
        <v>905</v>
      </c>
      <c r="IY3" s="16" t="s">
        <v>879</v>
      </c>
      <c r="IZ3" s="230" t="s">
        <v>880</v>
      </c>
      <c r="JA3" s="230" t="s">
        <v>898</v>
      </c>
      <c r="JB3" s="230" t="s">
        <v>899</v>
      </c>
      <c r="JC3" s="230" t="s">
        <v>906</v>
      </c>
      <c r="JD3" s="24" t="s">
        <v>905</v>
      </c>
      <c r="JE3" s="16" t="s">
        <v>879</v>
      </c>
      <c r="JF3" s="230" t="s">
        <v>880</v>
      </c>
      <c r="JG3" s="230" t="s">
        <v>898</v>
      </c>
      <c r="JH3" s="230" t="s">
        <v>899</v>
      </c>
      <c r="JI3" s="240" t="s">
        <v>906</v>
      </c>
      <c r="JJ3" s="28" t="s">
        <v>905</v>
      </c>
      <c r="JK3" s="16" t="s">
        <v>879</v>
      </c>
      <c r="JL3" s="230" t="s">
        <v>880</v>
      </c>
      <c r="JM3" s="230" t="s">
        <v>898</v>
      </c>
      <c r="JN3" s="230" t="s">
        <v>899</v>
      </c>
      <c r="JO3" s="230" t="s">
        <v>906</v>
      </c>
      <c r="JP3" s="24" t="s">
        <v>905</v>
      </c>
      <c r="JQ3" s="16" t="s">
        <v>879</v>
      </c>
      <c r="JR3" s="230" t="s">
        <v>880</v>
      </c>
      <c r="JS3" s="230" t="s">
        <v>898</v>
      </c>
      <c r="JT3" s="230" t="s">
        <v>899</v>
      </c>
      <c r="JU3" s="240" t="s">
        <v>906</v>
      </c>
      <c r="JV3" s="28" t="s">
        <v>905</v>
      </c>
      <c r="JW3" s="16" t="s">
        <v>879</v>
      </c>
      <c r="JX3" s="230" t="s">
        <v>880</v>
      </c>
      <c r="JY3" s="230" t="s">
        <v>898</v>
      </c>
      <c r="JZ3" s="230" t="s">
        <v>899</v>
      </c>
      <c r="KA3" s="230" t="s">
        <v>906</v>
      </c>
      <c r="KB3" s="24" t="s">
        <v>905</v>
      </c>
      <c r="KC3" s="16" t="s">
        <v>879</v>
      </c>
      <c r="KD3" s="230" t="s">
        <v>880</v>
      </c>
      <c r="KE3" s="230" t="s">
        <v>898</v>
      </c>
      <c r="KF3" s="230" t="s">
        <v>899</v>
      </c>
      <c r="KG3" s="240" t="s">
        <v>906</v>
      </c>
      <c r="KH3" s="28" t="s">
        <v>905</v>
      </c>
      <c r="KI3" s="16" t="s">
        <v>879</v>
      </c>
      <c r="KJ3" s="230" t="s">
        <v>880</v>
      </c>
      <c r="KK3" s="230" t="s">
        <v>898</v>
      </c>
      <c r="KL3" s="230" t="s">
        <v>899</v>
      </c>
      <c r="KM3" s="230" t="s">
        <v>906</v>
      </c>
      <c r="KN3" s="24" t="s">
        <v>905</v>
      </c>
      <c r="KO3" s="16" t="s">
        <v>879</v>
      </c>
      <c r="KP3" s="230" t="s">
        <v>880</v>
      </c>
      <c r="KQ3" s="230" t="s">
        <v>898</v>
      </c>
      <c r="KR3" s="230" t="s">
        <v>899</v>
      </c>
      <c r="KS3" s="240" t="s">
        <v>906</v>
      </c>
      <c r="KT3" s="28" t="s">
        <v>905</v>
      </c>
      <c r="KU3" s="16" t="s">
        <v>879</v>
      </c>
      <c r="KV3" s="230" t="s">
        <v>880</v>
      </c>
      <c r="KW3" s="230" t="s">
        <v>898</v>
      </c>
      <c r="KX3" s="230" t="s">
        <v>899</v>
      </c>
      <c r="KY3" s="230" t="s">
        <v>906</v>
      </c>
      <c r="KZ3" s="24" t="s">
        <v>905</v>
      </c>
      <c r="LA3" s="16" t="s">
        <v>879</v>
      </c>
      <c r="LB3" s="230" t="s">
        <v>880</v>
      </c>
      <c r="LC3" s="230" t="s">
        <v>898</v>
      </c>
      <c r="LD3" s="230" t="s">
        <v>899</v>
      </c>
      <c r="LE3" s="240" t="s">
        <v>906</v>
      </c>
      <c r="LF3" s="28" t="s">
        <v>905</v>
      </c>
      <c r="LG3" s="16" t="s">
        <v>879</v>
      </c>
      <c r="LH3" s="230" t="s">
        <v>880</v>
      </c>
      <c r="LI3" s="230" t="s">
        <v>898</v>
      </c>
      <c r="LJ3" s="230" t="s">
        <v>899</v>
      </c>
      <c r="LK3" s="230" t="s">
        <v>906</v>
      </c>
      <c r="LL3" s="24" t="s">
        <v>905</v>
      </c>
      <c r="LM3" s="16" t="s">
        <v>879</v>
      </c>
      <c r="LN3" s="230" t="s">
        <v>880</v>
      </c>
      <c r="LO3" s="230" t="s">
        <v>898</v>
      </c>
      <c r="LP3" s="230" t="s">
        <v>899</v>
      </c>
      <c r="LQ3" s="240" t="s">
        <v>906</v>
      </c>
      <c r="LR3" s="28" t="s">
        <v>905</v>
      </c>
      <c r="LS3" s="16" t="s">
        <v>879</v>
      </c>
      <c r="LT3" s="230" t="s">
        <v>880</v>
      </c>
      <c r="LU3" s="230" t="s">
        <v>898</v>
      </c>
      <c r="LV3" s="230" t="s">
        <v>899</v>
      </c>
      <c r="LW3" s="230" t="s">
        <v>906</v>
      </c>
      <c r="LX3" s="24" t="s">
        <v>905</v>
      </c>
      <c r="LY3" s="16" t="s">
        <v>879</v>
      </c>
      <c r="LZ3" s="230" t="s">
        <v>880</v>
      </c>
      <c r="MA3" s="230" t="s">
        <v>898</v>
      </c>
      <c r="MB3" s="230" t="s">
        <v>899</v>
      </c>
      <c r="MC3" s="240" t="s">
        <v>906</v>
      </c>
      <c r="MD3" s="28" t="s">
        <v>905</v>
      </c>
      <c r="ME3" s="16" t="s">
        <v>879</v>
      </c>
      <c r="MF3" s="230" t="s">
        <v>880</v>
      </c>
      <c r="MG3" s="230" t="s">
        <v>898</v>
      </c>
      <c r="MH3" s="230" t="s">
        <v>899</v>
      </c>
      <c r="MI3" s="230" t="s">
        <v>906</v>
      </c>
      <c r="MJ3" s="24" t="s">
        <v>905</v>
      </c>
      <c r="MK3" s="16" t="s">
        <v>879</v>
      </c>
      <c r="ML3" s="230" t="s">
        <v>880</v>
      </c>
      <c r="MM3" s="230" t="s">
        <v>898</v>
      </c>
      <c r="MN3" s="230" t="s">
        <v>899</v>
      </c>
      <c r="MO3" s="240" t="s">
        <v>906</v>
      </c>
      <c r="MP3" s="28" t="s">
        <v>905</v>
      </c>
      <c r="MQ3" s="16" t="s">
        <v>879</v>
      </c>
      <c r="MR3" s="230" t="s">
        <v>880</v>
      </c>
      <c r="MS3" s="230" t="s">
        <v>898</v>
      </c>
      <c r="MT3" s="230" t="s">
        <v>899</v>
      </c>
      <c r="MU3" s="230" t="s">
        <v>906</v>
      </c>
      <c r="MV3" s="24" t="s">
        <v>905</v>
      </c>
      <c r="MW3" s="16" t="s">
        <v>879</v>
      </c>
      <c r="MX3" s="230" t="s">
        <v>880</v>
      </c>
      <c r="MY3" s="230" t="s">
        <v>898</v>
      </c>
      <c r="MZ3" s="230" t="s">
        <v>899</v>
      </c>
      <c r="NA3" s="240" t="s">
        <v>906</v>
      </c>
      <c r="NB3" s="28" t="s">
        <v>905</v>
      </c>
      <c r="NC3" s="16" t="s">
        <v>879</v>
      </c>
      <c r="ND3" s="230" t="s">
        <v>880</v>
      </c>
      <c r="NE3" s="230" t="s">
        <v>898</v>
      </c>
      <c r="NF3" s="230" t="s">
        <v>899</v>
      </c>
      <c r="NG3" s="230" t="s">
        <v>906</v>
      </c>
      <c r="NH3" s="24" t="s">
        <v>905</v>
      </c>
      <c r="NI3" s="16" t="s">
        <v>879</v>
      </c>
      <c r="NJ3" s="230" t="s">
        <v>880</v>
      </c>
      <c r="NK3" s="230" t="s">
        <v>898</v>
      </c>
      <c r="NL3" s="230" t="s">
        <v>899</v>
      </c>
      <c r="NM3" s="240" t="s">
        <v>906</v>
      </c>
      <c r="NN3" s="28" t="s">
        <v>905</v>
      </c>
      <c r="NO3" s="16" t="s">
        <v>879</v>
      </c>
      <c r="NP3" s="230" t="s">
        <v>880</v>
      </c>
      <c r="NQ3" s="230" t="s">
        <v>898</v>
      </c>
      <c r="NR3" s="230" t="s">
        <v>899</v>
      </c>
      <c r="NS3" s="230" t="s">
        <v>906</v>
      </c>
      <c r="NT3" s="24" t="s">
        <v>905</v>
      </c>
      <c r="NU3" s="16" t="s">
        <v>879</v>
      </c>
      <c r="NV3" s="230" t="s">
        <v>880</v>
      </c>
      <c r="NW3" s="230" t="s">
        <v>898</v>
      </c>
      <c r="NX3" s="230" t="s">
        <v>899</v>
      </c>
      <c r="NY3" s="240" t="s">
        <v>906</v>
      </c>
      <c r="NZ3" s="28" t="s">
        <v>905</v>
      </c>
      <c r="OA3" s="16" t="s">
        <v>879</v>
      </c>
      <c r="OB3" s="230" t="s">
        <v>880</v>
      </c>
      <c r="OC3" s="230" t="s">
        <v>898</v>
      </c>
      <c r="OD3" s="230" t="s">
        <v>899</v>
      </c>
      <c r="OE3" s="230" t="s">
        <v>906</v>
      </c>
      <c r="OF3" s="24" t="s">
        <v>905</v>
      </c>
      <c r="OG3" s="16" t="s">
        <v>879</v>
      </c>
      <c r="OH3" s="230" t="s">
        <v>880</v>
      </c>
      <c r="OI3" s="230" t="s">
        <v>898</v>
      </c>
      <c r="OJ3" s="230" t="s">
        <v>899</v>
      </c>
      <c r="OK3" s="240" t="s">
        <v>906</v>
      </c>
      <c r="OL3" s="28" t="s">
        <v>905</v>
      </c>
      <c r="OM3" s="16" t="s">
        <v>879</v>
      </c>
      <c r="ON3" s="230" t="s">
        <v>880</v>
      </c>
      <c r="OO3" s="230" t="s">
        <v>898</v>
      </c>
      <c r="OP3" s="230" t="s">
        <v>899</v>
      </c>
      <c r="OQ3" s="230" t="s">
        <v>906</v>
      </c>
      <c r="OR3" s="24" t="s">
        <v>905</v>
      </c>
      <c r="OS3" s="16" t="s">
        <v>879</v>
      </c>
      <c r="OT3" s="230" t="s">
        <v>880</v>
      </c>
      <c r="OU3" s="230" t="s">
        <v>898</v>
      </c>
      <c r="OV3" s="230" t="s">
        <v>899</v>
      </c>
      <c r="OW3" s="240" t="s">
        <v>906</v>
      </c>
      <c r="OX3" s="28" t="s">
        <v>905</v>
      </c>
      <c r="OY3" s="16" t="s">
        <v>879</v>
      </c>
      <c r="OZ3" s="230" t="s">
        <v>880</v>
      </c>
      <c r="PA3" s="230" t="s">
        <v>898</v>
      </c>
      <c r="PB3" s="230" t="s">
        <v>899</v>
      </c>
      <c r="PC3" s="230" t="s">
        <v>906</v>
      </c>
      <c r="PD3" s="24" t="s">
        <v>905</v>
      </c>
      <c r="PE3" s="16" t="s">
        <v>879</v>
      </c>
      <c r="PF3" s="230" t="s">
        <v>880</v>
      </c>
      <c r="PG3" s="230" t="s">
        <v>898</v>
      </c>
      <c r="PH3" s="230" t="s">
        <v>899</v>
      </c>
      <c r="PI3" s="240" t="s">
        <v>906</v>
      </c>
      <c r="PJ3" s="28" t="s">
        <v>905</v>
      </c>
      <c r="PK3" s="16" t="s">
        <v>879</v>
      </c>
      <c r="PL3" s="230" t="s">
        <v>880</v>
      </c>
      <c r="PM3" s="230" t="s">
        <v>898</v>
      </c>
      <c r="PN3" s="230" t="s">
        <v>899</v>
      </c>
      <c r="PO3" s="230" t="s">
        <v>906</v>
      </c>
      <c r="PP3" s="24" t="s">
        <v>905</v>
      </c>
      <c r="PQ3" s="16" t="s">
        <v>879</v>
      </c>
      <c r="PR3" s="230" t="s">
        <v>880</v>
      </c>
      <c r="PS3" s="230" t="s">
        <v>898</v>
      </c>
      <c r="PT3" s="230" t="s">
        <v>899</v>
      </c>
      <c r="PU3" s="240" t="s">
        <v>906</v>
      </c>
      <c r="PV3" s="28" t="s">
        <v>905</v>
      </c>
      <c r="PW3" s="16" t="s">
        <v>879</v>
      </c>
      <c r="PX3" s="230" t="s">
        <v>880</v>
      </c>
      <c r="PY3" s="230" t="s">
        <v>898</v>
      </c>
      <c r="PZ3" s="230" t="s">
        <v>899</v>
      </c>
      <c r="QA3" s="230" t="s">
        <v>906</v>
      </c>
      <c r="QB3" s="24" t="s">
        <v>905</v>
      </c>
      <c r="QC3" s="16" t="s">
        <v>879</v>
      </c>
      <c r="QD3" s="230" t="s">
        <v>880</v>
      </c>
      <c r="QE3" s="230" t="s">
        <v>898</v>
      </c>
      <c r="QF3" s="230" t="s">
        <v>899</v>
      </c>
      <c r="QG3" s="240" t="s">
        <v>906</v>
      </c>
      <c r="QH3" s="28" t="s">
        <v>905</v>
      </c>
      <c r="QI3" s="16" t="s">
        <v>879</v>
      </c>
      <c r="QJ3" s="230" t="s">
        <v>880</v>
      </c>
      <c r="QK3" s="230" t="s">
        <v>898</v>
      </c>
      <c r="QL3" s="230" t="s">
        <v>899</v>
      </c>
      <c r="QM3" s="230" t="s">
        <v>906</v>
      </c>
      <c r="QN3" s="24" t="s">
        <v>905</v>
      </c>
      <c r="QO3" s="16" t="s">
        <v>879</v>
      </c>
      <c r="QP3" s="230" t="s">
        <v>880</v>
      </c>
      <c r="QQ3" s="230" t="s">
        <v>898</v>
      </c>
      <c r="QR3" s="230" t="s">
        <v>899</v>
      </c>
      <c r="QS3" s="240" t="s">
        <v>906</v>
      </c>
      <c r="QT3" s="28" t="s">
        <v>905</v>
      </c>
      <c r="QU3" s="16" t="s">
        <v>879</v>
      </c>
      <c r="QV3" s="230" t="s">
        <v>880</v>
      </c>
      <c r="QW3" s="230" t="s">
        <v>898</v>
      </c>
      <c r="QX3" s="230" t="s">
        <v>899</v>
      </c>
      <c r="QY3" s="230" t="s">
        <v>906</v>
      </c>
      <c r="QZ3" s="24" t="s">
        <v>905</v>
      </c>
      <c r="RA3" s="16" t="s">
        <v>879</v>
      </c>
      <c r="RB3" s="230" t="s">
        <v>880</v>
      </c>
      <c r="RC3" s="230" t="s">
        <v>898</v>
      </c>
      <c r="RD3" s="230" t="s">
        <v>899</v>
      </c>
      <c r="RE3" s="240" t="s">
        <v>906</v>
      </c>
      <c r="RF3" s="28" t="s">
        <v>905</v>
      </c>
      <c r="RG3" s="16" t="s">
        <v>879</v>
      </c>
      <c r="RH3" s="230" t="s">
        <v>880</v>
      </c>
      <c r="RI3" s="230" t="s">
        <v>898</v>
      </c>
      <c r="RJ3" s="230" t="s">
        <v>899</v>
      </c>
      <c r="RK3" s="230" t="s">
        <v>906</v>
      </c>
      <c r="RL3" s="24" t="s">
        <v>905</v>
      </c>
      <c r="RM3" s="16" t="s">
        <v>879</v>
      </c>
      <c r="RN3" s="230" t="s">
        <v>880</v>
      </c>
      <c r="RO3" s="230" t="s">
        <v>898</v>
      </c>
      <c r="RP3" s="230" t="s">
        <v>899</v>
      </c>
      <c r="RQ3" s="240" t="s">
        <v>906</v>
      </c>
      <c r="RR3" s="28" t="s">
        <v>905</v>
      </c>
      <c r="RS3" s="16" t="s">
        <v>879</v>
      </c>
      <c r="RT3" s="230" t="s">
        <v>880</v>
      </c>
      <c r="RU3" s="230" t="s">
        <v>898</v>
      </c>
      <c r="RV3" s="230" t="s">
        <v>899</v>
      </c>
      <c r="RW3" s="230" t="s">
        <v>906</v>
      </c>
      <c r="RX3" s="24" t="s">
        <v>905</v>
      </c>
      <c r="RY3" s="16" t="s">
        <v>879</v>
      </c>
      <c r="RZ3" s="230" t="s">
        <v>880</v>
      </c>
      <c r="SA3" s="230" t="s">
        <v>898</v>
      </c>
      <c r="SB3" s="230" t="s">
        <v>899</v>
      </c>
      <c r="SC3" s="240" t="s">
        <v>906</v>
      </c>
      <c r="SD3" s="28" t="s">
        <v>905</v>
      </c>
      <c r="SE3" s="16" t="s">
        <v>879</v>
      </c>
      <c r="SF3" s="230" t="s">
        <v>880</v>
      </c>
      <c r="SG3" s="230" t="s">
        <v>898</v>
      </c>
      <c r="SH3" s="230" t="s">
        <v>899</v>
      </c>
      <c r="SI3" s="230" t="s">
        <v>906</v>
      </c>
      <c r="SJ3" s="24" t="s">
        <v>905</v>
      </c>
      <c r="SK3" s="16" t="s">
        <v>879</v>
      </c>
      <c r="SL3" s="230" t="s">
        <v>880</v>
      </c>
      <c r="SM3" s="230" t="s">
        <v>898</v>
      </c>
      <c r="SN3" s="230" t="s">
        <v>899</v>
      </c>
      <c r="SO3" s="240" t="s">
        <v>906</v>
      </c>
      <c r="SP3" s="28" t="s">
        <v>905</v>
      </c>
      <c r="SQ3" s="16" t="s">
        <v>879</v>
      </c>
      <c r="SR3" s="230" t="s">
        <v>880</v>
      </c>
      <c r="SS3" s="230" t="s">
        <v>898</v>
      </c>
      <c r="ST3" s="230" t="s">
        <v>899</v>
      </c>
      <c r="SU3" s="230" t="s">
        <v>906</v>
      </c>
      <c r="SV3" s="24" t="s">
        <v>905</v>
      </c>
      <c r="SW3" s="16" t="s">
        <v>879</v>
      </c>
      <c r="SX3" s="230" t="s">
        <v>880</v>
      </c>
      <c r="SY3" s="230" t="s">
        <v>898</v>
      </c>
      <c r="SZ3" s="230" t="s">
        <v>899</v>
      </c>
      <c r="TA3" s="240" t="s">
        <v>906</v>
      </c>
      <c r="TB3" s="28" t="s">
        <v>905</v>
      </c>
      <c r="TC3" s="16" t="s">
        <v>879</v>
      </c>
      <c r="TD3" s="230" t="s">
        <v>880</v>
      </c>
      <c r="TE3" s="230" t="s">
        <v>898</v>
      </c>
      <c r="TF3" s="230" t="s">
        <v>899</v>
      </c>
      <c r="TG3" s="230" t="s">
        <v>906</v>
      </c>
      <c r="TH3" s="24" t="s">
        <v>905</v>
      </c>
      <c r="TI3" s="16" t="s">
        <v>879</v>
      </c>
      <c r="TJ3" s="230" t="s">
        <v>880</v>
      </c>
      <c r="TK3" s="230" t="s">
        <v>898</v>
      </c>
      <c r="TL3" s="230" t="s">
        <v>899</v>
      </c>
      <c r="TM3" s="240" t="s">
        <v>906</v>
      </c>
      <c r="TN3" s="28" t="s">
        <v>905</v>
      </c>
      <c r="TO3" s="16" t="s">
        <v>879</v>
      </c>
      <c r="TP3" s="230" t="s">
        <v>880</v>
      </c>
      <c r="TQ3" s="230" t="s">
        <v>898</v>
      </c>
      <c r="TR3" s="230" t="s">
        <v>899</v>
      </c>
      <c r="TS3" s="230" t="s">
        <v>906</v>
      </c>
      <c r="TT3" s="24" t="s">
        <v>905</v>
      </c>
      <c r="TU3" s="16" t="s">
        <v>879</v>
      </c>
      <c r="TV3" s="230" t="s">
        <v>880</v>
      </c>
      <c r="TW3" s="230" t="s">
        <v>898</v>
      </c>
      <c r="TX3" s="230" t="s">
        <v>899</v>
      </c>
      <c r="TY3" s="240" t="s">
        <v>906</v>
      </c>
      <c r="TZ3" s="28" t="s">
        <v>905</v>
      </c>
      <c r="UA3" s="16" t="s">
        <v>879</v>
      </c>
      <c r="UB3" s="230" t="s">
        <v>880</v>
      </c>
      <c r="UC3" s="230" t="s">
        <v>898</v>
      </c>
      <c r="UD3" s="230" t="s">
        <v>899</v>
      </c>
      <c r="UE3" s="230" t="s">
        <v>906</v>
      </c>
      <c r="UF3" s="24" t="s">
        <v>905</v>
      </c>
      <c r="UG3" s="16" t="s">
        <v>879</v>
      </c>
      <c r="UH3" s="230" t="s">
        <v>880</v>
      </c>
      <c r="UI3" s="230" t="s">
        <v>898</v>
      </c>
      <c r="UJ3" s="230" t="s">
        <v>899</v>
      </c>
      <c r="UK3" s="240" t="s">
        <v>906</v>
      </c>
      <c r="UL3" s="28" t="s">
        <v>905</v>
      </c>
      <c r="UM3" s="16" t="s">
        <v>879</v>
      </c>
      <c r="UN3" s="230" t="s">
        <v>880</v>
      </c>
      <c r="UO3" s="230" t="s">
        <v>898</v>
      </c>
      <c r="UP3" s="230" t="s">
        <v>899</v>
      </c>
      <c r="UQ3" s="230" t="s">
        <v>906</v>
      </c>
      <c r="UR3" s="24" t="s">
        <v>905</v>
      </c>
      <c r="US3" s="16" t="s">
        <v>879</v>
      </c>
      <c r="UT3" s="230" t="s">
        <v>880</v>
      </c>
      <c r="UU3" s="230" t="s">
        <v>898</v>
      </c>
      <c r="UV3" s="230" t="s">
        <v>899</v>
      </c>
      <c r="UW3" s="240" t="s">
        <v>906</v>
      </c>
      <c r="UX3" s="28" t="s">
        <v>905</v>
      </c>
      <c r="UY3" s="16" t="s">
        <v>879</v>
      </c>
      <c r="UZ3" s="230" t="s">
        <v>880</v>
      </c>
      <c r="VA3" s="230" t="s">
        <v>898</v>
      </c>
      <c r="VB3" s="230" t="s">
        <v>899</v>
      </c>
      <c r="VC3" s="230" t="s">
        <v>906</v>
      </c>
      <c r="VD3" s="24" t="s">
        <v>905</v>
      </c>
      <c r="VE3" s="16" t="s">
        <v>879</v>
      </c>
      <c r="VF3" s="230" t="s">
        <v>880</v>
      </c>
      <c r="VG3" s="230" t="s">
        <v>898</v>
      </c>
      <c r="VH3" s="230" t="s">
        <v>899</v>
      </c>
      <c r="VI3" s="240" t="s">
        <v>906</v>
      </c>
      <c r="VJ3" s="28" t="s">
        <v>905</v>
      </c>
      <c r="VK3" s="16" t="s">
        <v>879</v>
      </c>
      <c r="VL3" s="230" t="s">
        <v>880</v>
      </c>
      <c r="VM3" s="230" t="s">
        <v>898</v>
      </c>
      <c r="VN3" s="230" t="s">
        <v>899</v>
      </c>
      <c r="VO3" s="230" t="s">
        <v>906</v>
      </c>
      <c r="VP3" s="24" t="s">
        <v>905</v>
      </c>
      <c r="VQ3" s="16" t="s">
        <v>879</v>
      </c>
      <c r="VR3" s="230" t="s">
        <v>880</v>
      </c>
      <c r="VS3" s="230" t="s">
        <v>898</v>
      </c>
      <c r="VT3" s="230" t="s">
        <v>899</v>
      </c>
      <c r="VU3" s="240" t="s">
        <v>906</v>
      </c>
      <c r="VV3" s="28" t="s">
        <v>905</v>
      </c>
      <c r="VW3" s="16" t="s">
        <v>879</v>
      </c>
      <c r="VX3" s="230" t="s">
        <v>880</v>
      </c>
      <c r="VY3" s="230" t="s">
        <v>898</v>
      </c>
      <c r="VZ3" s="230" t="s">
        <v>899</v>
      </c>
      <c r="WA3" s="230" t="s">
        <v>906</v>
      </c>
      <c r="WB3" s="24" t="s">
        <v>905</v>
      </c>
      <c r="WC3" s="16" t="s">
        <v>879</v>
      </c>
      <c r="WD3" s="230" t="s">
        <v>880</v>
      </c>
      <c r="WE3" s="230" t="s">
        <v>898</v>
      </c>
      <c r="WF3" s="230" t="s">
        <v>899</v>
      </c>
      <c r="WG3" s="240" t="s">
        <v>906</v>
      </c>
      <c r="WH3" s="28" t="s">
        <v>905</v>
      </c>
      <c r="WI3" s="16" t="s">
        <v>879</v>
      </c>
      <c r="WJ3" s="230" t="s">
        <v>880</v>
      </c>
      <c r="WK3" s="230" t="s">
        <v>898</v>
      </c>
      <c r="WL3" s="230" t="s">
        <v>899</v>
      </c>
      <c r="WM3" s="230" t="s">
        <v>906</v>
      </c>
      <c r="WN3" s="24" t="s">
        <v>905</v>
      </c>
      <c r="WO3" s="16" t="s">
        <v>879</v>
      </c>
      <c r="WP3" s="230" t="s">
        <v>880</v>
      </c>
      <c r="WQ3" s="230" t="s">
        <v>898</v>
      </c>
      <c r="WR3" s="230" t="s">
        <v>899</v>
      </c>
      <c r="WS3" s="240" t="s">
        <v>906</v>
      </c>
      <c r="WT3" s="28" t="s">
        <v>905</v>
      </c>
      <c r="WU3" s="16" t="s">
        <v>879</v>
      </c>
      <c r="WV3" s="230" t="s">
        <v>880</v>
      </c>
      <c r="WW3" s="230" t="s">
        <v>898</v>
      </c>
      <c r="WX3" s="230" t="s">
        <v>899</v>
      </c>
      <c r="WY3" s="230" t="s">
        <v>906</v>
      </c>
      <c r="WZ3" s="24" t="s">
        <v>905</v>
      </c>
      <c r="XA3" s="16" t="s">
        <v>879</v>
      </c>
      <c r="XB3" s="230" t="s">
        <v>880</v>
      </c>
      <c r="XC3" s="230" t="s">
        <v>898</v>
      </c>
      <c r="XD3" s="230" t="s">
        <v>899</v>
      </c>
      <c r="XE3" s="240" t="s">
        <v>906</v>
      </c>
      <c r="XF3" s="28" t="s">
        <v>905</v>
      </c>
      <c r="XG3" s="16" t="s">
        <v>879</v>
      </c>
      <c r="XH3" s="230" t="s">
        <v>880</v>
      </c>
      <c r="XI3" s="230" t="s">
        <v>898</v>
      </c>
      <c r="XJ3" s="230" t="s">
        <v>899</v>
      </c>
      <c r="XK3" s="240" t="s">
        <v>906</v>
      </c>
    </row>
    <row r="4" spans="1:635" ht="16.5" customHeight="1" x14ac:dyDescent="0.25">
      <c r="B4" s="90">
        <v>0</v>
      </c>
      <c r="C4" s="200"/>
      <c r="D4" s="200"/>
      <c r="E4" s="200"/>
      <c r="F4" s="44"/>
      <c r="G4" s="44"/>
      <c r="H4" s="193">
        <f ca="1">IF(YEAR(SP_AdjustedDate)&lt;SC_TargetRY,1,IF(YEAR(SP_AdjustedDate)=SC_TargetRY,-(1-YEARFRAC(SP_TargetRD,DATE(SC_TargetRY+1,1,1))),0))</f>
        <v>1</v>
      </c>
      <c r="I4" s="193">
        <f ca="1">-(1-YEARFRAC(SP_AdjustedDate,DATE(YEAR(SP_AdjustedDate)+1,1,1)))</f>
        <v>-0.1166666666666667</v>
      </c>
      <c r="J4" s="194">
        <f ca="1">(YEAR(SP_AdjustedDate)-SP_CurrentYear)</f>
        <v>0</v>
      </c>
      <c r="K4" s="194">
        <v>1</v>
      </c>
      <c r="L4" s="287"/>
      <c r="M4" s="322"/>
      <c r="N4" s="322"/>
      <c r="O4" s="322"/>
      <c r="P4" s="271"/>
      <c r="Q4" s="271"/>
      <c r="R4" s="271"/>
      <c r="S4" s="271"/>
      <c r="T4" s="271"/>
      <c r="U4" s="323">
        <f ca="1">IF(INDEX(SC_ZX_CodeA,1)="X",0,ABS($I4)*OFFSET(U$7,$J4,0))</f>
        <v>-1.6306040310211323E-2</v>
      </c>
      <c r="V4" s="195">
        <f ca="1">IF(INDEX(SC_ZX_CodeA,1)="X",0,OFFSET(V$7,$J4,0))</f>
        <v>0</v>
      </c>
      <c r="W4" s="195">
        <f ca="1">OFFSET(W$7,$J4,0)</f>
        <v>0</v>
      </c>
      <c r="X4" s="324">
        <f ca="1">IF(INDEX(SC_ZX_CodeA,1)="X",0,IF(ABS($H4)&lt;(1/12),ABS($I4),MAX(ABS(MAX(IF($H4&lt;=0,$H4,-1),IF($I4&lt;=0,$I4,-1)))+MIN(IF($H4&gt;=0,$H4,1),IF($I4&gt;=0,$I4,1))-1,0)/ABS($H4))*OFFSET(X$7,$J4,0)*$K4)</f>
        <v>0</v>
      </c>
      <c r="Y4" s="325"/>
      <c r="Z4" s="325">
        <v>0</v>
      </c>
      <c r="AA4" s="324">
        <f ca="1">IF(INDEX(SC_ZX_CodeA,1)="X",0,IF(ABS($H4)&gt;(11/12),ABS($I4),MAX(ABS(MAX(IF($H4&gt;=0,-1+$H4,-1),IF($I4&lt;=0,$I4,-1)))+MIN(IF($H4&lt;=0,1+$H4,1),IF($I4&gt;=0,$I4,1))-1,0)/(1-ABS($H4)))*OFFSET(AA$7,$J4,0)*$K4)</f>
        <v>0</v>
      </c>
      <c r="AB4" s="324">
        <f ca="1">(V4+X4+Z4+AA4)*U$4*K$4</f>
        <v>0</v>
      </c>
      <c r="AC4" s="319"/>
      <c r="AD4" s="317"/>
      <c r="AE4" s="320"/>
      <c r="AF4" s="320"/>
      <c r="AG4" s="320"/>
      <c r="AH4" s="332"/>
      <c r="AI4" s="316"/>
      <c r="AJ4" s="320"/>
      <c r="AO4" s="12"/>
      <c r="AP4" s="6"/>
      <c r="AV4" s="236"/>
      <c r="BA4" s="12"/>
      <c r="BB4" s="6"/>
      <c r="BH4" s="236"/>
      <c r="BM4" s="12"/>
      <c r="BN4" s="6"/>
      <c r="BT4" s="236"/>
      <c r="BY4" s="12"/>
      <c r="BZ4" s="6"/>
      <c r="CF4" s="236"/>
      <c r="CK4" s="12"/>
      <c r="CL4" s="6"/>
      <c r="CR4" s="236"/>
      <c r="CW4" s="12"/>
      <c r="CX4" s="6"/>
      <c r="DD4" s="236"/>
      <c r="DI4" s="12"/>
      <c r="DJ4" s="6"/>
      <c r="DP4" s="236"/>
      <c r="DU4" s="12"/>
      <c r="DV4" s="6"/>
      <c r="EB4" s="236"/>
      <c r="EG4" s="12"/>
      <c r="EH4" s="6"/>
      <c r="EN4" s="236"/>
      <c r="ES4" s="12"/>
      <c r="ET4" s="6"/>
      <c r="EZ4" s="236"/>
      <c r="FE4" s="12"/>
      <c r="FF4" s="6"/>
      <c r="FL4" s="236"/>
      <c r="FQ4" s="12"/>
      <c r="FR4" s="6"/>
      <c r="FX4" s="236"/>
      <c r="GC4" s="12"/>
      <c r="GD4" s="6"/>
      <c r="GJ4" s="236"/>
      <c r="GO4" s="12"/>
      <c r="GP4" s="6"/>
      <c r="GV4" s="236"/>
      <c r="HA4" s="12"/>
      <c r="HB4" s="6"/>
      <c r="HH4" s="236"/>
      <c r="HM4" s="12"/>
      <c r="HN4" s="6"/>
      <c r="HT4" s="236"/>
      <c r="HY4" s="12"/>
      <c r="HZ4" s="6"/>
      <c r="IF4" s="236"/>
      <c r="IK4" s="12"/>
      <c r="IL4" s="6"/>
      <c r="IR4" s="236"/>
      <c r="IW4" s="12"/>
      <c r="IX4" s="6"/>
      <c r="JD4" s="236"/>
      <c r="JI4" s="12"/>
      <c r="JJ4" s="6"/>
      <c r="JP4" s="236"/>
      <c r="JU4" s="12"/>
      <c r="JV4" s="6"/>
      <c r="KB4" s="236"/>
      <c r="KG4" s="12"/>
      <c r="KH4" s="6"/>
      <c r="KN4" s="236"/>
      <c r="KS4" s="12"/>
      <c r="KT4" s="6"/>
      <c r="KZ4" s="236"/>
      <c r="LE4" s="12"/>
      <c r="LF4" s="6"/>
      <c r="LL4" s="236"/>
      <c r="LQ4" s="12"/>
      <c r="LR4" s="6"/>
      <c r="LX4" s="236"/>
      <c r="MC4" s="12"/>
      <c r="MD4" s="6"/>
      <c r="MJ4" s="236"/>
      <c r="MO4" s="12"/>
      <c r="MP4" s="6"/>
      <c r="MV4" s="236"/>
      <c r="NA4" s="12"/>
      <c r="NB4" s="6"/>
      <c r="NH4" s="236"/>
      <c r="NM4" s="12"/>
      <c r="NN4" s="6"/>
      <c r="NT4" s="236"/>
      <c r="NY4" s="12"/>
      <c r="NZ4" s="6"/>
      <c r="OF4" s="236"/>
      <c r="OK4" s="12"/>
      <c r="OL4" s="6"/>
      <c r="OR4" s="236"/>
      <c r="OW4" s="12"/>
      <c r="OX4" s="6"/>
      <c r="PD4" s="236"/>
      <c r="PI4" s="12"/>
      <c r="PJ4" s="6"/>
      <c r="PP4" s="236"/>
      <c r="PU4" s="12"/>
      <c r="PV4" s="6"/>
      <c r="QB4" s="236"/>
      <c r="QG4" s="12"/>
      <c r="QH4" s="6"/>
      <c r="QN4" s="236"/>
      <c r="QS4" s="12"/>
      <c r="QT4" s="6"/>
      <c r="QZ4" s="236"/>
      <c r="RE4" s="12"/>
      <c r="RF4" s="6"/>
      <c r="RL4" s="236"/>
      <c r="RQ4" s="12"/>
      <c r="RR4" s="6"/>
      <c r="RX4" s="236"/>
      <c r="SC4" s="12"/>
      <c r="SD4" s="6"/>
      <c r="SJ4" s="236"/>
      <c r="SO4" s="12"/>
      <c r="SP4" s="6"/>
      <c r="SV4" s="236"/>
      <c r="TA4" s="12"/>
      <c r="TB4" s="6"/>
      <c r="TH4" s="236"/>
      <c r="TM4" s="12"/>
      <c r="TN4" s="6"/>
      <c r="TT4" s="236"/>
      <c r="TY4" s="12"/>
      <c r="TZ4" s="6"/>
      <c r="UF4" s="236"/>
      <c r="UK4" s="12"/>
      <c r="UL4" s="6"/>
      <c r="UR4" s="236"/>
      <c r="UW4" s="12"/>
      <c r="UX4" s="6"/>
      <c r="VD4" s="236"/>
      <c r="VI4" s="12"/>
      <c r="VJ4" s="6"/>
      <c r="VP4" s="236"/>
      <c r="VU4" s="12"/>
      <c r="VV4" s="6"/>
      <c r="WB4" s="236"/>
      <c r="WG4" s="12"/>
      <c r="WH4" s="6"/>
      <c r="WN4" s="236"/>
      <c r="WS4" s="12"/>
      <c r="WT4" s="6"/>
      <c r="WZ4" s="236"/>
      <c r="XE4" s="12"/>
      <c r="XF4" s="6"/>
      <c r="XK4" s="12"/>
    </row>
    <row r="5" spans="1:635" x14ac:dyDescent="0.25">
      <c r="B5" s="90">
        <v>0</v>
      </c>
      <c r="C5" s="200"/>
      <c r="D5" s="200"/>
      <c r="E5" s="200"/>
      <c r="F5" s="44"/>
      <c r="G5" s="44"/>
      <c r="L5" s="287"/>
      <c r="M5" s="322"/>
      <c r="N5" s="322"/>
      <c r="O5" s="322"/>
      <c r="P5" s="271"/>
      <c r="Q5" s="271"/>
      <c r="R5" s="271"/>
      <c r="S5" s="271"/>
      <c r="T5" s="271"/>
      <c r="U5" s="271"/>
      <c r="V5" s="324">
        <f ca="1">MAX(V4+SUM(X4:AB4),0)</f>
        <v>0</v>
      </c>
      <c r="W5" s="324">
        <f ca="1">MAX(W4+X4+IF((V4+X4+Z4)&gt;0,MAX(AA4/(V4+X4+Z4)*(W4+X4),AA4),0),0)</f>
        <v>0</v>
      </c>
      <c r="X5" s="271"/>
      <c r="Y5" s="271"/>
      <c r="Z5" s="271"/>
      <c r="AA5" s="271"/>
      <c r="AB5" s="271"/>
      <c r="AC5" s="319"/>
      <c r="AD5" s="317"/>
      <c r="AE5" s="320"/>
      <c r="AF5" s="320"/>
      <c r="AG5" s="320"/>
      <c r="AH5" s="284"/>
      <c r="AI5" s="318"/>
      <c r="AJ5" s="320"/>
      <c r="AO5" s="12"/>
      <c r="AP5" s="6"/>
      <c r="AV5" s="236"/>
      <c r="BA5" s="12"/>
      <c r="BB5" s="6"/>
      <c r="BH5" s="236"/>
      <c r="BM5" s="12"/>
      <c r="BN5" s="6"/>
      <c r="BT5" s="236"/>
      <c r="BY5" s="12"/>
      <c r="BZ5" s="6"/>
      <c r="CF5" s="236"/>
      <c r="CK5" s="12"/>
      <c r="CL5" s="6"/>
      <c r="CR5" s="236"/>
      <c r="CW5" s="12"/>
      <c r="CX5" s="6"/>
      <c r="DD5" s="236"/>
      <c r="DI5" s="12"/>
      <c r="DJ5" s="6"/>
      <c r="DP5" s="236"/>
      <c r="DU5" s="12"/>
      <c r="DV5" s="6"/>
      <c r="EB5" s="236"/>
      <c r="EG5" s="12"/>
      <c r="EH5" s="6"/>
      <c r="EN5" s="236"/>
      <c r="ES5" s="12"/>
      <c r="ET5" s="6"/>
      <c r="EZ5" s="236"/>
      <c r="FE5" s="12"/>
      <c r="FF5" s="6"/>
      <c r="FL5" s="236"/>
      <c r="FQ5" s="12"/>
      <c r="FR5" s="6"/>
      <c r="FX5" s="236"/>
      <c r="GC5" s="12"/>
      <c r="GD5" s="6"/>
      <c r="GJ5" s="236"/>
      <c r="GO5" s="12"/>
      <c r="GP5" s="6"/>
      <c r="GV5" s="236"/>
      <c r="HA5" s="12"/>
      <c r="HB5" s="6"/>
      <c r="HH5" s="236"/>
      <c r="HM5" s="12"/>
      <c r="HN5" s="6"/>
      <c r="HT5" s="236"/>
      <c r="HY5" s="12"/>
      <c r="HZ5" s="6"/>
      <c r="IF5" s="236"/>
      <c r="IK5" s="12"/>
      <c r="IL5" s="6"/>
      <c r="IR5" s="236"/>
      <c r="IW5" s="12"/>
      <c r="IX5" s="6"/>
      <c r="JD5" s="236"/>
      <c r="JI5" s="12"/>
      <c r="JJ5" s="6"/>
      <c r="JP5" s="236"/>
      <c r="JU5" s="12"/>
      <c r="JV5" s="6"/>
      <c r="KB5" s="236"/>
      <c r="KG5" s="12"/>
      <c r="KH5" s="6"/>
      <c r="KN5" s="236"/>
      <c r="KS5" s="12"/>
      <c r="KT5" s="6"/>
      <c r="KZ5" s="236"/>
      <c r="LE5" s="12"/>
      <c r="LF5" s="6"/>
      <c r="LL5" s="236"/>
      <c r="LQ5" s="12"/>
      <c r="LR5" s="6"/>
      <c r="LX5" s="236"/>
      <c r="MC5" s="12"/>
      <c r="MD5" s="6"/>
      <c r="MJ5" s="236"/>
      <c r="MO5" s="12"/>
      <c r="MP5" s="6"/>
      <c r="MV5" s="236"/>
      <c r="NA5" s="12"/>
      <c r="NB5" s="6"/>
      <c r="NH5" s="236"/>
      <c r="NM5" s="12"/>
      <c r="NN5" s="6"/>
      <c r="NT5" s="236"/>
      <c r="NY5" s="12"/>
      <c r="NZ5" s="6"/>
      <c r="OF5" s="236"/>
      <c r="OK5" s="12"/>
      <c r="OL5" s="6"/>
      <c r="OR5" s="236"/>
      <c r="OW5" s="12"/>
      <c r="OX5" s="6"/>
      <c r="PD5" s="236"/>
      <c r="PI5" s="12"/>
      <c r="PJ5" s="6"/>
      <c r="PP5" s="236"/>
      <c r="PU5" s="12"/>
      <c r="PV5" s="6"/>
      <c r="QB5" s="236"/>
      <c r="QG5" s="12"/>
      <c r="QH5" s="6"/>
      <c r="QN5" s="236"/>
      <c r="QS5" s="12"/>
      <c r="QT5" s="6"/>
      <c r="QZ5" s="236"/>
      <c r="RE5" s="12"/>
      <c r="RF5" s="6"/>
      <c r="RL5" s="236"/>
      <c r="RQ5" s="12"/>
      <c r="RR5" s="6"/>
      <c r="RX5" s="236"/>
      <c r="SC5" s="12"/>
      <c r="SD5" s="6"/>
      <c r="SJ5" s="236"/>
      <c r="SO5" s="12"/>
      <c r="SP5" s="6"/>
      <c r="SV5" s="236"/>
      <c r="TA5" s="12"/>
      <c r="TB5" s="6"/>
      <c r="TH5" s="236"/>
      <c r="TM5" s="12"/>
      <c r="TN5" s="6"/>
      <c r="TT5" s="236"/>
      <c r="TY5" s="12"/>
      <c r="TZ5" s="6"/>
      <c r="UF5" s="236"/>
      <c r="UK5" s="12"/>
      <c r="UL5" s="6"/>
      <c r="UR5" s="236"/>
      <c r="UW5" s="12"/>
      <c r="UX5" s="6"/>
      <c r="VD5" s="236"/>
      <c r="VI5" s="12"/>
      <c r="VJ5" s="6"/>
      <c r="VP5" s="236"/>
      <c r="VU5" s="12"/>
      <c r="VV5" s="6"/>
      <c r="WB5" s="236"/>
      <c r="WG5" s="12"/>
      <c r="WH5" s="6"/>
      <c r="WN5" s="236"/>
      <c r="WS5" s="12"/>
      <c r="WT5" s="6"/>
      <c r="WZ5" s="236"/>
      <c r="XE5" s="12"/>
      <c r="XF5" s="6"/>
      <c r="XK5" s="12"/>
    </row>
    <row r="6" spans="1:635" x14ac:dyDescent="0.25">
      <c r="B6" s="90">
        <f ca="1">SP_CurrentYear-1</f>
        <v>2021</v>
      </c>
      <c r="C6" s="200"/>
      <c r="D6" s="200"/>
      <c r="E6" s="200"/>
      <c r="F6" s="44"/>
      <c r="G6" s="44"/>
      <c r="H6" s="193">
        <f ca="1">INDEX(SC_EX_APW,EXIDX1+2)</f>
        <v>1</v>
      </c>
      <c r="I6" s="193">
        <f ca="1">-(1-SC_CurrentDatePr)</f>
        <v>-0.1166666666666667</v>
      </c>
      <c r="J6" s="194">
        <f>0</f>
        <v>0</v>
      </c>
      <c r="K6" s="194">
        <v>-1</v>
      </c>
      <c r="L6" s="322"/>
      <c r="M6" s="322"/>
      <c r="N6" s="322"/>
      <c r="O6" s="322"/>
      <c r="P6" s="271"/>
      <c r="Q6" s="271"/>
      <c r="R6" s="271"/>
      <c r="S6" s="271"/>
      <c r="T6" s="271"/>
      <c r="U6" s="323">
        <f ca="1">IF(INDEX(SC_ZX_CodeA,1)="X",0,(ABS($I6)*OFFSET(U$7,$J6,0))/(1+ABS($I6)*OFFSET(U$7,$J6,0)))</f>
        <v>-1.6576334691892881E-2</v>
      </c>
      <c r="V6" s="325">
        <f>SP_AnnyBalance</f>
        <v>0</v>
      </c>
      <c r="W6" s="325">
        <f>SP_AnnyCostBasis</f>
        <v>0</v>
      </c>
      <c r="X6" s="324">
        <f ca="1">IF(INDEX(SC_ZX_CodeA,1)="X",0,IF(ABS($H6)&lt;(1/12),ABS($I6),MAX(ABS(MAX(IF($H6&lt;=0,$H6,-1),IF($I6&lt;=0,$I6,-1)))+MIN(IF($H6&gt;=0,$H6,1),IF($I6&gt;=0,$I6,1))-1,0)/ABS($H6))*OFFSET(X$7,$J6,0)*$K6)</f>
        <v>0</v>
      </c>
      <c r="Y6" s="325">
        <v>0</v>
      </c>
      <c r="Z6" s="325">
        <v>0</v>
      </c>
      <c r="AA6" s="324">
        <f ca="1">IF(INDEX(SC_ZX_CodeA,1)="X",0,IF(ABS($H6)&gt;(11/12),ABS($I6),MAX(ABS(MAX(IF($H6&gt;=0,-1+$H6,-1),IF($I6&lt;=0,$I6,-1)))+MIN(IF($H6&lt;=0,1+$H6,1),IF($I6&gt;=0,$I6,1))-1,0)/(1-ABS($H6)))*OFFSET(AA$7,$J6,0)*$K6)</f>
        <v>0</v>
      </c>
      <c r="AB6" s="324">
        <f ca="1">V6*U$6*K$6</f>
        <v>0</v>
      </c>
      <c r="AC6" s="319"/>
      <c r="AD6" s="317"/>
      <c r="AE6" s="320"/>
      <c r="AF6" s="320"/>
      <c r="AG6" s="320"/>
      <c r="AH6" s="332"/>
      <c r="AI6" s="316"/>
      <c r="AJ6" s="320"/>
      <c r="AO6" s="12"/>
      <c r="AP6" s="6"/>
      <c r="AV6" s="236"/>
      <c r="BA6" s="12"/>
      <c r="BB6" s="6"/>
      <c r="BH6" s="236"/>
      <c r="BM6" s="12"/>
      <c r="BN6" s="6"/>
      <c r="BT6" s="236"/>
      <c r="BY6" s="12"/>
      <c r="BZ6" s="6"/>
      <c r="CF6" s="236"/>
      <c r="CK6" s="12"/>
      <c r="CL6" s="6"/>
      <c r="CR6" s="236"/>
      <c r="CW6" s="12"/>
      <c r="CX6" s="6"/>
      <c r="DD6" s="236"/>
      <c r="DI6" s="12"/>
      <c r="DJ6" s="6"/>
      <c r="DP6" s="236"/>
      <c r="DU6" s="12"/>
      <c r="DV6" s="6"/>
      <c r="EB6" s="236"/>
      <c r="EG6" s="12"/>
      <c r="EH6" s="6"/>
      <c r="EN6" s="236"/>
      <c r="ES6" s="12"/>
      <c r="ET6" s="6"/>
      <c r="EZ6" s="236"/>
      <c r="FE6" s="12"/>
      <c r="FF6" s="6"/>
      <c r="FL6" s="236"/>
      <c r="FQ6" s="12"/>
      <c r="FR6" s="6"/>
      <c r="FX6" s="236"/>
      <c r="GC6" s="12"/>
      <c r="GD6" s="6"/>
      <c r="GJ6" s="236"/>
      <c r="GO6" s="12"/>
      <c r="GP6" s="6"/>
      <c r="GV6" s="236"/>
      <c r="HA6" s="12"/>
      <c r="HB6" s="6"/>
      <c r="HH6" s="236"/>
      <c r="HM6" s="12"/>
      <c r="HN6" s="6"/>
      <c r="HT6" s="236"/>
      <c r="HY6" s="12"/>
      <c r="HZ6" s="6"/>
      <c r="IF6" s="236"/>
      <c r="IK6" s="12"/>
      <c r="IL6" s="6"/>
      <c r="IR6" s="236"/>
      <c r="IW6" s="12"/>
      <c r="IX6" s="6"/>
      <c r="JD6" s="236"/>
      <c r="JI6" s="12"/>
      <c r="JJ6" s="6"/>
      <c r="JP6" s="236"/>
      <c r="JU6" s="12"/>
      <c r="JV6" s="6"/>
      <c r="KB6" s="236"/>
      <c r="KG6" s="12"/>
      <c r="KH6" s="6"/>
      <c r="KN6" s="236"/>
      <c r="KS6" s="12"/>
      <c r="KT6" s="6"/>
      <c r="KZ6" s="236"/>
      <c r="LE6" s="12"/>
      <c r="LF6" s="6"/>
      <c r="LL6" s="236"/>
      <c r="LQ6" s="12"/>
      <c r="LR6" s="6"/>
      <c r="LX6" s="236"/>
      <c r="MC6" s="12"/>
      <c r="MD6" s="6"/>
      <c r="MJ6" s="236"/>
      <c r="MO6" s="12"/>
      <c r="MP6" s="6"/>
      <c r="MV6" s="236"/>
      <c r="NA6" s="12"/>
      <c r="NB6" s="6"/>
      <c r="NH6" s="236"/>
      <c r="NM6" s="12"/>
      <c r="NN6" s="6"/>
      <c r="NT6" s="236"/>
      <c r="NY6" s="12"/>
      <c r="NZ6" s="6"/>
      <c r="OF6" s="236"/>
      <c r="OK6" s="12"/>
      <c r="OL6" s="6"/>
      <c r="OR6" s="236"/>
      <c r="OW6" s="12"/>
      <c r="OX6" s="6"/>
      <c r="PD6" s="236"/>
      <c r="PI6" s="12"/>
      <c r="PJ6" s="6"/>
      <c r="PP6" s="236"/>
      <c r="PU6" s="12"/>
      <c r="PV6" s="6"/>
      <c r="QB6" s="236"/>
      <c r="QG6" s="12"/>
      <c r="QH6" s="6"/>
      <c r="QN6" s="236"/>
      <c r="QS6" s="12"/>
      <c r="QT6" s="6"/>
      <c r="QZ6" s="236"/>
      <c r="RE6" s="12"/>
      <c r="RF6" s="6"/>
      <c r="RL6" s="236"/>
      <c r="RQ6" s="12"/>
      <c r="RR6" s="6"/>
      <c r="RX6" s="236"/>
      <c r="SC6" s="12"/>
      <c r="SD6" s="6"/>
      <c r="SJ6" s="236"/>
      <c r="SO6" s="12"/>
      <c r="SP6" s="6"/>
      <c r="SV6" s="236"/>
      <c r="TA6" s="12"/>
      <c r="TB6" s="6"/>
      <c r="TH6" s="236"/>
      <c r="TM6" s="12"/>
      <c r="TN6" s="6"/>
      <c r="TT6" s="236"/>
      <c r="TY6" s="12"/>
      <c r="TZ6" s="6"/>
      <c r="UF6" s="236"/>
      <c r="UK6" s="12"/>
      <c r="UL6" s="6"/>
      <c r="UR6" s="236"/>
      <c r="UW6" s="12"/>
      <c r="UX6" s="6"/>
      <c r="VD6" s="236"/>
      <c r="VI6" s="12"/>
      <c r="VJ6" s="6"/>
      <c r="VP6" s="236"/>
      <c r="VU6" s="12"/>
      <c r="VV6" s="6"/>
      <c r="WB6" s="236"/>
      <c r="WG6" s="12"/>
      <c r="WH6" s="6"/>
      <c r="WN6" s="236"/>
      <c r="WS6" s="12"/>
      <c r="WT6" s="6"/>
      <c r="WZ6" s="236"/>
      <c r="XE6" s="12"/>
      <c r="XF6" s="6"/>
      <c r="XK6" s="12"/>
    </row>
    <row r="7" spans="1:635" x14ac:dyDescent="0.25">
      <c r="B7" s="65">
        <f t="shared" ref="B7:B70" ca="1" si="14">B6+1</f>
        <v>2022</v>
      </c>
      <c r="C7" s="65" t="s">
        <v>741</v>
      </c>
      <c r="D7" s="77">
        <f t="shared" ref="D7:D38" si="15">IF(INDEX(SC_ShowRetireatee,1),IF($B7&lt;YEAR(INDEX(SP_BirthDate,1)),0,$B7-YEAR(INDEX(SP_BirthDate,1))),0)</f>
        <v>0</v>
      </c>
      <c r="E7" s="77">
        <f t="shared" ref="E7:E38" si="16">IF(INDEX(SC_ShowRetireatee,2),IF($B7&lt;YEAR(INDEX(SP_BirthDate,2)),0,$B7-YEAR(INDEX(SP_BirthDate,2))),0)</f>
        <v>0</v>
      </c>
      <c r="F7" s="77">
        <f t="shared" ref="F7:F51" si="17">IF(INDEX(SC_ShowRetireatee,1),IF($B7&gt;(YEAR(INDEX(SP_BirthDate,1))+INDEX(SP_LifeExp,1)),0,$D7),0)</f>
        <v>0</v>
      </c>
      <c r="G7" s="77">
        <f t="shared" ref="G7:G51" si="18">IF(INDEX(SC_ShowRetireatee,2),IF($B7&gt;(YEAR(INDEX(SP_BirthDate,2))+INDEX(SP_LifeExp,2)),0,$E7),0)</f>
        <v>0</v>
      </c>
      <c r="H7" s="15">
        <f t="shared" ref="H7:H38" ca="1" si="19">INDEX(SC_EX_APW,EXIDX1)</f>
        <v>1</v>
      </c>
      <c r="L7" s="326">
        <f t="shared" ref="L7:L38" ca="1" si="20">MIN(MAX(IF(SP_AnnyRate="Indexed",INDEX(SP_EA_ARStocks,EAIDX),INDEX(SP_EA_BondYield,EAIDX))*SP_AnnyParticipation-SP_AnnyFees,SP_AnnyFloor),SP_AnnyCeiling)</f>
        <v>2.6000000000000016E-3</v>
      </c>
      <c r="M7" s="327">
        <f t="shared" ref="M7:M38" ca="1" si="21">$L7-IF(SP_AnnyInflation,INDEX(SP_EA_InflationCPRate, EAIDX),0)</f>
        <v>2.6000000000000016E-3</v>
      </c>
      <c r="N7" s="322">
        <f t="shared" ref="N7:N37" ca="1" si="22">YEAR(SP_TargetRD)-$B7</f>
        <v>1</v>
      </c>
      <c r="O7" s="322">
        <f t="shared" ref="O7:O38" ca="1" si="23">MAX(YEAR(SP_TargetRD)-$B7+SP_AnnyPeriod+IF(SC_AnnyPmntPr&gt;0,1,0),0)</f>
        <v>12</v>
      </c>
      <c r="P7" s="328">
        <f ca="1">SUMPRODUCT($AJ7:$XK7*(MOD(COLUMN($AJ7:$XK7)-COLUMN($AJ7),6)=3))</f>
        <v>10.83031590270841</v>
      </c>
      <c r="Q7" s="328">
        <f ca="1">SUMPRODUCT($AJ7:$XK7*(MOD(COLUMN($AJ7:$XK7)-COLUMN($AJ7),6)=4))</f>
        <v>9.0015510363072071</v>
      </c>
      <c r="R7" s="328">
        <f ca="1">SUMPRODUCT($AJ7:$XK7*(MOD(COLUMN($AJ7:$XK7)-COLUMN($AJ7),6)=5))</f>
        <v>10.83031590270841</v>
      </c>
      <c r="S7" s="329">
        <f t="shared" ref="S7:S38" ca="1" si="24">IF((P7-AM7)&gt;0,($P8-P7+AM7)/(P7-AM7),0)</f>
        <v>-0.13976605980181131</v>
      </c>
      <c r="T7" s="329">
        <f t="shared" ref="T7:T38" ca="1" si="25">IF((Q7-AN7)&gt;0,($P8-Q7+AN7)/(Q7-AN7),0)</f>
        <v>3.4999999999999865E-2</v>
      </c>
      <c r="U7" s="329">
        <f t="shared" ref="U7:U38" ca="1" si="26">IF(SP_AnnyRate="Variable",$T7,$S7)</f>
        <v>-0.13976605980181131</v>
      </c>
      <c r="V7" s="320">
        <f t="shared" ref="V7:V38" ca="1" si="27">MAX(V6+SUM(X6:AB6),0)</f>
        <v>0</v>
      </c>
      <c r="W7" s="320">
        <f t="shared" ref="W7:W27" ca="1" si="28">MAX(W6+X6+Y6+IF((V6+X6+Y6+Z6)&gt;0,MAX(AA6*((W6+X6+Y6)/(V6+SUM(X6:Z6))),AA6),0),0)</f>
        <v>0</v>
      </c>
      <c r="X7" s="320">
        <f t="shared" ref="X7:X38" ca="1" si="29">MAX(SP_AnnyContrib/INDEX(SC_EA_InflationWageIdx, EAIDX)*ABS($H7),0)</f>
        <v>0</v>
      </c>
      <c r="Y7" s="320">
        <f ca="1">INDEX(SC_ZA_HECMLumpSum,ZAIDX)</f>
        <v>0</v>
      </c>
      <c r="Z7" s="320">
        <f t="shared" ref="Z7:Z38" ca="1" si="30">INDEX(SC_EX_RolloverAnny,EXIDX1)</f>
        <v>0</v>
      </c>
      <c r="AA7" s="320">
        <f t="shared" ref="AA7:AA19" ca="1" si="31">IF($R7&gt;0,-(V7+SUM(X7:Z7))*ABS($AJ7)/$R7,0)</f>
        <v>0</v>
      </c>
      <c r="AB7" s="320">
        <f t="shared" ref="AB7:AB19" ca="1" si="32">(V7+SUM(X7:AA7))*U7</f>
        <v>0</v>
      </c>
      <c r="AC7" s="330">
        <f t="shared" ref="AC7:AC19" ca="1" si="33">(V7+SUM(X7:AA7))</f>
        <v>0</v>
      </c>
      <c r="AD7" s="236">
        <f ca="1">-$X7</f>
        <v>0</v>
      </c>
      <c r="AE7" s="320">
        <f t="shared" ref="AE7:AE27" ca="1" si="34">-(AA7-IF((V7+SUM(X7:Z7))&gt;0,MAX(AA7*((W7+X7+Y7)/(V7+SUM(X7:Z7))),AA7),0))</f>
        <v>0</v>
      </c>
      <c r="AF7" s="320">
        <f t="shared" ref="AF7:AF38" ca="1" si="35">-$AA7-$AE7</f>
        <v>0</v>
      </c>
      <c r="AG7" s="320">
        <f ca="1">$AE7+$AF7</f>
        <v>0</v>
      </c>
      <c r="AH7" s="284">
        <f ca="1">MAX($V7-$W7,0)</f>
        <v>0</v>
      </c>
      <c r="AI7" s="318">
        <f ca="1">MIN($V7,$W7)</f>
        <v>0</v>
      </c>
      <c r="AJ7" s="331">
        <f t="shared" ref="AJ7:AV7" ca="1" si="36">IF(($B7+AJ$2)&lt;SC_TargetRY,0,IF(($B7+AJ$2)=SC_TargetRY,SC_AnnyPmntPr,IF(SP_AnnyTerms="Life",1,IF(($B7+AJ$2)=(SC_TargetRY+SP_AnnyPeriod),SC_AnnyPmntPr-1,IF(($B7+AJ$2)&gt;(SC_TargetRY+SP_AnnyPeriod),0,1)))))</f>
        <v>0</v>
      </c>
      <c r="AK7" s="220">
        <f ca="1">IF($F7&gt;0,IF(AJ$2&gt;0,PRODUCT(OFFSET(LT_AnnuityLifeTable,$F7,2,AJ$2,1)),100%),0)</f>
        <v>0</v>
      </c>
      <c r="AL7" s="220">
        <f t="shared" ref="AL7:AL38" ca="1" si="37">IF(AND($G7&gt;0,SP_AnnySurvivor),IF(AJ$2&gt;0,PRODUCT(OFFSET(LT_AnnuityLifeTable,$G7,5,AJ$2,1)),100%),0)</f>
        <v>0</v>
      </c>
      <c r="AM7" s="235">
        <f t="shared" ref="AM7" ca="1" si="38">ABS(AJ7)*IF(AJ$2&lt;$O7,1,(AK7+AL7)-(AK7*AL7))/POWER(1+$L7,AJ$2)</f>
        <v>0</v>
      </c>
      <c r="AN7" s="235">
        <f t="shared" ref="AN7" ca="1" si="39">ABS(AJ7)*IF(AJ$2&lt;$O7,1,(AK7+AL7)-(AK7*AL7))/POWER(1+$L8,AJ$2)</f>
        <v>0</v>
      </c>
      <c r="AO7" s="242">
        <f t="shared" ref="AO7" ca="1" si="40">ABS(AJ7)*IF(AJ$2&lt;$O7,1,(AK7+AL7)-(AK7*AL7))/POWER(1+$M7,AJ$2)</f>
        <v>0</v>
      </c>
      <c r="AP7" s="241">
        <f t="shared" ca="1" si="36"/>
        <v>1</v>
      </c>
      <c r="AQ7" s="220">
        <f t="shared" ref="AQ7:AQ38" ca="1" si="41">IF($F7&gt;0,IF(AP$2&gt;0,PRODUCT(OFFSET(LT_AnnuityLifeTable,$F7,2,AP$2,1)),100%),0)</f>
        <v>0</v>
      </c>
      <c r="AR7" s="220">
        <f t="shared" ref="AR7:AR38" ca="1" si="42">IF(AND($G7&gt;0,SP_AnnySurvivor),IF(AP$2&gt;0,PRODUCT(OFFSET(LT_AnnuityLifeTable,$G7,5,AP$2,1)),100%),0)</f>
        <v>0</v>
      </c>
      <c r="AS7" s="235">
        <f t="shared" ref="AS7:AS70" ca="1" si="43">ABS(AP7)*IF(AP$2&lt;$O7,1,(AQ7+AR7)-(AQ7*AR7))/POWER(1+$L7,AP$2)</f>
        <v>0.99740674246957917</v>
      </c>
      <c r="AT7" s="235">
        <f t="shared" ref="AT7:AT70" ca="1" si="44">ABS(AP7)*IF(AP$2&lt;$O7,1,(AQ7+AR7)-(AQ7*AR7))/POWER(1+$L8,AP$2)</f>
        <v>0.96618357487922713</v>
      </c>
      <c r="AU7" s="242">
        <f t="shared" ref="AU7:AU70" ca="1" si="45">ABS(AP7)*IF(AP$2&lt;$O7,1,(AQ7+AR7)-(AQ7*AR7))/POWER(1+$M7,AP$2)</f>
        <v>0.99740674246957917</v>
      </c>
      <c r="AV7" s="241">
        <f t="shared" ca="1" si="36"/>
        <v>1</v>
      </c>
      <c r="AW7" s="220">
        <f t="shared" ref="AW7:AW38" ca="1" si="46">IF($F7&gt;0,IF(AV$2&gt;0,PRODUCT(OFFSET(LT_AnnuityLifeTable,$F7,2,AV$2,1)),100%),0)</f>
        <v>0</v>
      </c>
      <c r="AX7" s="220">
        <f t="shared" ref="AX7:AX38" ca="1" si="47">IF(AND($G7&gt;0,SP_AnnySurvivor),IF(AV$2&gt;0,PRODUCT(OFFSET(LT_AnnuityLifeTable,$G7,5,AV$2,1)),100%),0)</f>
        <v>0</v>
      </c>
      <c r="AY7" s="235">
        <f t="shared" ref="AY7:AY70" ca="1" si="48">ABS(AV7)*IF(AV$2&lt;$O7,1,(AW7+AX7)-(AW7*AX7))/POWER(1+$L7,AV$2)</f>
        <v>0.9948202099237774</v>
      </c>
      <c r="AZ7" s="235">
        <f t="shared" ref="AZ7:AZ70" ca="1" si="49">ABS(AV7)*IF(AV$2&lt;$O7,1,(AW7+AX7)-(AW7*AX7))/POWER(1+$L8,AV$2)</f>
        <v>0.93351070036640305</v>
      </c>
      <c r="BA7" s="242">
        <f t="shared" ref="BA7:BA70" ca="1" si="50">ABS(AV7)*IF(AV$2&lt;$O7,1,(AW7+AX7)-(AW7*AX7))/POWER(1+$M7,AV$2)</f>
        <v>0.9948202099237774</v>
      </c>
      <c r="BB7" s="241">
        <f t="shared" ref="BB7:DJ70" ca="1" si="51">IF(($B7+BB$2)&lt;SC_TargetRY,0,IF(($B7+BB$2)=SC_TargetRY,SC_AnnyPmntPr,IF(SP_AnnyTerms="Life",1,IF(($B7+BB$2)=(SC_TargetRY+SP_AnnyPeriod),SC_AnnyPmntPr-1,IF(($B7+BB$2)&gt;(SC_TargetRY+SP_AnnyPeriod),0,1)))))</f>
        <v>1</v>
      </c>
      <c r="BC7" s="220">
        <f t="shared" ref="BC7:BC38" ca="1" si="52">IF($F7&gt;0,IF(BB$2&gt;0,PRODUCT(OFFSET(LT_AnnuityLifeTable,$F7,2,BB$2,1)),100%),0)</f>
        <v>0</v>
      </c>
      <c r="BD7" s="220">
        <f t="shared" ref="BD7:BD38" ca="1" si="53">IF(AND($G7&gt;0,SP_AnnySurvivor),IF(BB$2&gt;0,PRODUCT(OFFSET(LT_AnnuityLifeTable,$G7,5,BB$2,1)),100%),0)</f>
        <v>0</v>
      </c>
      <c r="BE7" s="235">
        <f t="shared" ref="BE7:BE70" ca="1" si="54">ABS(BB7)*IF(BB$2&lt;$O7,1,(BC7+BD7)-(BC7*BD7))/POWER(1+$L7,BB$2)</f>
        <v>0.99224038492297773</v>
      </c>
      <c r="BF7" s="235">
        <f t="shared" ref="BF7:BF70" ca="1" si="55">ABS(BB7)*IF(BB$2&lt;$O7,1,(BC7+BD7)-(BC7*BD7))/POWER(1+$L8,BB$2)</f>
        <v>0.90194270566802237</v>
      </c>
      <c r="BG7" s="242">
        <f t="shared" ref="BG7:BG70" ca="1" si="56">ABS(BB7)*IF(BB$2&lt;$O7,1,(BC7+BD7)-(BC7*BD7))/POWER(1+$M7,BB$2)</f>
        <v>0.99224038492297773</v>
      </c>
      <c r="BH7" s="241">
        <f t="shared" ca="1" si="51"/>
        <v>1</v>
      </c>
      <c r="BI7" s="220">
        <f t="shared" ref="BI7:BI38" ca="1" si="57">IF($F7&gt;0,IF(BH$2&gt;0,PRODUCT(OFFSET(LT_AnnuityLifeTable,$F7,2,BH$2,1)),100%),0)</f>
        <v>0</v>
      </c>
      <c r="BJ7" s="220">
        <f t="shared" ref="BJ7:BJ38" ca="1" si="58">IF(AND($G7&gt;0,SP_AnnySurvivor),IF(BH$2&gt;0,PRODUCT(OFFSET(LT_AnnuityLifeTable,$G7,5,BH$2,1)),100%),0)</f>
        <v>0</v>
      </c>
      <c r="BK7" s="235">
        <f t="shared" ref="BK7:BK70" ca="1" si="59">ABS(BH7)*IF(BH$2&lt;$O7,1,(BI7+BJ7)-(BI7*BJ7))/POWER(1+$L7,BH$2)</f>
        <v>0.98966725007278855</v>
      </c>
      <c r="BL7" s="235">
        <f t="shared" ref="BL7:BL70" ca="1" si="60">ABS(BH7)*IF(BH$2&lt;$O7,1,(BI7+BJ7)-(BI7*BJ7))/POWER(1+$L8,BH$2)</f>
        <v>0.87144222769857238</v>
      </c>
      <c r="BM7" s="242">
        <f t="shared" ref="BM7:BM70" ca="1" si="61">ABS(BH7)*IF(BH$2&lt;$O7,1,(BI7+BJ7)-(BI7*BJ7))/POWER(1+$M7,BH$2)</f>
        <v>0.98966725007278855</v>
      </c>
      <c r="BN7" s="241">
        <f t="shared" ca="1" si="51"/>
        <v>1</v>
      </c>
      <c r="BO7" s="220">
        <f t="shared" ref="BO7:BO38" ca="1" si="62">IF($F7&gt;0,IF(BN$2&gt;0,PRODUCT(OFFSET(LT_AnnuityLifeTable,$F7,2,BN$2,1)),100%),0)</f>
        <v>0</v>
      </c>
      <c r="BP7" s="220">
        <f t="shared" ref="BP7:BP38" ca="1" si="63">IF(AND($G7&gt;0,SP_AnnySurvivor),IF(BN$2&gt;0,PRODUCT(OFFSET(LT_AnnuityLifeTable,$G7,5,BN$2,1)),100%),0)</f>
        <v>0</v>
      </c>
      <c r="BQ7" s="235">
        <f t="shared" ref="BQ7:BQ70" ca="1" si="64">ABS(BN7)*IF(BN$2&lt;$O7,1,(BO7+BP7)-(BO7*BP7))/POWER(1+$L7,BN$2)</f>
        <v>0.98710078802392642</v>
      </c>
      <c r="BR7" s="235">
        <f t="shared" ref="BR7:BR70" ca="1" si="65">ABS(BN7)*IF(BN$2&lt;$O7,1,(BO7+BP7)-(BO7*BP7))/POWER(1+$L8,BN$2)</f>
        <v>0.84197316685852419</v>
      </c>
      <c r="BS7" s="242">
        <f t="shared" ref="BS7:BS70" ca="1" si="66">ABS(BN7)*IF(BN$2&lt;$O7,1,(BO7+BP7)-(BO7*BP7))/POWER(1+$M7,BN$2)</f>
        <v>0.98710078802392642</v>
      </c>
      <c r="BT7" s="241">
        <f t="shared" ca="1" si="51"/>
        <v>1</v>
      </c>
      <c r="BU7" s="220">
        <f t="shared" ref="BU7:BU38" ca="1" si="67">IF($F7&gt;0,IF(BT$2&gt;0,PRODUCT(OFFSET(LT_AnnuityLifeTable,$F7,2,BT$2,1)),100%),0)</f>
        <v>0</v>
      </c>
      <c r="BV7" s="220">
        <f t="shared" ref="BV7:BV38" ca="1" si="68">IF(AND($G7&gt;0,SP_AnnySurvivor),IF(BT$2&gt;0,PRODUCT(OFFSET(LT_AnnuityLifeTable,$G7,5,BT$2,1)),100%),0)</f>
        <v>0</v>
      </c>
      <c r="BW7" s="235">
        <f t="shared" ref="BW7:BW70" ca="1" si="69">ABS(BT7)*IF(BT$2&lt;$O7,1,(BU7+BV7)-(BU7*BV7))/POWER(1+$L7,BT$2)</f>
        <v>0.9845409814720989</v>
      </c>
      <c r="BX7" s="235">
        <f t="shared" ref="BX7:BX70" ca="1" si="70">ABS(BT7)*IF(BT$2&lt;$O7,1,(BU7+BV7)-(BU7*BV7))/POWER(1+$L8,BT$2)</f>
        <v>0.81350064430775282</v>
      </c>
      <c r="BY7" s="242">
        <f t="shared" ref="BY7:BY70" ca="1" si="71">ABS(BT7)*IF(BT$2&lt;$O7,1,(BU7+BV7)-(BU7*BV7))/POWER(1+$M7,BT$2)</f>
        <v>0.9845409814720989</v>
      </c>
      <c r="BZ7" s="241">
        <f t="shared" ca="1" si="51"/>
        <v>1</v>
      </c>
      <c r="CA7" s="220">
        <f t="shared" ref="CA7:CA38" ca="1" si="72">IF($F7&gt;0,IF(BZ$2&gt;0,PRODUCT(OFFSET(LT_AnnuityLifeTable,$F7,2,BZ$2,1)),100%),0)</f>
        <v>0</v>
      </c>
      <c r="CB7" s="220">
        <f t="shared" ref="CB7:CB38" ca="1" si="73">IF(AND($G7&gt;0,SP_AnnySurvivor),IF(BZ$2&gt;0,PRODUCT(OFFSET(LT_AnnuityLifeTable,$G7,5,BZ$2,1)),100%),0)</f>
        <v>0</v>
      </c>
      <c r="CC7" s="235">
        <f t="shared" ref="CC7:CC70" ca="1" si="74">ABS(BZ7)*IF(BZ$2&lt;$O7,1,(CA7+CB7)-(CA7*CB7))/POWER(1+$L7,BZ$2)</f>
        <v>0.98198781315788863</v>
      </c>
      <c r="CD7" s="235">
        <f t="shared" ref="CD7:CD70" ca="1" si="75">ABS(BZ7)*IF(BZ$2&lt;$O7,1,(CA7+CB7)-(CA7*CB7))/POWER(1+$L8,BZ$2)</f>
        <v>0.78599096068381913</v>
      </c>
      <c r="CE7" s="242">
        <f t="shared" ref="CE7:CE70" ca="1" si="76">ABS(BZ7)*IF(BZ$2&lt;$O7,1,(CA7+CB7)-(CA7*CB7))/POWER(1+$M7,BZ$2)</f>
        <v>0.98198781315788863</v>
      </c>
      <c r="CF7" s="241">
        <f t="shared" ca="1" si="51"/>
        <v>1</v>
      </c>
      <c r="CG7" s="220">
        <f t="shared" ref="CG7:CG38" ca="1" si="77">IF($F7&gt;0,IF(CF$2&gt;0,PRODUCT(OFFSET(LT_AnnuityLifeTable,$F7,2,CF$2,1)),100%),0)</f>
        <v>0</v>
      </c>
      <c r="CH7" s="220">
        <f t="shared" ref="CH7:CH38" ca="1" si="78">IF(AND($G7&gt;0,SP_AnnySurvivor),IF(CF$2&gt;0,PRODUCT(OFFSET(LT_AnnuityLifeTable,$G7,5,CF$2,1)),100%),0)</f>
        <v>0</v>
      </c>
      <c r="CI7" s="235">
        <f t="shared" ref="CI7:CI70" ca="1" si="79">ABS(CF7)*IF(CF$2&lt;$O7,1,(CG7+CH7)-(CG7*CH7))/POWER(1+$L7,CF$2)</f>
        <v>0.97944126586663538</v>
      </c>
      <c r="CJ7" s="235">
        <f t="shared" ref="CJ7:CJ70" ca="1" si="80">ABS(CF7)*IF(CF$2&lt;$O7,1,(CG7+CH7)-(CG7*CH7))/POWER(1+$L8,CF$2)</f>
        <v>0.75941155621625056</v>
      </c>
      <c r="CK7" s="242">
        <f t="shared" ref="CK7:CK70" ca="1" si="81">ABS(CF7)*IF(CF$2&lt;$O7,1,(CG7+CH7)-(CG7*CH7))/POWER(1+$M7,CF$2)</f>
        <v>0.97944126586663538</v>
      </c>
      <c r="CL7" s="241">
        <f t="shared" ca="1" si="51"/>
        <v>1</v>
      </c>
      <c r="CM7" s="220">
        <f t="shared" ref="CM7:CM38" ca="1" si="82">IF($F7&gt;0,IF(CL$2&gt;0,PRODUCT(OFFSET(LT_AnnuityLifeTable,$F7,2,CL$2,1)),100%),0)</f>
        <v>0</v>
      </c>
      <c r="CN7" s="220">
        <f t="shared" ref="CN7:CN38" ca="1" si="83">IF(AND($G7&gt;0,SP_AnnySurvivor),IF(CL$2&gt;0,PRODUCT(OFFSET(LT_AnnuityLifeTable,$G7,5,CL$2,1)),100%),0)</f>
        <v>0</v>
      </c>
      <c r="CO7" s="235">
        <f t="shared" ref="CO7:CO70" ca="1" si="84">ABS(CL7)*IF(CL$2&lt;$O7,1,(CM7+CN7)-(CM7*CN7))/POWER(1+$L7,CL$2)</f>
        <v>0.97690132242832173</v>
      </c>
      <c r="CP7" s="235">
        <f t="shared" ref="CP7:CP70" ca="1" si="85">ABS(CL7)*IF(CL$2&lt;$O7,1,(CM7+CN7)-(CM7*CN7))/POWER(1+$L8,CL$2)</f>
        <v>0.73373097218961414</v>
      </c>
      <c r="CQ7" s="242">
        <f t="shared" ref="CQ7:CQ70" ca="1" si="86">ABS(CL7)*IF(CL$2&lt;$O7,1,(CM7+CN7)-(CM7*CN7))/POWER(1+$M7,CL$2)</f>
        <v>0.97690132242832173</v>
      </c>
      <c r="CR7" s="241">
        <f t="shared" ca="1" si="51"/>
        <v>1</v>
      </c>
      <c r="CS7" s="220">
        <f t="shared" ref="CS7:CS38" ca="1" si="87">IF($F7&gt;0,IF(CR$2&gt;0,PRODUCT(OFFSET(LT_AnnuityLifeTable,$F7,2,CR$2,1)),100%),0)</f>
        <v>0</v>
      </c>
      <c r="CT7" s="220">
        <f t="shared" ref="CT7:CT38" ca="1" si="88">IF(AND($G7&gt;0,SP_AnnySurvivor),IF(CR$2&gt;0,PRODUCT(OFFSET(LT_AnnuityLifeTable,$G7,5,CR$2,1)),100%),0)</f>
        <v>0</v>
      </c>
      <c r="CU7" s="235">
        <f t="shared" ref="CU7:CU70" ca="1" si="89">ABS(CR7)*IF(CR$2&lt;$O7,1,(CS7+CT7)-(CS7*CT7))/POWER(1+$L7,CR$2)</f>
        <v>0.97436796571745643</v>
      </c>
      <c r="CV7" s="235">
        <f t="shared" ref="CV7:CV70" ca="1" si="90">ABS(CR7)*IF(CR$2&lt;$O7,1,(CS7+CT7)-(CS7*CT7))/POWER(1+$L8,CR$2)</f>
        <v>0.70891881370977217</v>
      </c>
      <c r="CW7" s="242">
        <f t="shared" ref="CW7:CW70" ca="1" si="91">ABS(CR7)*IF(CR$2&lt;$O7,1,(CS7+CT7)-(CS7*CT7))/POWER(1+$M7,CR$2)</f>
        <v>0.97436796571745643</v>
      </c>
      <c r="CX7" s="241">
        <f t="shared" ca="1" si="51"/>
        <v>1</v>
      </c>
      <c r="CY7" s="220">
        <f t="shared" ref="CY7:CY38" ca="1" si="92">IF($F7&gt;0,IF(CX$2&gt;0,PRODUCT(OFFSET(LT_AnnuityLifeTable,$F7,2,CX$2,1)),100%),0)</f>
        <v>0</v>
      </c>
      <c r="CZ7" s="220">
        <f t="shared" ref="CZ7:CZ38" ca="1" si="93">IF(AND($G7&gt;0,SP_AnnySurvivor),IF(CX$2&gt;0,PRODUCT(OFFSET(LT_AnnuityLifeTable,$G7,5,CX$2,1)),100%),0)</f>
        <v>0</v>
      </c>
      <c r="DA7" s="235">
        <f t="shared" ref="DA7:DA70" ca="1" si="94">ABS(CX7)*IF(CX$2&lt;$O7,1,(CY7+CZ7)-(CY7*CZ7))/POWER(1+$L7,CX$2)</f>
        <v>0.97184117865295883</v>
      </c>
      <c r="DB7" s="235">
        <f t="shared" ref="DB7:DB70" ca="1" si="95">ABS(CX7)*IF(CX$2&lt;$O7,1,(CY7+CZ7)-(CY7*CZ7))/POWER(1+$L8,CX$2)</f>
        <v>0.68494571372924851</v>
      </c>
      <c r="DC7" s="242">
        <f t="shared" ref="DC7:DC70" ca="1" si="96">ABS(CX7)*IF(CX$2&lt;$O7,1,(CY7+CZ7)-(CY7*CZ7))/POWER(1+$M7,CX$2)</f>
        <v>0.97184117865295883</v>
      </c>
      <c r="DD7" s="241">
        <f t="shared" ca="1" si="51"/>
        <v>1</v>
      </c>
      <c r="DE7" s="220">
        <f t="shared" ref="DE7:DE38" ca="1" si="97">IF($F7&gt;0,IF(DD$2&gt;0,PRODUCT(OFFSET(LT_AnnuityLifeTable,$F7,2,DD$2,1)),100%),0)</f>
        <v>0</v>
      </c>
      <c r="DF7" s="220">
        <f t="shared" ref="DF7:DF38" ca="1" si="98">IF(AND($G7&gt;0,SP_AnnySurvivor),IF(DD$2&gt;0,PRODUCT(OFFSET(LT_AnnuityLifeTable,$G7,5,DD$2,1)),100%),0)</f>
        <v>0</v>
      </c>
      <c r="DG7" s="235">
        <f t="shared" ref="DG7:DG70" ca="1" si="99">ABS(DD7)*IF(DD$2&lt;$O7,1,(DE7+DF7)-(DE7*DF7))/POWER(1+$L7,DD$2)</f>
        <v>0</v>
      </c>
      <c r="DH7" s="235">
        <f t="shared" ref="DH7:DH70" ca="1" si="100">ABS(DD7)*IF(DD$2&lt;$O7,1,(DE7+DF7)-(DE7*DF7))/POWER(1+$L8,DD$2)</f>
        <v>0</v>
      </c>
      <c r="DI7" s="242">
        <f t="shared" ref="DI7:DI70" ca="1" si="101">ABS(DD7)*IF(DD$2&lt;$O7,1,(DE7+DF7)-(DE7*DF7))/POWER(1+$M7,DD$2)</f>
        <v>0</v>
      </c>
      <c r="DJ7" s="241">
        <f t="shared" ca="1" si="51"/>
        <v>1</v>
      </c>
      <c r="DK7" s="220">
        <f t="shared" ref="DK7:DK38" ca="1" si="102">IF($F7&gt;0,IF(DJ$2&gt;0,PRODUCT(OFFSET(LT_AnnuityLifeTable,$F7,2,DJ$2,1)),100%),0)</f>
        <v>0</v>
      </c>
      <c r="DL7" s="220">
        <f t="shared" ref="DL7:DL38" ca="1" si="103">IF(AND($G7&gt;0,SP_AnnySurvivor),IF(DJ$2&gt;0,PRODUCT(OFFSET(LT_AnnuityLifeTable,$G7,5,DJ$2,1)),100%),0)</f>
        <v>0</v>
      </c>
      <c r="DM7" s="235">
        <f t="shared" ref="DM7:DM70" ca="1" si="104">ABS(DJ7)*IF(DJ$2&lt;$O7,1,(DK7+DL7)-(DK7*DL7))/POWER(1+$L7,DJ$2)</f>
        <v>0</v>
      </c>
      <c r="DN7" s="235">
        <f t="shared" ref="DN7:DN70" ca="1" si="105">ABS(DJ7)*IF(DJ$2&lt;$O7,1,(DK7+DL7)-(DK7*DL7))/POWER(1+$L8,DJ$2)</f>
        <v>0</v>
      </c>
      <c r="DO7" s="242">
        <f t="shared" ref="DO7:DO70" ca="1" si="106">ABS(DJ7)*IF(DJ$2&lt;$O7,1,(DK7+DL7)-(DK7*DL7))/POWER(1+$M7,DJ$2)</f>
        <v>0</v>
      </c>
      <c r="DP7" s="241">
        <f t="shared" ref="DP7:FX30" ca="1" si="107">IF(($B7+DP$2)&lt;SC_TargetRY,0,IF(($B7+DP$2)=SC_TargetRY,SC_AnnyPmntPr,IF(SP_AnnyTerms="Life",1,IF(($B7+DP$2)=(SC_TargetRY+SP_AnnyPeriod),SC_AnnyPmntPr-1,IF(($B7+DP$2)&gt;(SC_TargetRY+SP_AnnyPeriod),0,1)))))</f>
        <v>1</v>
      </c>
      <c r="DQ7" s="220">
        <f t="shared" ref="DQ7:DQ38" ca="1" si="108">IF($F7&gt;0,IF(DP$2&gt;0,PRODUCT(OFFSET(LT_AnnuityLifeTable,$F7,2,DP$2,1)),100%),0)</f>
        <v>0</v>
      </c>
      <c r="DR7" s="220">
        <f t="shared" ref="DR7:DR38" ca="1" si="109">IF(AND($G7&gt;0,SP_AnnySurvivor),IF(DP$2&gt;0,PRODUCT(OFFSET(LT_AnnuityLifeTable,$G7,5,DP$2,1)),100%),0)</f>
        <v>0</v>
      </c>
      <c r="DS7" s="235">
        <f t="shared" ref="DS7:DS70" ca="1" si="110">ABS(DP7)*IF(DP$2&lt;$O7,1,(DQ7+DR7)-(DQ7*DR7))/POWER(1+$L7,DP$2)</f>
        <v>0</v>
      </c>
      <c r="DT7" s="235">
        <f t="shared" ref="DT7:DT70" ca="1" si="111">ABS(DP7)*IF(DP$2&lt;$O7,1,(DQ7+DR7)-(DQ7*DR7))/POWER(1+$L8,DP$2)</f>
        <v>0</v>
      </c>
      <c r="DU7" s="242">
        <f t="shared" ref="DU7:DU70" ca="1" si="112">ABS(DP7)*IF(DP$2&lt;$O7,1,(DQ7+DR7)-(DQ7*DR7))/POWER(1+$M7,DP$2)</f>
        <v>0</v>
      </c>
      <c r="DV7" s="241">
        <f t="shared" ca="1" si="107"/>
        <v>1</v>
      </c>
      <c r="DW7" s="220">
        <f t="shared" ref="DW7:DW38" ca="1" si="113">IF($F7&gt;0,IF(DV$2&gt;0,PRODUCT(OFFSET(LT_AnnuityLifeTable,$F7,2,DV$2,1)),100%),0)</f>
        <v>0</v>
      </c>
      <c r="DX7" s="220">
        <f t="shared" ref="DX7:DX38" ca="1" si="114">IF(AND($G7&gt;0,SP_AnnySurvivor),IF(DV$2&gt;0,PRODUCT(OFFSET(LT_AnnuityLifeTable,$G7,5,DV$2,1)),100%),0)</f>
        <v>0</v>
      </c>
      <c r="DY7" s="235">
        <f t="shared" ref="DY7:DY70" ca="1" si="115">ABS(DV7)*IF(DV$2&lt;$O7,1,(DW7+DX7)-(DW7*DX7))/POWER(1+$L7,DV$2)</f>
        <v>0</v>
      </c>
      <c r="DZ7" s="235">
        <f t="shared" ref="DZ7:DZ70" ca="1" si="116">ABS(DV7)*IF(DV$2&lt;$O7,1,(DW7+DX7)-(DW7*DX7))/POWER(1+$L8,DV$2)</f>
        <v>0</v>
      </c>
      <c r="EA7" s="242">
        <f t="shared" ref="EA7:EA70" ca="1" si="117">ABS(DV7)*IF(DV$2&lt;$O7,1,(DW7+DX7)-(DW7*DX7))/POWER(1+$M7,DV$2)</f>
        <v>0</v>
      </c>
      <c r="EB7" s="241">
        <f t="shared" ca="1" si="107"/>
        <v>1</v>
      </c>
      <c r="EC7" s="220">
        <f t="shared" ref="EC7:EC38" ca="1" si="118">IF($F7&gt;0,IF(EB$2&gt;0,PRODUCT(OFFSET(LT_AnnuityLifeTable,$F7,2,EB$2,1)),100%),0)</f>
        <v>0</v>
      </c>
      <c r="ED7" s="220">
        <f t="shared" ref="ED7:ED38" ca="1" si="119">IF(AND($G7&gt;0,SP_AnnySurvivor),IF(EB$2&gt;0,PRODUCT(OFFSET(LT_AnnuityLifeTable,$G7,5,EB$2,1)),100%),0)</f>
        <v>0</v>
      </c>
      <c r="EE7" s="235">
        <f t="shared" ref="EE7:EE70" ca="1" si="120">ABS(EB7)*IF(EB$2&lt;$O7,1,(EC7+ED7)-(EC7*ED7))/POWER(1+$L7,EB$2)</f>
        <v>0</v>
      </c>
      <c r="EF7" s="235">
        <f t="shared" ref="EF7:EF70" ca="1" si="121">ABS(EB7)*IF(EB$2&lt;$O7,1,(EC7+ED7)-(EC7*ED7))/POWER(1+$L8,EB$2)</f>
        <v>0</v>
      </c>
      <c r="EG7" s="242">
        <f t="shared" ref="EG7:EG70" ca="1" si="122">ABS(EB7)*IF(EB$2&lt;$O7,1,(EC7+ED7)-(EC7*ED7))/POWER(1+$M7,EB$2)</f>
        <v>0</v>
      </c>
      <c r="EH7" s="241">
        <f t="shared" ca="1" si="107"/>
        <v>1</v>
      </c>
      <c r="EI7" s="220">
        <f t="shared" ref="EI7:EI38" ca="1" si="123">IF($F7&gt;0,IF(EH$2&gt;0,PRODUCT(OFFSET(LT_AnnuityLifeTable,$F7,2,EH$2,1)),100%),0)</f>
        <v>0</v>
      </c>
      <c r="EJ7" s="220">
        <f t="shared" ref="EJ7:EJ38" ca="1" si="124">IF(AND($G7&gt;0,SP_AnnySurvivor),IF(EH$2&gt;0,PRODUCT(OFFSET(LT_AnnuityLifeTable,$G7,5,EH$2,1)),100%),0)</f>
        <v>0</v>
      </c>
      <c r="EK7" s="235">
        <f t="shared" ref="EK7:EK70" ca="1" si="125">ABS(EH7)*IF(EH$2&lt;$O7,1,(EI7+EJ7)-(EI7*EJ7))/POWER(1+$L7,EH$2)</f>
        <v>0</v>
      </c>
      <c r="EL7" s="235">
        <f t="shared" ref="EL7:EL70" ca="1" si="126">ABS(EH7)*IF(EH$2&lt;$O7,1,(EI7+EJ7)-(EI7*EJ7))/POWER(1+$L8,EH$2)</f>
        <v>0</v>
      </c>
      <c r="EM7" s="242">
        <f t="shared" ref="EM7:EM70" ca="1" si="127">ABS(EH7)*IF(EH$2&lt;$O7,1,(EI7+EJ7)-(EI7*EJ7))/POWER(1+$M7,EH$2)</f>
        <v>0</v>
      </c>
      <c r="EN7" s="241">
        <f t="shared" ca="1" si="107"/>
        <v>1</v>
      </c>
      <c r="EO7" s="220">
        <f t="shared" ref="EO7:EO38" ca="1" si="128">IF($F7&gt;0,IF(EN$2&gt;0,PRODUCT(OFFSET(LT_AnnuityLifeTable,$F7,2,EN$2,1)),100%),0)</f>
        <v>0</v>
      </c>
      <c r="EP7" s="220">
        <f t="shared" ref="EP7:EP38" ca="1" si="129">IF(AND($G7&gt;0,SP_AnnySurvivor),IF(EN$2&gt;0,PRODUCT(OFFSET(LT_AnnuityLifeTable,$G7,5,EN$2,1)),100%),0)</f>
        <v>0</v>
      </c>
      <c r="EQ7" s="235">
        <f t="shared" ref="EQ7:EQ70" ca="1" si="130">ABS(EN7)*IF(EN$2&lt;$O7,1,(EO7+EP7)-(EO7*EP7))/POWER(1+$L7,EN$2)</f>
        <v>0</v>
      </c>
      <c r="ER7" s="235">
        <f t="shared" ref="ER7:ER70" ca="1" si="131">ABS(EN7)*IF(EN$2&lt;$O7,1,(EO7+EP7)-(EO7*EP7))/POWER(1+$L8,EN$2)</f>
        <v>0</v>
      </c>
      <c r="ES7" s="242">
        <f t="shared" ref="ES7:ES70" ca="1" si="132">ABS(EN7)*IF(EN$2&lt;$O7,1,(EO7+EP7)-(EO7*EP7))/POWER(1+$M7,EN$2)</f>
        <v>0</v>
      </c>
      <c r="ET7" s="241">
        <f t="shared" ca="1" si="107"/>
        <v>1</v>
      </c>
      <c r="EU7" s="220">
        <f t="shared" ref="EU7:EU38" ca="1" si="133">IF($F7&gt;0,IF(ET$2&gt;0,PRODUCT(OFFSET(LT_AnnuityLifeTable,$F7,2,ET$2,1)),100%),0)</f>
        <v>0</v>
      </c>
      <c r="EV7" s="220">
        <f t="shared" ref="EV7:EV38" ca="1" si="134">IF(AND($G7&gt;0,SP_AnnySurvivor),IF(ET$2&gt;0,PRODUCT(OFFSET(LT_AnnuityLifeTable,$G7,5,ET$2,1)),100%),0)</f>
        <v>0</v>
      </c>
      <c r="EW7" s="235">
        <f t="shared" ref="EW7:EW70" ca="1" si="135">ABS(ET7)*IF(ET$2&lt;$O7,1,(EU7+EV7)-(EU7*EV7))/POWER(1+$L7,ET$2)</f>
        <v>0</v>
      </c>
      <c r="EX7" s="235">
        <f t="shared" ref="EX7:EX70" ca="1" si="136">ABS(ET7)*IF(ET$2&lt;$O7,1,(EU7+EV7)-(EU7*EV7))/POWER(1+$L8,ET$2)</f>
        <v>0</v>
      </c>
      <c r="EY7" s="242">
        <f t="shared" ref="EY7:EY70" ca="1" si="137">ABS(ET7)*IF(ET$2&lt;$O7,1,(EU7+EV7)-(EU7*EV7))/POWER(1+$M7,ET$2)</f>
        <v>0</v>
      </c>
      <c r="EZ7" s="241">
        <f t="shared" ca="1" si="107"/>
        <v>1</v>
      </c>
      <c r="FA7" s="220">
        <f t="shared" ref="FA7:FA38" ca="1" si="138">IF($F7&gt;0,IF(EZ$2&gt;0,PRODUCT(OFFSET(LT_AnnuityLifeTable,$F7,2,EZ$2,1)),100%),0)</f>
        <v>0</v>
      </c>
      <c r="FB7" s="220">
        <f t="shared" ref="FB7:FB38" ca="1" si="139">IF(AND($G7&gt;0,SP_AnnySurvivor),IF(EZ$2&gt;0,PRODUCT(OFFSET(LT_AnnuityLifeTable,$G7,5,EZ$2,1)),100%),0)</f>
        <v>0</v>
      </c>
      <c r="FC7" s="235">
        <f t="shared" ref="FC7:FC70" ca="1" si="140">ABS(EZ7)*IF(EZ$2&lt;$O7,1,(FA7+FB7)-(FA7*FB7))/POWER(1+$L7,EZ$2)</f>
        <v>0</v>
      </c>
      <c r="FD7" s="235">
        <f t="shared" ref="FD7:FD70" ca="1" si="141">ABS(EZ7)*IF(EZ$2&lt;$O7,1,(FA7+FB7)-(FA7*FB7))/POWER(1+$L8,EZ$2)</f>
        <v>0</v>
      </c>
      <c r="FE7" s="242">
        <f t="shared" ref="FE7:FE70" ca="1" si="142">ABS(EZ7)*IF(EZ$2&lt;$O7,1,(FA7+FB7)-(FA7*FB7))/POWER(1+$M7,EZ$2)</f>
        <v>0</v>
      </c>
      <c r="FF7" s="241">
        <f t="shared" ca="1" si="107"/>
        <v>1</v>
      </c>
      <c r="FG7" s="220">
        <f t="shared" ref="FG7:FG38" ca="1" si="143">IF($F7&gt;0,IF(FF$2&gt;0,PRODUCT(OFFSET(LT_AnnuityLifeTable,$F7,2,FF$2,1)),100%),0)</f>
        <v>0</v>
      </c>
      <c r="FH7" s="220">
        <f t="shared" ref="FH7:FH38" ca="1" si="144">IF(AND($G7&gt;0,SP_AnnySurvivor),IF(FF$2&gt;0,PRODUCT(OFFSET(LT_AnnuityLifeTable,$G7,5,FF$2,1)),100%),0)</f>
        <v>0</v>
      </c>
      <c r="FI7" s="235">
        <f t="shared" ref="FI7:FI70" ca="1" si="145">ABS(FF7)*IF(FF$2&lt;$O7,1,(FG7+FH7)-(FG7*FH7))/POWER(1+$L7,FF$2)</f>
        <v>0</v>
      </c>
      <c r="FJ7" s="235">
        <f t="shared" ref="FJ7:FJ70" ca="1" si="146">ABS(FF7)*IF(FF$2&lt;$O7,1,(FG7+FH7)-(FG7*FH7))/POWER(1+$L8,FF$2)</f>
        <v>0</v>
      </c>
      <c r="FK7" s="242">
        <f t="shared" ref="FK7:FK70" ca="1" si="147">ABS(FF7)*IF(FF$2&lt;$O7,1,(FG7+FH7)-(FG7*FH7))/POWER(1+$M7,FF$2)</f>
        <v>0</v>
      </c>
      <c r="FL7" s="241">
        <f t="shared" ca="1" si="107"/>
        <v>1</v>
      </c>
      <c r="FM7" s="220">
        <f t="shared" ref="FM7:FM38" ca="1" si="148">IF($F7&gt;0,IF(FL$2&gt;0,PRODUCT(OFFSET(LT_AnnuityLifeTable,$F7,2,FL$2,1)),100%),0)</f>
        <v>0</v>
      </c>
      <c r="FN7" s="220">
        <f t="shared" ref="FN7:FN38" ca="1" si="149">IF(AND($G7&gt;0,SP_AnnySurvivor),IF(FL$2&gt;0,PRODUCT(OFFSET(LT_AnnuityLifeTable,$G7,5,FL$2,1)),100%),0)</f>
        <v>0</v>
      </c>
      <c r="FO7" s="235">
        <f t="shared" ref="FO7:FO70" ca="1" si="150">ABS(FL7)*IF(FL$2&lt;$O7,1,(FM7+FN7)-(FM7*FN7))/POWER(1+$L7,FL$2)</f>
        <v>0</v>
      </c>
      <c r="FP7" s="235">
        <f t="shared" ref="FP7:FP70" ca="1" si="151">ABS(FL7)*IF(FL$2&lt;$O7,1,(FM7+FN7)-(FM7*FN7))/POWER(1+$L8,FL$2)</f>
        <v>0</v>
      </c>
      <c r="FQ7" s="242">
        <f t="shared" ref="FQ7:FQ70" ca="1" si="152">ABS(FL7)*IF(FL$2&lt;$O7,1,(FM7+FN7)-(FM7*FN7))/POWER(1+$M7,FL$2)</f>
        <v>0</v>
      </c>
      <c r="FR7" s="241">
        <f t="shared" ca="1" si="107"/>
        <v>1</v>
      </c>
      <c r="FS7" s="220">
        <f t="shared" ref="FS7:FS38" ca="1" si="153">IF($F7&gt;0,IF(FR$2&gt;0,PRODUCT(OFFSET(LT_AnnuityLifeTable,$F7,2,FR$2,1)),100%),0)</f>
        <v>0</v>
      </c>
      <c r="FT7" s="220">
        <f t="shared" ref="FT7:FT38" ca="1" si="154">IF(AND($G7&gt;0,SP_AnnySurvivor),IF(FR$2&gt;0,PRODUCT(OFFSET(LT_AnnuityLifeTable,$G7,5,FR$2,1)),100%),0)</f>
        <v>0</v>
      </c>
      <c r="FU7" s="235">
        <f t="shared" ref="FU7:FU70" ca="1" si="155">ABS(FR7)*IF(FR$2&lt;$O7,1,(FS7+FT7)-(FS7*FT7))/POWER(1+$L7,FR$2)</f>
        <v>0</v>
      </c>
      <c r="FV7" s="235">
        <f t="shared" ref="FV7:FV70" ca="1" si="156">ABS(FR7)*IF(FR$2&lt;$O7,1,(FS7+FT7)-(FS7*FT7))/POWER(1+$L8,FR$2)</f>
        <v>0</v>
      </c>
      <c r="FW7" s="242">
        <f t="shared" ref="FW7:FW70" ca="1" si="157">ABS(FR7)*IF(FR$2&lt;$O7,1,(FS7+FT7)-(FS7*FT7))/POWER(1+$M7,FR$2)</f>
        <v>0</v>
      </c>
      <c r="FX7" s="241">
        <f t="shared" ca="1" si="107"/>
        <v>1</v>
      </c>
      <c r="FY7" s="220">
        <f t="shared" ref="FY7:FY38" ca="1" si="158">IF($F7&gt;0,IF(FX$2&gt;0,PRODUCT(OFFSET(LT_AnnuityLifeTable,$F7,2,FX$2,1)),100%),0)</f>
        <v>0</v>
      </c>
      <c r="FZ7" s="220">
        <f t="shared" ref="FZ7:FZ38" ca="1" si="159">IF(AND($G7&gt;0,SP_AnnySurvivor),IF(FX$2&gt;0,PRODUCT(OFFSET(LT_AnnuityLifeTable,$G7,5,FX$2,1)),100%),0)</f>
        <v>0</v>
      </c>
      <c r="GA7" s="235">
        <f t="shared" ref="GA7:GA70" ca="1" si="160">ABS(FX7)*IF(FX$2&lt;$O7,1,(FY7+FZ7)-(FY7*FZ7))/POWER(1+$L7,FX$2)</f>
        <v>0</v>
      </c>
      <c r="GB7" s="235">
        <f t="shared" ref="GB7:GB70" ca="1" si="161">ABS(FX7)*IF(FX$2&lt;$O7,1,(FY7+FZ7)-(FY7*FZ7))/POWER(1+$L8,FX$2)</f>
        <v>0</v>
      </c>
      <c r="GC7" s="242">
        <f t="shared" ref="GC7:GC70" ca="1" si="162">ABS(FX7)*IF(FX$2&lt;$O7,1,(FY7+FZ7)-(FY7*FZ7))/POWER(1+$M7,FX$2)</f>
        <v>0</v>
      </c>
      <c r="GD7" s="241">
        <f t="shared" ref="GD7:IL30" ca="1" si="163">IF(($B7+GD$2)&lt;SC_TargetRY,0,IF(($B7+GD$2)=SC_TargetRY,SC_AnnyPmntPr,IF(SP_AnnyTerms="Life",1,IF(($B7+GD$2)=(SC_TargetRY+SP_AnnyPeriod),SC_AnnyPmntPr-1,IF(($B7+GD$2)&gt;(SC_TargetRY+SP_AnnyPeriod),0,1)))))</f>
        <v>1</v>
      </c>
      <c r="GE7" s="220">
        <f t="shared" ref="GE7:GE38" ca="1" si="164">IF($F7&gt;0,IF(GD$2&gt;0,PRODUCT(OFFSET(LT_AnnuityLifeTable,$F7,2,GD$2,1)),100%),0)</f>
        <v>0</v>
      </c>
      <c r="GF7" s="220">
        <f t="shared" ref="GF7:GF38" ca="1" si="165">IF(AND($G7&gt;0,SP_AnnySurvivor),IF(GD$2&gt;0,PRODUCT(OFFSET(LT_AnnuityLifeTable,$G7,5,GD$2,1)),100%),0)</f>
        <v>0</v>
      </c>
      <c r="GG7" s="235">
        <f t="shared" ref="GG7:GG70" ca="1" si="166">ABS(GD7)*IF(GD$2&lt;$O7,1,(GE7+GF7)-(GE7*GF7))/POWER(1+$L7,GD$2)</f>
        <v>0</v>
      </c>
      <c r="GH7" s="235">
        <f t="shared" ref="GH7:GH70" ca="1" si="167">ABS(GD7)*IF(GD$2&lt;$O7,1,(GE7+GF7)-(GE7*GF7))/POWER(1+$L8,GD$2)</f>
        <v>0</v>
      </c>
      <c r="GI7" s="242">
        <f t="shared" ref="GI7:GI70" ca="1" si="168">ABS(GD7)*IF(GD$2&lt;$O7,1,(GE7+GF7)-(GE7*GF7))/POWER(1+$M7,GD$2)</f>
        <v>0</v>
      </c>
      <c r="GJ7" s="241">
        <f t="shared" ca="1" si="163"/>
        <v>1</v>
      </c>
      <c r="GK7" s="220">
        <f t="shared" ref="GK7:GK38" ca="1" si="169">IF($F7&gt;0,IF(GJ$2&gt;0,PRODUCT(OFFSET(LT_AnnuityLifeTable,$F7,2,GJ$2,1)),100%),0)</f>
        <v>0</v>
      </c>
      <c r="GL7" s="220">
        <f t="shared" ref="GL7:GL38" ca="1" si="170">IF(AND($G7&gt;0,SP_AnnySurvivor),IF(GJ$2&gt;0,PRODUCT(OFFSET(LT_AnnuityLifeTable,$G7,5,GJ$2,1)),100%),0)</f>
        <v>0</v>
      </c>
      <c r="GM7" s="235">
        <f t="shared" ref="GM7:GM70" ca="1" si="171">ABS(GJ7)*IF(GJ$2&lt;$O7,1,(GK7+GL7)-(GK7*GL7))/POWER(1+$L7,GJ$2)</f>
        <v>0</v>
      </c>
      <c r="GN7" s="235">
        <f t="shared" ref="GN7:GN70" ca="1" si="172">ABS(GJ7)*IF(GJ$2&lt;$O7,1,(GK7+GL7)-(GK7*GL7))/POWER(1+$L8,GJ$2)</f>
        <v>0</v>
      </c>
      <c r="GO7" s="242">
        <f t="shared" ref="GO7:GO70" ca="1" si="173">ABS(GJ7)*IF(GJ$2&lt;$O7,1,(GK7+GL7)-(GK7*GL7))/POWER(1+$M7,GJ$2)</f>
        <v>0</v>
      </c>
      <c r="GP7" s="241">
        <f t="shared" ca="1" si="163"/>
        <v>1</v>
      </c>
      <c r="GQ7" s="220">
        <f t="shared" ref="GQ7:GQ38" ca="1" si="174">IF($F7&gt;0,IF(GP$2&gt;0,PRODUCT(OFFSET(LT_AnnuityLifeTable,$F7,2,GP$2,1)),100%),0)</f>
        <v>0</v>
      </c>
      <c r="GR7" s="220">
        <f t="shared" ref="GR7:GR38" ca="1" si="175">IF(AND($G7&gt;0,SP_AnnySurvivor),IF(GP$2&gt;0,PRODUCT(OFFSET(LT_AnnuityLifeTable,$G7,5,GP$2,1)),100%),0)</f>
        <v>0</v>
      </c>
      <c r="GS7" s="235">
        <f t="shared" ref="GS7:GS70" ca="1" si="176">ABS(GP7)*IF(GP$2&lt;$O7,1,(GQ7+GR7)-(GQ7*GR7))/POWER(1+$L7,GP$2)</f>
        <v>0</v>
      </c>
      <c r="GT7" s="235">
        <f t="shared" ref="GT7:GT70" ca="1" si="177">ABS(GP7)*IF(GP$2&lt;$O7,1,(GQ7+GR7)-(GQ7*GR7))/POWER(1+$L8,GP$2)</f>
        <v>0</v>
      </c>
      <c r="GU7" s="242">
        <f t="shared" ref="GU7:GU70" ca="1" si="178">ABS(GP7)*IF(GP$2&lt;$O7,1,(GQ7+GR7)-(GQ7*GR7))/POWER(1+$M7,GP$2)</f>
        <v>0</v>
      </c>
      <c r="GV7" s="241">
        <f t="shared" ca="1" si="163"/>
        <v>1</v>
      </c>
      <c r="GW7" s="220">
        <f t="shared" ref="GW7:GW38" ca="1" si="179">IF($F7&gt;0,IF(GV$2&gt;0,PRODUCT(OFFSET(LT_AnnuityLifeTable,$F7,2,GV$2,1)),100%),0)</f>
        <v>0</v>
      </c>
      <c r="GX7" s="220">
        <f t="shared" ref="GX7:GX38" ca="1" si="180">IF(AND($G7&gt;0,SP_AnnySurvivor),IF(GV$2&gt;0,PRODUCT(OFFSET(LT_AnnuityLifeTable,$G7,5,GV$2,1)),100%),0)</f>
        <v>0</v>
      </c>
      <c r="GY7" s="235">
        <f t="shared" ref="GY7:GY70" ca="1" si="181">ABS(GV7)*IF(GV$2&lt;$O7,1,(GW7+GX7)-(GW7*GX7))/POWER(1+$L7,GV$2)</f>
        <v>0</v>
      </c>
      <c r="GZ7" s="235">
        <f t="shared" ref="GZ7:GZ70" ca="1" si="182">ABS(GV7)*IF(GV$2&lt;$O7,1,(GW7+GX7)-(GW7*GX7))/POWER(1+$L8,GV$2)</f>
        <v>0</v>
      </c>
      <c r="HA7" s="242">
        <f t="shared" ref="HA7:HA70" ca="1" si="183">ABS(GV7)*IF(GV$2&lt;$O7,1,(GW7+GX7)-(GW7*GX7))/POWER(1+$M7,GV$2)</f>
        <v>0</v>
      </c>
      <c r="HB7" s="241">
        <f t="shared" ca="1" si="163"/>
        <v>1</v>
      </c>
      <c r="HC7" s="220">
        <f t="shared" ref="HC7:HC38" ca="1" si="184">IF($F7&gt;0,IF(HB$2&gt;0,PRODUCT(OFFSET(LT_AnnuityLifeTable,$F7,2,HB$2,1)),100%),0)</f>
        <v>0</v>
      </c>
      <c r="HD7" s="220">
        <f t="shared" ref="HD7:HD38" ca="1" si="185">IF(AND($G7&gt;0,SP_AnnySurvivor),IF(HB$2&gt;0,PRODUCT(OFFSET(LT_AnnuityLifeTable,$G7,5,HB$2,1)),100%),0)</f>
        <v>0</v>
      </c>
      <c r="HE7" s="235">
        <f t="shared" ref="HE7:HE70" ca="1" si="186">ABS(HB7)*IF(HB$2&lt;$O7,1,(HC7+HD7)-(HC7*HD7))/POWER(1+$L7,HB$2)</f>
        <v>0</v>
      </c>
      <c r="HF7" s="235">
        <f t="shared" ref="HF7:HF70" ca="1" si="187">ABS(HB7)*IF(HB$2&lt;$O7,1,(HC7+HD7)-(HC7*HD7))/POWER(1+$L8,HB$2)</f>
        <v>0</v>
      </c>
      <c r="HG7" s="242">
        <f t="shared" ref="HG7:HG70" ca="1" si="188">ABS(HB7)*IF(HB$2&lt;$O7,1,(HC7+HD7)-(HC7*HD7))/POWER(1+$M7,HB$2)</f>
        <v>0</v>
      </c>
      <c r="HH7" s="241">
        <f t="shared" ca="1" si="163"/>
        <v>1</v>
      </c>
      <c r="HI7" s="220">
        <f t="shared" ref="HI7:HI38" ca="1" si="189">IF($F7&gt;0,IF(HH$2&gt;0,PRODUCT(OFFSET(LT_AnnuityLifeTable,$F7,2,HH$2,1)),100%),0)</f>
        <v>0</v>
      </c>
      <c r="HJ7" s="220">
        <f t="shared" ref="HJ7:HJ38" ca="1" si="190">IF(AND($G7&gt;0,SP_AnnySurvivor),IF(HH$2&gt;0,PRODUCT(OFFSET(LT_AnnuityLifeTable,$G7,5,HH$2,1)),100%),0)</f>
        <v>0</v>
      </c>
      <c r="HK7" s="235">
        <f t="shared" ref="HK7:HK70" ca="1" si="191">ABS(HH7)*IF(HH$2&lt;$O7,1,(HI7+HJ7)-(HI7*HJ7))/POWER(1+$L7,HH$2)</f>
        <v>0</v>
      </c>
      <c r="HL7" s="235">
        <f t="shared" ref="HL7:HL70" ca="1" si="192">ABS(HH7)*IF(HH$2&lt;$O7,1,(HI7+HJ7)-(HI7*HJ7))/POWER(1+$L8,HH$2)</f>
        <v>0</v>
      </c>
      <c r="HM7" s="242">
        <f t="shared" ref="HM7:HM70" ca="1" si="193">ABS(HH7)*IF(HH$2&lt;$O7,1,(HI7+HJ7)-(HI7*HJ7))/POWER(1+$M7,HH$2)</f>
        <v>0</v>
      </c>
      <c r="HN7" s="241">
        <f t="shared" ca="1" si="163"/>
        <v>1</v>
      </c>
      <c r="HO7" s="220">
        <f t="shared" ref="HO7:HO38" ca="1" si="194">IF($F7&gt;0,IF(HN$2&gt;0,PRODUCT(OFFSET(LT_AnnuityLifeTable,$F7,2,HN$2,1)),100%),0)</f>
        <v>0</v>
      </c>
      <c r="HP7" s="220">
        <f t="shared" ref="HP7:HP38" ca="1" si="195">IF(AND($G7&gt;0,SP_AnnySurvivor),IF(HN$2&gt;0,PRODUCT(OFFSET(LT_AnnuityLifeTable,$G7,5,HN$2,1)),100%),0)</f>
        <v>0</v>
      </c>
      <c r="HQ7" s="235">
        <f t="shared" ref="HQ7:HQ70" ca="1" si="196">ABS(HN7)*IF(HN$2&lt;$O7,1,(HO7+HP7)-(HO7*HP7))/POWER(1+$L7,HN$2)</f>
        <v>0</v>
      </c>
      <c r="HR7" s="235">
        <f t="shared" ref="HR7:HR70" ca="1" si="197">ABS(HN7)*IF(HN$2&lt;$O7,1,(HO7+HP7)-(HO7*HP7))/POWER(1+$L8,HN$2)</f>
        <v>0</v>
      </c>
      <c r="HS7" s="242">
        <f t="shared" ref="HS7:HS70" ca="1" si="198">ABS(HN7)*IF(HN$2&lt;$O7,1,(HO7+HP7)-(HO7*HP7))/POWER(1+$M7,HN$2)</f>
        <v>0</v>
      </c>
      <c r="HT7" s="241">
        <f t="shared" ca="1" si="163"/>
        <v>1</v>
      </c>
      <c r="HU7" s="220">
        <f t="shared" ref="HU7:HU38" ca="1" si="199">IF($F7&gt;0,IF(HT$2&gt;0,PRODUCT(OFFSET(LT_AnnuityLifeTable,$F7,2,HT$2,1)),100%),0)</f>
        <v>0</v>
      </c>
      <c r="HV7" s="220">
        <f t="shared" ref="HV7:HV38" ca="1" si="200">IF(AND($G7&gt;0,SP_AnnySurvivor),IF(HT$2&gt;0,PRODUCT(OFFSET(LT_AnnuityLifeTable,$G7,5,HT$2,1)),100%),0)</f>
        <v>0</v>
      </c>
      <c r="HW7" s="235">
        <f t="shared" ref="HW7:HW70" ca="1" si="201">ABS(HT7)*IF(HT$2&lt;$O7,1,(HU7+HV7)-(HU7*HV7))/POWER(1+$L7,HT$2)</f>
        <v>0</v>
      </c>
      <c r="HX7" s="235">
        <f t="shared" ref="HX7:HX70" ca="1" si="202">ABS(HT7)*IF(HT$2&lt;$O7,1,(HU7+HV7)-(HU7*HV7))/POWER(1+$L8,HT$2)</f>
        <v>0</v>
      </c>
      <c r="HY7" s="242">
        <f t="shared" ref="HY7:HY70" ca="1" si="203">ABS(HT7)*IF(HT$2&lt;$O7,1,(HU7+HV7)-(HU7*HV7))/POWER(1+$M7,HT$2)</f>
        <v>0</v>
      </c>
      <c r="HZ7" s="241">
        <f t="shared" ca="1" si="163"/>
        <v>1</v>
      </c>
      <c r="IA7" s="220">
        <f t="shared" ref="IA7:IA38" ca="1" si="204">IF($F7&gt;0,IF(HZ$2&gt;0,PRODUCT(OFFSET(LT_AnnuityLifeTable,$F7,2,HZ$2,1)),100%),0)</f>
        <v>0</v>
      </c>
      <c r="IB7" s="220">
        <f t="shared" ref="IB7:IB38" ca="1" si="205">IF(AND($G7&gt;0,SP_AnnySurvivor),IF(HZ$2&gt;0,PRODUCT(OFFSET(LT_AnnuityLifeTable,$G7,5,HZ$2,1)),100%),0)</f>
        <v>0</v>
      </c>
      <c r="IC7" s="235">
        <f t="shared" ref="IC7:IC70" ca="1" si="206">ABS(HZ7)*IF(HZ$2&lt;$O7,1,(IA7+IB7)-(IA7*IB7))/POWER(1+$L7,HZ$2)</f>
        <v>0</v>
      </c>
      <c r="ID7" s="235">
        <f t="shared" ref="ID7:ID70" ca="1" si="207">ABS(HZ7)*IF(HZ$2&lt;$O7,1,(IA7+IB7)-(IA7*IB7))/POWER(1+$L8,HZ$2)</f>
        <v>0</v>
      </c>
      <c r="IE7" s="242">
        <f t="shared" ref="IE7:IE70" ca="1" si="208">ABS(HZ7)*IF(HZ$2&lt;$O7,1,(IA7+IB7)-(IA7*IB7))/POWER(1+$M7,HZ$2)</f>
        <v>0</v>
      </c>
      <c r="IF7" s="241">
        <f t="shared" ca="1" si="163"/>
        <v>1</v>
      </c>
      <c r="IG7" s="220">
        <f t="shared" ref="IG7:IG38" ca="1" si="209">IF($F7&gt;0,IF(IF$2&gt;0,PRODUCT(OFFSET(LT_AnnuityLifeTable,$F7,2,IF$2,1)),100%),0)</f>
        <v>0</v>
      </c>
      <c r="IH7" s="220">
        <f t="shared" ref="IH7:IH38" ca="1" si="210">IF(AND($G7&gt;0,SP_AnnySurvivor),IF(IF$2&gt;0,PRODUCT(OFFSET(LT_AnnuityLifeTable,$G7,5,IF$2,1)),100%),0)</f>
        <v>0</v>
      </c>
      <c r="II7" s="235">
        <f t="shared" ref="II7:II70" ca="1" si="211">ABS(IF7)*IF(IF$2&lt;$O7,1,(IG7+IH7)-(IG7*IH7))/POWER(1+$L7,IF$2)</f>
        <v>0</v>
      </c>
      <c r="IJ7" s="235">
        <f t="shared" ref="IJ7:IJ70" ca="1" si="212">ABS(IF7)*IF(IF$2&lt;$O7,1,(IG7+IH7)-(IG7*IH7))/POWER(1+$L8,IF$2)</f>
        <v>0</v>
      </c>
      <c r="IK7" s="242">
        <f t="shared" ref="IK7:IK70" ca="1" si="213">ABS(IF7)*IF(IF$2&lt;$O7,1,(IG7+IH7)-(IG7*IH7))/POWER(1+$M7,IF$2)</f>
        <v>0</v>
      </c>
      <c r="IL7" s="241">
        <f t="shared" ca="1" si="163"/>
        <v>1</v>
      </c>
      <c r="IM7" s="220">
        <f t="shared" ref="IM7:IM38" ca="1" si="214">IF($F7&gt;0,IF(IL$2&gt;0,PRODUCT(OFFSET(LT_AnnuityLifeTable,$F7,2,IL$2,1)),100%),0)</f>
        <v>0</v>
      </c>
      <c r="IN7" s="220">
        <f t="shared" ref="IN7:IN38" ca="1" si="215">IF(AND($G7&gt;0,SP_AnnySurvivor),IF(IL$2&gt;0,PRODUCT(OFFSET(LT_AnnuityLifeTable,$G7,5,IL$2,1)),100%),0)</f>
        <v>0</v>
      </c>
      <c r="IO7" s="235">
        <f t="shared" ref="IO7:IO70" ca="1" si="216">ABS(IL7)*IF(IL$2&lt;$O7,1,(IM7+IN7)-(IM7*IN7))/POWER(1+$L7,IL$2)</f>
        <v>0</v>
      </c>
      <c r="IP7" s="235">
        <f t="shared" ref="IP7:IP70" ca="1" si="217">ABS(IL7)*IF(IL$2&lt;$O7,1,(IM7+IN7)-(IM7*IN7))/POWER(1+$L8,IL$2)</f>
        <v>0</v>
      </c>
      <c r="IQ7" s="242">
        <f t="shared" ref="IQ7:IQ70" ca="1" si="218">ABS(IL7)*IF(IL$2&lt;$O7,1,(IM7+IN7)-(IM7*IN7))/POWER(1+$M7,IL$2)</f>
        <v>0</v>
      </c>
      <c r="IR7" s="241">
        <f t="shared" ref="IR7:KZ30" ca="1" si="219">IF(($B7+IR$2)&lt;SC_TargetRY,0,IF(($B7+IR$2)=SC_TargetRY,SC_AnnyPmntPr,IF(SP_AnnyTerms="Life",1,IF(($B7+IR$2)=(SC_TargetRY+SP_AnnyPeriod),SC_AnnyPmntPr-1,IF(($B7+IR$2)&gt;(SC_TargetRY+SP_AnnyPeriod),0,1)))))</f>
        <v>1</v>
      </c>
      <c r="IS7" s="220">
        <f t="shared" ref="IS7:IS38" ca="1" si="220">IF($F7&gt;0,IF(IR$2&gt;0,PRODUCT(OFFSET(LT_AnnuityLifeTable,$F7,2,IR$2,1)),100%),0)</f>
        <v>0</v>
      </c>
      <c r="IT7" s="220">
        <f t="shared" ref="IT7:IT38" ca="1" si="221">IF(AND($G7&gt;0,SP_AnnySurvivor),IF(IR$2&gt;0,PRODUCT(OFFSET(LT_AnnuityLifeTable,$G7,5,IR$2,1)),100%),0)</f>
        <v>0</v>
      </c>
      <c r="IU7" s="235">
        <f t="shared" ref="IU7:IU70" ca="1" si="222">ABS(IR7)*IF(IR$2&lt;$O7,1,(IS7+IT7)-(IS7*IT7))/POWER(1+$L7,IR$2)</f>
        <v>0</v>
      </c>
      <c r="IV7" s="235">
        <f t="shared" ref="IV7:IV70" ca="1" si="223">ABS(IR7)*IF(IR$2&lt;$O7,1,(IS7+IT7)-(IS7*IT7))/POWER(1+$L8,IR$2)</f>
        <v>0</v>
      </c>
      <c r="IW7" s="242">
        <f t="shared" ref="IW7:IW70" ca="1" si="224">ABS(IR7)*IF(IR$2&lt;$O7,1,(IS7+IT7)-(IS7*IT7))/POWER(1+$M7,IR$2)</f>
        <v>0</v>
      </c>
      <c r="IX7" s="241">
        <f t="shared" ca="1" si="219"/>
        <v>1</v>
      </c>
      <c r="IY7" s="220">
        <f t="shared" ref="IY7:IY38" ca="1" si="225">IF($F7&gt;0,IF(IX$2&gt;0,PRODUCT(OFFSET(LT_AnnuityLifeTable,$F7,2,IX$2,1)),100%),0)</f>
        <v>0</v>
      </c>
      <c r="IZ7" s="220">
        <f t="shared" ref="IZ7:IZ38" ca="1" si="226">IF(AND($G7&gt;0,SP_AnnySurvivor),IF(IX$2&gt;0,PRODUCT(OFFSET(LT_AnnuityLifeTable,$G7,5,IX$2,1)),100%),0)</f>
        <v>0</v>
      </c>
      <c r="JA7" s="235">
        <f t="shared" ref="JA7:JA70" ca="1" si="227">ABS(IX7)*IF(IX$2&lt;$O7,1,(IY7+IZ7)-(IY7*IZ7))/POWER(1+$L7,IX$2)</f>
        <v>0</v>
      </c>
      <c r="JB7" s="235">
        <f t="shared" ref="JB7:JB70" ca="1" si="228">ABS(IX7)*IF(IX$2&lt;$O7,1,(IY7+IZ7)-(IY7*IZ7))/POWER(1+$L8,IX$2)</f>
        <v>0</v>
      </c>
      <c r="JC7" s="242">
        <f t="shared" ref="JC7:JC70" ca="1" si="229">ABS(IX7)*IF(IX$2&lt;$O7,1,(IY7+IZ7)-(IY7*IZ7))/POWER(1+$M7,IX$2)</f>
        <v>0</v>
      </c>
      <c r="JD7" s="241">
        <f t="shared" ca="1" si="219"/>
        <v>1</v>
      </c>
      <c r="JE7" s="220">
        <f t="shared" ref="JE7:JE38" ca="1" si="230">IF($F7&gt;0,IF(JD$2&gt;0,PRODUCT(OFFSET(LT_AnnuityLifeTable,$F7,2,JD$2,1)),100%),0)</f>
        <v>0</v>
      </c>
      <c r="JF7" s="220">
        <f t="shared" ref="JF7:JF38" ca="1" si="231">IF(AND($G7&gt;0,SP_AnnySurvivor),IF(JD$2&gt;0,PRODUCT(OFFSET(LT_AnnuityLifeTable,$G7,5,JD$2,1)),100%),0)</f>
        <v>0</v>
      </c>
      <c r="JG7" s="235">
        <f t="shared" ref="JG7:JG70" ca="1" si="232">ABS(JD7)*IF(JD$2&lt;$O7,1,(JE7+JF7)-(JE7*JF7))/POWER(1+$L7,JD$2)</f>
        <v>0</v>
      </c>
      <c r="JH7" s="235">
        <f t="shared" ref="JH7:JH70" ca="1" si="233">ABS(JD7)*IF(JD$2&lt;$O7,1,(JE7+JF7)-(JE7*JF7))/POWER(1+$L8,JD$2)</f>
        <v>0</v>
      </c>
      <c r="JI7" s="242">
        <f t="shared" ref="JI7:JI70" ca="1" si="234">ABS(JD7)*IF(JD$2&lt;$O7,1,(JE7+JF7)-(JE7*JF7))/POWER(1+$M7,JD$2)</f>
        <v>0</v>
      </c>
      <c r="JJ7" s="241">
        <f t="shared" ca="1" si="219"/>
        <v>1</v>
      </c>
      <c r="JK7" s="220">
        <f t="shared" ref="JK7:JK38" ca="1" si="235">IF($F7&gt;0,IF(JJ$2&gt;0,PRODUCT(OFFSET(LT_AnnuityLifeTable,$F7,2,JJ$2,1)),100%),0)</f>
        <v>0</v>
      </c>
      <c r="JL7" s="220">
        <f t="shared" ref="JL7:JL38" ca="1" si="236">IF(AND($G7&gt;0,SP_AnnySurvivor),IF(JJ$2&gt;0,PRODUCT(OFFSET(LT_AnnuityLifeTable,$G7,5,JJ$2,1)),100%),0)</f>
        <v>0</v>
      </c>
      <c r="JM7" s="235">
        <f t="shared" ref="JM7:JM70" ca="1" si="237">ABS(JJ7)*IF(JJ$2&lt;$O7,1,(JK7+JL7)-(JK7*JL7))/POWER(1+$L7,JJ$2)</f>
        <v>0</v>
      </c>
      <c r="JN7" s="235">
        <f t="shared" ref="JN7:JN70" ca="1" si="238">ABS(JJ7)*IF(JJ$2&lt;$O7,1,(JK7+JL7)-(JK7*JL7))/POWER(1+$L8,JJ$2)</f>
        <v>0</v>
      </c>
      <c r="JO7" s="242">
        <f t="shared" ref="JO7:JO70" ca="1" si="239">ABS(JJ7)*IF(JJ$2&lt;$O7,1,(JK7+JL7)-(JK7*JL7))/POWER(1+$M7,JJ$2)</f>
        <v>0</v>
      </c>
      <c r="JP7" s="241">
        <f t="shared" ca="1" si="219"/>
        <v>1</v>
      </c>
      <c r="JQ7" s="220">
        <f t="shared" ref="JQ7:JQ38" ca="1" si="240">IF($F7&gt;0,IF(JP$2&gt;0,PRODUCT(OFFSET(LT_AnnuityLifeTable,$F7,2,JP$2,1)),100%),0)</f>
        <v>0</v>
      </c>
      <c r="JR7" s="220">
        <f t="shared" ref="JR7:JR38" ca="1" si="241">IF(AND($G7&gt;0,SP_AnnySurvivor),IF(JP$2&gt;0,PRODUCT(OFFSET(LT_AnnuityLifeTable,$G7,5,JP$2,1)),100%),0)</f>
        <v>0</v>
      </c>
      <c r="JS7" s="235">
        <f t="shared" ref="JS7:JS70" ca="1" si="242">ABS(JP7)*IF(JP$2&lt;$O7,1,(JQ7+JR7)-(JQ7*JR7))/POWER(1+$L7,JP$2)</f>
        <v>0</v>
      </c>
      <c r="JT7" s="235">
        <f t="shared" ref="JT7:JT70" ca="1" si="243">ABS(JP7)*IF(JP$2&lt;$O7,1,(JQ7+JR7)-(JQ7*JR7))/POWER(1+$L8,JP$2)</f>
        <v>0</v>
      </c>
      <c r="JU7" s="242">
        <f t="shared" ref="JU7:JU70" ca="1" si="244">ABS(JP7)*IF(JP$2&lt;$O7,1,(JQ7+JR7)-(JQ7*JR7))/POWER(1+$M7,JP$2)</f>
        <v>0</v>
      </c>
      <c r="JV7" s="241">
        <f t="shared" ca="1" si="219"/>
        <v>1</v>
      </c>
      <c r="JW7" s="220">
        <f t="shared" ref="JW7:JW38" ca="1" si="245">IF($F7&gt;0,IF(JV$2&gt;0,PRODUCT(OFFSET(LT_AnnuityLifeTable,$F7,2,JV$2,1)),100%),0)</f>
        <v>0</v>
      </c>
      <c r="JX7" s="220">
        <f t="shared" ref="JX7:JX38" ca="1" si="246">IF(AND($G7&gt;0,SP_AnnySurvivor),IF(JV$2&gt;0,PRODUCT(OFFSET(LT_AnnuityLifeTable,$G7,5,JV$2,1)),100%),0)</f>
        <v>0</v>
      </c>
      <c r="JY7" s="235">
        <f t="shared" ref="JY7:JY70" ca="1" si="247">ABS(JV7)*IF(JV$2&lt;$O7,1,(JW7+JX7)-(JW7*JX7))/POWER(1+$L7,JV$2)</f>
        <v>0</v>
      </c>
      <c r="JZ7" s="235">
        <f t="shared" ref="JZ7:JZ70" ca="1" si="248">ABS(JV7)*IF(JV$2&lt;$O7,1,(JW7+JX7)-(JW7*JX7))/POWER(1+$L8,JV$2)</f>
        <v>0</v>
      </c>
      <c r="KA7" s="242">
        <f t="shared" ref="KA7:KA70" ca="1" si="249">ABS(JV7)*IF(JV$2&lt;$O7,1,(JW7+JX7)-(JW7*JX7))/POWER(1+$M7,JV$2)</f>
        <v>0</v>
      </c>
      <c r="KB7" s="241">
        <f t="shared" ca="1" si="219"/>
        <v>1</v>
      </c>
      <c r="KC7" s="220">
        <f t="shared" ref="KC7:KC38" ca="1" si="250">IF($F7&gt;0,IF(KB$2&gt;0,PRODUCT(OFFSET(LT_AnnuityLifeTable,$F7,2,KB$2,1)),100%),0)</f>
        <v>0</v>
      </c>
      <c r="KD7" s="220">
        <f t="shared" ref="KD7:KD38" ca="1" si="251">IF(AND($G7&gt;0,SP_AnnySurvivor),IF(KB$2&gt;0,PRODUCT(OFFSET(LT_AnnuityLifeTable,$G7,5,KB$2,1)),100%),0)</f>
        <v>0</v>
      </c>
      <c r="KE7" s="235">
        <f t="shared" ref="KE7:KE70" ca="1" si="252">ABS(KB7)*IF(KB$2&lt;$O7,1,(KC7+KD7)-(KC7*KD7))/POWER(1+$L7,KB$2)</f>
        <v>0</v>
      </c>
      <c r="KF7" s="235">
        <f t="shared" ref="KF7:KF70" ca="1" si="253">ABS(KB7)*IF(KB$2&lt;$O7,1,(KC7+KD7)-(KC7*KD7))/POWER(1+$L8,KB$2)</f>
        <v>0</v>
      </c>
      <c r="KG7" s="242">
        <f t="shared" ref="KG7:KG70" ca="1" si="254">ABS(KB7)*IF(KB$2&lt;$O7,1,(KC7+KD7)-(KC7*KD7))/POWER(1+$M7,KB$2)</f>
        <v>0</v>
      </c>
      <c r="KH7" s="241">
        <f t="shared" ca="1" si="219"/>
        <v>1</v>
      </c>
      <c r="KI7" s="220">
        <f t="shared" ref="KI7:KI38" ca="1" si="255">IF($F7&gt;0,IF(KH$2&gt;0,PRODUCT(OFFSET(LT_AnnuityLifeTable,$F7,2,KH$2,1)),100%),0)</f>
        <v>0</v>
      </c>
      <c r="KJ7" s="220">
        <f t="shared" ref="KJ7:KJ38" ca="1" si="256">IF(AND($G7&gt;0,SP_AnnySurvivor),IF(KH$2&gt;0,PRODUCT(OFFSET(LT_AnnuityLifeTable,$G7,5,KH$2,1)),100%),0)</f>
        <v>0</v>
      </c>
      <c r="KK7" s="235">
        <f t="shared" ref="KK7:KK70" ca="1" si="257">ABS(KH7)*IF(KH$2&lt;$O7,1,(KI7+KJ7)-(KI7*KJ7))/POWER(1+$L7,KH$2)</f>
        <v>0</v>
      </c>
      <c r="KL7" s="235">
        <f t="shared" ref="KL7:KL70" ca="1" si="258">ABS(KH7)*IF(KH$2&lt;$O7,1,(KI7+KJ7)-(KI7*KJ7))/POWER(1+$L8,KH$2)</f>
        <v>0</v>
      </c>
      <c r="KM7" s="242">
        <f t="shared" ref="KM7:KM70" ca="1" si="259">ABS(KH7)*IF(KH$2&lt;$O7,1,(KI7+KJ7)-(KI7*KJ7))/POWER(1+$M7,KH$2)</f>
        <v>0</v>
      </c>
      <c r="KN7" s="241">
        <f t="shared" ca="1" si="219"/>
        <v>1</v>
      </c>
      <c r="KO7" s="220">
        <f t="shared" ref="KO7:KO38" ca="1" si="260">IF($F7&gt;0,IF(KN$2&gt;0,PRODUCT(OFFSET(LT_AnnuityLifeTable,$F7,2,KN$2,1)),100%),0)</f>
        <v>0</v>
      </c>
      <c r="KP7" s="220">
        <f t="shared" ref="KP7:KP38" ca="1" si="261">IF(AND($G7&gt;0,SP_AnnySurvivor),IF(KN$2&gt;0,PRODUCT(OFFSET(LT_AnnuityLifeTable,$G7,5,KN$2,1)),100%),0)</f>
        <v>0</v>
      </c>
      <c r="KQ7" s="235">
        <f t="shared" ref="KQ7:KQ70" ca="1" si="262">ABS(KN7)*IF(KN$2&lt;$O7,1,(KO7+KP7)-(KO7*KP7))/POWER(1+$L7,KN$2)</f>
        <v>0</v>
      </c>
      <c r="KR7" s="235">
        <f t="shared" ref="KR7:KR70" ca="1" si="263">ABS(KN7)*IF(KN$2&lt;$O7,1,(KO7+KP7)-(KO7*KP7))/POWER(1+$L8,KN$2)</f>
        <v>0</v>
      </c>
      <c r="KS7" s="242">
        <f t="shared" ref="KS7:KS70" ca="1" si="264">ABS(KN7)*IF(KN$2&lt;$O7,1,(KO7+KP7)-(KO7*KP7))/POWER(1+$M7,KN$2)</f>
        <v>0</v>
      </c>
      <c r="KT7" s="241">
        <f t="shared" ca="1" si="219"/>
        <v>1</v>
      </c>
      <c r="KU7" s="220">
        <f t="shared" ref="KU7:KU38" ca="1" si="265">IF($F7&gt;0,IF(KT$2&gt;0,PRODUCT(OFFSET(LT_AnnuityLifeTable,$F7,2,KT$2,1)),100%),0)</f>
        <v>0</v>
      </c>
      <c r="KV7" s="220">
        <f t="shared" ref="KV7:KV38" ca="1" si="266">IF(AND($G7&gt;0,SP_AnnySurvivor),IF(KT$2&gt;0,PRODUCT(OFFSET(LT_AnnuityLifeTable,$G7,5,KT$2,1)),100%),0)</f>
        <v>0</v>
      </c>
      <c r="KW7" s="235">
        <f t="shared" ref="KW7:KW70" ca="1" si="267">ABS(KT7)*IF(KT$2&lt;$O7,1,(KU7+KV7)-(KU7*KV7))/POWER(1+$L7,KT$2)</f>
        <v>0</v>
      </c>
      <c r="KX7" s="235">
        <f t="shared" ref="KX7:KX70" ca="1" si="268">ABS(KT7)*IF(KT$2&lt;$O7,1,(KU7+KV7)-(KU7*KV7))/POWER(1+$L8,KT$2)</f>
        <v>0</v>
      </c>
      <c r="KY7" s="242">
        <f t="shared" ref="KY7:KY70" ca="1" si="269">ABS(KT7)*IF(KT$2&lt;$O7,1,(KU7+KV7)-(KU7*KV7))/POWER(1+$M7,KT$2)</f>
        <v>0</v>
      </c>
      <c r="KZ7" s="241">
        <f t="shared" ca="1" si="219"/>
        <v>1</v>
      </c>
      <c r="LA7" s="220">
        <f t="shared" ref="LA7:LA38" ca="1" si="270">IF($F7&gt;0,IF(KZ$2&gt;0,PRODUCT(OFFSET(LT_AnnuityLifeTable,$F7,2,KZ$2,1)),100%),0)</f>
        <v>0</v>
      </c>
      <c r="LB7" s="220">
        <f t="shared" ref="LB7:LB38" ca="1" si="271">IF(AND($G7&gt;0,SP_AnnySurvivor),IF(KZ$2&gt;0,PRODUCT(OFFSET(LT_AnnuityLifeTable,$G7,5,KZ$2,1)),100%),0)</f>
        <v>0</v>
      </c>
      <c r="LC7" s="235">
        <f t="shared" ref="LC7:LC70" ca="1" si="272">ABS(KZ7)*IF(KZ$2&lt;$O7,1,(LA7+LB7)-(LA7*LB7))/POWER(1+$L7,KZ$2)</f>
        <v>0</v>
      </c>
      <c r="LD7" s="235">
        <f t="shared" ref="LD7:LD70" ca="1" si="273">ABS(KZ7)*IF(KZ$2&lt;$O7,1,(LA7+LB7)-(LA7*LB7))/POWER(1+$L8,KZ$2)</f>
        <v>0</v>
      </c>
      <c r="LE7" s="242">
        <f t="shared" ref="LE7:LE70" ca="1" si="274">ABS(KZ7)*IF(KZ$2&lt;$O7,1,(LA7+LB7)-(LA7*LB7))/POWER(1+$M7,KZ$2)</f>
        <v>0</v>
      </c>
      <c r="LF7" s="241">
        <f t="shared" ref="LF7:NN30" ca="1" si="275">IF(($B7+LF$2)&lt;SC_TargetRY,0,IF(($B7+LF$2)=SC_TargetRY,SC_AnnyPmntPr,IF(SP_AnnyTerms="Life",1,IF(($B7+LF$2)=(SC_TargetRY+SP_AnnyPeriod),SC_AnnyPmntPr-1,IF(($B7+LF$2)&gt;(SC_TargetRY+SP_AnnyPeriod),0,1)))))</f>
        <v>1</v>
      </c>
      <c r="LG7" s="220">
        <f t="shared" ref="LG7:LG38" ca="1" si="276">IF($F7&gt;0,IF(LF$2&gt;0,PRODUCT(OFFSET(LT_AnnuityLifeTable,$F7,2,LF$2,1)),100%),0)</f>
        <v>0</v>
      </c>
      <c r="LH7" s="220">
        <f t="shared" ref="LH7:LH38" ca="1" si="277">IF(AND($G7&gt;0,SP_AnnySurvivor),IF(LF$2&gt;0,PRODUCT(OFFSET(LT_AnnuityLifeTable,$G7,5,LF$2,1)),100%),0)</f>
        <v>0</v>
      </c>
      <c r="LI7" s="235">
        <f t="shared" ref="LI7:LI70" ca="1" si="278">ABS(LF7)*IF(LF$2&lt;$O7,1,(LG7+LH7)-(LG7*LH7))/POWER(1+$L7,LF$2)</f>
        <v>0</v>
      </c>
      <c r="LJ7" s="235">
        <f t="shared" ref="LJ7:LJ70" ca="1" si="279">ABS(LF7)*IF(LF$2&lt;$O7,1,(LG7+LH7)-(LG7*LH7))/POWER(1+$L8,LF$2)</f>
        <v>0</v>
      </c>
      <c r="LK7" s="242">
        <f t="shared" ref="LK7:LK70" ca="1" si="280">ABS(LF7)*IF(LF$2&lt;$O7,1,(LG7+LH7)-(LG7*LH7))/POWER(1+$M7,LF$2)</f>
        <v>0</v>
      </c>
      <c r="LL7" s="241">
        <f t="shared" ca="1" si="275"/>
        <v>1</v>
      </c>
      <c r="LM7" s="220">
        <f t="shared" ref="LM7:LM38" ca="1" si="281">IF($F7&gt;0,IF(LL$2&gt;0,PRODUCT(OFFSET(LT_AnnuityLifeTable,$F7,2,LL$2,1)),100%),0)</f>
        <v>0</v>
      </c>
      <c r="LN7" s="220">
        <f t="shared" ref="LN7:LN38" ca="1" si="282">IF(AND($G7&gt;0,SP_AnnySurvivor),IF(LL$2&gt;0,PRODUCT(OFFSET(LT_AnnuityLifeTable,$G7,5,LL$2,1)),100%),0)</f>
        <v>0</v>
      </c>
      <c r="LO7" s="235">
        <f t="shared" ref="LO7:LO70" ca="1" si="283">ABS(LL7)*IF(LL$2&lt;$O7,1,(LM7+LN7)-(LM7*LN7))/POWER(1+$L7,LL$2)</f>
        <v>0</v>
      </c>
      <c r="LP7" s="235">
        <f t="shared" ref="LP7:LP70" ca="1" si="284">ABS(LL7)*IF(LL$2&lt;$O7,1,(LM7+LN7)-(LM7*LN7))/POWER(1+$L8,LL$2)</f>
        <v>0</v>
      </c>
      <c r="LQ7" s="242">
        <f t="shared" ref="LQ7:LQ70" ca="1" si="285">ABS(LL7)*IF(LL$2&lt;$O7,1,(LM7+LN7)-(LM7*LN7))/POWER(1+$M7,LL$2)</f>
        <v>0</v>
      </c>
      <c r="LR7" s="241">
        <f t="shared" ca="1" si="275"/>
        <v>1</v>
      </c>
      <c r="LS7" s="220">
        <f t="shared" ref="LS7:LS38" ca="1" si="286">IF($F7&gt;0,IF(LR$2&gt;0,PRODUCT(OFFSET(LT_AnnuityLifeTable,$F7,2,LR$2,1)),100%),0)</f>
        <v>0</v>
      </c>
      <c r="LT7" s="220">
        <f t="shared" ref="LT7:LT38" ca="1" si="287">IF(AND($G7&gt;0,SP_AnnySurvivor),IF(LR$2&gt;0,PRODUCT(OFFSET(LT_AnnuityLifeTable,$G7,5,LR$2,1)),100%),0)</f>
        <v>0</v>
      </c>
      <c r="LU7" s="235">
        <f t="shared" ref="LU7:LU70" ca="1" si="288">ABS(LR7)*IF(LR$2&lt;$O7,1,(LS7+LT7)-(LS7*LT7))/POWER(1+$L7,LR$2)</f>
        <v>0</v>
      </c>
      <c r="LV7" s="235">
        <f t="shared" ref="LV7:LV70" ca="1" si="289">ABS(LR7)*IF(LR$2&lt;$O7,1,(LS7+LT7)-(LS7*LT7))/POWER(1+$L8,LR$2)</f>
        <v>0</v>
      </c>
      <c r="LW7" s="242">
        <f t="shared" ref="LW7:LW70" ca="1" si="290">ABS(LR7)*IF(LR$2&lt;$O7,1,(LS7+LT7)-(LS7*LT7))/POWER(1+$M7,LR$2)</f>
        <v>0</v>
      </c>
      <c r="LX7" s="241">
        <f t="shared" ca="1" si="275"/>
        <v>1</v>
      </c>
      <c r="LY7" s="220">
        <f t="shared" ref="LY7:LY38" ca="1" si="291">IF($F7&gt;0,IF(LX$2&gt;0,PRODUCT(OFFSET(LT_AnnuityLifeTable,$F7,2,LX$2,1)),100%),0)</f>
        <v>0</v>
      </c>
      <c r="LZ7" s="220">
        <f t="shared" ref="LZ7:LZ38" ca="1" si="292">IF(AND($G7&gt;0,SP_AnnySurvivor),IF(LX$2&gt;0,PRODUCT(OFFSET(LT_AnnuityLifeTable,$G7,5,LX$2,1)),100%),0)</f>
        <v>0</v>
      </c>
      <c r="MA7" s="235">
        <f t="shared" ref="MA7:MA70" ca="1" si="293">ABS(LX7)*IF(LX$2&lt;$O7,1,(LY7+LZ7)-(LY7*LZ7))/POWER(1+$L7,LX$2)</f>
        <v>0</v>
      </c>
      <c r="MB7" s="235">
        <f t="shared" ref="MB7:MB70" ca="1" si="294">ABS(LX7)*IF(LX$2&lt;$O7,1,(LY7+LZ7)-(LY7*LZ7))/POWER(1+$L8,LX$2)</f>
        <v>0</v>
      </c>
      <c r="MC7" s="242">
        <f t="shared" ref="MC7:MC70" ca="1" si="295">ABS(LX7)*IF(LX$2&lt;$O7,1,(LY7+LZ7)-(LY7*LZ7))/POWER(1+$M7,LX$2)</f>
        <v>0</v>
      </c>
      <c r="MD7" s="241">
        <f t="shared" ca="1" si="275"/>
        <v>1</v>
      </c>
      <c r="ME7" s="220">
        <f t="shared" ref="ME7:ME38" ca="1" si="296">IF($F7&gt;0,IF(MD$2&gt;0,PRODUCT(OFFSET(LT_AnnuityLifeTable,$F7,2,MD$2,1)),100%),0)</f>
        <v>0</v>
      </c>
      <c r="MF7" s="220">
        <f t="shared" ref="MF7:MF38" ca="1" si="297">IF(AND($G7&gt;0,SP_AnnySurvivor),IF(MD$2&gt;0,PRODUCT(OFFSET(LT_AnnuityLifeTable,$G7,5,MD$2,1)),100%),0)</f>
        <v>0</v>
      </c>
      <c r="MG7" s="235">
        <f t="shared" ref="MG7:MG70" ca="1" si="298">ABS(MD7)*IF(MD$2&lt;$O7,1,(ME7+MF7)-(ME7*MF7))/POWER(1+$L7,MD$2)</f>
        <v>0</v>
      </c>
      <c r="MH7" s="235">
        <f t="shared" ref="MH7:MH70" ca="1" si="299">ABS(MD7)*IF(MD$2&lt;$O7,1,(ME7+MF7)-(ME7*MF7))/POWER(1+$L8,MD$2)</f>
        <v>0</v>
      </c>
      <c r="MI7" s="242">
        <f t="shared" ref="MI7:MI70" ca="1" si="300">ABS(MD7)*IF(MD$2&lt;$O7,1,(ME7+MF7)-(ME7*MF7))/POWER(1+$M7,MD$2)</f>
        <v>0</v>
      </c>
      <c r="MJ7" s="241">
        <f t="shared" ca="1" si="275"/>
        <v>1</v>
      </c>
      <c r="MK7" s="220">
        <f t="shared" ref="MK7:MK38" ca="1" si="301">IF($F7&gt;0,IF(MJ$2&gt;0,PRODUCT(OFFSET(LT_AnnuityLifeTable,$F7,2,MJ$2,1)),100%),0)</f>
        <v>0</v>
      </c>
      <c r="ML7" s="220">
        <f t="shared" ref="ML7:ML38" ca="1" si="302">IF(AND($G7&gt;0,SP_AnnySurvivor),IF(MJ$2&gt;0,PRODUCT(OFFSET(LT_AnnuityLifeTable,$G7,5,MJ$2,1)),100%),0)</f>
        <v>0</v>
      </c>
      <c r="MM7" s="235">
        <f t="shared" ref="MM7:MM70" ca="1" si="303">ABS(MJ7)*IF(MJ$2&lt;$O7,1,(MK7+ML7)-(MK7*ML7))/POWER(1+$L7,MJ$2)</f>
        <v>0</v>
      </c>
      <c r="MN7" s="235">
        <f t="shared" ref="MN7:MN70" ca="1" si="304">ABS(MJ7)*IF(MJ$2&lt;$O7,1,(MK7+ML7)-(MK7*ML7))/POWER(1+$L8,MJ$2)</f>
        <v>0</v>
      </c>
      <c r="MO7" s="242">
        <f t="shared" ref="MO7:MO70" ca="1" si="305">ABS(MJ7)*IF(MJ$2&lt;$O7,1,(MK7+ML7)-(MK7*ML7))/POWER(1+$M7,MJ$2)</f>
        <v>0</v>
      </c>
      <c r="MP7" s="241">
        <f t="shared" ca="1" si="275"/>
        <v>1</v>
      </c>
      <c r="MQ7" s="220">
        <f t="shared" ref="MQ7:MQ38" ca="1" si="306">IF($F7&gt;0,IF(MP$2&gt;0,PRODUCT(OFFSET(LT_AnnuityLifeTable,$F7,2,MP$2,1)),100%),0)</f>
        <v>0</v>
      </c>
      <c r="MR7" s="220">
        <f t="shared" ref="MR7:MR38" ca="1" si="307">IF(AND($G7&gt;0,SP_AnnySurvivor),IF(MP$2&gt;0,PRODUCT(OFFSET(LT_AnnuityLifeTable,$G7,5,MP$2,1)),100%),0)</f>
        <v>0</v>
      </c>
      <c r="MS7" s="235">
        <f t="shared" ref="MS7:MS70" ca="1" si="308">ABS(MP7)*IF(MP$2&lt;$O7,1,(MQ7+MR7)-(MQ7*MR7))/POWER(1+$L7,MP$2)</f>
        <v>0</v>
      </c>
      <c r="MT7" s="235">
        <f t="shared" ref="MT7:MT70" ca="1" si="309">ABS(MP7)*IF(MP$2&lt;$O7,1,(MQ7+MR7)-(MQ7*MR7))/POWER(1+$L8,MP$2)</f>
        <v>0</v>
      </c>
      <c r="MU7" s="242">
        <f t="shared" ref="MU7:MU70" ca="1" si="310">ABS(MP7)*IF(MP$2&lt;$O7,1,(MQ7+MR7)-(MQ7*MR7))/POWER(1+$M7,MP$2)</f>
        <v>0</v>
      </c>
      <c r="MV7" s="241">
        <f t="shared" ca="1" si="275"/>
        <v>1</v>
      </c>
      <c r="MW7" s="220">
        <f t="shared" ref="MW7:MW38" ca="1" si="311">IF($F7&gt;0,IF(MV$2&gt;0,PRODUCT(OFFSET(LT_AnnuityLifeTable,$F7,2,MV$2,1)),100%),0)</f>
        <v>0</v>
      </c>
      <c r="MX7" s="220">
        <f t="shared" ref="MX7:MX38" ca="1" si="312">IF(AND($G7&gt;0,SP_AnnySurvivor),IF(MV$2&gt;0,PRODUCT(OFFSET(LT_AnnuityLifeTable,$G7,5,MV$2,1)),100%),0)</f>
        <v>0</v>
      </c>
      <c r="MY7" s="235">
        <f t="shared" ref="MY7:MY70" ca="1" si="313">ABS(MV7)*IF(MV$2&lt;$O7,1,(MW7+MX7)-(MW7*MX7))/POWER(1+$L7,MV$2)</f>
        <v>0</v>
      </c>
      <c r="MZ7" s="235">
        <f t="shared" ref="MZ7:MZ70" ca="1" si="314">ABS(MV7)*IF(MV$2&lt;$O7,1,(MW7+MX7)-(MW7*MX7))/POWER(1+$L8,MV$2)</f>
        <v>0</v>
      </c>
      <c r="NA7" s="242">
        <f t="shared" ref="NA7:NA70" ca="1" si="315">ABS(MV7)*IF(MV$2&lt;$O7,1,(MW7+MX7)-(MW7*MX7))/POWER(1+$M7,MV$2)</f>
        <v>0</v>
      </c>
      <c r="NB7" s="241">
        <f t="shared" ca="1" si="275"/>
        <v>1</v>
      </c>
      <c r="NC7" s="220">
        <f t="shared" ref="NC7:NC38" ca="1" si="316">IF($F7&gt;0,IF(NB$2&gt;0,PRODUCT(OFFSET(LT_AnnuityLifeTable,$F7,2,NB$2,1)),100%),0)</f>
        <v>0</v>
      </c>
      <c r="ND7" s="220">
        <f t="shared" ref="ND7:ND38" ca="1" si="317">IF(AND($G7&gt;0,SP_AnnySurvivor),IF(NB$2&gt;0,PRODUCT(OFFSET(LT_AnnuityLifeTable,$G7,5,NB$2,1)),100%),0)</f>
        <v>0</v>
      </c>
      <c r="NE7" s="235">
        <f t="shared" ref="NE7:NE70" ca="1" si="318">ABS(NB7)*IF(NB$2&lt;$O7,1,(NC7+ND7)-(NC7*ND7))/POWER(1+$L7,NB$2)</f>
        <v>0</v>
      </c>
      <c r="NF7" s="235">
        <f t="shared" ref="NF7:NF70" ca="1" si="319">ABS(NB7)*IF(NB$2&lt;$O7,1,(NC7+ND7)-(NC7*ND7))/POWER(1+$L8,NB$2)</f>
        <v>0</v>
      </c>
      <c r="NG7" s="242">
        <f t="shared" ref="NG7:NG70" ca="1" si="320">ABS(NB7)*IF(NB$2&lt;$O7,1,(NC7+ND7)-(NC7*ND7))/POWER(1+$M7,NB$2)</f>
        <v>0</v>
      </c>
      <c r="NH7" s="241">
        <f t="shared" ca="1" si="275"/>
        <v>1</v>
      </c>
      <c r="NI7" s="220">
        <f t="shared" ref="NI7:NI38" ca="1" si="321">IF($F7&gt;0,IF(NH$2&gt;0,PRODUCT(OFFSET(LT_AnnuityLifeTable,$F7,2,NH$2,1)),100%),0)</f>
        <v>0</v>
      </c>
      <c r="NJ7" s="220">
        <f t="shared" ref="NJ7:NJ38" ca="1" si="322">IF(AND($G7&gt;0,SP_AnnySurvivor),IF(NH$2&gt;0,PRODUCT(OFFSET(LT_AnnuityLifeTable,$G7,5,NH$2,1)),100%),0)</f>
        <v>0</v>
      </c>
      <c r="NK7" s="235">
        <f t="shared" ref="NK7:NK70" ca="1" si="323">ABS(NH7)*IF(NH$2&lt;$O7,1,(NI7+NJ7)-(NI7*NJ7))/POWER(1+$L7,NH$2)</f>
        <v>0</v>
      </c>
      <c r="NL7" s="235">
        <f t="shared" ref="NL7:NL70" ca="1" si="324">ABS(NH7)*IF(NH$2&lt;$O7,1,(NI7+NJ7)-(NI7*NJ7))/POWER(1+$L8,NH$2)</f>
        <v>0</v>
      </c>
      <c r="NM7" s="242">
        <f t="shared" ref="NM7:NM70" ca="1" si="325">ABS(NH7)*IF(NH$2&lt;$O7,1,(NI7+NJ7)-(NI7*NJ7))/POWER(1+$M7,NH$2)</f>
        <v>0</v>
      </c>
      <c r="NN7" s="241">
        <f t="shared" ca="1" si="275"/>
        <v>1</v>
      </c>
      <c r="NO7" s="220">
        <f t="shared" ref="NO7:NO38" ca="1" si="326">IF($F7&gt;0,IF(NN$2&gt;0,PRODUCT(OFFSET(LT_AnnuityLifeTable,$F7,2,NN$2,1)),100%),0)</f>
        <v>0</v>
      </c>
      <c r="NP7" s="220">
        <f t="shared" ref="NP7:NP38" ca="1" si="327">IF(AND($G7&gt;0,SP_AnnySurvivor),IF(NN$2&gt;0,PRODUCT(OFFSET(LT_AnnuityLifeTable,$G7,5,NN$2,1)),100%),0)</f>
        <v>0</v>
      </c>
      <c r="NQ7" s="235">
        <f t="shared" ref="NQ7:NQ70" ca="1" si="328">ABS(NN7)*IF(NN$2&lt;$O7,1,(NO7+NP7)-(NO7*NP7))/POWER(1+$L7,NN$2)</f>
        <v>0</v>
      </c>
      <c r="NR7" s="235">
        <f t="shared" ref="NR7:NR70" ca="1" si="329">ABS(NN7)*IF(NN$2&lt;$O7,1,(NO7+NP7)-(NO7*NP7))/POWER(1+$L8,NN$2)</f>
        <v>0</v>
      </c>
      <c r="NS7" s="242">
        <f t="shared" ref="NS7:NS70" ca="1" si="330">ABS(NN7)*IF(NN$2&lt;$O7,1,(NO7+NP7)-(NO7*NP7))/POWER(1+$M7,NN$2)</f>
        <v>0</v>
      </c>
      <c r="NT7" s="241">
        <f t="shared" ref="NT7:QB30" ca="1" si="331">IF(($B7+NT$2)&lt;SC_TargetRY,0,IF(($B7+NT$2)=SC_TargetRY,SC_AnnyPmntPr,IF(SP_AnnyTerms="Life",1,IF(($B7+NT$2)=(SC_TargetRY+SP_AnnyPeriod),SC_AnnyPmntPr-1,IF(($B7+NT$2)&gt;(SC_TargetRY+SP_AnnyPeriod),0,1)))))</f>
        <v>1</v>
      </c>
      <c r="NU7" s="220">
        <f t="shared" ref="NU7:NU38" ca="1" si="332">IF($F7&gt;0,IF(NT$2&gt;0,PRODUCT(OFFSET(LT_AnnuityLifeTable,$F7,2,NT$2,1)),100%),0)</f>
        <v>0</v>
      </c>
      <c r="NV7" s="220">
        <f t="shared" ref="NV7:NV38" ca="1" si="333">IF(AND($G7&gt;0,SP_AnnySurvivor),IF(NT$2&gt;0,PRODUCT(OFFSET(LT_AnnuityLifeTable,$G7,5,NT$2,1)),100%),0)</f>
        <v>0</v>
      </c>
      <c r="NW7" s="235">
        <f t="shared" ref="NW7:NW70" ca="1" si="334">ABS(NT7)*IF(NT$2&lt;$O7,1,(NU7+NV7)-(NU7*NV7))/POWER(1+$L7,NT$2)</f>
        <v>0</v>
      </c>
      <c r="NX7" s="235">
        <f t="shared" ref="NX7:NX70" ca="1" si="335">ABS(NT7)*IF(NT$2&lt;$O7,1,(NU7+NV7)-(NU7*NV7))/POWER(1+$L8,NT$2)</f>
        <v>0</v>
      </c>
      <c r="NY7" s="242">
        <f t="shared" ref="NY7:NY70" ca="1" si="336">ABS(NT7)*IF(NT$2&lt;$O7,1,(NU7+NV7)-(NU7*NV7))/POWER(1+$M7,NT$2)</f>
        <v>0</v>
      </c>
      <c r="NZ7" s="241">
        <f t="shared" ca="1" si="331"/>
        <v>1</v>
      </c>
      <c r="OA7" s="220">
        <f t="shared" ref="OA7:OA38" ca="1" si="337">IF($F7&gt;0,IF(NZ$2&gt;0,PRODUCT(OFFSET(LT_AnnuityLifeTable,$F7,2,NZ$2,1)),100%),0)</f>
        <v>0</v>
      </c>
      <c r="OB7" s="220">
        <f t="shared" ref="OB7:OB38" ca="1" si="338">IF(AND($G7&gt;0,SP_AnnySurvivor),IF(NZ$2&gt;0,PRODUCT(OFFSET(LT_AnnuityLifeTable,$G7,5,NZ$2,1)),100%),0)</f>
        <v>0</v>
      </c>
      <c r="OC7" s="235">
        <f t="shared" ref="OC7:OC70" ca="1" si="339">ABS(NZ7)*IF(NZ$2&lt;$O7,1,(OA7+OB7)-(OA7*OB7))/POWER(1+$L7,NZ$2)</f>
        <v>0</v>
      </c>
      <c r="OD7" s="235">
        <f t="shared" ref="OD7:OD70" ca="1" si="340">ABS(NZ7)*IF(NZ$2&lt;$O7,1,(OA7+OB7)-(OA7*OB7))/POWER(1+$L8,NZ$2)</f>
        <v>0</v>
      </c>
      <c r="OE7" s="242">
        <f t="shared" ref="OE7:OE70" ca="1" si="341">ABS(NZ7)*IF(NZ$2&lt;$O7,1,(OA7+OB7)-(OA7*OB7))/POWER(1+$M7,NZ$2)</f>
        <v>0</v>
      </c>
      <c r="OF7" s="241">
        <f t="shared" ca="1" si="331"/>
        <v>1</v>
      </c>
      <c r="OG7" s="220">
        <f t="shared" ref="OG7:OG38" ca="1" si="342">IF($F7&gt;0,IF(OF$2&gt;0,PRODUCT(OFFSET(LT_AnnuityLifeTable,$F7,2,OF$2,1)),100%),0)</f>
        <v>0</v>
      </c>
      <c r="OH7" s="220">
        <f t="shared" ref="OH7:OH38" ca="1" si="343">IF(AND($G7&gt;0,SP_AnnySurvivor),IF(OF$2&gt;0,PRODUCT(OFFSET(LT_AnnuityLifeTable,$G7,5,OF$2,1)),100%),0)</f>
        <v>0</v>
      </c>
      <c r="OI7" s="235">
        <f t="shared" ref="OI7:OI70" ca="1" si="344">ABS(OF7)*IF(OF$2&lt;$O7,1,(OG7+OH7)-(OG7*OH7))/POWER(1+$L7,OF$2)</f>
        <v>0</v>
      </c>
      <c r="OJ7" s="235">
        <f t="shared" ref="OJ7:OJ70" ca="1" si="345">ABS(OF7)*IF(OF$2&lt;$O7,1,(OG7+OH7)-(OG7*OH7))/POWER(1+$L8,OF$2)</f>
        <v>0</v>
      </c>
      <c r="OK7" s="242">
        <f t="shared" ref="OK7:OK70" ca="1" si="346">ABS(OF7)*IF(OF$2&lt;$O7,1,(OG7+OH7)-(OG7*OH7))/POWER(1+$M7,OF$2)</f>
        <v>0</v>
      </c>
      <c r="OL7" s="241">
        <f t="shared" ca="1" si="331"/>
        <v>1</v>
      </c>
      <c r="OM7" s="220">
        <f t="shared" ref="OM7:OM38" ca="1" si="347">IF($F7&gt;0,IF(OL$2&gt;0,PRODUCT(OFFSET(LT_AnnuityLifeTable,$F7,2,OL$2,1)),100%),0)</f>
        <v>0</v>
      </c>
      <c r="ON7" s="220">
        <f t="shared" ref="ON7:ON38" ca="1" si="348">IF(AND($G7&gt;0,SP_AnnySurvivor),IF(OL$2&gt;0,PRODUCT(OFFSET(LT_AnnuityLifeTable,$G7,5,OL$2,1)),100%),0)</f>
        <v>0</v>
      </c>
      <c r="OO7" s="235">
        <f t="shared" ref="OO7:OO70" ca="1" si="349">ABS(OL7)*IF(OL$2&lt;$O7,1,(OM7+ON7)-(OM7*ON7))/POWER(1+$L7,OL$2)</f>
        <v>0</v>
      </c>
      <c r="OP7" s="235">
        <f t="shared" ref="OP7:OP70" ca="1" si="350">ABS(OL7)*IF(OL$2&lt;$O7,1,(OM7+ON7)-(OM7*ON7))/POWER(1+$L8,OL$2)</f>
        <v>0</v>
      </c>
      <c r="OQ7" s="242">
        <f t="shared" ref="OQ7:OQ70" ca="1" si="351">ABS(OL7)*IF(OL$2&lt;$O7,1,(OM7+ON7)-(OM7*ON7))/POWER(1+$M7,OL$2)</f>
        <v>0</v>
      </c>
      <c r="OR7" s="241">
        <f t="shared" ca="1" si="331"/>
        <v>1</v>
      </c>
      <c r="OS7" s="220">
        <f t="shared" ref="OS7:OS38" ca="1" si="352">IF($F7&gt;0,IF(OR$2&gt;0,PRODUCT(OFFSET(LT_AnnuityLifeTable,$F7,2,OR$2,1)),100%),0)</f>
        <v>0</v>
      </c>
      <c r="OT7" s="220">
        <f t="shared" ref="OT7:OT38" ca="1" si="353">IF(AND($G7&gt;0,SP_AnnySurvivor),IF(OR$2&gt;0,PRODUCT(OFFSET(LT_AnnuityLifeTable,$G7,5,OR$2,1)),100%),0)</f>
        <v>0</v>
      </c>
      <c r="OU7" s="235">
        <f t="shared" ref="OU7:OU70" ca="1" si="354">ABS(OR7)*IF(OR$2&lt;$O7,1,(OS7+OT7)-(OS7*OT7))/POWER(1+$L7,OR$2)</f>
        <v>0</v>
      </c>
      <c r="OV7" s="235">
        <f t="shared" ref="OV7:OV70" ca="1" si="355">ABS(OR7)*IF(OR$2&lt;$O7,1,(OS7+OT7)-(OS7*OT7))/POWER(1+$L8,OR$2)</f>
        <v>0</v>
      </c>
      <c r="OW7" s="242">
        <f t="shared" ref="OW7:OW70" ca="1" si="356">ABS(OR7)*IF(OR$2&lt;$O7,1,(OS7+OT7)-(OS7*OT7))/POWER(1+$M7,OR$2)</f>
        <v>0</v>
      </c>
      <c r="OX7" s="241">
        <f t="shared" ca="1" si="331"/>
        <v>1</v>
      </c>
      <c r="OY7" s="220">
        <f t="shared" ref="OY7:OY38" ca="1" si="357">IF($F7&gt;0,IF(OX$2&gt;0,PRODUCT(OFFSET(LT_AnnuityLifeTable,$F7,2,OX$2,1)),100%),0)</f>
        <v>0</v>
      </c>
      <c r="OZ7" s="220">
        <f t="shared" ref="OZ7:OZ38" ca="1" si="358">IF(AND($G7&gt;0,SP_AnnySurvivor),IF(OX$2&gt;0,PRODUCT(OFFSET(LT_AnnuityLifeTable,$G7,5,OX$2,1)),100%),0)</f>
        <v>0</v>
      </c>
      <c r="PA7" s="235">
        <f t="shared" ref="PA7:PA70" ca="1" si="359">ABS(OX7)*IF(OX$2&lt;$O7,1,(OY7+OZ7)-(OY7*OZ7))/POWER(1+$L7,OX$2)</f>
        <v>0</v>
      </c>
      <c r="PB7" s="235">
        <f t="shared" ref="PB7:PB70" ca="1" si="360">ABS(OX7)*IF(OX$2&lt;$O7,1,(OY7+OZ7)-(OY7*OZ7))/POWER(1+$L8,OX$2)</f>
        <v>0</v>
      </c>
      <c r="PC7" s="242">
        <f t="shared" ref="PC7:PC70" ca="1" si="361">ABS(OX7)*IF(OX$2&lt;$O7,1,(OY7+OZ7)-(OY7*OZ7))/POWER(1+$M7,OX$2)</f>
        <v>0</v>
      </c>
      <c r="PD7" s="241">
        <f t="shared" ca="1" si="331"/>
        <v>1</v>
      </c>
      <c r="PE7" s="220">
        <f t="shared" ref="PE7:PE38" ca="1" si="362">IF($F7&gt;0,IF(PD$2&gt;0,PRODUCT(OFFSET(LT_AnnuityLifeTable,$F7,2,PD$2,1)),100%),0)</f>
        <v>0</v>
      </c>
      <c r="PF7" s="220">
        <f t="shared" ref="PF7:PF38" ca="1" si="363">IF(AND($G7&gt;0,SP_AnnySurvivor),IF(PD$2&gt;0,PRODUCT(OFFSET(LT_AnnuityLifeTable,$G7,5,PD$2,1)),100%),0)</f>
        <v>0</v>
      </c>
      <c r="PG7" s="235">
        <f t="shared" ref="PG7:PG70" ca="1" si="364">ABS(PD7)*IF(PD$2&lt;$O7,1,(PE7+PF7)-(PE7*PF7))/POWER(1+$L7,PD$2)</f>
        <v>0</v>
      </c>
      <c r="PH7" s="235">
        <f t="shared" ref="PH7:PH70" ca="1" si="365">ABS(PD7)*IF(PD$2&lt;$O7,1,(PE7+PF7)-(PE7*PF7))/POWER(1+$L8,PD$2)</f>
        <v>0</v>
      </c>
      <c r="PI7" s="242">
        <f t="shared" ref="PI7:PI70" ca="1" si="366">ABS(PD7)*IF(PD$2&lt;$O7,1,(PE7+PF7)-(PE7*PF7))/POWER(1+$M7,PD$2)</f>
        <v>0</v>
      </c>
      <c r="PJ7" s="241">
        <f t="shared" ca="1" si="331"/>
        <v>1</v>
      </c>
      <c r="PK7" s="220">
        <f t="shared" ref="PK7:PK38" ca="1" si="367">IF($F7&gt;0,IF(PJ$2&gt;0,PRODUCT(OFFSET(LT_AnnuityLifeTable,$F7,2,PJ$2,1)),100%),0)</f>
        <v>0</v>
      </c>
      <c r="PL7" s="220">
        <f t="shared" ref="PL7:PL38" ca="1" si="368">IF(AND($G7&gt;0,SP_AnnySurvivor),IF(PJ$2&gt;0,PRODUCT(OFFSET(LT_AnnuityLifeTable,$G7,5,PJ$2,1)),100%),0)</f>
        <v>0</v>
      </c>
      <c r="PM7" s="235">
        <f t="shared" ref="PM7:PM70" ca="1" si="369">ABS(PJ7)*IF(PJ$2&lt;$O7,1,(PK7+PL7)-(PK7*PL7))/POWER(1+$L7,PJ$2)</f>
        <v>0</v>
      </c>
      <c r="PN7" s="235">
        <f t="shared" ref="PN7:PN70" ca="1" si="370">ABS(PJ7)*IF(PJ$2&lt;$O7,1,(PK7+PL7)-(PK7*PL7))/POWER(1+$L8,PJ$2)</f>
        <v>0</v>
      </c>
      <c r="PO7" s="242">
        <f t="shared" ref="PO7:PO70" ca="1" si="371">ABS(PJ7)*IF(PJ$2&lt;$O7,1,(PK7+PL7)-(PK7*PL7))/POWER(1+$M7,PJ$2)</f>
        <v>0</v>
      </c>
      <c r="PP7" s="241">
        <f t="shared" ca="1" si="331"/>
        <v>1</v>
      </c>
      <c r="PQ7" s="220">
        <f t="shared" ref="PQ7:PQ38" ca="1" si="372">IF($F7&gt;0,IF(PP$2&gt;0,PRODUCT(OFFSET(LT_AnnuityLifeTable,$F7,2,PP$2,1)),100%),0)</f>
        <v>0</v>
      </c>
      <c r="PR7" s="220">
        <f t="shared" ref="PR7:PR38" ca="1" si="373">IF(AND($G7&gt;0,SP_AnnySurvivor),IF(PP$2&gt;0,PRODUCT(OFFSET(LT_AnnuityLifeTable,$G7,5,PP$2,1)),100%),0)</f>
        <v>0</v>
      </c>
      <c r="PS7" s="235">
        <f t="shared" ref="PS7:PS70" ca="1" si="374">ABS(PP7)*IF(PP$2&lt;$O7,1,(PQ7+PR7)-(PQ7*PR7))/POWER(1+$L7,PP$2)</f>
        <v>0</v>
      </c>
      <c r="PT7" s="235">
        <f t="shared" ref="PT7:PT70" ca="1" si="375">ABS(PP7)*IF(PP$2&lt;$O7,1,(PQ7+PR7)-(PQ7*PR7))/POWER(1+$L8,PP$2)</f>
        <v>0</v>
      </c>
      <c r="PU7" s="242">
        <f t="shared" ref="PU7:PU70" ca="1" si="376">ABS(PP7)*IF(PP$2&lt;$O7,1,(PQ7+PR7)-(PQ7*PR7))/POWER(1+$M7,PP$2)</f>
        <v>0</v>
      </c>
      <c r="PV7" s="241">
        <f t="shared" ca="1" si="331"/>
        <v>1</v>
      </c>
      <c r="PW7" s="220">
        <f t="shared" ref="PW7:PW38" ca="1" si="377">IF($F7&gt;0,IF(PV$2&gt;0,PRODUCT(OFFSET(LT_AnnuityLifeTable,$F7,2,PV$2,1)),100%),0)</f>
        <v>0</v>
      </c>
      <c r="PX7" s="220">
        <f t="shared" ref="PX7:PX38" ca="1" si="378">IF(AND($G7&gt;0,SP_AnnySurvivor),IF(PV$2&gt;0,PRODUCT(OFFSET(LT_AnnuityLifeTable,$G7,5,PV$2,1)),100%),0)</f>
        <v>0</v>
      </c>
      <c r="PY7" s="235">
        <f t="shared" ref="PY7:PY70" ca="1" si="379">ABS(PV7)*IF(PV$2&lt;$O7,1,(PW7+PX7)-(PW7*PX7))/POWER(1+$L7,PV$2)</f>
        <v>0</v>
      </c>
      <c r="PZ7" s="235">
        <f t="shared" ref="PZ7:PZ70" ca="1" si="380">ABS(PV7)*IF(PV$2&lt;$O7,1,(PW7+PX7)-(PW7*PX7))/POWER(1+$L8,PV$2)</f>
        <v>0</v>
      </c>
      <c r="QA7" s="242">
        <f t="shared" ref="QA7:QA70" ca="1" si="381">ABS(PV7)*IF(PV$2&lt;$O7,1,(PW7+PX7)-(PW7*PX7))/POWER(1+$M7,PV$2)</f>
        <v>0</v>
      </c>
      <c r="QB7" s="241">
        <f t="shared" ca="1" si="331"/>
        <v>1</v>
      </c>
      <c r="QC7" s="220">
        <f t="shared" ref="QC7:QC38" ca="1" si="382">IF($F7&gt;0,IF(QB$2&gt;0,PRODUCT(OFFSET(LT_AnnuityLifeTable,$F7,2,QB$2,1)),100%),0)</f>
        <v>0</v>
      </c>
      <c r="QD7" s="220">
        <f t="shared" ref="QD7:QD38" ca="1" si="383">IF(AND($G7&gt;0,SP_AnnySurvivor),IF(QB$2&gt;0,PRODUCT(OFFSET(LT_AnnuityLifeTable,$G7,5,QB$2,1)),100%),0)</f>
        <v>0</v>
      </c>
      <c r="QE7" s="235">
        <f t="shared" ref="QE7:QE70" ca="1" si="384">ABS(QB7)*IF(QB$2&lt;$O7,1,(QC7+QD7)-(QC7*QD7))/POWER(1+$L7,QB$2)</f>
        <v>0</v>
      </c>
      <c r="QF7" s="235">
        <f t="shared" ref="QF7:QF70" ca="1" si="385">ABS(QB7)*IF(QB$2&lt;$O7,1,(QC7+QD7)-(QC7*QD7))/POWER(1+$L8,QB$2)</f>
        <v>0</v>
      </c>
      <c r="QG7" s="242">
        <f t="shared" ref="QG7:QG70" ca="1" si="386">ABS(QB7)*IF(QB$2&lt;$O7,1,(QC7+QD7)-(QC7*QD7))/POWER(1+$M7,QB$2)</f>
        <v>0</v>
      </c>
      <c r="QH7" s="241">
        <f t="shared" ref="QH7:SP31" ca="1" si="387">IF(($B7+QH$2)&lt;SC_TargetRY,0,IF(($B7+QH$2)=SC_TargetRY,SC_AnnyPmntPr,IF(SP_AnnyTerms="Life",1,IF(($B7+QH$2)=(SC_TargetRY+SP_AnnyPeriod),SC_AnnyPmntPr-1,IF(($B7+QH$2)&gt;(SC_TargetRY+SP_AnnyPeriod),0,1)))))</f>
        <v>1</v>
      </c>
      <c r="QI7" s="220">
        <f t="shared" ref="QI7:QI38" ca="1" si="388">IF($F7&gt;0,IF(QH$2&gt;0,PRODUCT(OFFSET(LT_AnnuityLifeTable,$F7,2,QH$2,1)),100%),0)</f>
        <v>0</v>
      </c>
      <c r="QJ7" s="220">
        <f t="shared" ref="QJ7:QJ38" ca="1" si="389">IF(AND($G7&gt;0,SP_AnnySurvivor),IF(QH$2&gt;0,PRODUCT(OFFSET(LT_AnnuityLifeTable,$G7,5,QH$2,1)),100%),0)</f>
        <v>0</v>
      </c>
      <c r="QK7" s="235">
        <f t="shared" ref="QK7:QK70" ca="1" si="390">ABS(QH7)*IF(QH$2&lt;$O7,1,(QI7+QJ7)-(QI7*QJ7))/POWER(1+$L7,QH$2)</f>
        <v>0</v>
      </c>
      <c r="QL7" s="235">
        <f t="shared" ref="QL7:QL70" ca="1" si="391">ABS(QH7)*IF(QH$2&lt;$O7,1,(QI7+QJ7)-(QI7*QJ7))/POWER(1+$L8,QH$2)</f>
        <v>0</v>
      </c>
      <c r="QM7" s="242">
        <f t="shared" ref="QM7:QM70" ca="1" si="392">ABS(QH7)*IF(QH$2&lt;$O7,1,(QI7+QJ7)-(QI7*QJ7))/POWER(1+$M7,QH$2)</f>
        <v>0</v>
      </c>
      <c r="QN7" s="241">
        <f t="shared" ca="1" si="387"/>
        <v>1</v>
      </c>
      <c r="QO7" s="220">
        <f t="shared" ref="QO7:QO38" ca="1" si="393">IF($F7&gt;0,IF(QN$2&gt;0,PRODUCT(OFFSET(LT_AnnuityLifeTable,$F7,2,QN$2,1)),100%),0)</f>
        <v>0</v>
      </c>
      <c r="QP7" s="220">
        <f t="shared" ref="QP7:QP38" ca="1" si="394">IF(AND($G7&gt;0,SP_AnnySurvivor),IF(QN$2&gt;0,PRODUCT(OFFSET(LT_AnnuityLifeTable,$G7,5,QN$2,1)),100%),0)</f>
        <v>0</v>
      </c>
      <c r="QQ7" s="235">
        <f t="shared" ref="QQ7:QQ70" ca="1" si="395">ABS(QN7)*IF(QN$2&lt;$O7,1,(QO7+QP7)-(QO7*QP7))/POWER(1+$L7,QN$2)</f>
        <v>0</v>
      </c>
      <c r="QR7" s="235">
        <f t="shared" ref="QR7:QR70" ca="1" si="396">ABS(QN7)*IF(QN$2&lt;$O7,1,(QO7+QP7)-(QO7*QP7))/POWER(1+$L8,QN$2)</f>
        <v>0</v>
      </c>
      <c r="QS7" s="242">
        <f t="shared" ref="QS7:QS70" ca="1" si="397">ABS(QN7)*IF(QN$2&lt;$O7,1,(QO7+QP7)-(QO7*QP7))/POWER(1+$M7,QN$2)</f>
        <v>0</v>
      </c>
      <c r="QT7" s="241">
        <f t="shared" ca="1" si="387"/>
        <v>1</v>
      </c>
      <c r="QU7" s="220">
        <f t="shared" ref="QU7:QU38" ca="1" si="398">IF($F7&gt;0,IF(QT$2&gt;0,PRODUCT(OFFSET(LT_AnnuityLifeTable,$F7,2,QT$2,1)),100%),0)</f>
        <v>0</v>
      </c>
      <c r="QV7" s="220">
        <f t="shared" ref="QV7:QV38" ca="1" si="399">IF(AND($G7&gt;0,SP_AnnySurvivor),IF(QT$2&gt;0,PRODUCT(OFFSET(LT_AnnuityLifeTable,$G7,5,QT$2,1)),100%),0)</f>
        <v>0</v>
      </c>
      <c r="QW7" s="235">
        <f t="shared" ref="QW7:QW70" ca="1" si="400">ABS(QT7)*IF(QT$2&lt;$O7,1,(QU7+QV7)-(QU7*QV7))/POWER(1+$L7,QT$2)</f>
        <v>0</v>
      </c>
      <c r="QX7" s="235">
        <f t="shared" ref="QX7:QX70" ca="1" si="401">ABS(QT7)*IF(QT$2&lt;$O7,1,(QU7+QV7)-(QU7*QV7))/POWER(1+$L8,QT$2)</f>
        <v>0</v>
      </c>
      <c r="QY7" s="242">
        <f t="shared" ref="QY7:QY70" ca="1" si="402">ABS(QT7)*IF(QT$2&lt;$O7,1,(QU7+QV7)-(QU7*QV7))/POWER(1+$M7,QT$2)</f>
        <v>0</v>
      </c>
      <c r="QZ7" s="241">
        <f t="shared" ca="1" si="387"/>
        <v>1</v>
      </c>
      <c r="RA7" s="220">
        <f t="shared" ref="RA7:RA38" ca="1" si="403">IF($F7&gt;0,IF(QZ$2&gt;0,PRODUCT(OFFSET(LT_AnnuityLifeTable,$F7,2,QZ$2,1)),100%),0)</f>
        <v>0</v>
      </c>
      <c r="RB7" s="220">
        <f t="shared" ref="RB7:RB38" ca="1" si="404">IF(AND($G7&gt;0,SP_AnnySurvivor),IF(QZ$2&gt;0,PRODUCT(OFFSET(LT_AnnuityLifeTable,$G7,5,QZ$2,1)),100%),0)</f>
        <v>0</v>
      </c>
      <c r="RC7" s="235">
        <f t="shared" ref="RC7:RC70" ca="1" si="405">ABS(QZ7)*IF(QZ$2&lt;$O7,1,(RA7+RB7)-(RA7*RB7))/POWER(1+$L7,QZ$2)</f>
        <v>0</v>
      </c>
      <c r="RD7" s="235">
        <f t="shared" ref="RD7:RD70" ca="1" si="406">ABS(QZ7)*IF(QZ$2&lt;$O7,1,(RA7+RB7)-(RA7*RB7))/POWER(1+$L8,QZ$2)</f>
        <v>0</v>
      </c>
      <c r="RE7" s="242">
        <f t="shared" ref="RE7:RE70" ca="1" si="407">ABS(QZ7)*IF(QZ$2&lt;$O7,1,(RA7+RB7)-(RA7*RB7))/POWER(1+$M7,QZ$2)</f>
        <v>0</v>
      </c>
      <c r="RF7" s="241">
        <f t="shared" ca="1" si="387"/>
        <v>1</v>
      </c>
      <c r="RG7" s="220">
        <f t="shared" ref="RG7:RG38" ca="1" si="408">IF($F7&gt;0,IF(RF$2&gt;0,PRODUCT(OFFSET(LT_AnnuityLifeTable,$F7,2,RF$2,1)),100%),0)</f>
        <v>0</v>
      </c>
      <c r="RH7" s="220">
        <f t="shared" ref="RH7:RH38" ca="1" si="409">IF(AND($G7&gt;0,SP_AnnySurvivor),IF(RF$2&gt;0,PRODUCT(OFFSET(LT_AnnuityLifeTable,$G7,5,RF$2,1)),100%),0)</f>
        <v>0</v>
      </c>
      <c r="RI7" s="235">
        <f t="shared" ref="RI7:RI70" ca="1" si="410">ABS(RF7)*IF(RF$2&lt;$O7,1,(RG7+RH7)-(RG7*RH7))/POWER(1+$L7,RF$2)</f>
        <v>0</v>
      </c>
      <c r="RJ7" s="235">
        <f t="shared" ref="RJ7:RJ70" ca="1" si="411">ABS(RF7)*IF(RF$2&lt;$O7,1,(RG7+RH7)-(RG7*RH7))/POWER(1+$L8,RF$2)</f>
        <v>0</v>
      </c>
      <c r="RK7" s="242">
        <f t="shared" ref="RK7:RK70" ca="1" si="412">ABS(RF7)*IF(RF$2&lt;$O7,1,(RG7+RH7)-(RG7*RH7))/POWER(1+$M7,RF$2)</f>
        <v>0</v>
      </c>
      <c r="RL7" s="241">
        <f t="shared" ca="1" si="387"/>
        <v>1</v>
      </c>
      <c r="RM7" s="220">
        <f t="shared" ref="RM7:RM38" ca="1" si="413">IF($F7&gt;0,IF(RL$2&gt;0,PRODUCT(OFFSET(LT_AnnuityLifeTable,$F7,2,RL$2,1)),100%),0)</f>
        <v>0</v>
      </c>
      <c r="RN7" s="220">
        <f t="shared" ref="RN7:RN38" ca="1" si="414">IF(AND($G7&gt;0,SP_AnnySurvivor),IF(RL$2&gt;0,PRODUCT(OFFSET(LT_AnnuityLifeTable,$G7,5,RL$2,1)),100%),0)</f>
        <v>0</v>
      </c>
      <c r="RO7" s="235">
        <f t="shared" ref="RO7:RO70" ca="1" si="415">ABS(RL7)*IF(RL$2&lt;$O7,1,(RM7+RN7)-(RM7*RN7))/POWER(1+$L7,RL$2)</f>
        <v>0</v>
      </c>
      <c r="RP7" s="235">
        <f t="shared" ref="RP7:RP70" ca="1" si="416">ABS(RL7)*IF(RL$2&lt;$O7,1,(RM7+RN7)-(RM7*RN7))/POWER(1+$L8,RL$2)</f>
        <v>0</v>
      </c>
      <c r="RQ7" s="242">
        <f t="shared" ref="RQ7:RQ70" ca="1" si="417">ABS(RL7)*IF(RL$2&lt;$O7,1,(RM7+RN7)-(RM7*RN7))/POWER(1+$M7,RL$2)</f>
        <v>0</v>
      </c>
      <c r="RR7" s="241">
        <f t="shared" ca="1" si="387"/>
        <v>1</v>
      </c>
      <c r="RS7" s="220">
        <f t="shared" ref="RS7:RS38" ca="1" si="418">IF($F7&gt;0,IF(RR$2&gt;0,PRODUCT(OFFSET(LT_AnnuityLifeTable,$F7,2,RR$2,1)),100%),0)</f>
        <v>0</v>
      </c>
      <c r="RT7" s="220">
        <f t="shared" ref="RT7:RT38" ca="1" si="419">IF(AND($G7&gt;0,SP_AnnySurvivor),IF(RR$2&gt;0,PRODUCT(OFFSET(LT_AnnuityLifeTable,$G7,5,RR$2,1)),100%),0)</f>
        <v>0</v>
      </c>
      <c r="RU7" s="235">
        <f t="shared" ref="RU7:RU70" ca="1" si="420">ABS(RR7)*IF(RR$2&lt;$O7,1,(RS7+RT7)-(RS7*RT7))/POWER(1+$L7,RR$2)</f>
        <v>0</v>
      </c>
      <c r="RV7" s="235">
        <f t="shared" ref="RV7:RV70" ca="1" si="421">ABS(RR7)*IF(RR$2&lt;$O7,1,(RS7+RT7)-(RS7*RT7))/POWER(1+$L8,RR$2)</f>
        <v>0</v>
      </c>
      <c r="RW7" s="242">
        <f t="shared" ref="RW7:RW70" ca="1" si="422">ABS(RR7)*IF(RR$2&lt;$O7,1,(RS7+RT7)-(RS7*RT7))/POWER(1+$M7,RR$2)</f>
        <v>0</v>
      </c>
      <c r="RX7" s="241">
        <f t="shared" ca="1" si="387"/>
        <v>1</v>
      </c>
      <c r="RY7" s="220">
        <f t="shared" ref="RY7:RY38" ca="1" si="423">IF($F7&gt;0,IF(RX$2&gt;0,PRODUCT(OFFSET(LT_AnnuityLifeTable,$F7,2,RX$2,1)),100%),0)</f>
        <v>0</v>
      </c>
      <c r="RZ7" s="220">
        <f t="shared" ref="RZ7:RZ38" ca="1" si="424">IF(AND($G7&gt;0,SP_AnnySurvivor),IF(RX$2&gt;0,PRODUCT(OFFSET(LT_AnnuityLifeTable,$G7,5,RX$2,1)),100%),0)</f>
        <v>0</v>
      </c>
      <c r="SA7" s="235">
        <f t="shared" ref="SA7:SA70" ca="1" si="425">ABS(RX7)*IF(RX$2&lt;$O7,1,(RY7+RZ7)-(RY7*RZ7))/POWER(1+$L7,RX$2)</f>
        <v>0</v>
      </c>
      <c r="SB7" s="235">
        <f t="shared" ref="SB7:SB70" ca="1" si="426">ABS(RX7)*IF(RX$2&lt;$O7,1,(RY7+RZ7)-(RY7*RZ7))/POWER(1+$L8,RX$2)</f>
        <v>0</v>
      </c>
      <c r="SC7" s="242">
        <f t="shared" ref="SC7:SC70" ca="1" si="427">ABS(RX7)*IF(RX$2&lt;$O7,1,(RY7+RZ7)-(RY7*RZ7))/POWER(1+$M7,RX$2)</f>
        <v>0</v>
      </c>
      <c r="SD7" s="241">
        <f t="shared" ca="1" si="387"/>
        <v>1</v>
      </c>
      <c r="SE7" s="220">
        <f t="shared" ref="SE7:SE38" ca="1" si="428">IF($F7&gt;0,IF(SD$2&gt;0,PRODUCT(OFFSET(LT_AnnuityLifeTable,$F7,2,SD$2,1)),100%),0)</f>
        <v>0</v>
      </c>
      <c r="SF7" s="220">
        <f t="shared" ref="SF7:SF38" ca="1" si="429">IF(AND($G7&gt;0,SP_AnnySurvivor),IF(SD$2&gt;0,PRODUCT(OFFSET(LT_AnnuityLifeTable,$G7,5,SD$2,1)),100%),0)</f>
        <v>0</v>
      </c>
      <c r="SG7" s="235">
        <f t="shared" ref="SG7:SG70" ca="1" si="430">ABS(SD7)*IF(SD$2&lt;$O7,1,(SE7+SF7)-(SE7*SF7))/POWER(1+$L7,SD$2)</f>
        <v>0</v>
      </c>
      <c r="SH7" s="235">
        <f t="shared" ref="SH7:SH70" ca="1" si="431">ABS(SD7)*IF(SD$2&lt;$O7,1,(SE7+SF7)-(SE7*SF7))/POWER(1+$L8,SD$2)</f>
        <v>0</v>
      </c>
      <c r="SI7" s="242">
        <f t="shared" ref="SI7:SI70" ca="1" si="432">ABS(SD7)*IF(SD$2&lt;$O7,1,(SE7+SF7)-(SE7*SF7))/POWER(1+$M7,SD$2)</f>
        <v>0</v>
      </c>
      <c r="SJ7" s="241">
        <f t="shared" ca="1" si="387"/>
        <v>1</v>
      </c>
      <c r="SK7" s="220">
        <f t="shared" ref="SK7:SK38" ca="1" si="433">IF($F7&gt;0,IF(SJ$2&gt;0,PRODUCT(OFFSET(LT_AnnuityLifeTable,$F7,2,SJ$2,1)),100%),0)</f>
        <v>0</v>
      </c>
      <c r="SL7" s="220">
        <f t="shared" ref="SL7:SL38" ca="1" si="434">IF(AND($G7&gt;0,SP_AnnySurvivor),IF(SJ$2&gt;0,PRODUCT(OFFSET(LT_AnnuityLifeTable,$G7,5,SJ$2,1)),100%),0)</f>
        <v>0</v>
      </c>
      <c r="SM7" s="235">
        <f t="shared" ref="SM7:SM70" ca="1" si="435">ABS(SJ7)*IF(SJ$2&lt;$O7,1,(SK7+SL7)-(SK7*SL7))/POWER(1+$L7,SJ$2)</f>
        <v>0</v>
      </c>
      <c r="SN7" s="235">
        <f t="shared" ref="SN7:SN70" ca="1" si="436">ABS(SJ7)*IF(SJ$2&lt;$O7,1,(SK7+SL7)-(SK7*SL7))/POWER(1+$L8,SJ$2)</f>
        <v>0</v>
      </c>
      <c r="SO7" s="242">
        <f t="shared" ref="SO7:SO70" ca="1" si="437">ABS(SJ7)*IF(SJ$2&lt;$O7,1,(SK7+SL7)-(SK7*SL7))/POWER(1+$M7,SJ$2)</f>
        <v>0</v>
      </c>
      <c r="SP7" s="241">
        <f t="shared" ca="1" si="387"/>
        <v>1</v>
      </c>
      <c r="SQ7" s="220">
        <f t="shared" ref="SQ7:SQ38" ca="1" si="438">IF($F7&gt;0,IF(SP$2&gt;0,PRODUCT(OFFSET(LT_AnnuityLifeTable,$F7,2,SP$2,1)),100%),0)</f>
        <v>0</v>
      </c>
      <c r="SR7" s="220">
        <f t="shared" ref="SR7:SR38" ca="1" si="439">IF(AND($G7&gt;0,SP_AnnySurvivor),IF(SP$2&gt;0,PRODUCT(OFFSET(LT_AnnuityLifeTable,$G7,5,SP$2,1)),100%),0)</f>
        <v>0</v>
      </c>
      <c r="SS7" s="235">
        <f t="shared" ref="SS7:SS70" ca="1" si="440">ABS(SP7)*IF(SP$2&lt;$O7,1,(SQ7+SR7)-(SQ7*SR7))/POWER(1+$L7,SP$2)</f>
        <v>0</v>
      </c>
      <c r="ST7" s="235">
        <f t="shared" ref="ST7:ST70" ca="1" si="441">ABS(SP7)*IF(SP$2&lt;$O7,1,(SQ7+SR7)-(SQ7*SR7))/POWER(1+$L8,SP$2)</f>
        <v>0</v>
      </c>
      <c r="SU7" s="242">
        <f t="shared" ref="SU7:SU70" ca="1" si="442">ABS(SP7)*IF(SP$2&lt;$O7,1,(SQ7+SR7)-(SQ7*SR7))/POWER(1+$M7,SP$2)</f>
        <v>0</v>
      </c>
      <c r="SV7" s="241">
        <f t="shared" ref="SV7:VD30" ca="1" si="443">IF(($B7+SV$2)&lt;SC_TargetRY,0,IF(($B7+SV$2)=SC_TargetRY,SC_AnnyPmntPr,IF(SP_AnnyTerms="Life",1,IF(($B7+SV$2)=(SC_TargetRY+SP_AnnyPeriod),SC_AnnyPmntPr-1,IF(($B7+SV$2)&gt;(SC_TargetRY+SP_AnnyPeriod),0,1)))))</f>
        <v>1</v>
      </c>
      <c r="SW7" s="220">
        <f t="shared" ref="SW7:SW38" ca="1" si="444">IF($F7&gt;0,IF(SV$2&gt;0,PRODUCT(OFFSET(LT_AnnuityLifeTable,$F7,2,SV$2,1)),100%),0)</f>
        <v>0</v>
      </c>
      <c r="SX7" s="220">
        <f t="shared" ref="SX7:SX38" ca="1" si="445">IF(AND($G7&gt;0,SP_AnnySurvivor),IF(SV$2&gt;0,PRODUCT(OFFSET(LT_AnnuityLifeTable,$G7,5,SV$2,1)),100%),0)</f>
        <v>0</v>
      </c>
      <c r="SY7" s="235">
        <f t="shared" ref="SY7:SY70" ca="1" si="446">ABS(SV7)*IF(SV$2&lt;$O7,1,(SW7+SX7)-(SW7*SX7))/POWER(1+$L7,SV$2)</f>
        <v>0</v>
      </c>
      <c r="SZ7" s="235">
        <f t="shared" ref="SZ7:SZ70" ca="1" si="447">ABS(SV7)*IF(SV$2&lt;$O7,1,(SW7+SX7)-(SW7*SX7))/POWER(1+$L8,SV$2)</f>
        <v>0</v>
      </c>
      <c r="TA7" s="242">
        <f t="shared" ref="TA7:TA70" ca="1" si="448">ABS(SV7)*IF(SV$2&lt;$O7,1,(SW7+SX7)-(SW7*SX7))/POWER(1+$M7,SV$2)</f>
        <v>0</v>
      </c>
      <c r="TB7" s="241">
        <f t="shared" ca="1" si="443"/>
        <v>1</v>
      </c>
      <c r="TC7" s="220">
        <f t="shared" ref="TC7:TC38" ca="1" si="449">IF($F7&gt;0,IF(TB$2&gt;0,PRODUCT(OFFSET(LT_AnnuityLifeTable,$F7,2,TB$2,1)),100%),0)</f>
        <v>0</v>
      </c>
      <c r="TD7" s="220">
        <f t="shared" ref="TD7:TD38" ca="1" si="450">IF(AND($G7&gt;0,SP_AnnySurvivor),IF(TB$2&gt;0,PRODUCT(OFFSET(LT_AnnuityLifeTable,$G7,5,TB$2,1)),100%),0)</f>
        <v>0</v>
      </c>
      <c r="TE7" s="235">
        <f t="shared" ref="TE7:TE70" ca="1" si="451">ABS(TB7)*IF(TB$2&lt;$O7,1,(TC7+TD7)-(TC7*TD7))/POWER(1+$L7,TB$2)</f>
        <v>0</v>
      </c>
      <c r="TF7" s="235">
        <f t="shared" ref="TF7:TF70" ca="1" si="452">ABS(TB7)*IF(TB$2&lt;$O7,1,(TC7+TD7)-(TC7*TD7))/POWER(1+$L8,TB$2)</f>
        <v>0</v>
      </c>
      <c r="TG7" s="242">
        <f t="shared" ref="TG7:TG70" ca="1" si="453">ABS(TB7)*IF(TB$2&lt;$O7,1,(TC7+TD7)-(TC7*TD7))/POWER(1+$M7,TB$2)</f>
        <v>0</v>
      </c>
      <c r="TH7" s="241">
        <f t="shared" ca="1" si="443"/>
        <v>1</v>
      </c>
      <c r="TI7" s="220">
        <f t="shared" ref="TI7:TI38" ca="1" si="454">IF($F7&gt;0,IF(TH$2&gt;0,PRODUCT(OFFSET(LT_AnnuityLifeTable,$F7,2,TH$2,1)),100%),0)</f>
        <v>0</v>
      </c>
      <c r="TJ7" s="220">
        <f t="shared" ref="TJ7:TJ38" ca="1" si="455">IF(AND($G7&gt;0,SP_AnnySurvivor),IF(TH$2&gt;0,PRODUCT(OFFSET(LT_AnnuityLifeTable,$G7,5,TH$2,1)),100%),0)</f>
        <v>0</v>
      </c>
      <c r="TK7" s="235">
        <f t="shared" ref="TK7:TK70" ca="1" si="456">ABS(TH7)*IF(TH$2&lt;$O7,1,(TI7+TJ7)-(TI7*TJ7))/POWER(1+$L7,TH$2)</f>
        <v>0</v>
      </c>
      <c r="TL7" s="235">
        <f t="shared" ref="TL7:TL70" ca="1" si="457">ABS(TH7)*IF(TH$2&lt;$O7,1,(TI7+TJ7)-(TI7*TJ7))/POWER(1+$L8,TH$2)</f>
        <v>0</v>
      </c>
      <c r="TM7" s="242">
        <f t="shared" ref="TM7:TM70" ca="1" si="458">ABS(TH7)*IF(TH$2&lt;$O7,1,(TI7+TJ7)-(TI7*TJ7))/POWER(1+$M7,TH$2)</f>
        <v>0</v>
      </c>
      <c r="TN7" s="241">
        <f t="shared" ca="1" si="443"/>
        <v>1</v>
      </c>
      <c r="TO7" s="220">
        <f t="shared" ref="TO7:TO38" ca="1" si="459">IF($F7&gt;0,IF(TN$2&gt;0,PRODUCT(OFFSET(LT_AnnuityLifeTable,$F7,2,TN$2,1)),100%),0)</f>
        <v>0</v>
      </c>
      <c r="TP7" s="220">
        <f t="shared" ref="TP7:TP38" ca="1" si="460">IF(AND($G7&gt;0,SP_AnnySurvivor),IF(TN$2&gt;0,PRODUCT(OFFSET(LT_AnnuityLifeTable,$G7,5,TN$2,1)),100%),0)</f>
        <v>0</v>
      </c>
      <c r="TQ7" s="235">
        <f t="shared" ref="TQ7:TQ70" ca="1" si="461">ABS(TN7)*IF(TN$2&lt;$O7,1,(TO7+TP7)-(TO7*TP7))/POWER(1+$L7,TN$2)</f>
        <v>0</v>
      </c>
      <c r="TR7" s="235">
        <f t="shared" ref="TR7:TR70" ca="1" si="462">ABS(TN7)*IF(TN$2&lt;$O7,1,(TO7+TP7)-(TO7*TP7))/POWER(1+$L8,TN$2)</f>
        <v>0</v>
      </c>
      <c r="TS7" s="242">
        <f t="shared" ref="TS7:TS70" ca="1" si="463">ABS(TN7)*IF(TN$2&lt;$O7,1,(TO7+TP7)-(TO7*TP7))/POWER(1+$M7,TN$2)</f>
        <v>0</v>
      </c>
      <c r="TT7" s="241">
        <f t="shared" ca="1" si="443"/>
        <v>1</v>
      </c>
      <c r="TU7" s="220">
        <f t="shared" ref="TU7:TU38" ca="1" si="464">IF($F7&gt;0,IF(TT$2&gt;0,PRODUCT(OFFSET(LT_AnnuityLifeTable,$F7,2,TT$2,1)),100%),0)</f>
        <v>0</v>
      </c>
      <c r="TV7" s="220">
        <f t="shared" ref="TV7:TV38" ca="1" si="465">IF(AND($G7&gt;0,SP_AnnySurvivor),IF(TT$2&gt;0,PRODUCT(OFFSET(LT_AnnuityLifeTable,$G7,5,TT$2,1)),100%),0)</f>
        <v>0</v>
      </c>
      <c r="TW7" s="235">
        <f t="shared" ref="TW7:TW70" ca="1" si="466">ABS(TT7)*IF(TT$2&lt;$O7,1,(TU7+TV7)-(TU7*TV7))/POWER(1+$L7,TT$2)</f>
        <v>0</v>
      </c>
      <c r="TX7" s="235">
        <f t="shared" ref="TX7:TX70" ca="1" si="467">ABS(TT7)*IF(TT$2&lt;$O7,1,(TU7+TV7)-(TU7*TV7))/POWER(1+$L8,TT$2)</f>
        <v>0</v>
      </c>
      <c r="TY7" s="242">
        <f t="shared" ref="TY7:TY70" ca="1" si="468">ABS(TT7)*IF(TT$2&lt;$O7,1,(TU7+TV7)-(TU7*TV7))/POWER(1+$M7,TT$2)</f>
        <v>0</v>
      </c>
      <c r="TZ7" s="241">
        <f t="shared" ca="1" si="443"/>
        <v>1</v>
      </c>
      <c r="UA7" s="220">
        <f t="shared" ref="UA7:UA38" ca="1" si="469">IF($F7&gt;0,IF(TZ$2&gt;0,PRODUCT(OFFSET(LT_AnnuityLifeTable,$F7,2,TZ$2,1)),100%),0)</f>
        <v>0</v>
      </c>
      <c r="UB7" s="220">
        <f t="shared" ref="UB7:UB38" ca="1" si="470">IF(AND($G7&gt;0,SP_AnnySurvivor),IF(TZ$2&gt;0,PRODUCT(OFFSET(LT_AnnuityLifeTable,$G7,5,TZ$2,1)),100%),0)</f>
        <v>0</v>
      </c>
      <c r="UC7" s="235">
        <f t="shared" ref="UC7:UC70" ca="1" si="471">ABS(TZ7)*IF(TZ$2&lt;$O7,1,(UA7+UB7)-(UA7*UB7))/POWER(1+$L7,TZ$2)</f>
        <v>0</v>
      </c>
      <c r="UD7" s="235">
        <f t="shared" ref="UD7:UD70" ca="1" si="472">ABS(TZ7)*IF(TZ$2&lt;$O7,1,(UA7+UB7)-(UA7*UB7))/POWER(1+$L8,TZ$2)</f>
        <v>0</v>
      </c>
      <c r="UE7" s="242">
        <f t="shared" ref="UE7:UE70" ca="1" si="473">ABS(TZ7)*IF(TZ$2&lt;$O7,1,(UA7+UB7)-(UA7*UB7))/POWER(1+$M7,TZ$2)</f>
        <v>0</v>
      </c>
      <c r="UF7" s="241">
        <f t="shared" ca="1" si="443"/>
        <v>1</v>
      </c>
      <c r="UG7" s="220">
        <f t="shared" ref="UG7:UG38" ca="1" si="474">IF($F7&gt;0,IF(UF$2&gt;0,PRODUCT(OFFSET(LT_AnnuityLifeTable,$F7,2,UF$2,1)),100%),0)</f>
        <v>0</v>
      </c>
      <c r="UH7" s="220">
        <f t="shared" ref="UH7:UH38" ca="1" si="475">IF(AND($G7&gt;0,SP_AnnySurvivor),IF(UF$2&gt;0,PRODUCT(OFFSET(LT_AnnuityLifeTable,$G7,5,UF$2,1)),100%),0)</f>
        <v>0</v>
      </c>
      <c r="UI7" s="235">
        <f t="shared" ref="UI7:UI70" ca="1" si="476">ABS(UF7)*IF(UF$2&lt;$O7,1,(UG7+UH7)-(UG7*UH7))/POWER(1+$L7,UF$2)</f>
        <v>0</v>
      </c>
      <c r="UJ7" s="235">
        <f t="shared" ref="UJ7:UJ70" ca="1" si="477">ABS(UF7)*IF(UF$2&lt;$O7,1,(UG7+UH7)-(UG7*UH7))/POWER(1+$L8,UF$2)</f>
        <v>0</v>
      </c>
      <c r="UK7" s="242">
        <f t="shared" ref="UK7:UK70" ca="1" si="478">ABS(UF7)*IF(UF$2&lt;$O7,1,(UG7+UH7)-(UG7*UH7))/POWER(1+$M7,UF$2)</f>
        <v>0</v>
      </c>
      <c r="UL7" s="241">
        <f t="shared" ca="1" si="443"/>
        <v>1</v>
      </c>
      <c r="UM7" s="220">
        <f t="shared" ref="UM7:UM38" ca="1" si="479">IF($F7&gt;0,IF(UL$2&gt;0,PRODUCT(OFFSET(LT_AnnuityLifeTable,$F7,2,UL$2,1)),100%),0)</f>
        <v>0</v>
      </c>
      <c r="UN7" s="220">
        <f t="shared" ref="UN7:UN38" ca="1" si="480">IF(AND($G7&gt;0,SP_AnnySurvivor),IF(UL$2&gt;0,PRODUCT(OFFSET(LT_AnnuityLifeTable,$G7,5,UL$2,1)),100%),0)</f>
        <v>0</v>
      </c>
      <c r="UO7" s="235">
        <f t="shared" ref="UO7:UO70" ca="1" si="481">ABS(UL7)*IF(UL$2&lt;$O7,1,(UM7+UN7)-(UM7*UN7))/POWER(1+$L7,UL$2)</f>
        <v>0</v>
      </c>
      <c r="UP7" s="235">
        <f t="shared" ref="UP7:UP70" ca="1" si="482">ABS(UL7)*IF(UL$2&lt;$O7,1,(UM7+UN7)-(UM7*UN7))/POWER(1+$L8,UL$2)</f>
        <v>0</v>
      </c>
      <c r="UQ7" s="242">
        <f t="shared" ref="UQ7:UQ70" ca="1" si="483">ABS(UL7)*IF(UL$2&lt;$O7,1,(UM7+UN7)-(UM7*UN7))/POWER(1+$M7,UL$2)</f>
        <v>0</v>
      </c>
      <c r="UR7" s="241">
        <f t="shared" ca="1" si="443"/>
        <v>1</v>
      </c>
      <c r="US7" s="220">
        <f t="shared" ref="US7:US38" ca="1" si="484">IF($F7&gt;0,IF(UR$2&gt;0,PRODUCT(OFFSET(LT_AnnuityLifeTable,$F7,2,UR$2,1)),100%),0)</f>
        <v>0</v>
      </c>
      <c r="UT7" s="220">
        <f t="shared" ref="UT7:UT38" ca="1" si="485">IF(AND($G7&gt;0,SP_AnnySurvivor),IF(UR$2&gt;0,PRODUCT(OFFSET(LT_AnnuityLifeTable,$G7,5,UR$2,1)),100%),0)</f>
        <v>0</v>
      </c>
      <c r="UU7" s="235">
        <f t="shared" ref="UU7:UU70" ca="1" si="486">ABS(UR7)*IF(UR$2&lt;$O7,1,(US7+UT7)-(US7*UT7))/POWER(1+$L7,UR$2)</f>
        <v>0</v>
      </c>
      <c r="UV7" s="235">
        <f t="shared" ref="UV7:UV70" ca="1" si="487">ABS(UR7)*IF(UR$2&lt;$O7,1,(US7+UT7)-(US7*UT7))/POWER(1+$L8,UR$2)</f>
        <v>0</v>
      </c>
      <c r="UW7" s="242">
        <f t="shared" ref="UW7:UW70" ca="1" si="488">ABS(UR7)*IF(UR$2&lt;$O7,1,(US7+UT7)-(US7*UT7))/POWER(1+$M7,UR$2)</f>
        <v>0</v>
      </c>
      <c r="UX7" s="241">
        <f t="shared" ca="1" si="443"/>
        <v>1</v>
      </c>
      <c r="UY7" s="220">
        <f t="shared" ref="UY7:UY38" ca="1" si="489">IF($F7&gt;0,IF(UX$2&gt;0,PRODUCT(OFFSET(LT_AnnuityLifeTable,$F7,2,UX$2,1)),100%),0)</f>
        <v>0</v>
      </c>
      <c r="UZ7" s="220">
        <f t="shared" ref="UZ7:UZ38" ca="1" si="490">IF(AND($G7&gt;0,SP_AnnySurvivor),IF(UX$2&gt;0,PRODUCT(OFFSET(LT_AnnuityLifeTable,$G7,5,UX$2,1)),100%),0)</f>
        <v>0</v>
      </c>
      <c r="VA7" s="235">
        <f t="shared" ref="VA7:VA70" ca="1" si="491">ABS(UX7)*IF(UX$2&lt;$O7,1,(UY7+UZ7)-(UY7*UZ7))/POWER(1+$L7,UX$2)</f>
        <v>0</v>
      </c>
      <c r="VB7" s="235">
        <f t="shared" ref="VB7:VB70" ca="1" si="492">ABS(UX7)*IF(UX$2&lt;$O7,1,(UY7+UZ7)-(UY7*UZ7))/POWER(1+$L8,UX$2)</f>
        <v>0</v>
      </c>
      <c r="VC7" s="242">
        <f t="shared" ref="VC7:VC70" ca="1" si="493">ABS(UX7)*IF(UX$2&lt;$O7,1,(UY7+UZ7)-(UY7*UZ7))/POWER(1+$M7,UX$2)</f>
        <v>0</v>
      </c>
      <c r="VD7" s="241">
        <f t="shared" ca="1" si="443"/>
        <v>1</v>
      </c>
      <c r="VE7" s="220">
        <f t="shared" ref="VE7:VE38" ca="1" si="494">IF($F7&gt;0,IF(VD$2&gt;0,PRODUCT(OFFSET(LT_AnnuityLifeTable,$F7,2,VD$2,1)),100%),0)</f>
        <v>0</v>
      </c>
      <c r="VF7" s="220">
        <f t="shared" ref="VF7:VF38" ca="1" si="495">IF(AND($G7&gt;0,SP_AnnySurvivor),IF(VD$2&gt;0,PRODUCT(OFFSET(LT_AnnuityLifeTable,$G7,5,VD$2,1)),100%),0)</f>
        <v>0</v>
      </c>
      <c r="VG7" s="235">
        <f t="shared" ref="VG7:VG70" ca="1" si="496">ABS(VD7)*IF(VD$2&lt;$O7,1,(VE7+VF7)-(VE7*VF7))/POWER(1+$L7,VD$2)</f>
        <v>0</v>
      </c>
      <c r="VH7" s="235">
        <f t="shared" ref="VH7:VH70" ca="1" si="497">ABS(VD7)*IF(VD$2&lt;$O7,1,(VE7+VF7)-(VE7*VF7))/POWER(1+$L8,VD$2)</f>
        <v>0</v>
      </c>
      <c r="VI7" s="242">
        <f t="shared" ref="VI7:VI70" ca="1" si="498">ABS(VD7)*IF(VD$2&lt;$O7,1,(VE7+VF7)-(VE7*VF7))/POWER(1+$M7,VD$2)</f>
        <v>0</v>
      </c>
      <c r="VJ7" s="241">
        <f t="shared" ref="VJ7:XF36" ca="1" si="499">IF(($B7+VJ$2)&lt;SC_TargetRY,0,IF(($B7+VJ$2)=SC_TargetRY,SC_AnnyPmntPr,IF(SP_AnnyTerms="Life",1,IF(($B7+VJ$2)=(SC_TargetRY+SP_AnnyPeriod),SC_AnnyPmntPr-1,IF(($B7+VJ$2)&gt;(SC_TargetRY+SP_AnnyPeriod),0,1)))))</f>
        <v>1</v>
      </c>
      <c r="VK7" s="220">
        <f t="shared" ref="VK7:VK38" ca="1" si="500">IF($F7&gt;0,IF(VJ$2&gt;0,PRODUCT(OFFSET(LT_AnnuityLifeTable,$F7,2,VJ$2,1)),100%),0)</f>
        <v>0</v>
      </c>
      <c r="VL7" s="220">
        <f t="shared" ref="VL7:VL38" ca="1" si="501">IF(AND($G7&gt;0,SP_AnnySurvivor),IF(VJ$2&gt;0,PRODUCT(OFFSET(LT_AnnuityLifeTable,$G7,5,VJ$2,1)),100%),0)</f>
        <v>0</v>
      </c>
      <c r="VM7" s="235">
        <f t="shared" ref="VM7:VM70" ca="1" si="502">ABS(VJ7)*IF(VJ$2&lt;$O7,1,(VK7+VL7)-(VK7*VL7))/POWER(1+$L7,VJ$2)</f>
        <v>0</v>
      </c>
      <c r="VN7" s="235">
        <f t="shared" ref="VN7:VN70" ca="1" si="503">ABS(VJ7)*IF(VJ$2&lt;$O7,1,(VK7+VL7)-(VK7*VL7))/POWER(1+$L8,VJ$2)</f>
        <v>0</v>
      </c>
      <c r="VO7" s="242">
        <f t="shared" ref="VO7:VO70" ca="1" si="504">ABS(VJ7)*IF(VJ$2&lt;$O7,1,(VK7+VL7)-(VK7*VL7))/POWER(1+$M7,VJ$2)</f>
        <v>0</v>
      </c>
      <c r="VP7" s="241">
        <f t="shared" ca="1" si="499"/>
        <v>1</v>
      </c>
      <c r="VQ7" s="220">
        <f t="shared" ref="VQ7:VQ38" ca="1" si="505">IF($F7&gt;0,IF(VP$2&gt;0,PRODUCT(OFFSET(LT_AnnuityLifeTable,$F7,2,VP$2,1)),100%),0)</f>
        <v>0</v>
      </c>
      <c r="VR7" s="220">
        <f t="shared" ref="VR7:VR38" ca="1" si="506">IF(AND($G7&gt;0,SP_AnnySurvivor),IF(VP$2&gt;0,PRODUCT(OFFSET(LT_AnnuityLifeTable,$G7,5,VP$2,1)),100%),0)</f>
        <v>0</v>
      </c>
      <c r="VS7" s="235">
        <f t="shared" ref="VS7:VS70" ca="1" si="507">ABS(VP7)*IF(VP$2&lt;$O7,1,(VQ7+VR7)-(VQ7*VR7))/POWER(1+$L7,VP$2)</f>
        <v>0</v>
      </c>
      <c r="VT7" s="235">
        <f t="shared" ref="VT7:VT70" ca="1" si="508">ABS(VP7)*IF(VP$2&lt;$O7,1,(VQ7+VR7)-(VQ7*VR7))/POWER(1+$L8,VP$2)</f>
        <v>0</v>
      </c>
      <c r="VU7" s="242">
        <f t="shared" ref="VU7:VU70" ca="1" si="509">ABS(VP7)*IF(VP$2&lt;$O7,1,(VQ7+VR7)-(VQ7*VR7))/POWER(1+$M7,VP$2)</f>
        <v>0</v>
      </c>
      <c r="VV7" s="241">
        <f t="shared" ca="1" si="499"/>
        <v>1</v>
      </c>
      <c r="VW7" s="220">
        <f t="shared" ref="VW7:VW38" ca="1" si="510">IF($F7&gt;0,IF(VV$2&gt;0,PRODUCT(OFFSET(LT_AnnuityLifeTable,$F7,2,VV$2,1)),100%),0)</f>
        <v>0</v>
      </c>
      <c r="VX7" s="220">
        <f t="shared" ref="VX7:VX38" ca="1" si="511">IF(AND($G7&gt;0,SP_AnnySurvivor),IF(VV$2&gt;0,PRODUCT(OFFSET(LT_AnnuityLifeTable,$G7,5,VV$2,1)),100%),0)</f>
        <v>0</v>
      </c>
      <c r="VY7" s="235">
        <f t="shared" ref="VY7:VY70" ca="1" si="512">ABS(VV7)*IF(VV$2&lt;$O7,1,(VW7+VX7)-(VW7*VX7))/POWER(1+$L7,VV$2)</f>
        <v>0</v>
      </c>
      <c r="VZ7" s="235">
        <f t="shared" ref="VZ7:VZ70" ca="1" si="513">ABS(VV7)*IF(VV$2&lt;$O7,1,(VW7+VX7)-(VW7*VX7))/POWER(1+$L8,VV$2)</f>
        <v>0</v>
      </c>
      <c r="WA7" s="242">
        <f t="shared" ref="WA7:WA70" ca="1" si="514">ABS(VV7)*IF(VV$2&lt;$O7,1,(VW7+VX7)-(VW7*VX7))/POWER(1+$M7,VV$2)</f>
        <v>0</v>
      </c>
      <c r="WB7" s="241">
        <f t="shared" ca="1" si="499"/>
        <v>1</v>
      </c>
      <c r="WC7" s="220">
        <f t="shared" ref="WC7:WC38" ca="1" si="515">IF($F7&gt;0,IF(WB$2&gt;0,PRODUCT(OFFSET(LT_AnnuityLifeTable,$F7,2,WB$2,1)),100%),0)</f>
        <v>0</v>
      </c>
      <c r="WD7" s="220">
        <f t="shared" ref="WD7:WD38" ca="1" si="516">IF(AND($G7&gt;0,SP_AnnySurvivor),IF(WB$2&gt;0,PRODUCT(OFFSET(LT_AnnuityLifeTable,$G7,5,WB$2,1)),100%),0)</f>
        <v>0</v>
      </c>
      <c r="WE7" s="235">
        <f t="shared" ref="WE7:WE70" ca="1" si="517">ABS(WB7)*IF(WB$2&lt;$O7,1,(WC7+WD7)-(WC7*WD7))/POWER(1+$L7,WB$2)</f>
        <v>0</v>
      </c>
      <c r="WF7" s="235">
        <f t="shared" ref="WF7:WF70" ca="1" si="518">ABS(WB7)*IF(WB$2&lt;$O7,1,(WC7+WD7)-(WC7*WD7))/POWER(1+$L8,WB$2)</f>
        <v>0</v>
      </c>
      <c r="WG7" s="242">
        <f t="shared" ref="WG7:WG70" ca="1" si="519">ABS(WB7)*IF(WB$2&lt;$O7,1,(WC7+WD7)-(WC7*WD7))/POWER(1+$M7,WB$2)</f>
        <v>0</v>
      </c>
      <c r="WH7" s="241">
        <f t="shared" ca="1" si="499"/>
        <v>1</v>
      </c>
      <c r="WI7" s="220">
        <f t="shared" ref="WI7:WI38" ca="1" si="520">IF($F7&gt;0,IF(WH$2&gt;0,PRODUCT(OFFSET(LT_AnnuityLifeTable,$F7,2,WH$2,1)),100%),0)</f>
        <v>0</v>
      </c>
      <c r="WJ7" s="220">
        <f t="shared" ref="WJ7:WJ38" ca="1" si="521">IF(AND($G7&gt;0,SP_AnnySurvivor),IF(WH$2&gt;0,PRODUCT(OFFSET(LT_AnnuityLifeTable,$G7,5,WH$2,1)),100%),0)</f>
        <v>0</v>
      </c>
      <c r="WK7" s="235">
        <f t="shared" ref="WK7:WK70" ca="1" si="522">ABS(WH7)*IF(WH$2&lt;$O7,1,(WI7+WJ7)-(WI7*WJ7))/POWER(1+$L7,WH$2)</f>
        <v>0</v>
      </c>
      <c r="WL7" s="235">
        <f t="shared" ref="WL7:WL70" ca="1" si="523">ABS(WH7)*IF(WH$2&lt;$O7,1,(WI7+WJ7)-(WI7*WJ7))/POWER(1+$L8,WH$2)</f>
        <v>0</v>
      </c>
      <c r="WM7" s="242">
        <f t="shared" ref="WM7:WM70" ca="1" si="524">ABS(WH7)*IF(WH$2&lt;$O7,1,(WI7+WJ7)-(WI7*WJ7))/POWER(1+$M7,WH$2)</f>
        <v>0</v>
      </c>
      <c r="WN7" s="241">
        <f t="shared" ca="1" si="499"/>
        <v>1</v>
      </c>
      <c r="WO7" s="220">
        <f t="shared" ref="WO7:WO38" ca="1" si="525">IF($F7&gt;0,IF(WN$2&gt;0,PRODUCT(OFFSET(LT_AnnuityLifeTable,$F7,2,WN$2,1)),100%),0)</f>
        <v>0</v>
      </c>
      <c r="WP7" s="220">
        <f t="shared" ref="WP7:WP38" ca="1" si="526">IF(AND($G7&gt;0,SP_AnnySurvivor),IF(WN$2&gt;0,PRODUCT(OFFSET(LT_AnnuityLifeTable,$G7,5,WN$2,1)),100%),0)</f>
        <v>0</v>
      </c>
      <c r="WQ7" s="235">
        <f t="shared" ref="WQ7:WQ70" ca="1" si="527">ABS(WN7)*IF(WN$2&lt;$O7,1,(WO7+WP7)-(WO7*WP7))/POWER(1+$L7,WN$2)</f>
        <v>0</v>
      </c>
      <c r="WR7" s="235">
        <f t="shared" ref="WR7:WR70" ca="1" si="528">ABS(WN7)*IF(WN$2&lt;$O7,1,(WO7+WP7)-(WO7*WP7))/POWER(1+$L8,WN$2)</f>
        <v>0</v>
      </c>
      <c r="WS7" s="242">
        <f t="shared" ref="WS7:WS70" ca="1" si="529">ABS(WN7)*IF(WN$2&lt;$O7,1,(WO7+WP7)-(WO7*WP7))/POWER(1+$M7,WN$2)</f>
        <v>0</v>
      </c>
      <c r="WT7" s="241">
        <f t="shared" ca="1" si="499"/>
        <v>1</v>
      </c>
      <c r="WU7" s="220">
        <f t="shared" ref="WU7:WU38" ca="1" si="530">IF($F7&gt;0,IF(WT$2&gt;0,PRODUCT(OFFSET(LT_AnnuityLifeTable,$F7,2,WT$2,1)),100%),0)</f>
        <v>0</v>
      </c>
      <c r="WV7" s="220">
        <f t="shared" ref="WV7:WV38" ca="1" si="531">IF(AND($G7&gt;0,SP_AnnySurvivor),IF(WT$2&gt;0,PRODUCT(OFFSET(LT_AnnuityLifeTable,$G7,5,WT$2,1)),100%),0)</f>
        <v>0</v>
      </c>
      <c r="WW7" s="235">
        <f t="shared" ref="WW7:WW70" ca="1" si="532">ABS(WT7)*IF(WT$2&lt;$O7,1,(WU7+WV7)-(WU7*WV7))/POWER(1+$L7,WT$2)</f>
        <v>0</v>
      </c>
      <c r="WX7" s="235">
        <f t="shared" ref="WX7:WX70" ca="1" si="533">ABS(WT7)*IF(WT$2&lt;$O7,1,(WU7+WV7)-(WU7*WV7))/POWER(1+$L8,WT$2)</f>
        <v>0</v>
      </c>
      <c r="WY7" s="242">
        <f t="shared" ref="WY7:WY70" ca="1" si="534">ABS(WT7)*IF(WT$2&lt;$O7,1,(WU7+WV7)-(WU7*WV7))/POWER(1+$M7,WT$2)</f>
        <v>0</v>
      </c>
      <c r="WZ7" s="241">
        <f t="shared" ca="1" si="499"/>
        <v>1</v>
      </c>
      <c r="XA7" s="220">
        <f t="shared" ref="XA7:XA38" ca="1" si="535">IF($F7&gt;0,IF(WZ$2&gt;0,PRODUCT(OFFSET(LT_AnnuityLifeTable,$F7,2,WZ$2,1)),100%),0)</f>
        <v>0</v>
      </c>
      <c r="XB7" s="220">
        <f t="shared" ref="XB7:XB38" ca="1" si="536">IF(AND($G7&gt;0,SP_AnnySurvivor),IF(WZ$2&gt;0,PRODUCT(OFFSET(LT_AnnuityLifeTable,$G7,5,WZ$2,1)),100%),0)</f>
        <v>0</v>
      </c>
      <c r="XC7" s="235">
        <f t="shared" ref="XC7:XC70" ca="1" si="537">ABS(WZ7)*IF(WZ$2&lt;$O7,1,(XA7+XB7)-(XA7*XB7))/POWER(1+$L7,WZ$2)</f>
        <v>0</v>
      </c>
      <c r="XD7" s="235">
        <f t="shared" ref="XD7:XD70" ca="1" si="538">ABS(WZ7)*IF(WZ$2&lt;$O7,1,(XA7+XB7)-(XA7*XB7))/POWER(1+$L8,WZ$2)</f>
        <v>0</v>
      </c>
      <c r="XE7" s="242">
        <f t="shared" ref="XE7:XE70" ca="1" si="539">ABS(WZ7)*IF(WZ$2&lt;$O7,1,(XA7+XB7)-(XA7*XB7))/POWER(1+$M7,WZ$2)</f>
        <v>0</v>
      </c>
      <c r="XF7" s="241">
        <f t="shared" ca="1" si="499"/>
        <v>1</v>
      </c>
      <c r="XG7" s="220">
        <f t="shared" ref="XG7:XG38" ca="1" si="540">IF($F7&gt;0,IF(XF$2&gt;0,PRODUCT(OFFSET(LT_AnnuityLifeTable,$F7,2,XF$2,1)),100%),0)</f>
        <v>0</v>
      </c>
      <c r="XH7" s="220">
        <f t="shared" ref="XH7:XH38" ca="1" si="541">IF(AND($G7&gt;0,SP_AnnySurvivor),IF(XF$2&gt;0,PRODUCT(OFFSET(LT_AnnuityLifeTable,$G7,5,XF$2,1)),100%),0)</f>
        <v>0</v>
      </c>
      <c r="XI7" s="235">
        <f t="shared" ref="XI7:XI70" ca="1" si="542">ABS(XF7)*IF(XF$2&lt;$O7,1,(XG7+XH7)-(XG7*XH7))/POWER(1+$L7,XF$2)</f>
        <v>0</v>
      </c>
      <c r="XJ7" s="235">
        <f t="shared" ref="XJ7:XJ70" ca="1" si="543">ABS(XF7)*IF(XF$2&lt;$O7,1,(XG7+XH7)-(XG7*XH7))/POWER(1+$L8,XF$2)</f>
        <v>0</v>
      </c>
      <c r="XK7" s="242">
        <f t="shared" ref="XK7:XK70" ca="1" si="544">ABS(XF7)*IF(XF$2&lt;$O7,1,(XG7+XH7)-(XG7*XH7))/POWER(1+$M7,XF$2)</f>
        <v>0</v>
      </c>
    </row>
    <row r="8" spans="1:635" x14ac:dyDescent="0.25">
      <c r="B8" s="65">
        <f t="shared" ca="1" si="14"/>
        <v>2023</v>
      </c>
      <c r="C8" s="65" t="s">
        <v>741</v>
      </c>
      <c r="D8" s="77">
        <f t="shared" si="15"/>
        <v>0</v>
      </c>
      <c r="E8" s="77">
        <f t="shared" si="16"/>
        <v>0</v>
      </c>
      <c r="F8" s="77">
        <f t="shared" si="17"/>
        <v>0</v>
      </c>
      <c r="G8" s="77">
        <f t="shared" si="18"/>
        <v>0</v>
      </c>
      <c r="H8" s="15" t="e">
        <f t="shared" ca="1" si="19"/>
        <v>#REF!</v>
      </c>
      <c r="L8" s="326">
        <f t="shared" ca="1" si="20"/>
        <v>3.5000000000000003E-2</v>
      </c>
      <c r="M8" s="327">
        <f t="shared" ca="1" si="21"/>
        <v>3.5000000000000003E-2</v>
      </c>
      <c r="N8" s="322">
        <f t="shared" ca="1" si="22"/>
        <v>0</v>
      </c>
      <c r="O8" s="322">
        <f t="shared" ca="1" si="23"/>
        <v>11</v>
      </c>
      <c r="P8" s="328">
        <f t="shared" ref="P8:P71" ca="1" si="545">SUMPRODUCT($AJ8:$XK8*(MOD(COLUMN($AJ8:$XK8)-COLUMN($AJ8),6)=3))</f>
        <v>9.3166053225779581</v>
      </c>
      <c r="Q8" s="328">
        <f t="shared" ref="Q8:Q71" ca="1" si="546">SUMPRODUCT($AJ8:$XK8*(MOD(COLUMN($AJ8:$XK8)-COLUMN($AJ8),6)=4))</f>
        <v>9.3166053225779581</v>
      </c>
      <c r="R8" s="328">
        <f t="shared" ref="R8:R71" ca="1" si="547">SUMPRODUCT($AJ8:$XK8*(MOD(COLUMN($AJ8:$XK8)-COLUMN($AJ8),6)=5))</f>
        <v>9.3166053225779581</v>
      </c>
      <c r="S8" s="329">
        <f t="shared" ca="1" si="24"/>
        <v>3.4999999999999913E-2</v>
      </c>
      <c r="T8" s="329">
        <f t="shared" ca="1" si="25"/>
        <v>3.4999999999999913E-2</v>
      </c>
      <c r="U8" s="329">
        <f t="shared" ca="1" si="26"/>
        <v>3.4999999999999913E-2</v>
      </c>
      <c r="V8" s="320">
        <f t="shared" ca="1" si="27"/>
        <v>0</v>
      </c>
      <c r="W8" s="320">
        <f t="shared" ca="1" si="28"/>
        <v>0</v>
      </c>
      <c r="X8" s="320" t="e">
        <f t="shared" ca="1" si="29"/>
        <v>#REF!</v>
      </c>
      <c r="Y8" s="320" t="e">
        <f ca="1">INDEX(SC_ZA_HECMLumpSum,ZAIDX)</f>
        <v>#REF!</v>
      </c>
      <c r="Z8" s="320" t="e">
        <f t="shared" ca="1" si="30"/>
        <v>#REF!</v>
      </c>
      <c r="AA8" s="320" t="e">
        <f t="shared" ca="1" si="31"/>
        <v>#REF!</v>
      </c>
      <c r="AB8" s="320" t="e">
        <f t="shared" ca="1" si="32"/>
        <v>#REF!</v>
      </c>
      <c r="AC8" s="330" t="e">
        <f t="shared" ca="1" si="33"/>
        <v>#REF!</v>
      </c>
      <c r="AD8" s="236" t="e">
        <f t="shared" ref="AD8:AD71" ca="1" si="548">-$X8</f>
        <v>#REF!</v>
      </c>
      <c r="AE8" s="320" t="e">
        <f t="shared" ca="1" si="34"/>
        <v>#REF!</v>
      </c>
      <c r="AF8" s="320" t="e">
        <f t="shared" ca="1" si="35"/>
        <v>#REF!</v>
      </c>
      <c r="AG8" s="320" t="e">
        <f t="shared" ref="AG8:AG71" ca="1" si="549">$AE8+$AF8</f>
        <v>#REF!</v>
      </c>
      <c r="AH8" s="284">
        <f t="shared" ref="AH8:AH71" ca="1" si="550">MAX($V8-$W8,0)</f>
        <v>0</v>
      </c>
      <c r="AI8" s="318">
        <f t="shared" ref="AI8:AI71" ca="1" si="551">MIN($V8,$W8)</f>
        <v>0</v>
      </c>
      <c r="AJ8" s="331">
        <f t="shared" ref="AJ8:CR31" ca="1" si="552">IF(($B8+AJ$2)&lt;SC_TargetRY,0,IF(($B8+AJ$2)=SC_TargetRY,SC_AnnyPmntPr,IF(SP_AnnyTerms="Life",1,IF(($B8+AJ$2)=(SC_TargetRY+SP_AnnyPeriod),SC_AnnyPmntPr-1,IF(($B8+AJ$2)&gt;(SC_TargetRY+SP_AnnyPeriod),0,1)))))</f>
        <v>1</v>
      </c>
      <c r="AK8" s="220">
        <f t="shared" ref="AK8:AK38" ca="1" si="553">IF($F8&gt;0,IF(AJ$2&gt;0,PRODUCT(OFFSET(LT_AnnuityLifeTable,$F8,2,AJ$2,1)),100%),0)</f>
        <v>0</v>
      </c>
      <c r="AL8" s="220">
        <f t="shared" ca="1" si="37"/>
        <v>0</v>
      </c>
      <c r="AM8" s="235">
        <f t="shared" ref="AM8:AM71" ca="1" si="554">ABS(AJ8)*IF(AJ$2&lt;$O8,1,(AK8+AL8)-(AK8*AL8))/POWER(1+$L8,AJ$2)</f>
        <v>1</v>
      </c>
      <c r="AN8" s="235">
        <f t="shared" ref="AN8:AN71" ca="1" si="555">ABS(AJ8)*IF(AJ$2&lt;$O8,1,(AK8+AL8)-(AK8*AL8))/POWER(1+$L9,AJ$2)</f>
        <v>1</v>
      </c>
      <c r="AO8" s="242">
        <f t="shared" ref="AO8:AO71" ca="1" si="556">ABS(AJ8)*IF(AJ$2&lt;$O8,1,(AK8+AL8)-(AK8*AL8))/POWER(1+$M8,AJ$2)</f>
        <v>1</v>
      </c>
      <c r="AP8" s="241">
        <f t="shared" ca="1" si="552"/>
        <v>1</v>
      </c>
      <c r="AQ8" s="220">
        <f t="shared" ca="1" si="41"/>
        <v>0</v>
      </c>
      <c r="AR8" s="220">
        <f t="shared" ca="1" si="42"/>
        <v>0</v>
      </c>
      <c r="AS8" s="235">
        <f t="shared" ca="1" si="43"/>
        <v>0.96618357487922713</v>
      </c>
      <c r="AT8" s="235">
        <f t="shared" ca="1" si="44"/>
        <v>0.96618357487922713</v>
      </c>
      <c r="AU8" s="242">
        <f t="shared" ca="1" si="45"/>
        <v>0.96618357487922713</v>
      </c>
      <c r="AV8" s="241">
        <f t="shared" ca="1" si="552"/>
        <v>1</v>
      </c>
      <c r="AW8" s="220">
        <f t="shared" ca="1" si="46"/>
        <v>0</v>
      </c>
      <c r="AX8" s="220">
        <f t="shared" ca="1" si="47"/>
        <v>0</v>
      </c>
      <c r="AY8" s="235">
        <f t="shared" ca="1" si="48"/>
        <v>0.93351070036640305</v>
      </c>
      <c r="AZ8" s="235">
        <f t="shared" ca="1" si="49"/>
        <v>0.93351070036640305</v>
      </c>
      <c r="BA8" s="242">
        <f t="shared" ca="1" si="50"/>
        <v>0.93351070036640305</v>
      </c>
      <c r="BB8" s="241">
        <f t="shared" ca="1" si="552"/>
        <v>1</v>
      </c>
      <c r="BC8" s="220">
        <f t="shared" ca="1" si="52"/>
        <v>0</v>
      </c>
      <c r="BD8" s="220">
        <f t="shared" ca="1" si="53"/>
        <v>0</v>
      </c>
      <c r="BE8" s="235">
        <f t="shared" ca="1" si="54"/>
        <v>0.90194270566802237</v>
      </c>
      <c r="BF8" s="235">
        <f t="shared" ca="1" si="55"/>
        <v>0.90194270566802237</v>
      </c>
      <c r="BG8" s="242">
        <f t="shared" ca="1" si="56"/>
        <v>0.90194270566802237</v>
      </c>
      <c r="BH8" s="241">
        <f t="shared" ca="1" si="552"/>
        <v>1</v>
      </c>
      <c r="BI8" s="220">
        <f t="shared" ca="1" si="57"/>
        <v>0</v>
      </c>
      <c r="BJ8" s="220">
        <f t="shared" ca="1" si="58"/>
        <v>0</v>
      </c>
      <c r="BK8" s="235">
        <f t="shared" ca="1" si="59"/>
        <v>0.87144222769857238</v>
      </c>
      <c r="BL8" s="235">
        <f t="shared" ca="1" si="60"/>
        <v>0.87144222769857238</v>
      </c>
      <c r="BM8" s="242">
        <f t="shared" ca="1" si="61"/>
        <v>0.87144222769857238</v>
      </c>
      <c r="BN8" s="241">
        <f t="shared" ca="1" si="552"/>
        <v>1</v>
      </c>
      <c r="BO8" s="220">
        <f t="shared" ca="1" si="62"/>
        <v>0</v>
      </c>
      <c r="BP8" s="220">
        <f t="shared" ca="1" si="63"/>
        <v>0</v>
      </c>
      <c r="BQ8" s="235">
        <f t="shared" ca="1" si="64"/>
        <v>0.84197316685852419</v>
      </c>
      <c r="BR8" s="235">
        <f t="shared" ca="1" si="65"/>
        <v>0.84197316685852419</v>
      </c>
      <c r="BS8" s="242">
        <f t="shared" ca="1" si="66"/>
        <v>0.84197316685852419</v>
      </c>
      <c r="BT8" s="241">
        <f t="shared" ca="1" si="552"/>
        <v>1</v>
      </c>
      <c r="BU8" s="220">
        <f t="shared" ca="1" si="67"/>
        <v>0</v>
      </c>
      <c r="BV8" s="220">
        <f t="shared" ca="1" si="68"/>
        <v>0</v>
      </c>
      <c r="BW8" s="235">
        <f t="shared" ca="1" si="69"/>
        <v>0.81350064430775282</v>
      </c>
      <c r="BX8" s="235">
        <f t="shared" ca="1" si="70"/>
        <v>0.81350064430775282</v>
      </c>
      <c r="BY8" s="242">
        <f t="shared" ca="1" si="71"/>
        <v>0.81350064430775282</v>
      </c>
      <c r="BZ8" s="241">
        <f t="shared" ca="1" si="552"/>
        <v>1</v>
      </c>
      <c r="CA8" s="220">
        <f t="shared" ca="1" si="72"/>
        <v>0</v>
      </c>
      <c r="CB8" s="220">
        <f t="shared" ca="1" si="73"/>
        <v>0</v>
      </c>
      <c r="CC8" s="235">
        <f t="shared" ca="1" si="74"/>
        <v>0.78599096068381913</v>
      </c>
      <c r="CD8" s="235">
        <f t="shared" ca="1" si="75"/>
        <v>0.78599096068381913</v>
      </c>
      <c r="CE8" s="242">
        <f t="shared" ca="1" si="76"/>
        <v>0.78599096068381913</v>
      </c>
      <c r="CF8" s="241">
        <f t="shared" ca="1" si="552"/>
        <v>1</v>
      </c>
      <c r="CG8" s="220">
        <f t="shared" ca="1" si="77"/>
        <v>0</v>
      </c>
      <c r="CH8" s="220">
        <f t="shared" ca="1" si="78"/>
        <v>0</v>
      </c>
      <c r="CI8" s="235">
        <f t="shared" ca="1" si="79"/>
        <v>0.75941155621625056</v>
      </c>
      <c r="CJ8" s="235">
        <f t="shared" ca="1" si="80"/>
        <v>0.75941155621625056</v>
      </c>
      <c r="CK8" s="242">
        <f t="shared" ca="1" si="81"/>
        <v>0.75941155621625056</v>
      </c>
      <c r="CL8" s="241">
        <f t="shared" ca="1" si="552"/>
        <v>1</v>
      </c>
      <c r="CM8" s="220">
        <f t="shared" ca="1" si="82"/>
        <v>0</v>
      </c>
      <c r="CN8" s="220">
        <f t="shared" ca="1" si="83"/>
        <v>0</v>
      </c>
      <c r="CO8" s="235">
        <f t="shared" ca="1" si="84"/>
        <v>0.73373097218961414</v>
      </c>
      <c r="CP8" s="235">
        <f t="shared" ca="1" si="85"/>
        <v>0.73373097218961414</v>
      </c>
      <c r="CQ8" s="242">
        <f t="shared" ca="1" si="86"/>
        <v>0.73373097218961414</v>
      </c>
      <c r="CR8" s="241">
        <f t="shared" ca="1" si="552"/>
        <v>1</v>
      </c>
      <c r="CS8" s="220">
        <f t="shared" ca="1" si="87"/>
        <v>0</v>
      </c>
      <c r="CT8" s="220">
        <f t="shared" ca="1" si="88"/>
        <v>0</v>
      </c>
      <c r="CU8" s="235">
        <f t="shared" ca="1" si="89"/>
        <v>0.70891881370977217</v>
      </c>
      <c r="CV8" s="235">
        <f t="shared" ca="1" si="90"/>
        <v>0.70891881370977217</v>
      </c>
      <c r="CW8" s="242">
        <f t="shared" ca="1" si="91"/>
        <v>0.70891881370977217</v>
      </c>
      <c r="CX8" s="241">
        <f t="shared" ca="1" si="51"/>
        <v>1</v>
      </c>
      <c r="CY8" s="220">
        <f t="shared" ca="1" si="92"/>
        <v>0</v>
      </c>
      <c r="CZ8" s="220">
        <f t="shared" ca="1" si="93"/>
        <v>0</v>
      </c>
      <c r="DA8" s="235">
        <f t="shared" ca="1" si="94"/>
        <v>0</v>
      </c>
      <c r="DB8" s="235">
        <f t="shared" ca="1" si="95"/>
        <v>0</v>
      </c>
      <c r="DC8" s="242">
        <f t="shared" ca="1" si="96"/>
        <v>0</v>
      </c>
      <c r="DD8" s="241">
        <f t="shared" ca="1" si="51"/>
        <v>1</v>
      </c>
      <c r="DE8" s="220">
        <f t="shared" ca="1" si="97"/>
        <v>0</v>
      </c>
      <c r="DF8" s="220">
        <f t="shared" ca="1" si="98"/>
        <v>0</v>
      </c>
      <c r="DG8" s="235">
        <f t="shared" ca="1" si="99"/>
        <v>0</v>
      </c>
      <c r="DH8" s="235">
        <f t="shared" ca="1" si="100"/>
        <v>0</v>
      </c>
      <c r="DI8" s="242">
        <f t="shared" ca="1" si="101"/>
        <v>0</v>
      </c>
      <c r="DJ8" s="241">
        <f t="shared" ca="1" si="51"/>
        <v>1</v>
      </c>
      <c r="DK8" s="220">
        <f t="shared" ca="1" si="102"/>
        <v>0</v>
      </c>
      <c r="DL8" s="220">
        <f t="shared" ca="1" si="103"/>
        <v>0</v>
      </c>
      <c r="DM8" s="235">
        <f t="shared" ca="1" si="104"/>
        <v>0</v>
      </c>
      <c r="DN8" s="235">
        <f t="shared" ca="1" si="105"/>
        <v>0</v>
      </c>
      <c r="DO8" s="242">
        <f t="shared" ca="1" si="106"/>
        <v>0</v>
      </c>
      <c r="DP8" s="241">
        <f t="shared" ca="1" si="107"/>
        <v>1</v>
      </c>
      <c r="DQ8" s="220">
        <f t="shared" ca="1" si="108"/>
        <v>0</v>
      </c>
      <c r="DR8" s="220">
        <f t="shared" ca="1" si="109"/>
        <v>0</v>
      </c>
      <c r="DS8" s="235">
        <f t="shared" ca="1" si="110"/>
        <v>0</v>
      </c>
      <c r="DT8" s="235">
        <f t="shared" ca="1" si="111"/>
        <v>0</v>
      </c>
      <c r="DU8" s="242">
        <f t="shared" ca="1" si="112"/>
        <v>0</v>
      </c>
      <c r="DV8" s="241">
        <f t="shared" ca="1" si="107"/>
        <v>1</v>
      </c>
      <c r="DW8" s="220">
        <f t="shared" ca="1" si="113"/>
        <v>0</v>
      </c>
      <c r="DX8" s="220">
        <f t="shared" ca="1" si="114"/>
        <v>0</v>
      </c>
      <c r="DY8" s="235">
        <f t="shared" ca="1" si="115"/>
        <v>0</v>
      </c>
      <c r="DZ8" s="235">
        <f t="shared" ca="1" si="116"/>
        <v>0</v>
      </c>
      <c r="EA8" s="242">
        <f t="shared" ca="1" si="117"/>
        <v>0</v>
      </c>
      <c r="EB8" s="241">
        <f t="shared" ca="1" si="107"/>
        <v>1</v>
      </c>
      <c r="EC8" s="220">
        <f t="shared" ca="1" si="118"/>
        <v>0</v>
      </c>
      <c r="ED8" s="220">
        <f t="shared" ca="1" si="119"/>
        <v>0</v>
      </c>
      <c r="EE8" s="235">
        <f t="shared" ca="1" si="120"/>
        <v>0</v>
      </c>
      <c r="EF8" s="235">
        <f t="shared" ca="1" si="121"/>
        <v>0</v>
      </c>
      <c r="EG8" s="242">
        <f t="shared" ca="1" si="122"/>
        <v>0</v>
      </c>
      <c r="EH8" s="241">
        <f t="shared" ca="1" si="107"/>
        <v>1</v>
      </c>
      <c r="EI8" s="220">
        <f t="shared" ca="1" si="123"/>
        <v>0</v>
      </c>
      <c r="EJ8" s="220">
        <f t="shared" ca="1" si="124"/>
        <v>0</v>
      </c>
      <c r="EK8" s="235">
        <f t="shared" ca="1" si="125"/>
        <v>0</v>
      </c>
      <c r="EL8" s="235">
        <f t="shared" ca="1" si="126"/>
        <v>0</v>
      </c>
      <c r="EM8" s="242">
        <f t="shared" ca="1" si="127"/>
        <v>0</v>
      </c>
      <c r="EN8" s="241">
        <f t="shared" ca="1" si="107"/>
        <v>1</v>
      </c>
      <c r="EO8" s="220">
        <f t="shared" ca="1" si="128"/>
        <v>0</v>
      </c>
      <c r="EP8" s="220">
        <f t="shared" ca="1" si="129"/>
        <v>0</v>
      </c>
      <c r="EQ8" s="235">
        <f t="shared" ca="1" si="130"/>
        <v>0</v>
      </c>
      <c r="ER8" s="235">
        <f t="shared" ca="1" si="131"/>
        <v>0</v>
      </c>
      <c r="ES8" s="242">
        <f t="shared" ca="1" si="132"/>
        <v>0</v>
      </c>
      <c r="ET8" s="241">
        <f t="shared" ca="1" si="107"/>
        <v>1</v>
      </c>
      <c r="EU8" s="220">
        <f t="shared" ca="1" si="133"/>
        <v>0</v>
      </c>
      <c r="EV8" s="220">
        <f t="shared" ca="1" si="134"/>
        <v>0</v>
      </c>
      <c r="EW8" s="235">
        <f t="shared" ca="1" si="135"/>
        <v>0</v>
      </c>
      <c r="EX8" s="235">
        <f t="shared" ca="1" si="136"/>
        <v>0</v>
      </c>
      <c r="EY8" s="242">
        <f t="shared" ca="1" si="137"/>
        <v>0</v>
      </c>
      <c r="EZ8" s="241">
        <f t="shared" ca="1" si="107"/>
        <v>1</v>
      </c>
      <c r="FA8" s="220">
        <f t="shared" ca="1" si="138"/>
        <v>0</v>
      </c>
      <c r="FB8" s="220">
        <f t="shared" ca="1" si="139"/>
        <v>0</v>
      </c>
      <c r="FC8" s="235">
        <f t="shared" ca="1" si="140"/>
        <v>0</v>
      </c>
      <c r="FD8" s="235">
        <f t="shared" ca="1" si="141"/>
        <v>0</v>
      </c>
      <c r="FE8" s="242">
        <f t="shared" ca="1" si="142"/>
        <v>0</v>
      </c>
      <c r="FF8" s="241">
        <f t="shared" ca="1" si="107"/>
        <v>1</v>
      </c>
      <c r="FG8" s="220">
        <f t="shared" ca="1" si="143"/>
        <v>0</v>
      </c>
      <c r="FH8" s="220">
        <f t="shared" ca="1" si="144"/>
        <v>0</v>
      </c>
      <c r="FI8" s="235">
        <f t="shared" ca="1" si="145"/>
        <v>0</v>
      </c>
      <c r="FJ8" s="235">
        <f t="shared" ca="1" si="146"/>
        <v>0</v>
      </c>
      <c r="FK8" s="242">
        <f t="shared" ca="1" si="147"/>
        <v>0</v>
      </c>
      <c r="FL8" s="241">
        <f t="shared" ca="1" si="107"/>
        <v>1</v>
      </c>
      <c r="FM8" s="220">
        <f t="shared" ca="1" si="148"/>
        <v>0</v>
      </c>
      <c r="FN8" s="220">
        <f t="shared" ca="1" si="149"/>
        <v>0</v>
      </c>
      <c r="FO8" s="235">
        <f t="shared" ca="1" si="150"/>
        <v>0</v>
      </c>
      <c r="FP8" s="235">
        <f t="shared" ca="1" si="151"/>
        <v>0</v>
      </c>
      <c r="FQ8" s="242">
        <f t="shared" ca="1" si="152"/>
        <v>0</v>
      </c>
      <c r="FR8" s="241">
        <f t="shared" ca="1" si="107"/>
        <v>1</v>
      </c>
      <c r="FS8" s="220">
        <f t="shared" ca="1" si="153"/>
        <v>0</v>
      </c>
      <c r="FT8" s="220">
        <f t="shared" ca="1" si="154"/>
        <v>0</v>
      </c>
      <c r="FU8" s="235">
        <f t="shared" ca="1" si="155"/>
        <v>0</v>
      </c>
      <c r="FV8" s="235">
        <f t="shared" ca="1" si="156"/>
        <v>0</v>
      </c>
      <c r="FW8" s="242">
        <f t="shared" ca="1" si="157"/>
        <v>0</v>
      </c>
      <c r="FX8" s="241">
        <f t="shared" ca="1" si="107"/>
        <v>1</v>
      </c>
      <c r="FY8" s="220">
        <f t="shared" ca="1" si="158"/>
        <v>0</v>
      </c>
      <c r="FZ8" s="220">
        <f t="shared" ca="1" si="159"/>
        <v>0</v>
      </c>
      <c r="GA8" s="235">
        <f t="shared" ca="1" si="160"/>
        <v>0</v>
      </c>
      <c r="GB8" s="235">
        <f t="shared" ca="1" si="161"/>
        <v>0</v>
      </c>
      <c r="GC8" s="242">
        <f t="shared" ca="1" si="162"/>
        <v>0</v>
      </c>
      <c r="GD8" s="241">
        <f t="shared" ca="1" si="163"/>
        <v>1</v>
      </c>
      <c r="GE8" s="220">
        <f t="shared" ca="1" si="164"/>
        <v>0</v>
      </c>
      <c r="GF8" s="220">
        <f t="shared" ca="1" si="165"/>
        <v>0</v>
      </c>
      <c r="GG8" s="235">
        <f t="shared" ca="1" si="166"/>
        <v>0</v>
      </c>
      <c r="GH8" s="235">
        <f t="shared" ca="1" si="167"/>
        <v>0</v>
      </c>
      <c r="GI8" s="242">
        <f t="shared" ca="1" si="168"/>
        <v>0</v>
      </c>
      <c r="GJ8" s="241">
        <f t="shared" ca="1" si="163"/>
        <v>1</v>
      </c>
      <c r="GK8" s="220">
        <f t="shared" ca="1" si="169"/>
        <v>0</v>
      </c>
      <c r="GL8" s="220">
        <f t="shared" ca="1" si="170"/>
        <v>0</v>
      </c>
      <c r="GM8" s="235">
        <f t="shared" ca="1" si="171"/>
        <v>0</v>
      </c>
      <c r="GN8" s="235">
        <f t="shared" ca="1" si="172"/>
        <v>0</v>
      </c>
      <c r="GO8" s="242">
        <f t="shared" ca="1" si="173"/>
        <v>0</v>
      </c>
      <c r="GP8" s="241">
        <f t="shared" ca="1" si="163"/>
        <v>1</v>
      </c>
      <c r="GQ8" s="220">
        <f t="shared" ca="1" si="174"/>
        <v>0</v>
      </c>
      <c r="GR8" s="220">
        <f t="shared" ca="1" si="175"/>
        <v>0</v>
      </c>
      <c r="GS8" s="235">
        <f t="shared" ca="1" si="176"/>
        <v>0</v>
      </c>
      <c r="GT8" s="235">
        <f t="shared" ca="1" si="177"/>
        <v>0</v>
      </c>
      <c r="GU8" s="242">
        <f t="shared" ca="1" si="178"/>
        <v>0</v>
      </c>
      <c r="GV8" s="241">
        <f t="shared" ca="1" si="163"/>
        <v>1</v>
      </c>
      <c r="GW8" s="220">
        <f t="shared" ca="1" si="179"/>
        <v>0</v>
      </c>
      <c r="GX8" s="220">
        <f t="shared" ca="1" si="180"/>
        <v>0</v>
      </c>
      <c r="GY8" s="235">
        <f t="shared" ca="1" si="181"/>
        <v>0</v>
      </c>
      <c r="GZ8" s="235">
        <f t="shared" ca="1" si="182"/>
        <v>0</v>
      </c>
      <c r="HA8" s="242">
        <f t="shared" ca="1" si="183"/>
        <v>0</v>
      </c>
      <c r="HB8" s="241">
        <f t="shared" ca="1" si="163"/>
        <v>1</v>
      </c>
      <c r="HC8" s="220">
        <f t="shared" ca="1" si="184"/>
        <v>0</v>
      </c>
      <c r="HD8" s="220">
        <f t="shared" ca="1" si="185"/>
        <v>0</v>
      </c>
      <c r="HE8" s="235">
        <f t="shared" ca="1" si="186"/>
        <v>0</v>
      </c>
      <c r="HF8" s="235">
        <f t="shared" ca="1" si="187"/>
        <v>0</v>
      </c>
      <c r="HG8" s="242">
        <f t="shared" ca="1" si="188"/>
        <v>0</v>
      </c>
      <c r="HH8" s="241">
        <f t="shared" ca="1" si="163"/>
        <v>1</v>
      </c>
      <c r="HI8" s="220">
        <f t="shared" ca="1" si="189"/>
        <v>0</v>
      </c>
      <c r="HJ8" s="220">
        <f t="shared" ca="1" si="190"/>
        <v>0</v>
      </c>
      <c r="HK8" s="235">
        <f t="shared" ca="1" si="191"/>
        <v>0</v>
      </c>
      <c r="HL8" s="235">
        <f t="shared" ca="1" si="192"/>
        <v>0</v>
      </c>
      <c r="HM8" s="242">
        <f t="shared" ca="1" si="193"/>
        <v>0</v>
      </c>
      <c r="HN8" s="241">
        <f t="shared" ca="1" si="163"/>
        <v>1</v>
      </c>
      <c r="HO8" s="220">
        <f t="shared" ca="1" si="194"/>
        <v>0</v>
      </c>
      <c r="HP8" s="220">
        <f t="shared" ca="1" si="195"/>
        <v>0</v>
      </c>
      <c r="HQ8" s="235">
        <f t="shared" ca="1" si="196"/>
        <v>0</v>
      </c>
      <c r="HR8" s="235">
        <f t="shared" ca="1" si="197"/>
        <v>0</v>
      </c>
      <c r="HS8" s="242">
        <f t="shared" ca="1" si="198"/>
        <v>0</v>
      </c>
      <c r="HT8" s="241">
        <f t="shared" ca="1" si="163"/>
        <v>1</v>
      </c>
      <c r="HU8" s="220">
        <f t="shared" ca="1" si="199"/>
        <v>0</v>
      </c>
      <c r="HV8" s="220">
        <f t="shared" ca="1" si="200"/>
        <v>0</v>
      </c>
      <c r="HW8" s="235">
        <f t="shared" ca="1" si="201"/>
        <v>0</v>
      </c>
      <c r="HX8" s="235">
        <f t="shared" ca="1" si="202"/>
        <v>0</v>
      </c>
      <c r="HY8" s="242">
        <f t="shared" ca="1" si="203"/>
        <v>0</v>
      </c>
      <c r="HZ8" s="241">
        <f t="shared" ca="1" si="163"/>
        <v>1</v>
      </c>
      <c r="IA8" s="220">
        <f t="shared" ca="1" si="204"/>
        <v>0</v>
      </c>
      <c r="IB8" s="220">
        <f t="shared" ca="1" si="205"/>
        <v>0</v>
      </c>
      <c r="IC8" s="235">
        <f t="shared" ca="1" si="206"/>
        <v>0</v>
      </c>
      <c r="ID8" s="235">
        <f t="shared" ca="1" si="207"/>
        <v>0</v>
      </c>
      <c r="IE8" s="242">
        <f t="shared" ca="1" si="208"/>
        <v>0</v>
      </c>
      <c r="IF8" s="241">
        <f t="shared" ca="1" si="163"/>
        <v>1</v>
      </c>
      <c r="IG8" s="220">
        <f t="shared" ca="1" si="209"/>
        <v>0</v>
      </c>
      <c r="IH8" s="220">
        <f t="shared" ca="1" si="210"/>
        <v>0</v>
      </c>
      <c r="II8" s="235">
        <f t="shared" ca="1" si="211"/>
        <v>0</v>
      </c>
      <c r="IJ8" s="235">
        <f t="shared" ca="1" si="212"/>
        <v>0</v>
      </c>
      <c r="IK8" s="242">
        <f t="shared" ca="1" si="213"/>
        <v>0</v>
      </c>
      <c r="IL8" s="241">
        <f t="shared" ca="1" si="163"/>
        <v>1</v>
      </c>
      <c r="IM8" s="220">
        <f t="shared" ca="1" si="214"/>
        <v>0</v>
      </c>
      <c r="IN8" s="220">
        <f t="shared" ca="1" si="215"/>
        <v>0</v>
      </c>
      <c r="IO8" s="235">
        <f t="shared" ca="1" si="216"/>
        <v>0</v>
      </c>
      <c r="IP8" s="235">
        <f t="shared" ca="1" si="217"/>
        <v>0</v>
      </c>
      <c r="IQ8" s="242">
        <f t="shared" ca="1" si="218"/>
        <v>0</v>
      </c>
      <c r="IR8" s="241">
        <f t="shared" ca="1" si="219"/>
        <v>1</v>
      </c>
      <c r="IS8" s="220">
        <f t="shared" ca="1" si="220"/>
        <v>0</v>
      </c>
      <c r="IT8" s="220">
        <f t="shared" ca="1" si="221"/>
        <v>0</v>
      </c>
      <c r="IU8" s="235">
        <f t="shared" ca="1" si="222"/>
        <v>0</v>
      </c>
      <c r="IV8" s="235">
        <f t="shared" ca="1" si="223"/>
        <v>0</v>
      </c>
      <c r="IW8" s="242">
        <f t="shared" ca="1" si="224"/>
        <v>0</v>
      </c>
      <c r="IX8" s="241">
        <f t="shared" ca="1" si="219"/>
        <v>1</v>
      </c>
      <c r="IY8" s="220">
        <f t="shared" ca="1" si="225"/>
        <v>0</v>
      </c>
      <c r="IZ8" s="220">
        <f t="shared" ca="1" si="226"/>
        <v>0</v>
      </c>
      <c r="JA8" s="235">
        <f t="shared" ca="1" si="227"/>
        <v>0</v>
      </c>
      <c r="JB8" s="235">
        <f t="shared" ca="1" si="228"/>
        <v>0</v>
      </c>
      <c r="JC8" s="242">
        <f t="shared" ca="1" si="229"/>
        <v>0</v>
      </c>
      <c r="JD8" s="241">
        <f t="shared" ca="1" si="219"/>
        <v>1</v>
      </c>
      <c r="JE8" s="220">
        <f t="shared" ca="1" si="230"/>
        <v>0</v>
      </c>
      <c r="JF8" s="220">
        <f t="shared" ca="1" si="231"/>
        <v>0</v>
      </c>
      <c r="JG8" s="235">
        <f t="shared" ca="1" si="232"/>
        <v>0</v>
      </c>
      <c r="JH8" s="235">
        <f t="shared" ca="1" si="233"/>
        <v>0</v>
      </c>
      <c r="JI8" s="242">
        <f t="shared" ca="1" si="234"/>
        <v>0</v>
      </c>
      <c r="JJ8" s="241">
        <f t="shared" ca="1" si="219"/>
        <v>1</v>
      </c>
      <c r="JK8" s="220">
        <f t="shared" ca="1" si="235"/>
        <v>0</v>
      </c>
      <c r="JL8" s="220">
        <f t="shared" ca="1" si="236"/>
        <v>0</v>
      </c>
      <c r="JM8" s="235">
        <f t="shared" ca="1" si="237"/>
        <v>0</v>
      </c>
      <c r="JN8" s="235">
        <f t="shared" ca="1" si="238"/>
        <v>0</v>
      </c>
      <c r="JO8" s="242">
        <f t="shared" ca="1" si="239"/>
        <v>0</v>
      </c>
      <c r="JP8" s="241">
        <f t="shared" ca="1" si="219"/>
        <v>1</v>
      </c>
      <c r="JQ8" s="220">
        <f t="shared" ca="1" si="240"/>
        <v>0</v>
      </c>
      <c r="JR8" s="220">
        <f t="shared" ca="1" si="241"/>
        <v>0</v>
      </c>
      <c r="JS8" s="235">
        <f t="shared" ca="1" si="242"/>
        <v>0</v>
      </c>
      <c r="JT8" s="235">
        <f t="shared" ca="1" si="243"/>
        <v>0</v>
      </c>
      <c r="JU8" s="242">
        <f t="shared" ca="1" si="244"/>
        <v>0</v>
      </c>
      <c r="JV8" s="241">
        <f t="shared" ca="1" si="219"/>
        <v>1</v>
      </c>
      <c r="JW8" s="220">
        <f t="shared" ca="1" si="245"/>
        <v>0</v>
      </c>
      <c r="JX8" s="220">
        <f t="shared" ca="1" si="246"/>
        <v>0</v>
      </c>
      <c r="JY8" s="235">
        <f t="shared" ca="1" si="247"/>
        <v>0</v>
      </c>
      <c r="JZ8" s="235">
        <f t="shared" ca="1" si="248"/>
        <v>0</v>
      </c>
      <c r="KA8" s="242">
        <f t="shared" ca="1" si="249"/>
        <v>0</v>
      </c>
      <c r="KB8" s="241">
        <f t="shared" ca="1" si="219"/>
        <v>1</v>
      </c>
      <c r="KC8" s="220">
        <f t="shared" ca="1" si="250"/>
        <v>0</v>
      </c>
      <c r="KD8" s="220">
        <f t="shared" ca="1" si="251"/>
        <v>0</v>
      </c>
      <c r="KE8" s="235">
        <f t="shared" ca="1" si="252"/>
        <v>0</v>
      </c>
      <c r="KF8" s="235">
        <f t="shared" ca="1" si="253"/>
        <v>0</v>
      </c>
      <c r="KG8" s="242">
        <f t="shared" ca="1" si="254"/>
        <v>0</v>
      </c>
      <c r="KH8" s="241">
        <f t="shared" ca="1" si="219"/>
        <v>1</v>
      </c>
      <c r="KI8" s="220">
        <f t="shared" ca="1" si="255"/>
        <v>0</v>
      </c>
      <c r="KJ8" s="220">
        <f t="shared" ca="1" si="256"/>
        <v>0</v>
      </c>
      <c r="KK8" s="235">
        <f t="shared" ca="1" si="257"/>
        <v>0</v>
      </c>
      <c r="KL8" s="235">
        <f t="shared" ca="1" si="258"/>
        <v>0</v>
      </c>
      <c r="KM8" s="242">
        <f t="shared" ca="1" si="259"/>
        <v>0</v>
      </c>
      <c r="KN8" s="241">
        <f t="shared" ca="1" si="219"/>
        <v>1</v>
      </c>
      <c r="KO8" s="220">
        <f t="shared" ca="1" si="260"/>
        <v>0</v>
      </c>
      <c r="KP8" s="220">
        <f t="shared" ca="1" si="261"/>
        <v>0</v>
      </c>
      <c r="KQ8" s="235">
        <f t="shared" ca="1" si="262"/>
        <v>0</v>
      </c>
      <c r="KR8" s="235">
        <f t="shared" ca="1" si="263"/>
        <v>0</v>
      </c>
      <c r="KS8" s="242">
        <f t="shared" ca="1" si="264"/>
        <v>0</v>
      </c>
      <c r="KT8" s="241">
        <f t="shared" ca="1" si="219"/>
        <v>1</v>
      </c>
      <c r="KU8" s="220">
        <f t="shared" ca="1" si="265"/>
        <v>0</v>
      </c>
      <c r="KV8" s="220">
        <f t="shared" ca="1" si="266"/>
        <v>0</v>
      </c>
      <c r="KW8" s="235">
        <f t="shared" ca="1" si="267"/>
        <v>0</v>
      </c>
      <c r="KX8" s="235">
        <f t="shared" ca="1" si="268"/>
        <v>0</v>
      </c>
      <c r="KY8" s="242">
        <f t="shared" ca="1" si="269"/>
        <v>0</v>
      </c>
      <c r="KZ8" s="241">
        <f t="shared" ca="1" si="219"/>
        <v>1</v>
      </c>
      <c r="LA8" s="220">
        <f t="shared" ca="1" si="270"/>
        <v>0</v>
      </c>
      <c r="LB8" s="220">
        <f t="shared" ca="1" si="271"/>
        <v>0</v>
      </c>
      <c r="LC8" s="235">
        <f t="shared" ca="1" si="272"/>
        <v>0</v>
      </c>
      <c r="LD8" s="235">
        <f t="shared" ca="1" si="273"/>
        <v>0</v>
      </c>
      <c r="LE8" s="242">
        <f t="shared" ca="1" si="274"/>
        <v>0</v>
      </c>
      <c r="LF8" s="241">
        <f t="shared" ca="1" si="275"/>
        <v>1</v>
      </c>
      <c r="LG8" s="220">
        <f t="shared" ca="1" si="276"/>
        <v>0</v>
      </c>
      <c r="LH8" s="220">
        <f t="shared" ca="1" si="277"/>
        <v>0</v>
      </c>
      <c r="LI8" s="235">
        <f t="shared" ca="1" si="278"/>
        <v>0</v>
      </c>
      <c r="LJ8" s="235">
        <f t="shared" ca="1" si="279"/>
        <v>0</v>
      </c>
      <c r="LK8" s="242">
        <f t="shared" ca="1" si="280"/>
        <v>0</v>
      </c>
      <c r="LL8" s="241">
        <f t="shared" ca="1" si="275"/>
        <v>1</v>
      </c>
      <c r="LM8" s="220">
        <f t="shared" ca="1" si="281"/>
        <v>0</v>
      </c>
      <c r="LN8" s="220">
        <f t="shared" ca="1" si="282"/>
        <v>0</v>
      </c>
      <c r="LO8" s="235">
        <f t="shared" ca="1" si="283"/>
        <v>0</v>
      </c>
      <c r="LP8" s="235">
        <f t="shared" ca="1" si="284"/>
        <v>0</v>
      </c>
      <c r="LQ8" s="242">
        <f t="shared" ca="1" si="285"/>
        <v>0</v>
      </c>
      <c r="LR8" s="241">
        <f t="shared" ca="1" si="275"/>
        <v>1</v>
      </c>
      <c r="LS8" s="220">
        <f t="shared" ca="1" si="286"/>
        <v>0</v>
      </c>
      <c r="LT8" s="220">
        <f t="shared" ca="1" si="287"/>
        <v>0</v>
      </c>
      <c r="LU8" s="235">
        <f t="shared" ca="1" si="288"/>
        <v>0</v>
      </c>
      <c r="LV8" s="235">
        <f t="shared" ca="1" si="289"/>
        <v>0</v>
      </c>
      <c r="LW8" s="242">
        <f t="shared" ca="1" si="290"/>
        <v>0</v>
      </c>
      <c r="LX8" s="241">
        <f t="shared" ca="1" si="275"/>
        <v>1</v>
      </c>
      <c r="LY8" s="220">
        <f t="shared" ca="1" si="291"/>
        <v>0</v>
      </c>
      <c r="LZ8" s="220">
        <f t="shared" ca="1" si="292"/>
        <v>0</v>
      </c>
      <c r="MA8" s="235">
        <f t="shared" ca="1" si="293"/>
        <v>0</v>
      </c>
      <c r="MB8" s="235">
        <f t="shared" ca="1" si="294"/>
        <v>0</v>
      </c>
      <c r="MC8" s="242">
        <f t="shared" ca="1" si="295"/>
        <v>0</v>
      </c>
      <c r="MD8" s="241">
        <f t="shared" ca="1" si="275"/>
        <v>1</v>
      </c>
      <c r="ME8" s="220">
        <f t="shared" ca="1" si="296"/>
        <v>0</v>
      </c>
      <c r="MF8" s="220">
        <f t="shared" ca="1" si="297"/>
        <v>0</v>
      </c>
      <c r="MG8" s="235">
        <f t="shared" ca="1" si="298"/>
        <v>0</v>
      </c>
      <c r="MH8" s="235">
        <f t="shared" ca="1" si="299"/>
        <v>0</v>
      </c>
      <c r="MI8" s="242">
        <f t="shared" ca="1" si="300"/>
        <v>0</v>
      </c>
      <c r="MJ8" s="241">
        <f t="shared" ca="1" si="275"/>
        <v>1</v>
      </c>
      <c r="MK8" s="220">
        <f t="shared" ca="1" si="301"/>
        <v>0</v>
      </c>
      <c r="ML8" s="220">
        <f t="shared" ca="1" si="302"/>
        <v>0</v>
      </c>
      <c r="MM8" s="235">
        <f t="shared" ca="1" si="303"/>
        <v>0</v>
      </c>
      <c r="MN8" s="235">
        <f t="shared" ca="1" si="304"/>
        <v>0</v>
      </c>
      <c r="MO8" s="242">
        <f t="shared" ca="1" si="305"/>
        <v>0</v>
      </c>
      <c r="MP8" s="241">
        <f t="shared" ca="1" si="275"/>
        <v>1</v>
      </c>
      <c r="MQ8" s="220">
        <f t="shared" ca="1" si="306"/>
        <v>0</v>
      </c>
      <c r="MR8" s="220">
        <f t="shared" ca="1" si="307"/>
        <v>0</v>
      </c>
      <c r="MS8" s="235">
        <f t="shared" ca="1" si="308"/>
        <v>0</v>
      </c>
      <c r="MT8" s="235">
        <f t="shared" ca="1" si="309"/>
        <v>0</v>
      </c>
      <c r="MU8" s="242">
        <f t="shared" ca="1" si="310"/>
        <v>0</v>
      </c>
      <c r="MV8" s="241">
        <f t="shared" ca="1" si="275"/>
        <v>1</v>
      </c>
      <c r="MW8" s="220">
        <f t="shared" ca="1" si="311"/>
        <v>0</v>
      </c>
      <c r="MX8" s="220">
        <f t="shared" ca="1" si="312"/>
        <v>0</v>
      </c>
      <c r="MY8" s="235">
        <f t="shared" ca="1" si="313"/>
        <v>0</v>
      </c>
      <c r="MZ8" s="235">
        <f t="shared" ca="1" si="314"/>
        <v>0</v>
      </c>
      <c r="NA8" s="242">
        <f t="shared" ca="1" si="315"/>
        <v>0</v>
      </c>
      <c r="NB8" s="241">
        <f t="shared" ca="1" si="275"/>
        <v>1</v>
      </c>
      <c r="NC8" s="220">
        <f t="shared" ca="1" si="316"/>
        <v>0</v>
      </c>
      <c r="ND8" s="220">
        <f t="shared" ca="1" si="317"/>
        <v>0</v>
      </c>
      <c r="NE8" s="235">
        <f t="shared" ca="1" si="318"/>
        <v>0</v>
      </c>
      <c r="NF8" s="235">
        <f t="shared" ca="1" si="319"/>
        <v>0</v>
      </c>
      <c r="NG8" s="242">
        <f t="shared" ca="1" si="320"/>
        <v>0</v>
      </c>
      <c r="NH8" s="241">
        <f t="shared" ca="1" si="275"/>
        <v>1</v>
      </c>
      <c r="NI8" s="220">
        <f t="shared" ca="1" si="321"/>
        <v>0</v>
      </c>
      <c r="NJ8" s="220">
        <f t="shared" ca="1" si="322"/>
        <v>0</v>
      </c>
      <c r="NK8" s="235">
        <f t="shared" ca="1" si="323"/>
        <v>0</v>
      </c>
      <c r="NL8" s="235">
        <f t="shared" ca="1" si="324"/>
        <v>0</v>
      </c>
      <c r="NM8" s="242">
        <f t="shared" ca="1" si="325"/>
        <v>0</v>
      </c>
      <c r="NN8" s="241">
        <f t="shared" ca="1" si="275"/>
        <v>1</v>
      </c>
      <c r="NO8" s="220">
        <f t="shared" ca="1" si="326"/>
        <v>0</v>
      </c>
      <c r="NP8" s="220">
        <f t="shared" ca="1" si="327"/>
        <v>0</v>
      </c>
      <c r="NQ8" s="235">
        <f t="shared" ca="1" si="328"/>
        <v>0</v>
      </c>
      <c r="NR8" s="235">
        <f t="shared" ca="1" si="329"/>
        <v>0</v>
      </c>
      <c r="NS8" s="242">
        <f t="shared" ca="1" si="330"/>
        <v>0</v>
      </c>
      <c r="NT8" s="241">
        <f t="shared" ca="1" si="331"/>
        <v>1</v>
      </c>
      <c r="NU8" s="220">
        <f t="shared" ca="1" si="332"/>
        <v>0</v>
      </c>
      <c r="NV8" s="220">
        <f t="shared" ca="1" si="333"/>
        <v>0</v>
      </c>
      <c r="NW8" s="235">
        <f t="shared" ca="1" si="334"/>
        <v>0</v>
      </c>
      <c r="NX8" s="235">
        <f t="shared" ca="1" si="335"/>
        <v>0</v>
      </c>
      <c r="NY8" s="242">
        <f t="shared" ca="1" si="336"/>
        <v>0</v>
      </c>
      <c r="NZ8" s="241">
        <f t="shared" ca="1" si="331"/>
        <v>1</v>
      </c>
      <c r="OA8" s="220">
        <f t="shared" ca="1" si="337"/>
        <v>0</v>
      </c>
      <c r="OB8" s="220">
        <f t="shared" ca="1" si="338"/>
        <v>0</v>
      </c>
      <c r="OC8" s="235">
        <f t="shared" ca="1" si="339"/>
        <v>0</v>
      </c>
      <c r="OD8" s="235">
        <f t="shared" ca="1" si="340"/>
        <v>0</v>
      </c>
      <c r="OE8" s="242">
        <f t="shared" ca="1" si="341"/>
        <v>0</v>
      </c>
      <c r="OF8" s="241">
        <f t="shared" ca="1" si="331"/>
        <v>1</v>
      </c>
      <c r="OG8" s="220">
        <f t="shared" ca="1" si="342"/>
        <v>0</v>
      </c>
      <c r="OH8" s="220">
        <f t="shared" ca="1" si="343"/>
        <v>0</v>
      </c>
      <c r="OI8" s="235">
        <f t="shared" ca="1" si="344"/>
        <v>0</v>
      </c>
      <c r="OJ8" s="235">
        <f t="shared" ca="1" si="345"/>
        <v>0</v>
      </c>
      <c r="OK8" s="242">
        <f t="shared" ca="1" si="346"/>
        <v>0</v>
      </c>
      <c r="OL8" s="241">
        <f t="shared" ca="1" si="331"/>
        <v>1</v>
      </c>
      <c r="OM8" s="220">
        <f t="shared" ca="1" si="347"/>
        <v>0</v>
      </c>
      <c r="ON8" s="220">
        <f t="shared" ca="1" si="348"/>
        <v>0</v>
      </c>
      <c r="OO8" s="235">
        <f t="shared" ca="1" si="349"/>
        <v>0</v>
      </c>
      <c r="OP8" s="235">
        <f t="shared" ca="1" si="350"/>
        <v>0</v>
      </c>
      <c r="OQ8" s="242">
        <f t="shared" ca="1" si="351"/>
        <v>0</v>
      </c>
      <c r="OR8" s="241">
        <f t="shared" ca="1" si="331"/>
        <v>1</v>
      </c>
      <c r="OS8" s="220">
        <f t="shared" ca="1" si="352"/>
        <v>0</v>
      </c>
      <c r="OT8" s="220">
        <f t="shared" ca="1" si="353"/>
        <v>0</v>
      </c>
      <c r="OU8" s="235">
        <f t="shared" ca="1" si="354"/>
        <v>0</v>
      </c>
      <c r="OV8" s="235">
        <f t="shared" ca="1" si="355"/>
        <v>0</v>
      </c>
      <c r="OW8" s="242">
        <f t="shared" ca="1" si="356"/>
        <v>0</v>
      </c>
      <c r="OX8" s="241">
        <f t="shared" ca="1" si="331"/>
        <v>1</v>
      </c>
      <c r="OY8" s="220">
        <f t="shared" ca="1" si="357"/>
        <v>0</v>
      </c>
      <c r="OZ8" s="220">
        <f t="shared" ca="1" si="358"/>
        <v>0</v>
      </c>
      <c r="PA8" s="235">
        <f t="shared" ca="1" si="359"/>
        <v>0</v>
      </c>
      <c r="PB8" s="235">
        <f t="shared" ca="1" si="360"/>
        <v>0</v>
      </c>
      <c r="PC8" s="242">
        <f t="shared" ca="1" si="361"/>
        <v>0</v>
      </c>
      <c r="PD8" s="241">
        <f t="shared" ca="1" si="331"/>
        <v>1</v>
      </c>
      <c r="PE8" s="220">
        <f t="shared" ca="1" si="362"/>
        <v>0</v>
      </c>
      <c r="PF8" s="220">
        <f t="shared" ca="1" si="363"/>
        <v>0</v>
      </c>
      <c r="PG8" s="235">
        <f t="shared" ca="1" si="364"/>
        <v>0</v>
      </c>
      <c r="PH8" s="235">
        <f t="shared" ca="1" si="365"/>
        <v>0</v>
      </c>
      <c r="PI8" s="242">
        <f t="shared" ca="1" si="366"/>
        <v>0</v>
      </c>
      <c r="PJ8" s="241">
        <f t="shared" ca="1" si="331"/>
        <v>1</v>
      </c>
      <c r="PK8" s="220">
        <f t="shared" ca="1" si="367"/>
        <v>0</v>
      </c>
      <c r="PL8" s="220">
        <f t="shared" ca="1" si="368"/>
        <v>0</v>
      </c>
      <c r="PM8" s="235">
        <f t="shared" ca="1" si="369"/>
        <v>0</v>
      </c>
      <c r="PN8" s="235">
        <f t="shared" ca="1" si="370"/>
        <v>0</v>
      </c>
      <c r="PO8" s="242">
        <f t="shared" ca="1" si="371"/>
        <v>0</v>
      </c>
      <c r="PP8" s="241">
        <f t="shared" ca="1" si="331"/>
        <v>1</v>
      </c>
      <c r="PQ8" s="220">
        <f t="shared" ca="1" si="372"/>
        <v>0</v>
      </c>
      <c r="PR8" s="220">
        <f t="shared" ca="1" si="373"/>
        <v>0</v>
      </c>
      <c r="PS8" s="235">
        <f t="shared" ca="1" si="374"/>
        <v>0</v>
      </c>
      <c r="PT8" s="235">
        <f t="shared" ca="1" si="375"/>
        <v>0</v>
      </c>
      <c r="PU8" s="242">
        <f t="shared" ca="1" si="376"/>
        <v>0</v>
      </c>
      <c r="PV8" s="241">
        <f t="shared" ca="1" si="331"/>
        <v>1</v>
      </c>
      <c r="PW8" s="220">
        <f t="shared" ca="1" si="377"/>
        <v>0</v>
      </c>
      <c r="PX8" s="220">
        <f t="shared" ca="1" si="378"/>
        <v>0</v>
      </c>
      <c r="PY8" s="235">
        <f t="shared" ca="1" si="379"/>
        <v>0</v>
      </c>
      <c r="PZ8" s="235">
        <f t="shared" ca="1" si="380"/>
        <v>0</v>
      </c>
      <c r="QA8" s="242">
        <f t="shared" ca="1" si="381"/>
        <v>0</v>
      </c>
      <c r="QB8" s="241">
        <f t="shared" ca="1" si="331"/>
        <v>1</v>
      </c>
      <c r="QC8" s="220">
        <f t="shared" ca="1" si="382"/>
        <v>0</v>
      </c>
      <c r="QD8" s="220">
        <f t="shared" ca="1" si="383"/>
        <v>0</v>
      </c>
      <c r="QE8" s="235">
        <f t="shared" ca="1" si="384"/>
        <v>0</v>
      </c>
      <c r="QF8" s="235">
        <f t="shared" ca="1" si="385"/>
        <v>0</v>
      </c>
      <c r="QG8" s="242">
        <f t="shared" ca="1" si="386"/>
        <v>0</v>
      </c>
      <c r="QH8" s="241">
        <f t="shared" ca="1" si="387"/>
        <v>1</v>
      </c>
      <c r="QI8" s="220">
        <f t="shared" ca="1" si="388"/>
        <v>0</v>
      </c>
      <c r="QJ8" s="220">
        <f t="shared" ca="1" si="389"/>
        <v>0</v>
      </c>
      <c r="QK8" s="235">
        <f t="shared" ca="1" si="390"/>
        <v>0</v>
      </c>
      <c r="QL8" s="235">
        <f t="shared" ca="1" si="391"/>
        <v>0</v>
      </c>
      <c r="QM8" s="242">
        <f t="shared" ca="1" si="392"/>
        <v>0</v>
      </c>
      <c r="QN8" s="241">
        <f t="shared" ca="1" si="387"/>
        <v>1</v>
      </c>
      <c r="QO8" s="220">
        <f t="shared" ca="1" si="393"/>
        <v>0</v>
      </c>
      <c r="QP8" s="220">
        <f t="shared" ca="1" si="394"/>
        <v>0</v>
      </c>
      <c r="QQ8" s="235">
        <f t="shared" ca="1" si="395"/>
        <v>0</v>
      </c>
      <c r="QR8" s="235">
        <f t="shared" ca="1" si="396"/>
        <v>0</v>
      </c>
      <c r="QS8" s="242">
        <f t="shared" ca="1" si="397"/>
        <v>0</v>
      </c>
      <c r="QT8" s="241">
        <f t="shared" ca="1" si="387"/>
        <v>1</v>
      </c>
      <c r="QU8" s="220">
        <f t="shared" ca="1" si="398"/>
        <v>0</v>
      </c>
      <c r="QV8" s="220">
        <f t="shared" ca="1" si="399"/>
        <v>0</v>
      </c>
      <c r="QW8" s="235">
        <f t="shared" ca="1" si="400"/>
        <v>0</v>
      </c>
      <c r="QX8" s="235">
        <f t="shared" ca="1" si="401"/>
        <v>0</v>
      </c>
      <c r="QY8" s="242">
        <f t="shared" ca="1" si="402"/>
        <v>0</v>
      </c>
      <c r="QZ8" s="241">
        <f t="shared" ca="1" si="387"/>
        <v>1</v>
      </c>
      <c r="RA8" s="220">
        <f t="shared" ca="1" si="403"/>
        <v>0</v>
      </c>
      <c r="RB8" s="220">
        <f t="shared" ca="1" si="404"/>
        <v>0</v>
      </c>
      <c r="RC8" s="235">
        <f t="shared" ca="1" si="405"/>
        <v>0</v>
      </c>
      <c r="RD8" s="235">
        <f t="shared" ca="1" si="406"/>
        <v>0</v>
      </c>
      <c r="RE8" s="242">
        <f t="shared" ca="1" si="407"/>
        <v>0</v>
      </c>
      <c r="RF8" s="241">
        <f t="shared" ca="1" si="387"/>
        <v>1</v>
      </c>
      <c r="RG8" s="220">
        <f t="shared" ca="1" si="408"/>
        <v>0</v>
      </c>
      <c r="RH8" s="220">
        <f t="shared" ca="1" si="409"/>
        <v>0</v>
      </c>
      <c r="RI8" s="235">
        <f t="shared" ca="1" si="410"/>
        <v>0</v>
      </c>
      <c r="RJ8" s="235">
        <f t="shared" ca="1" si="411"/>
        <v>0</v>
      </c>
      <c r="RK8" s="242">
        <f t="shared" ca="1" si="412"/>
        <v>0</v>
      </c>
      <c r="RL8" s="241">
        <f t="shared" ca="1" si="387"/>
        <v>1</v>
      </c>
      <c r="RM8" s="220">
        <f t="shared" ca="1" si="413"/>
        <v>0</v>
      </c>
      <c r="RN8" s="220">
        <f t="shared" ca="1" si="414"/>
        <v>0</v>
      </c>
      <c r="RO8" s="235">
        <f t="shared" ca="1" si="415"/>
        <v>0</v>
      </c>
      <c r="RP8" s="235">
        <f t="shared" ca="1" si="416"/>
        <v>0</v>
      </c>
      <c r="RQ8" s="242">
        <f t="shared" ca="1" si="417"/>
        <v>0</v>
      </c>
      <c r="RR8" s="241">
        <f t="shared" ca="1" si="387"/>
        <v>1</v>
      </c>
      <c r="RS8" s="220">
        <f t="shared" ca="1" si="418"/>
        <v>0</v>
      </c>
      <c r="RT8" s="220">
        <f t="shared" ca="1" si="419"/>
        <v>0</v>
      </c>
      <c r="RU8" s="235">
        <f t="shared" ca="1" si="420"/>
        <v>0</v>
      </c>
      <c r="RV8" s="235">
        <f t="shared" ca="1" si="421"/>
        <v>0</v>
      </c>
      <c r="RW8" s="242">
        <f t="shared" ca="1" si="422"/>
        <v>0</v>
      </c>
      <c r="RX8" s="241">
        <f t="shared" ca="1" si="387"/>
        <v>1</v>
      </c>
      <c r="RY8" s="220">
        <f t="shared" ca="1" si="423"/>
        <v>0</v>
      </c>
      <c r="RZ8" s="220">
        <f t="shared" ca="1" si="424"/>
        <v>0</v>
      </c>
      <c r="SA8" s="235">
        <f t="shared" ca="1" si="425"/>
        <v>0</v>
      </c>
      <c r="SB8" s="235">
        <f t="shared" ca="1" si="426"/>
        <v>0</v>
      </c>
      <c r="SC8" s="242">
        <f t="shared" ca="1" si="427"/>
        <v>0</v>
      </c>
      <c r="SD8" s="241">
        <f t="shared" ca="1" si="387"/>
        <v>1</v>
      </c>
      <c r="SE8" s="220">
        <f t="shared" ca="1" si="428"/>
        <v>0</v>
      </c>
      <c r="SF8" s="220">
        <f t="shared" ca="1" si="429"/>
        <v>0</v>
      </c>
      <c r="SG8" s="235">
        <f t="shared" ca="1" si="430"/>
        <v>0</v>
      </c>
      <c r="SH8" s="235">
        <f t="shared" ca="1" si="431"/>
        <v>0</v>
      </c>
      <c r="SI8" s="242">
        <f t="shared" ca="1" si="432"/>
        <v>0</v>
      </c>
      <c r="SJ8" s="241">
        <f t="shared" ca="1" si="387"/>
        <v>1</v>
      </c>
      <c r="SK8" s="220">
        <f t="shared" ca="1" si="433"/>
        <v>0</v>
      </c>
      <c r="SL8" s="220">
        <f t="shared" ca="1" si="434"/>
        <v>0</v>
      </c>
      <c r="SM8" s="235">
        <f t="shared" ca="1" si="435"/>
        <v>0</v>
      </c>
      <c r="SN8" s="235">
        <f t="shared" ca="1" si="436"/>
        <v>0</v>
      </c>
      <c r="SO8" s="242">
        <f t="shared" ca="1" si="437"/>
        <v>0</v>
      </c>
      <c r="SP8" s="241">
        <f t="shared" ca="1" si="387"/>
        <v>1</v>
      </c>
      <c r="SQ8" s="220">
        <f t="shared" ca="1" si="438"/>
        <v>0</v>
      </c>
      <c r="SR8" s="220">
        <f t="shared" ca="1" si="439"/>
        <v>0</v>
      </c>
      <c r="SS8" s="235">
        <f t="shared" ca="1" si="440"/>
        <v>0</v>
      </c>
      <c r="ST8" s="235">
        <f t="shared" ca="1" si="441"/>
        <v>0</v>
      </c>
      <c r="SU8" s="242">
        <f t="shared" ca="1" si="442"/>
        <v>0</v>
      </c>
      <c r="SV8" s="241">
        <f t="shared" ca="1" si="443"/>
        <v>1</v>
      </c>
      <c r="SW8" s="220">
        <f t="shared" ca="1" si="444"/>
        <v>0</v>
      </c>
      <c r="SX8" s="220">
        <f t="shared" ca="1" si="445"/>
        <v>0</v>
      </c>
      <c r="SY8" s="235">
        <f t="shared" ca="1" si="446"/>
        <v>0</v>
      </c>
      <c r="SZ8" s="235">
        <f t="shared" ca="1" si="447"/>
        <v>0</v>
      </c>
      <c r="TA8" s="242">
        <f t="shared" ca="1" si="448"/>
        <v>0</v>
      </c>
      <c r="TB8" s="241">
        <f t="shared" ca="1" si="443"/>
        <v>1</v>
      </c>
      <c r="TC8" s="220">
        <f t="shared" ca="1" si="449"/>
        <v>0</v>
      </c>
      <c r="TD8" s="220">
        <f t="shared" ca="1" si="450"/>
        <v>0</v>
      </c>
      <c r="TE8" s="235">
        <f t="shared" ca="1" si="451"/>
        <v>0</v>
      </c>
      <c r="TF8" s="235">
        <f t="shared" ca="1" si="452"/>
        <v>0</v>
      </c>
      <c r="TG8" s="242">
        <f t="shared" ca="1" si="453"/>
        <v>0</v>
      </c>
      <c r="TH8" s="241">
        <f t="shared" ca="1" si="443"/>
        <v>1</v>
      </c>
      <c r="TI8" s="220">
        <f t="shared" ca="1" si="454"/>
        <v>0</v>
      </c>
      <c r="TJ8" s="220">
        <f t="shared" ca="1" si="455"/>
        <v>0</v>
      </c>
      <c r="TK8" s="235">
        <f t="shared" ca="1" si="456"/>
        <v>0</v>
      </c>
      <c r="TL8" s="235">
        <f t="shared" ca="1" si="457"/>
        <v>0</v>
      </c>
      <c r="TM8" s="242">
        <f t="shared" ca="1" si="458"/>
        <v>0</v>
      </c>
      <c r="TN8" s="241">
        <f t="shared" ca="1" si="443"/>
        <v>1</v>
      </c>
      <c r="TO8" s="220">
        <f t="shared" ca="1" si="459"/>
        <v>0</v>
      </c>
      <c r="TP8" s="220">
        <f t="shared" ca="1" si="460"/>
        <v>0</v>
      </c>
      <c r="TQ8" s="235">
        <f t="shared" ca="1" si="461"/>
        <v>0</v>
      </c>
      <c r="TR8" s="235">
        <f t="shared" ca="1" si="462"/>
        <v>0</v>
      </c>
      <c r="TS8" s="242">
        <f t="shared" ca="1" si="463"/>
        <v>0</v>
      </c>
      <c r="TT8" s="241">
        <f t="shared" ca="1" si="443"/>
        <v>1</v>
      </c>
      <c r="TU8" s="220">
        <f t="shared" ca="1" si="464"/>
        <v>0</v>
      </c>
      <c r="TV8" s="220">
        <f t="shared" ca="1" si="465"/>
        <v>0</v>
      </c>
      <c r="TW8" s="235">
        <f t="shared" ca="1" si="466"/>
        <v>0</v>
      </c>
      <c r="TX8" s="235">
        <f t="shared" ca="1" si="467"/>
        <v>0</v>
      </c>
      <c r="TY8" s="242">
        <f t="shared" ca="1" si="468"/>
        <v>0</v>
      </c>
      <c r="TZ8" s="241">
        <f t="shared" ca="1" si="443"/>
        <v>1</v>
      </c>
      <c r="UA8" s="220">
        <f t="shared" ca="1" si="469"/>
        <v>0</v>
      </c>
      <c r="UB8" s="220">
        <f t="shared" ca="1" si="470"/>
        <v>0</v>
      </c>
      <c r="UC8" s="235">
        <f t="shared" ca="1" si="471"/>
        <v>0</v>
      </c>
      <c r="UD8" s="235">
        <f t="shared" ca="1" si="472"/>
        <v>0</v>
      </c>
      <c r="UE8" s="242">
        <f t="shared" ca="1" si="473"/>
        <v>0</v>
      </c>
      <c r="UF8" s="241">
        <f t="shared" ca="1" si="443"/>
        <v>1</v>
      </c>
      <c r="UG8" s="220">
        <f t="shared" ca="1" si="474"/>
        <v>0</v>
      </c>
      <c r="UH8" s="220">
        <f t="shared" ca="1" si="475"/>
        <v>0</v>
      </c>
      <c r="UI8" s="235">
        <f t="shared" ca="1" si="476"/>
        <v>0</v>
      </c>
      <c r="UJ8" s="235">
        <f t="shared" ca="1" si="477"/>
        <v>0</v>
      </c>
      <c r="UK8" s="242">
        <f t="shared" ca="1" si="478"/>
        <v>0</v>
      </c>
      <c r="UL8" s="241">
        <f t="shared" ca="1" si="443"/>
        <v>1</v>
      </c>
      <c r="UM8" s="220">
        <f t="shared" ca="1" si="479"/>
        <v>0</v>
      </c>
      <c r="UN8" s="220">
        <f t="shared" ca="1" si="480"/>
        <v>0</v>
      </c>
      <c r="UO8" s="235">
        <f t="shared" ca="1" si="481"/>
        <v>0</v>
      </c>
      <c r="UP8" s="235">
        <f t="shared" ca="1" si="482"/>
        <v>0</v>
      </c>
      <c r="UQ8" s="242">
        <f t="shared" ca="1" si="483"/>
        <v>0</v>
      </c>
      <c r="UR8" s="241">
        <f t="shared" ca="1" si="443"/>
        <v>1</v>
      </c>
      <c r="US8" s="220">
        <f t="shared" ca="1" si="484"/>
        <v>0</v>
      </c>
      <c r="UT8" s="220">
        <f t="shared" ca="1" si="485"/>
        <v>0</v>
      </c>
      <c r="UU8" s="235">
        <f t="shared" ca="1" si="486"/>
        <v>0</v>
      </c>
      <c r="UV8" s="235">
        <f t="shared" ca="1" si="487"/>
        <v>0</v>
      </c>
      <c r="UW8" s="242">
        <f t="shared" ca="1" si="488"/>
        <v>0</v>
      </c>
      <c r="UX8" s="241">
        <f t="shared" ca="1" si="443"/>
        <v>1</v>
      </c>
      <c r="UY8" s="220">
        <f t="shared" ca="1" si="489"/>
        <v>0</v>
      </c>
      <c r="UZ8" s="220">
        <f t="shared" ca="1" si="490"/>
        <v>0</v>
      </c>
      <c r="VA8" s="235">
        <f t="shared" ca="1" si="491"/>
        <v>0</v>
      </c>
      <c r="VB8" s="235">
        <f t="shared" ca="1" si="492"/>
        <v>0</v>
      </c>
      <c r="VC8" s="242">
        <f t="shared" ca="1" si="493"/>
        <v>0</v>
      </c>
      <c r="VD8" s="241">
        <f t="shared" ca="1" si="443"/>
        <v>1</v>
      </c>
      <c r="VE8" s="220">
        <f t="shared" ca="1" si="494"/>
        <v>0</v>
      </c>
      <c r="VF8" s="220">
        <f t="shared" ca="1" si="495"/>
        <v>0</v>
      </c>
      <c r="VG8" s="235">
        <f t="shared" ca="1" si="496"/>
        <v>0</v>
      </c>
      <c r="VH8" s="235">
        <f t="shared" ca="1" si="497"/>
        <v>0</v>
      </c>
      <c r="VI8" s="242">
        <f t="shared" ca="1" si="498"/>
        <v>0</v>
      </c>
      <c r="VJ8" s="241">
        <f t="shared" ca="1" si="499"/>
        <v>1</v>
      </c>
      <c r="VK8" s="220">
        <f t="shared" ca="1" si="500"/>
        <v>0</v>
      </c>
      <c r="VL8" s="220">
        <f t="shared" ca="1" si="501"/>
        <v>0</v>
      </c>
      <c r="VM8" s="235">
        <f t="shared" ca="1" si="502"/>
        <v>0</v>
      </c>
      <c r="VN8" s="235">
        <f t="shared" ca="1" si="503"/>
        <v>0</v>
      </c>
      <c r="VO8" s="242">
        <f t="shared" ca="1" si="504"/>
        <v>0</v>
      </c>
      <c r="VP8" s="241">
        <f t="shared" ca="1" si="499"/>
        <v>1</v>
      </c>
      <c r="VQ8" s="220">
        <f t="shared" ca="1" si="505"/>
        <v>0</v>
      </c>
      <c r="VR8" s="220">
        <f t="shared" ca="1" si="506"/>
        <v>0</v>
      </c>
      <c r="VS8" s="235">
        <f t="shared" ca="1" si="507"/>
        <v>0</v>
      </c>
      <c r="VT8" s="235">
        <f t="shared" ca="1" si="508"/>
        <v>0</v>
      </c>
      <c r="VU8" s="242">
        <f t="shared" ca="1" si="509"/>
        <v>0</v>
      </c>
      <c r="VV8" s="241">
        <f t="shared" ca="1" si="499"/>
        <v>1</v>
      </c>
      <c r="VW8" s="220">
        <f t="shared" ca="1" si="510"/>
        <v>0</v>
      </c>
      <c r="VX8" s="220">
        <f t="shared" ca="1" si="511"/>
        <v>0</v>
      </c>
      <c r="VY8" s="235">
        <f t="shared" ca="1" si="512"/>
        <v>0</v>
      </c>
      <c r="VZ8" s="235">
        <f t="shared" ca="1" si="513"/>
        <v>0</v>
      </c>
      <c r="WA8" s="242">
        <f t="shared" ca="1" si="514"/>
        <v>0</v>
      </c>
      <c r="WB8" s="241">
        <f t="shared" ca="1" si="499"/>
        <v>1</v>
      </c>
      <c r="WC8" s="220">
        <f t="shared" ca="1" si="515"/>
        <v>0</v>
      </c>
      <c r="WD8" s="220">
        <f t="shared" ca="1" si="516"/>
        <v>0</v>
      </c>
      <c r="WE8" s="235">
        <f t="shared" ca="1" si="517"/>
        <v>0</v>
      </c>
      <c r="WF8" s="235">
        <f t="shared" ca="1" si="518"/>
        <v>0</v>
      </c>
      <c r="WG8" s="242">
        <f t="shared" ca="1" si="519"/>
        <v>0</v>
      </c>
      <c r="WH8" s="241">
        <f t="shared" ca="1" si="499"/>
        <v>1</v>
      </c>
      <c r="WI8" s="220">
        <f t="shared" ca="1" si="520"/>
        <v>0</v>
      </c>
      <c r="WJ8" s="220">
        <f t="shared" ca="1" si="521"/>
        <v>0</v>
      </c>
      <c r="WK8" s="235">
        <f t="shared" ca="1" si="522"/>
        <v>0</v>
      </c>
      <c r="WL8" s="235">
        <f t="shared" ca="1" si="523"/>
        <v>0</v>
      </c>
      <c r="WM8" s="242">
        <f t="shared" ca="1" si="524"/>
        <v>0</v>
      </c>
      <c r="WN8" s="241">
        <f t="shared" ca="1" si="499"/>
        <v>1</v>
      </c>
      <c r="WO8" s="220">
        <f t="shared" ca="1" si="525"/>
        <v>0</v>
      </c>
      <c r="WP8" s="220">
        <f t="shared" ca="1" si="526"/>
        <v>0</v>
      </c>
      <c r="WQ8" s="235">
        <f t="shared" ca="1" si="527"/>
        <v>0</v>
      </c>
      <c r="WR8" s="235">
        <f t="shared" ca="1" si="528"/>
        <v>0</v>
      </c>
      <c r="WS8" s="242">
        <f t="shared" ca="1" si="529"/>
        <v>0</v>
      </c>
      <c r="WT8" s="241">
        <f t="shared" ca="1" si="499"/>
        <v>1</v>
      </c>
      <c r="WU8" s="220">
        <f t="shared" ca="1" si="530"/>
        <v>0</v>
      </c>
      <c r="WV8" s="220">
        <f t="shared" ca="1" si="531"/>
        <v>0</v>
      </c>
      <c r="WW8" s="235">
        <f t="shared" ca="1" si="532"/>
        <v>0</v>
      </c>
      <c r="WX8" s="235">
        <f t="shared" ca="1" si="533"/>
        <v>0</v>
      </c>
      <c r="WY8" s="242">
        <f t="shared" ca="1" si="534"/>
        <v>0</v>
      </c>
      <c r="WZ8" s="241">
        <f t="shared" ca="1" si="499"/>
        <v>1</v>
      </c>
      <c r="XA8" s="220">
        <f t="shared" ca="1" si="535"/>
        <v>0</v>
      </c>
      <c r="XB8" s="220">
        <f t="shared" ca="1" si="536"/>
        <v>0</v>
      </c>
      <c r="XC8" s="235">
        <f t="shared" ca="1" si="537"/>
        <v>0</v>
      </c>
      <c r="XD8" s="235">
        <f t="shared" ca="1" si="538"/>
        <v>0</v>
      </c>
      <c r="XE8" s="242">
        <f t="shared" ca="1" si="539"/>
        <v>0</v>
      </c>
      <c r="XF8" s="241">
        <f t="shared" ca="1" si="499"/>
        <v>1</v>
      </c>
      <c r="XG8" s="220">
        <f t="shared" ca="1" si="540"/>
        <v>0</v>
      </c>
      <c r="XH8" s="220">
        <f t="shared" ca="1" si="541"/>
        <v>0</v>
      </c>
      <c r="XI8" s="235">
        <f t="shared" ca="1" si="542"/>
        <v>0</v>
      </c>
      <c r="XJ8" s="235">
        <f t="shared" ca="1" si="543"/>
        <v>0</v>
      </c>
      <c r="XK8" s="242">
        <f t="shared" ca="1" si="544"/>
        <v>0</v>
      </c>
    </row>
    <row r="9" spans="1:635" x14ac:dyDescent="0.25">
      <c r="B9" s="65">
        <f t="shared" ca="1" si="14"/>
        <v>2024</v>
      </c>
      <c r="C9" s="65" t="s">
        <v>741</v>
      </c>
      <c r="D9" s="77">
        <f t="shared" si="15"/>
        <v>0</v>
      </c>
      <c r="E9" s="77">
        <f t="shared" si="16"/>
        <v>0</v>
      </c>
      <c r="F9" s="77">
        <f t="shared" si="17"/>
        <v>0</v>
      </c>
      <c r="G9" s="77">
        <f t="shared" si="18"/>
        <v>0</v>
      </c>
      <c r="H9" s="15" t="e">
        <f t="shared" ca="1" si="19"/>
        <v>#REF!</v>
      </c>
      <c r="L9" s="326">
        <f t="shared" ca="1" si="20"/>
        <v>3.5000000000000003E-2</v>
      </c>
      <c r="M9" s="327">
        <f t="shared" ca="1" si="21"/>
        <v>3.5000000000000003E-2</v>
      </c>
      <c r="N9" s="322">
        <f t="shared" ca="1" si="22"/>
        <v>-1</v>
      </c>
      <c r="O9" s="322">
        <f t="shared" ca="1" si="23"/>
        <v>10</v>
      </c>
      <c r="P9" s="328">
        <f t="shared" ca="1" si="545"/>
        <v>8.607686508868186</v>
      </c>
      <c r="Q9" s="328">
        <f t="shared" ca="1" si="546"/>
        <v>8.607686508868186</v>
      </c>
      <c r="R9" s="328">
        <f t="shared" ca="1" si="547"/>
        <v>8.607686508868186</v>
      </c>
      <c r="S9" s="329">
        <f t="shared" ca="1" si="24"/>
        <v>3.4999999999999858E-2</v>
      </c>
      <c r="T9" s="329">
        <f t="shared" ca="1" si="25"/>
        <v>3.4999999999999858E-2</v>
      </c>
      <c r="U9" s="329">
        <f t="shared" ca="1" si="26"/>
        <v>3.4999999999999858E-2</v>
      </c>
      <c r="V9" s="320" t="e">
        <f t="shared" ca="1" si="27"/>
        <v>#REF!</v>
      </c>
      <c r="W9" s="320" t="e">
        <f t="shared" ca="1" si="28"/>
        <v>#REF!</v>
      </c>
      <c r="X9" s="320" t="e">
        <f t="shared" ca="1" si="29"/>
        <v>#REF!</v>
      </c>
      <c r="Y9" s="320" t="e">
        <f ca="1">INDEX(SC_ZA_HECMLumpSum,ZAIDX)</f>
        <v>#REF!</v>
      </c>
      <c r="Z9" s="320" t="e">
        <f t="shared" ca="1" si="30"/>
        <v>#REF!</v>
      </c>
      <c r="AA9" s="320" t="e">
        <f t="shared" ca="1" si="31"/>
        <v>#REF!</v>
      </c>
      <c r="AB9" s="320" t="e">
        <f t="shared" ca="1" si="32"/>
        <v>#REF!</v>
      </c>
      <c r="AC9" s="330" t="e">
        <f t="shared" ca="1" si="33"/>
        <v>#REF!</v>
      </c>
      <c r="AD9" s="236" t="e">
        <f t="shared" ca="1" si="548"/>
        <v>#REF!</v>
      </c>
      <c r="AE9" s="320" t="e">
        <f t="shared" ca="1" si="34"/>
        <v>#REF!</v>
      </c>
      <c r="AF9" s="320" t="e">
        <f t="shared" ca="1" si="35"/>
        <v>#REF!</v>
      </c>
      <c r="AG9" s="320" t="e">
        <f t="shared" ca="1" si="549"/>
        <v>#REF!</v>
      </c>
      <c r="AH9" s="284" t="e">
        <f t="shared" ca="1" si="550"/>
        <v>#REF!</v>
      </c>
      <c r="AI9" s="318" t="e">
        <f t="shared" ca="1" si="551"/>
        <v>#REF!</v>
      </c>
      <c r="AJ9" s="331">
        <f t="shared" ca="1" si="552"/>
        <v>1</v>
      </c>
      <c r="AK9" s="220">
        <f t="shared" ca="1" si="553"/>
        <v>0</v>
      </c>
      <c r="AL9" s="220">
        <f t="shared" ca="1" si="37"/>
        <v>0</v>
      </c>
      <c r="AM9" s="235">
        <f t="shared" ca="1" si="554"/>
        <v>1</v>
      </c>
      <c r="AN9" s="235">
        <f t="shared" ca="1" si="555"/>
        <v>1</v>
      </c>
      <c r="AO9" s="242">
        <f t="shared" ca="1" si="556"/>
        <v>1</v>
      </c>
      <c r="AP9" s="241">
        <f t="shared" ca="1" si="552"/>
        <v>1</v>
      </c>
      <c r="AQ9" s="220">
        <f t="shared" ca="1" si="41"/>
        <v>0</v>
      </c>
      <c r="AR9" s="220">
        <f t="shared" ca="1" si="42"/>
        <v>0</v>
      </c>
      <c r="AS9" s="235">
        <f t="shared" ca="1" si="43"/>
        <v>0.96618357487922713</v>
      </c>
      <c r="AT9" s="235">
        <f t="shared" ca="1" si="44"/>
        <v>0.96618357487922713</v>
      </c>
      <c r="AU9" s="242">
        <f t="shared" ca="1" si="45"/>
        <v>0.96618357487922713</v>
      </c>
      <c r="AV9" s="241">
        <f t="shared" ca="1" si="552"/>
        <v>1</v>
      </c>
      <c r="AW9" s="220">
        <f t="shared" ca="1" si="46"/>
        <v>0</v>
      </c>
      <c r="AX9" s="220">
        <f t="shared" ca="1" si="47"/>
        <v>0</v>
      </c>
      <c r="AY9" s="235">
        <f t="shared" ca="1" si="48"/>
        <v>0.93351070036640305</v>
      </c>
      <c r="AZ9" s="235">
        <f t="shared" ca="1" si="49"/>
        <v>0.93351070036640305</v>
      </c>
      <c r="BA9" s="242">
        <f t="shared" ca="1" si="50"/>
        <v>0.93351070036640305</v>
      </c>
      <c r="BB9" s="241">
        <f t="shared" ca="1" si="552"/>
        <v>1</v>
      </c>
      <c r="BC9" s="220">
        <f t="shared" ca="1" si="52"/>
        <v>0</v>
      </c>
      <c r="BD9" s="220">
        <f t="shared" ca="1" si="53"/>
        <v>0</v>
      </c>
      <c r="BE9" s="235">
        <f t="shared" ca="1" si="54"/>
        <v>0.90194270566802237</v>
      </c>
      <c r="BF9" s="235">
        <f t="shared" ca="1" si="55"/>
        <v>0.90194270566802237</v>
      </c>
      <c r="BG9" s="242">
        <f t="shared" ca="1" si="56"/>
        <v>0.90194270566802237</v>
      </c>
      <c r="BH9" s="241">
        <f t="shared" ca="1" si="552"/>
        <v>1</v>
      </c>
      <c r="BI9" s="220">
        <f t="shared" ca="1" si="57"/>
        <v>0</v>
      </c>
      <c r="BJ9" s="220">
        <f t="shared" ca="1" si="58"/>
        <v>0</v>
      </c>
      <c r="BK9" s="235">
        <f t="shared" ca="1" si="59"/>
        <v>0.87144222769857238</v>
      </c>
      <c r="BL9" s="235">
        <f t="shared" ca="1" si="60"/>
        <v>0.87144222769857238</v>
      </c>
      <c r="BM9" s="242">
        <f t="shared" ca="1" si="61"/>
        <v>0.87144222769857238</v>
      </c>
      <c r="BN9" s="241">
        <f t="shared" ca="1" si="552"/>
        <v>1</v>
      </c>
      <c r="BO9" s="220">
        <f t="shared" ca="1" si="62"/>
        <v>0</v>
      </c>
      <c r="BP9" s="220">
        <f t="shared" ca="1" si="63"/>
        <v>0</v>
      </c>
      <c r="BQ9" s="235">
        <f t="shared" ca="1" si="64"/>
        <v>0.84197316685852419</v>
      </c>
      <c r="BR9" s="235">
        <f t="shared" ca="1" si="65"/>
        <v>0.84197316685852419</v>
      </c>
      <c r="BS9" s="242">
        <f t="shared" ca="1" si="66"/>
        <v>0.84197316685852419</v>
      </c>
      <c r="BT9" s="241">
        <f t="shared" ca="1" si="552"/>
        <v>1</v>
      </c>
      <c r="BU9" s="220">
        <f t="shared" ca="1" si="67"/>
        <v>0</v>
      </c>
      <c r="BV9" s="220">
        <f t="shared" ca="1" si="68"/>
        <v>0</v>
      </c>
      <c r="BW9" s="235">
        <f t="shared" ca="1" si="69"/>
        <v>0.81350064430775282</v>
      </c>
      <c r="BX9" s="235">
        <f t="shared" ca="1" si="70"/>
        <v>0.81350064430775282</v>
      </c>
      <c r="BY9" s="242">
        <f t="shared" ca="1" si="71"/>
        <v>0.81350064430775282</v>
      </c>
      <c r="BZ9" s="241">
        <f t="shared" ca="1" si="552"/>
        <v>1</v>
      </c>
      <c r="CA9" s="220">
        <f t="shared" ca="1" si="72"/>
        <v>0</v>
      </c>
      <c r="CB9" s="220">
        <f t="shared" ca="1" si="73"/>
        <v>0</v>
      </c>
      <c r="CC9" s="235">
        <f t="shared" ca="1" si="74"/>
        <v>0.78599096068381913</v>
      </c>
      <c r="CD9" s="235">
        <f t="shared" ca="1" si="75"/>
        <v>0.78599096068381913</v>
      </c>
      <c r="CE9" s="242">
        <f t="shared" ca="1" si="76"/>
        <v>0.78599096068381913</v>
      </c>
      <c r="CF9" s="241">
        <f t="shared" ca="1" si="552"/>
        <v>1</v>
      </c>
      <c r="CG9" s="220">
        <f t="shared" ca="1" si="77"/>
        <v>0</v>
      </c>
      <c r="CH9" s="220">
        <f t="shared" ca="1" si="78"/>
        <v>0</v>
      </c>
      <c r="CI9" s="235">
        <f t="shared" ca="1" si="79"/>
        <v>0.75941155621625056</v>
      </c>
      <c r="CJ9" s="235">
        <f t="shared" ca="1" si="80"/>
        <v>0.75941155621625056</v>
      </c>
      <c r="CK9" s="242">
        <f t="shared" ca="1" si="81"/>
        <v>0.75941155621625056</v>
      </c>
      <c r="CL9" s="241">
        <f t="shared" ca="1" si="552"/>
        <v>1</v>
      </c>
      <c r="CM9" s="220">
        <f t="shared" ca="1" si="82"/>
        <v>0</v>
      </c>
      <c r="CN9" s="220">
        <f t="shared" ca="1" si="83"/>
        <v>0</v>
      </c>
      <c r="CO9" s="235">
        <f t="shared" ca="1" si="84"/>
        <v>0.73373097218961414</v>
      </c>
      <c r="CP9" s="235">
        <f t="shared" ca="1" si="85"/>
        <v>0.73373097218961414</v>
      </c>
      <c r="CQ9" s="242">
        <f t="shared" ca="1" si="86"/>
        <v>0.73373097218961414</v>
      </c>
      <c r="CR9" s="241">
        <f t="shared" ca="1" si="552"/>
        <v>1</v>
      </c>
      <c r="CS9" s="220">
        <f t="shared" ca="1" si="87"/>
        <v>0</v>
      </c>
      <c r="CT9" s="220">
        <f t="shared" ca="1" si="88"/>
        <v>0</v>
      </c>
      <c r="CU9" s="235">
        <f t="shared" ca="1" si="89"/>
        <v>0</v>
      </c>
      <c r="CV9" s="235">
        <f t="shared" ca="1" si="90"/>
        <v>0</v>
      </c>
      <c r="CW9" s="242">
        <f t="shared" ca="1" si="91"/>
        <v>0</v>
      </c>
      <c r="CX9" s="241">
        <f t="shared" ca="1" si="51"/>
        <v>1</v>
      </c>
      <c r="CY9" s="220">
        <f t="shared" ca="1" si="92"/>
        <v>0</v>
      </c>
      <c r="CZ9" s="220">
        <f t="shared" ca="1" si="93"/>
        <v>0</v>
      </c>
      <c r="DA9" s="235">
        <f t="shared" ca="1" si="94"/>
        <v>0</v>
      </c>
      <c r="DB9" s="235">
        <f t="shared" ca="1" si="95"/>
        <v>0</v>
      </c>
      <c r="DC9" s="242">
        <f t="shared" ca="1" si="96"/>
        <v>0</v>
      </c>
      <c r="DD9" s="241">
        <f t="shared" ca="1" si="51"/>
        <v>1</v>
      </c>
      <c r="DE9" s="220">
        <f t="shared" ca="1" si="97"/>
        <v>0</v>
      </c>
      <c r="DF9" s="220">
        <f t="shared" ca="1" si="98"/>
        <v>0</v>
      </c>
      <c r="DG9" s="235">
        <f t="shared" ca="1" si="99"/>
        <v>0</v>
      </c>
      <c r="DH9" s="235">
        <f t="shared" ca="1" si="100"/>
        <v>0</v>
      </c>
      <c r="DI9" s="242">
        <f t="shared" ca="1" si="101"/>
        <v>0</v>
      </c>
      <c r="DJ9" s="241">
        <f t="shared" ca="1" si="51"/>
        <v>1</v>
      </c>
      <c r="DK9" s="220">
        <f t="shared" ca="1" si="102"/>
        <v>0</v>
      </c>
      <c r="DL9" s="220">
        <f t="shared" ca="1" si="103"/>
        <v>0</v>
      </c>
      <c r="DM9" s="235">
        <f t="shared" ca="1" si="104"/>
        <v>0</v>
      </c>
      <c r="DN9" s="235">
        <f t="shared" ca="1" si="105"/>
        <v>0</v>
      </c>
      <c r="DO9" s="242">
        <f t="shared" ca="1" si="106"/>
        <v>0</v>
      </c>
      <c r="DP9" s="241">
        <f t="shared" ca="1" si="107"/>
        <v>1</v>
      </c>
      <c r="DQ9" s="220">
        <f t="shared" ca="1" si="108"/>
        <v>0</v>
      </c>
      <c r="DR9" s="220">
        <f t="shared" ca="1" si="109"/>
        <v>0</v>
      </c>
      <c r="DS9" s="235">
        <f t="shared" ca="1" si="110"/>
        <v>0</v>
      </c>
      <c r="DT9" s="235">
        <f t="shared" ca="1" si="111"/>
        <v>0</v>
      </c>
      <c r="DU9" s="242">
        <f t="shared" ca="1" si="112"/>
        <v>0</v>
      </c>
      <c r="DV9" s="241">
        <f t="shared" ca="1" si="107"/>
        <v>1</v>
      </c>
      <c r="DW9" s="220">
        <f t="shared" ca="1" si="113"/>
        <v>0</v>
      </c>
      <c r="DX9" s="220">
        <f t="shared" ca="1" si="114"/>
        <v>0</v>
      </c>
      <c r="DY9" s="235">
        <f t="shared" ca="1" si="115"/>
        <v>0</v>
      </c>
      <c r="DZ9" s="235">
        <f t="shared" ca="1" si="116"/>
        <v>0</v>
      </c>
      <c r="EA9" s="242">
        <f t="shared" ca="1" si="117"/>
        <v>0</v>
      </c>
      <c r="EB9" s="241">
        <f t="shared" ca="1" si="107"/>
        <v>1</v>
      </c>
      <c r="EC9" s="220">
        <f t="shared" ca="1" si="118"/>
        <v>0</v>
      </c>
      <c r="ED9" s="220">
        <f t="shared" ca="1" si="119"/>
        <v>0</v>
      </c>
      <c r="EE9" s="235">
        <f t="shared" ca="1" si="120"/>
        <v>0</v>
      </c>
      <c r="EF9" s="235">
        <f t="shared" ca="1" si="121"/>
        <v>0</v>
      </c>
      <c r="EG9" s="242">
        <f t="shared" ca="1" si="122"/>
        <v>0</v>
      </c>
      <c r="EH9" s="241">
        <f t="shared" ca="1" si="107"/>
        <v>1</v>
      </c>
      <c r="EI9" s="220">
        <f t="shared" ca="1" si="123"/>
        <v>0</v>
      </c>
      <c r="EJ9" s="220">
        <f t="shared" ca="1" si="124"/>
        <v>0</v>
      </c>
      <c r="EK9" s="235">
        <f t="shared" ca="1" si="125"/>
        <v>0</v>
      </c>
      <c r="EL9" s="235">
        <f t="shared" ca="1" si="126"/>
        <v>0</v>
      </c>
      <c r="EM9" s="242">
        <f t="shared" ca="1" si="127"/>
        <v>0</v>
      </c>
      <c r="EN9" s="241">
        <f t="shared" ca="1" si="107"/>
        <v>1</v>
      </c>
      <c r="EO9" s="220">
        <f t="shared" ca="1" si="128"/>
        <v>0</v>
      </c>
      <c r="EP9" s="220">
        <f t="shared" ca="1" si="129"/>
        <v>0</v>
      </c>
      <c r="EQ9" s="235">
        <f t="shared" ca="1" si="130"/>
        <v>0</v>
      </c>
      <c r="ER9" s="235">
        <f t="shared" ca="1" si="131"/>
        <v>0</v>
      </c>
      <c r="ES9" s="242">
        <f t="shared" ca="1" si="132"/>
        <v>0</v>
      </c>
      <c r="ET9" s="241">
        <f t="shared" ca="1" si="107"/>
        <v>1</v>
      </c>
      <c r="EU9" s="220">
        <f t="shared" ca="1" si="133"/>
        <v>0</v>
      </c>
      <c r="EV9" s="220">
        <f t="shared" ca="1" si="134"/>
        <v>0</v>
      </c>
      <c r="EW9" s="235">
        <f t="shared" ca="1" si="135"/>
        <v>0</v>
      </c>
      <c r="EX9" s="235">
        <f t="shared" ca="1" si="136"/>
        <v>0</v>
      </c>
      <c r="EY9" s="242">
        <f t="shared" ca="1" si="137"/>
        <v>0</v>
      </c>
      <c r="EZ9" s="241">
        <f t="shared" ca="1" si="107"/>
        <v>1</v>
      </c>
      <c r="FA9" s="220">
        <f t="shared" ca="1" si="138"/>
        <v>0</v>
      </c>
      <c r="FB9" s="220">
        <f t="shared" ca="1" si="139"/>
        <v>0</v>
      </c>
      <c r="FC9" s="235">
        <f t="shared" ca="1" si="140"/>
        <v>0</v>
      </c>
      <c r="FD9" s="235">
        <f t="shared" ca="1" si="141"/>
        <v>0</v>
      </c>
      <c r="FE9" s="242">
        <f t="shared" ca="1" si="142"/>
        <v>0</v>
      </c>
      <c r="FF9" s="241">
        <f t="shared" ca="1" si="107"/>
        <v>1</v>
      </c>
      <c r="FG9" s="220">
        <f t="shared" ca="1" si="143"/>
        <v>0</v>
      </c>
      <c r="FH9" s="220">
        <f t="shared" ca="1" si="144"/>
        <v>0</v>
      </c>
      <c r="FI9" s="235">
        <f t="shared" ca="1" si="145"/>
        <v>0</v>
      </c>
      <c r="FJ9" s="235">
        <f t="shared" ca="1" si="146"/>
        <v>0</v>
      </c>
      <c r="FK9" s="242">
        <f t="shared" ca="1" si="147"/>
        <v>0</v>
      </c>
      <c r="FL9" s="241">
        <f t="shared" ca="1" si="107"/>
        <v>1</v>
      </c>
      <c r="FM9" s="220">
        <f t="shared" ca="1" si="148"/>
        <v>0</v>
      </c>
      <c r="FN9" s="220">
        <f t="shared" ca="1" si="149"/>
        <v>0</v>
      </c>
      <c r="FO9" s="235">
        <f t="shared" ca="1" si="150"/>
        <v>0</v>
      </c>
      <c r="FP9" s="235">
        <f t="shared" ca="1" si="151"/>
        <v>0</v>
      </c>
      <c r="FQ9" s="242">
        <f t="shared" ca="1" si="152"/>
        <v>0</v>
      </c>
      <c r="FR9" s="241">
        <f t="shared" ca="1" si="107"/>
        <v>1</v>
      </c>
      <c r="FS9" s="220">
        <f t="shared" ca="1" si="153"/>
        <v>0</v>
      </c>
      <c r="FT9" s="220">
        <f t="shared" ca="1" si="154"/>
        <v>0</v>
      </c>
      <c r="FU9" s="235">
        <f t="shared" ca="1" si="155"/>
        <v>0</v>
      </c>
      <c r="FV9" s="235">
        <f t="shared" ca="1" si="156"/>
        <v>0</v>
      </c>
      <c r="FW9" s="242">
        <f t="shared" ca="1" si="157"/>
        <v>0</v>
      </c>
      <c r="FX9" s="241">
        <f t="shared" ca="1" si="107"/>
        <v>1</v>
      </c>
      <c r="FY9" s="220">
        <f t="shared" ca="1" si="158"/>
        <v>0</v>
      </c>
      <c r="FZ9" s="220">
        <f t="shared" ca="1" si="159"/>
        <v>0</v>
      </c>
      <c r="GA9" s="235">
        <f t="shared" ca="1" si="160"/>
        <v>0</v>
      </c>
      <c r="GB9" s="235">
        <f t="shared" ca="1" si="161"/>
        <v>0</v>
      </c>
      <c r="GC9" s="242">
        <f t="shared" ca="1" si="162"/>
        <v>0</v>
      </c>
      <c r="GD9" s="241">
        <f t="shared" ca="1" si="163"/>
        <v>1</v>
      </c>
      <c r="GE9" s="220">
        <f t="shared" ca="1" si="164"/>
        <v>0</v>
      </c>
      <c r="GF9" s="220">
        <f t="shared" ca="1" si="165"/>
        <v>0</v>
      </c>
      <c r="GG9" s="235">
        <f t="shared" ca="1" si="166"/>
        <v>0</v>
      </c>
      <c r="GH9" s="235">
        <f t="shared" ca="1" si="167"/>
        <v>0</v>
      </c>
      <c r="GI9" s="242">
        <f t="shared" ca="1" si="168"/>
        <v>0</v>
      </c>
      <c r="GJ9" s="241">
        <f t="shared" ca="1" si="163"/>
        <v>1</v>
      </c>
      <c r="GK9" s="220">
        <f t="shared" ca="1" si="169"/>
        <v>0</v>
      </c>
      <c r="GL9" s="220">
        <f t="shared" ca="1" si="170"/>
        <v>0</v>
      </c>
      <c r="GM9" s="235">
        <f t="shared" ca="1" si="171"/>
        <v>0</v>
      </c>
      <c r="GN9" s="235">
        <f t="shared" ca="1" si="172"/>
        <v>0</v>
      </c>
      <c r="GO9" s="242">
        <f t="shared" ca="1" si="173"/>
        <v>0</v>
      </c>
      <c r="GP9" s="241">
        <f t="shared" ca="1" si="163"/>
        <v>1</v>
      </c>
      <c r="GQ9" s="220">
        <f t="shared" ca="1" si="174"/>
        <v>0</v>
      </c>
      <c r="GR9" s="220">
        <f t="shared" ca="1" si="175"/>
        <v>0</v>
      </c>
      <c r="GS9" s="235">
        <f t="shared" ca="1" si="176"/>
        <v>0</v>
      </c>
      <c r="GT9" s="235">
        <f t="shared" ca="1" si="177"/>
        <v>0</v>
      </c>
      <c r="GU9" s="242">
        <f t="shared" ca="1" si="178"/>
        <v>0</v>
      </c>
      <c r="GV9" s="241">
        <f t="shared" ca="1" si="163"/>
        <v>1</v>
      </c>
      <c r="GW9" s="220">
        <f t="shared" ca="1" si="179"/>
        <v>0</v>
      </c>
      <c r="GX9" s="220">
        <f t="shared" ca="1" si="180"/>
        <v>0</v>
      </c>
      <c r="GY9" s="235">
        <f t="shared" ca="1" si="181"/>
        <v>0</v>
      </c>
      <c r="GZ9" s="235">
        <f t="shared" ca="1" si="182"/>
        <v>0</v>
      </c>
      <c r="HA9" s="242">
        <f t="shared" ca="1" si="183"/>
        <v>0</v>
      </c>
      <c r="HB9" s="241">
        <f t="shared" ca="1" si="163"/>
        <v>1</v>
      </c>
      <c r="HC9" s="220">
        <f t="shared" ca="1" si="184"/>
        <v>0</v>
      </c>
      <c r="HD9" s="220">
        <f t="shared" ca="1" si="185"/>
        <v>0</v>
      </c>
      <c r="HE9" s="235">
        <f t="shared" ca="1" si="186"/>
        <v>0</v>
      </c>
      <c r="HF9" s="235">
        <f t="shared" ca="1" si="187"/>
        <v>0</v>
      </c>
      <c r="HG9" s="242">
        <f t="shared" ca="1" si="188"/>
        <v>0</v>
      </c>
      <c r="HH9" s="241">
        <f t="shared" ca="1" si="163"/>
        <v>1</v>
      </c>
      <c r="HI9" s="220">
        <f t="shared" ca="1" si="189"/>
        <v>0</v>
      </c>
      <c r="HJ9" s="220">
        <f t="shared" ca="1" si="190"/>
        <v>0</v>
      </c>
      <c r="HK9" s="235">
        <f t="shared" ca="1" si="191"/>
        <v>0</v>
      </c>
      <c r="HL9" s="235">
        <f t="shared" ca="1" si="192"/>
        <v>0</v>
      </c>
      <c r="HM9" s="242">
        <f t="shared" ca="1" si="193"/>
        <v>0</v>
      </c>
      <c r="HN9" s="241">
        <f t="shared" ca="1" si="163"/>
        <v>1</v>
      </c>
      <c r="HO9" s="220">
        <f t="shared" ca="1" si="194"/>
        <v>0</v>
      </c>
      <c r="HP9" s="220">
        <f t="shared" ca="1" si="195"/>
        <v>0</v>
      </c>
      <c r="HQ9" s="235">
        <f t="shared" ca="1" si="196"/>
        <v>0</v>
      </c>
      <c r="HR9" s="235">
        <f t="shared" ca="1" si="197"/>
        <v>0</v>
      </c>
      <c r="HS9" s="242">
        <f t="shared" ca="1" si="198"/>
        <v>0</v>
      </c>
      <c r="HT9" s="241">
        <f t="shared" ca="1" si="163"/>
        <v>1</v>
      </c>
      <c r="HU9" s="220">
        <f t="shared" ca="1" si="199"/>
        <v>0</v>
      </c>
      <c r="HV9" s="220">
        <f t="shared" ca="1" si="200"/>
        <v>0</v>
      </c>
      <c r="HW9" s="235">
        <f t="shared" ca="1" si="201"/>
        <v>0</v>
      </c>
      <c r="HX9" s="235">
        <f t="shared" ca="1" si="202"/>
        <v>0</v>
      </c>
      <c r="HY9" s="242">
        <f t="shared" ca="1" si="203"/>
        <v>0</v>
      </c>
      <c r="HZ9" s="241">
        <f t="shared" ca="1" si="163"/>
        <v>1</v>
      </c>
      <c r="IA9" s="220">
        <f t="shared" ca="1" si="204"/>
        <v>0</v>
      </c>
      <c r="IB9" s="220">
        <f t="shared" ca="1" si="205"/>
        <v>0</v>
      </c>
      <c r="IC9" s="235">
        <f t="shared" ca="1" si="206"/>
        <v>0</v>
      </c>
      <c r="ID9" s="235">
        <f t="shared" ca="1" si="207"/>
        <v>0</v>
      </c>
      <c r="IE9" s="242">
        <f t="shared" ca="1" si="208"/>
        <v>0</v>
      </c>
      <c r="IF9" s="241">
        <f t="shared" ca="1" si="163"/>
        <v>1</v>
      </c>
      <c r="IG9" s="220">
        <f t="shared" ca="1" si="209"/>
        <v>0</v>
      </c>
      <c r="IH9" s="220">
        <f t="shared" ca="1" si="210"/>
        <v>0</v>
      </c>
      <c r="II9" s="235">
        <f t="shared" ca="1" si="211"/>
        <v>0</v>
      </c>
      <c r="IJ9" s="235">
        <f t="shared" ca="1" si="212"/>
        <v>0</v>
      </c>
      <c r="IK9" s="242">
        <f t="shared" ca="1" si="213"/>
        <v>0</v>
      </c>
      <c r="IL9" s="241">
        <f t="shared" ca="1" si="163"/>
        <v>1</v>
      </c>
      <c r="IM9" s="220">
        <f t="shared" ca="1" si="214"/>
        <v>0</v>
      </c>
      <c r="IN9" s="220">
        <f t="shared" ca="1" si="215"/>
        <v>0</v>
      </c>
      <c r="IO9" s="235">
        <f t="shared" ca="1" si="216"/>
        <v>0</v>
      </c>
      <c r="IP9" s="235">
        <f t="shared" ca="1" si="217"/>
        <v>0</v>
      </c>
      <c r="IQ9" s="242">
        <f t="shared" ca="1" si="218"/>
        <v>0</v>
      </c>
      <c r="IR9" s="241">
        <f t="shared" ca="1" si="219"/>
        <v>1</v>
      </c>
      <c r="IS9" s="220">
        <f t="shared" ca="1" si="220"/>
        <v>0</v>
      </c>
      <c r="IT9" s="220">
        <f t="shared" ca="1" si="221"/>
        <v>0</v>
      </c>
      <c r="IU9" s="235">
        <f t="shared" ca="1" si="222"/>
        <v>0</v>
      </c>
      <c r="IV9" s="235">
        <f t="shared" ca="1" si="223"/>
        <v>0</v>
      </c>
      <c r="IW9" s="242">
        <f t="shared" ca="1" si="224"/>
        <v>0</v>
      </c>
      <c r="IX9" s="241">
        <f t="shared" ca="1" si="219"/>
        <v>1</v>
      </c>
      <c r="IY9" s="220">
        <f t="shared" ca="1" si="225"/>
        <v>0</v>
      </c>
      <c r="IZ9" s="220">
        <f t="shared" ca="1" si="226"/>
        <v>0</v>
      </c>
      <c r="JA9" s="235">
        <f t="shared" ca="1" si="227"/>
        <v>0</v>
      </c>
      <c r="JB9" s="235">
        <f t="shared" ca="1" si="228"/>
        <v>0</v>
      </c>
      <c r="JC9" s="242">
        <f t="shared" ca="1" si="229"/>
        <v>0</v>
      </c>
      <c r="JD9" s="241">
        <f t="shared" ca="1" si="219"/>
        <v>1</v>
      </c>
      <c r="JE9" s="220">
        <f t="shared" ca="1" si="230"/>
        <v>0</v>
      </c>
      <c r="JF9" s="220">
        <f t="shared" ca="1" si="231"/>
        <v>0</v>
      </c>
      <c r="JG9" s="235">
        <f t="shared" ca="1" si="232"/>
        <v>0</v>
      </c>
      <c r="JH9" s="235">
        <f t="shared" ca="1" si="233"/>
        <v>0</v>
      </c>
      <c r="JI9" s="242">
        <f t="shared" ca="1" si="234"/>
        <v>0</v>
      </c>
      <c r="JJ9" s="241">
        <f t="shared" ca="1" si="219"/>
        <v>1</v>
      </c>
      <c r="JK9" s="220">
        <f t="shared" ca="1" si="235"/>
        <v>0</v>
      </c>
      <c r="JL9" s="220">
        <f t="shared" ca="1" si="236"/>
        <v>0</v>
      </c>
      <c r="JM9" s="235">
        <f t="shared" ca="1" si="237"/>
        <v>0</v>
      </c>
      <c r="JN9" s="235">
        <f t="shared" ca="1" si="238"/>
        <v>0</v>
      </c>
      <c r="JO9" s="242">
        <f t="shared" ca="1" si="239"/>
        <v>0</v>
      </c>
      <c r="JP9" s="241">
        <f t="shared" ca="1" si="219"/>
        <v>1</v>
      </c>
      <c r="JQ9" s="220">
        <f t="shared" ca="1" si="240"/>
        <v>0</v>
      </c>
      <c r="JR9" s="220">
        <f t="shared" ca="1" si="241"/>
        <v>0</v>
      </c>
      <c r="JS9" s="235">
        <f t="shared" ca="1" si="242"/>
        <v>0</v>
      </c>
      <c r="JT9" s="235">
        <f t="shared" ca="1" si="243"/>
        <v>0</v>
      </c>
      <c r="JU9" s="242">
        <f t="shared" ca="1" si="244"/>
        <v>0</v>
      </c>
      <c r="JV9" s="241">
        <f t="shared" ca="1" si="219"/>
        <v>1</v>
      </c>
      <c r="JW9" s="220">
        <f t="shared" ca="1" si="245"/>
        <v>0</v>
      </c>
      <c r="JX9" s="220">
        <f t="shared" ca="1" si="246"/>
        <v>0</v>
      </c>
      <c r="JY9" s="235">
        <f t="shared" ca="1" si="247"/>
        <v>0</v>
      </c>
      <c r="JZ9" s="235">
        <f t="shared" ca="1" si="248"/>
        <v>0</v>
      </c>
      <c r="KA9" s="242">
        <f t="shared" ca="1" si="249"/>
        <v>0</v>
      </c>
      <c r="KB9" s="241">
        <f t="shared" ca="1" si="219"/>
        <v>1</v>
      </c>
      <c r="KC9" s="220">
        <f t="shared" ca="1" si="250"/>
        <v>0</v>
      </c>
      <c r="KD9" s="220">
        <f t="shared" ca="1" si="251"/>
        <v>0</v>
      </c>
      <c r="KE9" s="235">
        <f t="shared" ca="1" si="252"/>
        <v>0</v>
      </c>
      <c r="KF9" s="235">
        <f t="shared" ca="1" si="253"/>
        <v>0</v>
      </c>
      <c r="KG9" s="242">
        <f t="shared" ca="1" si="254"/>
        <v>0</v>
      </c>
      <c r="KH9" s="241">
        <f t="shared" ca="1" si="219"/>
        <v>1</v>
      </c>
      <c r="KI9" s="220">
        <f t="shared" ca="1" si="255"/>
        <v>0</v>
      </c>
      <c r="KJ9" s="220">
        <f t="shared" ca="1" si="256"/>
        <v>0</v>
      </c>
      <c r="KK9" s="235">
        <f t="shared" ca="1" si="257"/>
        <v>0</v>
      </c>
      <c r="KL9" s="235">
        <f t="shared" ca="1" si="258"/>
        <v>0</v>
      </c>
      <c r="KM9" s="242">
        <f t="shared" ca="1" si="259"/>
        <v>0</v>
      </c>
      <c r="KN9" s="241">
        <f t="shared" ca="1" si="219"/>
        <v>1</v>
      </c>
      <c r="KO9" s="220">
        <f t="shared" ca="1" si="260"/>
        <v>0</v>
      </c>
      <c r="KP9" s="220">
        <f t="shared" ca="1" si="261"/>
        <v>0</v>
      </c>
      <c r="KQ9" s="235">
        <f t="shared" ca="1" si="262"/>
        <v>0</v>
      </c>
      <c r="KR9" s="235">
        <f t="shared" ca="1" si="263"/>
        <v>0</v>
      </c>
      <c r="KS9" s="242">
        <f t="shared" ca="1" si="264"/>
        <v>0</v>
      </c>
      <c r="KT9" s="241">
        <f t="shared" ca="1" si="219"/>
        <v>1</v>
      </c>
      <c r="KU9" s="220">
        <f t="shared" ca="1" si="265"/>
        <v>0</v>
      </c>
      <c r="KV9" s="220">
        <f t="shared" ca="1" si="266"/>
        <v>0</v>
      </c>
      <c r="KW9" s="235">
        <f t="shared" ca="1" si="267"/>
        <v>0</v>
      </c>
      <c r="KX9" s="235">
        <f t="shared" ca="1" si="268"/>
        <v>0</v>
      </c>
      <c r="KY9" s="242">
        <f t="shared" ca="1" si="269"/>
        <v>0</v>
      </c>
      <c r="KZ9" s="241">
        <f t="shared" ca="1" si="219"/>
        <v>1</v>
      </c>
      <c r="LA9" s="220">
        <f t="shared" ca="1" si="270"/>
        <v>0</v>
      </c>
      <c r="LB9" s="220">
        <f t="shared" ca="1" si="271"/>
        <v>0</v>
      </c>
      <c r="LC9" s="235">
        <f t="shared" ca="1" si="272"/>
        <v>0</v>
      </c>
      <c r="LD9" s="235">
        <f t="shared" ca="1" si="273"/>
        <v>0</v>
      </c>
      <c r="LE9" s="242">
        <f t="shared" ca="1" si="274"/>
        <v>0</v>
      </c>
      <c r="LF9" s="241">
        <f t="shared" ca="1" si="275"/>
        <v>1</v>
      </c>
      <c r="LG9" s="220">
        <f t="shared" ca="1" si="276"/>
        <v>0</v>
      </c>
      <c r="LH9" s="220">
        <f t="shared" ca="1" si="277"/>
        <v>0</v>
      </c>
      <c r="LI9" s="235">
        <f t="shared" ca="1" si="278"/>
        <v>0</v>
      </c>
      <c r="LJ9" s="235">
        <f t="shared" ca="1" si="279"/>
        <v>0</v>
      </c>
      <c r="LK9" s="242">
        <f t="shared" ca="1" si="280"/>
        <v>0</v>
      </c>
      <c r="LL9" s="241">
        <f t="shared" ca="1" si="275"/>
        <v>1</v>
      </c>
      <c r="LM9" s="220">
        <f t="shared" ca="1" si="281"/>
        <v>0</v>
      </c>
      <c r="LN9" s="220">
        <f t="shared" ca="1" si="282"/>
        <v>0</v>
      </c>
      <c r="LO9" s="235">
        <f t="shared" ca="1" si="283"/>
        <v>0</v>
      </c>
      <c r="LP9" s="235">
        <f t="shared" ca="1" si="284"/>
        <v>0</v>
      </c>
      <c r="LQ9" s="242">
        <f t="shared" ca="1" si="285"/>
        <v>0</v>
      </c>
      <c r="LR9" s="241">
        <f t="shared" ca="1" si="275"/>
        <v>1</v>
      </c>
      <c r="LS9" s="220">
        <f t="shared" ca="1" si="286"/>
        <v>0</v>
      </c>
      <c r="LT9" s="220">
        <f t="shared" ca="1" si="287"/>
        <v>0</v>
      </c>
      <c r="LU9" s="235">
        <f t="shared" ca="1" si="288"/>
        <v>0</v>
      </c>
      <c r="LV9" s="235">
        <f t="shared" ca="1" si="289"/>
        <v>0</v>
      </c>
      <c r="LW9" s="242">
        <f t="shared" ca="1" si="290"/>
        <v>0</v>
      </c>
      <c r="LX9" s="241">
        <f t="shared" ca="1" si="275"/>
        <v>1</v>
      </c>
      <c r="LY9" s="220">
        <f t="shared" ca="1" si="291"/>
        <v>0</v>
      </c>
      <c r="LZ9" s="220">
        <f t="shared" ca="1" si="292"/>
        <v>0</v>
      </c>
      <c r="MA9" s="235">
        <f t="shared" ca="1" si="293"/>
        <v>0</v>
      </c>
      <c r="MB9" s="235">
        <f t="shared" ca="1" si="294"/>
        <v>0</v>
      </c>
      <c r="MC9" s="242">
        <f t="shared" ca="1" si="295"/>
        <v>0</v>
      </c>
      <c r="MD9" s="241">
        <f t="shared" ca="1" si="275"/>
        <v>1</v>
      </c>
      <c r="ME9" s="220">
        <f t="shared" ca="1" si="296"/>
        <v>0</v>
      </c>
      <c r="MF9" s="220">
        <f t="shared" ca="1" si="297"/>
        <v>0</v>
      </c>
      <c r="MG9" s="235">
        <f t="shared" ca="1" si="298"/>
        <v>0</v>
      </c>
      <c r="MH9" s="235">
        <f t="shared" ca="1" si="299"/>
        <v>0</v>
      </c>
      <c r="MI9" s="242">
        <f t="shared" ca="1" si="300"/>
        <v>0</v>
      </c>
      <c r="MJ9" s="241">
        <f t="shared" ca="1" si="275"/>
        <v>1</v>
      </c>
      <c r="MK9" s="220">
        <f t="shared" ca="1" si="301"/>
        <v>0</v>
      </c>
      <c r="ML9" s="220">
        <f t="shared" ca="1" si="302"/>
        <v>0</v>
      </c>
      <c r="MM9" s="235">
        <f t="shared" ca="1" si="303"/>
        <v>0</v>
      </c>
      <c r="MN9" s="235">
        <f t="shared" ca="1" si="304"/>
        <v>0</v>
      </c>
      <c r="MO9" s="242">
        <f t="shared" ca="1" si="305"/>
        <v>0</v>
      </c>
      <c r="MP9" s="241">
        <f t="shared" ca="1" si="275"/>
        <v>1</v>
      </c>
      <c r="MQ9" s="220">
        <f t="shared" ca="1" si="306"/>
        <v>0</v>
      </c>
      <c r="MR9" s="220">
        <f t="shared" ca="1" si="307"/>
        <v>0</v>
      </c>
      <c r="MS9" s="235">
        <f t="shared" ca="1" si="308"/>
        <v>0</v>
      </c>
      <c r="MT9" s="235">
        <f t="shared" ca="1" si="309"/>
        <v>0</v>
      </c>
      <c r="MU9" s="242">
        <f t="shared" ca="1" si="310"/>
        <v>0</v>
      </c>
      <c r="MV9" s="241">
        <f t="shared" ca="1" si="275"/>
        <v>1</v>
      </c>
      <c r="MW9" s="220">
        <f t="shared" ca="1" si="311"/>
        <v>0</v>
      </c>
      <c r="MX9" s="220">
        <f t="shared" ca="1" si="312"/>
        <v>0</v>
      </c>
      <c r="MY9" s="235">
        <f t="shared" ca="1" si="313"/>
        <v>0</v>
      </c>
      <c r="MZ9" s="235">
        <f t="shared" ca="1" si="314"/>
        <v>0</v>
      </c>
      <c r="NA9" s="242">
        <f t="shared" ca="1" si="315"/>
        <v>0</v>
      </c>
      <c r="NB9" s="241">
        <f t="shared" ca="1" si="275"/>
        <v>1</v>
      </c>
      <c r="NC9" s="220">
        <f t="shared" ca="1" si="316"/>
        <v>0</v>
      </c>
      <c r="ND9" s="220">
        <f t="shared" ca="1" si="317"/>
        <v>0</v>
      </c>
      <c r="NE9" s="235">
        <f t="shared" ca="1" si="318"/>
        <v>0</v>
      </c>
      <c r="NF9" s="235">
        <f t="shared" ca="1" si="319"/>
        <v>0</v>
      </c>
      <c r="NG9" s="242">
        <f t="shared" ca="1" si="320"/>
        <v>0</v>
      </c>
      <c r="NH9" s="241">
        <f t="shared" ca="1" si="275"/>
        <v>1</v>
      </c>
      <c r="NI9" s="220">
        <f t="shared" ca="1" si="321"/>
        <v>0</v>
      </c>
      <c r="NJ9" s="220">
        <f t="shared" ca="1" si="322"/>
        <v>0</v>
      </c>
      <c r="NK9" s="235">
        <f t="shared" ca="1" si="323"/>
        <v>0</v>
      </c>
      <c r="NL9" s="235">
        <f t="shared" ca="1" si="324"/>
        <v>0</v>
      </c>
      <c r="NM9" s="242">
        <f t="shared" ca="1" si="325"/>
        <v>0</v>
      </c>
      <c r="NN9" s="241">
        <f t="shared" ca="1" si="275"/>
        <v>1</v>
      </c>
      <c r="NO9" s="220">
        <f t="shared" ca="1" si="326"/>
        <v>0</v>
      </c>
      <c r="NP9" s="220">
        <f t="shared" ca="1" si="327"/>
        <v>0</v>
      </c>
      <c r="NQ9" s="235">
        <f t="shared" ca="1" si="328"/>
        <v>0</v>
      </c>
      <c r="NR9" s="235">
        <f t="shared" ca="1" si="329"/>
        <v>0</v>
      </c>
      <c r="NS9" s="242">
        <f t="shared" ca="1" si="330"/>
        <v>0</v>
      </c>
      <c r="NT9" s="241">
        <f t="shared" ca="1" si="331"/>
        <v>1</v>
      </c>
      <c r="NU9" s="220">
        <f t="shared" ca="1" si="332"/>
        <v>0</v>
      </c>
      <c r="NV9" s="220">
        <f t="shared" ca="1" si="333"/>
        <v>0</v>
      </c>
      <c r="NW9" s="235">
        <f t="shared" ca="1" si="334"/>
        <v>0</v>
      </c>
      <c r="NX9" s="235">
        <f t="shared" ca="1" si="335"/>
        <v>0</v>
      </c>
      <c r="NY9" s="242">
        <f t="shared" ca="1" si="336"/>
        <v>0</v>
      </c>
      <c r="NZ9" s="241">
        <f t="shared" ca="1" si="331"/>
        <v>1</v>
      </c>
      <c r="OA9" s="220">
        <f t="shared" ca="1" si="337"/>
        <v>0</v>
      </c>
      <c r="OB9" s="220">
        <f t="shared" ca="1" si="338"/>
        <v>0</v>
      </c>
      <c r="OC9" s="235">
        <f t="shared" ca="1" si="339"/>
        <v>0</v>
      </c>
      <c r="OD9" s="235">
        <f t="shared" ca="1" si="340"/>
        <v>0</v>
      </c>
      <c r="OE9" s="242">
        <f t="shared" ca="1" si="341"/>
        <v>0</v>
      </c>
      <c r="OF9" s="241">
        <f t="shared" ca="1" si="331"/>
        <v>1</v>
      </c>
      <c r="OG9" s="220">
        <f t="shared" ca="1" si="342"/>
        <v>0</v>
      </c>
      <c r="OH9" s="220">
        <f t="shared" ca="1" si="343"/>
        <v>0</v>
      </c>
      <c r="OI9" s="235">
        <f t="shared" ca="1" si="344"/>
        <v>0</v>
      </c>
      <c r="OJ9" s="235">
        <f t="shared" ca="1" si="345"/>
        <v>0</v>
      </c>
      <c r="OK9" s="242">
        <f t="shared" ca="1" si="346"/>
        <v>0</v>
      </c>
      <c r="OL9" s="241">
        <f t="shared" ca="1" si="331"/>
        <v>1</v>
      </c>
      <c r="OM9" s="220">
        <f t="shared" ca="1" si="347"/>
        <v>0</v>
      </c>
      <c r="ON9" s="220">
        <f t="shared" ca="1" si="348"/>
        <v>0</v>
      </c>
      <c r="OO9" s="235">
        <f t="shared" ca="1" si="349"/>
        <v>0</v>
      </c>
      <c r="OP9" s="235">
        <f t="shared" ca="1" si="350"/>
        <v>0</v>
      </c>
      <c r="OQ9" s="242">
        <f t="shared" ca="1" si="351"/>
        <v>0</v>
      </c>
      <c r="OR9" s="241">
        <f t="shared" ca="1" si="331"/>
        <v>1</v>
      </c>
      <c r="OS9" s="220">
        <f t="shared" ca="1" si="352"/>
        <v>0</v>
      </c>
      <c r="OT9" s="220">
        <f t="shared" ca="1" si="353"/>
        <v>0</v>
      </c>
      <c r="OU9" s="235">
        <f t="shared" ca="1" si="354"/>
        <v>0</v>
      </c>
      <c r="OV9" s="235">
        <f t="shared" ca="1" si="355"/>
        <v>0</v>
      </c>
      <c r="OW9" s="242">
        <f t="shared" ca="1" si="356"/>
        <v>0</v>
      </c>
      <c r="OX9" s="241">
        <f t="shared" ca="1" si="331"/>
        <v>1</v>
      </c>
      <c r="OY9" s="220">
        <f t="shared" ca="1" si="357"/>
        <v>0</v>
      </c>
      <c r="OZ9" s="220">
        <f t="shared" ca="1" si="358"/>
        <v>0</v>
      </c>
      <c r="PA9" s="235">
        <f t="shared" ca="1" si="359"/>
        <v>0</v>
      </c>
      <c r="PB9" s="235">
        <f t="shared" ca="1" si="360"/>
        <v>0</v>
      </c>
      <c r="PC9" s="242">
        <f t="shared" ca="1" si="361"/>
        <v>0</v>
      </c>
      <c r="PD9" s="241">
        <f t="shared" ca="1" si="331"/>
        <v>1</v>
      </c>
      <c r="PE9" s="220">
        <f t="shared" ca="1" si="362"/>
        <v>0</v>
      </c>
      <c r="PF9" s="220">
        <f t="shared" ca="1" si="363"/>
        <v>0</v>
      </c>
      <c r="PG9" s="235">
        <f t="shared" ca="1" si="364"/>
        <v>0</v>
      </c>
      <c r="PH9" s="235">
        <f t="shared" ca="1" si="365"/>
        <v>0</v>
      </c>
      <c r="PI9" s="242">
        <f t="shared" ca="1" si="366"/>
        <v>0</v>
      </c>
      <c r="PJ9" s="241">
        <f t="shared" ca="1" si="331"/>
        <v>1</v>
      </c>
      <c r="PK9" s="220">
        <f t="shared" ca="1" si="367"/>
        <v>0</v>
      </c>
      <c r="PL9" s="220">
        <f t="shared" ca="1" si="368"/>
        <v>0</v>
      </c>
      <c r="PM9" s="235">
        <f t="shared" ca="1" si="369"/>
        <v>0</v>
      </c>
      <c r="PN9" s="235">
        <f t="shared" ca="1" si="370"/>
        <v>0</v>
      </c>
      <c r="PO9" s="242">
        <f t="shared" ca="1" si="371"/>
        <v>0</v>
      </c>
      <c r="PP9" s="241">
        <f t="shared" ca="1" si="331"/>
        <v>1</v>
      </c>
      <c r="PQ9" s="220">
        <f t="shared" ca="1" si="372"/>
        <v>0</v>
      </c>
      <c r="PR9" s="220">
        <f t="shared" ca="1" si="373"/>
        <v>0</v>
      </c>
      <c r="PS9" s="235">
        <f t="shared" ca="1" si="374"/>
        <v>0</v>
      </c>
      <c r="PT9" s="235">
        <f t="shared" ca="1" si="375"/>
        <v>0</v>
      </c>
      <c r="PU9" s="242">
        <f t="shared" ca="1" si="376"/>
        <v>0</v>
      </c>
      <c r="PV9" s="241">
        <f t="shared" ca="1" si="331"/>
        <v>1</v>
      </c>
      <c r="PW9" s="220">
        <f t="shared" ca="1" si="377"/>
        <v>0</v>
      </c>
      <c r="PX9" s="220">
        <f t="shared" ca="1" si="378"/>
        <v>0</v>
      </c>
      <c r="PY9" s="235">
        <f t="shared" ca="1" si="379"/>
        <v>0</v>
      </c>
      <c r="PZ9" s="235">
        <f t="shared" ca="1" si="380"/>
        <v>0</v>
      </c>
      <c r="QA9" s="242">
        <f t="shared" ca="1" si="381"/>
        <v>0</v>
      </c>
      <c r="QB9" s="241">
        <f t="shared" ca="1" si="331"/>
        <v>1</v>
      </c>
      <c r="QC9" s="220">
        <f t="shared" ca="1" si="382"/>
        <v>0</v>
      </c>
      <c r="QD9" s="220">
        <f t="shared" ca="1" si="383"/>
        <v>0</v>
      </c>
      <c r="QE9" s="235">
        <f t="shared" ca="1" si="384"/>
        <v>0</v>
      </c>
      <c r="QF9" s="235">
        <f t="shared" ca="1" si="385"/>
        <v>0</v>
      </c>
      <c r="QG9" s="242">
        <f t="shared" ca="1" si="386"/>
        <v>0</v>
      </c>
      <c r="QH9" s="241">
        <f t="shared" ca="1" si="387"/>
        <v>1</v>
      </c>
      <c r="QI9" s="220">
        <f t="shared" ca="1" si="388"/>
        <v>0</v>
      </c>
      <c r="QJ9" s="220">
        <f t="shared" ca="1" si="389"/>
        <v>0</v>
      </c>
      <c r="QK9" s="235">
        <f t="shared" ca="1" si="390"/>
        <v>0</v>
      </c>
      <c r="QL9" s="235">
        <f t="shared" ca="1" si="391"/>
        <v>0</v>
      </c>
      <c r="QM9" s="242">
        <f t="shared" ca="1" si="392"/>
        <v>0</v>
      </c>
      <c r="QN9" s="241">
        <f t="shared" ca="1" si="387"/>
        <v>1</v>
      </c>
      <c r="QO9" s="220">
        <f t="shared" ca="1" si="393"/>
        <v>0</v>
      </c>
      <c r="QP9" s="220">
        <f t="shared" ca="1" si="394"/>
        <v>0</v>
      </c>
      <c r="QQ9" s="235">
        <f t="shared" ca="1" si="395"/>
        <v>0</v>
      </c>
      <c r="QR9" s="235">
        <f t="shared" ca="1" si="396"/>
        <v>0</v>
      </c>
      <c r="QS9" s="242">
        <f t="shared" ca="1" si="397"/>
        <v>0</v>
      </c>
      <c r="QT9" s="241">
        <f t="shared" ca="1" si="387"/>
        <v>1</v>
      </c>
      <c r="QU9" s="220">
        <f t="shared" ca="1" si="398"/>
        <v>0</v>
      </c>
      <c r="QV9" s="220">
        <f t="shared" ca="1" si="399"/>
        <v>0</v>
      </c>
      <c r="QW9" s="235">
        <f t="shared" ca="1" si="400"/>
        <v>0</v>
      </c>
      <c r="QX9" s="235">
        <f t="shared" ca="1" si="401"/>
        <v>0</v>
      </c>
      <c r="QY9" s="242">
        <f t="shared" ca="1" si="402"/>
        <v>0</v>
      </c>
      <c r="QZ9" s="241">
        <f t="shared" ca="1" si="387"/>
        <v>1</v>
      </c>
      <c r="RA9" s="220">
        <f t="shared" ca="1" si="403"/>
        <v>0</v>
      </c>
      <c r="RB9" s="220">
        <f t="shared" ca="1" si="404"/>
        <v>0</v>
      </c>
      <c r="RC9" s="235">
        <f t="shared" ca="1" si="405"/>
        <v>0</v>
      </c>
      <c r="RD9" s="235">
        <f t="shared" ca="1" si="406"/>
        <v>0</v>
      </c>
      <c r="RE9" s="242">
        <f t="shared" ca="1" si="407"/>
        <v>0</v>
      </c>
      <c r="RF9" s="241">
        <f t="shared" ca="1" si="387"/>
        <v>1</v>
      </c>
      <c r="RG9" s="220">
        <f t="shared" ca="1" si="408"/>
        <v>0</v>
      </c>
      <c r="RH9" s="220">
        <f t="shared" ca="1" si="409"/>
        <v>0</v>
      </c>
      <c r="RI9" s="235">
        <f t="shared" ca="1" si="410"/>
        <v>0</v>
      </c>
      <c r="RJ9" s="235">
        <f t="shared" ca="1" si="411"/>
        <v>0</v>
      </c>
      <c r="RK9" s="242">
        <f t="shared" ca="1" si="412"/>
        <v>0</v>
      </c>
      <c r="RL9" s="241">
        <f t="shared" ca="1" si="387"/>
        <v>1</v>
      </c>
      <c r="RM9" s="220">
        <f t="shared" ca="1" si="413"/>
        <v>0</v>
      </c>
      <c r="RN9" s="220">
        <f t="shared" ca="1" si="414"/>
        <v>0</v>
      </c>
      <c r="RO9" s="235">
        <f t="shared" ca="1" si="415"/>
        <v>0</v>
      </c>
      <c r="RP9" s="235">
        <f t="shared" ca="1" si="416"/>
        <v>0</v>
      </c>
      <c r="RQ9" s="242">
        <f t="shared" ca="1" si="417"/>
        <v>0</v>
      </c>
      <c r="RR9" s="241">
        <f t="shared" ca="1" si="387"/>
        <v>1</v>
      </c>
      <c r="RS9" s="220">
        <f t="shared" ca="1" si="418"/>
        <v>0</v>
      </c>
      <c r="RT9" s="220">
        <f t="shared" ca="1" si="419"/>
        <v>0</v>
      </c>
      <c r="RU9" s="235">
        <f t="shared" ca="1" si="420"/>
        <v>0</v>
      </c>
      <c r="RV9" s="235">
        <f t="shared" ca="1" si="421"/>
        <v>0</v>
      </c>
      <c r="RW9" s="242">
        <f t="shared" ca="1" si="422"/>
        <v>0</v>
      </c>
      <c r="RX9" s="241">
        <f t="shared" ca="1" si="387"/>
        <v>1</v>
      </c>
      <c r="RY9" s="220">
        <f t="shared" ca="1" si="423"/>
        <v>0</v>
      </c>
      <c r="RZ9" s="220">
        <f t="shared" ca="1" si="424"/>
        <v>0</v>
      </c>
      <c r="SA9" s="235">
        <f t="shared" ca="1" si="425"/>
        <v>0</v>
      </c>
      <c r="SB9" s="235">
        <f t="shared" ca="1" si="426"/>
        <v>0</v>
      </c>
      <c r="SC9" s="242">
        <f t="shared" ca="1" si="427"/>
        <v>0</v>
      </c>
      <c r="SD9" s="241">
        <f t="shared" ca="1" si="387"/>
        <v>1</v>
      </c>
      <c r="SE9" s="220">
        <f t="shared" ca="1" si="428"/>
        <v>0</v>
      </c>
      <c r="SF9" s="220">
        <f t="shared" ca="1" si="429"/>
        <v>0</v>
      </c>
      <c r="SG9" s="235">
        <f t="shared" ca="1" si="430"/>
        <v>0</v>
      </c>
      <c r="SH9" s="235">
        <f t="shared" ca="1" si="431"/>
        <v>0</v>
      </c>
      <c r="SI9" s="242">
        <f t="shared" ca="1" si="432"/>
        <v>0</v>
      </c>
      <c r="SJ9" s="241">
        <f t="shared" ca="1" si="387"/>
        <v>1</v>
      </c>
      <c r="SK9" s="220">
        <f t="shared" ca="1" si="433"/>
        <v>0</v>
      </c>
      <c r="SL9" s="220">
        <f t="shared" ca="1" si="434"/>
        <v>0</v>
      </c>
      <c r="SM9" s="235">
        <f t="shared" ca="1" si="435"/>
        <v>0</v>
      </c>
      <c r="SN9" s="235">
        <f t="shared" ca="1" si="436"/>
        <v>0</v>
      </c>
      <c r="SO9" s="242">
        <f t="shared" ca="1" si="437"/>
        <v>0</v>
      </c>
      <c r="SP9" s="241">
        <f t="shared" ca="1" si="387"/>
        <v>1</v>
      </c>
      <c r="SQ9" s="220">
        <f t="shared" ca="1" si="438"/>
        <v>0</v>
      </c>
      <c r="SR9" s="220">
        <f t="shared" ca="1" si="439"/>
        <v>0</v>
      </c>
      <c r="SS9" s="235">
        <f t="shared" ca="1" si="440"/>
        <v>0</v>
      </c>
      <c r="ST9" s="235">
        <f t="shared" ca="1" si="441"/>
        <v>0</v>
      </c>
      <c r="SU9" s="242">
        <f t="shared" ca="1" si="442"/>
        <v>0</v>
      </c>
      <c r="SV9" s="241">
        <f t="shared" ca="1" si="443"/>
        <v>1</v>
      </c>
      <c r="SW9" s="220">
        <f t="shared" ca="1" si="444"/>
        <v>0</v>
      </c>
      <c r="SX9" s="220">
        <f t="shared" ca="1" si="445"/>
        <v>0</v>
      </c>
      <c r="SY9" s="235">
        <f t="shared" ca="1" si="446"/>
        <v>0</v>
      </c>
      <c r="SZ9" s="235">
        <f t="shared" ca="1" si="447"/>
        <v>0</v>
      </c>
      <c r="TA9" s="242">
        <f t="shared" ca="1" si="448"/>
        <v>0</v>
      </c>
      <c r="TB9" s="241">
        <f t="shared" ca="1" si="443"/>
        <v>1</v>
      </c>
      <c r="TC9" s="220">
        <f t="shared" ca="1" si="449"/>
        <v>0</v>
      </c>
      <c r="TD9" s="220">
        <f t="shared" ca="1" si="450"/>
        <v>0</v>
      </c>
      <c r="TE9" s="235">
        <f t="shared" ca="1" si="451"/>
        <v>0</v>
      </c>
      <c r="TF9" s="235">
        <f t="shared" ca="1" si="452"/>
        <v>0</v>
      </c>
      <c r="TG9" s="242">
        <f t="shared" ca="1" si="453"/>
        <v>0</v>
      </c>
      <c r="TH9" s="241">
        <f t="shared" ca="1" si="443"/>
        <v>1</v>
      </c>
      <c r="TI9" s="220">
        <f t="shared" ca="1" si="454"/>
        <v>0</v>
      </c>
      <c r="TJ9" s="220">
        <f t="shared" ca="1" si="455"/>
        <v>0</v>
      </c>
      <c r="TK9" s="235">
        <f t="shared" ca="1" si="456"/>
        <v>0</v>
      </c>
      <c r="TL9" s="235">
        <f t="shared" ca="1" si="457"/>
        <v>0</v>
      </c>
      <c r="TM9" s="242">
        <f t="shared" ca="1" si="458"/>
        <v>0</v>
      </c>
      <c r="TN9" s="241">
        <f t="shared" ca="1" si="443"/>
        <v>1</v>
      </c>
      <c r="TO9" s="220">
        <f t="shared" ca="1" si="459"/>
        <v>0</v>
      </c>
      <c r="TP9" s="220">
        <f t="shared" ca="1" si="460"/>
        <v>0</v>
      </c>
      <c r="TQ9" s="235">
        <f t="shared" ca="1" si="461"/>
        <v>0</v>
      </c>
      <c r="TR9" s="235">
        <f t="shared" ca="1" si="462"/>
        <v>0</v>
      </c>
      <c r="TS9" s="242">
        <f t="shared" ca="1" si="463"/>
        <v>0</v>
      </c>
      <c r="TT9" s="241">
        <f t="shared" ca="1" si="443"/>
        <v>1</v>
      </c>
      <c r="TU9" s="220">
        <f t="shared" ca="1" si="464"/>
        <v>0</v>
      </c>
      <c r="TV9" s="220">
        <f t="shared" ca="1" si="465"/>
        <v>0</v>
      </c>
      <c r="TW9" s="235">
        <f t="shared" ca="1" si="466"/>
        <v>0</v>
      </c>
      <c r="TX9" s="235">
        <f t="shared" ca="1" si="467"/>
        <v>0</v>
      </c>
      <c r="TY9" s="242">
        <f t="shared" ca="1" si="468"/>
        <v>0</v>
      </c>
      <c r="TZ9" s="241">
        <f t="shared" ca="1" si="443"/>
        <v>1</v>
      </c>
      <c r="UA9" s="220">
        <f t="shared" ca="1" si="469"/>
        <v>0</v>
      </c>
      <c r="UB9" s="220">
        <f t="shared" ca="1" si="470"/>
        <v>0</v>
      </c>
      <c r="UC9" s="235">
        <f t="shared" ca="1" si="471"/>
        <v>0</v>
      </c>
      <c r="UD9" s="235">
        <f t="shared" ca="1" si="472"/>
        <v>0</v>
      </c>
      <c r="UE9" s="242">
        <f t="shared" ca="1" si="473"/>
        <v>0</v>
      </c>
      <c r="UF9" s="241">
        <f t="shared" ca="1" si="443"/>
        <v>1</v>
      </c>
      <c r="UG9" s="220">
        <f t="shared" ca="1" si="474"/>
        <v>0</v>
      </c>
      <c r="UH9" s="220">
        <f t="shared" ca="1" si="475"/>
        <v>0</v>
      </c>
      <c r="UI9" s="235">
        <f t="shared" ca="1" si="476"/>
        <v>0</v>
      </c>
      <c r="UJ9" s="235">
        <f t="shared" ca="1" si="477"/>
        <v>0</v>
      </c>
      <c r="UK9" s="242">
        <f t="shared" ca="1" si="478"/>
        <v>0</v>
      </c>
      <c r="UL9" s="241">
        <f t="shared" ca="1" si="443"/>
        <v>1</v>
      </c>
      <c r="UM9" s="220">
        <f t="shared" ca="1" si="479"/>
        <v>0</v>
      </c>
      <c r="UN9" s="220">
        <f t="shared" ca="1" si="480"/>
        <v>0</v>
      </c>
      <c r="UO9" s="235">
        <f t="shared" ca="1" si="481"/>
        <v>0</v>
      </c>
      <c r="UP9" s="235">
        <f t="shared" ca="1" si="482"/>
        <v>0</v>
      </c>
      <c r="UQ9" s="242">
        <f t="shared" ca="1" si="483"/>
        <v>0</v>
      </c>
      <c r="UR9" s="241">
        <f t="shared" ca="1" si="443"/>
        <v>1</v>
      </c>
      <c r="US9" s="220">
        <f t="shared" ca="1" si="484"/>
        <v>0</v>
      </c>
      <c r="UT9" s="220">
        <f t="shared" ca="1" si="485"/>
        <v>0</v>
      </c>
      <c r="UU9" s="235">
        <f t="shared" ca="1" si="486"/>
        <v>0</v>
      </c>
      <c r="UV9" s="235">
        <f t="shared" ca="1" si="487"/>
        <v>0</v>
      </c>
      <c r="UW9" s="242">
        <f t="shared" ca="1" si="488"/>
        <v>0</v>
      </c>
      <c r="UX9" s="241">
        <f t="shared" ca="1" si="443"/>
        <v>1</v>
      </c>
      <c r="UY9" s="220">
        <f t="shared" ca="1" si="489"/>
        <v>0</v>
      </c>
      <c r="UZ9" s="220">
        <f t="shared" ca="1" si="490"/>
        <v>0</v>
      </c>
      <c r="VA9" s="235">
        <f t="shared" ca="1" si="491"/>
        <v>0</v>
      </c>
      <c r="VB9" s="235">
        <f t="shared" ca="1" si="492"/>
        <v>0</v>
      </c>
      <c r="VC9" s="242">
        <f t="shared" ca="1" si="493"/>
        <v>0</v>
      </c>
      <c r="VD9" s="241">
        <f t="shared" ca="1" si="443"/>
        <v>1</v>
      </c>
      <c r="VE9" s="220">
        <f t="shared" ca="1" si="494"/>
        <v>0</v>
      </c>
      <c r="VF9" s="220">
        <f t="shared" ca="1" si="495"/>
        <v>0</v>
      </c>
      <c r="VG9" s="235">
        <f t="shared" ca="1" si="496"/>
        <v>0</v>
      </c>
      <c r="VH9" s="235">
        <f t="shared" ca="1" si="497"/>
        <v>0</v>
      </c>
      <c r="VI9" s="242">
        <f t="shared" ca="1" si="498"/>
        <v>0</v>
      </c>
      <c r="VJ9" s="241">
        <f t="shared" ca="1" si="499"/>
        <v>1</v>
      </c>
      <c r="VK9" s="220">
        <f t="shared" ca="1" si="500"/>
        <v>0</v>
      </c>
      <c r="VL9" s="220">
        <f t="shared" ca="1" si="501"/>
        <v>0</v>
      </c>
      <c r="VM9" s="235">
        <f t="shared" ca="1" si="502"/>
        <v>0</v>
      </c>
      <c r="VN9" s="235">
        <f t="shared" ca="1" si="503"/>
        <v>0</v>
      </c>
      <c r="VO9" s="242">
        <f t="shared" ca="1" si="504"/>
        <v>0</v>
      </c>
      <c r="VP9" s="241">
        <f t="shared" ca="1" si="499"/>
        <v>1</v>
      </c>
      <c r="VQ9" s="220">
        <f t="shared" ca="1" si="505"/>
        <v>0</v>
      </c>
      <c r="VR9" s="220">
        <f t="shared" ca="1" si="506"/>
        <v>0</v>
      </c>
      <c r="VS9" s="235">
        <f t="shared" ca="1" si="507"/>
        <v>0</v>
      </c>
      <c r="VT9" s="235">
        <f t="shared" ca="1" si="508"/>
        <v>0</v>
      </c>
      <c r="VU9" s="242">
        <f t="shared" ca="1" si="509"/>
        <v>0</v>
      </c>
      <c r="VV9" s="241">
        <f t="shared" ca="1" si="499"/>
        <v>1</v>
      </c>
      <c r="VW9" s="220">
        <f t="shared" ca="1" si="510"/>
        <v>0</v>
      </c>
      <c r="VX9" s="220">
        <f t="shared" ca="1" si="511"/>
        <v>0</v>
      </c>
      <c r="VY9" s="235">
        <f t="shared" ca="1" si="512"/>
        <v>0</v>
      </c>
      <c r="VZ9" s="235">
        <f t="shared" ca="1" si="513"/>
        <v>0</v>
      </c>
      <c r="WA9" s="242">
        <f t="shared" ca="1" si="514"/>
        <v>0</v>
      </c>
      <c r="WB9" s="241">
        <f t="shared" ca="1" si="499"/>
        <v>1</v>
      </c>
      <c r="WC9" s="220">
        <f t="shared" ca="1" si="515"/>
        <v>0</v>
      </c>
      <c r="WD9" s="220">
        <f t="shared" ca="1" si="516"/>
        <v>0</v>
      </c>
      <c r="WE9" s="235">
        <f t="shared" ca="1" si="517"/>
        <v>0</v>
      </c>
      <c r="WF9" s="235">
        <f t="shared" ca="1" si="518"/>
        <v>0</v>
      </c>
      <c r="WG9" s="242">
        <f t="shared" ca="1" si="519"/>
        <v>0</v>
      </c>
      <c r="WH9" s="241">
        <f t="shared" ca="1" si="499"/>
        <v>1</v>
      </c>
      <c r="WI9" s="220">
        <f t="shared" ca="1" si="520"/>
        <v>0</v>
      </c>
      <c r="WJ9" s="220">
        <f t="shared" ca="1" si="521"/>
        <v>0</v>
      </c>
      <c r="WK9" s="235">
        <f t="shared" ca="1" si="522"/>
        <v>0</v>
      </c>
      <c r="WL9" s="235">
        <f t="shared" ca="1" si="523"/>
        <v>0</v>
      </c>
      <c r="WM9" s="242">
        <f t="shared" ca="1" si="524"/>
        <v>0</v>
      </c>
      <c r="WN9" s="241">
        <f t="shared" ca="1" si="499"/>
        <v>1</v>
      </c>
      <c r="WO9" s="220">
        <f t="shared" ca="1" si="525"/>
        <v>0</v>
      </c>
      <c r="WP9" s="220">
        <f t="shared" ca="1" si="526"/>
        <v>0</v>
      </c>
      <c r="WQ9" s="235">
        <f t="shared" ca="1" si="527"/>
        <v>0</v>
      </c>
      <c r="WR9" s="235">
        <f t="shared" ca="1" si="528"/>
        <v>0</v>
      </c>
      <c r="WS9" s="242">
        <f t="shared" ca="1" si="529"/>
        <v>0</v>
      </c>
      <c r="WT9" s="241">
        <f t="shared" ca="1" si="499"/>
        <v>1</v>
      </c>
      <c r="WU9" s="220">
        <f t="shared" ca="1" si="530"/>
        <v>0</v>
      </c>
      <c r="WV9" s="220">
        <f t="shared" ca="1" si="531"/>
        <v>0</v>
      </c>
      <c r="WW9" s="235">
        <f t="shared" ca="1" si="532"/>
        <v>0</v>
      </c>
      <c r="WX9" s="235">
        <f t="shared" ca="1" si="533"/>
        <v>0</v>
      </c>
      <c r="WY9" s="242">
        <f t="shared" ca="1" si="534"/>
        <v>0</v>
      </c>
      <c r="WZ9" s="241">
        <f t="shared" ca="1" si="499"/>
        <v>1</v>
      </c>
      <c r="XA9" s="220">
        <f t="shared" ca="1" si="535"/>
        <v>0</v>
      </c>
      <c r="XB9" s="220">
        <f t="shared" ca="1" si="536"/>
        <v>0</v>
      </c>
      <c r="XC9" s="235">
        <f t="shared" ca="1" si="537"/>
        <v>0</v>
      </c>
      <c r="XD9" s="235">
        <f t="shared" ca="1" si="538"/>
        <v>0</v>
      </c>
      <c r="XE9" s="242">
        <f t="shared" ca="1" si="539"/>
        <v>0</v>
      </c>
      <c r="XF9" s="241">
        <f t="shared" ca="1" si="499"/>
        <v>1</v>
      </c>
      <c r="XG9" s="220">
        <f t="shared" ca="1" si="540"/>
        <v>0</v>
      </c>
      <c r="XH9" s="220">
        <f t="shared" ca="1" si="541"/>
        <v>0</v>
      </c>
      <c r="XI9" s="235">
        <f t="shared" ca="1" si="542"/>
        <v>0</v>
      </c>
      <c r="XJ9" s="235">
        <f t="shared" ca="1" si="543"/>
        <v>0</v>
      </c>
      <c r="XK9" s="242">
        <f t="shared" ca="1" si="544"/>
        <v>0</v>
      </c>
    </row>
    <row r="10" spans="1:635" x14ac:dyDescent="0.25">
      <c r="B10" s="65">
        <f t="shared" ca="1" si="14"/>
        <v>2025</v>
      </c>
      <c r="C10" s="65" t="s">
        <v>741</v>
      </c>
      <c r="D10" s="77">
        <f t="shared" si="15"/>
        <v>0</v>
      </c>
      <c r="E10" s="77">
        <f t="shared" si="16"/>
        <v>0</v>
      </c>
      <c r="F10" s="77">
        <f t="shared" si="17"/>
        <v>0</v>
      </c>
      <c r="G10" s="77">
        <f t="shared" si="18"/>
        <v>0</v>
      </c>
      <c r="H10" s="15" t="e">
        <f t="shared" ca="1" si="19"/>
        <v>#REF!</v>
      </c>
      <c r="L10" s="326">
        <f t="shared" ca="1" si="20"/>
        <v>3.5000000000000003E-2</v>
      </c>
      <c r="M10" s="327">
        <f t="shared" ca="1" si="21"/>
        <v>3.5000000000000003E-2</v>
      </c>
      <c r="N10" s="322">
        <f t="shared" ca="1" si="22"/>
        <v>-2</v>
      </c>
      <c r="O10" s="322">
        <f t="shared" ca="1" si="23"/>
        <v>9</v>
      </c>
      <c r="P10" s="328">
        <f t="shared" ca="1" si="545"/>
        <v>7.8739555366785714</v>
      </c>
      <c r="Q10" s="328">
        <f t="shared" ca="1" si="546"/>
        <v>7.8739555366785714</v>
      </c>
      <c r="R10" s="328">
        <f t="shared" ca="1" si="547"/>
        <v>7.8739555366785714</v>
      </c>
      <c r="S10" s="329">
        <f t="shared" ca="1" si="24"/>
        <v>3.4999999999999871E-2</v>
      </c>
      <c r="T10" s="329">
        <f t="shared" ca="1" si="25"/>
        <v>3.4999999999999871E-2</v>
      </c>
      <c r="U10" s="329">
        <f t="shared" ca="1" si="26"/>
        <v>3.4999999999999871E-2</v>
      </c>
      <c r="V10" s="320" t="e">
        <f t="shared" ca="1" si="27"/>
        <v>#REF!</v>
      </c>
      <c r="W10" s="320" t="e">
        <f t="shared" ca="1" si="28"/>
        <v>#REF!</v>
      </c>
      <c r="X10" s="320" t="e">
        <f t="shared" ca="1" si="29"/>
        <v>#REF!</v>
      </c>
      <c r="Y10" s="320" t="e">
        <f ca="1">INDEX(SC_ZA_HECMLumpSum,ZAIDX)</f>
        <v>#REF!</v>
      </c>
      <c r="Z10" s="320" t="e">
        <f t="shared" ca="1" si="30"/>
        <v>#REF!</v>
      </c>
      <c r="AA10" s="320" t="e">
        <f t="shared" ca="1" si="31"/>
        <v>#REF!</v>
      </c>
      <c r="AB10" s="320" t="e">
        <f t="shared" ca="1" si="32"/>
        <v>#REF!</v>
      </c>
      <c r="AC10" s="330" t="e">
        <f t="shared" ca="1" si="33"/>
        <v>#REF!</v>
      </c>
      <c r="AD10" s="236" t="e">
        <f t="shared" ca="1" si="548"/>
        <v>#REF!</v>
      </c>
      <c r="AE10" s="320" t="e">
        <f t="shared" ca="1" si="34"/>
        <v>#REF!</v>
      </c>
      <c r="AF10" s="320" t="e">
        <f t="shared" ca="1" si="35"/>
        <v>#REF!</v>
      </c>
      <c r="AG10" s="320" t="e">
        <f t="shared" ca="1" si="549"/>
        <v>#REF!</v>
      </c>
      <c r="AH10" s="284" t="e">
        <f t="shared" ca="1" si="550"/>
        <v>#REF!</v>
      </c>
      <c r="AI10" s="318" t="e">
        <f t="shared" ca="1" si="551"/>
        <v>#REF!</v>
      </c>
      <c r="AJ10" s="331">
        <f t="shared" ca="1" si="552"/>
        <v>1</v>
      </c>
      <c r="AK10" s="220">
        <f t="shared" ca="1" si="553"/>
        <v>0</v>
      </c>
      <c r="AL10" s="220">
        <f t="shared" ca="1" si="37"/>
        <v>0</v>
      </c>
      <c r="AM10" s="235">
        <f t="shared" ca="1" si="554"/>
        <v>1</v>
      </c>
      <c r="AN10" s="235">
        <f t="shared" ca="1" si="555"/>
        <v>1</v>
      </c>
      <c r="AO10" s="242">
        <f t="shared" ca="1" si="556"/>
        <v>1</v>
      </c>
      <c r="AP10" s="241">
        <f t="shared" ca="1" si="552"/>
        <v>1</v>
      </c>
      <c r="AQ10" s="220">
        <f t="shared" ca="1" si="41"/>
        <v>0</v>
      </c>
      <c r="AR10" s="220">
        <f t="shared" ca="1" si="42"/>
        <v>0</v>
      </c>
      <c r="AS10" s="235">
        <f t="shared" ca="1" si="43"/>
        <v>0.96618357487922713</v>
      </c>
      <c r="AT10" s="235">
        <f t="shared" ca="1" si="44"/>
        <v>0.96618357487922713</v>
      </c>
      <c r="AU10" s="242">
        <f t="shared" ca="1" si="45"/>
        <v>0.96618357487922713</v>
      </c>
      <c r="AV10" s="241">
        <f t="shared" ca="1" si="552"/>
        <v>1</v>
      </c>
      <c r="AW10" s="220">
        <f t="shared" ca="1" si="46"/>
        <v>0</v>
      </c>
      <c r="AX10" s="220">
        <f t="shared" ca="1" si="47"/>
        <v>0</v>
      </c>
      <c r="AY10" s="235">
        <f t="shared" ca="1" si="48"/>
        <v>0.93351070036640305</v>
      </c>
      <c r="AZ10" s="235">
        <f t="shared" ca="1" si="49"/>
        <v>0.93351070036640305</v>
      </c>
      <c r="BA10" s="242">
        <f t="shared" ca="1" si="50"/>
        <v>0.93351070036640305</v>
      </c>
      <c r="BB10" s="241">
        <f t="shared" ca="1" si="552"/>
        <v>1</v>
      </c>
      <c r="BC10" s="220">
        <f t="shared" ca="1" si="52"/>
        <v>0</v>
      </c>
      <c r="BD10" s="220">
        <f t="shared" ca="1" si="53"/>
        <v>0</v>
      </c>
      <c r="BE10" s="235">
        <f t="shared" ca="1" si="54"/>
        <v>0.90194270566802237</v>
      </c>
      <c r="BF10" s="235">
        <f t="shared" ca="1" si="55"/>
        <v>0.90194270566802237</v>
      </c>
      <c r="BG10" s="242">
        <f t="shared" ca="1" si="56"/>
        <v>0.90194270566802237</v>
      </c>
      <c r="BH10" s="241">
        <f t="shared" ca="1" si="552"/>
        <v>1</v>
      </c>
      <c r="BI10" s="220">
        <f t="shared" ca="1" si="57"/>
        <v>0</v>
      </c>
      <c r="BJ10" s="220">
        <f t="shared" ca="1" si="58"/>
        <v>0</v>
      </c>
      <c r="BK10" s="235">
        <f t="shared" ca="1" si="59"/>
        <v>0.87144222769857238</v>
      </c>
      <c r="BL10" s="235">
        <f t="shared" ca="1" si="60"/>
        <v>0.87144222769857238</v>
      </c>
      <c r="BM10" s="242">
        <f t="shared" ca="1" si="61"/>
        <v>0.87144222769857238</v>
      </c>
      <c r="BN10" s="241">
        <f t="shared" ca="1" si="552"/>
        <v>1</v>
      </c>
      <c r="BO10" s="220">
        <f t="shared" ca="1" si="62"/>
        <v>0</v>
      </c>
      <c r="BP10" s="220">
        <f t="shared" ca="1" si="63"/>
        <v>0</v>
      </c>
      <c r="BQ10" s="235">
        <f t="shared" ca="1" si="64"/>
        <v>0.84197316685852419</v>
      </c>
      <c r="BR10" s="235">
        <f t="shared" ca="1" si="65"/>
        <v>0.84197316685852419</v>
      </c>
      <c r="BS10" s="242">
        <f t="shared" ca="1" si="66"/>
        <v>0.84197316685852419</v>
      </c>
      <c r="BT10" s="241">
        <f t="shared" ca="1" si="552"/>
        <v>1</v>
      </c>
      <c r="BU10" s="220">
        <f t="shared" ca="1" si="67"/>
        <v>0</v>
      </c>
      <c r="BV10" s="220">
        <f t="shared" ca="1" si="68"/>
        <v>0</v>
      </c>
      <c r="BW10" s="235">
        <f t="shared" ca="1" si="69"/>
        <v>0.81350064430775282</v>
      </c>
      <c r="BX10" s="235">
        <f t="shared" ca="1" si="70"/>
        <v>0.81350064430775282</v>
      </c>
      <c r="BY10" s="242">
        <f t="shared" ca="1" si="71"/>
        <v>0.81350064430775282</v>
      </c>
      <c r="BZ10" s="241">
        <f t="shared" ca="1" si="552"/>
        <v>1</v>
      </c>
      <c r="CA10" s="220">
        <f t="shared" ca="1" si="72"/>
        <v>0</v>
      </c>
      <c r="CB10" s="220">
        <f t="shared" ca="1" si="73"/>
        <v>0</v>
      </c>
      <c r="CC10" s="235">
        <f t="shared" ca="1" si="74"/>
        <v>0.78599096068381913</v>
      </c>
      <c r="CD10" s="235">
        <f t="shared" ca="1" si="75"/>
        <v>0.78599096068381913</v>
      </c>
      <c r="CE10" s="242">
        <f t="shared" ca="1" si="76"/>
        <v>0.78599096068381913</v>
      </c>
      <c r="CF10" s="241">
        <f t="shared" ca="1" si="552"/>
        <v>1</v>
      </c>
      <c r="CG10" s="220">
        <f t="shared" ca="1" si="77"/>
        <v>0</v>
      </c>
      <c r="CH10" s="220">
        <f t="shared" ca="1" si="78"/>
        <v>0</v>
      </c>
      <c r="CI10" s="235">
        <f t="shared" ca="1" si="79"/>
        <v>0.75941155621625056</v>
      </c>
      <c r="CJ10" s="235">
        <f t="shared" ca="1" si="80"/>
        <v>0.75941155621625056</v>
      </c>
      <c r="CK10" s="242">
        <f t="shared" ca="1" si="81"/>
        <v>0.75941155621625056</v>
      </c>
      <c r="CL10" s="241">
        <f t="shared" ca="1" si="552"/>
        <v>1</v>
      </c>
      <c r="CM10" s="220">
        <f t="shared" ca="1" si="82"/>
        <v>0</v>
      </c>
      <c r="CN10" s="220">
        <f t="shared" ca="1" si="83"/>
        <v>0</v>
      </c>
      <c r="CO10" s="235">
        <f t="shared" ca="1" si="84"/>
        <v>0</v>
      </c>
      <c r="CP10" s="235">
        <f t="shared" ca="1" si="85"/>
        <v>0</v>
      </c>
      <c r="CQ10" s="242">
        <f t="shared" ca="1" si="86"/>
        <v>0</v>
      </c>
      <c r="CR10" s="241">
        <f t="shared" ca="1" si="552"/>
        <v>1</v>
      </c>
      <c r="CS10" s="220">
        <f t="shared" ca="1" si="87"/>
        <v>0</v>
      </c>
      <c r="CT10" s="220">
        <f t="shared" ca="1" si="88"/>
        <v>0</v>
      </c>
      <c r="CU10" s="235">
        <f t="shared" ca="1" si="89"/>
        <v>0</v>
      </c>
      <c r="CV10" s="235">
        <f t="shared" ca="1" si="90"/>
        <v>0</v>
      </c>
      <c r="CW10" s="242">
        <f t="shared" ca="1" si="91"/>
        <v>0</v>
      </c>
      <c r="CX10" s="241">
        <f t="shared" ca="1" si="51"/>
        <v>1</v>
      </c>
      <c r="CY10" s="220">
        <f t="shared" ca="1" si="92"/>
        <v>0</v>
      </c>
      <c r="CZ10" s="220">
        <f t="shared" ca="1" si="93"/>
        <v>0</v>
      </c>
      <c r="DA10" s="235">
        <f t="shared" ca="1" si="94"/>
        <v>0</v>
      </c>
      <c r="DB10" s="235">
        <f t="shared" ca="1" si="95"/>
        <v>0</v>
      </c>
      <c r="DC10" s="242">
        <f t="shared" ca="1" si="96"/>
        <v>0</v>
      </c>
      <c r="DD10" s="241">
        <f t="shared" ca="1" si="51"/>
        <v>1</v>
      </c>
      <c r="DE10" s="220">
        <f t="shared" ca="1" si="97"/>
        <v>0</v>
      </c>
      <c r="DF10" s="220">
        <f t="shared" ca="1" si="98"/>
        <v>0</v>
      </c>
      <c r="DG10" s="235">
        <f t="shared" ca="1" si="99"/>
        <v>0</v>
      </c>
      <c r="DH10" s="235">
        <f t="shared" ca="1" si="100"/>
        <v>0</v>
      </c>
      <c r="DI10" s="242">
        <f t="shared" ca="1" si="101"/>
        <v>0</v>
      </c>
      <c r="DJ10" s="241">
        <f t="shared" ca="1" si="51"/>
        <v>1</v>
      </c>
      <c r="DK10" s="220">
        <f t="shared" ca="1" si="102"/>
        <v>0</v>
      </c>
      <c r="DL10" s="220">
        <f t="shared" ca="1" si="103"/>
        <v>0</v>
      </c>
      <c r="DM10" s="235">
        <f t="shared" ca="1" si="104"/>
        <v>0</v>
      </c>
      <c r="DN10" s="235">
        <f t="shared" ca="1" si="105"/>
        <v>0</v>
      </c>
      <c r="DO10" s="242">
        <f t="shared" ca="1" si="106"/>
        <v>0</v>
      </c>
      <c r="DP10" s="241">
        <f t="shared" ca="1" si="107"/>
        <v>1</v>
      </c>
      <c r="DQ10" s="220">
        <f t="shared" ca="1" si="108"/>
        <v>0</v>
      </c>
      <c r="DR10" s="220">
        <f t="shared" ca="1" si="109"/>
        <v>0</v>
      </c>
      <c r="DS10" s="235">
        <f t="shared" ca="1" si="110"/>
        <v>0</v>
      </c>
      <c r="DT10" s="235">
        <f t="shared" ca="1" si="111"/>
        <v>0</v>
      </c>
      <c r="DU10" s="242">
        <f t="shared" ca="1" si="112"/>
        <v>0</v>
      </c>
      <c r="DV10" s="241">
        <f t="shared" ca="1" si="107"/>
        <v>1</v>
      </c>
      <c r="DW10" s="220">
        <f t="shared" ca="1" si="113"/>
        <v>0</v>
      </c>
      <c r="DX10" s="220">
        <f t="shared" ca="1" si="114"/>
        <v>0</v>
      </c>
      <c r="DY10" s="235">
        <f t="shared" ca="1" si="115"/>
        <v>0</v>
      </c>
      <c r="DZ10" s="235">
        <f t="shared" ca="1" si="116"/>
        <v>0</v>
      </c>
      <c r="EA10" s="242">
        <f t="shared" ca="1" si="117"/>
        <v>0</v>
      </c>
      <c r="EB10" s="241">
        <f t="shared" ca="1" si="107"/>
        <v>1</v>
      </c>
      <c r="EC10" s="220">
        <f t="shared" ca="1" si="118"/>
        <v>0</v>
      </c>
      <c r="ED10" s="220">
        <f t="shared" ca="1" si="119"/>
        <v>0</v>
      </c>
      <c r="EE10" s="235">
        <f t="shared" ca="1" si="120"/>
        <v>0</v>
      </c>
      <c r="EF10" s="235">
        <f t="shared" ca="1" si="121"/>
        <v>0</v>
      </c>
      <c r="EG10" s="242">
        <f t="shared" ca="1" si="122"/>
        <v>0</v>
      </c>
      <c r="EH10" s="241">
        <f t="shared" ca="1" si="107"/>
        <v>1</v>
      </c>
      <c r="EI10" s="220">
        <f t="shared" ca="1" si="123"/>
        <v>0</v>
      </c>
      <c r="EJ10" s="220">
        <f t="shared" ca="1" si="124"/>
        <v>0</v>
      </c>
      <c r="EK10" s="235">
        <f t="shared" ca="1" si="125"/>
        <v>0</v>
      </c>
      <c r="EL10" s="235">
        <f t="shared" ca="1" si="126"/>
        <v>0</v>
      </c>
      <c r="EM10" s="242">
        <f t="shared" ca="1" si="127"/>
        <v>0</v>
      </c>
      <c r="EN10" s="241">
        <f t="shared" ca="1" si="107"/>
        <v>1</v>
      </c>
      <c r="EO10" s="220">
        <f t="shared" ca="1" si="128"/>
        <v>0</v>
      </c>
      <c r="EP10" s="220">
        <f t="shared" ca="1" si="129"/>
        <v>0</v>
      </c>
      <c r="EQ10" s="235">
        <f t="shared" ca="1" si="130"/>
        <v>0</v>
      </c>
      <c r="ER10" s="235">
        <f t="shared" ca="1" si="131"/>
        <v>0</v>
      </c>
      <c r="ES10" s="242">
        <f t="shared" ca="1" si="132"/>
        <v>0</v>
      </c>
      <c r="ET10" s="241">
        <f t="shared" ca="1" si="107"/>
        <v>1</v>
      </c>
      <c r="EU10" s="220">
        <f t="shared" ca="1" si="133"/>
        <v>0</v>
      </c>
      <c r="EV10" s="220">
        <f t="shared" ca="1" si="134"/>
        <v>0</v>
      </c>
      <c r="EW10" s="235">
        <f t="shared" ca="1" si="135"/>
        <v>0</v>
      </c>
      <c r="EX10" s="235">
        <f t="shared" ca="1" si="136"/>
        <v>0</v>
      </c>
      <c r="EY10" s="242">
        <f t="shared" ca="1" si="137"/>
        <v>0</v>
      </c>
      <c r="EZ10" s="241">
        <f t="shared" ca="1" si="107"/>
        <v>1</v>
      </c>
      <c r="FA10" s="220">
        <f t="shared" ca="1" si="138"/>
        <v>0</v>
      </c>
      <c r="FB10" s="220">
        <f t="shared" ca="1" si="139"/>
        <v>0</v>
      </c>
      <c r="FC10" s="235">
        <f t="shared" ca="1" si="140"/>
        <v>0</v>
      </c>
      <c r="FD10" s="235">
        <f t="shared" ca="1" si="141"/>
        <v>0</v>
      </c>
      <c r="FE10" s="242">
        <f t="shared" ca="1" si="142"/>
        <v>0</v>
      </c>
      <c r="FF10" s="241">
        <f t="shared" ca="1" si="107"/>
        <v>1</v>
      </c>
      <c r="FG10" s="220">
        <f t="shared" ca="1" si="143"/>
        <v>0</v>
      </c>
      <c r="FH10" s="220">
        <f t="shared" ca="1" si="144"/>
        <v>0</v>
      </c>
      <c r="FI10" s="235">
        <f t="shared" ca="1" si="145"/>
        <v>0</v>
      </c>
      <c r="FJ10" s="235">
        <f t="shared" ca="1" si="146"/>
        <v>0</v>
      </c>
      <c r="FK10" s="242">
        <f t="shared" ca="1" si="147"/>
        <v>0</v>
      </c>
      <c r="FL10" s="241">
        <f t="shared" ca="1" si="107"/>
        <v>1</v>
      </c>
      <c r="FM10" s="220">
        <f t="shared" ca="1" si="148"/>
        <v>0</v>
      </c>
      <c r="FN10" s="220">
        <f t="shared" ca="1" si="149"/>
        <v>0</v>
      </c>
      <c r="FO10" s="235">
        <f t="shared" ca="1" si="150"/>
        <v>0</v>
      </c>
      <c r="FP10" s="235">
        <f t="shared" ca="1" si="151"/>
        <v>0</v>
      </c>
      <c r="FQ10" s="242">
        <f t="shared" ca="1" si="152"/>
        <v>0</v>
      </c>
      <c r="FR10" s="241">
        <f t="shared" ca="1" si="107"/>
        <v>1</v>
      </c>
      <c r="FS10" s="220">
        <f t="shared" ca="1" si="153"/>
        <v>0</v>
      </c>
      <c r="FT10" s="220">
        <f t="shared" ca="1" si="154"/>
        <v>0</v>
      </c>
      <c r="FU10" s="235">
        <f t="shared" ca="1" si="155"/>
        <v>0</v>
      </c>
      <c r="FV10" s="235">
        <f t="shared" ca="1" si="156"/>
        <v>0</v>
      </c>
      <c r="FW10" s="242">
        <f t="shared" ca="1" si="157"/>
        <v>0</v>
      </c>
      <c r="FX10" s="241">
        <f t="shared" ca="1" si="107"/>
        <v>1</v>
      </c>
      <c r="FY10" s="220">
        <f t="shared" ca="1" si="158"/>
        <v>0</v>
      </c>
      <c r="FZ10" s="220">
        <f t="shared" ca="1" si="159"/>
        <v>0</v>
      </c>
      <c r="GA10" s="235">
        <f t="shared" ca="1" si="160"/>
        <v>0</v>
      </c>
      <c r="GB10" s="235">
        <f t="shared" ca="1" si="161"/>
        <v>0</v>
      </c>
      <c r="GC10" s="242">
        <f t="shared" ca="1" si="162"/>
        <v>0</v>
      </c>
      <c r="GD10" s="241">
        <f t="shared" ca="1" si="163"/>
        <v>1</v>
      </c>
      <c r="GE10" s="220">
        <f t="shared" ca="1" si="164"/>
        <v>0</v>
      </c>
      <c r="GF10" s="220">
        <f t="shared" ca="1" si="165"/>
        <v>0</v>
      </c>
      <c r="GG10" s="235">
        <f t="shared" ca="1" si="166"/>
        <v>0</v>
      </c>
      <c r="GH10" s="235">
        <f t="shared" ca="1" si="167"/>
        <v>0</v>
      </c>
      <c r="GI10" s="242">
        <f t="shared" ca="1" si="168"/>
        <v>0</v>
      </c>
      <c r="GJ10" s="241">
        <f t="shared" ca="1" si="163"/>
        <v>1</v>
      </c>
      <c r="GK10" s="220">
        <f t="shared" ca="1" si="169"/>
        <v>0</v>
      </c>
      <c r="GL10" s="220">
        <f t="shared" ca="1" si="170"/>
        <v>0</v>
      </c>
      <c r="GM10" s="235">
        <f t="shared" ca="1" si="171"/>
        <v>0</v>
      </c>
      <c r="GN10" s="235">
        <f t="shared" ca="1" si="172"/>
        <v>0</v>
      </c>
      <c r="GO10" s="242">
        <f t="shared" ca="1" si="173"/>
        <v>0</v>
      </c>
      <c r="GP10" s="241">
        <f t="shared" ca="1" si="163"/>
        <v>1</v>
      </c>
      <c r="GQ10" s="220">
        <f t="shared" ca="1" si="174"/>
        <v>0</v>
      </c>
      <c r="GR10" s="220">
        <f t="shared" ca="1" si="175"/>
        <v>0</v>
      </c>
      <c r="GS10" s="235">
        <f t="shared" ca="1" si="176"/>
        <v>0</v>
      </c>
      <c r="GT10" s="235">
        <f t="shared" ca="1" si="177"/>
        <v>0</v>
      </c>
      <c r="GU10" s="242">
        <f t="shared" ca="1" si="178"/>
        <v>0</v>
      </c>
      <c r="GV10" s="241">
        <f t="shared" ca="1" si="163"/>
        <v>1</v>
      </c>
      <c r="GW10" s="220">
        <f t="shared" ca="1" si="179"/>
        <v>0</v>
      </c>
      <c r="GX10" s="220">
        <f t="shared" ca="1" si="180"/>
        <v>0</v>
      </c>
      <c r="GY10" s="235">
        <f t="shared" ca="1" si="181"/>
        <v>0</v>
      </c>
      <c r="GZ10" s="235">
        <f t="shared" ca="1" si="182"/>
        <v>0</v>
      </c>
      <c r="HA10" s="242">
        <f t="shared" ca="1" si="183"/>
        <v>0</v>
      </c>
      <c r="HB10" s="241">
        <f t="shared" ca="1" si="163"/>
        <v>1</v>
      </c>
      <c r="HC10" s="220">
        <f t="shared" ca="1" si="184"/>
        <v>0</v>
      </c>
      <c r="HD10" s="220">
        <f t="shared" ca="1" si="185"/>
        <v>0</v>
      </c>
      <c r="HE10" s="235">
        <f t="shared" ca="1" si="186"/>
        <v>0</v>
      </c>
      <c r="HF10" s="235">
        <f t="shared" ca="1" si="187"/>
        <v>0</v>
      </c>
      <c r="HG10" s="242">
        <f t="shared" ca="1" si="188"/>
        <v>0</v>
      </c>
      <c r="HH10" s="241">
        <f t="shared" ca="1" si="163"/>
        <v>1</v>
      </c>
      <c r="HI10" s="220">
        <f t="shared" ca="1" si="189"/>
        <v>0</v>
      </c>
      <c r="HJ10" s="220">
        <f t="shared" ca="1" si="190"/>
        <v>0</v>
      </c>
      <c r="HK10" s="235">
        <f t="shared" ca="1" si="191"/>
        <v>0</v>
      </c>
      <c r="HL10" s="235">
        <f t="shared" ca="1" si="192"/>
        <v>0</v>
      </c>
      <c r="HM10" s="242">
        <f t="shared" ca="1" si="193"/>
        <v>0</v>
      </c>
      <c r="HN10" s="241">
        <f t="shared" ca="1" si="163"/>
        <v>1</v>
      </c>
      <c r="HO10" s="220">
        <f t="shared" ca="1" si="194"/>
        <v>0</v>
      </c>
      <c r="HP10" s="220">
        <f t="shared" ca="1" si="195"/>
        <v>0</v>
      </c>
      <c r="HQ10" s="235">
        <f t="shared" ca="1" si="196"/>
        <v>0</v>
      </c>
      <c r="HR10" s="235">
        <f t="shared" ca="1" si="197"/>
        <v>0</v>
      </c>
      <c r="HS10" s="242">
        <f t="shared" ca="1" si="198"/>
        <v>0</v>
      </c>
      <c r="HT10" s="241">
        <f t="shared" ca="1" si="163"/>
        <v>1</v>
      </c>
      <c r="HU10" s="220">
        <f t="shared" ca="1" si="199"/>
        <v>0</v>
      </c>
      <c r="HV10" s="220">
        <f t="shared" ca="1" si="200"/>
        <v>0</v>
      </c>
      <c r="HW10" s="235">
        <f t="shared" ca="1" si="201"/>
        <v>0</v>
      </c>
      <c r="HX10" s="235">
        <f t="shared" ca="1" si="202"/>
        <v>0</v>
      </c>
      <c r="HY10" s="242">
        <f t="shared" ca="1" si="203"/>
        <v>0</v>
      </c>
      <c r="HZ10" s="241">
        <f t="shared" ca="1" si="163"/>
        <v>1</v>
      </c>
      <c r="IA10" s="220">
        <f t="shared" ca="1" si="204"/>
        <v>0</v>
      </c>
      <c r="IB10" s="220">
        <f t="shared" ca="1" si="205"/>
        <v>0</v>
      </c>
      <c r="IC10" s="235">
        <f t="shared" ca="1" si="206"/>
        <v>0</v>
      </c>
      <c r="ID10" s="235">
        <f t="shared" ca="1" si="207"/>
        <v>0</v>
      </c>
      <c r="IE10" s="242">
        <f t="shared" ca="1" si="208"/>
        <v>0</v>
      </c>
      <c r="IF10" s="241">
        <f t="shared" ca="1" si="163"/>
        <v>1</v>
      </c>
      <c r="IG10" s="220">
        <f t="shared" ca="1" si="209"/>
        <v>0</v>
      </c>
      <c r="IH10" s="220">
        <f t="shared" ca="1" si="210"/>
        <v>0</v>
      </c>
      <c r="II10" s="235">
        <f t="shared" ca="1" si="211"/>
        <v>0</v>
      </c>
      <c r="IJ10" s="235">
        <f t="shared" ca="1" si="212"/>
        <v>0</v>
      </c>
      <c r="IK10" s="242">
        <f t="shared" ca="1" si="213"/>
        <v>0</v>
      </c>
      <c r="IL10" s="241">
        <f t="shared" ca="1" si="163"/>
        <v>1</v>
      </c>
      <c r="IM10" s="220">
        <f t="shared" ca="1" si="214"/>
        <v>0</v>
      </c>
      <c r="IN10" s="220">
        <f t="shared" ca="1" si="215"/>
        <v>0</v>
      </c>
      <c r="IO10" s="235">
        <f t="shared" ca="1" si="216"/>
        <v>0</v>
      </c>
      <c r="IP10" s="235">
        <f t="shared" ca="1" si="217"/>
        <v>0</v>
      </c>
      <c r="IQ10" s="242">
        <f t="shared" ca="1" si="218"/>
        <v>0</v>
      </c>
      <c r="IR10" s="241">
        <f t="shared" ca="1" si="219"/>
        <v>1</v>
      </c>
      <c r="IS10" s="220">
        <f t="shared" ca="1" si="220"/>
        <v>0</v>
      </c>
      <c r="IT10" s="220">
        <f t="shared" ca="1" si="221"/>
        <v>0</v>
      </c>
      <c r="IU10" s="235">
        <f t="shared" ca="1" si="222"/>
        <v>0</v>
      </c>
      <c r="IV10" s="235">
        <f t="shared" ca="1" si="223"/>
        <v>0</v>
      </c>
      <c r="IW10" s="242">
        <f t="shared" ca="1" si="224"/>
        <v>0</v>
      </c>
      <c r="IX10" s="241">
        <f t="shared" ca="1" si="219"/>
        <v>1</v>
      </c>
      <c r="IY10" s="220">
        <f t="shared" ca="1" si="225"/>
        <v>0</v>
      </c>
      <c r="IZ10" s="220">
        <f t="shared" ca="1" si="226"/>
        <v>0</v>
      </c>
      <c r="JA10" s="235">
        <f t="shared" ca="1" si="227"/>
        <v>0</v>
      </c>
      <c r="JB10" s="235">
        <f t="shared" ca="1" si="228"/>
        <v>0</v>
      </c>
      <c r="JC10" s="242">
        <f t="shared" ca="1" si="229"/>
        <v>0</v>
      </c>
      <c r="JD10" s="241">
        <f t="shared" ca="1" si="219"/>
        <v>1</v>
      </c>
      <c r="JE10" s="220">
        <f t="shared" ca="1" si="230"/>
        <v>0</v>
      </c>
      <c r="JF10" s="220">
        <f t="shared" ca="1" si="231"/>
        <v>0</v>
      </c>
      <c r="JG10" s="235">
        <f t="shared" ca="1" si="232"/>
        <v>0</v>
      </c>
      <c r="JH10" s="235">
        <f t="shared" ca="1" si="233"/>
        <v>0</v>
      </c>
      <c r="JI10" s="242">
        <f t="shared" ca="1" si="234"/>
        <v>0</v>
      </c>
      <c r="JJ10" s="241">
        <f t="shared" ca="1" si="219"/>
        <v>1</v>
      </c>
      <c r="JK10" s="220">
        <f t="shared" ca="1" si="235"/>
        <v>0</v>
      </c>
      <c r="JL10" s="220">
        <f t="shared" ca="1" si="236"/>
        <v>0</v>
      </c>
      <c r="JM10" s="235">
        <f t="shared" ca="1" si="237"/>
        <v>0</v>
      </c>
      <c r="JN10" s="235">
        <f t="shared" ca="1" si="238"/>
        <v>0</v>
      </c>
      <c r="JO10" s="242">
        <f t="shared" ca="1" si="239"/>
        <v>0</v>
      </c>
      <c r="JP10" s="241">
        <f t="shared" ca="1" si="219"/>
        <v>1</v>
      </c>
      <c r="JQ10" s="220">
        <f t="shared" ca="1" si="240"/>
        <v>0</v>
      </c>
      <c r="JR10" s="220">
        <f t="shared" ca="1" si="241"/>
        <v>0</v>
      </c>
      <c r="JS10" s="235">
        <f t="shared" ca="1" si="242"/>
        <v>0</v>
      </c>
      <c r="JT10" s="235">
        <f t="shared" ca="1" si="243"/>
        <v>0</v>
      </c>
      <c r="JU10" s="242">
        <f t="shared" ca="1" si="244"/>
        <v>0</v>
      </c>
      <c r="JV10" s="241">
        <f t="shared" ca="1" si="219"/>
        <v>1</v>
      </c>
      <c r="JW10" s="220">
        <f t="shared" ca="1" si="245"/>
        <v>0</v>
      </c>
      <c r="JX10" s="220">
        <f t="shared" ca="1" si="246"/>
        <v>0</v>
      </c>
      <c r="JY10" s="235">
        <f t="shared" ca="1" si="247"/>
        <v>0</v>
      </c>
      <c r="JZ10" s="235">
        <f t="shared" ca="1" si="248"/>
        <v>0</v>
      </c>
      <c r="KA10" s="242">
        <f t="shared" ca="1" si="249"/>
        <v>0</v>
      </c>
      <c r="KB10" s="241">
        <f t="shared" ca="1" si="219"/>
        <v>1</v>
      </c>
      <c r="KC10" s="220">
        <f t="shared" ca="1" si="250"/>
        <v>0</v>
      </c>
      <c r="KD10" s="220">
        <f t="shared" ca="1" si="251"/>
        <v>0</v>
      </c>
      <c r="KE10" s="235">
        <f t="shared" ca="1" si="252"/>
        <v>0</v>
      </c>
      <c r="KF10" s="235">
        <f t="shared" ca="1" si="253"/>
        <v>0</v>
      </c>
      <c r="KG10" s="242">
        <f t="shared" ca="1" si="254"/>
        <v>0</v>
      </c>
      <c r="KH10" s="241">
        <f t="shared" ca="1" si="219"/>
        <v>1</v>
      </c>
      <c r="KI10" s="220">
        <f t="shared" ca="1" si="255"/>
        <v>0</v>
      </c>
      <c r="KJ10" s="220">
        <f t="shared" ca="1" si="256"/>
        <v>0</v>
      </c>
      <c r="KK10" s="235">
        <f t="shared" ca="1" si="257"/>
        <v>0</v>
      </c>
      <c r="KL10" s="235">
        <f t="shared" ca="1" si="258"/>
        <v>0</v>
      </c>
      <c r="KM10" s="242">
        <f t="shared" ca="1" si="259"/>
        <v>0</v>
      </c>
      <c r="KN10" s="241">
        <f t="shared" ca="1" si="219"/>
        <v>1</v>
      </c>
      <c r="KO10" s="220">
        <f t="shared" ca="1" si="260"/>
        <v>0</v>
      </c>
      <c r="KP10" s="220">
        <f t="shared" ca="1" si="261"/>
        <v>0</v>
      </c>
      <c r="KQ10" s="235">
        <f t="shared" ca="1" si="262"/>
        <v>0</v>
      </c>
      <c r="KR10" s="235">
        <f t="shared" ca="1" si="263"/>
        <v>0</v>
      </c>
      <c r="KS10" s="242">
        <f t="shared" ca="1" si="264"/>
        <v>0</v>
      </c>
      <c r="KT10" s="241">
        <f t="shared" ca="1" si="219"/>
        <v>1</v>
      </c>
      <c r="KU10" s="220">
        <f t="shared" ca="1" si="265"/>
        <v>0</v>
      </c>
      <c r="KV10" s="220">
        <f t="shared" ca="1" si="266"/>
        <v>0</v>
      </c>
      <c r="KW10" s="235">
        <f t="shared" ca="1" si="267"/>
        <v>0</v>
      </c>
      <c r="KX10" s="235">
        <f t="shared" ca="1" si="268"/>
        <v>0</v>
      </c>
      <c r="KY10" s="242">
        <f t="shared" ca="1" si="269"/>
        <v>0</v>
      </c>
      <c r="KZ10" s="241">
        <f t="shared" ca="1" si="219"/>
        <v>1</v>
      </c>
      <c r="LA10" s="220">
        <f t="shared" ca="1" si="270"/>
        <v>0</v>
      </c>
      <c r="LB10" s="220">
        <f t="shared" ca="1" si="271"/>
        <v>0</v>
      </c>
      <c r="LC10" s="235">
        <f t="shared" ca="1" si="272"/>
        <v>0</v>
      </c>
      <c r="LD10" s="235">
        <f t="shared" ca="1" si="273"/>
        <v>0</v>
      </c>
      <c r="LE10" s="242">
        <f t="shared" ca="1" si="274"/>
        <v>0</v>
      </c>
      <c r="LF10" s="241">
        <f t="shared" ca="1" si="275"/>
        <v>1</v>
      </c>
      <c r="LG10" s="220">
        <f t="shared" ca="1" si="276"/>
        <v>0</v>
      </c>
      <c r="LH10" s="220">
        <f t="shared" ca="1" si="277"/>
        <v>0</v>
      </c>
      <c r="LI10" s="235">
        <f t="shared" ca="1" si="278"/>
        <v>0</v>
      </c>
      <c r="LJ10" s="235">
        <f t="shared" ca="1" si="279"/>
        <v>0</v>
      </c>
      <c r="LK10" s="242">
        <f t="shared" ca="1" si="280"/>
        <v>0</v>
      </c>
      <c r="LL10" s="241">
        <f t="shared" ca="1" si="275"/>
        <v>1</v>
      </c>
      <c r="LM10" s="220">
        <f t="shared" ca="1" si="281"/>
        <v>0</v>
      </c>
      <c r="LN10" s="220">
        <f t="shared" ca="1" si="282"/>
        <v>0</v>
      </c>
      <c r="LO10" s="235">
        <f t="shared" ca="1" si="283"/>
        <v>0</v>
      </c>
      <c r="LP10" s="235">
        <f t="shared" ca="1" si="284"/>
        <v>0</v>
      </c>
      <c r="LQ10" s="242">
        <f t="shared" ca="1" si="285"/>
        <v>0</v>
      </c>
      <c r="LR10" s="241">
        <f t="shared" ca="1" si="275"/>
        <v>1</v>
      </c>
      <c r="LS10" s="220">
        <f t="shared" ca="1" si="286"/>
        <v>0</v>
      </c>
      <c r="LT10" s="220">
        <f t="shared" ca="1" si="287"/>
        <v>0</v>
      </c>
      <c r="LU10" s="235">
        <f t="shared" ca="1" si="288"/>
        <v>0</v>
      </c>
      <c r="LV10" s="235">
        <f t="shared" ca="1" si="289"/>
        <v>0</v>
      </c>
      <c r="LW10" s="242">
        <f t="shared" ca="1" si="290"/>
        <v>0</v>
      </c>
      <c r="LX10" s="241">
        <f t="shared" ca="1" si="275"/>
        <v>1</v>
      </c>
      <c r="LY10" s="220">
        <f t="shared" ca="1" si="291"/>
        <v>0</v>
      </c>
      <c r="LZ10" s="220">
        <f t="shared" ca="1" si="292"/>
        <v>0</v>
      </c>
      <c r="MA10" s="235">
        <f t="shared" ca="1" si="293"/>
        <v>0</v>
      </c>
      <c r="MB10" s="235">
        <f t="shared" ca="1" si="294"/>
        <v>0</v>
      </c>
      <c r="MC10" s="242">
        <f t="shared" ca="1" si="295"/>
        <v>0</v>
      </c>
      <c r="MD10" s="241">
        <f t="shared" ca="1" si="275"/>
        <v>1</v>
      </c>
      <c r="ME10" s="220">
        <f t="shared" ca="1" si="296"/>
        <v>0</v>
      </c>
      <c r="MF10" s="220">
        <f t="shared" ca="1" si="297"/>
        <v>0</v>
      </c>
      <c r="MG10" s="235">
        <f t="shared" ca="1" si="298"/>
        <v>0</v>
      </c>
      <c r="MH10" s="235">
        <f t="shared" ca="1" si="299"/>
        <v>0</v>
      </c>
      <c r="MI10" s="242">
        <f t="shared" ca="1" si="300"/>
        <v>0</v>
      </c>
      <c r="MJ10" s="241">
        <f t="shared" ca="1" si="275"/>
        <v>1</v>
      </c>
      <c r="MK10" s="220">
        <f t="shared" ca="1" si="301"/>
        <v>0</v>
      </c>
      <c r="ML10" s="220">
        <f t="shared" ca="1" si="302"/>
        <v>0</v>
      </c>
      <c r="MM10" s="235">
        <f t="shared" ca="1" si="303"/>
        <v>0</v>
      </c>
      <c r="MN10" s="235">
        <f t="shared" ca="1" si="304"/>
        <v>0</v>
      </c>
      <c r="MO10" s="242">
        <f t="shared" ca="1" si="305"/>
        <v>0</v>
      </c>
      <c r="MP10" s="241">
        <f t="shared" ca="1" si="275"/>
        <v>1</v>
      </c>
      <c r="MQ10" s="220">
        <f t="shared" ca="1" si="306"/>
        <v>0</v>
      </c>
      <c r="MR10" s="220">
        <f t="shared" ca="1" si="307"/>
        <v>0</v>
      </c>
      <c r="MS10" s="235">
        <f t="shared" ca="1" si="308"/>
        <v>0</v>
      </c>
      <c r="MT10" s="235">
        <f t="shared" ca="1" si="309"/>
        <v>0</v>
      </c>
      <c r="MU10" s="242">
        <f t="shared" ca="1" si="310"/>
        <v>0</v>
      </c>
      <c r="MV10" s="241">
        <f t="shared" ca="1" si="275"/>
        <v>1</v>
      </c>
      <c r="MW10" s="220">
        <f t="shared" ca="1" si="311"/>
        <v>0</v>
      </c>
      <c r="MX10" s="220">
        <f t="shared" ca="1" si="312"/>
        <v>0</v>
      </c>
      <c r="MY10" s="235">
        <f t="shared" ca="1" si="313"/>
        <v>0</v>
      </c>
      <c r="MZ10" s="235">
        <f t="shared" ca="1" si="314"/>
        <v>0</v>
      </c>
      <c r="NA10" s="242">
        <f t="shared" ca="1" si="315"/>
        <v>0</v>
      </c>
      <c r="NB10" s="241">
        <f t="shared" ca="1" si="275"/>
        <v>1</v>
      </c>
      <c r="NC10" s="220">
        <f t="shared" ca="1" si="316"/>
        <v>0</v>
      </c>
      <c r="ND10" s="220">
        <f t="shared" ca="1" si="317"/>
        <v>0</v>
      </c>
      <c r="NE10" s="235">
        <f t="shared" ca="1" si="318"/>
        <v>0</v>
      </c>
      <c r="NF10" s="235">
        <f t="shared" ca="1" si="319"/>
        <v>0</v>
      </c>
      <c r="NG10" s="242">
        <f t="shared" ca="1" si="320"/>
        <v>0</v>
      </c>
      <c r="NH10" s="241">
        <f t="shared" ca="1" si="275"/>
        <v>1</v>
      </c>
      <c r="NI10" s="220">
        <f t="shared" ca="1" si="321"/>
        <v>0</v>
      </c>
      <c r="NJ10" s="220">
        <f t="shared" ca="1" si="322"/>
        <v>0</v>
      </c>
      <c r="NK10" s="235">
        <f t="shared" ca="1" si="323"/>
        <v>0</v>
      </c>
      <c r="NL10" s="235">
        <f t="shared" ca="1" si="324"/>
        <v>0</v>
      </c>
      <c r="NM10" s="242">
        <f t="shared" ca="1" si="325"/>
        <v>0</v>
      </c>
      <c r="NN10" s="241">
        <f t="shared" ca="1" si="275"/>
        <v>1</v>
      </c>
      <c r="NO10" s="220">
        <f t="shared" ca="1" si="326"/>
        <v>0</v>
      </c>
      <c r="NP10" s="220">
        <f t="shared" ca="1" si="327"/>
        <v>0</v>
      </c>
      <c r="NQ10" s="235">
        <f t="shared" ca="1" si="328"/>
        <v>0</v>
      </c>
      <c r="NR10" s="235">
        <f t="shared" ca="1" si="329"/>
        <v>0</v>
      </c>
      <c r="NS10" s="242">
        <f t="shared" ca="1" si="330"/>
        <v>0</v>
      </c>
      <c r="NT10" s="241">
        <f t="shared" ca="1" si="331"/>
        <v>1</v>
      </c>
      <c r="NU10" s="220">
        <f t="shared" ca="1" si="332"/>
        <v>0</v>
      </c>
      <c r="NV10" s="220">
        <f t="shared" ca="1" si="333"/>
        <v>0</v>
      </c>
      <c r="NW10" s="235">
        <f t="shared" ca="1" si="334"/>
        <v>0</v>
      </c>
      <c r="NX10" s="235">
        <f t="shared" ca="1" si="335"/>
        <v>0</v>
      </c>
      <c r="NY10" s="242">
        <f t="shared" ca="1" si="336"/>
        <v>0</v>
      </c>
      <c r="NZ10" s="241">
        <f t="shared" ca="1" si="331"/>
        <v>1</v>
      </c>
      <c r="OA10" s="220">
        <f t="shared" ca="1" si="337"/>
        <v>0</v>
      </c>
      <c r="OB10" s="220">
        <f t="shared" ca="1" si="338"/>
        <v>0</v>
      </c>
      <c r="OC10" s="235">
        <f t="shared" ca="1" si="339"/>
        <v>0</v>
      </c>
      <c r="OD10" s="235">
        <f t="shared" ca="1" si="340"/>
        <v>0</v>
      </c>
      <c r="OE10" s="242">
        <f t="shared" ca="1" si="341"/>
        <v>0</v>
      </c>
      <c r="OF10" s="241">
        <f t="shared" ca="1" si="331"/>
        <v>1</v>
      </c>
      <c r="OG10" s="220">
        <f t="shared" ca="1" si="342"/>
        <v>0</v>
      </c>
      <c r="OH10" s="220">
        <f t="shared" ca="1" si="343"/>
        <v>0</v>
      </c>
      <c r="OI10" s="235">
        <f t="shared" ca="1" si="344"/>
        <v>0</v>
      </c>
      <c r="OJ10" s="235">
        <f t="shared" ca="1" si="345"/>
        <v>0</v>
      </c>
      <c r="OK10" s="242">
        <f t="shared" ca="1" si="346"/>
        <v>0</v>
      </c>
      <c r="OL10" s="241">
        <f t="shared" ca="1" si="331"/>
        <v>1</v>
      </c>
      <c r="OM10" s="220">
        <f t="shared" ca="1" si="347"/>
        <v>0</v>
      </c>
      <c r="ON10" s="220">
        <f t="shared" ca="1" si="348"/>
        <v>0</v>
      </c>
      <c r="OO10" s="235">
        <f t="shared" ca="1" si="349"/>
        <v>0</v>
      </c>
      <c r="OP10" s="235">
        <f t="shared" ca="1" si="350"/>
        <v>0</v>
      </c>
      <c r="OQ10" s="242">
        <f t="shared" ca="1" si="351"/>
        <v>0</v>
      </c>
      <c r="OR10" s="241">
        <f t="shared" ca="1" si="331"/>
        <v>1</v>
      </c>
      <c r="OS10" s="220">
        <f t="shared" ca="1" si="352"/>
        <v>0</v>
      </c>
      <c r="OT10" s="220">
        <f t="shared" ca="1" si="353"/>
        <v>0</v>
      </c>
      <c r="OU10" s="235">
        <f t="shared" ca="1" si="354"/>
        <v>0</v>
      </c>
      <c r="OV10" s="235">
        <f t="shared" ca="1" si="355"/>
        <v>0</v>
      </c>
      <c r="OW10" s="242">
        <f t="shared" ca="1" si="356"/>
        <v>0</v>
      </c>
      <c r="OX10" s="241">
        <f t="shared" ca="1" si="331"/>
        <v>1</v>
      </c>
      <c r="OY10" s="220">
        <f t="shared" ca="1" si="357"/>
        <v>0</v>
      </c>
      <c r="OZ10" s="220">
        <f t="shared" ca="1" si="358"/>
        <v>0</v>
      </c>
      <c r="PA10" s="235">
        <f t="shared" ca="1" si="359"/>
        <v>0</v>
      </c>
      <c r="PB10" s="235">
        <f t="shared" ca="1" si="360"/>
        <v>0</v>
      </c>
      <c r="PC10" s="242">
        <f t="shared" ca="1" si="361"/>
        <v>0</v>
      </c>
      <c r="PD10" s="241">
        <f t="shared" ca="1" si="331"/>
        <v>1</v>
      </c>
      <c r="PE10" s="220">
        <f t="shared" ca="1" si="362"/>
        <v>0</v>
      </c>
      <c r="PF10" s="220">
        <f t="shared" ca="1" si="363"/>
        <v>0</v>
      </c>
      <c r="PG10" s="235">
        <f t="shared" ca="1" si="364"/>
        <v>0</v>
      </c>
      <c r="PH10" s="235">
        <f t="shared" ca="1" si="365"/>
        <v>0</v>
      </c>
      <c r="PI10" s="242">
        <f t="shared" ca="1" si="366"/>
        <v>0</v>
      </c>
      <c r="PJ10" s="241">
        <f t="shared" ca="1" si="331"/>
        <v>1</v>
      </c>
      <c r="PK10" s="220">
        <f t="shared" ca="1" si="367"/>
        <v>0</v>
      </c>
      <c r="PL10" s="220">
        <f t="shared" ca="1" si="368"/>
        <v>0</v>
      </c>
      <c r="PM10" s="235">
        <f t="shared" ca="1" si="369"/>
        <v>0</v>
      </c>
      <c r="PN10" s="235">
        <f t="shared" ca="1" si="370"/>
        <v>0</v>
      </c>
      <c r="PO10" s="242">
        <f t="shared" ca="1" si="371"/>
        <v>0</v>
      </c>
      <c r="PP10" s="241">
        <f t="shared" ca="1" si="331"/>
        <v>1</v>
      </c>
      <c r="PQ10" s="220">
        <f t="shared" ca="1" si="372"/>
        <v>0</v>
      </c>
      <c r="PR10" s="220">
        <f t="shared" ca="1" si="373"/>
        <v>0</v>
      </c>
      <c r="PS10" s="235">
        <f t="shared" ca="1" si="374"/>
        <v>0</v>
      </c>
      <c r="PT10" s="235">
        <f t="shared" ca="1" si="375"/>
        <v>0</v>
      </c>
      <c r="PU10" s="242">
        <f t="shared" ca="1" si="376"/>
        <v>0</v>
      </c>
      <c r="PV10" s="241">
        <f t="shared" ca="1" si="331"/>
        <v>1</v>
      </c>
      <c r="PW10" s="220">
        <f t="shared" ca="1" si="377"/>
        <v>0</v>
      </c>
      <c r="PX10" s="220">
        <f t="shared" ca="1" si="378"/>
        <v>0</v>
      </c>
      <c r="PY10" s="235">
        <f t="shared" ca="1" si="379"/>
        <v>0</v>
      </c>
      <c r="PZ10" s="235">
        <f t="shared" ca="1" si="380"/>
        <v>0</v>
      </c>
      <c r="QA10" s="242">
        <f t="shared" ca="1" si="381"/>
        <v>0</v>
      </c>
      <c r="QB10" s="241">
        <f t="shared" ca="1" si="331"/>
        <v>1</v>
      </c>
      <c r="QC10" s="220">
        <f t="shared" ca="1" si="382"/>
        <v>0</v>
      </c>
      <c r="QD10" s="220">
        <f t="shared" ca="1" si="383"/>
        <v>0</v>
      </c>
      <c r="QE10" s="235">
        <f t="shared" ca="1" si="384"/>
        <v>0</v>
      </c>
      <c r="QF10" s="235">
        <f t="shared" ca="1" si="385"/>
        <v>0</v>
      </c>
      <c r="QG10" s="242">
        <f t="shared" ca="1" si="386"/>
        <v>0</v>
      </c>
      <c r="QH10" s="241">
        <f t="shared" ca="1" si="387"/>
        <v>1</v>
      </c>
      <c r="QI10" s="220">
        <f t="shared" ca="1" si="388"/>
        <v>0</v>
      </c>
      <c r="QJ10" s="220">
        <f t="shared" ca="1" si="389"/>
        <v>0</v>
      </c>
      <c r="QK10" s="235">
        <f t="shared" ca="1" si="390"/>
        <v>0</v>
      </c>
      <c r="QL10" s="235">
        <f t="shared" ca="1" si="391"/>
        <v>0</v>
      </c>
      <c r="QM10" s="242">
        <f t="shared" ca="1" si="392"/>
        <v>0</v>
      </c>
      <c r="QN10" s="241">
        <f t="shared" ca="1" si="387"/>
        <v>1</v>
      </c>
      <c r="QO10" s="220">
        <f t="shared" ca="1" si="393"/>
        <v>0</v>
      </c>
      <c r="QP10" s="220">
        <f t="shared" ca="1" si="394"/>
        <v>0</v>
      </c>
      <c r="QQ10" s="235">
        <f t="shared" ca="1" si="395"/>
        <v>0</v>
      </c>
      <c r="QR10" s="235">
        <f t="shared" ca="1" si="396"/>
        <v>0</v>
      </c>
      <c r="QS10" s="242">
        <f t="shared" ca="1" si="397"/>
        <v>0</v>
      </c>
      <c r="QT10" s="241">
        <f t="shared" ca="1" si="387"/>
        <v>1</v>
      </c>
      <c r="QU10" s="220">
        <f t="shared" ca="1" si="398"/>
        <v>0</v>
      </c>
      <c r="QV10" s="220">
        <f t="shared" ca="1" si="399"/>
        <v>0</v>
      </c>
      <c r="QW10" s="235">
        <f t="shared" ca="1" si="400"/>
        <v>0</v>
      </c>
      <c r="QX10" s="235">
        <f t="shared" ca="1" si="401"/>
        <v>0</v>
      </c>
      <c r="QY10" s="242">
        <f t="shared" ca="1" si="402"/>
        <v>0</v>
      </c>
      <c r="QZ10" s="241">
        <f t="shared" ca="1" si="387"/>
        <v>1</v>
      </c>
      <c r="RA10" s="220">
        <f t="shared" ca="1" si="403"/>
        <v>0</v>
      </c>
      <c r="RB10" s="220">
        <f t="shared" ca="1" si="404"/>
        <v>0</v>
      </c>
      <c r="RC10" s="235">
        <f t="shared" ca="1" si="405"/>
        <v>0</v>
      </c>
      <c r="RD10" s="235">
        <f t="shared" ca="1" si="406"/>
        <v>0</v>
      </c>
      <c r="RE10" s="242">
        <f t="shared" ca="1" si="407"/>
        <v>0</v>
      </c>
      <c r="RF10" s="241">
        <f t="shared" ca="1" si="387"/>
        <v>1</v>
      </c>
      <c r="RG10" s="220">
        <f t="shared" ca="1" si="408"/>
        <v>0</v>
      </c>
      <c r="RH10" s="220">
        <f t="shared" ca="1" si="409"/>
        <v>0</v>
      </c>
      <c r="RI10" s="235">
        <f t="shared" ca="1" si="410"/>
        <v>0</v>
      </c>
      <c r="RJ10" s="235">
        <f t="shared" ca="1" si="411"/>
        <v>0</v>
      </c>
      <c r="RK10" s="242">
        <f t="shared" ca="1" si="412"/>
        <v>0</v>
      </c>
      <c r="RL10" s="241">
        <f t="shared" ca="1" si="387"/>
        <v>1</v>
      </c>
      <c r="RM10" s="220">
        <f t="shared" ca="1" si="413"/>
        <v>0</v>
      </c>
      <c r="RN10" s="220">
        <f t="shared" ca="1" si="414"/>
        <v>0</v>
      </c>
      <c r="RO10" s="235">
        <f t="shared" ca="1" si="415"/>
        <v>0</v>
      </c>
      <c r="RP10" s="235">
        <f t="shared" ca="1" si="416"/>
        <v>0</v>
      </c>
      <c r="RQ10" s="242">
        <f t="shared" ca="1" si="417"/>
        <v>0</v>
      </c>
      <c r="RR10" s="241">
        <f t="shared" ca="1" si="387"/>
        <v>1</v>
      </c>
      <c r="RS10" s="220">
        <f t="shared" ca="1" si="418"/>
        <v>0</v>
      </c>
      <c r="RT10" s="220">
        <f t="shared" ca="1" si="419"/>
        <v>0</v>
      </c>
      <c r="RU10" s="235">
        <f t="shared" ca="1" si="420"/>
        <v>0</v>
      </c>
      <c r="RV10" s="235">
        <f t="shared" ca="1" si="421"/>
        <v>0</v>
      </c>
      <c r="RW10" s="242">
        <f t="shared" ca="1" si="422"/>
        <v>0</v>
      </c>
      <c r="RX10" s="241">
        <f t="shared" ca="1" si="387"/>
        <v>1</v>
      </c>
      <c r="RY10" s="220">
        <f t="shared" ca="1" si="423"/>
        <v>0</v>
      </c>
      <c r="RZ10" s="220">
        <f t="shared" ca="1" si="424"/>
        <v>0</v>
      </c>
      <c r="SA10" s="235">
        <f t="shared" ca="1" si="425"/>
        <v>0</v>
      </c>
      <c r="SB10" s="235">
        <f t="shared" ca="1" si="426"/>
        <v>0</v>
      </c>
      <c r="SC10" s="242">
        <f t="shared" ca="1" si="427"/>
        <v>0</v>
      </c>
      <c r="SD10" s="241">
        <f t="shared" ca="1" si="387"/>
        <v>1</v>
      </c>
      <c r="SE10" s="220">
        <f t="shared" ca="1" si="428"/>
        <v>0</v>
      </c>
      <c r="SF10" s="220">
        <f t="shared" ca="1" si="429"/>
        <v>0</v>
      </c>
      <c r="SG10" s="235">
        <f t="shared" ca="1" si="430"/>
        <v>0</v>
      </c>
      <c r="SH10" s="235">
        <f t="shared" ca="1" si="431"/>
        <v>0</v>
      </c>
      <c r="SI10" s="242">
        <f t="shared" ca="1" si="432"/>
        <v>0</v>
      </c>
      <c r="SJ10" s="241">
        <f t="shared" ca="1" si="387"/>
        <v>1</v>
      </c>
      <c r="SK10" s="220">
        <f t="shared" ca="1" si="433"/>
        <v>0</v>
      </c>
      <c r="SL10" s="220">
        <f t="shared" ca="1" si="434"/>
        <v>0</v>
      </c>
      <c r="SM10" s="235">
        <f t="shared" ca="1" si="435"/>
        <v>0</v>
      </c>
      <c r="SN10" s="235">
        <f t="shared" ca="1" si="436"/>
        <v>0</v>
      </c>
      <c r="SO10" s="242">
        <f t="shared" ca="1" si="437"/>
        <v>0</v>
      </c>
      <c r="SP10" s="241">
        <f t="shared" ca="1" si="387"/>
        <v>1</v>
      </c>
      <c r="SQ10" s="220">
        <f t="shared" ca="1" si="438"/>
        <v>0</v>
      </c>
      <c r="SR10" s="220">
        <f t="shared" ca="1" si="439"/>
        <v>0</v>
      </c>
      <c r="SS10" s="235">
        <f t="shared" ca="1" si="440"/>
        <v>0</v>
      </c>
      <c r="ST10" s="235">
        <f t="shared" ca="1" si="441"/>
        <v>0</v>
      </c>
      <c r="SU10" s="242">
        <f t="shared" ca="1" si="442"/>
        <v>0</v>
      </c>
      <c r="SV10" s="241">
        <f t="shared" ca="1" si="443"/>
        <v>1</v>
      </c>
      <c r="SW10" s="220">
        <f t="shared" ca="1" si="444"/>
        <v>0</v>
      </c>
      <c r="SX10" s="220">
        <f t="shared" ca="1" si="445"/>
        <v>0</v>
      </c>
      <c r="SY10" s="235">
        <f t="shared" ca="1" si="446"/>
        <v>0</v>
      </c>
      <c r="SZ10" s="235">
        <f t="shared" ca="1" si="447"/>
        <v>0</v>
      </c>
      <c r="TA10" s="242">
        <f t="shared" ca="1" si="448"/>
        <v>0</v>
      </c>
      <c r="TB10" s="241">
        <f t="shared" ca="1" si="443"/>
        <v>1</v>
      </c>
      <c r="TC10" s="220">
        <f t="shared" ca="1" si="449"/>
        <v>0</v>
      </c>
      <c r="TD10" s="220">
        <f t="shared" ca="1" si="450"/>
        <v>0</v>
      </c>
      <c r="TE10" s="235">
        <f t="shared" ca="1" si="451"/>
        <v>0</v>
      </c>
      <c r="TF10" s="235">
        <f t="shared" ca="1" si="452"/>
        <v>0</v>
      </c>
      <c r="TG10" s="242">
        <f t="shared" ca="1" si="453"/>
        <v>0</v>
      </c>
      <c r="TH10" s="241">
        <f t="shared" ca="1" si="443"/>
        <v>1</v>
      </c>
      <c r="TI10" s="220">
        <f t="shared" ca="1" si="454"/>
        <v>0</v>
      </c>
      <c r="TJ10" s="220">
        <f t="shared" ca="1" si="455"/>
        <v>0</v>
      </c>
      <c r="TK10" s="235">
        <f t="shared" ca="1" si="456"/>
        <v>0</v>
      </c>
      <c r="TL10" s="235">
        <f t="shared" ca="1" si="457"/>
        <v>0</v>
      </c>
      <c r="TM10" s="242">
        <f t="shared" ca="1" si="458"/>
        <v>0</v>
      </c>
      <c r="TN10" s="241">
        <f t="shared" ca="1" si="443"/>
        <v>1</v>
      </c>
      <c r="TO10" s="220">
        <f t="shared" ca="1" si="459"/>
        <v>0</v>
      </c>
      <c r="TP10" s="220">
        <f t="shared" ca="1" si="460"/>
        <v>0</v>
      </c>
      <c r="TQ10" s="235">
        <f t="shared" ca="1" si="461"/>
        <v>0</v>
      </c>
      <c r="TR10" s="235">
        <f t="shared" ca="1" si="462"/>
        <v>0</v>
      </c>
      <c r="TS10" s="242">
        <f t="shared" ca="1" si="463"/>
        <v>0</v>
      </c>
      <c r="TT10" s="241">
        <f t="shared" ca="1" si="443"/>
        <v>1</v>
      </c>
      <c r="TU10" s="220">
        <f t="shared" ca="1" si="464"/>
        <v>0</v>
      </c>
      <c r="TV10" s="220">
        <f t="shared" ca="1" si="465"/>
        <v>0</v>
      </c>
      <c r="TW10" s="235">
        <f t="shared" ca="1" si="466"/>
        <v>0</v>
      </c>
      <c r="TX10" s="235">
        <f t="shared" ca="1" si="467"/>
        <v>0</v>
      </c>
      <c r="TY10" s="242">
        <f t="shared" ca="1" si="468"/>
        <v>0</v>
      </c>
      <c r="TZ10" s="241">
        <f t="shared" ca="1" si="443"/>
        <v>1</v>
      </c>
      <c r="UA10" s="220">
        <f t="shared" ca="1" si="469"/>
        <v>0</v>
      </c>
      <c r="UB10" s="220">
        <f t="shared" ca="1" si="470"/>
        <v>0</v>
      </c>
      <c r="UC10" s="235">
        <f t="shared" ca="1" si="471"/>
        <v>0</v>
      </c>
      <c r="UD10" s="235">
        <f t="shared" ca="1" si="472"/>
        <v>0</v>
      </c>
      <c r="UE10" s="242">
        <f t="shared" ca="1" si="473"/>
        <v>0</v>
      </c>
      <c r="UF10" s="241">
        <f t="shared" ca="1" si="443"/>
        <v>1</v>
      </c>
      <c r="UG10" s="220">
        <f t="shared" ca="1" si="474"/>
        <v>0</v>
      </c>
      <c r="UH10" s="220">
        <f t="shared" ca="1" si="475"/>
        <v>0</v>
      </c>
      <c r="UI10" s="235">
        <f t="shared" ca="1" si="476"/>
        <v>0</v>
      </c>
      <c r="UJ10" s="235">
        <f t="shared" ca="1" si="477"/>
        <v>0</v>
      </c>
      <c r="UK10" s="242">
        <f t="shared" ca="1" si="478"/>
        <v>0</v>
      </c>
      <c r="UL10" s="241">
        <f t="shared" ca="1" si="443"/>
        <v>1</v>
      </c>
      <c r="UM10" s="220">
        <f t="shared" ca="1" si="479"/>
        <v>0</v>
      </c>
      <c r="UN10" s="220">
        <f t="shared" ca="1" si="480"/>
        <v>0</v>
      </c>
      <c r="UO10" s="235">
        <f t="shared" ca="1" si="481"/>
        <v>0</v>
      </c>
      <c r="UP10" s="235">
        <f t="shared" ca="1" si="482"/>
        <v>0</v>
      </c>
      <c r="UQ10" s="242">
        <f t="shared" ca="1" si="483"/>
        <v>0</v>
      </c>
      <c r="UR10" s="241">
        <f t="shared" ca="1" si="443"/>
        <v>1</v>
      </c>
      <c r="US10" s="220">
        <f t="shared" ca="1" si="484"/>
        <v>0</v>
      </c>
      <c r="UT10" s="220">
        <f t="shared" ca="1" si="485"/>
        <v>0</v>
      </c>
      <c r="UU10" s="235">
        <f t="shared" ca="1" si="486"/>
        <v>0</v>
      </c>
      <c r="UV10" s="235">
        <f t="shared" ca="1" si="487"/>
        <v>0</v>
      </c>
      <c r="UW10" s="242">
        <f t="shared" ca="1" si="488"/>
        <v>0</v>
      </c>
      <c r="UX10" s="241">
        <f t="shared" ca="1" si="443"/>
        <v>1</v>
      </c>
      <c r="UY10" s="220">
        <f t="shared" ca="1" si="489"/>
        <v>0</v>
      </c>
      <c r="UZ10" s="220">
        <f t="shared" ca="1" si="490"/>
        <v>0</v>
      </c>
      <c r="VA10" s="235">
        <f t="shared" ca="1" si="491"/>
        <v>0</v>
      </c>
      <c r="VB10" s="235">
        <f t="shared" ca="1" si="492"/>
        <v>0</v>
      </c>
      <c r="VC10" s="242">
        <f t="shared" ca="1" si="493"/>
        <v>0</v>
      </c>
      <c r="VD10" s="241">
        <f t="shared" ca="1" si="443"/>
        <v>1</v>
      </c>
      <c r="VE10" s="220">
        <f t="shared" ca="1" si="494"/>
        <v>0</v>
      </c>
      <c r="VF10" s="220">
        <f t="shared" ca="1" si="495"/>
        <v>0</v>
      </c>
      <c r="VG10" s="235">
        <f t="shared" ca="1" si="496"/>
        <v>0</v>
      </c>
      <c r="VH10" s="235">
        <f t="shared" ca="1" si="497"/>
        <v>0</v>
      </c>
      <c r="VI10" s="242">
        <f t="shared" ca="1" si="498"/>
        <v>0</v>
      </c>
      <c r="VJ10" s="241">
        <f t="shared" ca="1" si="499"/>
        <v>1</v>
      </c>
      <c r="VK10" s="220">
        <f t="shared" ca="1" si="500"/>
        <v>0</v>
      </c>
      <c r="VL10" s="220">
        <f t="shared" ca="1" si="501"/>
        <v>0</v>
      </c>
      <c r="VM10" s="235">
        <f t="shared" ca="1" si="502"/>
        <v>0</v>
      </c>
      <c r="VN10" s="235">
        <f t="shared" ca="1" si="503"/>
        <v>0</v>
      </c>
      <c r="VO10" s="242">
        <f t="shared" ca="1" si="504"/>
        <v>0</v>
      </c>
      <c r="VP10" s="241">
        <f t="shared" ca="1" si="499"/>
        <v>1</v>
      </c>
      <c r="VQ10" s="220">
        <f t="shared" ca="1" si="505"/>
        <v>0</v>
      </c>
      <c r="VR10" s="220">
        <f t="shared" ca="1" si="506"/>
        <v>0</v>
      </c>
      <c r="VS10" s="235">
        <f t="shared" ca="1" si="507"/>
        <v>0</v>
      </c>
      <c r="VT10" s="235">
        <f t="shared" ca="1" si="508"/>
        <v>0</v>
      </c>
      <c r="VU10" s="242">
        <f t="shared" ca="1" si="509"/>
        <v>0</v>
      </c>
      <c r="VV10" s="241">
        <f t="shared" ca="1" si="499"/>
        <v>1</v>
      </c>
      <c r="VW10" s="220">
        <f t="shared" ca="1" si="510"/>
        <v>0</v>
      </c>
      <c r="VX10" s="220">
        <f t="shared" ca="1" si="511"/>
        <v>0</v>
      </c>
      <c r="VY10" s="235">
        <f t="shared" ca="1" si="512"/>
        <v>0</v>
      </c>
      <c r="VZ10" s="235">
        <f t="shared" ca="1" si="513"/>
        <v>0</v>
      </c>
      <c r="WA10" s="242">
        <f t="shared" ca="1" si="514"/>
        <v>0</v>
      </c>
      <c r="WB10" s="241">
        <f t="shared" ca="1" si="499"/>
        <v>1</v>
      </c>
      <c r="WC10" s="220">
        <f t="shared" ca="1" si="515"/>
        <v>0</v>
      </c>
      <c r="WD10" s="220">
        <f t="shared" ca="1" si="516"/>
        <v>0</v>
      </c>
      <c r="WE10" s="235">
        <f t="shared" ca="1" si="517"/>
        <v>0</v>
      </c>
      <c r="WF10" s="235">
        <f t="shared" ca="1" si="518"/>
        <v>0</v>
      </c>
      <c r="WG10" s="242">
        <f t="shared" ca="1" si="519"/>
        <v>0</v>
      </c>
      <c r="WH10" s="241">
        <f t="shared" ca="1" si="499"/>
        <v>1</v>
      </c>
      <c r="WI10" s="220">
        <f t="shared" ca="1" si="520"/>
        <v>0</v>
      </c>
      <c r="WJ10" s="220">
        <f t="shared" ca="1" si="521"/>
        <v>0</v>
      </c>
      <c r="WK10" s="235">
        <f t="shared" ca="1" si="522"/>
        <v>0</v>
      </c>
      <c r="WL10" s="235">
        <f t="shared" ca="1" si="523"/>
        <v>0</v>
      </c>
      <c r="WM10" s="242">
        <f t="shared" ca="1" si="524"/>
        <v>0</v>
      </c>
      <c r="WN10" s="241">
        <f t="shared" ca="1" si="499"/>
        <v>1</v>
      </c>
      <c r="WO10" s="220">
        <f t="shared" ca="1" si="525"/>
        <v>0</v>
      </c>
      <c r="WP10" s="220">
        <f t="shared" ca="1" si="526"/>
        <v>0</v>
      </c>
      <c r="WQ10" s="235">
        <f t="shared" ca="1" si="527"/>
        <v>0</v>
      </c>
      <c r="WR10" s="235">
        <f t="shared" ca="1" si="528"/>
        <v>0</v>
      </c>
      <c r="WS10" s="242">
        <f t="shared" ca="1" si="529"/>
        <v>0</v>
      </c>
      <c r="WT10" s="241">
        <f t="shared" ca="1" si="499"/>
        <v>1</v>
      </c>
      <c r="WU10" s="220">
        <f t="shared" ca="1" si="530"/>
        <v>0</v>
      </c>
      <c r="WV10" s="220">
        <f t="shared" ca="1" si="531"/>
        <v>0</v>
      </c>
      <c r="WW10" s="235">
        <f t="shared" ca="1" si="532"/>
        <v>0</v>
      </c>
      <c r="WX10" s="235">
        <f t="shared" ca="1" si="533"/>
        <v>0</v>
      </c>
      <c r="WY10" s="242">
        <f t="shared" ca="1" si="534"/>
        <v>0</v>
      </c>
      <c r="WZ10" s="241">
        <f t="shared" ca="1" si="499"/>
        <v>1</v>
      </c>
      <c r="XA10" s="220">
        <f t="shared" ca="1" si="535"/>
        <v>0</v>
      </c>
      <c r="XB10" s="220">
        <f t="shared" ca="1" si="536"/>
        <v>0</v>
      </c>
      <c r="XC10" s="235">
        <f t="shared" ca="1" si="537"/>
        <v>0</v>
      </c>
      <c r="XD10" s="235">
        <f t="shared" ca="1" si="538"/>
        <v>0</v>
      </c>
      <c r="XE10" s="242">
        <f t="shared" ca="1" si="539"/>
        <v>0</v>
      </c>
      <c r="XF10" s="241">
        <f t="shared" ca="1" si="499"/>
        <v>1</v>
      </c>
      <c r="XG10" s="220">
        <f t="shared" ca="1" si="540"/>
        <v>0</v>
      </c>
      <c r="XH10" s="220">
        <f t="shared" ca="1" si="541"/>
        <v>0</v>
      </c>
      <c r="XI10" s="235">
        <f t="shared" ca="1" si="542"/>
        <v>0</v>
      </c>
      <c r="XJ10" s="235">
        <f t="shared" ca="1" si="543"/>
        <v>0</v>
      </c>
      <c r="XK10" s="242">
        <f t="shared" ca="1" si="544"/>
        <v>0</v>
      </c>
    </row>
    <row r="11" spans="1:635" x14ac:dyDescent="0.25">
      <c r="B11" s="65">
        <f t="shared" ca="1" si="14"/>
        <v>2026</v>
      </c>
      <c r="C11" s="65" t="s">
        <v>741</v>
      </c>
      <c r="D11" s="77">
        <f t="shared" si="15"/>
        <v>0</v>
      </c>
      <c r="E11" s="77">
        <f t="shared" si="16"/>
        <v>0</v>
      </c>
      <c r="F11" s="77">
        <f t="shared" si="17"/>
        <v>0</v>
      </c>
      <c r="G11" s="77">
        <f t="shared" si="18"/>
        <v>0</v>
      </c>
      <c r="H11" s="15" t="e">
        <f t="shared" ca="1" si="19"/>
        <v>#REF!</v>
      </c>
      <c r="L11" s="326">
        <f t="shared" ca="1" si="20"/>
        <v>3.5000000000000003E-2</v>
      </c>
      <c r="M11" s="327">
        <f t="shared" ca="1" si="21"/>
        <v>3.5000000000000003E-2</v>
      </c>
      <c r="N11" s="322">
        <f t="shared" ca="1" si="22"/>
        <v>-3</v>
      </c>
      <c r="O11" s="322">
        <f t="shared" ca="1" si="23"/>
        <v>8</v>
      </c>
      <c r="P11" s="328">
        <f t="shared" ca="1" si="545"/>
        <v>7.1145439804623205</v>
      </c>
      <c r="Q11" s="328">
        <f t="shared" ca="1" si="546"/>
        <v>7.1145439804623205</v>
      </c>
      <c r="R11" s="328">
        <f t="shared" ca="1" si="547"/>
        <v>7.1145439804623205</v>
      </c>
      <c r="S11" s="329">
        <f t="shared" ca="1" si="24"/>
        <v>3.5000000000000017E-2</v>
      </c>
      <c r="T11" s="329">
        <f t="shared" ca="1" si="25"/>
        <v>3.5000000000000017E-2</v>
      </c>
      <c r="U11" s="329">
        <f t="shared" ca="1" si="26"/>
        <v>3.5000000000000017E-2</v>
      </c>
      <c r="V11" s="320" t="e">
        <f t="shared" ca="1" si="27"/>
        <v>#REF!</v>
      </c>
      <c r="W11" s="320" t="e">
        <f t="shared" ca="1" si="28"/>
        <v>#REF!</v>
      </c>
      <c r="X11" s="320" t="e">
        <f t="shared" ca="1" si="29"/>
        <v>#REF!</v>
      </c>
      <c r="Y11" s="320" t="e">
        <f ca="1">INDEX(SC_ZA_HECMLumpSum,ZAIDX)</f>
        <v>#REF!</v>
      </c>
      <c r="Z11" s="320" t="e">
        <f t="shared" ca="1" si="30"/>
        <v>#REF!</v>
      </c>
      <c r="AA11" s="320" t="e">
        <f t="shared" ca="1" si="31"/>
        <v>#REF!</v>
      </c>
      <c r="AB11" s="320" t="e">
        <f t="shared" ca="1" si="32"/>
        <v>#REF!</v>
      </c>
      <c r="AC11" s="330" t="e">
        <f t="shared" ca="1" si="33"/>
        <v>#REF!</v>
      </c>
      <c r="AD11" s="236" t="e">
        <f t="shared" ca="1" si="548"/>
        <v>#REF!</v>
      </c>
      <c r="AE11" s="320" t="e">
        <f t="shared" ca="1" si="34"/>
        <v>#REF!</v>
      </c>
      <c r="AF11" s="320" t="e">
        <f t="shared" ca="1" si="35"/>
        <v>#REF!</v>
      </c>
      <c r="AG11" s="320" t="e">
        <f t="shared" ca="1" si="549"/>
        <v>#REF!</v>
      </c>
      <c r="AH11" s="284" t="e">
        <f t="shared" ca="1" si="550"/>
        <v>#REF!</v>
      </c>
      <c r="AI11" s="318" t="e">
        <f t="shared" ca="1" si="551"/>
        <v>#REF!</v>
      </c>
      <c r="AJ11" s="331">
        <f t="shared" ca="1" si="552"/>
        <v>1</v>
      </c>
      <c r="AK11" s="220">
        <f t="shared" ca="1" si="553"/>
        <v>0</v>
      </c>
      <c r="AL11" s="220">
        <f t="shared" ca="1" si="37"/>
        <v>0</v>
      </c>
      <c r="AM11" s="235">
        <f t="shared" ca="1" si="554"/>
        <v>1</v>
      </c>
      <c r="AN11" s="235">
        <f t="shared" ca="1" si="555"/>
        <v>1</v>
      </c>
      <c r="AO11" s="242">
        <f t="shared" ca="1" si="556"/>
        <v>1</v>
      </c>
      <c r="AP11" s="241">
        <f t="shared" ca="1" si="552"/>
        <v>1</v>
      </c>
      <c r="AQ11" s="220">
        <f t="shared" ca="1" si="41"/>
        <v>0</v>
      </c>
      <c r="AR11" s="220">
        <f t="shared" ca="1" si="42"/>
        <v>0</v>
      </c>
      <c r="AS11" s="235">
        <f t="shared" ca="1" si="43"/>
        <v>0.96618357487922713</v>
      </c>
      <c r="AT11" s="235">
        <f t="shared" ca="1" si="44"/>
        <v>0.96618357487922713</v>
      </c>
      <c r="AU11" s="242">
        <f t="shared" ca="1" si="45"/>
        <v>0.96618357487922713</v>
      </c>
      <c r="AV11" s="241">
        <f t="shared" ca="1" si="552"/>
        <v>1</v>
      </c>
      <c r="AW11" s="220">
        <f t="shared" ca="1" si="46"/>
        <v>0</v>
      </c>
      <c r="AX11" s="220">
        <f t="shared" ca="1" si="47"/>
        <v>0</v>
      </c>
      <c r="AY11" s="235">
        <f t="shared" ca="1" si="48"/>
        <v>0.93351070036640305</v>
      </c>
      <c r="AZ11" s="235">
        <f t="shared" ca="1" si="49"/>
        <v>0.93351070036640305</v>
      </c>
      <c r="BA11" s="242">
        <f t="shared" ca="1" si="50"/>
        <v>0.93351070036640305</v>
      </c>
      <c r="BB11" s="241">
        <f t="shared" ca="1" si="552"/>
        <v>1</v>
      </c>
      <c r="BC11" s="220">
        <f t="shared" ca="1" si="52"/>
        <v>0</v>
      </c>
      <c r="BD11" s="220">
        <f t="shared" ca="1" si="53"/>
        <v>0</v>
      </c>
      <c r="BE11" s="235">
        <f t="shared" ca="1" si="54"/>
        <v>0.90194270566802237</v>
      </c>
      <c r="BF11" s="235">
        <f t="shared" ca="1" si="55"/>
        <v>0.90194270566802237</v>
      </c>
      <c r="BG11" s="242">
        <f t="shared" ca="1" si="56"/>
        <v>0.90194270566802237</v>
      </c>
      <c r="BH11" s="241">
        <f t="shared" ca="1" si="552"/>
        <v>1</v>
      </c>
      <c r="BI11" s="220">
        <f t="shared" ca="1" si="57"/>
        <v>0</v>
      </c>
      <c r="BJ11" s="220">
        <f t="shared" ca="1" si="58"/>
        <v>0</v>
      </c>
      <c r="BK11" s="235">
        <f t="shared" ca="1" si="59"/>
        <v>0.87144222769857238</v>
      </c>
      <c r="BL11" s="235">
        <f t="shared" ca="1" si="60"/>
        <v>0.87144222769857238</v>
      </c>
      <c r="BM11" s="242">
        <f t="shared" ca="1" si="61"/>
        <v>0.87144222769857238</v>
      </c>
      <c r="BN11" s="241">
        <f t="shared" ca="1" si="552"/>
        <v>1</v>
      </c>
      <c r="BO11" s="220">
        <f t="shared" ca="1" si="62"/>
        <v>0</v>
      </c>
      <c r="BP11" s="220">
        <f t="shared" ca="1" si="63"/>
        <v>0</v>
      </c>
      <c r="BQ11" s="235">
        <f t="shared" ca="1" si="64"/>
        <v>0.84197316685852419</v>
      </c>
      <c r="BR11" s="235">
        <f t="shared" ca="1" si="65"/>
        <v>0.84197316685852419</v>
      </c>
      <c r="BS11" s="242">
        <f t="shared" ca="1" si="66"/>
        <v>0.84197316685852419</v>
      </c>
      <c r="BT11" s="241">
        <f t="shared" ca="1" si="552"/>
        <v>1</v>
      </c>
      <c r="BU11" s="220">
        <f t="shared" ca="1" si="67"/>
        <v>0</v>
      </c>
      <c r="BV11" s="220">
        <f t="shared" ca="1" si="68"/>
        <v>0</v>
      </c>
      <c r="BW11" s="235">
        <f t="shared" ca="1" si="69"/>
        <v>0.81350064430775282</v>
      </c>
      <c r="BX11" s="235">
        <f t="shared" ca="1" si="70"/>
        <v>0.81350064430775282</v>
      </c>
      <c r="BY11" s="242">
        <f t="shared" ca="1" si="71"/>
        <v>0.81350064430775282</v>
      </c>
      <c r="BZ11" s="241">
        <f t="shared" ca="1" si="552"/>
        <v>1</v>
      </c>
      <c r="CA11" s="220">
        <f t="shared" ca="1" si="72"/>
        <v>0</v>
      </c>
      <c r="CB11" s="220">
        <f t="shared" ca="1" si="73"/>
        <v>0</v>
      </c>
      <c r="CC11" s="235">
        <f t="shared" ca="1" si="74"/>
        <v>0.78599096068381913</v>
      </c>
      <c r="CD11" s="235">
        <f t="shared" ca="1" si="75"/>
        <v>0.78599096068381913</v>
      </c>
      <c r="CE11" s="242">
        <f t="shared" ca="1" si="76"/>
        <v>0.78599096068381913</v>
      </c>
      <c r="CF11" s="241">
        <f t="shared" ca="1" si="552"/>
        <v>1</v>
      </c>
      <c r="CG11" s="220">
        <f t="shared" ca="1" si="77"/>
        <v>0</v>
      </c>
      <c r="CH11" s="220">
        <f t="shared" ca="1" si="78"/>
        <v>0</v>
      </c>
      <c r="CI11" s="235">
        <f t="shared" ca="1" si="79"/>
        <v>0</v>
      </c>
      <c r="CJ11" s="235">
        <f t="shared" ca="1" si="80"/>
        <v>0</v>
      </c>
      <c r="CK11" s="242">
        <f t="shared" ca="1" si="81"/>
        <v>0</v>
      </c>
      <c r="CL11" s="241">
        <f t="shared" ca="1" si="552"/>
        <v>1</v>
      </c>
      <c r="CM11" s="220">
        <f t="shared" ca="1" si="82"/>
        <v>0</v>
      </c>
      <c r="CN11" s="220">
        <f t="shared" ca="1" si="83"/>
        <v>0</v>
      </c>
      <c r="CO11" s="235">
        <f t="shared" ca="1" si="84"/>
        <v>0</v>
      </c>
      <c r="CP11" s="235">
        <f t="shared" ca="1" si="85"/>
        <v>0</v>
      </c>
      <c r="CQ11" s="242">
        <f t="shared" ca="1" si="86"/>
        <v>0</v>
      </c>
      <c r="CR11" s="241">
        <f t="shared" ca="1" si="552"/>
        <v>1</v>
      </c>
      <c r="CS11" s="220">
        <f t="shared" ca="1" si="87"/>
        <v>0</v>
      </c>
      <c r="CT11" s="220">
        <f t="shared" ca="1" si="88"/>
        <v>0</v>
      </c>
      <c r="CU11" s="235">
        <f t="shared" ca="1" si="89"/>
        <v>0</v>
      </c>
      <c r="CV11" s="235">
        <f t="shared" ca="1" si="90"/>
        <v>0</v>
      </c>
      <c r="CW11" s="242">
        <f t="shared" ca="1" si="91"/>
        <v>0</v>
      </c>
      <c r="CX11" s="241">
        <f t="shared" ca="1" si="51"/>
        <v>1</v>
      </c>
      <c r="CY11" s="220">
        <f t="shared" ca="1" si="92"/>
        <v>0</v>
      </c>
      <c r="CZ11" s="220">
        <f t="shared" ca="1" si="93"/>
        <v>0</v>
      </c>
      <c r="DA11" s="235">
        <f t="shared" ca="1" si="94"/>
        <v>0</v>
      </c>
      <c r="DB11" s="235">
        <f t="shared" ca="1" si="95"/>
        <v>0</v>
      </c>
      <c r="DC11" s="242">
        <f t="shared" ca="1" si="96"/>
        <v>0</v>
      </c>
      <c r="DD11" s="241">
        <f t="shared" ca="1" si="51"/>
        <v>1</v>
      </c>
      <c r="DE11" s="220">
        <f t="shared" ca="1" si="97"/>
        <v>0</v>
      </c>
      <c r="DF11" s="220">
        <f t="shared" ca="1" si="98"/>
        <v>0</v>
      </c>
      <c r="DG11" s="235">
        <f t="shared" ca="1" si="99"/>
        <v>0</v>
      </c>
      <c r="DH11" s="235">
        <f t="shared" ca="1" si="100"/>
        <v>0</v>
      </c>
      <c r="DI11" s="242">
        <f t="shared" ca="1" si="101"/>
        <v>0</v>
      </c>
      <c r="DJ11" s="241">
        <f t="shared" ca="1" si="51"/>
        <v>1</v>
      </c>
      <c r="DK11" s="220">
        <f t="shared" ca="1" si="102"/>
        <v>0</v>
      </c>
      <c r="DL11" s="220">
        <f t="shared" ca="1" si="103"/>
        <v>0</v>
      </c>
      <c r="DM11" s="235">
        <f t="shared" ca="1" si="104"/>
        <v>0</v>
      </c>
      <c r="DN11" s="235">
        <f t="shared" ca="1" si="105"/>
        <v>0</v>
      </c>
      <c r="DO11" s="242">
        <f t="shared" ca="1" si="106"/>
        <v>0</v>
      </c>
      <c r="DP11" s="241">
        <f t="shared" ca="1" si="107"/>
        <v>1</v>
      </c>
      <c r="DQ11" s="220">
        <f t="shared" ca="1" si="108"/>
        <v>0</v>
      </c>
      <c r="DR11" s="220">
        <f t="shared" ca="1" si="109"/>
        <v>0</v>
      </c>
      <c r="DS11" s="235">
        <f t="shared" ca="1" si="110"/>
        <v>0</v>
      </c>
      <c r="DT11" s="235">
        <f t="shared" ca="1" si="111"/>
        <v>0</v>
      </c>
      <c r="DU11" s="242">
        <f t="shared" ca="1" si="112"/>
        <v>0</v>
      </c>
      <c r="DV11" s="241">
        <f t="shared" ca="1" si="107"/>
        <v>1</v>
      </c>
      <c r="DW11" s="220">
        <f t="shared" ca="1" si="113"/>
        <v>0</v>
      </c>
      <c r="DX11" s="220">
        <f t="shared" ca="1" si="114"/>
        <v>0</v>
      </c>
      <c r="DY11" s="235">
        <f t="shared" ca="1" si="115"/>
        <v>0</v>
      </c>
      <c r="DZ11" s="235">
        <f t="shared" ca="1" si="116"/>
        <v>0</v>
      </c>
      <c r="EA11" s="242">
        <f t="shared" ca="1" si="117"/>
        <v>0</v>
      </c>
      <c r="EB11" s="241">
        <f t="shared" ca="1" si="107"/>
        <v>1</v>
      </c>
      <c r="EC11" s="220">
        <f t="shared" ca="1" si="118"/>
        <v>0</v>
      </c>
      <c r="ED11" s="220">
        <f t="shared" ca="1" si="119"/>
        <v>0</v>
      </c>
      <c r="EE11" s="235">
        <f t="shared" ca="1" si="120"/>
        <v>0</v>
      </c>
      <c r="EF11" s="235">
        <f t="shared" ca="1" si="121"/>
        <v>0</v>
      </c>
      <c r="EG11" s="242">
        <f t="shared" ca="1" si="122"/>
        <v>0</v>
      </c>
      <c r="EH11" s="241">
        <f t="shared" ca="1" si="107"/>
        <v>1</v>
      </c>
      <c r="EI11" s="220">
        <f t="shared" ca="1" si="123"/>
        <v>0</v>
      </c>
      <c r="EJ11" s="220">
        <f t="shared" ca="1" si="124"/>
        <v>0</v>
      </c>
      <c r="EK11" s="235">
        <f t="shared" ca="1" si="125"/>
        <v>0</v>
      </c>
      <c r="EL11" s="235">
        <f t="shared" ca="1" si="126"/>
        <v>0</v>
      </c>
      <c r="EM11" s="242">
        <f t="shared" ca="1" si="127"/>
        <v>0</v>
      </c>
      <c r="EN11" s="241">
        <f t="shared" ca="1" si="107"/>
        <v>1</v>
      </c>
      <c r="EO11" s="220">
        <f t="shared" ca="1" si="128"/>
        <v>0</v>
      </c>
      <c r="EP11" s="220">
        <f t="shared" ca="1" si="129"/>
        <v>0</v>
      </c>
      <c r="EQ11" s="235">
        <f t="shared" ca="1" si="130"/>
        <v>0</v>
      </c>
      <c r="ER11" s="235">
        <f t="shared" ca="1" si="131"/>
        <v>0</v>
      </c>
      <c r="ES11" s="242">
        <f t="shared" ca="1" si="132"/>
        <v>0</v>
      </c>
      <c r="ET11" s="241">
        <f t="shared" ca="1" si="107"/>
        <v>1</v>
      </c>
      <c r="EU11" s="220">
        <f t="shared" ca="1" si="133"/>
        <v>0</v>
      </c>
      <c r="EV11" s="220">
        <f t="shared" ca="1" si="134"/>
        <v>0</v>
      </c>
      <c r="EW11" s="235">
        <f t="shared" ca="1" si="135"/>
        <v>0</v>
      </c>
      <c r="EX11" s="235">
        <f t="shared" ca="1" si="136"/>
        <v>0</v>
      </c>
      <c r="EY11" s="242">
        <f t="shared" ca="1" si="137"/>
        <v>0</v>
      </c>
      <c r="EZ11" s="241">
        <f t="shared" ca="1" si="107"/>
        <v>1</v>
      </c>
      <c r="FA11" s="220">
        <f t="shared" ca="1" si="138"/>
        <v>0</v>
      </c>
      <c r="FB11" s="220">
        <f t="shared" ca="1" si="139"/>
        <v>0</v>
      </c>
      <c r="FC11" s="235">
        <f t="shared" ca="1" si="140"/>
        <v>0</v>
      </c>
      <c r="FD11" s="235">
        <f t="shared" ca="1" si="141"/>
        <v>0</v>
      </c>
      <c r="FE11" s="242">
        <f t="shared" ca="1" si="142"/>
        <v>0</v>
      </c>
      <c r="FF11" s="241">
        <f t="shared" ca="1" si="107"/>
        <v>1</v>
      </c>
      <c r="FG11" s="220">
        <f t="shared" ca="1" si="143"/>
        <v>0</v>
      </c>
      <c r="FH11" s="220">
        <f t="shared" ca="1" si="144"/>
        <v>0</v>
      </c>
      <c r="FI11" s="235">
        <f t="shared" ca="1" si="145"/>
        <v>0</v>
      </c>
      <c r="FJ11" s="235">
        <f t="shared" ca="1" si="146"/>
        <v>0</v>
      </c>
      <c r="FK11" s="242">
        <f t="shared" ca="1" si="147"/>
        <v>0</v>
      </c>
      <c r="FL11" s="241">
        <f t="shared" ca="1" si="107"/>
        <v>1</v>
      </c>
      <c r="FM11" s="220">
        <f t="shared" ca="1" si="148"/>
        <v>0</v>
      </c>
      <c r="FN11" s="220">
        <f t="shared" ca="1" si="149"/>
        <v>0</v>
      </c>
      <c r="FO11" s="235">
        <f t="shared" ca="1" si="150"/>
        <v>0</v>
      </c>
      <c r="FP11" s="235">
        <f t="shared" ca="1" si="151"/>
        <v>0</v>
      </c>
      <c r="FQ11" s="242">
        <f t="shared" ca="1" si="152"/>
        <v>0</v>
      </c>
      <c r="FR11" s="241">
        <f t="shared" ca="1" si="107"/>
        <v>1</v>
      </c>
      <c r="FS11" s="220">
        <f t="shared" ca="1" si="153"/>
        <v>0</v>
      </c>
      <c r="FT11" s="220">
        <f t="shared" ca="1" si="154"/>
        <v>0</v>
      </c>
      <c r="FU11" s="235">
        <f t="shared" ca="1" si="155"/>
        <v>0</v>
      </c>
      <c r="FV11" s="235">
        <f t="shared" ca="1" si="156"/>
        <v>0</v>
      </c>
      <c r="FW11" s="242">
        <f t="shared" ca="1" si="157"/>
        <v>0</v>
      </c>
      <c r="FX11" s="241">
        <f t="shared" ca="1" si="107"/>
        <v>1</v>
      </c>
      <c r="FY11" s="220">
        <f t="shared" ca="1" si="158"/>
        <v>0</v>
      </c>
      <c r="FZ11" s="220">
        <f t="shared" ca="1" si="159"/>
        <v>0</v>
      </c>
      <c r="GA11" s="235">
        <f t="shared" ca="1" si="160"/>
        <v>0</v>
      </c>
      <c r="GB11" s="235">
        <f t="shared" ca="1" si="161"/>
        <v>0</v>
      </c>
      <c r="GC11" s="242">
        <f t="shared" ca="1" si="162"/>
        <v>0</v>
      </c>
      <c r="GD11" s="241">
        <f t="shared" ca="1" si="163"/>
        <v>1</v>
      </c>
      <c r="GE11" s="220">
        <f t="shared" ca="1" si="164"/>
        <v>0</v>
      </c>
      <c r="GF11" s="220">
        <f t="shared" ca="1" si="165"/>
        <v>0</v>
      </c>
      <c r="GG11" s="235">
        <f t="shared" ca="1" si="166"/>
        <v>0</v>
      </c>
      <c r="GH11" s="235">
        <f t="shared" ca="1" si="167"/>
        <v>0</v>
      </c>
      <c r="GI11" s="242">
        <f t="shared" ca="1" si="168"/>
        <v>0</v>
      </c>
      <c r="GJ11" s="241">
        <f t="shared" ca="1" si="163"/>
        <v>1</v>
      </c>
      <c r="GK11" s="220">
        <f t="shared" ca="1" si="169"/>
        <v>0</v>
      </c>
      <c r="GL11" s="220">
        <f t="shared" ca="1" si="170"/>
        <v>0</v>
      </c>
      <c r="GM11" s="235">
        <f t="shared" ca="1" si="171"/>
        <v>0</v>
      </c>
      <c r="GN11" s="235">
        <f t="shared" ca="1" si="172"/>
        <v>0</v>
      </c>
      <c r="GO11" s="242">
        <f t="shared" ca="1" si="173"/>
        <v>0</v>
      </c>
      <c r="GP11" s="241">
        <f t="shared" ca="1" si="163"/>
        <v>1</v>
      </c>
      <c r="GQ11" s="220">
        <f t="shared" ca="1" si="174"/>
        <v>0</v>
      </c>
      <c r="GR11" s="220">
        <f t="shared" ca="1" si="175"/>
        <v>0</v>
      </c>
      <c r="GS11" s="235">
        <f t="shared" ca="1" si="176"/>
        <v>0</v>
      </c>
      <c r="GT11" s="235">
        <f t="shared" ca="1" si="177"/>
        <v>0</v>
      </c>
      <c r="GU11" s="242">
        <f t="shared" ca="1" si="178"/>
        <v>0</v>
      </c>
      <c r="GV11" s="241">
        <f t="shared" ca="1" si="163"/>
        <v>1</v>
      </c>
      <c r="GW11" s="220">
        <f t="shared" ca="1" si="179"/>
        <v>0</v>
      </c>
      <c r="GX11" s="220">
        <f t="shared" ca="1" si="180"/>
        <v>0</v>
      </c>
      <c r="GY11" s="235">
        <f t="shared" ca="1" si="181"/>
        <v>0</v>
      </c>
      <c r="GZ11" s="235">
        <f t="shared" ca="1" si="182"/>
        <v>0</v>
      </c>
      <c r="HA11" s="242">
        <f t="shared" ca="1" si="183"/>
        <v>0</v>
      </c>
      <c r="HB11" s="241">
        <f t="shared" ca="1" si="163"/>
        <v>1</v>
      </c>
      <c r="HC11" s="220">
        <f t="shared" ca="1" si="184"/>
        <v>0</v>
      </c>
      <c r="HD11" s="220">
        <f t="shared" ca="1" si="185"/>
        <v>0</v>
      </c>
      <c r="HE11" s="235">
        <f t="shared" ca="1" si="186"/>
        <v>0</v>
      </c>
      <c r="HF11" s="235">
        <f t="shared" ca="1" si="187"/>
        <v>0</v>
      </c>
      <c r="HG11" s="242">
        <f t="shared" ca="1" si="188"/>
        <v>0</v>
      </c>
      <c r="HH11" s="241">
        <f t="shared" ca="1" si="163"/>
        <v>1</v>
      </c>
      <c r="HI11" s="220">
        <f t="shared" ca="1" si="189"/>
        <v>0</v>
      </c>
      <c r="HJ11" s="220">
        <f t="shared" ca="1" si="190"/>
        <v>0</v>
      </c>
      <c r="HK11" s="235">
        <f t="shared" ca="1" si="191"/>
        <v>0</v>
      </c>
      <c r="HL11" s="235">
        <f t="shared" ca="1" si="192"/>
        <v>0</v>
      </c>
      <c r="HM11" s="242">
        <f t="shared" ca="1" si="193"/>
        <v>0</v>
      </c>
      <c r="HN11" s="241">
        <f t="shared" ca="1" si="163"/>
        <v>1</v>
      </c>
      <c r="HO11" s="220">
        <f t="shared" ca="1" si="194"/>
        <v>0</v>
      </c>
      <c r="HP11" s="220">
        <f t="shared" ca="1" si="195"/>
        <v>0</v>
      </c>
      <c r="HQ11" s="235">
        <f t="shared" ca="1" si="196"/>
        <v>0</v>
      </c>
      <c r="HR11" s="235">
        <f t="shared" ca="1" si="197"/>
        <v>0</v>
      </c>
      <c r="HS11" s="242">
        <f t="shared" ca="1" si="198"/>
        <v>0</v>
      </c>
      <c r="HT11" s="241">
        <f t="shared" ca="1" si="163"/>
        <v>1</v>
      </c>
      <c r="HU11" s="220">
        <f t="shared" ca="1" si="199"/>
        <v>0</v>
      </c>
      <c r="HV11" s="220">
        <f t="shared" ca="1" si="200"/>
        <v>0</v>
      </c>
      <c r="HW11" s="235">
        <f t="shared" ca="1" si="201"/>
        <v>0</v>
      </c>
      <c r="HX11" s="235">
        <f t="shared" ca="1" si="202"/>
        <v>0</v>
      </c>
      <c r="HY11" s="242">
        <f t="shared" ca="1" si="203"/>
        <v>0</v>
      </c>
      <c r="HZ11" s="241">
        <f t="shared" ca="1" si="163"/>
        <v>1</v>
      </c>
      <c r="IA11" s="220">
        <f t="shared" ca="1" si="204"/>
        <v>0</v>
      </c>
      <c r="IB11" s="220">
        <f t="shared" ca="1" si="205"/>
        <v>0</v>
      </c>
      <c r="IC11" s="235">
        <f t="shared" ca="1" si="206"/>
        <v>0</v>
      </c>
      <c r="ID11" s="235">
        <f t="shared" ca="1" si="207"/>
        <v>0</v>
      </c>
      <c r="IE11" s="242">
        <f t="shared" ca="1" si="208"/>
        <v>0</v>
      </c>
      <c r="IF11" s="241">
        <f t="shared" ca="1" si="163"/>
        <v>1</v>
      </c>
      <c r="IG11" s="220">
        <f t="shared" ca="1" si="209"/>
        <v>0</v>
      </c>
      <c r="IH11" s="220">
        <f t="shared" ca="1" si="210"/>
        <v>0</v>
      </c>
      <c r="II11" s="235">
        <f t="shared" ca="1" si="211"/>
        <v>0</v>
      </c>
      <c r="IJ11" s="235">
        <f t="shared" ca="1" si="212"/>
        <v>0</v>
      </c>
      <c r="IK11" s="242">
        <f t="shared" ca="1" si="213"/>
        <v>0</v>
      </c>
      <c r="IL11" s="241">
        <f t="shared" ca="1" si="163"/>
        <v>1</v>
      </c>
      <c r="IM11" s="220">
        <f t="shared" ca="1" si="214"/>
        <v>0</v>
      </c>
      <c r="IN11" s="220">
        <f t="shared" ca="1" si="215"/>
        <v>0</v>
      </c>
      <c r="IO11" s="235">
        <f t="shared" ca="1" si="216"/>
        <v>0</v>
      </c>
      <c r="IP11" s="235">
        <f t="shared" ca="1" si="217"/>
        <v>0</v>
      </c>
      <c r="IQ11" s="242">
        <f t="shared" ca="1" si="218"/>
        <v>0</v>
      </c>
      <c r="IR11" s="241">
        <f t="shared" ca="1" si="219"/>
        <v>1</v>
      </c>
      <c r="IS11" s="220">
        <f t="shared" ca="1" si="220"/>
        <v>0</v>
      </c>
      <c r="IT11" s="220">
        <f t="shared" ca="1" si="221"/>
        <v>0</v>
      </c>
      <c r="IU11" s="235">
        <f t="shared" ca="1" si="222"/>
        <v>0</v>
      </c>
      <c r="IV11" s="235">
        <f t="shared" ca="1" si="223"/>
        <v>0</v>
      </c>
      <c r="IW11" s="242">
        <f t="shared" ca="1" si="224"/>
        <v>0</v>
      </c>
      <c r="IX11" s="241">
        <f t="shared" ca="1" si="219"/>
        <v>1</v>
      </c>
      <c r="IY11" s="220">
        <f t="shared" ca="1" si="225"/>
        <v>0</v>
      </c>
      <c r="IZ11" s="220">
        <f t="shared" ca="1" si="226"/>
        <v>0</v>
      </c>
      <c r="JA11" s="235">
        <f t="shared" ca="1" si="227"/>
        <v>0</v>
      </c>
      <c r="JB11" s="235">
        <f t="shared" ca="1" si="228"/>
        <v>0</v>
      </c>
      <c r="JC11" s="242">
        <f t="shared" ca="1" si="229"/>
        <v>0</v>
      </c>
      <c r="JD11" s="241">
        <f t="shared" ca="1" si="219"/>
        <v>1</v>
      </c>
      <c r="JE11" s="220">
        <f t="shared" ca="1" si="230"/>
        <v>0</v>
      </c>
      <c r="JF11" s="220">
        <f t="shared" ca="1" si="231"/>
        <v>0</v>
      </c>
      <c r="JG11" s="235">
        <f t="shared" ca="1" si="232"/>
        <v>0</v>
      </c>
      <c r="JH11" s="235">
        <f t="shared" ca="1" si="233"/>
        <v>0</v>
      </c>
      <c r="JI11" s="242">
        <f t="shared" ca="1" si="234"/>
        <v>0</v>
      </c>
      <c r="JJ11" s="241">
        <f t="shared" ca="1" si="219"/>
        <v>1</v>
      </c>
      <c r="JK11" s="220">
        <f t="shared" ca="1" si="235"/>
        <v>0</v>
      </c>
      <c r="JL11" s="220">
        <f t="shared" ca="1" si="236"/>
        <v>0</v>
      </c>
      <c r="JM11" s="235">
        <f t="shared" ca="1" si="237"/>
        <v>0</v>
      </c>
      <c r="JN11" s="235">
        <f t="shared" ca="1" si="238"/>
        <v>0</v>
      </c>
      <c r="JO11" s="242">
        <f t="shared" ca="1" si="239"/>
        <v>0</v>
      </c>
      <c r="JP11" s="241">
        <f t="shared" ca="1" si="219"/>
        <v>1</v>
      </c>
      <c r="JQ11" s="220">
        <f t="shared" ca="1" si="240"/>
        <v>0</v>
      </c>
      <c r="JR11" s="220">
        <f t="shared" ca="1" si="241"/>
        <v>0</v>
      </c>
      <c r="JS11" s="235">
        <f t="shared" ca="1" si="242"/>
        <v>0</v>
      </c>
      <c r="JT11" s="235">
        <f t="shared" ca="1" si="243"/>
        <v>0</v>
      </c>
      <c r="JU11" s="242">
        <f t="shared" ca="1" si="244"/>
        <v>0</v>
      </c>
      <c r="JV11" s="241">
        <f t="shared" ca="1" si="219"/>
        <v>1</v>
      </c>
      <c r="JW11" s="220">
        <f t="shared" ca="1" si="245"/>
        <v>0</v>
      </c>
      <c r="JX11" s="220">
        <f t="shared" ca="1" si="246"/>
        <v>0</v>
      </c>
      <c r="JY11" s="235">
        <f t="shared" ca="1" si="247"/>
        <v>0</v>
      </c>
      <c r="JZ11" s="235">
        <f t="shared" ca="1" si="248"/>
        <v>0</v>
      </c>
      <c r="KA11" s="242">
        <f t="shared" ca="1" si="249"/>
        <v>0</v>
      </c>
      <c r="KB11" s="241">
        <f t="shared" ca="1" si="219"/>
        <v>1</v>
      </c>
      <c r="KC11" s="220">
        <f t="shared" ca="1" si="250"/>
        <v>0</v>
      </c>
      <c r="KD11" s="220">
        <f t="shared" ca="1" si="251"/>
        <v>0</v>
      </c>
      <c r="KE11" s="235">
        <f t="shared" ca="1" si="252"/>
        <v>0</v>
      </c>
      <c r="KF11" s="235">
        <f t="shared" ca="1" si="253"/>
        <v>0</v>
      </c>
      <c r="KG11" s="242">
        <f t="shared" ca="1" si="254"/>
        <v>0</v>
      </c>
      <c r="KH11" s="241">
        <f t="shared" ca="1" si="219"/>
        <v>1</v>
      </c>
      <c r="KI11" s="220">
        <f t="shared" ca="1" si="255"/>
        <v>0</v>
      </c>
      <c r="KJ11" s="220">
        <f t="shared" ca="1" si="256"/>
        <v>0</v>
      </c>
      <c r="KK11" s="235">
        <f t="shared" ca="1" si="257"/>
        <v>0</v>
      </c>
      <c r="KL11" s="235">
        <f t="shared" ca="1" si="258"/>
        <v>0</v>
      </c>
      <c r="KM11" s="242">
        <f t="shared" ca="1" si="259"/>
        <v>0</v>
      </c>
      <c r="KN11" s="241">
        <f t="shared" ca="1" si="219"/>
        <v>1</v>
      </c>
      <c r="KO11" s="220">
        <f t="shared" ca="1" si="260"/>
        <v>0</v>
      </c>
      <c r="KP11" s="220">
        <f t="shared" ca="1" si="261"/>
        <v>0</v>
      </c>
      <c r="KQ11" s="235">
        <f t="shared" ca="1" si="262"/>
        <v>0</v>
      </c>
      <c r="KR11" s="235">
        <f t="shared" ca="1" si="263"/>
        <v>0</v>
      </c>
      <c r="KS11" s="242">
        <f t="shared" ca="1" si="264"/>
        <v>0</v>
      </c>
      <c r="KT11" s="241">
        <f t="shared" ca="1" si="219"/>
        <v>1</v>
      </c>
      <c r="KU11" s="220">
        <f t="shared" ca="1" si="265"/>
        <v>0</v>
      </c>
      <c r="KV11" s="220">
        <f t="shared" ca="1" si="266"/>
        <v>0</v>
      </c>
      <c r="KW11" s="235">
        <f t="shared" ca="1" si="267"/>
        <v>0</v>
      </c>
      <c r="KX11" s="235">
        <f t="shared" ca="1" si="268"/>
        <v>0</v>
      </c>
      <c r="KY11" s="242">
        <f t="shared" ca="1" si="269"/>
        <v>0</v>
      </c>
      <c r="KZ11" s="241">
        <f t="shared" ca="1" si="219"/>
        <v>1</v>
      </c>
      <c r="LA11" s="220">
        <f t="shared" ca="1" si="270"/>
        <v>0</v>
      </c>
      <c r="LB11" s="220">
        <f t="shared" ca="1" si="271"/>
        <v>0</v>
      </c>
      <c r="LC11" s="235">
        <f t="shared" ca="1" si="272"/>
        <v>0</v>
      </c>
      <c r="LD11" s="235">
        <f t="shared" ca="1" si="273"/>
        <v>0</v>
      </c>
      <c r="LE11" s="242">
        <f t="shared" ca="1" si="274"/>
        <v>0</v>
      </c>
      <c r="LF11" s="241">
        <f t="shared" ca="1" si="275"/>
        <v>1</v>
      </c>
      <c r="LG11" s="220">
        <f t="shared" ca="1" si="276"/>
        <v>0</v>
      </c>
      <c r="LH11" s="220">
        <f t="shared" ca="1" si="277"/>
        <v>0</v>
      </c>
      <c r="LI11" s="235">
        <f t="shared" ca="1" si="278"/>
        <v>0</v>
      </c>
      <c r="LJ11" s="235">
        <f t="shared" ca="1" si="279"/>
        <v>0</v>
      </c>
      <c r="LK11" s="242">
        <f t="shared" ca="1" si="280"/>
        <v>0</v>
      </c>
      <c r="LL11" s="241">
        <f t="shared" ca="1" si="275"/>
        <v>1</v>
      </c>
      <c r="LM11" s="220">
        <f t="shared" ca="1" si="281"/>
        <v>0</v>
      </c>
      <c r="LN11" s="220">
        <f t="shared" ca="1" si="282"/>
        <v>0</v>
      </c>
      <c r="LO11" s="235">
        <f t="shared" ca="1" si="283"/>
        <v>0</v>
      </c>
      <c r="LP11" s="235">
        <f t="shared" ca="1" si="284"/>
        <v>0</v>
      </c>
      <c r="LQ11" s="242">
        <f t="shared" ca="1" si="285"/>
        <v>0</v>
      </c>
      <c r="LR11" s="241">
        <f t="shared" ca="1" si="275"/>
        <v>1</v>
      </c>
      <c r="LS11" s="220">
        <f t="shared" ca="1" si="286"/>
        <v>0</v>
      </c>
      <c r="LT11" s="220">
        <f t="shared" ca="1" si="287"/>
        <v>0</v>
      </c>
      <c r="LU11" s="235">
        <f t="shared" ca="1" si="288"/>
        <v>0</v>
      </c>
      <c r="LV11" s="235">
        <f t="shared" ca="1" si="289"/>
        <v>0</v>
      </c>
      <c r="LW11" s="242">
        <f t="shared" ca="1" si="290"/>
        <v>0</v>
      </c>
      <c r="LX11" s="241">
        <f t="shared" ca="1" si="275"/>
        <v>1</v>
      </c>
      <c r="LY11" s="220">
        <f t="shared" ca="1" si="291"/>
        <v>0</v>
      </c>
      <c r="LZ11" s="220">
        <f t="shared" ca="1" si="292"/>
        <v>0</v>
      </c>
      <c r="MA11" s="235">
        <f t="shared" ca="1" si="293"/>
        <v>0</v>
      </c>
      <c r="MB11" s="235">
        <f t="shared" ca="1" si="294"/>
        <v>0</v>
      </c>
      <c r="MC11" s="242">
        <f t="shared" ca="1" si="295"/>
        <v>0</v>
      </c>
      <c r="MD11" s="241">
        <f t="shared" ca="1" si="275"/>
        <v>1</v>
      </c>
      <c r="ME11" s="220">
        <f t="shared" ca="1" si="296"/>
        <v>0</v>
      </c>
      <c r="MF11" s="220">
        <f t="shared" ca="1" si="297"/>
        <v>0</v>
      </c>
      <c r="MG11" s="235">
        <f t="shared" ca="1" si="298"/>
        <v>0</v>
      </c>
      <c r="MH11" s="235">
        <f t="shared" ca="1" si="299"/>
        <v>0</v>
      </c>
      <c r="MI11" s="242">
        <f t="shared" ca="1" si="300"/>
        <v>0</v>
      </c>
      <c r="MJ11" s="241">
        <f t="shared" ca="1" si="275"/>
        <v>1</v>
      </c>
      <c r="MK11" s="220">
        <f t="shared" ca="1" si="301"/>
        <v>0</v>
      </c>
      <c r="ML11" s="220">
        <f t="shared" ca="1" si="302"/>
        <v>0</v>
      </c>
      <c r="MM11" s="235">
        <f t="shared" ca="1" si="303"/>
        <v>0</v>
      </c>
      <c r="MN11" s="235">
        <f t="shared" ca="1" si="304"/>
        <v>0</v>
      </c>
      <c r="MO11" s="242">
        <f t="shared" ca="1" si="305"/>
        <v>0</v>
      </c>
      <c r="MP11" s="241">
        <f t="shared" ca="1" si="275"/>
        <v>1</v>
      </c>
      <c r="MQ11" s="220">
        <f t="shared" ca="1" si="306"/>
        <v>0</v>
      </c>
      <c r="MR11" s="220">
        <f t="shared" ca="1" si="307"/>
        <v>0</v>
      </c>
      <c r="MS11" s="235">
        <f t="shared" ca="1" si="308"/>
        <v>0</v>
      </c>
      <c r="MT11" s="235">
        <f t="shared" ca="1" si="309"/>
        <v>0</v>
      </c>
      <c r="MU11" s="242">
        <f t="shared" ca="1" si="310"/>
        <v>0</v>
      </c>
      <c r="MV11" s="241">
        <f t="shared" ca="1" si="275"/>
        <v>1</v>
      </c>
      <c r="MW11" s="220">
        <f t="shared" ca="1" si="311"/>
        <v>0</v>
      </c>
      <c r="MX11" s="220">
        <f t="shared" ca="1" si="312"/>
        <v>0</v>
      </c>
      <c r="MY11" s="235">
        <f t="shared" ca="1" si="313"/>
        <v>0</v>
      </c>
      <c r="MZ11" s="235">
        <f t="shared" ca="1" si="314"/>
        <v>0</v>
      </c>
      <c r="NA11" s="242">
        <f t="shared" ca="1" si="315"/>
        <v>0</v>
      </c>
      <c r="NB11" s="241">
        <f t="shared" ca="1" si="275"/>
        <v>1</v>
      </c>
      <c r="NC11" s="220">
        <f t="shared" ca="1" si="316"/>
        <v>0</v>
      </c>
      <c r="ND11" s="220">
        <f t="shared" ca="1" si="317"/>
        <v>0</v>
      </c>
      <c r="NE11" s="235">
        <f t="shared" ca="1" si="318"/>
        <v>0</v>
      </c>
      <c r="NF11" s="235">
        <f t="shared" ca="1" si="319"/>
        <v>0</v>
      </c>
      <c r="NG11" s="242">
        <f t="shared" ca="1" si="320"/>
        <v>0</v>
      </c>
      <c r="NH11" s="241">
        <f t="shared" ca="1" si="275"/>
        <v>1</v>
      </c>
      <c r="NI11" s="220">
        <f t="shared" ca="1" si="321"/>
        <v>0</v>
      </c>
      <c r="NJ11" s="220">
        <f t="shared" ca="1" si="322"/>
        <v>0</v>
      </c>
      <c r="NK11" s="235">
        <f t="shared" ca="1" si="323"/>
        <v>0</v>
      </c>
      <c r="NL11" s="235">
        <f t="shared" ca="1" si="324"/>
        <v>0</v>
      </c>
      <c r="NM11" s="242">
        <f t="shared" ca="1" si="325"/>
        <v>0</v>
      </c>
      <c r="NN11" s="241">
        <f t="shared" ca="1" si="275"/>
        <v>1</v>
      </c>
      <c r="NO11" s="220">
        <f t="shared" ca="1" si="326"/>
        <v>0</v>
      </c>
      <c r="NP11" s="220">
        <f t="shared" ca="1" si="327"/>
        <v>0</v>
      </c>
      <c r="NQ11" s="235">
        <f t="shared" ca="1" si="328"/>
        <v>0</v>
      </c>
      <c r="NR11" s="235">
        <f t="shared" ca="1" si="329"/>
        <v>0</v>
      </c>
      <c r="NS11" s="242">
        <f t="shared" ca="1" si="330"/>
        <v>0</v>
      </c>
      <c r="NT11" s="241">
        <f t="shared" ca="1" si="331"/>
        <v>1</v>
      </c>
      <c r="NU11" s="220">
        <f t="shared" ca="1" si="332"/>
        <v>0</v>
      </c>
      <c r="NV11" s="220">
        <f t="shared" ca="1" si="333"/>
        <v>0</v>
      </c>
      <c r="NW11" s="235">
        <f t="shared" ca="1" si="334"/>
        <v>0</v>
      </c>
      <c r="NX11" s="235">
        <f t="shared" ca="1" si="335"/>
        <v>0</v>
      </c>
      <c r="NY11" s="242">
        <f t="shared" ca="1" si="336"/>
        <v>0</v>
      </c>
      <c r="NZ11" s="241">
        <f t="shared" ca="1" si="331"/>
        <v>1</v>
      </c>
      <c r="OA11" s="220">
        <f t="shared" ca="1" si="337"/>
        <v>0</v>
      </c>
      <c r="OB11" s="220">
        <f t="shared" ca="1" si="338"/>
        <v>0</v>
      </c>
      <c r="OC11" s="235">
        <f t="shared" ca="1" si="339"/>
        <v>0</v>
      </c>
      <c r="OD11" s="235">
        <f t="shared" ca="1" si="340"/>
        <v>0</v>
      </c>
      <c r="OE11" s="242">
        <f t="shared" ca="1" si="341"/>
        <v>0</v>
      </c>
      <c r="OF11" s="241">
        <f t="shared" ca="1" si="331"/>
        <v>1</v>
      </c>
      <c r="OG11" s="220">
        <f t="shared" ca="1" si="342"/>
        <v>0</v>
      </c>
      <c r="OH11" s="220">
        <f t="shared" ca="1" si="343"/>
        <v>0</v>
      </c>
      <c r="OI11" s="235">
        <f t="shared" ca="1" si="344"/>
        <v>0</v>
      </c>
      <c r="OJ11" s="235">
        <f t="shared" ca="1" si="345"/>
        <v>0</v>
      </c>
      <c r="OK11" s="242">
        <f t="shared" ca="1" si="346"/>
        <v>0</v>
      </c>
      <c r="OL11" s="241">
        <f t="shared" ca="1" si="331"/>
        <v>1</v>
      </c>
      <c r="OM11" s="220">
        <f t="shared" ca="1" si="347"/>
        <v>0</v>
      </c>
      <c r="ON11" s="220">
        <f t="shared" ca="1" si="348"/>
        <v>0</v>
      </c>
      <c r="OO11" s="235">
        <f t="shared" ca="1" si="349"/>
        <v>0</v>
      </c>
      <c r="OP11" s="235">
        <f t="shared" ca="1" si="350"/>
        <v>0</v>
      </c>
      <c r="OQ11" s="242">
        <f t="shared" ca="1" si="351"/>
        <v>0</v>
      </c>
      <c r="OR11" s="241">
        <f t="shared" ca="1" si="331"/>
        <v>1</v>
      </c>
      <c r="OS11" s="220">
        <f t="shared" ca="1" si="352"/>
        <v>0</v>
      </c>
      <c r="OT11" s="220">
        <f t="shared" ca="1" si="353"/>
        <v>0</v>
      </c>
      <c r="OU11" s="235">
        <f t="shared" ca="1" si="354"/>
        <v>0</v>
      </c>
      <c r="OV11" s="235">
        <f t="shared" ca="1" si="355"/>
        <v>0</v>
      </c>
      <c r="OW11" s="242">
        <f t="shared" ca="1" si="356"/>
        <v>0</v>
      </c>
      <c r="OX11" s="241">
        <f t="shared" ca="1" si="331"/>
        <v>1</v>
      </c>
      <c r="OY11" s="220">
        <f t="shared" ca="1" si="357"/>
        <v>0</v>
      </c>
      <c r="OZ11" s="220">
        <f t="shared" ca="1" si="358"/>
        <v>0</v>
      </c>
      <c r="PA11" s="235">
        <f t="shared" ca="1" si="359"/>
        <v>0</v>
      </c>
      <c r="PB11" s="235">
        <f t="shared" ca="1" si="360"/>
        <v>0</v>
      </c>
      <c r="PC11" s="242">
        <f t="shared" ca="1" si="361"/>
        <v>0</v>
      </c>
      <c r="PD11" s="241">
        <f t="shared" ca="1" si="331"/>
        <v>1</v>
      </c>
      <c r="PE11" s="220">
        <f t="shared" ca="1" si="362"/>
        <v>0</v>
      </c>
      <c r="PF11" s="220">
        <f t="shared" ca="1" si="363"/>
        <v>0</v>
      </c>
      <c r="PG11" s="235">
        <f t="shared" ca="1" si="364"/>
        <v>0</v>
      </c>
      <c r="PH11" s="235">
        <f t="shared" ca="1" si="365"/>
        <v>0</v>
      </c>
      <c r="PI11" s="242">
        <f t="shared" ca="1" si="366"/>
        <v>0</v>
      </c>
      <c r="PJ11" s="241">
        <f t="shared" ca="1" si="331"/>
        <v>1</v>
      </c>
      <c r="PK11" s="220">
        <f t="shared" ca="1" si="367"/>
        <v>0</v>
      </c>
      <c r="PL11" s="220">
        <f t="shared" ca="1" si="368"/>
        <v>0</v>
      </c>
      <c r="PM11" s="235">
        <f t="shared" ca="1" si="369"/>
        <v>0</v>
      </c>
      <c r="PN11" s="235">
        <f t="shared" ca="1" si="370"/>
        <v>0</v>
      </c>
      <c r="PO11" s="242">
        <f t="shared" ca="1" si="371"/>
        <v>0</v>
      </c>
      <c r="PP11" s="241">
        <f t="shared" ca="1" si="331"/>
        <v>1</v>
      </c>
      <c r="PQ11" s="220">
        <f t="shared" ca="1" si="372"/>
        <v>0</v>
      </c>
      <c r="PR11" s="220">
        <f t="shared" ca="1" si="373"/>
        <v>0</v>
      </c>
      <c r="PS11" s="235">
        <f t="shared" ca="1" si="374"/>
        <v>0</v>
      </c>
      <c r="PT11" s="235">
        <f t="shared" ca="1" si="375"/>
        <v>0</v>
      </c>
      <c r="PU11" s="242">
        <f t="shared" ca="1" si="376"/>
        <v>0</v>
      </c>
      <c r="PV11" s="241">
        <f t="shared" ca="1" si="331"/>
        <v>1</v>
      </c>
      <c r="PW11" s="220">
        <f t="shared" ca="1" si="377"/>
        <v>0</v>
      </c>
      <c r="PX11" s="220">
        <f t="shared" ca="1" si="378"/>
        <v>0</v>
      </c>
      <c r="PY11" s="235">
        <f t="shared" ca="1" si="379"/>
        <v>0</v>
      </c>
      <c r="PZ11" s="235">
        <f t="shared" ca="1" si="380"/>
        <v>0</v>
      </c>
      <c r="QA11" s="242">
        <f t="shared" ca="1" si="381"/>
        <v>0</v>
      </c>
      <c r="QB11" s="241">
        <f t="shared" ca="1" si="331"/>
        <v>1</v>
      </c>
      <c r="QC11" s="220">
        <f t="shared" ca="1" si="382"/>
        <v>0</v>
      </c>
      <c r="QD11" s="220">
        <f t="shared" ca="1" si="383"/>
        <v>0</v>
      </c>
      <c r="QE11" s="235">
        <f t="shared" ca="1" si="384"/>
        <v>0</v>
      </c>
      <c r="QF11" s="235">
        <f t="shared" ca="1" si="385"/>
        <v>0</v>
      </c>
      <c r="QG11" s="242">
        <f t="shared" ca="1" si="386"/>
        <v>0</v>
      </c>
      <c r="QH11" s="241">
        <f t="shared" ca="1" si="387"/>
        <v>1</v>
      </c>
      <c r="QI11" s="220">
        <f t="shared" ca="1" si="388"/>
        <v>0</v>
      </c>
      <c r="QJ11" s="220">
        <f t="shared" ca="1" si="389"/>
        <v>0</v>
      </c>
      <c r="QK11" s="235">
        <f t="shared" ca="1" si="390"/>
        <v>0</v>
      </c>
      <c r="QL11" s="235">
        <f t="shared" ca="1" si="391"/>
        <v>0</v>
      </c>
      <c r="QM11" s="242">
        <f t="shared" ca="1" si="392"/>
        <v>0</v>
      </c>
      <c r="QN11" s="241">
        <f t="shared" ca="1" si="387"/>
        <v>1</v>
      </c>
      <c r="QO11" s="220">
        <f t="shared" ca="1" si="393"/>
        <v>0</v>
      </c>
      <c r="QP11" s="220">
        <f t="shared" ca="1" si="394"/>
        <v>0</v>
      </c>
      <c r="QQ11" s="235">
        <f t="shared" ca="1" si="395"/>
        <v>0</v>
      </c>
      <c r="QR11" s="235">
        <f t="shared" ca="1" si="396"/>
        <v>0</v>
      </c>
      <c r="QS11" s="242">
        <f t="shared" ca="1" si="397"/>
        <v>0</v>
      </c>
      <c r="QT11" s="241">
        <f t="shared" ca="1" si="387"/>
        <v>1</v>
      </c>
      <c r="QU11" s="220">
        <f t="shared" ca="1" si="398"/>
        <v>0</v>
      </c>
      <c r="QV11" s="220">
        <f t="shared" ca="1" si="399"/>
        <v>0</v>
      </c>
      <c r="QW11" s="235">
        <f t="shared" ca="1" si="400"/>
        <v>0</v>
      </c>
      <c r="QX11" s="235">
        <f t="shared" ca="1" si="401"/>
        <v>0</v>
      </c>
      <c r="QY11" s="242">
        <f t="shared" ca="1" si="402"/>
        <v>0</v>
      </c>
      <c r="QZ11" s="241">
        <f t="shared" ca="1" si="387"/>
        <v>1</v>
      </c>
      <c r="RA11" s="220">
        <f t="shared" ca="1" si="403"/>
        <v>0</v>
      </c>
      <c r="RB11" s="220">
        <f t="shared" ca="1" si="404"/>
        <v>0</v>
      </c>
      <c r="RC11" s="235">
        <f t="shared" ca="1" si="405"/>
        <v>0</v>
      </c>
      <c r="RD11" s="235">
        <f t="shared" ca="1" si="406"/>
        <v>0</v>
      </c>
      <c r="RE11" s="242">
        <f t="shared" ca="1" si="407"/>
        <v>0</v>
      </c>
      <c r="RF11" s="241">
        <f t="shared" ca="1" si="387"/>
        <v>1</v>
      </c>
      <c r="RG11" s="220">
        <f t="shared" ca="1" si="408"/>
        <v>0</v>
      </c>
      <c r="RH11" s="220">
        <f t="shared" ca="1" si="409"/>
        <v>0</v>
      </c>
      <c r="RI11" s="235">
        <f t="shared" ca="1" si="410"/>
        <v>0</v>
      </c>
      <c r="RJ11" s="235">
        <f t="shared" ca="1" si="411"/>
        <v>0</v>
      </c>
      <c r="RK11" s="242">
        <f t="shared" ca="1" si="412"/>
        <v>0</v>
      </c>
      <c r="RL11" s="241">
        <f t="shared" ca="1" si="387"/>
        <v>1</v>
      </c>
      <c r="RM11" s="220">
        <f t="shared" ca="1" si="413"/>
        <v>0</v>
      </c>
      <c r="RN11" s="220">
        <f t="shared" ca="1" si="414"/>
        <v>0</v>
      </c>
      <c r="RO11" s="235">
        <f t="shared" ca="1" si="415"/>
        <v>0</v>
      </c>
      <c r="RP11" s="235">
        <f t="shared" ca="1" si="416"/>
        <v>0</v>
      </c>
      <c r="RQ11" s="242">
        <f t="shared" ca="1" si="417"/>
        <v>0</v>
      </c>
      <c r="RR11" s="241">
        <f t="shared" ca="1" si="387"/>
        <v>1</v>
      </c>
      <c r="RS11" s="220">
        <f t="shared" ca="1" si="418"/>
        <v>0</v>
      </c>
      <c r="RT11" s="220">
        <f t="shared" ca="1" si="419"/>
        <v>0</v>
      </c>
      <c r="RU11" s="235">
        <f t="shared" ca="1" si="420"/>
        <v>0</v>
      </c>
      <c r="RV11" s="235">
        <f t="shared" ca="1" si="421"/>
        <v>0</v>
      </c>
      <c r="RW11" s="242">
        <f t="shared" ca="1" si="422"/>
        <v>0</v>
      </c>
      <c r="RX11" s="241">
        <f t="shared" ca="1" si="387"/>
        <v>1</v>
      </c>
      <c r="RY11" s="220">
        <f t="shared" ca="1" si="423"/>
        <v>0</v>
      </c>
      <c r="RZ11" s="220">
        <f t="shared" ca="1" si="424"/>
        <v>0</v>
      </c>
      <c r="SA11" s="235">
        <f t="shared" ca="1" si="425"/>
        <v>0</v>
      </c>
      <c r="SB11" s="235">
        <f t="shared" ca="1" si="426"/>
        <v>0</v>
      </c>
      <c r="SC11" s="242">
        <f t="shared" ca="1" si="427"/>
        <v>0</v>
      </c>
      <c r="SD11" s="241">
        <f t="shared" ca="1" si="387"/>
        <v>1</v>
      </c>
      <c r="SE11" s="220">
        <f t="shared" ca="1" si="428"/>
        <v>0</v>
      </c>
      <c r="SF11" s="220">
        <f t="shared" ca="1" si="429"/>
        <v>0</v>
      </c>
      <c r="SG11" s="235">
        <f t="shared" ca="1" si="430"/>
        <v>0</v>
      </c>
      <c r="SH11" s="235">
        <f t="shared" ca="1" si="431"/>
        <v>0</v>
      </c>
      <c r="SI11" s="242">
        <f t="shared" ca="1" si="432"/>
        <v>0</v>
      </c>
      <c r="SJ11" s="241">
        <f t="shared" ca="1" si="387"/>
        <v>1</v>
      </c>
      <c r="SK11" s="220">
        <f t="shared" ca="1" si="433"/>
        <v>0</v>
      </c>
      <c r="SL11" s="220">
        <f t="shared" ca="1" si="434"/>
        <v>0</v>
      </c>
      <c r="SM11" s="235">
        <f t="shared" ca="1" si="435"/>
        <v>0</v>
      </c>
      <c r="SN11" s="235">
        <f t="shared" ca="1" si="436"/>
        <v>0</v>
      </c>
      <c r="SO11" s="242">
        <f t="shared" ca="1" si="437"/>
        <v>0</v>
      </c>
      <c r="SP11" s="241">
        <f t="shared" ca="1" si="387"/>
        <v>1</v>
      </c>
      <c r="SQ11" s="220">
        <f t="shared" ca="1" si="438"/>
        <v>0</v>
      </c>
      <c r="SR11" s="220">
        <f t="shared" ca="1" si="439"/>
        <v>0</v>
      </c>
      <c r="SS11" s="235">
        <f t="shared" ca="1" si="440"/>
        <v>0</v>
      </c>
      <c r="ST11" s="235">
        <f t="shared" ca="1" si="441"/>
        <v>0</v>
      </c>
      <c r="SU11" s="242">
        <f t="shared" ca="1" si="442"/>
        <v>0</v>
      </c>
      <c r="SV11" s="241">
        <f t="shared" ca="1" si="443"/>
        <v>1</v>
      </c>
      <c r="SW11" s="220">
        <f t="shared" ca="1" si="444"/>
        <v>0</v>
      </c>
      <c r="SX11" s="220">
        <f t="shared" ca="1" si="445"/>
        <v>0</v>
      </c>
      <c r="SY11" s="235">
        <f t="shared" ca="1" si="446"/>
        <v>0</v>
      </c>
      <c r="SZ11" s="235">
        <f t="shared" ca="1" si="447"/>
        <v>0</v>
      </c>
      <c r="TA11" s="242">
        <f t="shared" ca="1" si="448"/>
        <v>0</v>
      </c>
      <c r="TB11" s="241">
        <f t="shared" ca="1" si="443"/>
        <v>1</v>
      </c>
      <c r="TC11" s="220">
        <f t="shared" ca="1" si="449"/>
        <v>0</v>
      </c>
      <c r="TD11" s="220">
        <f t="shared" ca="1" si="450"/>
        <v>0</v>
      </c>
      <c r="TE11" s="235">
        <f t="shared" ca="1" si="451"/>
        <v>0</v>
      </c>
      <c r="TF11" s="235">
        <f t="shared" ca="1" si="452"/>
        <v>0</v>
      </c>
      <c r="TG11" s="242">
        <f t="shared" ca="1" si="453"/>
        <v>0</v>
      </c>
      <c r="TH11" s="241">
        <f t="shared" ca="1" si="443"/>
        <v>1</v>
      </c>
      <c r="TI11" s="220">
        <f t="shared" ca="1" si="454"/>
        <v>0</v>
      </c>
      <c r="TJ11" s="220">
        <f t="shared" ca="1" si="455"/>
        <v>0</v>
      </c>
      <c r="TK11" s="235">
        <f t="shared" ca="1" si="456"/>
        <v>0</v>
      </c>
      <c r="TL11" s="235">
        <f t="shared" ca="1" si="457"/>
        <v>0</v>
      </c>
      <c r="TM11" s="242">
        <f t="shared" ca="1" si="458"/>
        <v>0</v>
      </c>
      <c r="TN11" s="241">
        <f t="shared" ca="1" si="443"/>
        <v>1</v>
      </c>
      <c r="TO11" s="220">
        <f t="shared" ca="1" si="459"/>
        <v>0</v>
      </c>
      <c r="TP11" s="220">
        <f t="shared" ca="1" si="460"/>
        <v>0</v>
      </c>
      <c r="TQ11" s="235">
        <f t="shared" ca="1" si="461"/>
        <v>0</v>
      </c>
      <c r="TR11" s="235">
        <f t="shared" ca="1" si="462"/>
        <v>0</v>
      </c>
      <c r="TS11" s="242">
        <f t="shared" ca="1" si="463"/>
        <v>0</v>
      </c>
      <c r="TT11" s="241">
        <f t="shared" ca="1" si="443"/>
        <v>1</v>
      </c>
      <c r="TU11" s="220">
        <f t="shared" ca="1" si="464"/>
        <v>0</v>
      </c>
      <c r="TV11" s="220">
        <f t="shared" ca="1" si="465"/>
        <v>0</v>
      </c>
      <c r="TW11" s="235">
        <f t="shared" ca="1" si="466"/>
        <v>0</v>
      </c>
      <c r="TX11" s="235">
        <f t="shared" ca="1" si="467"/>
        <v>0</v>
      </c>
      <c r="TY11" s="242">
        <f t="shared" ca="1" si="468"/>
        <v>0</v>
      </c>
      <c r="TZ11" s="241">
        <f t="shared" ca="1" si="443"/>
        <v>1</v>
      </c>
      <c r="UA11" s="220">
        <f t="shared" ca="1" si="469"/>
        <v>0</v>
      </c>
      <c r="UB11" s="220">
        <f t="shared" ca="1" si="470"/>
        <v>0</v>
      </c>
      <c r="UC11" s="235">
        <f t="shared" ca="1" si="471"/>
        <v>0</v>
      </c>
      <c r="UD11" s="235">
        <f t="shared" ca="1" si="472"/>
        <v>0</v>
      </c>
      <c r="UE11" s="242">
        <f t="shared" ca="1" si="473"/>
        <v>0</v>
      </c>
      <c r="UF11" s="241">
        <f t="shared" ca="1" si="443"/>
        <v>1</v>
      </c>
      <c r="UG11" s="220">
        <f t="shared" ca="1" si="474"/>
        <v>0</v>
      </c>
      <c r="UH11" s="220">
        <f t="shared" ca="1" si="475"/>
        <v>0</v>
      </c>
      <c r="UI11" s="235">
        <f t="shared" ca="1" si="476"/>
        <v>0</v>
      </c>
      <c r="UJ11" s="235">
        <f t="shared" ca="1" si="477"/>
        <v>0</v>
      </c>
      <c r="UK11" s="242">
        <f t="shared" ca="1" si="478"/>
        <v>0</v>
      </c>
      <c r="UL11" s="241">
        <f t="shared" ca="1" si="443"/>
        <v>1</v>
      </c>
      <c r="UM11" s="220">
        <f t="shared" ca="1" si="479"/>
        <v>0</v>
      </c>
      <c r="UN11" s="220">
        <f t="shared" ca="1" si="480"/>
        <v>0</v>
      </c>
      <c r="UO11" s="235">
        <f t="shared" ca="1" si="481"/>
        <v>0</v>
      </c>
      <c r="UP11" s="235">
        <f t="shared" ca="1" si="482"/>
        <v>0</v>
      </c>
      <c r="UQ11" s="242">
        <f t="shared" ca="1" si="483"/>
        <v>0</v>
      </c>
      <c r="UR11" s="241">
        <f t="shared" ca="1" si="443"/>
        <v>1</v>
      </c>
      <c r="US11" s="220">
        <f t="shared" ca="1" si="484"/>
        <v>0</v>
      </c>
      <c r="UT11" s="220">
        <f t="shared" ca="1" si="485"/>
        <v>0</v>
      </c>
      <c r="UU11" s="235">
        <f t="shared" ca="1" si="486"/>
        <v>0</v>
      </c>
      <c r="UV11" s="235">
        <f t="shared" ca="1" si="487"/>
        <v>0</v>
      </c>
      <c r="UW11" s="242">
        <f t="shared" ca="1" si="488"/>
        <v>0</v>
      </c>
      <c r="UX11" s="241">
        <f t="shared" ca="1" si="443"/>
        <v>1</v>
      </c>
      <c r="UY11" s="220">
        <f t="shared" ca="1" si="489"/>
        <v>0</v>
      </c>
      <c r="UZ11" s="220">
        <f t="shared" ca="1" si="490"/>
        <v>0</v>
      </c>
      <c r="VA11" s="235">
        <f t="shared" ca="1" si="491"/>
        <v>0</v>
      </c>
      <c r="VB11" s="235">
        <f t="shared" ca="1" si="492"/>
        <v>0</v>
      </c>
      <c r="VC11" s="242">
        <f t="shared" ca="1" si="493"/>
        <v>0</v>
      </c>
      <c r="VD11" s="241">
        <f t="shared" ca="1" si="443"/>
        <v>1</v>
      </c>
      <c r="VE11" s="220">
        <f t="shared" ca="1" si="494"/>
        <v>0</v>
      </c>
      <c r="VF11" s="220">
        <f t="shared" ca="1" si="495"/>
        <v>0</v>
      </c>
      <c r="VG11" s="235">
        <f t="shared" ca="1" si="496"/>
        <v>0</v>
      </c>
      <c r="VH11" s="235">
        <f t="shared" ca="1" si="497"/>
        <v>0</v>
      </c>
      <c r="VI11" s="242">
        <f t="shared" ca="1" si="498"/>
        <v>0</v>
      </c>
      <c r="VJ11" s="241">
        <f t="shared" ca="1" si="499"/>
        <v>1</v>
      </c>
      <c r="VK11" s="220">
        <f t="shared" ca="1" si="500"/>
        <v>0</v>
      </c>
      <c r="VL11" s="220">
        <f t="shared" ca="1" si="501"/>
        <v>0</v>
      </c>
      <c r="VM11" s="235">
        <f t="shared" ca="1" si="502"/>
        <v>0</v>
      </c>
      <c r="VN11" s="235">
        <f t="shared" ca="1" si="503"/>
        <v>0</v>
      </c>
      <c r="VO11" s="242">
        <f t="shared" ca="1" si="504"/>
        <v>0</v>
      </c>
      <c r="VP11" s="241">
        <f t="shared" ca="1" si="499"/>
        <v>1</v>
      </c>
      <c r="VQ11" s="220">
        <f t="shared" ca="1" si="505"/>
        <v>0</v>
      </c>
      <c r="VR11" s="220">
        <f t="shared" ca="1" si="506"/>
        <v>0</v>
      </c>
      <c r="VS11" s="235">
        <f t="shared" ca="1" si="507"/>
        <v>0</v>
      </c>
      <c r="VT11" s="235">
        <f t="shared" ca="1" si="508"/>
        <v>0</v>
      </c>
      <c r="VU11" s="242">
        <f t="shared" ca="1" si="509"/>
        <v>0</v>
      </c>
      <c r="VV11" s="241">
        <f t="shared" ca="1" si="499"/>
        <v>1</v>
      </c>
      <c r="VW11" s="220">
        <f t="shared" ca="1" si="510"/>
        <v>0</v>
      </c>
      <c r="VX11" s="220">
        <f t="shared" ca="1" si="511"/>
        <v>0</v>
      </c>
      <c r="VY11" s="235">
        <f t="shared" ca="1" si="512"/>
        <v>0</v>
      </c>
      <c r="VZ11" s="235">
        <f t="shared" ca="1" si="513"/>
        <v>0</v>
      </c>
      <c r="WA11" s="242">
        <f t="shared" ca="1" si="514"/>
        <v>0</v>
      </c>
      <c r="WB11" s="241">
        <f t="shared" ca="1" si="499"/>
        <v>1</v>
      </c>
      <c r="WC11" s="220">
        <f t="shared" ca="1" si="515"/>
        <v>0</v>
      </c>
      <c r="WD11" s="220">
        <f t="shared" ca="1" si="516"/>
        <v>0</v>
      </c>
      <c r="WE11" s="235">
        <f t="shared" ca="1" si="517"/>
        <v>0</v>
      </c>
      <c r="WF11" s="235">
        <f t="shared" ca="1" si="518"/>
        <v>0</v>
      </c>
      <c r="WG11" s="242">
        <f t="shared" ca="1" si="519"/>
        <v>0</v>
      </c>
      <c r="WH11" s="241">
        <f t="shared" ca="1" si="499"/>
        <v>1</v>
      </c>
      <c r="WI11" s="220">
        <f t="shared" ca="1" si="520"/>
        <v>0</v>
      </c>
      <c r="WJ11" s="220">
        <f t="shared" ca="1" si="521"/>
        <v>0</v>
      </c>
      <c r="WK11" s="235">
        <f t="shared" ca="1" si="522"/>
        <v>0</v>
      </c>
      <c r="WL11" s="235">
        <f t="shared" ca="1" si="523"/>
        <v>0</v>
      </c>
      <c r="WM11" s="242">
        <f t="shared" ca="1" si="524"/>
        <v>0</v>
      </c>
      <c r="WN11" s="241">
        <f t="shared" ca="1" si="499"/>
        <v>1</v>
      </c>
      <c r="WO11" s="220">
        <f t="shared" ca="1" si="525"/>
        <v>0</v>
      </c>
      <c r="WP11" s="220">
        <f t="shared" ca="1" si="526"/>
        <v>0</v>
      </c>
      <c r="WQ11" s="235">
        <f t="shared" ca="1" si="527"/>
        <v>0</v>
      </c>
      <c r="WR11" s="235">
        <f t="shared" ca="1" si="528"/>
        <v>0</v>
      </c>
      <c r="WS11" s="242">
        <f t="shared" ca="1" si="529"/>
        <v>0</v>
      </c>
      <c r="WT11" s="241">
        <f t="shared" ca="1" si="499"/>
        <v>1</v>
      </c>
      <c r="WU11" s="220">
        <f t="shared" ca="1" si="530"/>
        <v>0</v>
      </c>
      <c r="WV11" s="220">
        <f t="shared" ca="1" si="531"/>
        <v>0</v>
      </c>
      <c r="WW11" s="235">
        <f t="shared" ca="1" si="532"/>
        <v>0</v>
      </c>
      <c r="WX11" s="235">
        <f t="shared" ca="1" si="533"/>
        <v>0</v>
      </c>
      <c r="WY11" s="242">
        <f t="shared" ca="1" si="534"/>
        <v>0</v>
      </c>
      <c r="WZ11" s="241">
        <f t="shared" ca="1" si="499"/>
        <v>1</v>
      </c>
      <c r="XA11" s="220">
        <f t="shared" ca="1" si="535"/>
        <v>0</v>
      </c>
      <c r="XB11" s="220">
        <f t="shared" ca="1" si="536"/>
        <v>0</v>
      </c>
      <c r="XC11" s="235">
        <f t="shared" ca="1" si="537"/>
        <v>0</v>
      </c>
      <c r="XD11" s="235">
        <f t="shared" ca="1" si="538"/>
        <v>0</v>
      </c>
      <c r="XE11" s="242">
        <f t="shared" ca="1" si="539"/>
        <v>0</v>
      </c>
      <c r="XF11" s="241">
        <f t="shared" ca="1" si="499"/>
        <v>1</v>
      </c>
      <c r="XG11" s="220">
        <f t="shared" ca="1" si="540"/>
        <v>0</v>
      </c>
      <c r="XH11" s="220">
        <f t="shared" ca="1" si="541"/>
        <v>0</v>
      </c>
      <c r="XI11" s="235">
        <f t="shared" ca="1" si="542"/>
        <v>0</v>
      </c>
      <c r="XJ11" s="235">
        <f t="shared" ca="1" si="543"/>
        <v>0</v>
      </c>
      <c r="XK11" s="242">
        <f t="shared" ca="1" si="544"/>
        <v>0</v>
      </c>
    </row>
    <row r="12" spans="1:635" x14ac:dyDescent="0.25">
      <c r="B12" s="65">
        <f t="shared" ca="1" si="14"/>
        <v>2027</v>
      </c>
      <c r="C12" s="65" t="s">
        <v>741</v>
      </c>
      <c r="D12" s="77">
        <f t="shared" si="15"/>
        <v>0</v>
      </c>
      <c r="E12" s="77">
        <f t="shared" si="16"/>
        <v>0</v>
      </c>
      <c r="F12" s="77">
        <f t="shared" si="17"/>
        <v>0</v>
      </c>
      <c r="G12" s="77">
        <f t="shared" si="18"/>
        <v>0</v>
      </c>
      <c r="H12" s="15" t="e">
        <f t="shared" ca="1" si="19"/>
        <v>#REF!</v>
      </c>
      <c r="L12" s="326">
        <f t="shared" ca="1" si="20"/>
        <v>3.5000000000000003E-2</v>
      </c>
      <c r="M12" s="327">
        <f t="shared" ca="1" si="21"/>
        <v>3.5000000000000003E-2</v>
      </c>
      <c r="N12" s="322">
        <f t="shared" ca="1" si="22"/>
        <v>-4</v>
      </c>
      <c r="O12" s="322">
        <f t="shared" ca="1" si="23"/>
        <v>7</v>
      </c>
      <c r="P12" s="328">
        <f t="shared" ca="1" si="545"/>
        <v>6.3285530197785018</v>
      </c>
      <c r="Q12" s="328">
        <f t="shared" ca="1" si="546"/>
        <v>6.3285530197785018</v>
      </c>
      <c r="R12" s="328">
        <f t="shared" ca="1" si="547"/>
        <v>6.3285530197785018</v>
      </c>
      <c r="S12" s="329">
        <f t="shared" ca="1" si="24"/>
        <v>3.4999999999999844E-2</v>
      </c>
      <c r="T12" s="329">
        <f t="shared" ca="1" si="25"/>
        <v>3.4999999999999844E-2</v>
      </c>
      <c r="U12" s="329">
        <f t="shared" ca="1" si="26"/>
        <v>3.4999999999999844E-2</v>
      </c>
      <c r="V12" s="320" t="e">
        <f t="shared" ca="1" si="27"/>
        <v>#REF!</v>
      </c>
      <c r="W12" s="320" t="e">
        <f t="shared" ca="1" si="28"/>
        <v>#REF!</v>
      </c>
      <c r="X12" s="320" t="e">
        <f t="shared" ca="1" si="29"/>
        <v>#REF!</v>
      </c>
      <c r="Y12" s="320" t="e">
        <f ca="1">INDEX(SC_ZA_HECMLumpSum,ZAIDX)</f>
        <v>#REF!</v>
      </c>
      <c r="Z12" s="320" t="e">
        <f t="shared" ca="1" si="30"/>
        <v>#REF!</v>
      </c>
      <c r="AA12" s="320" t="e">
        <f t="shared" ca="1" si="31"/>
        <v>#REF!</v>
      </c>
      <c r="AB12" s="320" t="e">
        <f t="shared" ca="1" si="32"/>
        <v>#REF!</v>
      </c>
      <c r="AC12" s="330" t="e">
        <f t="shared" ca="1" si="33"/>
        <v>#REF!</v>
      </c>
      <c r="AD12" s="236" t="e">
        <f t="shared" ca="1" si="548"/>
        <v>#REF!</v>
      </c>
      <c r="AE12" s="320" t="e">
        <f t="shared" ca="1" si="34"/>
        <v>#REF!</v>
      </c>
      <c r="AF12" s="320" t="e">
        <f t="shared" ca="1" si="35"/>
        <v>#REF!</v>
      </c>
      <c r="AG12" s="320" t="e">
        <f t="shared" ca="1" si="549"/>
        <v>#REF!</v>
      </c>
      <c r="AH12" s="284" t="e">
        <f t="shared" ca="1" si="550"/>
        <v>#REF!</v>
      </c>
      <c r="AI12" s="318" t="e">
        <f t="shared" ca="1" si="551"/>
        <v>#REF!</v>
      </c>
      <c r="AJ12" s="331">
        <f t="shared" ca="1" si="552"/>
        <v>1</v>
      </c>
      <c r="AK12" s="220">
        <f t="shared" ca="1" si="553"/>
        <v>0</v>
      </c>
      <c r="AL12" s="220">
        <f t="shared" ca="1" si="37"/>
        <v>0</v>
      </c>
      <c r="AM12" s="235">
        <f t="shared" ca="1" si="554"/>
        <v>1</v>
      </c>
      <c r="AN12" s="235">
        <f t="shared" ca="1" si="555"/>
        <v>1</v>
      </c>
      <c r="AO12" s="242">
        <f t="shared" ca="1" si="556"/>
        <v>1</v>
      </c>
      <c r="AP12" s="241">
        <f t="shared" ca="1" si="552"/>
        <v>1</v>
      </c>
      <c r="AQ12" s="220">
        <f t="shared" ca="1" si="41"/>
        <v>0</v>
      </c>
      <c r="AR12" s="220">
        <f t="shared" ca="1" si="42"/>
        <v>0</v>
      </c>
      <c r="AS12" s="235">
        <f t="shared" ca="1" si="43"/>
        <v>0.96618357487922713</v>
      </c>
      <c r="AT12" s="235">
        <f t="shared" ca="1" si="44"/>
        <v>0.96618357487922713</v>
      </c>
      <c r="AU12" s="242">
        <f t="shared" ca="1" si="45"/>
        <v>0.96618357487922713</v>
      </c>
      <c r="AV12" s="241">
        <f t="shared" ca="1" si="552"/>
        <v>1</v>
      </c>
      <c r="AW12" s="220">
        <f t="shared" ca="1" si="46"/>
        <v>0</v>
      </c>
      <c r="AX12" s="220">
        <f t="shared" ca="1" si="47"/>
        <v>0</v>
      </c>
      <c r="AY12" s="235">
        <f t="shared" ca="1" si="48"/>
        <v>0.93351070036640305</v>
      </c>
      <c r="AZ12" s="235">
        <f t="shared" ca="1" si="49"/>
        <v>0.93351070036640305</v>
      </c>
      <c r="BA12" s="242">
        <f t="shared" ca="1" si="50"/>
        <v>0.93351070036640305</v>
      </c>
      <c r="BB12" s="241">
        <f t="shared" ca="1" si="552"/>
        <v>1</v>
      </c>
      <c r="BC12" s="220">
        <f t="shared" ca="1" si="52"/>
        <v>0</v>
      </c>
      <c r="BD12" s="220">
        <f t="shared" ca="1" si="53"/>
        <v>0</v>
      </c>
      <c r="BE12" s="235">
        <f t="shared" ca="1" si="54"/>
        <v>0.90194270566802237</v>
      </c>
      <c r="BF12" s="235">
        <f t="shared" ca="1" si="55"/>
        <v>0.90194270566802237</v>
      </c>
      <c r="BG12" s="242">
        <f t="shared" ca="1" si="56"/>
        <v>0.90194270566802237</v>
      </c>
      <c r="BH12" s="241">
        <f t="shared" ca="1" si="552"/>
        <v>1</v>
      </c>
      <c r="BI12" s="220">
        <f t="shared" ca="1" si="57"/>
        <v>0</v>
      </c>
      <c r="BJ12" s="220">
        <f t="shared" ca="1" si="58"/>
        <v>0</v>
      </c>
      <c r="BK12" s="235">
        <f t="shared" ca="1" si="59"/>
        <v>0.87144222769857238</v>
      </c>
      <c r="BL12" s="235">
        <f t="shared" ca="1" si="60"/>
        <v>0.87144222769857238</v>
      </c>
      <c r="BM12" s="242">
        <f t="shared" ca="1" si="61"/>
        <v>0.87144222769857238</v>
      </c>
      <c r="BN12" s="241">
        <f t="shared" ca="1" si="552"/>
        <v>1</v>
      </c>
      <c r="BO12" s="220">
        <f t="shared" ca="1" si="62"/>
        <v>0</v>
      </c>
      <c r="BP12" s="220">
        <f t="shared" ca="1" si="63"/>
        <v>0</v>
      </c>
      <c r="BQ12" s="235">
        <f t="shared" ca="1" si="64"/>
        <v>0.84197316685852419</v>
      </c>
      <c r="BR12" s="235">
        <f t="shared" ca="1" si="65"/>
        <v>0.84197316685852419</v>
      </c>
      <c r="BS12" s="242">
        <f t="shared" ca="1" si="66"/>
        <v>0.84197316685852419</v>
      </c>
      <c r="BT12" s="241">
        <f t="shared" ca="1" si="552"/>
        <v>1</v>
      </c>
      <c r="BU12" s="220">
        <f t="shared" ca="1" si="67"/>
        <v>0</v>
      </c>
      <c r="BV12" s="220">
        <f t="shared" ca="1" si="68"/>
        <v>0</v>
      </c>
      <c r="BW12" s="235">
        <f t="shared" ca="1" si="69"/>
        <v>0.81350064430775282</v>
      </c>
      <c r="BX12" s="235">
        <f t="shared" ca="1" si="70"/>
        <v>0.81350064430775282</v>
      </c>
      <c r="BY12" s="242">
        <f t="shared" ca="1" si="71"/>
        <v>0.81350064430775282</v>
      </c>
      <c r="BZ12" s="241">
        <f t="shared" ca="1" si="552"/>
        <v>1</v>
      </c>
      <c r="CA12" s="220">
        <f t="shared" ca="1" si="72"/>
        <v>0</v>
      </c>
      <c r="CB12" s="220">
        <f t="shared" ca="1" si="73"/>
        <v>0</v>
      </c>
      <c r="CC12" s="235">
        <f t="shared" ca="1" si="74"/>
        <v>0</v>
      </c>
      <c r="CD12" s="235">
        <f t="shared" ca="1" si="75"/>
        <v>0</v>
      </c>
      <c r="CE12" s="242">
        <f t="shared" ca="1" si="76"/>
        <v>0</v>
      </c>
      <c r="CF12" s="241">
        <f t="shared" ca="1" si="552"/>
        <v>1</v>
      </c>
      <c r="CG12" s="220">
        <f t="shared" ca="1" si="77"/>
        <v>0</v>
      </c>
      <c r="CH12" s="220">
        <f t="shared" ca="1" si="78"/>
        <v>0</v>
      </c>
      <c r="CI12" s="235">
        <f t="shared" ca="1" si="79"/>
        <v>0</v>
      </c>
      <c r="CJ12" s="235">
        <f t="shared" ca="1" si="80"/>
        <v>0</v>
      </c>
      <c r="CK12" s="242">
        <f t="shared" ca="1" si="81"/>
        <v>0</v>
      </c>
      <c r="CL12" s="241">
        <f t="shared" ca="1" si="552"/>
        <v>1</v>
      </c>
      <c r="CM12" s="220">
        <f t="shared" ca="1" si="82"/>
        <v>0</v>
      </c>
      <c r="CN12" s="220">
        <f t="shared" ca="1" si="83"/>
        <v>0</v>
      </c>
      <c r="CO12" s="235">
        <f t="shared" ca="1" si="84"/>
        <v>0</v>
      </c>
      <c r="CP12" s="235">
        <f t="shared" ca="1" si="85"/>
        <v>0</v>
      </c>
      <c r="CQ12" s="242">
        <f t="shared" ca="1" si="86"/>
        <v>0</v>
      </c>
      <c r="CR12" s="241">
        <f t="shared" ca="1" si="552"/>
        <v>1</v>
      </c>
      <c r="CS12" s="220">
        <f t="shared" ca="1" si="87"/>
        <v>0</v>
      </c>
      <c r="CT12" s="220">
        <f t="shared" ca="1" si="88"/>
        <v>0</v>
      </c>
      <c r="CU12" s="235">
        <f t="shared" ca="1" si="89"/>
        <v>0</v>
      </c>
      <c r="CV12" s="235">
        <f t="shared" ca="1" si="90"/>
        <v>0</v>
      </c>
      <c r="CW12" s="242">
        <f t="shared" ca="1" si="91"/>
        <v>0</v>
      </c>
      <c r="CX12" s="241">
        <f t="shared" ca="1" si="51"/>
        <v>1</v>
      </c>
      <c r="CY12" s="220">
        <f t="shared" ca="1" si="92"/>
        <v>0</v>
      </c>
      <c r="CZ12" s="220">
        <f t="shared" ca="1" si="93"/>
        <v>0</v>
      </c>
      <c r="DA12" s="235">
        <f t="shared" ca="1" si="94"/>
        <v>0</v>
      </c>
      <c r="DB12" s="235">
        <f t="shared" ca="1" si="95"/>
        <v>0</v>
      </c>
      <c r="DC12" s="242">
        <f t="shared" ca="1" si="96"/>
        <v>0</v>
      </c>
      <c r="DD12" s="241">
        <f t="shared" ca="1" si="51"/>
        <v>1</v>
      </c>
      <c r="DE12" s="220">
        <f t="shared" ca="1" si="97"/>
        <v>0</v>
      </c>
      <c r="DF12" s="220">
        <f t="shared" ca="1" si="98"/>
        <v>0</v>
      </c>
      <c r="DG12" s="235">
        <f t="shared" ca="1" si="99"/>
        <v>0</v>
      </c>
      <c r="DH12" s="235">
        <f t="shared" ca="1" si="100"/>
        <v>0</v>
      </c>
      <c r="DI12" s="242">
        <f t="shared" ca="1" si="101"/>
        <v>0</v>
      </c>
      <c r="DJ12" s="241">
        <f t="shared" ca="1" si="51"/>
        <v>1</v>
      </c>
      <c r="DK12" s="220">
        <f t="shared" ca="1" si="102"/>
        <v>0</v>
      </c>
      <c r="DL12" s="220">
        <f t="shared" ca="1" si="103"/>
        <v>0</v>
      </c>
      <c r="DM12" s="235">
        <f t="shared" ca="1" si="104"/>
        <v>0</v>
      </c>
      <c r="DN12" s="235">
        <f t="shared" ca="1" si="105"/>
        <v>0</v>
      </c>
      <c r="DO12" s="242">
        <f t="shared" ca="1" si="106"/>
        <v>0</v>
      </c>
      <c r="DP12" s="241">
        <f t="shared" ca="1" si="107"/>
        <v>1</v>
      </c>
      <c r="DQ12" s="220">
        <f t="shared" ca="1" si="108"/>
        <v>0</v>
      </c>
      <c r="DR12" s="220">
        <f t="shared" ca="1" si="109"/>
        <v>0</v>
      </c>
      <c r="DS12" s="235">
        <f t="shared" ca="1" si="110"/>
        <v>0</v>
      </c>
      <c r="DT12" s="235">
        <f t="shared" ca="1" si="111"/>
        <v>0</v>
      </c>
      <c r="DU12" s="242">
        <f t="shared" ca="1" si="112"/>
        <v>0</v>
      </c>
      <c r="DV12" s="241">
        <f t="shared" ca="1" si="107"/>
        <v>1</v>
      </c>
      <c r="DW12" s="220">
        <f t="shared" ca="1" si="113"/>
        <v>0</v>
      </c>
      <c r="DX12" s="220">
        <f t="shared" ca="1" si="114"/>
        <v>0</v>
      </c>
      <c r="DY12" s="235">
        <f t="shared" ca="1" si="115"/>
        <v>0</v>
      </c>
      <c r="DZ12" s="235">
        <f t="shared" ca="1" si="116"/>
        <v>0</v>
      </c>
      <c r="EA12" s="242">
        <f t="shared" ca="1" si="117"/>
        <v>0</v>
      </c>
      <c r="EB12" s="241">
        <f t="shared" ca="1" si="107"/>
        <v>1</v>
      </c>
      <c r="EC12" s="220">
        <f t="shared" ca="1" si="118"/>
        <v>0</v>
      </c>
      <c r="ED12" s="220">
        <f t="shared" ca="1" si="119"/>
        <v>0</v>
      </c>
      <c r="EE12" s="235">
        <f t="shared" ca="1" si="120"/>
        <v>0</v>
      </c>
      <c r="EF12" s="235">
        <f t="shared" ca="1" si="121"/>
        <v>0</v>
      </c>
      <c r="EG12" s="242">
        <f t="shared" ca="1" si="122"/>
        <v>0</v>
      </c>
      <c r="EH12" s="241">
        <f t="shared" ca="1" si="107"/>
        <v>1</v>
      </c>
      <c r="EI12" s="220">
        <f t="shared" ca="1" si="123"/>
        <v>0</v>
      </c>
      <c r="EJ12" s="220">
        <f t="shared" ca="1" si="124"/>
        <v>0</v>
      </c>
      <c r="EK12" s="235">
        <f t="shared" ca="1" si="125"/>
        <v>0</v>
      </c>
      <c r="EL12" s="235">
        <f t="shared" ca="1" si="126"/>
        <v>0</v>
      </c>
      <c r="EM12" s="242">
        <f t="shared" ca="1" si="127"/>
        <v>0</v>
      </c>
      <c r="EN12" s="241">
        <f t="shared" ca="1" si="107"/>
        <v>1</v>
      </c>
      <c r="EO12" s="220">
        <f t="shared" ca="1" si="128"/>
        <v>0</v>
      </c>
      <c r="EP12" s="220">
        <f t="shared" ca="1" si="129"/>
        <v>0</v>
      </c>
      <c r="EQ12" s="235">
        <f t="shared" ca="1" si="130"/>
        <v>0</v>
      </c>
      <c r="ER12" s="235">
        <f t="shared" ca="1" si="131"/>
        <v>0</v>
      </c>
      <c r="ES12" s="242">
        <f t="shared" ca="1" si="132"/>
        <v>0</v>
      </c>
      <c r="ET12" s="241">
        <f t="shared" ca="1" si="107"/>
        <v>1</v>
      </c>
      <c r="EU12" s="220">
        <f t="shared" ca="1" si="133"/>
        <v>0</v>
      </c>
      <c r="EV12" s="220">
        <f t="shared" ca="1" si="134"/>
        <v>0</v>
      </c>
      <c r="EW12" s="235">
        <f t="shared" ca="1" si="135"/>
        <v>0</v>
      </c>
      <c r="EX12" s="235">
        <f t="shared" ca="1" si="136"/>
        <v>0</v>
      </c>
      <c r="EY12" s="242">
        <f t="shared" ca="1" si="137"/>
        <v>0</v>
      </c>
      <c r="EZ12" s="241">
        <f t="shared" ca="1" si="107"/>
        <v>1</v>
      </c>
      <c r="FA12" s="220">
        <f t="shared" ca="1" si="138"/>
        <v>0</v>
      </c>
      <c r="FB12" s="220">
        <f t="shared" ca="1" si="139"/>
        <v>0</v>
      </c>
      <c r="FC12" s="235">
        <f t="shared" ca="1" si="140"/>
        <v>0</v>
      </c>
      <c r="FD12" s="235">
        <f t="shared" ca="1" si="141"/>
        <v>0</v>
      </c>
      <c r="FE12" s="242">
        <f t="shared" ca="1" si="142"/>
        <v>0</v>
      </c>
      <c r="FF12" s="241">
        <f t="shared" ca="1" si="107"/>
        <v>1</v>
      </c>
      <c r="FG12" s="220">
        <f t="shared" ca="1" si="143"/>
        <v>0</v>
      </c>
      <c r="FH12" s="220">
        <f t="shared" ca="1" si="144"/>
        <v>0</v>
      </c>
      <c r="FI12" s="235">
        <f t="shared" ca="1" si="145"/>
        <v>0</v>
      </c>
      <c r="FJ12" s="235">
        <f t="shared" ca="1" si="146"/>
        <v>0</v>
      </c>
      <c r="FK12" s="242">
        <f t="shared" ca="1" si="147"/>
        <v>0</v>
      </c>
      <c r="FL12" s="241">
        <f t="shared" ca="1" si="107"/>
        <v>1</v>
      </c>
      <c r="FM12" s="220">
        <f t="shared" ca="1" si="148"/>
        <v>0</v>
      </c>
      <c r="FN12" s="220">
        <f t="shared" ca="1" si="149"/>
        <v>0</v>
      </c>
      <c r="FO12" s="235">
        <f t="shared" ca="1" si="150"/>
        <v>0</v>
      </c>
      <c r="FP12" s="235">
        <f t="shared" ca="1" si="151"/>
        <v>0</v>
      </c>
      <c r="FQ12" s="242">
        <f t="shared" ca="1" si="152"/>
        <v>0</v>
      </c>
      <c r="FR12" s="241">
        <f t="shared" ca="1" si="107"/>
        <v>1</v>
      </c>
      <c r="FS12" s="220">
        <f t="shared" ca="1" si="153"/>
        <v>0</v>
      </c>
      <c r="FT12" s="220">
        <f t="shared" ca="1" si="154"/>
        <v>0</v>
      </c>
      <c r="FU12" s="235">
        <f t="shared" ca="1" si="155"/>
        <v>0</v>
      </c>
      <c r="FV12" s="235">
        <f t="shared" ca="1" si="156"/>
        <v>0</v>
      </c>
      <c r="FW12" s="242">
        <f t="shared" ca="1" si="157"/>
        <v>0</v>
      </c>
      <c r="FX12" s="241">
        <f t="shared" ca="1" si="107"/>
        <v>1</v>
      </c>
      <c r="FY12" s="220">
        <f t="shared" ca="1" si="158"/>
        <v>0</v>
      </c>
      <c r="FZ12" s="220">
        <f t="shared" ca="1" si="159"/>
        <v>0</v>
      </c>
      <c r="GA12" s="235">
        <f t="shared" ca="1" si="160"/>
        <v>0</v>
      </c>
      <c r="GB12" s="235">
        <f t="shared" ca="1" si="161"/>
        <v>0</v>
      </c>
      <c r="GC12" s="242">
        <f t="shared" ca="1" si="162"/>
        <v>0</v>
      </c>
      <c r="GD12" s="241">
        <f t="shared" ca="1" si="163"/>
        <v>1</v>
      </c>
      <c r="GE12" s="220">
        <f t="shared" ca="1" si="164"/>
        <v>0</v>
      </c>
      <c r="GF12" s="220">
        <f t="shared" ca="1" si="165"/>
        <v>0</v>
      </c>
      <c r="GG12" s="235">
        <f t="shared" ca="1" si="166"/>
        <v>0</v>
      </c>
      <c r="GH12" s="235">
        <f t="shared" ca="1" si="167"/>
        <v>0</v>
      </c>
      <c r="GI12" s="242">
        <f t="shared" ca="1" si="168"/>
        <v>0</v>
      </c>
      <c r="GJ12" s="241">
        <f t="shared" ca="1" si="163"/>
        <v>1</v>
      </c>
      <c r="GK12" s="220">
        <f t="shared" ca="1" si="169"/>
        <v>0</v>
      </c>
      <c r="GL12" s="220">
        <f t="shared" ca="1" si="170"/>
        <v>0</v>
      </c>
      <c r="GM12" s="235">
        <f t="shared" ca="1" si="171"/>
        <v>0</v>
      </c>
      <c r="GN12" s="235">
        <f t="shared" ca="1" si="172"/>
        <v>0</v>
      </c>
      <c r="GO12" s="242">
        <f t="shared" ca="1" si="173"/>
        <v>0</v>
      </c>
      <c r="GP12" s="241">
        <f t="shared" ca="1" si="163"/>
        <v>1</v>
      </c>
      <c r="GQ12" s="220">
        <f t="shared" ca="1" si="174"/>
        <v>0</v>
      </c>
      <c r="GR12" s="220">
        <f t="shared" ca="1" si="175"/>
        <v>0</v>
      </c>
      <c r="GS12" s="235">
        <f t="shared" ca="1" si="176"/>
        <v>0</v>
      </c>
      <c r="GT12" s="235">
        <f t="shared" ca="1" si="177"/>
        <v>0</v>
      </c>
      <c r="GU12" s="242">
        <f t="shared" ca="1" si="178"/>
        <v>0</v>
      </c>
      <c r="GV12" s="241">
        <f t="shared" ca="1" si="163"/>
        <v>1</v>
      </c>
      <c r="GW12" s="220">
        <f t="shared" ca="1" si="179"/>
        <v>0</v>
      </c>
      <c r="GX12" s="220">
        <f t="shared" ca="1" si="180"/>
        <v>0</v>
      </c>
      <c r="GY12" s="235">
        <f t="shared" ca="1" si="181"/>
        <v>0</v>
      </c>
      <c r="GZ12" s="235">
        <f t="shared" ca="1" si="182"/>
        <v>0</v>
      </c>
      <c r="HA12" s="242">
        <f t="shared" ca="1" si="183"/>
        <v>0</v>
      </c>
      <c r="HB12" s="241">
        <f t="shared" ca="1" si="163"/>
        <v>1</v>
      </c>
      <c r="HC12" s="220">
        <f t="shared" ca="1" si="184"/>
        <v>0</v>
      </c>
      <c r="HD12" s="220">
        <f t="shared" ca="1" si="185"/>
        <v>0</v>
      </c>
      <c r="HE12" s="235">
        <f t="shared" ca="1" si="186"/>
        <v>0</v>
      </c>
      <c r="HF12" s="235">
        <f t="shared" ca="1" si="187"/>
        <v>0</v>
      </c>
      <c r="HG12" s="242">
        <f t="shared" ca="1" si="188"/>
        <v>0</v>
      </c>
      <c r="HH12" s="241">
        <f t="shared" ca="1" si="163"/>
        <v>1</v>
      </c>
      <c r="HI12" s="220">
        <f t="shared" ca="1" si="189"/>
        <v>0</v>
      </c>
      <c r="HJ12" s="220">
        <f t="shared" ca="1" si="190"/>
        <v>0</v>
      </c>
      <c r="HK12" s="235">
        <f t="shared" ca="1" si="191"/>
        <v>0</v>
      </c>
      <c r="HL12" s="235">
        <f t="shared" ca="1" si="192"/>
        <v>0</v>
      </c>
      <c r="HM12" s="242">
        <f t="shared" ca="1" si="193"/>
        <v>0</v>
      </c>
      <c r="HN12" s="241">
        <f t="shared" ca="1" si="163"/>
        <v>1</v>
      </c>
      <c r="HO12" s="220">
        <f t="shared" ca="1" si="194"/>
        <v>0</v>
      </c>
      <c r="HP12" s="220">
        <f t="shared" ca="1" si="195"/>
        <v>0</v>
      </c>
      <c r="HQ12" s="235">
        <f t="shared" ca="1" si="196"/>
        <v>0</v>
      </c>
      <c r="HR12" s="235">
        <f t="shared" ca="1" si="197"/>
        <v>0</v>
      </c>
      <c r="HS12" s="242">
        <f t="shared" ca="1" si="198"/>
        <v>0</v>
      </c>
      <c r="HT12" s="241">
        <f t="shared" ca="1" si="163"/>
        <v>1</v>
      </c>
      <c r="HU12" s="220">
        <f t="shared" ca="1" si="199"/>
        <v>0</v>
      </c>
      <c r="HV12" s="220">
        <f t="shared" ca="1" si="200"/>
        <v>0</v>
      </c>
      <c r="HW12" s="235">
        <f t="shared" ca="1" si="201"/>
        <v>0</v>
      </c>
      <c r="HX12" s="235">
        <f t="shared" ca="1" si="202"/>
        <v>0</v>
      </c>
      <c r="HY12" s="242">
        <f t="shared" ca="1" si="203"/>
        <v>0</v>
      </c>
      <c r="HZ12" s="241">
        <f t="shared" ca="1" si="163"/>
        <v>1</v>
      </c>
      <c r="IA12" s="220">
        <f t="shared" ca="1" si="204"/>
        <v>0</v>
      </c>
      <c r="IB12" s="220">
        <f t="shared" ca="1" si="205"/>
        <v>0</v>
      </c>
      <c r="IC12" s="235">
        <f t="shared" ca="1" si="206"/>
        <v>0</v>
      </c>
      <c r="ID12" s="235">
        <f t="shared" ca="1" si="207"/>
        <v>0</v>
      </c>
      <c r="IE12" s="242">
        <f t="shared" ca="1" si="208"/>
        <v>0</v>
      </c>
      <c r="IF12" s="241">
        <f t="shared" ca="1" si="163"/>
        <v>1</v>
      </c>
      <c r="IG12" s="220">
        <f t="shared" ca="1" si="209"/>
        <v>0</v>
      </c>
      <c r="IH12" s="220">
        <f t="shared" ca="1" si="210"/>
        <v>0</v>
      </c>
      <c r="II12" s="235">
        <f t="shared" ca="1" si="211"/>
        <v>0</v>
      </c>
      <c r="IJ12" s="235">
        <f t="shared" ca="1" si="212"/>
        <v>0</v>
      </c>
      <c r="IK12" s="242">
        <f t="shared" ca="1" si="213"/>
        <v>0</v>
      </c>
      <c r="IL12" s="241">
        <f t="shared" ca="1" si="163"/>
        <v>1</v>
      </c>
      <c r="IM12" s="220">
        <f t="shared" ca="1" si="214"/>
        <v>0</v>
      </c>
      <c r="IN12" s="220">
        <f t="shared" ca="1" si="215"/>
        <v>0</v>
      </c>
      <c r="IO12" s="235">
        <f t="shared" ca="1" si="216"/>
        <v>0</v>
      </c>
      <c r="IP12" s="235">
        <f t="shared" ca="1" si="217"/>
        <v>0</v>
      </c>
      <c r="IQ12" s="242">
        <f t="shared" ca="1" si="218"/>
        <v>0</v>
      </c>
      <c r="IR12" s="241">
        <f t="shared" ca="1" si="219"/>
        <v>1</v>
      </c>
      <c r="IS12" s="220">
        <f t="shared" ca="1" si="220"/>
        <v>0</v>
      </c>
      <c r="IT12" s="220">
        <f t="shared" ca="1" si="221"/>
        <v>0</v>
      </c>
      <c r="IU12" s="235">
        <f t="shared" ca="1" si="222"/>
        <v>0</v>
      </c>
      <c r="IV12" s="235">
        <f t="shared" ca="1" si="223"/>
        <v>0</v>
      </c>
      <c r="IW12" s="242">
        <f t="shared" ca="1" si="224"/>
        <v>0</v>
      </c>
      <c r="IX12" s="241">
        <f t="shared" ca="1" si="219"/>
        <v>1</v>
      </c>
      <c r="IY12" s="220">
        <f t="shared" ca="1" si="225"/>
        <v>0</v>
      </c>
      <c r="IZ12" s="220">
        <f t="shared" ca="1" si="226"/>
        <v>0</v>
      </c>
      <c r="JA12" s="235">
        <f t="shared" ca="1" si="227"/>
        <v>0</v>
      </c>
      <c r="JB12" s="235">
        <f t="shared" ca="1" si="228"/>
        <v>0</v>
      </c>
      <c r="JC12" s="242">
        <f t="shared" ca="1" si="229"/>
        <v>0</v>
      </c>
      <c r="JD12" s="241">
        <f t="shared" ca="1" si="219"/>
        <v>1</v>
      </c>
      <c r="JE12" s="220">
        <f t="shared" ca="1" si="230"/>
        <v>0</v>
      </c>
      <c r="JF12" s="220">
        <f t="shared" ca="1" si="231"/>
        <v>0</v>
      </c>
      <c r="JG12" s="235">
        <f t="shared" ca="1" si="232"/>
        <v>0</v>
      </c>
      <c r="JH12" s="235">
        <f t="shared" ca="1" si="233"/>
        <v>0</v>
      </c>
      <c r="JI12" s="242">
        <f t="shared" ca="1" si="234"/>
        <v>0</v>
      </c>
      <c r="JJ12" s="241">
        <f t="shared" ca="1" si="219"/>
        <v>1</v>
      </c>
      <c r="JK12" s="220">
        <f t="shared" ca="1" si="235"/>
        <v>0</v>
      </c>
      <c r="JL12" s="220">
        <f t="shared" ca="1" si="236"/>
        <v>0</v>
      </c>
      <c r="JM12" s="235">
        <f t="shared" ca="1" si="237"/>
        <v>0</v>
      </c>
      <c r="JN12" s="235">
        <f t="shared" ca="1" si="238"/>
        <v>0</v>
      </c>
      <c r="JO12" s="242">
        <f t="shared" ca="1" si="239"/>
        <v>0</v>
      </c>
      <c r="JP12" s="241">
        <f t="shared" ca="1" si="219"/>
        <v>1</v>
      </c>
      <c r="JQ12" s="220">
        <f t="shared" ca="1" si="240"/>
        <v>0</v>
      </c>
      <c r="JR12" s="220">
        <f t="shared" ca="1" si="241"/>
        <v>0</v>
      </c>
      <c r="JS12" s="235">
        <f t="shared" ca="1" si="242"/>
        <v>0</v>
      </c>
      <c r="JT12" s="235">
        <f t="shared" ca="1" si="243"/>
        <v>0</v>
      </c>
      <c r="JU12" s="242">
        <f t="shared" ca="1" si="244"/>
        <v>0</v>
      </c>
      <c r="JV12" s="241">
        <f t="shared" ca="1" si="219"/>
        <v>1</v>
      </c>
      <c r="JW12" s="220">
        <f t="shared" ca="1" si="245"/>
        <v>0</v>
      </c>
      <c r="JX12" s="220">
        <f t="shared" ca="1" si="246"/>
        <v>0</v>
      </c>
      <c r="JY12" s="235">
        <f t="shared" ca="1" si="247"/>
        <v>0</v>
      </c>
      <c r="JZ12" s="235">
        <f t="shared" ca="1" si="248"/>
        <v>0</v>
      </c>
      <c r="KA12" s="242">
        <f t="shared" ca="1" si="249"/>
        <v>0</v>
      </c>
      <c r="KB12" s="241">
        <f t="shared" ca="1" si="219"/>
        <v>1</v>
      </c>
      <c r="KC12" s="220">
        <f t="shared" ca="1" si="250"/>
        <v>0</v>
      </c>
      <c r="KD12" s="220">
        <f t="shared" ca="1" si="251"/>
        <v>0</v>
      </c>
      <c r="KE12" s="235">
        <f t="shared" ca="1" si="252"/>
        <v>0</v>
      </c>
      <c r="KF12" s="235">
        <f t="shared" ca="1" si="253"/>
        <v>0</v>
      </c>
      <c r="KG12" s="242">
        <f t="shared" ca="1" si="254"/>
        <v>0</v>
      </c>
      <c r="KH12" s="241">
        <f t="shared" ca="1" si="219"/>
        <v>1</v>
      </c>
      <c r="KI12" s="220">
        <f t="shared" ca="1" si="255"/>
        <v>0</v>
      </c>
      <c r="KJ12" s="220">
        <f t="shared" ca="1" si="256"/>
        <v>0</v>
      </c>
      <c r="KK12" s="235">
        <f t="shared" ca="1" si="257"/>
        <v>0</v>
      </c>
      <c r="KL12" s="235">
        <f t="shared" ca="1" si="258"/>
        <v>0</v>
      </c>
      <c r="KM12" s="242">
        <f t="shared" ca="1" si="259"/>
        <v>0</v>
      </c>
      <c r="KN12" s="241">
        <f t="shared" ca="1" si="219"/>
        <v>1</v>
      </c>
      <c r="KO12" s="220">
        <f t="shared" ca="1" si="260"/>
        <v>0</v>
      </c>
      <c r="KP12" s="220">
        <f t="shared" ca="1" si="261"/>
        <v>0</v>
      </c>
      <c r="KQ12" s="235">
        <f t="shared" ca="1" si="262"/>
        <v>0</v>
      </c>
      <c r="KR12" s="235">
        <f t="shared" ca="1" si="263"/>
        <v>0</v>
      </c>
      <c r="KS12" s="242">
        <f t="shared" ca="1" si="264"/>
        <v>0</v>
      </c>
      <c r="KT12" s="241">
        <f t="shared" ca="1" si="219"/>
        <v>1</v>
      </c>
      <c r="KU12" s="220">
        <f t="shared" ca="1" si="265"/>
        <v>0</v>
      </c>
      <c r="KV12" s="220">
        <f t="shared" ca="1" si="266"/>
        <v>0</v>
      </c>
      <c r="KW12" s="235">
        <f t="shared" ca="1" si="267"/>
        <v>0</v>
      </c>
      <c r="KX12" s="235">
        <f t="shared" ca="1" si="268"/>
        <v>0</v>
      </c>
      <c r="KY12" s="242">
        <f t="shared" ca="1" si="269"/>
        <v>0</v>
      </c>
      <c r="KZ12" s="241">
        <f t="shared" ca="1" si="219"/>
        <v>1</v>
      </c>
      <c r="LA12" s="220">
        <f t="shared" ca="1" si="270"/>
        <v>0</v>
      </c>
      <c r="LB12" s="220">
        <f t="shared" ca="1" si="271"/>
        <v>0</v>
      </c>
      <c r="LC12" s="235">
        <f t="shared" ca="1" si="272"/>
        <v>0</v>
      </c>
      <c r="LD12" s="235">
        <f t="shared" ca="1" si="273"/>
        <v>0</v>
      </c>
      <c r="LE12" s="242">
        <f t="shared" ca="1" si="274"/>
        <v>0</v>
      </c>
      <c r="LF12" s="241">
        <f t="shared" ca="1" si="275"/>
        <v>1</v>
      </c>
      <c r="LG12" s="220">
        <f t="shared" ca="1" si="276"/>
        <v>0</v>
      </c>
      <c r="LH12" s="220">
        <f t="shared" ca="1" si="277"/>
        <v>0</v>
      </c>
      <c r="LI12" s="235">
        <f t="shared" ca="1" si="278"/>
        <v>0</v>
      </c>
      <c r="LJ12" s="235">
        <f t="shared" ca="1" si="279"/>
        <v>0</v>
      </c>
      <c r="LK12" s="242">
        <f t="shared" ca="1" si="280"/>
        <v>0</v>
      </c>
      <c r="LL12" s="241">
        <f t="shared" ca="1" si="275"/>
        <v>1</v>
      </c>
      <c r="LM12" s="220">
        <f t="shared" ca="1" si="281"/>
        <v>0</v>
      </c>
      <c r="LN12" s="220">
        <f t="shared" ca="1" si="282"/>
        <v>0</v>
      </c>
      <c r="LO12" s="235">
        <f t="shared" ca="1" si="283"/>
        <v>0</v>
      </c>
      <c r="LP12" s="235">
        <f t="shared" ca="1" si="284"/>
        <v>0</v>
      </c>
      <c r="LQ12" s="242">
        <f t="shared" ca="1" si="285"/>
        <v>0</v>
      </c>
      <c r="LR12" s="241">
        <f t="shared" ca="1" si="275"/>
        <v>1</v>
      </c>
      <c r="LS12" s="220">
        <f t="shared" ca="1" si="286"/>
        <v>0</v>
      </c>
      <c r="LT12" s="220">
        <f t="shared" ca="1" si="287"/>
        <v>0</v>
      </c>
      <c r="LU12" s="235">
        <f t="shared" ca="1" si="288"/>
        <v>0</v>
      </c>
      <c r="LV12" s="235">
        <f t="shared" ca="1" si="289"/>
        <v>0</v>
      </c>
      <c r="LW12" s="242">
        <f t="shared" ca="1" si="290"/>
        <v>0</v>
      </c>
      <c r="LX12" s="241">
        <f t="shared" ca="1" si="275"/>
        <v>1</v>
      </c>
      <c r="LY12" s="220">
        <f t="shared" ca="1" si="291"/>
        <v>0</v>
      </c>
      <c r="LZ12" s="220">
        <f t="shared" ca="1" si="292"/>
        <v>0</v>
      </c>
      <c r="MA12" s="235">
        <f t="shared" ca="1" si="293"/>
        <v>0</v>
      </c>
      <c r="MB12" s="235">
        <f t="shared" ca="1" si="294"/>
        <v>0</v>
      </c>
      <c r="MC12" s="242">
        <f t="shared" ca="1" si="295"/>
        <v>0</v>
      </c>
      <c r="MD12" s="241">
        <f t="shared" ca="1" si="275"/>
        <v>1</v>
      </c>
      <c r="ME12" s="220">
        <f t="shared" ca="1" si="296"/>
        <v>0</v>
      </c>
      <c r="MF12" s="220">
        <f t="shared" ca="1" si="297"/>
        <v>0</v>
      </c>
      <c r="MG12" s="235">
        <f t="shared" ca="1" si="298"/>
        <v>0</v>
      </c>
      <c r="MH12" s="235">
        <f t="shared" ca="1" si="299"/>
        <v>0</v>
      </c>
      <c r="MI12" s="242">
        <f t="shared" ca="1" si="300"/>
        <v>0</v>
      </c>
      <c r="MJ12" s="241">
        <f t="shared" ca="1" si="275"/>
        <v>1</v>
      </c>
      <c r="MK12" s="220">
        <f t="shared" ca="1" si="301"/>
        <v>0</v>
      </c>
      <c r="ML12" s="220">
        <f t="shared" ca="1" si="302"/>
        <v>0</v>
      </c>
      <c r="MM12" s="235">
        <f t="shared" ca="1" si="303"/>
        <v>0</v>
      </c>
      <c r="MN12" s="235">
        <f t="shared" ca="1" si="304"/>
        <v>0</v>
      </c>
      <c r="MO12" s="242">
        <f t="shared" ca="1" si="305"/>
        <v>0</v>
      </c>
      <c r="MP12" s="241">
        <f t="shared" ca="1" si="275"/>
        <v>1</v>
      </c>
      <c r="MQ12" s="220">
        <f t="shared" ca="1" si="306"/>
        <v>0</v>
      </c>
      <c r="MR12" s="220">
        <f t="shared" ca="1" si="307"/>
        <v>0</v>
      </c>
      <c r="MS12" s="235">
        <f t="shared" ca="1" si="308"/>
        <v>0</v>
      </c>
      <c r="MT12" s="235">
        <f t="shared" ca="1" si="309"/>
        <v>0</v>
      </c>
      <c r="MU12" s="242">
        <f t="shared" ca="1" si="310"/>
        <v>0</v>
      </c>
      <c r="MV12" s="241">
        <f t="shared" ca="1" si="275"/>
        <v>1</v>
      </c>
      <c r="MW12" s="220">
        <f t="shared" ca="1" si="311"/>
        <v>0</v>
      </c>
      <c r="MX12" s="220">
        <f t="shared" ca="1" si="312"/>
        <v>0</v>
      </c>
      <c r="MY12" s="235">
        <f t="shared" ca="1" si="313"/>
        <v>0</v>
      </c>
      <c r="MZ12" s="235">
        <f t="shared" ca="1" si="314"/>
        <v>0</v>
      </c>
      <c r="NA12" s="242">
        <f t="shared" ca="1" si="315"/>
        <v>0</v>
      </c>
      <c r="NB12" s="241">
        <f t="shared" ca="1" si="275"/>
        <v>1</v>
      </c>
      <c r="NC12" s="220">
        <f t="shared" ca="1" si="316"/>
        <v>0</v>
      </c>
      <c r="ND12" s="220">
        <f t="shared" ca="1" si="317"/>
        <v>0</v>
      </c>
      <c r="NE12" s="235">
        <f t="shared" ca="1" si="318"/>
        <v>0</v>
      </c>
      <c r="NF12" s="235">
        <f t="shared" ca="1" si="319"/>
        <v>0</v>
      </c>
      <c r="NG12" s="242">
        <f t="shared" ca="1" si="320"/>
        <v>0</v>
      </c>
      <c r="NH12" s="241">
        <f t="shared" ca="1" si="275"/>
        <v>1</v>
      </c>
      <c r="NI12" s="220">
        <f t="shared" ca="1" si="321"/>
        <v>0</v>
      </c>
      <c r="NJ12" s="220">
        <f t="shared" ca="1" si="322"/>
        <v>0</v>
      </c>
      <c r="NK12" s="235">
        <f t="shared" ca="1" si="323"/>
        <v>0</v>
      </c>
      <c r="NL12" s="235">
        <f t="shared" ca="1" si="324"/>
        <v>0</v>
      </c>
      <c r="NM12" s="242">
        <f t="shared" ca="1" si="325"/>
        <v>0</v>
      </c>
      <c r="NN12" s="241">
        <f t="shared" ca="1" si="275"/>
        <v>1</v>
      </c>
      <c r="NO12" s="220">
        <f t="shared" ca="1" si="326"/>
        <v>0</v>
      </c>
      <c r="NP12" s="220">
        <f t="shared" ca="1" si="327"/>
        <v>0</v>
      </c>
      <c r="NQ12" s="235">
        <f t="shared" ca="1" si="328"/>
        <v>0</v>
      </c>
      <c r="NR12" s="235">
        <f t="shared" ca="1" si="329"/>
        <v>0</v>
      </c>
      <c r="NS12" s="242">
        <f t="shared" ca="1" si="330"/>
        <v>0</v>
      </c>
      <c r="NT12" s="241">
        <f t="shared" ca="1" si="331"/>
        <v>1</v>
      </c>
      <c r="NU12" s="220">
        <f t="shared" ca="1" si="332"/>
        <v>0</v>
      </c>
      <c r="NV12" s="220">
        <f t="shared" ca="1" si="333"/>
        <v>0</v>
      </c>
      <c r="NW12" s="235">
        <f t="shared" ca="1" si="334"/>
        <v>0</v>
      </c>
      <c r="NX12" s="235">
        <f t="shared" ca="1" si="335"/>
        <v>0</v>
      </c>
      <c r="NY12" s="242">
        <f t="shared" ca="1" si="336"/>
        <v>0</v>
      </c>
      <c r="NZ12" s="241">
        <f t="shared" ca="1" si="331"/>
        <v>1</v>
      </c>
      <c r="OA12" s="220">
        <f t="shared" ca="1" si="337"/>
        <v>0</v>
      </c>
      <c r="OB12" s="220">
        <f t="shared" ca="1" si="338"/>
        <v>0</v>
      </c>
      <c r="OC12" s="235">
        <f t="shared" ca="1" si="339"/>
        <v>0</v>
      </c>
      <c r="OD12" s="235">
        <f t="shared" ca="1" si="340"/>
        <v>0</v>
      </c>
      <c r="OE12" s="242">
        <f t="shared" ca="1" si="341"/>
        <v>0</v>
      </c>
      <c r="OF12" s="241">
        <f t="shared" ca="1" si="331"/>
        <v>1</v>
      </c>
      <c r="OG12" s="220">
        <f t="shared" ca="1" si="342"/>
        <v>0</v>
      </c>
      <c r="OH12" s="220">
        <f t="shared" ca="1" si="343"/>
        <v>0</v>
      </c>
      <c r="OI12" s="235">
        <f t="shared" ca="1" si="344"/>
        <v>0</v>
      </c>
      <c r="OJ12" s="235">
        <f t="shared" ca="1" si="345"/>
        <v>0</v>
      </c>
      <c r="OK12" s="242">
        <f t="shared" ca="1" si="346"/>
        <v>0</v>
      </c>
      <c r="OL12" s="241">
        <f t="shared" ca="1" si="331"/>
        <v>1</v>
      </c>
      <c r="OM12" s="220">
        <f t="shared" ca="1" si="347"/>
        <v>0</v>
      </c>
      <c r="ON12" s="220">
        <f t="shared" ca="1" si="348"/>
        <v>0</v>
      </c>
      <c r="OO12" s="235">
        <f t="shared" ca="1" si="349"/>
        <v>0</v>
      </c>
      <c r="OP12" s="235">
        <f t="shared" ca="1" si="350"/>
        <v>0</v>
      </c>
      <c r="OQ12" s="242">
        <f t="shared" ca="1" si="351"/>
        <v>0</v>
      </c>
      <c r="OR12" s="241">
        <f t="shared" ca="1" si="331"/>
        <v>1</v>
      </c>
      <c r="OS12" s="220">
        <f t="shared" ca="1" si="352"/>
        <v>0</v>
      </c>
      <c r="OT12" s="220">
        <f t="shared" ca="1" si="353"/>
        <v>0</v>
      </c>
      <c r="OU12" s="235">
        <f t="shared" ca="1" si="354"/>
        <v>0</v>
      </c>
      <c r="OV12" s="235">
        <f t="shared" ca="1" si="355"/>
        <v>0</v>
      </c>
      <c r="OW12" s="242">
        <f t="shared" ca="1" si="356"/>
        <v>0</v>
      </c>
      <c r="OX12" s="241">
        <f t="shared" ca="1" si="331"/>
        <v>1</v>
      </c>
      <c r="OY12" s="220">
        <f t="shared" ca="1" si="357"/>
        <v>0</v>
      </c>
      <c r="OZ12" s="220">
        <f t="shared" ca="1" si="358"/>
        <v>0</v>
      </c>
      <c r="PA12" s="235">
        <f t="shared" ca="1" si="359"/>
        <v>0</v>
      </c>
      <c r="PB12" s="235">
        <f t="shared" ca="1" si="360"/>
        <v>0</v>
      </c>
      <c r="PC12" s="242">
        <f t="shared" ca="1" si="361"/>
        <v>0</v>
      </c>
      <c r="PD12" s="241">
        <f t="shared" ca="1" si="331"/>
        <v>1</v>
      </c>
      <c r="PE12" s="220">
        <f t="shared" ca="1" si="362"/>
        <v>0</v>
      </c>
      <c r="PF12" s="220">
        <f t="shared" ca="1" si="363"/>
        <v>0</v>
      </c>
      <c r="PG12" s="235">
        <f t="shared" ca="1" si="364"/>
        <v>0</v>
      </c>
      <c r="PH12" s="235">
        <f t="shared" ca="1" si="365"/>
        <v>0</v>
      </c>
      <c r="PI12" s="242">
        <f t="shared" ca="1" si="366"/>
        <v>0</v>
      </c>
      <c r="PJ12" s="241">
        <f t="shared" ca="1" si="331"/>
        <v>1</v>
      </c>
      <c r="PK12" s="220">
        <f t="shared" ca="1" si="367"/>
        <v>0</v>
      </c>
      <c r="PL12" s="220">
        <f t="shared" ca="1" si="368"/>
        <v>0</v>
      </c>
      <c r="PM12" s="235">
        <f t="shared" ca="1" si="369"/>
        <v>0</v>
      </c>
      <c r="PN12" s="235">
        <f t="shared" ca="1" si="370"/>
        <v>0</v>
      </c>
      <c r="PO12" s="242">
        <f t="shared" ca="1" si="371"/>
        <v>0</v>
      </c>
      <c r="PP12" s="241">
        <f t="shared" ca="1" si="331"/>
        <v>1</v>
      </c>
      <c r="PQ12" s="220">
        <f t="shared" ca="1" si="372"/>
        <v>0</v>
      </c>
      <c r="PR12" s="220">
        <f t="shared" ca="1" si="373"/>
        <v>0</v>
      </c>
      <c r="PS12" s="235">
        <f t="shared" ca="1" si="374"/>
        <v>0</v>
      </c>
      <c r="PT12" s="235">
        <f t="shared" ca="1" si="375"/>
        <v>0</v>
      </c>
      <c r="PU12" s="242">
        <f t="shared" ca="1" si="376"/>
        <v>0</v>
      </c>
      <c r="PV12" s="241">
        <f t="shared" ca="1" si="331"/>
        <v>1</v>
      </c>
      <c r="PW12" s="220">
        <f t="shared" ca="1" si="377"/>
        <v>0</v>
      </c>
      <c r="PX12" s="220">
        <f t="shared" ca="1" si="378"/>
        <v>0</v>
      </c>
      <c r="PY12" s="235">
        <f t="shared" ca="1" si="379"/>
        <v>0</v>
      </c>
      <c r="PZ12" s="235">
        <f t="shared" ca="1" si="380"/>
        <v>0</v>
      </c>
      <c r="QA12" s="242">
        <f t="shared" ca="1" si="381"/>
        <v>0</v>
      </c>
      <c r="QB12" s="241">
        <f t="shared" ca="1" si="331"/>
        <v>1</v>
      </c>
      <c r="QC12" s="220">
        <f t="shared" ca="1" si="382"/>
        <v>0</v>
      </c>
      <c r="QD12" s="220">
        <f t="shared" ca="1" si="383"/>
        <v>0</v>
      </c>
      <c r="QE12" s="235">
        <f t="shared" ca="1" si="384"/>
        <v>0</v>
      </c>
      <c r="QF12" s="235">
        <f t="shared" ca="1" si="385"/>
        <v>0</v>
      </c>
      <c r="QG12" s="242">
        <f t="shared" ca="1" si="386"/>
        <v>0</v>
      </c>
      <c r="QH12" s="241">
        <f t="shared" ca="1" si="387"/>
        <v>1</v>
      </c>
      <c r="QI12" s="220">
        <f t="shared" ca="1" si="388"/>
        <v>0</v>
      </c>
      <c r="QJ12" s="220">
        <f t="shared" ca="1" si="389"/>
        <v>0</v>
      </c>
      <c r="QK12" s="235">
        <f t="shared" ca="1" si="390"/>
        <v>0</v>
      </c>
      <c r="QL12" s="235">
        <f t="shared" ca="1" si="391"/>
        <v>0</v>
      </c>
      <c r="QM12" s="242">
        <f t="shared" ca="1" si="392"/>
        <v>0</v>
      </c>
      <c r="QN12" s="241">
        <f t="shared" ca="1" si="387"/>
        <v>1</v>
      </c>
      <c r="QO12" s="220">
        <f t="shared" ca="1" si="393"/>
        <v>0</v>
      </c>
      <c r="QP12" s="220">
        <f t="shared" ca="1" si="394"/>
        <v>0</v>
      </c>
      <c r="QQ12" s="235">
        <f t="shared" ca="1" si="395"/>
        <v>0</v>
      </c>
      <c r="QR12" s="235">
        <f t="shared" ca="1" si="396"/>
        <v>0</v>
      </c>
      <c r="QS12" s="242">
        <f t="shared" ca="1" si="397"/>
        <v>0</v>
      </c>
      <c r="QT12" s="241">
        <f t="shared" ca="1" si="387"/>
        <v>1</v>
      </c>
      <c r="QU12" s="220">
        <f t="shared" ca="1" si="398"/>
        <v>0</v>
      </c>
      <c r="QV12" s="220">
        <f t="shared" ca="1" si="399"/>
        <v>0</v>
      </c>
      <c r="QW12" s="235">
        <f t="shared" ca="1" si="400"/>
        <v>0</v>
      </c>
      <c r="QX12" s="235">
        <f t="shared" ca="1" si="401"/>
        <v>0</v>
      </c>
      <c r="QY12" s="242">
        <f t="shared" ca="1" si="402"/>
        <v>0</v>
      </c>
      <c r="QZ12" s="241">
        <f t="shared" ca="1" si="387"/>
        <v>1</v>
      </c>
      <c r="RA12" s="220">
        <f t="shared" ca="1" si="403"/>
        <v>0</v>
      </c>
      <c r="RB12" s="220">
        <f t="shared" ca="1" si="404"/>
        <v>0</v>
      </c>
      <c r="RC12" s="235">
        <f t="shared" ca="1" si="405"/>
        <v>0</v>
      </c>
      <c r="RD12" s="235">
        <f t="shared" ca="1" si="406"/>
        <v>0</v>
      </c>
      <c r="RE12" s="242">
        <f t="shared" ca="1" si="407"/>
        <v>0</v>
      </c>
      <c r="RF12" s="241">
        <f t="shared" ca="1" si="387"/>
        <v>1</v>
      </c>
      <c r="RG12" s="220">
        <f t="shared" ca="1" si="408"/>
        <v>0</v>
      </c>
      <c r="RH12" s="220">
        <f t="shared" ca="1" si="409"/>
        <v>0</v>
      </c>
      <c r="RI12" s="235">
        <f t="shared" ca="1" si="410"/>
        <v>0</v>
      </c>
      <c r="RJ12" s="235">
        <f t="shared" ca="1" si="411"/>
        <v>0</v>
      </c>
      <c r="RK12" s="242">
        <f t="shared" ca="1" si="412"/>
        <v>0</v>
      </c>
      <c r="RL12" s="241">
        <f t="shared" ca="1" si="387"/>
        <v>1</v>
      </c>
      <c r="RM12" s="220">
        <f t="shared" ca="1" si="413"/>
        <v>0</v>
      </c>
      <c r="RN12" s="220">
        <f t="shared" ca="1" si="414"/>
        <v>0</v>
      </c>
      <c r="RO12" s="235">
        <f t="shared" ca="1" si="415"/>
        <v>0</v>
      </c>
      <c r="RP12" s="235">
        <f t="shared" ca="1" si="416"/>
        <v>0</v>
      </c>
      <c r="RQ12" s="242">
        <f t="shared" ca="1" si="417"/>
        <v>0</v>
      </c>
      <c r="RR12" s="241">
        <f t="shared" ca="1" si="387"/>
        <v>1</v>
      </c>
      <c r="RS12" s="220">
        <f t="shared" ca="1" si="418"/>
        <v>0</v>
      </c>
      <c r="RT12" s="220">
        <f t="shared" ca="1" si="419"/>
        <v>0</v>
      </c>
      <c r="RU12" s="235">
        <f t="shared" ca="1" si="420"/>
        <v>0</v>
      </c>
      <c r="RV12" s="235">
        <f t="shared" ca="1" si="421"/>
        <v>0</v>
      </c>
      <c r="RW12" s="242">
        <f t="shared" ca="1" si="422"/>
        <v>0</v>
      </c>
      <c r="RX12" s="241">
        <f t="shared" ca="1" si="387"/>
        <v>1</v>
      </c>
      <c r="RY12" s="220">
        <f t="shared" ca="1" si="423"/>
        <v>0</v>
      </c>
      <c r="RZ12" s="220">
        <f t="shared" ca="1" si="424"/>
        <v>0</v>
      </c>
      <c r="SA12" s="235">
        <f t="shared" ca="1" si="425"/>
        <v>0</v>
      </c>
      <c r="SB12" s="235">
        <f t="shared" ca="1" si="426"/>
        <v>0</v>
      </c>
      <c r="SC12" s="242">
        <f t="shared" ca="1" si="427"/>
        <v>0</v>
      </c>
      <c r="SD12" s="241">
        <f t="shared" ca="1" si="387"/>
        <v>1</v>
      </c>
      <c r="SE12" s="220">
        <f t="shared" ca="1" si="428"/>
        <v>0</v>
      </c>
      <c r="SF12" s="220">
        <f t="shared" ca="1" si="429"/>
        <v>0</v>
      </c>
      <c r="SG12" s="235">
        <f t="shared" ca="1" si="430"/>
        <v>0</v>
      </c>
      <c r="SH12" s="235">
        <f t="shared" ca="1" si="431"/>
        <v>0</v>
      </c>
      <c r="SI12" s="242">
        <f t="shared" ca="1" si="432"/>
        <v>0</v>
      </c>
      <c r="SJ12" s="241">
        <f t="shared" ca="1" si="387"/>
        <v>1</v>
      </c>
      <c r="SK12" s="220">
        <f t="shared" ca="1" si="433"/>
        <v>0</v>
      </c>
      <c r="SL12" s="220">
        <f t="shared" ca="1" si="434"/>
        <v>0</v>
      </c>
      <c r="SM12" s="235">
        <f t="shared" ca="1" si="435"/>
        <v>0</v>
      </c>
      <c r="SN12" s="235">
        <f t="shared" ca="1" si="436"/>
        <v>0</v>
      </c>
      <c r="SO12" s="242">
        <f t="shared" ca="1" si="437"/>
        <v>0</v>
      </c>
      <c r="SP12" s="241">
        <f t="shared" ca="1" si="387"/>
        <v>1</v>
      </c>
      <c r="SQ12" s="220">
        <f t="shared" ca="1" si="438"/>
        <v>0</v>
      </c>
      <c r="SR12" s="220">
        <f t="shared" ca="1" si="439"/>
        <v>0</v>
      </c>
      <c r="SS12" s="235">
        <f t="shared" ca="1" si="440"/>
        <v>0</v>
      </c>
      <c r="ST12" s="235">
        <f t="shared" ca="1" si="441"/>
        <v>0</v>
      </c>
      <c r="SU12" s="242">
        <f t="shared" ca="1" si="442"/>
        <v>0</v>
      </c>
      <c r="SV12" s="241">
        <f t="shared" ca="1" si="443"/>
        <v>1</v>
      </c>
      <c r="SW12" s="220">
        <f t="shared" ca="1" si="444"/>
        <v>0</v>
      </c>
      <c r="SX12" s="220">
        <f t="shared" ca="1" si="445"/>
        <v>0</v>
      </c>
      <c r="SY12" s="235">
        <f t="shared" ca="1" si="446"/>
        <v>0</v>
      </c>
      <c r="SZ12" s="235">
        <f t="shared" ca="1" si="447"/>
        <v>0</v>
      </c>
      <c r="TA12" s="242">
        <f t="shared" ca="1" si="448"/>
        <v>0</v>
      </c>
      <c r="TB12" s="241">
        <f t="shared" ca="1" si="443"/>
        <v>1</v>
      </c>
      <c r="TC12" s="220">
        <f t="shared" ca="1" si="449"/>
        <v>0</v>
      </c>
      <c r="TD12" s="220">
        <f t="shared" ca="1" si="450"/>
        <v>0</v>
      </c>
      <c r="TE12" s="235">
        <f t="shared" ca="1" si="451"/>
        <v>0</v>
      </c>
      <c r="TF12" s="235">
        <f t="shared" ca="1" si="452"/>
        <v>0</v>
      </c>
      <c r="TG12" s="242">
        <f t="shared" ca="1" si="453"/>
        <v>0</v>
      </c>
      <c r="TH12" s="241">
        <f t="shared" ca="1" si="443"/>
        <v>1</v>
      </c>
      <c r="TI12" s="220">
        <f t="shared" ca="1" si="454"/>
        <v>0</v>
      </c>
      <c r="TJ12" s="220">
        <f t="shared" ca="1" si="455"/>
        <v>0</v>
      </c>
      <c r="TK12" s="235">
        <f t="shared" ca="1" si="456"/>
        <v>0</v>
      </c>
      <c r="TL12" s="235">
        <f t="shared" ca="1" si="457"/>
        <v>0</v>
      </c>
      <c r="TM12" s="242">
        <f t="shared" ca="1" si="458"/>
        <v>0</v>
      </c>
      <c r="TN12" s="241">
        <f t="shared" ca="1" si="443"/>
        <v>1</v>
      </c>
      <c r="TO12" s="220">
        <f t="shared" ca="1" si="459"/>
        <v>0</v>
      </c>
      <c r="TP12" s="220">
        <f t="shared" ca="1" si="460"/>
        <v>0</v>
      </c>
      <c r="TQ12" s="235">
        <f t="shared" ca="1" si="461"/>
        <v>0</v>
      </c>
      <c r="TR12" s="235">
        <f t="shared" ca="1" si="462"/>
        <v>0</v>
      </c>
      <c r="TS12" s="242">
        <f t="shared" ca="1" si="463"/>
        <v>0</v>
      </c>
      <c r="TT12" s="241">
        <f t="shared" ca="1" si="443"/>
        <v>1</v>
      </c>
      <c r="TU12" s="220">
        <f t="shared" ca="1" si="464"/>
        <v>0</v>
      </c>
      <c r="TV12" s="220">
        <f t="shared" ca="1" si="465"/>
        <v>0</v>
      </c>
      <c r="TW12" s="235">
        <f t="shared" ca="1" si="466"/>
        <v>0</v>
      </c>
      <c r="TX12" s="235">
        <f t="shared" ca="1" si="467"/>
        <v>0</v>
      </c>
      <c r="TY12" s="242">
        <f t="shared" ca="1" si="468"/>
        <v>0</v>
      </c>
      <c r="TZ12" s="241">
        <f t="shared" ca="1" si="443"/>
        <v>1</v>
      </c>
      <c r="UA12" s="220">
        <f t="shared" ca="1" si="469"/>
        <v>0</v>
      </c>
      <c r="UB12" s="220">
        <f t="shared" ca="1" si="470"/>
        <v>0</v>
      </c>
      <c r="UC12" s="235">
        <f t="shared" ca="1" si="471"/>
        <v>0</v>
      </c>
      <c r="UD12" s="235">
        <f t="shared" ca="1" si="472"/>
        <v>0</v>
      </c>
      <c r="UE12" s="242">
        <f t="shared" ca="1" si="473"/>
        <v>0</v>
      </c>
      <c r="UF12" s="241">
        <f t="shared" ca="1" si="443"/>
        <v>1</v>
      </c>
      <c r="UG12" s="220">
        <f t="shared" ca="1" si="474"/>
        <v>0</v>
      </c>
      <c r="UH12" s="220">
        <f t="shared" ca="1" si="475"/>
        <v>0</v>
      </c>
      <c r="UI12" s="235">
        <f t="shared" ca="1" si="476"/>
        <v>0</v>
      </c>
      <c r="UJ12" s="235">
        <f t="shared" ca="1" si="477"/>
        <v>0</v>
      </c>
      <c r="UK12" s="242">
        <f t="shared" ca="1" si="478"/>
        <v>0</v>
      </c>
      <c r="UL12" s="241">
        <f t="shared" ca="1" si="443"/>
        <v>1</v>
      </c>
      <c r="UM12" s="220">
        <f t="shared" ca="1" si="479"/>
        <v>0</v>
      </c>
      <c r="UN12" s="220">
        <f t="shared" ca="1" si="480"/>
        <v>0</v>
      </c>
      <c r="UO12" s="235">
        <f t="shared" ca="1" si="481"/>
        <v>0</v>
      </c>
      <c r="UP12" s="235">
        <f t="shared" ca="1" si="482"/>
        <v>0</v>
      </c>
      <c r="UQ12" s="242">
        <f t="shared" ca="1" si="483"/>
        <v>0</v>
      </c>
      <c r="UR12" s="241">
        <f t="shared" ca="1" si="443"/>
        <v>1</v>
      </c>
      <c r="US12" s="220">
        <f t="shared" ca="1" si="484"/>
        <v>0</v>
      </c>
      <c r="UT12" s="220">
        <f t="shared" ca="1" si="485"/>
        <v>0</v>
      </c>
      <c r="UU12" s="235">
        <f t="shared" ca="1" si="486"/>
        <v>0</v>
      </c>
      <c r="UV12" s="235">
        <f t="shared" ca="1" si="487"/>
        <v>0</v>
      </c>
      <c r="UW12" s="242">
        <f t="shared" ca="1" si="488"/>
        <v>0</v>
      </c>
      <c r="UX12" s="241">
        <f t="shared" ca="1" si="443"/>
        <v>1</v>
      </c>
      <c r="UY12" s="220">
        <f t="shared" ca="1" si="489"/>
        <v>0</v>
      </c>
      <c r="UZ12" s="220">
        <f t="shared" ca="1" si="490"/>
        <v>0</v>
      </c>
      <c r="VA12" s="235">
        <f t="shared" ca="1" si="491"/>
        <v>0</v>
      </c>
      <c r="VB12" s="235">
        <f t="shared" ca="1" si="492"/>
        <v>0</v>
      </c>
      <c r="VC12" s="242">
        <f t="shared" ca="1" si="493"/>
        <v>0</v>
      </c>
      <c r="VD12" s="241">
        <f t="shared" ca="1" si="443"/>
        <v>1</v>
      </c>
      <c r="VE12" s="220">
        <f t="shared" ca="1" si="494"/>
        <v>0</v>
      </c>
      <c r="VF12" s="220">
        <f t="shared" ca="1" si="495"/>
        <v>0</v>
      </c>
      <c r="VG12" s="235">
        <f t="shared" ca="1" si="496"/>
        <v>0</v>
      </c>
      <c r="VH12" s="235">
        <f t="shared" ca="1" si="497"/>
        <v>0</v>
      </c>
      <c r="VI12" s="242">
        <f t="shared" ca="1" si="498"/>
        <v>0</v>
      </c>
      <c r="VJ12" s="241">
        <f t="shared" ca="1" si="499"/>
        <v>1</v>
      </c>
      <c r="VK12" s="220">
        <f t="shared" ca="1" si="500"/>
        <v>0</v>
      </c>
      <c r="VL12" s="220">
        <f t="shared" ca="1" si="501"/>
        <v>0</v>
      </c>
      <c r="VM12" s="235">
        <f t="shared" ca="1" si="502"/>
        <v>0</v>
      </c>
      <c r="VN12" s="235">
        <f t="shared" ca="1" si="503"/>
        <v>0</v>
      </c>
      <c r="VO12" s="242">
        <f t="shared" ca="1" si="504"/>
        <v>0</v>
      </c>
      <c r="VP12" s="241">
        <f t="shared" ca="1" si="499"/>
        <v>1</v>
      </c>
      <c r="VQ12" s="220">
        <f t="shared" ca="1" si="505"/>
        <v>0</v>
      </c>
      <c r="VR12" s="220">
        <f t="shared" ca="1" si="506"/>
        <v>0</v>
      </c>
      <c r="VS12" s="235">
        <f t="shared" ca="1" si="507"/>
        <v>0</v>
      </c>
      <c r="VT12" s="235">
        <f t="shared" ca="1" si="508"/>
        <v>0</v>
      </c>
      <c r="VU12" s="242">
        <f t="shared" ca="1" si="509"/>
        <v>0</v>
      </c>
      <c r="VV12" s="241">
        <f t="shared" ca="1" si="499"/>
        <v>1</v>
      </c>
      <c r="VW12" s="220">
        <f t="shared" ca="1" si="510"/>
        <v>0</v>
      </c>
      <c r="VX12" s="220">
        <f t="shared" ca="1" si="511"/>
        <v>0</v>
      </c>
      <c r="VY12" s="235">
        <f t="shared" ca="1" si="512"/>
        <v>0</v>
      </c>
      <c r="VZ12" s="235">
        <f t="shared" ca="1" si="513"/>
        <v>0</v>
      </c>
      <c r="WA12" s="242">
        <f t="shared" ca="1" si="514"/>
        <v>0</v>
      </c>
      <c r="WB12" s="241">
        <f t="shared" ca="1" si="499"/>
        <v>1</v>
      </c>
      <c r="WC12" s="220">
        <f t="shared" ca="1" si="515"/>
        <v>0</v>
      </c>
      <c r="WD12" s="220">
        <f t="shared" ca="1" si="516"/>
        <v>0</v>
      </c>
      <c r="WE12" s="235">
        <f t="shared" ca="1" si="517"/>
        <v>0</v>
      </c>
      <c r="WF12" s="235">
        <f t="shared" ca="1" si="518"/>
        <v>0</v>
      </c>
      <c r="WG12" s="242">
        <f t="shared" ca="1" si="519"/>
        <v>0</v>
      </c>
      <c r="WH12" s="241">
        <f t="shared" ca="1" si="499"/>
        <v>1</v>
      </c>
      <c r="WI12" s="220">
        <f t="shared" ca="1" si="520"/>
        <v>0</v>
      </c>
      <c r="WJ12" s="220">
        <f t="shared" ca="1" si="521"/>
        <v>0</v>
      </c>
      <c r="WK12" s="235">
        <f t="shared" ca="1" si="522"/>
        <v>0</v>
      </c>
      <c r="WL12" s="235">
        <f t="shared" ca="1" si="523"/>
        <v>0</v>
      </c>
      <c r="WM12" s="242">
        <f t="shared" ca="1" si="524"/>
        <v>0</v>
      </c>
      <c r="WN12" s="241">
        <f t="shared" ca="1" si="499"/>
        <v>1</v>
      </c>
      <c r="WO12" s="220">
        <f t="shared" ca="1" si="525"/>
        <v>0</v>
      </c>
      <c r="WP12" s="220">
        <f t="shared" ca="1" si="526"/>
        <v>0</v>
      </c>
      <c r="WQ12" s="235">
        <f t="shared" ca="1" si="527"/>
        <v>0</v>
      </c>
      <c r="WR12" s="235">
        <f t="shared" ca="1" si="528"/>
        <v>0</v>
      </c>
      <c r="WS12" s="242">
        <f t="shared" ca="1" si="529"/>
        <v>0</v>
      </c>
      <c r="WT12" s="241">
        <f t="shared" ca="1" si="499"/>
        <v>1</v>
      </c>
      <c r="WU12" s="220">
        <f t="shared" ca="1" si="530"/>
        <v>0</v>
      </c>
      <c r="WV12" s="220">
        <f t="shared" ca="1" si="531"/>
        <v>0</v>
      </c>
      <c r="WW12" s="235">
        <f t="shared" ca="1" si="532"/>
        <v>0</v>
      </c>
      <c r="WX12" s="235">
        <f t="shared" ca="1" si="533"/>
        <v>0</v>
      </c>
      <c r="WY12" s="242">
        <f t="shared" ca="1" si="534"/>
        <v>0</v>
      </c>
      <c r="WZ12" s="241">
        <f t="shared" ca="1" si="499"/>
        <v>1</v>
      </c>
      <c r="XA12" s="220">
        <f t="shared" ca="1" si="535"/>
        <v>0</v>
      </c>
      <c r="XB12" s="220">
        <f t="shared" ca="1" si="536"/>
        <v>0</v>
      </c>
      <c r="XC12" s="235">
        <f t="shared" ca="1" si="537"/>
        <v>0</v>
      </c>
      <c r="XD12" s="235">
        <f t="shared" ca="1" si="538"/>
        <v>0</v>
      </c>
      <c r="XE12" s="242">
        <f t="shared" ca="1" si="539"/>
        <v>0</v>
      </c>
      <c r="XF12" s="241">
        <f t="shared" ca="1" si="499"/>
        <v>1</v>
      </c>
      <c r="XG12" s="220">
        <f t="shared" ca="1" si="540"/>
        <v>0</v>
      </c>
      <c r="XH12" s="220">
        <f t="shared" ca="1" si="541"/>
        <v>0</v>
      </c>
      <c r="XI12" s="235">
        <f t="shared" ca="1" si="542"/>
        <v>0</v>
      </c>
      <c r="XJ12" s="235">
        <f t="shared" ca="1" si="543"/>
        <v>0</v>
      </c>
      <c r="XK12" s="242">
        <f t="shared" ca="1" si="544"/>
        <v>0</v>
      </c>
    </row>
    <row r="13" spans="1:635" x14ac:dyDescent="0.25">
      <c r="B13" s="65">
        <f t="shared" ca="1" si="14"/>
        <v>2028</v>
      </c>
      <c r="C13" s="65" t="s">
        <v>741</v>
      </c>
      <c r="D13" s="77">
        <f t="shared" si="15"/>
        <v>0</v>
      </c>
      <c r="E13" s="77">
        <f t="shared" si="16"/>
        <v>0</v>
      </c>
      <c r="F13" s="77">
        <f t="shared" si="17"/>
        <v>0</v>
      </c>
      <c r="G13" s="77">
        <f t="shared" si="18"/>
        <v>0</v>
      </c>
      <c r="H13" s="15" t="e">
        <f t="shared" ca="1" si="19"/>
        <v>#REF!</v>
      </c>
      <c r="L13" s="326">
        <f t="shared" ca="1" si="20"/>
        <v>3.5000000000000003E-2</v>
      </c>
      <c r="M13" s="327">
        <f t="shared" ca="1" si="21"/>
        <v>3.5000000000000003E-2</v>
      </c>
      <c r="N13" s="322">
        <f t="shared" ca="1" si="22"/>
        <v>-5</v>
      </c>
      <c r="O13" s="322">
        <f t="shared" ca="1" si="23"/>
        <v>6</v>
      </c>
      <c r="P13" s="328">
        <f t="shared" ca="1" si="545"/>
        <v>5.5150523754707486</v>
      </c>
      <c r="Q13" s="328">
        <f t="shared" ca="1" si="546"/>
        <v>5.5150523754707486</v>
      </c>
      <c r="R13" s="328">
        <f t="shared" ca="1" si="547"/>
        <v>5.5150523754707486</v>
      </c>
      <c r="S13" s="329">
        <f t="shared" ca="1" si="24"/>
        <v>3.500000000000001E-2</v>
      </c>
      <c r="T13" s="329">
        <f t="shared" ca="1" si="25"/>
        <v>3.500000000000001E-2</v>
      </c>
      <c r="U13" s="329">
        <f t="shared" ca="1" si="26"/>
        <v>3.500000000000001E-2</v>
      </c>
      <c r="V13" s="320" t="e">
        <f t="shared" ca="1" si="27"/>
        <v>#REF!</v>
      </c>
      <c r="W13" s="320" t="e">
        <f t="shared" ca="1" si="28"/>
        <v>#REF!</v>
      </c>
      <c r="X13" s="320" t="e">
        <f t="shared" ca="1" si="29"/>
        <v>#REF!</v>
      </c>
      <c r="Y13" s="320" t="e">
        <f ca="1">INDEX(SC_ZA_HECMLumpSum,ZAIDX)</f>
        <v>#REF!</v>
      </c>
      <c r="Z13" s="320" t="e">
        <f t="shared" ca="1" si="30"/>
        <v>#REF!</v>
      </c>
      <c r="AA13" s="320" t="e">
        <f t="shared" ca="1" si="31"/>
        <v>#REF!</v>
      </c>
      <c r="AB13" s="320" t="e">
        <f t="shared" ca="1" si="32"/>
        <v>#REF!</v>
      </c>
      <c r="AC13" s="330" t="e">
        <f t="shared" ca="1" si="33"/>
        <v>#REF!</v>
      </c>
      <c r="AD13" s="236" t="e">
        <f t="shared" ca="1" si="548"/>
        <v>#REF!</v>
      </c>
      <c r="AE13" s="320" t="e">
        <f t="shared" ca="1" si="34"/>
        <v>#REF!</v>
      </c>
      <c r="AF13" s="320" t="e">
        <f t="shared" ca="1" si="35"/>
        <v>#REF!</v>
      </c>
      <c r="AG13" s="320" t="e">
        <f t="shared" ca="1" si="549"/>
        <v>#REF!</v>
      </c>
      <c r="AH13" s="284" t="e">
        <f t="shared" ca="1" si="550"/>
        <v>#REF!</v>
      </c>
      <c r="AI13" s="318" t="e">
        <f t="shared" ca="1" si="551"/>
        <v>#REF!</v>
      </c>
      <c r="AJ13" s="331">
        <f t="shared" ca="1" si="552"/>
        <v>1</v>
      </c>
      <c r="AK13" s="220">
        <f t="shared" ca="1" si="553"/>
        <v>0</v>
      </c>
      <c r="AL13" s="220">
        <f t="shared" ca="1" si="37"/>
        <v>0</v>
      </c>
      <c r="AM13" s="235">
        <f t="shared" ca="1" si="554"/>
        <v>1</v>
      </c>
      <c r="AN13" s="235">
        <f t="shared" ca="1" si="555"/>
        <v>1</v>
      </c>
      <c r="AO13" s="242">
        <f t="shared" ca="1" si="556"/>
        <v>1</v>
      </c>
      <c r="AP13" s="241">
        <f t="shared" ca="1" si="552"/>
        <v>1</v>
      </c>
      <c r="AQ13" s="220">
        <f t="shared" ca="1" si="41"/>
        <v>0</v>
      </c>
      <c r="AR13" s="220">
        <f t="shared" ca="1" si="42"/>
        <v>0</v>
      </c>
      <c r="AS13" s="235">
        <f t="shared" ca="1" si="43"/>
        <v>0.96618357487922713</v>
      </c>
      <c r="AT13" s="235">
        <f t="shared" ca="1" si="44"/>
        <v>0.96618357487922713</v>
      </c>
      <c r="AU13" s="242">
        <f t="shared" ca="1" si="45"/>
        <v>0.96618357487922713</v>
      </c>
      <c r="AV13" s="241">
        <f t="shared" ca="1" si="552"/>
        <v>1</v>
      </c>
      <c r="AW13" s="220">
        <f t="shared" ca="1" si="46"/>
        <v>0</v>
      </c>
      <c r="AX13" s="220">
        <f t="shared" ca="1" si="47"/>
        <v>0</v>
      </c>
      <c r="AY13" s="235">
        <f t="shared" ca="1" si="48"/>
        <v>0.93351070036640305</v>
      </c>
      <c r="AZ13" s="235">
        <f t="shared" ca="1" si="49"/>
        <v>0.93351070036640305</v>
      </c>
      <c r="BA13" s="242">
        <f t="shared" ca="1" si="50"/>
        <v>0.93351070036640305</v>
      </c>
      <c r="BB13" s="241">
        <f t="shared" ca="1" si="552"/>
        <v>1</v>
      </c>
      <c r="BC13" s="220">
        <f t="shared" ca="1" si="52"/>
        <v>0</v>
      </c>
      <c r="BD13" s="220">
        <f t="shared" ca="1" si="53"/>
        <v>0</v>
      </c>
      <c r="BE13" s="235">
        <f t="shared" ca="1" si="54"/>
        <v>0.90194270566802237</v>
      </c>
      <c r="BF13" s="235">
        <f t="shared" ca="1" si="55"/>
        <v>0.90194270566802237</v>
      </c>
      <c r="BG13" s="242">
        <f t="shared" ca="1" si="56"/>
        <v>0.90194270566802237</v>
      </c>
      <c r="BH13" s="241">
        <f t="shared" ca="1" si="552"/>
        <v>1</v>
      </c>
      <c r="BI13" s="220">
        <f t="shared" ca="1" si="57"/>
        <v>0</v>
      </c>
      <c r="BJ13" s="220">
        <f t="shared" ca="1" si="58"/>
        <v>0</v>
      </c>
      <c r="BK13" s="235">
        <f t="shared" ca="1" si="59"/>
        <v>0.87144222769857238</v>
      </c>
      <c r="BL13" s="235">
        <f t="shared" ca="1" si="60"/>
        <v>0.87144222769857238</v>
      </c>
      <c r="BM13" s="242">
        <f t="shared" ca="1" si="61"/>
        <v>0.87144222769857238</v>
      </c>
      <c r="BN13" s="241">
        <f t="shared" ca="1" si="552"/>
        <v>1</v>
      </c>
      <c r="BO13" s="220">
        <f t="shared" ca="1" si="62"/>
        <v>0</v>
      </c>
      <c r="BP13" s="220">
        <f t="shared" ca="1" si="63"/>
        <v>0</v>
      </c>
      <c r="BQ13" s="235">
        <f t="shared" ca="1" si="64"/>
        <v>0.84197316685852419</v>
      </c>
      <c r="BR13" s="235">
        <f t="shared" ca="1" si="65"/>
        <v>0.84197316685852419</v>
      </c>
      <c r="BS13" s="242">
        <f t="shared" ca="1" si="66"/>
        <v>0.84197316685852419</v>
      </c>
      <c r="BT13" s="241">
        <f t="shared" ca="1" si="552"/>
        <v>1</v>
      </c>
      <c r="BU13" s="220">
        <f t="shared" ca="1" si="67"/>
        <v>0</v>
      </c>
      <c r="BV13" s="220">
        <f t="shared" ca="1" si="68"/>
        <v>0</v>
      </c>
      <c r="BW13" s="235">
        <f t="shared" ca="1" si="69"/>
        <v>0</v>
      </c>
      <c r="BX13" s="235">
        <f t="shared" ca="1" si="70"/>
        <v>0</v>
      </c>
      <c r="BY13" s="242">
        <f t="shared" ca="1" si="71"/>
        <v>0</v>
      </c>
      <c r="BZ13" s="241">
        <f t="shared" ca="1" si="552"/>
        <v>1</v>
      </c>
      <c r="CA13" s="220">
        <f t="shared" ca="1" si="72"/>
        <v>0</v>
      </c>
      <c r="CB13" s="220">
        <f t="shared" ca="1" si="73"/>
        <v>0</v>
      </c>
      <c r="CC13" s="235">
        <f t="shared" ca="1" si="74"/>
        <v>0</v>
      </c>
      <c r="CD13" s="235">
        <f t="shared" ca="1" si="75"/>
        <v>0</v>
      </c>
      <c r="CE13" s="242">
        <f t="shared" ca="1" si="76"/>
        <v>0</v>
      </c>
      <c r="CF13" s="241">
        <f t="shared" ca="1" si="552"/>
        <v>1</v>
      </c>
      <c r="CG13" s="220">
        <f t="shared" ca="1" si="77"/>
        <v>0</v>
      </c>
      <c r="CH13" s="220">
        <f t="shared" ca="1" si="78"/>
        <v>0</v>
      </c>
      <c r="CI13" s="235">
        <f t="shared" ca="1" si="79"/>
        <v>0</v>
      </c>
      <c r="CJ13" s="235">
        <f t="shared" ca="1" si="80"/>
        <v>0</v>
      </c>
      <c r="CK13" s="242">
        <f t="shared" ca="1" si="81"/>
        <v>0</v>
      </c>
      <c r="CL13" s="241">
        <f t="shared" ca="1" si="552"/>
        <v>1</v>
      </c>
      <c r="CM13" s="220">
        <f t="shared" ca="1" si="82"/>
        <v>0</v>
      </c>
      <c r="CN13" s="220">
        <f t="shared" ca="1" si="83"/>
        <v>0</v>
      </c>
      <c r="CO13" s="235">
        <f t="shared" ca="1" si="84"/>
        <v>0</v>
      </c>
      <c r="CP13" s="235">
        <f t="shared" ca="1" si="85"/>
        <v>0</v>
      </c>
      <c r="CQ13" s="242">
        <f t="shared" ca="1" si="86"/>
        <v>0</v>
      </c>
      <c r="CR13" s="241">
        <f t="shared" ca="1" si="552"/>
        <v>1</v>
      </c>
      <c r="CS13" s="220">
        <f t="shared" ca="1" si="87"/>
        <v>0</v>
      </c>
      <c r="CT13" s="220">
        <f t="shared" ca="1" si="88"/>
        <v>0</v>
      </c>
      <c r="CU13" s="235">
        <f t="shared" ca="1" si="89"/>
        <v>0</v>
      </c>
      <c r="CV13" s="235">
        <f t="shared" ca="1" si="90"/>
        <v>0</v>
      </c>
      <c r="CW13" s="242">
        <f t="shared" ca="1" si="91"/>
        <v>0</v>
      </c>
      <c r="CX13" s="241">
        <f t="shared" ca="1" si="51"/>
        <v>1</v>
      </c>
      <c r="CY13" s="220">
        <f t="shared" ca="1" si="92"/>
        <v>0</v>
      </c>
      <c r="CZ13" s="220">
        <f t="shared" ca="1" si="93"/>
        <v>0</v>
      </c>
      <c r="DA13" s="235">
        <f t="shared" ca="1" si="94"/>
        <v>0</v>
      </c>
      <c r="DB13" s="235">
        <f t="shared" ca="1" si="95"/>
        <v>0</v>
      </c>
      <c r="DC13" s="242">
        <f t="shared" ca="1" si="96"/>
        <v>0</v>
      </c>
      <c r="DD13" s="241">
        <f t="shared" ca="1" si="51"/>
        <v>1</v>
      </c>
      <c r="DE13" s="220">
        <f t="shared" ca="1" si="97"/>
        <v>0</v>
      </c>
      <c r="DF13" s="220">
        <f t="shared" ca="1" si="98"/>
        <v>0</v>
      </c>
      <c r="DG13" s="235">
        <f t="shared" ca="1" si="99"/>
        <v>0</v>
      </c>
      <c r="DH13" s="235">
        <f t="shared" ca="1" si="100"/>
        <v>0</v>
      </c>
      <c r="DI13" s="242">
        <f t="shared" ca="1" si="101"/>
        <v>0</v>
      </c>
      <c r="DJ13" s="241">
        <f t="shared" ca="1" si="51"/>
        <v>1</v>
      </c>
      <c r="DK13" s="220">
        <f t="shared" ca="1" si="102"/>
        <v>0</v>
      </c>
      <c r="DL13" s="220">
        <f t="shared" ca="1" si="103"/>
        <v>0</v>
      </c>
      <c r="DM13" s="235">
        <f t="shared" ca="1" si="104"/>
        <v>0</v>
      </c>
      <c r="DN13" s="235">
        <f t="shared" ca="1" si="105"/>
        <v>0</v>
      </c>
      <c r="DO13" s="242">
        <f t="shared" ca="1" si="106"/>
        <v>0</v>
      </c>
      <c r="DP13" s="241">
        <f t="shared" ca="1" si="107"/>
        <v>1</v>
      </c>
      <c r="DQ13" s="220">
        <f t="shared" ca="1" si="108"/>
        <v>0</v>
      </c>
      <c r="DR13" s="220">
        <f t="shared" ca="1" si="109"/>
        <v>0</v>
      </c>
      <c r="DS13" s="235">
        <f t="shared" ca="1" si="110"/>
        <v>0</v>
      </c>
      <c r="DT13" s="235">
        <f t="shared" ca="1" si="111"/>
        <v>0</v>
      </c>
      <c r="DU13" s="242">
        <f t="shared" ca="1" si="112"/>
        <v>0</v>
      </c>
      <c r="DV13" s="241">
        <f t="shared" ca="1" si="107"/>
        <v>1</v>
      </c>
      <c r="DW13" s="220">
        <f t="shared" ca="1" si="113"/>
        <v>0</v>
      </c>
      <c r="DX13" s="220">
        <f t="shared" ca="1" si="114"/>
        <v>0</v>
      </c>
      <c r="DY13" s="235">
        <f t="shared" ca="1" si="115"/>
        <v>0</v>
      </c>
      <c r="DZ13" s="235">
        <f t="shared" ca="1" si="116"/>
        <v>0</v>
      </c>
      <c r="EA13" s="242">
        <f t="shared" ca="1" si="117"/>
        <v>0</v>
      </c>
      <c r="EB13" s="241">
        <f t="shared" ca="1" si="107"/>
        <v>1</v>
      </c>
      <c r="EC13" s="220">
        <f t="shared" ca="1" si="118"/>
        <v>0</v>
      </c>
      <c r="ED13" s="220">
        <f t="shared" ca="1" si="119"/>
        <v>0</v>
      </c>
      <c r="EE13" s="235">
        <f t="shared" ca="1" si="120"/>
        <v>0</v>
      </c>
      <c r="EF13" s="235">
        <f t="shared" ca="1" si="121"/>
        <v>0</v>
      </c>
      <c r="EG13" s="242">
        <f t="shared" ca="1" si="122"/>
        <v>0</v>
      </c>
      <c r="EH13" s="241">
        <f t="shared" ca="1" si="107"/>
        <v>1</v>
      </c>
      <c r="EI13" s="220">
        <f t="shared" ca="1" si="123"/>
        <v>0</v>
      </c>
      <c r="EJ13" s="220">
        <f t="shared" ca="1" si="124"/>
        <v>0</v>
      </c>
      <c r="EK13" s="235">
        <f t="shared" ca="1" si="125"/>
        <v>0</v>
      </c>
      <c r="EL13" s="235">
        <f t="shared" ca="1" si="126"/>
        <v>0</v>
      </c>
      <c r="EM13" s="242">
        <f t="shared" ca="1" si="127"/>
        <v>0</v>
      </c>
      <c r="EN13" s="241">
        <f t="shared" ca="1" si="107"/>
        <v>1</v>
      </c>
      <c r="EO13" s="220">
        <f t="shared" ca="1" si="128"/>
        <v>0</v>
      </c>
      <c r="EP13" s="220">
        <f t="shared" ca="1" si="129"/>
        <v>0</v>
      </c>
      <c r="EQ13" s="235">
        <f t="shared" ca="1" si="130"/>
        <v>0</v>
      </c>
      <c r="ER13" s="235">
        <f t="shared" ca="1" si="131"/>
        <v>0</v>
      </c>
      <c r="ES13" s="242">
        <f t="shared" ca="1" si="132"/>
        <v>0</v>
      </c>
      <c r="ET13" s="241">
        <f t="shared" ca="1" si="107"/>
        <v>1</v>
      </c>
      <c r="EU13" s="220">
        <f t="shared" ca="1" si="133"/>
        <v>0</v>
      </c>
      <c r="EV13" s="220">
        <f t="shared" ca="1" si="134"/>
        <v>0</v>
      </c>
      <c r="EW13" s="235">
        <f t="shared" ca="1" si="135"/>
        <v>0</v>
      </c>
      <c r="EX13" s="235">
        <f t="shared" ca="1" si="136"/>
        <v>0</v>
      </c>
      <c r="EY13" s="242">
        <f t="shared" ca="1" si="137"/>
        <v>0</v>
      </c>
      <c r="EZ13" s="241">
        <f t="shared" ca="1" si="107"/>
        <v>1</v>
      </c>
      <c r="FA13" s="220">
        <f t="shared" ca="1" si="138"/>
        <v>0</v>
      </c>
      <c r="FB13" s="220">
        <f t="shared" ca="1" si="139"/>
        <v>0</v>
      </c>
      <c r="FC13" s="235">
        <f t="shared" ca="1" si="140"/>
        <v>0</v>
      </c>
      <c r="FD13" s="235">
        <f t="shared" ca="1" si="141"/>
        <v>0</v>
      </c>
      <c r="FE13" s="242">
        <f t="shared" ca="1" si="142"/>
        <v>0</v>
      </c>
      <c r="FF13" s="241">
        <f t="shared" ca="1" si="107"/>
        <v>1</v>
      </c>
      <c r="FG13" s="220">
        <f t="shared" ca="1" si="143"/>
        <v>0</v>
      </c>
      <c r="FH13" s="220">
        <f t="shared" ca="1" si="144"/>
        <v>0</v>
      </c>
      <c r="FI13" s="235">
        <f t="shared" ca="1" si="145"/>
        <v>0</v>
      </c>
      <c r="FJ13" s="235">
        <f t="shared" ca="1" si="146"/>
        <v>0</v>
      </c>
      <c r="FK13" s="242">
        <f t="shared" ca="1" si="147"/>
        <v>0</v>
      </c>
      <c r="FL13" s="241">
        <f t="shared" ca="1" si="107"/>
        <v>1</v>
      </c>
      <c r="FM13" s="220">
        <f t="shared" ca="1" si="148"/>
        <v>0</v>
      </c>
      <c r="FN13" s="220">
        <f t="shared" ca="1" si="149"/>
        <v>0</v>
      </c>
      <c r="FO13" s="235">
        <f t="shared" ca="1" si="150"/>
        <v>0</v>
      </c>
      <c r="FP13" s="235">
        <f t="shared" ca="1" si="151"/>
        <v>0</v>
      </c>
      <c r="FQ13" s="242">
        <f t="shared" ca="1" si="152"/>
        <v>0</v>
      </c>
      <c r="FR13" s="241">
        <f t="shared" ca="1" si="107"/>
        <v>1</v>
      </c>
      <c r="FS13" s="220">
        <f t="shared" ca="1" si="153"/>
        <v>0</v>
      </c>
      <c r="FT13" s="220">
        <f t="shared" ca="1" si="154"/>
        <v>0</v>
      </c>
      <c r="FU13" s="235">
        <f t="shared" ca="1" si="155"/>
        <v>0</v>
      </c>
      <c r="FV13" s="235">
        <f t="shared" ca="1" si="156"/>
        <v>0</v>
      </c>
      <c r="FW13" s="242">
        <f t="shared" ca="1" si="157"/>
        <v>0</v>
      </c>
      <c r="FX13" s="241">
        <f t="shared" ca="1" si="107"/>
        <v>1</v>
      </c>
      <c r="FY13" s="220">
        <f t="shared" ca="1" si="158"/>
        <v>0</v>
      </c>
      <c r="FZ13" s="220">
        <f t="shared" ca="1" si="159"/>
        <v>0</v>
      </c>
      <c r="GA13" s="235">
        <f t="shared" ca="1" si="160"/>
        <v>0</v>
      </c>
      <c r="GB13" s="235">
        <f t="shared" ca="1" si="161"/>
        <v>0</v>
      </c>
      <c r="GC13" s="242">
        <f t="shared" ca="1" si="162"/>
        <v>0</v>
      </c>
      <c r="GD13" s="241">
        <f t="shared" ca="1" si="163"/>
        <v>1</v>
      </c>
      <c r="GE13" s="220">
        <f t="shared" ca="1" si="164"/>
        <v>0</v>
      </c>
      <c r="GF13" s="220">
        <f t="shared" ca="1" si="165"/>
        <v>0</v>
      </c>
      <c r="GG13" s="235">
        <f t="shared" ca="1" si="166"/>
        <v>0</v>
      </c>
      <c r="GH13" s="235">
        <f t="shared" ca="1" si="167"/>
        <v>0</v>
      </c>
      <c r="GI13" s="242">
        <f t="shared" ca="1" si="168"/>
        <v>0</v>
      </c>
      <c r="GJ13" s="241">
        <f t="shared" ca="1" si="163"/>
        <v>1</v>
      </c>
      <c r="GK13" s="220">
        <f t="shared" ca="1" si="169"/>
        <v>0</v>
      </c>
      <c r="GL13" s="220">
        <f t="shared" ca="1" si="170"/>
        <v>0</v>
      </c>
      <c r="GM13" s="235">
        <f t="shared" ca="1" si="171"/>
        <v>0</v>
      </c>
      <c r="GN13" s="235">
        <f t="shared" ca="1" si="172"/>
        <v>0</v>
      </c>
      <c r="GO13" s="242">
        <f t="shared" ca="1" si="173"/>
        <v>0</v>
      </c>
      <c r="GP13" s="241">
        <f t="shared" ca="1" si="163"/>
        <v>1</v>
      </c>
      <c r="GQ13" s="220">
        <f t="shared" ca="1" si="174"/>
        <v>0</v>
      </c>
      <c r="GR13" s="220">
        <f t="shared" ca="1" si="175"/>
        <v>0</v>
      </c>
      <c r="GS13" s="235">
        <f t="shared" ca="1" si="176"/>
        <v>0</v>
      </c>
      <c r="GT13" s="235">
        <f t="shared" ca="1" si="177"/>
        <v>0</v>
      </c>
      <c r="GU13" s="242">
        <f t="shared" ca="1" si="178"/>
        <v>0</v>
      </c>
      <c r="GV13" s="241">
        <f t="shared" ca="1" si="163"/>
        <v>1</v>
      </c>
      <c r="GW13" s="220">
        <f t="shared" ca="1" si="179"/>
        <v>0</v>
      </c>
      <c r="GX13" s="220">
        <f t="shared" ca="1" si="180"/>
        <v>0</v>
      </c>
      <c r="GY13" s="235">
        <f t="shared" ca="1" si="181"/>
        <v>0</v>
      </c>
      <c r="GZ13" s="235">
        <f t="shared" ca="1" si="182"/>
        <v>0</v>
      </c>
      <c r="HA13" s="242">
        <f t="shared" ca="1" si="183"/>
        <v>0</v>
      </c>
      <c r="HB13" s="241">
        <f t="shared" ca="1" si="163"/>
        <v>1</v>
      </c>
      <c r="HC13" s="220">
        <f t="shared" ca="1" si="184"/>
        <v>0</v>
      </c>
      <c r="HD13" s="220">
        <f t="shared" ca="1" si="185"/>
        <v>0</v>
      </c>
      <c r="HE13" s="235">
        <f t="shared" ca="1" si="186"/>
        <v>0</v>
      </c>
      <c r="HF13" s="235">
        <f t="shared" ca="1" si="187"/>
        <v>0</v>
      </c>
      <c r="HG13" s="242">
        <f t="shared" ca="1" si="188"/>
        <v>0</v>
      </c>
      <c r="HH13" s="241">
        <f t="shared" ca="1" si="163"/>
        <v>1</v>
      </c>
      <c r="HI13" s="220">
        <f t="shared" ca="1" si="189"/>
        <v>0</v>
      </c>
      <c r="HJ13" s="220">
        <f t="shared" ca="1" si="190"/>
        <v>0</v>
      </c>
      <c r="HK13" s="235">
        <f t="shared" ca="1" si="191"/>
        <v>0</v>
      </c>
      <c r="HL13" s="235">
        <f t="shared" ca="1" si="192"/>
        <v>0</v>
      </c>
      <c r="HM13" s="242">
        <f t="shared" ca="1" si="193"/>
        <v>0</v>
      </c>
      <c r="HN13" s="241">
        <f t="shared" ca="1" si="163"/>
        <v>1</v>
      </c>
      <c r="HO13" s="220">
        <f t="shared" ca="1" si="194"/>
        <v>0</v>
      </c>
      <c r="HP13" s="220">
        <f t="shared" ca="1" si="195"/>
        <v>0</v>
      </c>
      <c r="HQ13" s="235">
        <f t="shared" ca="1" si="196"/>
        <v>0</v>
      </c>
      <c r="HR13" s="235">
        <f t="shared" ca="1" si="197"/>
        <v>0</v>
      </c>
      <c r="HS13" s="242">
        <f t="shared" ca="1" si="198"/>
        <v>0</v>
      </c>
      <c r="HT13" s="241">
        <f t="shared" ca="1" si="163"/>
        <v>1</v>
      </c>
      <c r="HU13" s="220">
        <f t="shared" ca="1" si="199"/>
        <v>0</v>
      </c>
      <c r="HV13" s="220">
        <f t="shared" ca="1" si="200"/>
        <v>0</v>
      </c>
      <c r="HW13" s="235">
        <f t="shared" ca="1" si="201"/>
        <v>0</v>
      </c>
      <c r="HX13" s="235">
        <f t="shared" ca="1" si="202"/>
        <v>0</v>
      </c>
      <c r="HY13" s="242">
        <f t="shared" ca="1" si="203"/>
        <v>0</v>
      </c>
      <c r="HZ13" s="241">
        <f t="shared" ca="1" si="163"/>
        <v>1</v>
      </c>
      <c r="IA13" s="220">
        <f t="shared" ca="1" si="204"/>
        <v>0</v>
      </c>
      <c r="IB13" s="220">
        <f t="shared" ca="1" si="205"/>
        <v>0</v>
      </c>
      <c r="IC13" s="235">
        <f t="shared" ca="1" si="206"/>
        <v>0</v>
      </c>
      <c r="ID13" s="235">
        <f t="shared" ca="1" si="207"/>
        <v>0</v>
      </c>
      <c r="IE13" s="242">
        <f t="shared" ca="1" si="208"/>
        <v>0</v>
      </c>
      <c r="IF13" s="241">
        <f t="shared" ca="1" si="163"/>
        <v>1</v>
      </c>
      <c r="IG13" s="220">
        <f t="shared" ca="1" si="209"/>
        <v>0</v>
      </c>
      <c r="IH13" s="220">
        <f t="shared" ca="1" si="210"/>
        <v>0</v>
      </c>
      <c r="II13" s="235">
        <f t="shared" ca="1" si="211"/>
        <v>0</v>
      </c>
      <c r="IJ13" s="235">
        <f t="shared" ca="1" si="212"/>
        <v>0</v>
      </c>
      <c r="IK13" s="242">
        <f t="shared" ca="1" si="213"/>
        <v>0</v>
      </c>
      <c r="IL13" s="241">
        <f t="shared" ca="1" si="163"/>
        <v>1</v>
      </c>
      <c r="IM13" s="220">
        <f t="shared" ca="1" si="214"/>
        <v>0</v>
      </c>
      <c r="IN13" s="220">
        <f t="shared" ca="1" si="215"/>
        <v>0</v>
      </c>
      <c r="IO13" s="235">
        <f t="shared" ca="1" si="216"/>
        <v>0</v>
      </c>
      <c r="IP13" s="235">
        <f t="shared" ca="1" si="217"/>
        <v>0</v>
      </c>
      <c r="IQ13" s="242">
        <f t="shared" ca="1" si="218"/>
        <v>0</v>
      </c>
      <c r="IR13" s="241">
        <f t="shared" ca="1" si="219"/>
        <v>1</v>
      </c>
      <c r="IS13" s="220">
        <f t="shared" ca="1" si="220"/>
        <v>0</v>
      </c>
      <c r="IT13" s="220">
        <f t="shared" ca="1" si="221"/>
        <v>0</v>
      </c>
      <c r="IU13" s="235">
        <f t="shared" ca="1" si="222"/>
        <v>0</v>
      </c>
      <c r="IV13" s="235">
        <f t="shared" ca="1" si="223"/>
        <v>0</v>
      </c>
      <c r="IW13" s="242">
        <f t="shared" ca="1" si="224"/>
        <v>0</v>
      </c>
      <c r="IX13" s="241">
        <f t="shared" ca="1" si="219"/>
        <v>1</v>
      </c>
      <c r="IY13" s="220">
        <f t="shared" ca="1" si="225"/>
        <v>0</v>
      </c>
      <c r="IZ13" s="220">
        <f t="shared" ca="1" si="226"/>
        <v>0</v>
      </c>
      <c r="JA13" s="235">
        <f t="shared" ca="1" si="227"/>
        <v>0</v>
      </c>
      <c r="JB13" s="235">
        <f t="shared" ca="1" si="228"/>
        <v>0</v>
      </c>
      <c r="JC13" s="242">
        <f t="shared" ca="1" si="229"/>
        <v>0</v>
      </c>
      <c r="JD13" s="241">
        <f t="shared" ca="1" si="219"/>
        <v>1</v>
      </c>
      <c r="JE13" s="220">
        <f t="shared" ca="1" si="230"/>
        <v>0</v>
      </c>
      <c r="JF13" s="220">
        <f t="shared" ca="1" si="231"/>
        <v>0</v>
      </c>
      <c r="JG13" s="235">
        <f t="shared" ca="1" si="232"/>
        <v>0</v>
      </c>
      <c r="JH13" s="235">
        <f t="shared" ca="1" si="233"/>
        <v>0</v>
      </c>
      <c r="JI13" s="242">
        <f t="shared" ca="1" si="234"/>
        <v>0</v>
      </c>
      <c r="JJ13" s="241">
        <f t="shared" ca="1" si="219"/>
        <v>1</v>
      </c>
      <c r="JK13" s="220">
        <f t="shared" ca="1" si="235"/>
        <v>0</v>
      </c>
      <c r="JL13" s="220">
        <f t="shared" ca="1" si="236"/>
        <v>0</v>
      </c>
      <c r="JM13" s="235">
        <f t="shared" ca="1" si="237"/>
        <v>0</v>
      </c>
      <c r="JN13" s="235">
        <f t="shared" ca="1" si="238"/>
        <v>0</v>
      </c>
      <c r="JO13" s="242">
        <f t="shared" ca="1" si="239"/>
        <v>0</v>
      </c>
      <c r="JP13" s="241">
        <f t="shared" ca="1" si="219"/>
        <v>1</v>
      </c>
      <c r="JQ13" s="220">
        <f t="shared" ca="1" si="240"/>
        <v>0</v>
      </c>
      <c r="JR13" s="220">
        <f t="shared" ca="1" si="241"/>
        <v>0</v>
      </c>
      <c r="JS13" s="235">
        <f t="shared" ca="1" si="242"/>
        <v>0</v>
      </c>
      <c r="JT13" s="235">
        <f t="shared" ca="1" si="243"/>
        <v>0</v>
      </c>
      <c r="JU13" s="242">
        <f t="shared" ca="1" si="244"/>
        <v>0</v>
      </c>
      <c r="JV13" s="241">
        <f t="shared" ca="1" si="219"/>
        <v>1</v>
      </c>
      <c r="JW13" s="220">
        <f t="shared" ca="1" si="245"/>
        <v>0</v>
      </c>
      <c r="JX13" s="220">
        <f t="shared" ca="1" si="246"/>
        <v>0</v>
      </c>
      <c r="JY13" s="235">
        <f t="shared" ca="1" si="247"/>
        <v>0</v>
      </c>
      <c r="JZ13" s="235">
        <f t="shared" ca="1" si="248"/>
        <v>0</v>
      </c>
      <c r="KA13" s="242">
        <f t="shared" ca="1" si="249"/>
        <v>0</v>
      </c>
      <c r="KB13" s="241">
        <f t="shared" ca="1" si="219"/>
        <v>1</v>
      </c>
      <c r="KC13" s="220">
        <f t="shared" ca="1" si="250"/>
        <v>0</v>
      </c>
      <c r="KD13" s="220">
        <f t="shared" ca="1" si="251"/>
        <v>0</v>
      </c>
      <c r="KE13" s="235">
        <f t="shared" ca="1" si="252"/>
        <v>0</v>
      </c>
      <c r="KF13" s="235">
        <f t="shared" ca="1" si="253"/>
        <v>0</v>
      </c>
      <c r="KG13" s="242">
        <f t="shared" ca="1" si="254"/>
        <v>0</v>
      </c>
      <c r="KH13" s="241">
        <f t="shared" ca="1" si="219"/>
        <v>1</v>
      </c>
      <c r="KI13" s="220">
        <f t="shared" ca="1" si="255"/>
        <v>0</v>
      </c>
      <c r="KJ13" s="220">
        <f t="shared" ca="1" si="256"/>
        <v>0</v>
      </c>
      <c r="KK13" s="235">
        <f t="shared" ca="1" si="257"/>
        <v>0</v>
      </c>
      <c r="KL13" s="235">
        <f t="shared" ca="1" si="258"/>
        <v>0</v>
      </c>
      <c r="KM13" s="242">
        <f t="shared" ca="1" si="259"/>
        <v>0</v>
      </c>
      <c r="KN13" s="241">
        <f t="shared" ca="1" si="219"/>
        <v>1</v>
      </c>
      <c r="KO13" s="220">
        <f t="shared" ca="1" si="260"/>
        <v>0</v>
      </c>
      <c r="KP13" s="220">
        <f t="shared" ca="1" si="261"/>
        <v>0</v>
      </c>
      <c r="KQ13" s="235">
        <f t="shared" ca="1" si="262"/>
        <v>0</v>
      </c>
      <c r="KR13" s="235">
        <f t="shared" ca="1" si="263"/>
        <v>0</v>
      </c>
      <c r="KS13" s="242">
        <f t="shared" ca="1" si="264"/>
        <v>0</v>
      </c>
      <c r="KT13" s="241">
        <f t="shared" ca="1" si="219"/>
        <v>1</v>
      </c>
      <c r="KU13" s="220">
        <f t="shared" ca="1" si="265"/>
        <v>0</v>
      </c>
      <c r="KV13" s="220">
        <f t="shared" ca="1" si="266"/>
        <v>0</v>
      </c>
      <c r="KW13" s="235">
        <f t="shared" ca="1" si="267"/>
        <v>0</v>
      </c>
      <c r="KX13" s="235">
        <f t="shared" ca="1" si="268"/>
        <v>0</v>
      </c>
      <c r="KY13" s="242">
        <f t="shared" ca="1" si="269"/>
        <v>0</v>
      </c>
      <c r="KZ13" s="241">
        <f t="shared" ca="1" si="219"/>
        <v>1</v>
      </c>
      <c r="LA13" s="220">
        <f t="shared" ca="1" si="270"/>
        <v>0</v>
      </c>
      <c r="LB13" s="220">
        <f t="shared" ca="1" si="271"/>
        <v>0</v>
      </c>
      <c r="LC13" s="235">
        <f t="shared" ca="1" si="272"/>
        <v>0</v>
      </c>
      <c r="LD13" s="235">
        <f t="shared" ca="1" si="273"/>
        <v>0</v>
      </c>
      <c r="LE13" s="242">
        <f t="shared" ca="1" si="274"/>
        <v>0</v>
      </c>
      <c r="LF13" s="241">
        <f t="shared" ca="1" si="275"/>
        <v>1</v>
      </c>
      <c r="LG13" s="220">
        <f t="shared" ca="1" si="276"/>
        <v>0</v>
      </c>
      <c r="LH13" s="220">
        <f t="shared" ca="1" si="277"/>
        <v>0</v>
      </c>
      <c r="LI13" s="235">
        <f t="shared" ca="1" si="278"/>
        <v>0</v>
      </c>
      <c r="LJ13" s="235">
        <f t="shared" ca="1" si="279"/>
        <v>0</v>
      </c>
      <c r="LK13" s="242">
        <f t="shared" ca="1" si="280"/>
        <v>0</v>
      </c>
      <c r="LL13" s="241">
        <f t="shared" ca="1" si="275"/>
        <v>1</v>
      </c>
      <c r="LM13" s="220">
        <f t="shared" ca="1" si="281"/>
        <v>0</v>
      </c>
      <c r="LN13" s="220">
        <f t="shared" ca="1" si="282"/>
        <v>0</v>
      </c>
      <c r="LO13" s="235">
        <f t="shared" ca="1" si="283"/>
        <v>0</v>
      </c>
      <c r="LP13" s="235">
        <f t="shared" ca="1" si="284"/>
        <v>0</v>
      </c>
      <c r="LQ13" s="242">
        <f t="shared" ca="1" si="285"/>
        <v>0</v>
      </c>
      <c r="LR13" s="241">
        <f t="shared" ca="1" si="275"/>
        <v>1</v>
      </c>
      <c r="LS13" s="220">
        <f t="shared" ca="1" si="286"/>
        <v>0</v>
      </c>
      <c r="LT13" s="220">
        <f t="shared" ca="1" si="287"/>
        <v>0</v>
      </c>
      <c r="LU13" s="235">
        <f t="shared" ca="1" si="288"/>
        <v>0</v>
      </c>
      <c r="LV13" s="235">
        <f t="shared" ca="1" si="289"/>
        <v>0</v>
      </c>
      <c r="LW13" s="242">
        <f t="shared" ca="1" si="290"/>
        <v>0</v>
      </c>
      <c r="LX13" s="241">
        <f t="shared" ca="1" si="275"/>
        <v>1</v>
      </c>
      <c r="LY13" s="220">
        <f t="shared" ca="1" si="291"/>
        <v>0</v>
      </c>
      <c r="LZ13" s="220">
        <f t="shared" ca="1" si="292"/>
        <v>0</v>
      </c>
      <c r="MA13" s="235">
        <f t="shared" ca="1" si="293"/>
        <v>0</v>
      </c>
      <c r="MB13" s="235">
        <f t="shared" ca="1" si="294"/>
        <v>0</v>
      </c>
      <c r="MC13" s="242">
        <f t="shared" ca="1" si="295"/>
        <v>0</v>
      </c>
      <c r="MD13" s="241">
        <f t="shared" ca="1" si="275"/>
        <v>1</v>
      </c>
      <c r="ME13" s="220">
        <f t="shared" ca="1" si="296"/>
        <v>0</v>
      </c>
      <c r="MF13" s="220">
        <f t="shared" ca="1" si="297"/>
        <v>0</v>
      </c>
      <c r="MG13" s="235">
        <f t="shared" ca="1" si="298"/>
        <v>0</v>
      </c>
      <c r="MH13" s="235">
        <f t="shared" ca="1" si="299"/>
        <v>0</v>
      </c>
      <c r="MI13" s="242">
        <f t="shared" ca="1" si="300"/>
        <v>0</v>
      </c>
      <c r="MJ13" s="241">
        <f t="shared" ca="1" si="275"/>
        <v>1</v>
      </c>
      <c r="MK13" s="220">
        <f t="shared" ca="1" si="301"/>
        <v>0</v>
      </c>
      <c r="ML13" s="220">
        <f t="shared" ca="1" si="302"/>
        <v>0</v>
      </c>
      <c r="MM13" s="235">
        <f t="shared" ca="1" si="303"/>
        <v>0</v>
      </c>
      <c r="MN13" s="235">
        <f t="shared" ca="1" si="304"/>
        <v>0</v>
      </c>
      <c r="MO13" s="242">
        <f t="shared" ca="1" si="305"/>
        <v>0</v>
      </c>
      <c r="MP13" s="241">
        <f t="shared" ca="1" si="275"/>
        <v>1</v>
      </c>
      <c r="MQ13" s="220">
        <f t="shared" ca="1" si="306"/>
        <v>0</v>
      </c>
      <c r="MR13" s="220">
        <f t="shared" ca="1" si="307"/>
        <v>0</v>
      </c>
      <c r="MS13" s="235">
        <f t="shared" ca="1" si="308"/>
        <v>0</v>
      </c>
      <c r="MT13" s="235">
        <f t="shared" ca="1" si="309"/>
        <v>0</v>
      </c>
      <c r="MU13" s="242">
        <f t="shared" ca="1" si="310"/>
        <v>0</v>
      </c>
      <c r="MV13" s="241">
        <f t="shared" ca="1" si="275"/>
        <v>1</v>
      </c>
      <c r="MW13" s="220">
        <f t="shared" ca="1" si="311"/>
        <v>0</v>
      </c>
      <c r="MX13" s="220">
        <f t="shared" ca="1" si="312"/>
        <v>0</v>
      </c>
      <c r="MY13" s="235">
        <f t="shared" ca="1" si="313"/>
        <v>0</v>
      </c>
      <c r="MZ13" s="235">
        <f t="shared" ca="1" si="314"/>
        <v>0</v>
      </c>
      <c r="NA13" s="242">
        <f t="shared" ca="1" si="315"/>
        <v>0</v>
      </c>
      <c r="NB13" s="241">
        <f t="shared" ca="1" si="275"/>
        <v>1</v>
      </c>
      <c r="NC13" s="220">
        <f t="shared" ca="1" si="316"/>
        <v>0</v>
      </c>
      <c r="ND13" s="220">
        <f t="shared" ca="1" si="317"/>
        <v>0</v>
      </c>
      <c r="NE13" s="235">
        <f t="shared" ca="1" si="318"/>
        <v>0</v>
      </c>
      <c r="NF13" s="235">
        <f t="shared" ca="1" si="319"/>
        <v>0</v>
      </c>
      <c r="NG13" s="242">
        <f t="shared" ca="1" si="320"/>
        <v>0</v>
      </c>
      <c r="NH13" s="241">
        <f t="shared" ca="1" si="275"/>
        <v>1</v>
      </c>
      <c r="NI13" s="220">
        <f t="shared" ca="1" si="321"/>
        <v>0</v>
      </c>
      <c r="NJ13" s="220">
        <f t="shared" ca="1" si="322"/>
        <v>0</v>
      </c>
      <c r="NK13" s="235">
        <f t="shared" ca="1" si="323"/>
        <v>0</v>
      </c>
      <c r="NL13" s="235">
        <f t="shared" ca="1" si="324"/>
        <v>0</v>
      </c>
      <c r="NM13" s="242">
        <f t="shared" ca="1" si="325"/>
        <v>0</v>
      </c>
      <c r="NN13" s="241">
        <f t="shared" ca="1" si="275"/>
        <v>1</v>
      </c>
      <c r="NO13" s="220">
        <f t="shared" ca="1" si="326"/>
        <v>0</v>
      </c>
      <c r="NP13" s="220">
        <f t="shared" ca="1" si="327"/>
        <v>0</v>
      </c>
      <c r="NQ13" s="235">
        <f t="shared" ca="1" si="328"/>
        <v>0</v>
      </c>
      <c r="NR13" s="235">
        <f t="shared" ca="1" si="329"/>
        <v>0</v>
      </c>
      <c r="NS13" s="242">
        <f t="shared" ca="1" si="330"/>
        <v>0</v>
      </c>
      <c r="NT13" s="241">
        <f t="shared" ca="1" si="331"/>
        <v>1</v>
      </c>
      <c r="NU13" s="220">
        <f t="shared" ca="1" si="332"/>
        <v>0</v>
      </c>
      <c r="NV13" s="220">
        <f t="shared" ca="1" si="333"/>
        <v>0</v>
      </c>
      <c r="NW13" s="235">
        <f t="shared" ca="1" si="334"/>
        <v>0</v>
      </c>
      <c r="NX13" s="235">
        <f t="shared" ca="1" si="335"/>
        <v>0</v>
      </c>
      <c r="NY13" s="242">
        <f t="shared" ca="1" si="336"/>
        <v>0</v>
      </c>
      <c r="NZ13" s="241">
        <f t="shared" ca="1" si="331"/>
        <v>1</v>
      </c>
      <c r="OA13" s="220">
        <f t="shared" ca="1" si="337"/>
        <v>0</v>
      </c>
      <c r="OB13" s="220">
        <f t="shared" ca="1" si="338"/>
        <v>0</v>
      </c>
      <c r="OC13" s="235">
        <f t="shared" ca="1" si="339"/>
        <v>0</v>
      </c>
      <c r="OD13" s="235">
        <f t="shared" ca="1" si="340"/>
        <v>0</v>
      </c>
      <c r="OE13" s="242">
        <f t="shared" ca="1" si="341"/>
        <v>0</v>
      </c>
      <c r="OF13" s="241">
        <f t="shared" ca="1" si="331"/>
        <v>1</v>
      </c>
      <c r="OG13" s="220">
        <f t="shared" ca="1" si="342"/>
        <v>0</v>
      </c>
      <c r="OH13" s="220">
        <f t="shared" ca="1" si="343"/>
        <v>0</v>
      </c>
      <c r="OI13" s="235">
        <f t="shared" ca="1" si="344"/>
        <v>0</v>
      </c>
      <c r="OJ13" s="235">
        <f t="shared" ca="1" si="345"/>
        <v>0</v>
      </c>
      <c r="OK13" s="242">
        <f t="shared" ca="1" si="346"/>
        <v>0</v>
      </c>
      <c r="OL13" s="241">
        <f t="shared" ca="1" si="331"/>
        <v>1</v>
      </c>
      <c r="OM13" s="220">
        <f t="shared" ca="1" si="347"/>
        <v>0</v>
      </c>
      <c r="ON13" s="220">
        <f t="shared" ca="1" si="348"/>
        <v>0</v>
      </c>
      <c r="OO13" s="235">
        <f t="shared" ca="1" si="349"/>
        <v>0</v>
      </c>
      <c r="OP13" s="235">
        <f t="shared" ca="1" si="350"/>
        <v>0</v>
      </c>
      <c r="OQ13" s="242">
        <f t="shared" ca="1" si="351"/>
        <v>0</v>
      </c>
      <c r="OR13" s="241">
        <f t="shared" ca="1" si="331"/>
        <v>1</v>
      </c>
      <c r="OS13" s="220">
        <f t="shared" ca="1" si="352"/>
        <v>0</v>
      </c>
      <c r="OT13" s="220">
        <f t="shared" ca="1" si="353"/>
        <v>0</v>
      </c>
      <c r="OU13" s="235">
        <f t="shared" ca="1" si="354"/>
        <v>0</v>
      </c>
      <c r="OV13" s="235">
        <f t="shared" ca="1" si="355"/>
        <v>0</v>
      </c>
      <c r="OW13" s="242">
        <f t="shared" ca="1" si="356"/>
        <v>0</v>
      </c>
      <c r="OX13" s="241">
        <f t="shared" ca="1" si="331"/>
        <v>1</v>
      </c>
      <c r="OY13" s="220">
        <f t="shared" ca="1" si="357"/>
        <v>0</v>
      </c>
      <c r="OZ13" s="220">
        <f t="shared" ca="1" si="358"/>
        <v>0</v>
      </c>
      <c r="PA13" s="235">
        <f t="shared" ca="1" si="359"/>
        <v>0</v>
      </c>
      <c r="PB13" s="235">
        <f t="shared" ca="1" si="360"/>
        <v>0</v>
      </c>
      <c r="PC13" s="242">
        <f t="shared" ca="1" si="361"/>
        <v>0</v>
      </c>
      <c r="PD13" s="241">
        <f t="shared" ca="1" si="331"/>
        <v>1</v>
      </c>
      <c r="PE13" s="220">
        <f t="shared" ca="1" si="362"/>
        <v>0</v>
      </c>
      <c r="PF13" s="220">
        <f t="shared" ca="1" si="363"/>
        <v>0</v>
      </c>
      <c r="PG13" s="235">
        <f t="shared" ca="1" si="364"/>
        <v>0</v>
      </c>
      <c r="PH13" s="235">
        <f t="shared" ca="1" si="365"/>
        <v>0</v>
      </c>
      <c r="PI13" s="242">
        <f t="shared" ca="1" si="366"/>
        <v>0</v>
      </c>
      <c r="PJ13" s="241">
        <f t="shared" ca="1" si="331"/>
        <v>1</v>
      </c>
      <c r="PK13" s="220">
        <f t="shared" ca="1" si="367"/>
        <v>0</v>
      </c>
      <c r="PL13" s="220">
        <f t="shared" ca="1" si="368"/>
        <v>0</v>
      </c>
      <c r="PM13" s="235">
        <f t="shared" ca="1" si="369"/>
        <v>0</v>
      </c>
      <c r="PN13" s="235">
        <f t="shared" ca="1" si="370"/>
        <v>0</v>
      </c>
      <c r="PO13" s="242">
        <f t="shared" ca="1" si="371"/>
        <v>0</v>
      </c>
      <c r="PP13" s="241">
        <f t="shared" ca="1" si="331"/>
        <v>1</v>
      </c>
      <c r="PQ13" s="220">
        <f t="shared" ca="1" si="372"/>
        <v>0</v>
      </c>
      <c r="PR13" s="220">
        <f t="shared" ca="1" si="373"/>
        <v>0</v>
      </c>
      <c r="PS13" s="235">
        <f t="shared" ca="1" si="374"/>
        <v>0</v>
      </c>
      <c r="PT13" s="235">
        <f t="shared" ca="1" si="375"/>
        <v>0</v>
      </c>
      <c r="PU13" s="242">
        <f t="shared" ca="1" si="376"/>
        <v>0</v>
      </c>
      <c r="PV13" s="241">
        <f t="shared" ca="1" si="331"/>
        <v>1</v>
      </c>
      <c r="PW13" s="220">
        <f t="shared" ca="1" si="377"/>
        <v>0</v>
      </c>
      <c r="PX13" s="220">
        <f t="shared" ca="1" si="378"/>
        <v>0</v>
      </c>
      <c r="PY13" s="235">
        <f t="shared" ca="1" si="379"/>
        <v>0</v>
      </c>
      <c r="PZ13" s="235">
        <f t="shared" ca="1" si="380"/>
        <v>0</v>
      </c>
      <c r="QA13" s="242">
        <f t="shared" ca="1" si="381"/>
        <v>0</v>
      </c>
      <c r="QB13" s="241">
        <f t="shared" ca="1" si="331"/>
        <v>1</v>
      </c>
      <c r="QC13" s="220">
        <f t="shared" ca="1" si="382"/>
        <v>0</v>
      </c>
      <c r="QD13" s="220">
        <f t="shared" ca="1" si="383"/>
        <v>0</v>
      </c>
      <c r="QE13" s="235">
        <f t="shared" ca="1" si="384"/>
        <v>0</v>
      </c>
      <c r="QF13" s="235">
        <f t="shared" ca="1" si="385"/>
        <v>0</v>
      </c>
      <c r="QG13" s="242">
        <f t="shared" ca="1" si="386"/>
        <v>0</v>
      </c>
      <c r="QH13" s="241">
        <f t="shared" ca="1" si="387"/>
        <v>1</v>
      </c>
      <c r="QI13" s="220">
        <f t="shared" ca="1" si="388"/>
        <v>0</v>
      </c>
      <c r="QJ13" s="220">
        <f t="shared" ca="1" si="389"/>
        <v>0</v>
      </c>
      <c r="QK13" s="235">
        <f t="shared" ca="1" si="390"/>
        <v>0</v>
      </c>
      <c r="QL13" s="235">
        <f t="shared" ca="1" si="391"/>
        <v>0</v>
      </c>
      <c r="QM13" s="242">
        <f t="shared" ca="1" si="392"/>
        <v>0</v>
      </c>
      <c r="QN13" s="241">
        <f t="shared" ca="1" si="387"/>
        <v>1</v>
      </c>
      <c r="QO13" s="220">
        <f t="shared" ca="1" si="393"/>
        <v>0</v>
      </c>
      <c r="QP13" s="220">
        <f t="shared" ca="1" si="394"/>
        <v>0</v>
      </c>
      <c r="QQ13" s="235">
        <f t="shared" ca="1" si="395"/>
        <v>0</v>
      </c>
      <c r="QR13" s="235">
        <f t="shared" ca="1" si="396"/>
        <v>0</v>
      </c>
      <c r="QS13" s="242">
        <f t="shared" ca="1" si="397"/>
        <v>0</v>
      </c>
      <c r="QT13" s="241">
        <f t="shared" ca="1" si="387"/>
        <v>1</v>
      </c>
      <c r="QU13" s="220">
        <f t="shared" ca="1" si="398"/>
        <v>0</v>
      </c>
      <c r="QV13" s="220">
        <f t="shared" ca="1" si="399"/>
        <v>0</v>
      </c>
      <c r="QW13" s="235">
        <f t="shared" ca="1" si="400"/>
        <v>0</v>
      </c>
      <c r="QX13" s="235">
        <f t="shared" ca="1" si="401"/>
        <v>0</v>
      </c>
      <c r="QY13" s="242">
        <f t="shared" ca="1" si="402"/>
        <v>0</v>
      </c>
      <c r="QZ13" s="241">
        <f t="shared" ca="1" si="387"/>
        <v>1</v>
      </c>
      <c r="RA13" s="220">
        <f t="shared" ca="1" si="403"/>
        <v>0</v>
      </c>
      <c r="RB13" s="220">
        <f t="shared" ca="1" si="404"/>
        <v>0</v>
      </c>
      <c r="RC13" s="235">
        <f t="shared" ca="1" si="405"/>
        <v>0</v>
      </c>
      <c r="RD13" s="235">
        <f t="shared" ca="1" si="406"/>
        <v>0</v>
      </c>
      <c r="RE13" s="242">
        <f t="shared" ca="1" si="407"/>
        <v>0</v>
      </c>
      <c r="RF13" s="241">
        <f t="shared" ca="1" si="387"/>
        <v>1</v>
      </c>
      <c r="RG13" s="220">
        <f t="shared" ca="1" si="408"/>
        <v>0</v>
      </c>
      <c r="RH13" s="220">
        <f t="shared" ca="1" si="409"/>
        <v>0</v>
      </c>
      <c r="RI13" s="235">
        <f t="shared" ca="1" si="410"/>
        <v>0</v>
      </c>
      <c r="RJ13" s="235">
        <f t="shared" ca="1" si="411"/>
        <v>0</v>
      </c>
      <c r="RK13" s="242">
        <f t="shared" ca="1" si="412"/>
        <v>0</v>
      </c>
      <c r="RL13" s="241">
        <f t="shared" ca="1" si="387"/>
        <v>1</v>
      </c>
      <c r="RM13" s="220">
        <f t="shared" ca="1" si="413"/>
        <v>0</v>
      </c>
      <c r="RN13" s="220">
        <f t="shared" ca="1" si="414"/>
        <v>0</v>
      </c>
      <c r="RO13" s="235">
        <f t="shared" ca="1" si="415"/>
        <v>0</v>
      </c>
      <c r="RP13" s="235">
        <f t="shared" ca="1" si="416"/>
        <v>0</v>
      </c>
      <c r="RQ13" s="242">
        <f t="shared" ca="1" si="417"/>
        <v>0</v>
      </c>
      <c r="RR13" s="241">
        <f t="shared" ca="1" si="387"/>
        <v>1</v>
      </c>
      <c r="RS13" s="220">
        <f t="shared" ca="1" si="418"/>
        <v>0</v>
      </c>
      <c r="RT13" s="220">
        <f t="shared" ca="1" si="419"/>
        <v>0</v>
      </c>
      <c r="RU13" s="235">
        <f t="shared" ca="1" si="420"/>
        <v>0</v>
      </c>
      <c r="RV13" s="235">
        <f t="shared" ca="1" si="421"/>
        <v>0</v>
      </c>
      <c r="RW13" s="242">
        <f t="shared" ca="1" si="422"/>
        <v>0</v>
      </c>
      <c r="RX13" s="241">
        <f t="shared" ca="1" si="387"/>
        <v>1</v>
      </c>
      <c r="RY13" s="220">
        <f t="shared" ca="1" si="423"/>
        <v>0</v>
      </c>
      <c r="RZ13" s="220">
        <f t="shared" ca="1" si="424"/>
        <v>0</v>
      </c>
      <c r="SA13" s="235">
        <f t="shared" ca="1" si="425"/>
        <v>0</v>
      </c>
      <c r="SB13" s="235">
        <f t="shared" ca="1" si="426"/>
        <v>0</v>
      </c>
      <c r="SC13" s="242">
        <f t="shared" ca="1" si="427"/>
        <v>0</v>
      </c>
      <c r="SD13" s="241">
        <f t="shared" ca="1" si="387"/>
        <v>1</v>
      </c>
      <c r="SE13" s="220">
        <f t="shared" ca="1" si="428"/>
        <v>0</v>
      </c>
      <c r="SF13" s="220">
        <f t="shared" ca="1" si="429"/>
        <v>0</v>
      </c>
      <c r="SG13" s="235">
        <f t="shared" ca="1" si="430"/>
        <v>0</v>
      </c>
      <c r="SH13" s="235">
        <f t="shared" ca="1" si="431"/>
        <v>0</v>
      </c>
      <c r="SI13" s="242">
        <f t="shared" ca="1" si="432"/>
        <v>0</v>
      </c>
      <c r="SJ13" s="241">
        <f t="shared" ca="1" si="387"/>
        <v>1</v>
      </c>
      <c r="SK13" s="220">
        <f t="shared" ca="1" si="433"/>
        <v>0</v>
      </c>
      <c r="SL13" s="220">
        <f t="shared" ca="1" si="434"/>
        <v>0</v>
      </c>
      <c r="SM13" s="235">
        <f t="shared" ca="1" si="435"/>
        <v>0</v>
      </c>
      <c r="SN13" s="235">
        <f t="shared" ca="1" si="436"/>
        <v>0</v>
      </c>
      <c r="SO13" s="242">
        <f t="shared" ca="1" si="437"/>
        <v>0</v>
      </c>
      <c r="SP13" s="241">
        <f t="shared" ca="1" si="387"/>
        <v>1</v>
      </c>
      <c r="SQ13" s="220">
        <f t="shared" ca="1" si="438"/>
        <v>0</v>
      </c>
      <c r="SR13" s="220">
        <f t="shared" ca="1" si="439"/>
        <v>0</v>
      </c>
      <c r="SS13" s="235">
        <f t="shared" ca="1" si="440"/>
        <v>0</v>
      </c>
      <c r="ST13" s="235">
        <f t="shared" ca="1" si="441"/>
        <v>0</v>
      </c>
      <c r="SU13" s="242">
        <f t="shared" ca="1" si="442"/>
        <v>0</v>
      </c>
      <c r="SV13" s="241">
        <f t="shared" ca="1" si="443"/>
        <v>1</v>
      </c>
      <c r="SW13" s="220">
        <f t="shared" ca="1" si="444"/>
        <v>0</v>
      </c>
      <c r="SX13" s="220">
        <f t="shared" ca="1" si="445"/>
        <v>0</v>
      </c>
      <c r="SY13" s="235">
        <f t="shared" ca="1" si="446"/>
        <v>0</v>
      </c>
      <c r="SZ13" s="235">
        <f t="shared" ca="1" si="447"/>
        <v>0</v>
      </c>
      <c r="TA13" s="242">
        <f t="shared" ca="1" si="448"/>
        <v>0</v>
      </c>
      <c r="TB13" s="241">
        <f t="shared" ca="1" si="443"/>
        <v>1</v>
      </c>
      <c r="TC13" s="220">
        <f t="shared" ca="1" si="449"/>
        <v>0</v>
      </c>
      <c r="TD13" s="220">
        <f t="shared" ca="1" si="450"/>
        <v>0</v>
      </c>
      <c r="TE13" s="235">
        <f t="shared" ca="1" si="451"/>
        <v>0</v>
      </c>
      <c r="TF13" s="235">
        <f t="shared" ca="1" si="452"/>
        <v>0</v>
      </c>
      <c r="TG13" s="242">
        <f t="shared" ca="1" si="453"/>
        <v>0</v>
      </c>
      <c r="TH13" s="241">
        <f t="shared" ca="1" si="443"/>
        <v>1</v>
      </c>
      <c r="TI13" s="220">
        <f t="shared" ca="1" si="454"/>
        <v>0</v>
      </c>
      <c r="TJ13" s="220">
        <f t="shared" ca="1" si="455"/>
        <v>0</v>
      </c>
      <c r="TK13" s="235">
        <f t="shared" ca="1" si="456"/>
        <v>0</v>
      </c>
      <c r="TL13" s="235">
        <f t="shared" ca="1" si="457"/>
        <v>0</v>
      </c>
      <c r="TM13" s="242">
        <f t="shared" ca="1" si="458"/>
        <v>0</v>
      </c>
      <c r="TN13" s="241">
        <f t="shared" ca="1" si="443"/>
        <v>1</v>
      </c>
      <c r="TO13" s="220">
        <f t="shared" ca="1" si="459"/>
        <v>0</v>
      </c>
      <c r="TP13" s="220">
        <f t="shared" ca="1" si="460"/>
        <v>0</v>
      </c>
      <c r="TQ13" s="235">
        <f t="shared" ca="1" si="461"/>
        <v>0</v>
      </c>
      <c r="TR13" s="235">
        <f t="shared" ca="1" si="462"/>
        <v>0</v>
      </c>
      <c r="TS13" s="242">
        <f t="shared" ca="1" si="463"/>
        <v>0</v>
      </c>
      <c r="TT13" s="241">
        <f t="shared" ca="1" si="443"/>
        <v>1</v>
      </c>
      <c r="TU13" s="220">
        <f t="shared" ca="1" si="464"/>
        <v>0</v>
      </c>
      <c r="TV13" s="220">
        <f t="shared" ca="1" si="465"/>
        <v>0</v>
      </c>
      <c r="TW13" s="235">
        <f t="shared" ca="1" si="466"/>
        <v>0</v>
      </c>
      <c r="TX13" s="235">
        <f t="shared" ca="1" si="467"/>
        <v>0</v>
      </c>
      <c r="TY13" s="242">
        <f t="shared" ca="1" si="468"/>
        <v>0</v>
      </c>
      <c r="TZ13" s="241">
        <f t="shared" ca="1" si="443"/>
        <v>1</v>
      </c>
      <c r="UA13" s="220">
        <f t="shared" ca="1" si="469"/>
        <v>0</v>
      </c>
      <c r="UB13" s="220">
        <f t="shared" ca="1" si="470"/>
        <v>0</v>
      </c>
      <c r="UC13" s="235">
        <f t="shared" ca="1" si="471"/>
        <v>0</v>
      </c>
      <c r="UD13" s="235">
        <f t="shared" ca="1" si="472"/>
        <v>0</v>
      </c>
      <c r="UE13" s="242">
        <f t="shared" ca="1" si="473"/>
        <v>0</v>
      </c>
      <c r="UF13" s="241">
        <f t="shared" ca="1" si="443"/>
        <v>1</v>
      </c>
      <c r="UG13" s="220">
        <f t="shared" ca="1" si="474"/>
        <v>0</v>
      </c>
      <c r="UH13" s="220">
        <f t="shared" ca="1" si="475"/>
        <v>0</v>
      </c>
      <c r="UI13" s="235">
        <f t="shared" ca="1" si="476"/>
        <v>0</v>
      </c>
      <c r="UJ13" s="235">
        <f t="shared" ca="1" si="477"/>
        <v>0</v>
      </c>
      <c r="UK13" s="242">
        <f t="shared" ca="1" si="478"/>
        <v>0</v>
      </c>
      <c r="UL13" s="241">
        <f t="shared" ca="1" si="443"/>
        <v>1</v>
      </c>
      <c r="UM13" s="220">
        <f t="shared" ca="1" si="479"/>
        <v>0</v>
      </c>
      <c r="UN13" s="220">
        <f t="shared" ca="1" si="480"/>
        <v>0</v>
      </c>
      <c r="UO13" s="235">
        <f t="shared" ca="1" si="481"/>
        <v>0</v>
      </c>
      <c r="UP13" s="235">
        <f t="shared" ca="1" si="482"/>
        <v>0</v>
      </c>
      <c r="UQ13" s="242">
        <f t="shared" ca="1" si="483"/>
        <v>0</v>
      </c>
      <c r="UR13" s="241">
        <f t="shared" ca="1" si="443"/>
        <v>1</v>
      </c>
      <c r="US13" s="220">
        <f t="shared" ca="1" si="484"/>
        <v>0</v>
      </c>
      <c r="UT13" s="220">
        <f t="shared" ca="1" si="485"/>
        <v>0</v>
      </c>
      <c r="UU13" s="235">
        <f t="shared" ca="1" si="486"/>
        <v>0</v>
      </c>
      <c r="UV13" s="235">
        <f t="shared" ca="1" si="487"/>
        <v>0</v>
      </c>
      <c r="UW13" s="242">
        <f t="shared" ca="1" si="488"/>
        <v>0</v>
      </c>
      <c r="UX13" s="241">
        <f t="shared" ca="1" si="443"/>
        <v>1</v>
      </c>
      <c r="UY13" s="220">
        <f t="shared" ca="1" si="489"/>
        <v>0</v>
      </c>
      <c r="UZ13" s="220">
        <f t="shared" ca="1" si="490"/>
        <v>0</v>
      </c>
      <c r="VA13" s="235">
        <f t="shared" ca="1" si="491"/>
        <v>0</v>
      </c>
      <c r="VB13" s="235">
        <f t="shared" ca="1" si="492"/>
        <v>0</v>
      </c>
      <c r="VC13" s="242">
        <f t="shared" ca="1" si="493"/>
        <v>0</v>
      </c>
      <c r="VD13" s="241">
        <f t="shared" ca="1" si="443"/>
        <v>1</v>
      </c>
      <c r="VE13" s="220">
        <f t="shared" ca="1" si="494"/>
        <v>0</v>
      </c>
      <c r="VF13" s="220">
        <f t="shared" ca="1" si="495"/>
        <v>0</v>
      </c>
      <c r="VG13" s="235">
        <f t="shared" ca="1" si="496"/>
        <v>0</v>
      </c>
      <c r="VH13" s="235">
        <f t="shared" ca="1" si="497"/>
        <v>0</v>
      </c>
      <c r="VI13" s="242">
        <f t="shared" ca="1" si="498"/>
        <v>0</v>
      </c>
      <c r="VJ13" s="241">
        <f t="shared" ca="1" si="499"/>
        <v>1</v>
      </c>
      <c r="VK13" s="220">
        <f t="shared" ca="1" si="500"/>
        <v>0</v>
      </c>
      <c r="VL13" s="220">
        <f t="shared" ca="1" si="501"/>
        <v>0</v>
      </c>
      <c r="VM13" s="235">
        <f t="shared" ca="1" si="502"/>
        <v>0</v>
      </c>
      <c r="VN13" s="235">
        <f t="shared" ca="1" si="503"/>
        <v>0</v>
      </c>
      <c r="VO13" s="242">
        <f t="shared" ca="1" si="504"/>
        <v>0</v>
      </c>
      <c r="VP13" s="241">
        <f t="shared" ca="1" si="499"/>
        <v>1</v>
      </c>
      <c r="VQ13" s="220">
        <f t="shared" ca="1" si="505"/>
        <v>0</v>
      </c>
      <c r="VR13" s="220">
        <f t="shared" ca="1" si="506"/>
        <v>0</v>
      </c>
      <c r="VS13" s="235">
        <f t="shared" ca="1" si="507"/>
        <v>0</v>
      </c>
      <c r="VT13" s="235">
        <f t="shared" ca="1" si="508"/>
        <v>0</v>
      </c>
      <c r="VU13" s="242">
        <f t="shared" ca="1" si="509"/>
        <v>0</v>
      </c>
      <c r="VV13" s="241">
        <f t="shared" ca="1" si="499"/>
        <v>1</v>
      </c>
      <c r="VW13" s="220">
        <f t="shared" ca="1" si="510"/>
        <v>0</v>
      </c>
      <c r="VX13" s="220">
        <f t="shared" ca="1" si="511"/>
        <v>0</v>
      </c>
      <c r="VY13" s="235">
        <f t="shared" ca="1" si="512"/>
        <v>0</v>
      </c>
      <c r="VZ13" s="235">
        <f t="shared" ca="1" si="513"/>
        <v>0</v>
      </c>
      <c r="WA13" s="242">
        <f t="shared" ca="1" si="514"/>
        <v>0</v>
      </c>
      <c r="WB13" s="241">
        <f t="shared" ca="1" si="499"/>
        <v>1</v>
      </c>
      <c r="WC13" s="220">
        <f t="shared" ca="1" si="515"/>
        <v>0</v>
      </c>
      <c r="WD13" s="220">
        <f t="shared" ca="1" si="516"/>
        <v>0</v>
      </c>
      <c r="WE13" s="235">
        <f t="shared" ca="1" si="517"/>
        <v>0</v>
      </c>
      <c r="WF13" s="235">
        <f t="shared" ca="1" si="518"/>
        <v>0</v>
      </c>
      <c r="WG13" s="242">
        <f t="shared" ca="1" si="519"/>
        <v>0</v>
      </c>
      <c r="WH13" s="241">
        <f t="shared" ca="1" si="499"/>
        <v>1</v>
      </c>
      <c r="WI13" s="220">
        <f t="shared" ca="1" si="520"/>
        <v>0</v>
      </c>
      <c r="WJ13" s="220">
        <f t="shared" ca="1" si="521"/>
        <v>0</v>
      </c>
      <c r="WK13" s="235">
        <f t="shared" ca="1" si="522"/>
        <v>0</v>
      </c>
      <c r="WL13" s="235">
        <f t="shared" ca="1" si="523"/>
        <v>0</v>
      </c>
      <c r="WM13" s="242">
        <f t="shared" ca="1" si="524"/>
        <v>0</v>
      </c>
      <c r="WN13" s="241">
        <f t="shared" ca="1" si="499"/>
        <v>1</v>
      </c>
      <c r="WO13" s="220">
        <f t="shared" ca="1" si="525"/>
        <v>0</v>
      </c>
      <c r="WP13" s="220">
        <f t="shared" ca="1" si="526"/>
        <v>0</v>
      </c>
      <c r="WQ13" s="235">
        <f t="shared" ca="1" si="527"/>
        <v>0</v>
      </c>
      <c r="WR13" s="235">
        <f t="shared" ca="1" si="528"/>
        <v>0</v>
      </c>
      <c r="WS13" s="242">
        <f t="shared" ca="1" si="529"/>
        <v>0</v>
      </c>
      <c r="WT13" s="241">
        <f t="shared" ca="1" si="499"/>
        <v>1</v>
      </c>
      <c r="WU13" s="220">
        <f t="shared" ca="1" si="530"/>
        <v>0</v>
      </c>
      <c r="WV13" s="220">
        <f t="shared" ca="1" si="531"/>
        <v>0</v>
      </c>
      <c r="WW13" s="235">
        <f t="shared" ca="1" si="532"/>
        <v>0</v>
      </c>
      <c r="WX13" s="235">
        <f t="shared" ca="1" si="533"/>
        <v>0</v>
      </c>
      <c r="WY13" s="242">
        <f t="shared" ca="1" si="534"/>
        <v>0</v>
      </c>
      <c r="WZ13" s="241">
        <f t="shared" ca="1" si="499"/>
        <v>1</v>
      </c>
      <c r="XA13" s="220">
        <f t="shared" ca="1" si="535"/>
        <v>0</v>
      </c>
      <c r="XB13" s="220">
        <f t="shared" ca="1" si="536"/>
        <v>0</v>
      </c>
      <c r="XC13" s="235">
        <f t="shared" ca="1" si="537"/>
        <v>0</v>
      </c>
      <c r="XD13" s="235">
        <f t="shared" ca="1" si="538"/>
        <v>0</v>
      </c>
      <c r="XE13" s="242">
        <f t="shared" ca="1" si="539"/>
        <v>0</v>
      </c>
      <c r="XF13" s="241">
        <f t="shared" ca="1" si="499"/>
        <v>1</v>
      </c>
      <c r="XG13" s="220">
        <f t="shared" ca="1" si="540"/>
        <v>0</v>
      </c>
      <c r="XH13" s="220">
        <f t="shared" ca="1" si="541"/>
        <v>0</v>
      </c>
      <c r="XI13" s="235">
        <f t="shared" ca="1" si="542"/>
        <v>0</v>
      </c>
      <c r="XJ13" s="235">
        <f t="shared" ca="1" si="543"/>
        <v>0</v>
      </c>
      <c r="XK13" s="242">
        <f t="shared" ca="1" si="544"/>
        <v>0</v>
      </c>
    </row>
    <row r="14" spans="1:635" x14ac:dyDescent="0.25">
      <c r="B14" s="65">
        <f t="shared" ca="1" si="14"/>
        <v>2029</v>
      </c>
      <c r="C14" s="65" t="s">
        <v>741</v>
      </c>
      <c r="D14" s="77">
        <f t="shared" si="15"/>
        <v>0</v>
      </c>
      <c r="E14" s="77">
        <f t="shared" si="16"/>
        <v>0</v>
      </c>
      <c r="F14" s="77">
        <f t="shared" si="17"/>
        <v>0</v>
      </c>
      <c r="G14" s="77">
        <f t="shared" si="18"/>
        <v>0</v>
      </c>
      <c r="H14" s="15" t="e">
        <f t="shared" ca="1" si="19"/>
        <v>#REF!</v>
      </c>
      <c r="L14" s="326">
        <f t="shared" ca="1" si="20"/>
        <v>3.5000000000000003E-2</v>
      </c>
      <c r="M14" s="327">
        <f t="shared" ca="1" si="21"/>
        <v>3.5000000000000003E-2</v>
      </c>
      <c r="N14" s="322">
        <f t="shared" ca="1" si="22"/>
        <v>-6</v>
      </c>
      <c r="O14" s="322">
        <f t="shared" ca="1" si="23"/>
        <v>5</v>
      </c>
      <c r="P14" s="328">
        <f t="shared" ca="1" si="545"/>
        <v>4.6730792086122248</v>
      </c>
      <c r="Q14" s="328">
        <f t="shared" ca="1" si="546"/>
        <v>4.6730792086122248</v>
      </c>
      <c r="R14" s="328">
        <f t="shared" ca="1" si="547"/>
        <v>4.6730792086122248</v>
      </c>
      <c r="S14" s="329">
        <f t="shared" ca="1" si="24"/>
        <v>3.4999999999999899E-2</v>
      </c>
      <c r="T14" s="329">
        <f t="shared" ca="1" si="25"/>
        <v>3.4999999999999899E-2</v>
      </c>
      <c r="U14" s="329">
        <f t="shared" ca="1" si="26"/>
        <v>3.4999999999999899E-2</v>
      </c>
      <c r="V14" s="320" t="e">
        <f t="shared" ca="1" si="27"/>
        <v>#REF!</v>
      </c>
      <c r="W14" s="320" t="e">
        <f t="shared" ca="1" si="28"/>
        <v>#REF!</v>
      </c>
      <c r="X14" s="320" t="e">
        <f t="shared" ca="1" si="29"/>
        <v>#REF!</v>
      </c>
      <c r="Y14" s="320" t="e">
        <f ca="1">INDEX(SC_ZA_HECMLumpSum,ZAIDX)</f>
        <v>#REF!</v>
      </c>
      <c r="Z14" s="320" t="e">
        <f t="shared" ca="1" si="30"/>
        <v>#REF!</v>
      </c>
      <c r="AA14" s="320" t="e">
        <f t="shared" ca="1" si="31"/>
        <v>#REF!</v>
      </c>
      <c r="AB14" s="320" t="e">
        <f t="shared" ca="1" si="32"/>
        <v>#REF!</v>
      </c>
      <c r="AC14" s="330" t="e">
        <f t="shared" ca="1" si="33"/>
        <v>#REF!</v>
      </c>
      <c r="AD14" s="236" t="e">
        <f t="shared" ca="1" si="548"/>
        <v>#REF!</v>
      </c>
      <c r="AE14" s="320" t="e">
        <f t="shared" ca="1" si="34"/>
        <v>#REF!</v>
      </c>
      <c r="AF14" s="320" t="e">
        <f t="shared" ca="1" si="35"/>
        <v>#REF!</v>
      </c>
      <c r="AG14" s="320" t="e">
        <f t="shared" ca="1" si="549"/>
        <v>#REF!</v>
      </c>
      <c r="AH14" s="284" t="e">
        <f t="shared" ca="1" si="550"/>
        <v>#REF!</v>
      </c>
      <c r="AI14" s="318" t="e">
        <f t="shared" ca="1" si="551"/>
        <v>#REF!</v>
      </c>
      <c r="AJ14" s="331">
        <f t="shared" ca="1" si="552"/>
        <v>1</v>
      </c>
      <c r="AK14" s="220">
        <f t="shared" ca="1" si="553"/>
        <v>0</v>
      </c>
      <c r="AL14" s="220">
        <f t="shared" ca="1" si="37"/>
        <v>0</v>
      </c>
      <c r="AM14" s="235">
        <f t="shared" ca="1" si="554"/>
        <v>1</v>
      </c>
      <c r="AN14" s="235">
        <f t="shared" ca="1" si="555"/>
        <v>1</v>
      </c>
      <c r="AO14" s="242">
        <f t="shared" ca="1" si="556"/>
        <v>1</v>
      </c>
      <c r="AP14" s="241">
        <f t="shared" ca="1" si="552"/>
        <v>1</v>
      </c>
      <c r="AQ14" s="220">
        <f t="shared" ca="1" si="41"/>
        <v>0</v>
      </c>
      <c r="AR14" s="220">
        <f t="shared" ca="1" si="42"/>
        <v>0</v>
      </c>
      <c r="AS14" s="235">
        <f t="shared" ca="1" si="43"/>
        <v>0.96618357487922713</v>
      </c>
      <c r="AT14" s="235">
        <f t="shared" ca="1" si="44"/>
        <v>0.96618357487922713</v>
      </c>
      <c r="AU14" s="242">
        <f t="shared" ca="1" si="45"/>
        <v>0.96618357487922713</v>
      </c>
      <c r="AV14" s="241">
        <f t="shared" ca="1" si="552"/>
        <v>1</v>
      </c>
      <c r="AW14" s="220">
        <f t="shared" ca="1" si="46"/>
        <v>0</v>
      </c>
      <c r="AX14" s="220">
        <f t="shared" ca="1" si="47"/>
        <v>0</v>
      </c>
      <c r="AY14" s="235">
        <f t="shared" ca="1" si="48"/>
        <v>0.93351070036640305</v>
      </c>
      <c r="AZ14" s="235">
        <f t="shared" ca="1" si="49"/>
        <v>0.93351070036640305</v>
      </c>
      <c r="BA14" s="242">
        <f t="shared" ca="1" si="50"/>
        <v>0.93351070036640305</v>
      </c>
      <c r="BB14" s="241">
        <f t="shared" ca="1" si="552"/>
        <v>1</v>
      </c>
      <c r="BC14" s="220">
        <f t="shared" ca="1" si="52"/>
        <v>0</v>
      </c>
      <c r="BD14" s="220">
        <f t="shared" ca="1" si="53"/>
        <v>0</v>
      </c>
      <c r="BE14" s="235">
        <f t="shared" ca="1" si="54"/>
        <v>0.90194270566802237</v>
      </c>
      <c r="BF14" s="235">
        <f t="shared" ca="1" si="55"/>
        <v>0.90194270566802237</v>
      </c>
      <c r="BG14" s="242">
        <f t="shared" ca="1" si="56"/>
        <v>0.90194270566802237</v>
      </c>
      <c r="BH14" s="241">
        <f t="shared" ca="1" si="552"/>
        <v>1</v>
      </c>
      <c r="BI14" s="220">
        <f t="shared" ca="1" si="57"/>
        <v>0</v>
      </c>
      <c r="BJ14" s="220">
        <f t="shared" ca="1" si="58"/>
        <v>0</v>
      </c>
      <c r="BK14" s="235">
        <f t="shared" ca="1" si="59"/>
        <v>0.87144222769857238</v>
      </c>
      <c r="BL14" s="235">
        <f t="shared" ca="1" si="60"/>
        <v>0.87144222769857238</v>
      </c>
      <c r="BM14" s="242">
        <f t="shared" ca="1" si="61"/>
        <v>0.87144222769857238</v>
      </c>
      <c r="BN14" s="241">
        <f t="shared" ca="1" si="552"/>
        <v>1</v>
      </c>
      <c r="BO14" s="220">
        <f t="shared" ca="1" si="62"/>
        <v>0</v>
      </c>
      <c r="BP14" s="220">
        <f t="shared" ca="1" si="63"/>
        <v>0</v>
      </c>
      <c r="BQ14" s="235">
        <f t="shared" ca="1" si="64"/>
        <v>0</v>
      </c>
      <c r="BR14" s="235">
        <f t="shared" ca="1" si="65"/>
        <v>0</v>
      </c>
      <c r="BS14" s="242">
        <f t="shared" ca="1" si="66"/>
        <v>0</v>
      </c>
      <c r="BT14" s="241">
        <f t="shared" ca="1" si="552"/>
        <v>1</v>
      </c>
      <c r="BU14" s="220">
        <f t="shared" ca="1" si="67"/>
        <v>0</v>
      </c>
      <c r="BV14" s="220">
        <f t="shared" ca="1" si="68"/>
        <v>0</v>
      </c>
      <c r="BW14" s="235">
        <f t="shared" ca="1" si="69"/>
        <v>0</v>
      </c>
      <c r="BX14" s="235">
        <f t="shared" ca="1" si="70"/>
        <v>0</v>
      </c>
      <c r="BY14" s="242">
        <f t="shared" ca="1" si="71"/>
        <v>0</v>
      </c>
      <c r="BZ14" s="241">
        <f t="shared" ca="1" si="552"/>
        <v>1</v>
      </c>
      <c r="CA14" s="220">
        <f t="shared" ca="1" si="72"/>
        <v>0</v>
      </c>
      <c r="CB14" s="220">
        <f t="shared" ca="1" si="73"/>
        <v>0</v>
      </c>
      <c r="CC14" s="235">
        <f t="shared" ca="1" si="74"/>
        <v>0</v>
      </c>
      <c r="CD14" s="235">
        <f t="shared" ca="1" si="75"/>
        <v>0</v>
      </c>
      <c r="CE14" s="242">
        <f t="shared" ca="1" si="76"/>
        <v>0</v>
      </c>
      <c r="CF14" s="241">
        <f t="shared" ca="1" si="552"/>
        <v>1</v>
      </c>
      <c r="CG14" s="220">
        <f t="shared" ca="1" si="77"/>
        <v>0</v>
      </c>
      <c r="CH14" s="220">
        <f t="shared" ca="1" si="78"/>
        <v>0</v>
      </c>
      <c r="CI14" s="235">
        <f t="shared" ca="1" si="79"/>
        <v>0</v>
      </c>
      <c r="CJ14" s="235">
        <f t="shared" ca="1" si="80"/>
        <v>0</v>
      </c>
      <c r="CK14" s="242">
        <f t="shared" ca="1" si="81"/>
        <v>0</v>
      </c>
      <c r="CL14" s="241">
        <f t="shared" ca="1" si="552"/>
        <v>1</v>
      </c>
      <c r="CM14" s="220">
        <f t="shared" ca="1" si="82"/>
        <v>0</v>
      </c>
      <c r="CN14" s="220">
        <f t="shared" ca="1" si="83"/>
        <v>0</v>
      </c>
      <c r="CO14" s="235">
        <f t="shared" ca="1" si="84"/>
        <v>0</v>
      </c>
      <c r="CP14" s="235">
        <f t="shared" ca="1" si="85"/>
        <v>0</v>
      </c>
      <c r="CQ14" s="242">
        <f t="shared" ca="1" si="86"/>
        <v>0</v>
      </c>
      <c r="CR14" s="241">
        <f t="shared" ca="1" si="552"/>
        <v>1</v>
      </c>
      <c r="CS14" s="220">
        <f t="shared" ca="1" si="87"/>
        <v>0</v>
      </c>
      <c r="CT14" s="220">
        <f t="shared" ca="1" si="88"/>
        <v>0</v>
      </c>
      <c r="CU14" s="235">
        <f t="shared" ca="1" si="89"/>
        <v>0</v>
      </c>
      <c r="CV14" s="235">
        <f t="shared" ca="1" si="90"/>
        <v>0</v>
      </c>
      <c r="CW14" s="242">
        <f t="shared" ca="1" si="91"/>
        <v>0</v>
      </c>
      <c r="CX14" s="241">
        <f t="shared" ca="1" si="51"/>
        <v>1</v>
      </c>
      <c r="CY14" s="220">
        <f t="shared" ca="1" si="92"/>
        <v>0</v>
      </c>
      <c r="CZ14" s="220">
        <f t="shared" ca="1" si="93"/>
        <v>0</v>
      </c>
      <c r="DA14" s="235">
        <f t="shared" ca="1" si="94"/>
        <v>0</v>
      </c>
      <c r="DB14" s="235">
        <f t="shared" ca="1" si="95"/>
        <v>0</v>
      </c>
      <c r="DC14" s="242">
        <f t="shared" ca="1" si="96"/>
        <v>0</v>
      </c>
      <c r="DD14" s="241">
        <f t="shared" ca="1" si="51"/>
        <v>1</v>
      </c>
      <c r="DE14" s="220">
        <f t="shared" ca="1" si="97"/>
        <v>0</v>
      </c>
      <c r="DF14" s="220">
        <f t="shared" ca="1" si="98"/>
        <v>0</v>
      </c>
      <c r="DG14" s="235">
        <f t="shared" ca="1" si="99"/>
        <v>0</v>
      </c>
      <c r="DH14" s="235">
        <f t="shared" ca="1" si="100"/>
        <v>0</v>
      </c>
      <c r="DI14" s="242">
        <f t="shared" ca="1" si="101"/>
        <v>0</v>
      </c>
      <c r="DJ14" s="241">
        <f t="shared" ca="1" si="51"/>
        <v>1</v>
      </c>
      <c r="DK14" s="220">
        <f t="shared" ca="1" si="102"/>
        <v>0</v>
      </c>
      <c r="DL14" s="220">
        <f t="shared" ca="1" si="103"/>
        <v>0</v>
      </c>
      <c r="DM14" s="235">
        <f t="shared" ca="1" si="104"/>
        <v>0</v>
      </c>
      <c r="DN14" s="235">
        <f t="shared" ca="1" si="105"/>
        <v>0</v>
      </c>
      <c r="DO14" s="242">
        <f t="shared" ca="1" si="106"/>
        <v>0</v>
      </c>
      <c r="DP14" s="241">
        <f t="shared" ca="1" si="107"/>
        <v>1</v>
      </c>
      <c r="DQ14" s="220">
        <f t="shared" ca="1" si="108"/>
        <v>0</v>
      </c>
      <c r="DR14" s="220">
        <f t="shared" ca="1" si="109"/>
        <v>0</v>
      </c>
      <c r="DS14" s="235">
        <f t="shared" ca="1" si="110"/>
        <v>0</v>
      </c>
      <c r="DT14" s="235">
        <f t="shared" ca="1" si="111"/>
        <v>0</v>
      </c>
      <c r="DU14" s="242">
        <f t="shared" ca="1" si="112"/>
        <v>0</v>
      </c>
      <c r="DV14" s="241">
        <f t="shared" ca="1" si="107"/>
        <v>1</v>
      </c>
      <c r="DW14" s="220">
        <f t="shared" ca="1" si="113"/>
        <v>0</v>
      </c>
      <c r="DX14" s="220">
        <f t="shared" ca="1" si="114"/>
        <v>0</v>
      </c>
      <c r="DY14" s="235">
        <f t="shared" ca="1" si="115"/>
        <v>0</v>
      </c>
      <c r="DZ14" s="235">
        <f t="shared" ca="1" si="116"/>
        <v>0</v>
      </c>
      <c r="EA14" s="242">
        <f t="shared" ca="1" si="117"/>
        <v>0</v>
      </c>
      <c r="EB14" s="241">
        <f t="shared" ca="1" si="107"/>
        <v>1</v>
      </c>
      <c r="EC14" s="220">
        <f t="shared" ca="1" si="118"/>
        <v>0</v>
      </c>
      <c r="ED14" s="220">
        <f t="shared" ca="1" si="119"/>
        <v>0</v>
      </c>
      <c r="EE14" s="235">
        <f t="shared" ca="1" si="120"/>
        <v>0</v>
      </c>
      <c r="EF14" s="235">
        <f t="shared" ca="1" si="121"/>
        <v>0</v>
      </c>
      <c r="EG14" s="242">
        <f t="shared" ca="1" si="122"/>
        <v>0</v>
      </c>
      <c r="EH14" s="241">
        <f t="shared" ca="1" si="107"/>
        <v>1</v>
      </c>
      <c r="EI14" s="220">
        <f t="shared" ca="1" si="123"/>
        <v>0</v>
      </c>
      <c r="EJ14" s="220">
        <f t="shared" ca="1" si="124"/>
        <v>0</v>
      </c>
      <c r="EK14" s="235">
        <f t="shared" ca="1" si="125"/>
        <v>0</v>
      </c>
      <c r="EL14" s="235">
        <f t="shared" ca="1" si="126"/>
        <v>0</v>
      </c>
      <c r="EM14" s="242">
        <f t="shared" ca="1" si="127"/>
        <v>0</v>
      </c>
      <c r="EN14" s="241">
        <f t="shared" ca="1" si="107"/>
        <v>1</v>
      </c>
      <c r="EO14" s="220">
        <f t="shared" ca="1" si="128"/>
        <v>0</v>
      </c>
      <c r="EP14" s="220">
        <f t="shared" ca="1" si="129"/>
        <v>0</v>
      </c>
      <c r="EQ14" s="235">
        <f t="shared" ca="1" si="130"/>
        <v>0</v>
      </c>
      <c r="ER14" s="235">
        <f t="shared" ca="1" si="131"/>
        <v>0</v>
      </c>
      <c r="ES14" s="242">
        <f t="shared" ca="1" si="132"/>
        <v>0</v>
      </c>
      <c r="ET14" s="241">
        <f t="shared" ca="1" si="107"/>
        <v>1</v>
      </c>
      <c r="EU14" s="220">
        <f t="shared" ca="1" si="133"/>
        <v>0</v>
      </c>
      <c r="EV14" s="220">
        <f t="shared" ca="1" si="134"/>
        <v>0</v>
      </c>
      <c r="EW14" s="235">
        <f t="shared" ca="1" si="135"/>
        <v>0</v>
      </c>
      <c r="EX14" s="235">
        <f t="shared" ca="1" si="136"/>
        <v>0</v>
      </c>
      <c r="EY14" s="242">
        <f t="shared" ca="1" si="137"/>
        <v>0</v>
      </c>
      <c r="EZ14" s="241">
        <f t="shared" ca="1" si="107"/>
        <v>1</v>
      </c>
      <c r="FA14" s="220">
        <f t="shared" ca="1" si="138"/>
        <v>0</v>
      </c>
      <c r="FB14" s="220">
        <f t="shared" ca="1" si="139"/>
        <v>0</v>
      </c>
      <c r="FC14" s="235">
        <f t="shared" ca="1" si="140"/>
        <v>0</v>
      </c>
      <c r="FD14" s="235">
        <f t="shared" ca="1" si="141"/>
        <v>0</v>
      </c>
      <c r="FE14" s="242">
        <f t="shared" ca="1" si="142"/>
        <v>0</v>
      </c>
      <c r="FF14" s="241">
        <f t="shared" ca="1" si="107"/>
        <v>1</v>
      </c>
      <c r="FG14" s="220">
        <f t="shared" ca="1" si="143"/>
        <v>0</v>
      </c>
      <c r="FH14" s="220">
        <f t="shared" ca="1" si="144"/>
        <v>0</v>
      </c>
      <c r="FI14" s="235">
        <f t="shared" ca="1" si="145"/>
        <v>0</v>
      </c>
      <c r="FJ14" s="235">
        <f t="shared" ca="1" si="146"/>
        <v>0</v>
      </c>
      <c r="FK14" s="242">
        <f t="shared" ca="1" si="147"/>
        <v>0</v>
      </c>
      <c r="FL14" s="241">
        <f t="shared" ca="1" si="107"/>
        <v>1</v>
      </c>
      <c r="FM14" s="220">
        <f t="shared" ca="1" si="148"/>
        <v>0</v>
      </c>
      <c r="FN14" s="220">
        <f t="shared" ca="1" si="149"/>
        <v>0</v>
      </c>
      <c r="FO14" s="235">
        <f t="shared" ca="1" si="150"/>
        <v>0</v>
      </c>
      <c r="FP14" s="235">
        <f t="shared" ca="1" si="151"/>
        <v>0</v>
      </c>
      <c r="FQ14" s="242">
        <f t="shared" ca="1" si="152"/>
        <v>0</v>
      </c>
      <c r="FR14" s="241">
        <f t="shared" ca="1" si="107"/>
        <v>1</v>
      </c>
      <c r="FS14" s="220">
        <f t="shared" ca="1" si="153"/>
        <v>0</v>
      </c>
      <c r="FT14" s="220">
        <f t="shared" ca="1" si="154"/>
        <v>0</v>
      </c>
      <c r="FU14" s="235">
        <f t="shared" ca="1" si="155"/>
        <v>0</v>
      </c>
      <c r="FV14" s="235">
        <f t="shared" ca="1" si="156"/>
        <v>0</v>
      </c>
      <c r="FW14" s="242">
        <f t="shared" ca="1" si="157"/>
        <v>0</v>
      </c>
      <c r="FX14" s="241">
        <f t="shared" ca="1" si="107"/>
        <v>1</v>
      </c>
      <c r="FY14" s="220">
        <f t="shared" ca="1" si="158"/>
        <v>0</v>
      </c>
      <c r="FZ14" s="220">
        <f t="shared" ca="1" si="159"/>
        <v>0</v>
      </c>
      <c r="GA14" s="235">
        <f t="shared" ca="1" si="160"/>
        <v>0</v>
      </c>
      <c r="GB14" s="235">
        <f t="shared" ca="1" si="161"/>
        <v>0</v>
      </c>
      <c r="GC14" s="242">
        <f t="shared" ca="1" si="162"/>
        <v>0</v>
      </c>
      <c r="GD14" s="241">
        <f t="shared" ca="1" si="163"/>
        <v>1</v>
      </c>
      <c r="GE14" s="220">
        <f t="shared" ca="1" si="164"/>
        <v>0</v>
      </c>
      <c r="GF14" s="220">
        <f t="shared" ca="1" si="165"/>
        <v>0</v>
      </c>
      <c r="GG14" s="235">
        <f t="shared" ca="1" si="166"/>
        <v>0</v>
      </c>
      <c r="GH14" s="235">
        <f t="shared" ca="1" si="167"/>
        <v>0</v>
      </c>
      <c r="GI14" s="242">
        <f t="shared" ca="1" si="168"/>
        <v>0</v>
      </c>
      <c r="GJ14" s="241">
        <f t="shared" ca="1" si="163"/>
        <v>1</v>
      </c>
      <c r="GK14" s="220">
        <f t="shared" ca="1" si="169"/>
        <v>0</v>
      </c>
      <c r="GL14" s="220">
        <f t="shared" ca="1" si="170"/>
        <v>0</v>
      </c>
      <c r="GM14" s="235">
        <f t="shared" ca="1" si="171"/>
        <v>0</v>
      </c>
      <c r="GN14" s="235">
        <f t="shared" ca="1" si="172"/>
        <v>0</v>
      </c>
      <c r="GO14" s="242">
        <f t="shared" ca="1" si="173"/>
        <v>0</v>
      </c>
      <c r="GP14" s="241">
        <f t="shared" ca="1" si="163"/>
        <v>1</v>
      </c>
      <c r="GQ14" s="220">
        <f t="shared" ca="1" si="174"/>
        <v>0</v>
      </c>
      <c r="GR14" s="220">
        <f t="shared" ca="1" si="175"/>
        <v>0</v>
      </c>
      <c r="GS14" s="235">
        <f t="shared" ca="1" si="176"/>
        <v>0</v>
      </c>
      <c r="GT14" s="235">
        <f t="shared" ca="1" si="177"/>
        <v>0</v>
      </c>
      <c r="GU14" s="242">
        <f t="shared" ca="1" si="178"/>
        <v>0</v>
      </c>
      <c r="GV14" s="241">
        <f t="shared" ca="1" si="163"/>
        <v>1</v>
      </c>
      <c r="GW14" s="220">
        <f t="shared" ca="1" si="179"/>
        <v>0</v>
      </c>
      <c r="GX14" s="220">
        <f t="shared" ca="1" si="180"/>
        <v>0</v>
      </c>
      <c r="GY14" s="235">
        <f t="shared" ca="1" si="181"/>
        <v>0</v>
      </c>
      <c r="GZ14" s="235">
        <f t="shared" ca="1" si="182"/>
        <v>0</v>
      </c>
      <c r="HA14" s="242">
        <f t="shared" ca="1" si="183"/>
        <v>0</v>
      </c>
      <c r="HB14" s="241">
        <f t="shared" ca="1" si="163"/>
        <v>1</v>
      </c>
      <c r="HC14" s="220">
        <f t="shared" ca="1" si="184"/>
        <v>0</v>
      </c>
      <c r="HD14" s="220">
        <f t="shared" ca="1" si="185"/>
        <v>0</v>
      </c>
      <c r="HE14" s="235">
        <f t="shared" ca="1" si="186"/>
        <v>0</v>
      </c>
      <c r="HF14" s="235">
        <f t="shared" ca="1" si="187"/>
        <v>0</v>
      </c>
      <c r="HG14" s="242">
        <f t="shared" ca="1" si="188"/>
        <v>0</v>
      </c>
      <c r="HH14" s="241">
        <f t="shared" ca="1" si="163"/>
        <v>1</v>
      </c>
      <c r="HI14" s="220">
        <f t="shared" ca="1" si="189"/>
        <v>0</v>
      </c>
      <c r="HJ14" s="220">
        <f t="shared" ca="1" si="190"/>
        <v>0</v>
      </c>
      <c r="HK14" s="235">
        <f t="shared" ca="1" si="191"/>
        <v>0</v>
      </c>
      <c r="HL14" s="235">
        <f t="shared" ca="1" si="192"/>
        <v>0</v>
      </c>
      <c r="HM14" s="242">
        <f t="shared" ca="1" si="193"/>
        <v>0</v>
      </c>
      <c r="HN14" s="241">
        <f t="shared" ca="1" si="163"/>
        <v>1</v>
      </c>
      <c r="HO14" s="220">
        <f t="shared" ca="1" si="194"/>
        <v>0</v>
      </c>
      <c r="HP14" s="220">
        <f t="shared" ca="1" si="195"/>
        <v>0</v>
      </c>
      <c r="HQ14" s="235">
        <f t="shared" ca="1" si="196"/>
        <v>0</v>
      </c>
      <c r="HR14" s="235">
        <f t="shared" ca="1" si="197"/>
        <v>0</v>
      </c>
      <c r="HS14" s="242">
        <f t="shared" ca="1" si="198"/>
        <v>0</v>
      </c>
      <c r="HT14" s="241">
        <f t="shared" ca="1" si="163"/>
        <v>1</v>
      </c>
      <c r="HU14" s="220">
        <f t="shared" ca="1" si="199"/>
        <v>0</v>
      </c>
      <c r="HV14" s="220">
        <f t="shared" ca="1" si="200"/>
        <v>0</v>
      </c>
      <c r="HW14" s="235">
        <f t="shared" ca="1" si="201"/>
        <v>0</v>
      </c>
      <c r="HX14" s="235">
        <f t="shared" ca="1" si="202"/>
        <v>0</v>
      </c>
      <c r="HY14" s="242">
        <f t="shared" ca="1" si="203"/>
        <v>0</v>
      </c>
      <c r="HZ14" s="241">
        <f t="shared" ca="1" si="163"/>
        <v>1</v>
      </c>
      <c r="IA14" s="220">
        <f t="shared" ca="1" si="204"/>
        <v>0</v>
      </c>
      <c r="IB14" s="220">
        <f t="shared" ca="1" si="205"/>
        <v>0</v>
      </c>
      <c r="IC14" s="235">
        <f t="shared" ca="1" si="206"/>
        <v>0</v>
      </c>
      <c r="ID14" s="235">
        <f t="shared" ca="1" si="207"/>
        <v>0</v>
      </c>
      <c r="IE14" s="242">
        <f t="shared" ca="1" si="208"/>
        <v>0</v>
      </c>
      <c r="IF14" s="241">
        <f t="shared" ca="1" si="163"/>
        <v>1</v>
      </c>
      <c r="IG14" s="220">
        <f t="shared" ca="1" si="209"/>
        <v>0</v>
      </c>
      <c r="IH14" s="220">
        <f t="shared" ca="1" si="210"/>
        <v>0</v>
      </c>
      <c r="II14" s="235">
        <f t="shared" ca="1" si="211"/>
        <v>0</v>
      </c>
      <c r="IJ14" s="235">
        <f t="shared" ca="1" si="212"/>
        <v>0</v>
      </c>
      <c r="IK14" s="242">
        <f t="shared" ca="1" si="213"/>
        <v>0</v>
      </c>
      <c r="IL14" s="241">
        <f t="shared" ca="1" si="163"/>
        <v>1</v>
      </c>
      <c r="IM14" s="220">
        <f t="shared" ca="1" si="214"/>
        <v>0</v>
      </c>
      <c r="IN14" s="220">
        <f t="shared" ca="1" si="215"/>
        <v>0</v>
      </c>
      <c r="IO14" s="235">
        <f t="shared" ca="1" si="216"/>
        <v>0</v>
      </c>
      <c r="IP14" s="235">
        <f t="shared" ca="1" si="217"/>
        <v>0</v>
      </c>
      <c r="IQ14" s="242">
        <f t="shared" ca="1" si="218"/>
        <v>0</v>
      </c>
      <c r="IR14" s="241">
        <f t="shared" ca="1" si="219"/>
        <v>1</v>
      </c>
      <c r="IS14" s="220">
        <f t="shared" ca="1" si="220"/>
        <v>0</v>
      </c>
      <c r="IT14" s="220">
        <f t="shared" ca="1" si="221"/>
        <v>0</v>
      </c>
      <c r="IU14" s="235">
        <f t="shared" ca="1" si="222"/>
        <v>0</v>
      </c>
      <c r="IV14" s="235">
        <f t="shared" ca="1" si="223"/>
        <v>0</v>
      </c>
      <c r="IW14" s="242">
        <f t="shared" ca="1" si="224"/>
        <v>0</v>
      </c>
      <c r="IX14" s="241">
        <f t="shared" ca="1" si="219"/>
        <v>1</v>
      </c>
      <c r="IY14" s="220">
        <f t="shared" ca="1" si="225"/>
        <v>0</v>
      </c>
      <c r="IZ14" s="220">
        <f t="shared" ca="1" si="226"/>
        <v>0</v>
      </c>
      <c r="JA14" s="235">
        <f t="shared" ca="1" si="227"/>
        <v>0</v>
      </c>
      <c r="JB14" s="235">
        <f t="shared" ca="1" si="228"/>
        <v>0</v>
      </c>
      <c r="JC14" s="242">
        <f t="shared" ca="1" si="229"/>
        <v>0</v>
      </c>
      <c r="JD14" s="241">
        <f t="shared" ca="1" si="219"/>
        <v>1</v>
      </c>
      <c r="JE14" s="220">
        <f t="shared" ca="1" si="230"/>
        <v>0</v>
      </c>
      <c r="JF14" s="220">
        <f t="shared" ca="1" si="231"/>
        <v>0</v>
      </c>
      <c r="JG14" s="235">
        <f t="shared" ca="1" si="232"/>
        <v>0</v>
      </c>
      <c r="JH14" s="235">
        <f t="shared" ca="1" si="233"/>
        <v>0</v>
      </c>
      <c r="JI14" s="242">
        <f t="shared" ca="1" si="234"/>
        <v>0</v>
      </c>
      <c r="JJ14" s="241">
        <f t="shared" ca="1" si="219"/>
        <v>1</v>
      </c>
      <c r="JK14" s="220">
        <f t="shared" ca="1" si="235"/>
        <v>0</v>
      </c>
      <c r="JL14" s="220">
        <f t="shared" ca="1" si="236"/>
        <v>0</v>
      </c>
      <c r="JM14" s="235">
        <f t="shared" ca="1" si="237"/>
        <v>0</v>
      </c>
      <c r="JN14" s="235">
        <f t="shared" ca="1" si="238"/>
        <v>0</v>
      </c>
      <c r="JO14" s="242">
        <f t="shared" ca="1" si="239"/>
        <v>0</v>
      </c>
      <c r="JP14" s="241">
        <f t="shared" ca="1" si="219"/>
        <v>1</v>
      </c>
      <c r="JQ14" s="220">
        <f t="shared" ca="1" si="240"/>
        <v>0</v>
      </c>
      <c r="JR14" s="220">
        <f t="shared" ca="1" si="241"/>
        <v>0</v>
      </c>
      <c r="JS14" s="235">
        <f t="shared" ca="1" si="242"/>
        <v>0</v>
      </c>
      <c r="JT14" s="235">
        <f t="shared" ca="1" si="243"/>
        <v>0</v>
      </c>
      <c r="JU14" s="242">
        <f t="shared" ca="1" si="244"/>
        <v>0</v>
      </c>
      <c r="JV14" s="241">
        <f t="shared" ca="1" si="219"/>
        <v>1</v>
      </c>
      <c r="JW14" s="220">
        <f t="shared" ca="1" si="245"/>
        <v>0</v>
      </c>
      <c r="JX14" s="220">
        <f t="shared" ca="1" si="246"/>
        <v>0</v>
      </c>
      <c r="JY14" s="235">
        <f t="shared" ca="1" si="247"/>
        <v>0</v>
      </c>
      <c r="JZ14" s="235">
        <f t="shared" ca="1" si="248"/>
        <v>0</v>
      </c>
      <c r="KA14" s="242">
        <f t="shared" ca="1" si="249"/>
        <v>0</v>
      </c>
      <c r="KB14" s="241">
        <f t="shared" ca="1" si="219"/>
        <v>1</v>
      </c>
      <c r="KC14" s="220">
        <f t="shared" ca="1" si="250"/>
        <v>0</v>
      </c>
      <c r="KD14" s="220">
        <f t="shared" ca="1" si="251"/>
        <v>0</v>
      </c>
      <c r="KE14" s="235">
        <f t="shared" ca="1" si="252"/>
        <v>0</v>
      </c>
      <c r="KF14" s="235">
        <f t="shared" ca="1" si="253"/>
        <v>0</v>
      </c>
      <c r="KG14" s="242">
        <f t="shared" ca="1" si="254"/>
        <v>0</v>
      </c>
      <c r="KH14" s="241">
        <f t="shared" ca="1" si="219"/>
        <v>1</v>
      </c>
      <c r="KI14" s="220">
        <f t="shared" ca="1" si="255"/>
        <v>0</v>
      </c>
      <c r="KJ14" s="220">
        <f t="shared" ca="1" si="256"/>
        <v>0</v>
      </c>
      <c r="KK14" s="235">
        <f t="shared" ca="1" si="257"/>
        <v>0</v>
      </c>
      <c r="KL14" s="235">
        <f t="shared" ca="1" si="258"/>
        <v>0</v>
      </c>
      <c r="KM14" s="242">
        <f t="shared" ca="1" si="259"/>
        <v>0</v>
      </c>
      <c r="KN14" s="241">
        <f t="shared" ca="1" si="219"/>
        <v>1</v>
      </c>
      <c r="KO14" s="220">
        <f t="shared" ca="1" si="260"/>
        <v>0</v>
      </c>
      <c r="KP14" s="220">
        <f t="shared" ca="1" si="261"/>
        <v>0</v>
      </c>
      <c r="KQ14" s="235">
        <f t="shared" ca="1" si="262"/>
        <v>0</v>
      </c>
      <c r="KR14" s="235">
        <f t="shared" ca="1" si="263"/>
        <v>0</v>
      </c>
      <c r="KS14" s="242">
        <f t="shared" ca="1" si="264"/>
        <v>0</v>
      </c>
      <c r="KT14" s="241">
        <f t="shared" ca="1" si="219"/>
        <v>1</v>
      </c>
      <c r="KU14" s="220">
        <f t="shared" ca="1" si="265"/>
        <v>0</v>
      </c>
      <c r="KV14" s="220">
        <f t="shared" ca="1" si="266"/>
        <v>0</v>
      </c>
      <c r="KW14" s="235">
        <f t="shared" ca="1" si="267"/>
        <v>0</v>
      </c>
      <c r="KX14" s="235">
        <f t="shared" ca="1" si="268"/>
        <v>0</v>
      </c>
      <c r="KY14" s="242">
        <f t="shared" ca="1" si="269"/>
        <v>0</v>
      </c>
      <c r="KZ14" s="241">
        <f t="shared" ca="1" si="219"/>
        <v>1</v>
      </c>
      <c r="LA14" s="220">
        <f t="shared" ca="1" si="270"/>
        <v>0</v>
      </c>
      <c r="LB14" s="220">
        <f t="shared" ca="1" si="271"/>
        <v>0</v>
      </c>
      <c r="LC14" s="235">
        <f t="shared" ca="1" si="272"/>
        <v>0</v>
      </c>
      <c r="LD14" s="235">
        <f t="shared" ca="1" si="273"/>
        <v>0</v>
      </c>
      <c r="LE14" s="242">
        <f t="shared" ca="1" si="274"/>
        <v>0</v>
      </c>
      <c r="LF14" s="241">
        <f t="shared" ca="1" si="275"/>
        <v>1</v>
      </c>
      <c r="LG14" s="220">
        <f t="shared" ca="1" si="276"/>
        <v>0</v>
      </c>
      <c r="LH14" s="220">
        <f t="shared" ca="1" si="277"/>
        <v>0</v>
      </c>
      <c r="LI14" s="235">
        <f t="shared" ca="1" si="278"/>
        <v>0</v>
      </c>
      <c r="LJ14" s="235">
        <f t="shared" ca="1" si="279"/>
        <v>0</v>
      </c>
      <c r="LK14" s="242">
        <f t="shared" ca="1" si="280"/>
        <v>0</v>
      </c>
      <c r="LL14" s="241">
        <f t="shared" ca="1" si="275"/>
        <v>1</v>
      </c>
      <c r="LM14" s="220">
        <f t="shared" ca="1" si="281"/>
        <v>0</v>
      </c>
      <c r="LN14" s="220">
        <f t="shared" ca="1" si="282"/>
        <v>0</v>
      </c>
      <c r="LO14" s="235">
        <f t="shared" ca="1" si="283"/>
        <v>0</v>
      </c>
      <c r="LP14" s="235">
        <f t="shared" ca="1" si="284"/>
        <v>0</v>
      </c>
      <c r="LQ14" s="242">
        <f t="shared" ca="1" si="285"/>
        <v>0</v>
      </c>
      <c r="LR14" s="241">
        <f t="shared" ca="1" si="275"/>
        <v>1</v>
      </c>
      <c r="LS14" s="220">
        <f t="shared" ca="1" si="286"/>
        <v>0</v>
      </c>
      <c r="LT14" s="220">
        <f t="shared" ca="1" si="287"/>
        <v>0</v>
      </c>
      <c r="LU14" s="235">
        <f t="shared" ca="1" si="288"/>
        <v>0</v>
      </c>
      <c r="LV14" s="235">
        <f t="shared" ca="1" si="289"/>
        <v>0</v>
      </c>
      <c r="LW14" s="242">
        <f t="shared" ca="1" si="290"/>
        <v>0</v>
      </c>
      <c r="LX14" s="241">
        <f t="shared" ca="1" si="275"/>
        <v>1</v>
      </c>
      <c r="LY14" s="220">
        <f t="shared" ca="1" si="291"/>
        <v>0</v>
      </c>
      <c r="LZ14" s="220">
        <f t="shared" ca="1" si="292"/>
        <v>0</v>
      </c>
      <c r="MA14" s="235">
        <f t="shared" ca="1" si="293"/>
        <v>0</v>
      </c>
      <c r="MB14" s="235">
        <f t="shared" ca="1" si="294"/>
        <v>0</v>
      </c>
      <c r="MC14" s="242">
        <f t="shared" ca="1" si="295"/>
        <v>0</v>
      </c>
      <c r="MD14" s="241">
        <f t="shared" ca="1" si="275"/>
        <v>1</v>
      </c>
      <c r="ME14" s="220">
        <f t="shared" ca="1" si="296"/>
        <v>0</v>
      </c>
      <c r="MF14" s="220">
        <f t="shared" ca="1" si="297"/>
        <v>0</v>
      </c>
      <c r="MG14" s="235">
        <f t="shared" ca="1" si="298"/>
        <v>0</v>
      </c>
      <c r="MH14" s="235">
        <f t="shared" ca="1" si="299"/>
        <v>0</v>
      </c>
      <c r="MI14" s="242">
        <f t="shared" ca="1" si="300"/>
        <v>0</v>
      </c>
      <c r="MJ14" s="241">
        <f t="shared" ca="1" si="275"/>
        <v>1</v>
      </c>
      <c r="MK14" s="220">
        <f t="shared" ca="1" si="301"/>
        <v>0</v>
      </c>
      <c r="ML14" s="220">
        <f t="shared" ca="1" si="302"/>
        <v>0</v>
      </c>
      <c r="MM14" s="235">
        <f t="shared" ca="1" si="303"/>
        <v>0</v>
      </c>
      <c r="MN14" s="235">
        <f t="shared" ca="1" si="304"/>
        <v>0</v>
      </c>
      <c r="MO14" s="242">
        <f t="shared" ca="1" si="305"/>
        <v>0</v>
      </c>
      <c r="MP14" s="241">
        <f t="shared" ca="1" si="275"/>
        <v>1</v>
      </c>
      <c r="MQ14" s="220">
        <f t="shared" ca="1" si="306"/>
        <v>0</v>
      </c>
      <c r="MR14" s="220">
        <f t="shared" ca="1" si="307"/>
        <v>0</v>
      </c>
      <c r="MS14" s="235">
        <f t="shared" ca="1" si="308"/>
        <v>0</v>
      </c>
      <c r="MT14" s="235">
        <f t="shared" ca="1" si="309"/>
        <v>0</v>
      </c>
      <c r="MU14" s="242">
        <f t="shared" ca="1" si="310"/>
        <v>0</v>
      </c>
      <c r="MV14" s="241">
        <f t="shared" ca="1" si="275"/>
        <v>1</v>
      </c>
      <c r="MW14" s="220">
        <f t="shared" ca="1" si="311"/>
        <v>0</v>
      </c>
      <c r="MX14" s="220">
        <f t="shared" ca="1" si="312"/>
        <v>0</v>
      </c>
      <c r="MY14" s="235">
        <f t="shared" ca="1" si="313"/>
        <v>0</v>
      </c>
      <c r="MZ14" s="235">
        <f t="shared" ca="1" si="314"/>
        <v>0</v>
      </c>
      <c r="NA14" s="242">
        <f t="shared" ca="1" si="315"/>
        <v>0</v>
      </c>
      <c r="NB14" s="241">
        <f t="shared" ca="1" si="275"/>
        <v>1</v>
      </c>
      <c r="NC14" s="220">
        <f t="shared" ca="1" si="316"/>
        <v>0</v>
      </c>
      <c r="ND14" s="220">
        <f t="shared" ca="1" si="317"/>
        <v>0</v>
      </c>
      <c r="NE14" s="235">
        <f t="shared" ca="1" si="318"/>
        <v>0</v>
      </c>
      <c r="NF14" s="235">
        <f t="shared" ca="1" si="319"/>
        <v>0</v>
      </c>
      <c r="NG14" s="242">
        <f t="shared" ca="1" si="320"/>
        <v>0</v>
      </c>
      <c r="NH14" s="241">
        <f t="shared" ca="1" si="275"/>
        <v>1</v>
      </c>
      <c r="NI14" s="220">
        <f t="shared" ca="1" si="321"/>
        <v>0</v>
      </c>
      <c r="NJ14" s="220">
        <f t="shared" ca="1" si="322"/>
        <v>0</v>
      </c>
      <c r="NK14" s="235">
        <f t="shared" ca="1" si="323"/>
        <v>0</v>
      </c>
      <c r="NL14" s="235">
        <f t="shared" ca="1" si="324"/>
        <v>0</v>
      </c>
      <c r="NM14" s="242">
        <f t="shared" ca="1" si="325"/>
        <v>0</v>
      </c>
      <c r="NN14" s="241">
        <f t="shared" ca="1" si="275"/>
        <v>1</v>
      </c>
      <c r="NO14" s="220">
        <f t="shared" ca="1" si="326"/>
        <v>0</v>
      </c>
      <c r="NP14" s="220">
        <f t="shared" ca="1" si="327"/>
        <v>0</v>
      </c>
      <c r="NQ14" s="235">
        <f t="shared" ca="1" si="328"/>
        <v>0</v>
      </c>
      <c r="NR14" s="235">
        <f t="shared" ca="1" si="329"/>
        <v>0</v>
      </c>
      <c r="NS14" s="242">
        <f t="shared" ca="1" si="330"/>
        <v>0</v>
      </c>
      <c r="NT14" s="241">
        <f t="shared" ca="1" si="331"/>
        <v>1</v>
      </c>
      <c r="NU14" s="220">
        <f t="shared" ca="1" si="332"/>
        <v>0</v>
      </c>
      <c r="NV14" s="220">
        <f t="shared" ca="1" si="333"/>
        <v>0</v>
      </c>
      <c r="NW14" s="235">
        <f t="shared" ca="1" si="334"/>
        <v>0</v>
      </c>
      <c r="NX14" s="235">
        <f t="shared" ca="1" si="335"/>
        <v>0</v>
      </c>
      <c r="NY14" s="242">
        <f t="shared" ca="1" si="336"/>
        <v>0</v>
      </c>
      <c r="NZ14" s="241">
        <f t="shared" ca="1" si="331"/>
        <v>1</v>
      </c>
      <c r="OA14" s="220">
        <f t="shared" ca="1" si="337"/>
        <v>0</v>
      </c>
      <c r="OB14" s="220">
        <f t="shared" ca="1" si="338"/>
        <v>0</v>
      </c>
      <c r="OC14" s="235">
        <f t="shared" ca="1" si="339"/>
        <v>0</v>
      </c>
      <c r="OD14" s="235">
        <f t="shared" ca="1" si="340"/>
        <v>0</v>
      </c>
      <c r="OE14" s="242">
        <f t="shared" ca="1" si="341"/>
        <v>0</v>
      </c>
      <c r="OF14" s="241">
        <f t="shared" ca="1" si="331"/>
        <v>1</v>
      </c>
      <c r="OG14" s="220">
        <f t="shared" ca="1" si="342"/>
        <v>0</v>
      </c>
      <c r="OH14" s="220">
        <f t="shared" ca="1" si="343"/>
        <v>0</v>
      </c>
      <c r="OI14" s="235">
        <f t="shared" ca="1" si="344"/>
        <v>0</v>
      </c>
      <c r="OJ14" s="235">
        <f t="shared" ca="1" si="345"/>
        <v>0</v>
      </c>
      <c r="OK14" s="242">
        <f t="shared" ca="1" si="346"/>
        <v>0</v>
      </c>
      <c r="OL14" s="241">
        <f t="shared" ca="1" si="331"/>
        <v>1</v>
      </c>
      <c r="OM14" s="220">
        <f t="shared" ca="1" si="347"/>
        <v>0</v>
      </c>
      <c r="ON14" s="220">
        <f t="shared" ca="1" si="348"/>
        <v>0</v>
      </c>
      <c r="OO14" s="235">
        <f t="shared" ca="1" si="349"/>
        <v>0</v>
      </c>
      <c r="OP14" s="235">
        <f t="shared" ca="1" si="350"/>
        <v>0</v>
      </c>
      <c r="OQ14" s="242">
        <f t="shared" ca="1" si="351"/>
        <v>0</v>
      </c>
      <c r="OR14" s="241">
        <f t="shared" ca="1" si="331"/>
        <v>1</v>
      </c>
      <c r="OS14" s="220">
        <f t="shared" ca="1" si="352"/>
        <v>0</v>
      </c>
      <c r="OT14" s="220">
        <f t="shared" ca="1" si="353"/>
        <v>0</v>
      </c>
      <c r="OU14" s="235">
        <f t="shared" ca="1" si="354"/>
        <v>0</v>
      </c>
      <c r="OV14" s="235">
        <f t="shared" ca="1" si="355"/>
        <v>0</v>
      </c>
      <c r="OW14" s="242">
        <f t="shared" ca="1" si="356"/>
        <v>0</v>
      </c>
      <c r="OX14" s="241">
        <f t="shared" ca="1" si="331"/>
        <v>1</v>
      </c>
      <c r="OY14" s="220">
        <f t="shared" ca="1" si="357"/>
        <v>0</v>
      </c>
      <c r="OZ14" s="220">
        <f t="shared" ca="1" si="358"/>
        <v>0</v>
      </c>
      <c r="PA14" s="235">
        <f t="shared" ca="1" si="359"/>
        <v>0</v>
      </c>
      <c r="PB14" s="235">
        <f t="shared" ca="1" si="360"/>
        <v>0</v>
      </c>
      <c r="PC14" s="242">
        <f t="shared" ca="1" si="361"/>
        <v>0</v>
      </c>
      <c r="PD14" s="241">
        <f t="shared" ca="1" si="331"/>
        <v>1</v>
      </c>
      <c r="PE14" s="220">
        <f t="shared" ca="1" si="362"/>
        <v>0</v>
      </c>
      <c r="PF14" s="220">
        <f t="shared" ca="1" si="363"/>
        <v>0</v>
      </c>
      <c r="PG14" s="235">
        <f t="shared" ca="1" si="364"/>
        <v>0</v>
      </c>
      <c r="PH14" s="235">
        <f t="shared" ca="1" si="365"/>
        <v>0</v>
      </c>
      <c r="PI14" s="242">
        <f t="shared" ca="1" si="366"/>
        <v>0</v>
      </c>
      <c r="PJ14" s="241">
        <f t="shared" ca="1" si="331"/>
        <v>1</v>
      </c>
      <c r="PK14" s="220">
        <f t="shared" ca="1" si="367"/>
        <v>0</v>
      </c>
      <c r="PL14" s="220">
        <f t="shared" ca="1" si="368"/>
        <v>0</v>
      </c>
      <c r="PM14" s="235">
        <f t="shared" ca="1" si="369"/>
        <v>0</v>
      </c>
      <c r="PN14" s="235">
        <f t="shared" ca="1" si="370"/>
        <v>0</v>
      </c>
      <c r="PO14" s="242">
        <f t="shared" ca="1" si="371"/>
        <v>0</v>
      </c>
      <c r="PP14" s="241">
        <f t="shared" ca="1" si="331"/>
        <v>1</v>
      </c>
      <c r="PQ14" s="220">
        <f t="shared" ca="1" si="372"/>
        <v>0</v>
      </c>
      <c r="PR14" s="220">
        <f t="shared" ca="1" si="373"/>
        <v>0</v>
      </c>
      <c r="PS14" s="235">
        <f t="shared" ca="1" si="374"/>
        <v>0</v>
      </c>
      <c r="PT14" s="235">
        <f t="shared" ca="1" si="375"/>
        <v>0</v>
      </c>
      <c r="PU14" s="242">
        <f t="shared" ca="1" si="376"/>
        <v>0</v>
      </c>
      <c r="PV14" s="241">
        <f t="shared" ca="1" si="331"/>
        <v>1</v>
      </c>
      <c r="PW14" s="220">
        <f t="shared" ca="1" si="377"/>
        <v>0</v>
      </c>
      <c r="PX14" s="220">
        <f t="shared" ca="1" si="378"/>
        <v>0</v>
      </c>
      <c r="PY14" s="235">
        <f t="shared" ca="1" si="379"/>
        <v>0</v>
      </c>
      <c r="PZ14" s="235">
        <f t="shared" ca="1" si="380"/>
        <v>0</v>
      </c>
      <c r="QA14" s="242">
        <f t="shared" ca="1" si="381"/>
        <v>0</v>
      </c>
      <c r="QB14" s="241">
        <f t="shared" ca="1" si="331"/>
        <v>1</v>
      </c>
      <c r="QC14" s="220">
        <f t="shared" ca="1" si="382"/>
        <v>0</v>
      </c>
      <c r="QD14" s="220">
        <f t="shared" ca="1" si="383"/>
        <v>0</v>
      </c>
      <c r="QE14" s="235">
        <f t="shared" ca="1" si="384"/>
        <v>0</v>
      </c>
      <c r="QF14" s="235">
        <f t="shared" ca="1" si="385"/>
        <v>0</v>
      </c>
      <c r="QG14" s="242">
        <f t="shared" ca="1" si="386"/>
        <v>0</v>
      </c>
      <c r="QH14" s="241">
        <f t="shared" ca="1" si="387"/>
        <v>1</v>
      </c>
      <c r="QI14" s="220">
        <f t="shared" ca="1" si="388"/>
        <v>0</v>
      </c>
      <c r="QJ14" s="220">
        <f t="shared" ca="1" si="389"/>
        <v>0</v>
      </c>
      <c r="QK14" s="235">
        <f t="shared" ca="1" si="390"/>
        <v>0</v>
      </c>
      <c r="QL14" s="235">
        <f t="shared" ca="1" si="391"/>
        <v>0</v>
      </c>
      <c r="QM14" s="242">
        <f t="shared" ca="1" si="392"/>
        <v>0</v>
      </c>
      <c r="QN14" s="241">
        <f t="shared" ca="1" si="387"/>
        <v>1</v>
      </c>
      <c r="QO14" s="220">
        <f t="shared" ca="1" si="393"/>
        <v>0</v>
      </c>
      <c r="QP14" s="220">
        <f t="shared" ca="1" si="394"/>
        <v>0</v>
      </c>
      <c r="QQ14" s="235">
        <f t="shared" ca="1" si="395"/>
        <v>0</v>
      </c>
      <c r="QR14" s="235">
        <f t="shared" ca="1" si="396"/>
        <v>0</v>
      </c>
      <c r="QS14" s="242">
        <f t="shared" ca="1" si="397"/>
        <v>0</v>
      </c>
      <c r="QT14" s="241">
        <f t="shared" ca="1" si="387"/>
        <v>1</v>
      </c>
      <c r="QU14" s="220">
        <f t="shared" ca="1" si="398"/>
        <v>0</v>
      </c>
      <c r="QV14" s="220">
        <f t="shared" ca="1" si="399"/>
        <v>0</v>
      </c>
      <c r="QW14" s="235">
        <f t="shared" ca="1" si="400"/>
        <v>0</v>
      </c>
      <c r="QX14" s="235">
        <f t="shared" ca="1" si="401"/>
        <v>0</v>
      </c>
      <c r="QY14" s="242">
        <f t="shared" ca="1" si="402"/>
        <v>0</v>
      </c>
      <c r="QZ14" s="241">
        <f t="shared" ca="1" si="387"/>
        <v>1</v>
      </c>
      <c r="RA14" s="220">
        <f t="shared" ca="1" si="403"/>
        <v>0</v>
      </c>
      <c r="RB14" s="220">
        <f t="shared" ca="1" si="404"/>
        <v>0</v>
      </c>
      <c r="RC14" s="235">
        <f t="shared" ca="1" si="405"/>
        <v>0</v>
      </c>
      <c r="RD14" s="235">
        <f t="shared" ca="1" si="406"/>
        <v>0</v>
      </c>
      <c r="RE14" s="242">
        <f t="shared" ca="1" si="407"/>
        <v>0</v>
      </c>
      <c r="RF14" s="241">
        <f t="shared" ca="1" si="387"/>
        <v>1</v>
      </c>
      <c r="RG14" s="220">
        <f t="shared" ca="1" si="408"/>
        <v>0</v>
      </c>
      <c r="RH14" s="220">
        <f t="shared" ca="1" si="409"/>
        <v>0</v>
      </c>
      <c r="RI14" s="235">
        <f t="shared" ca="1" si="410"/>
        <v>0</v>
      </c>
      <c r="RJ14" s="235">
        <f t="shared" ca="1" si="411"/>
        <v>0</v>
      </c>
      <c r="RK14" s="242">
        <f t="shared" ca="1" si="412"/>
        <v>0</v>
      </c>
      <c r="RL14" s="241">
        <f t="shared" ca="1" si="387"/>
        <v>1</v>
      </c>
      <c r="RM14" s="220">
        <f t="shared" ca="1" si="413"/>
        <v>0</v>
      </c>
      <c r="RN14" s="220">
        <f t="shared" ca="1" si="414"/>
        <v>0</v>
      </c>
      <c r="RO14" s="235">
        <f t="shared" ca="1" si="415"/>
        <v>0</v>
      </c>
      <c r="RP14" s="235">
        <f t="shared" ca="1" si="416"/>
        <v>0</v>
      </c>
      <c r="RQ14" s="242">
        <f t="shared" ca="1" si="417"/>
        <v>0</v>
      </c>
      <c r="RR14" s="241">
        <f t="shared" ca="1" si="387"/>
        <v>1</v>
      </c>
      <c r="RS14" s="220">
        <f t="shared" ca="1" si="418"/>
        <v>0</v>
      </c>
      <c r="RT14" s="220">
        <f t="shared" ca="1" si="419"/>
        <v>0</v>
      </c>
      <c r="RU14" s="235">
        <f t="shared" ca="1" si="420"/>
        <v>0</v>
      </c>
      <c r="RV14" s="235">
        <f t="shared" ca="1" si="421"/>
        <v>0</v>
      </c>
      <c r="RW14" s="242">
        <f t="shared" ca="1" si="422"/>
        <v>0</v>
      </c>
      <c r="RX14" s="241">
        <f t="shared" ca="1" si="387"/>
        <v>1</v>
      </c>
      <c r="RY14" s="220">
        <f t="shared" ca="1" si="423"/>
        <v>0</v>
      </c>
      <c r="RZ14" s="220">
        <f t="shared" ca="1" si="424"/>
        <v>0</v>
      </c>
      <c r="SA14" s="235">
        <f t="shared" ca="1" si="425"/>
        <v>0</v>
      </c>
      <c r="SB14" s="235">
        <f t="shared" ca="1" si="426"/>
        <v>0</v>
      </c>
      <c r="SC14" s="242">
        <f t="shared" ca="1" si="427"/>
        <v>0</v>
      </c>
      <c r="SD14" s="241">
        <f t="shared" ca="1" si="387"/>
        <v>1</v>
      </c>
      <c r="SE14" s="220">
        <f t="shared" ca="1" si="428"/>
        <v>0</v>
      </c>
      <c r="SF14" s="220">
        <f t="shared" ca="1" si="429"/>
        <v>0</v>
      </c>
      <c r="SG14" s="235">
        <f t="shared" ca="1" si="430"/>
        <v>0</v>
      </c>
      <c r="SH14" s="235">
        <f t="shared" ca="1" si="431"/>
        <v>0</v>
      </c>
      <c r="SI14" s="242">
        <f t="shared" ca="1" si="432"/>
        <v>0</v>
      </c>
      <c r="SJ14" s="241">
        <f t="shared" ca="1" si="387"/>
        <v>1</v>
      </c>
      <c r="SK14" s="220">
        <f t="shared" ca="1" si="433"/>
        <v>0</v>
      </c>
      <c r="SL14" s="220">
        <f t="shared" ca="1" si="434"/>
        <v>0</v>
      </c>
      <c r="SM14" s="235">
        <f t="shared" ca="1" si="435"/>
        <v>0</v>
      </c>
      <c r="SN14" s="235">
        <f t="shared" ca="1" si="436"/>
        <v>0</v>
      </c>
      <c r="SO14" s="242">
        <f t="shared" ca="1" si="437"/>
        <v>0</v>
      </c>
      <c r="SP14" s="241">
        <f t="shared" ca="1" si="387"/>
        <v>1</v>
      </c>
      <c r="SQ14" s="220">
        <f t="shared" ca="1" si="438"/>
        <v>0</v>
      </c>
      <c r="SR14" s="220">
        <f t="shared" ca="1" si="439"/>
        <v>0</v>
      </c>
      <c r="SS14" s="235">
        <f t="shared" ca="1" si="440"/>
        <v>0</v>
      </c>
      <c r="ST14" s="235">
        <f t="shared" ca="1" si="441"/>
        <v>0</v>
      </c>
      <c r="SU14" s="242">
        <f t="shared" ca="1" si="442"/>
        <v>0</v>
      </c>
      <c r="SV14" s="241">
        <f t="shared" ca="1" si="443"/>
        <v>1</v>
      </c>
      <c r="SW14" s="220">
        <f t="shared" ca="1" si="444"/>
        <v>0</v>
      </c>
      <c r="SX14" s="220">
        <f t="shared" ca="1" si="445"/>
        <v>0</v>
      </c>
      <c r="SY14" s="235">
        <f t="shared" ca="1" si="446"/>
        <v>0</v>
      </c>
      <c r="SZ14" s="235">
        <f t="shared" ca="1" si="447"/>
        <v>0</v>
      </c>
      <c r="TA14" s="242">
        <f t="shared" ca="1" si="448"/>
        <v>0</v>
      </c>
      <c r="TB14" s="241">
        <f t="shared" ca="1" si="443"/>
        <v>1</v>
      </c>
      <c r="TC14" s="220">
        <f t="shared" ca="1" si="449"/>
        <v>0</v>
      </c>
      <c r="TD14" s="220">
        <f t="shared" ca="1" si="450"/>
        <v>0</v>
      </c>
      <c r="TE14" s="235">
        <f t="shared" ca="1" si="451"/>
        <v>0</v>
      </c>
      <c r="TF14" s="235">
        <f t="shared" ca="1" si="452"/>
        <v>0</v>
      </c>
      <c r="TG14" s="242">
        <f t="shared" ca="1" si="453"/>
        <v>0</v>
      </c>
      <c r="TH14" s="241">
        <f t="shared" ca="1" si="443"/>
        <v>1</v>
      </c>
      <c r="TI14" s="220">
        <f t="shared" ca="1" si="454"/>
        <v>0</v>
      </c>
      <c r="TJ14" s="220">
        <f t="shared" ca="1" si="455"/>
        <v>0</v>
      </c>
      <c r="TK14" s="235">
        <f t="shared" ca="1" si="456"/>
        <v>0</v>
      </c>
      <c r="TL14" s="235">
        <f t="shared" ca="1" si="457"/>
        <v>0</v>
      </c>
      <c r="TM14" s="242">
        <f t="shared" ca="1" si="458"/>
        <v>0</v>
      </c>
      <c r="TN14" s="241">
        <f t="shared" ca="1" si="443"/>
        <v>1</v>
      </c>
      <c r="TO14" s="220">
        <f t="shared" ca="1" si="459"/>
        <v>0</v>
      </c>
      <c r="TP14" s="220">
        <f t="shared" ca="1" si="460"/>
        <v>0</v>
      </c>
      <c r="TQ14" s="235">
        <f t="shared" ca="1" si="461"/>
        <v>0</v>
      </c>
      <c r="TR14" s="235">
        <f t="shared" ca="1" si="462"/>
        <v>0</v>
      </c>
      <c r="TS14" s="242">
        <f t="shared" ca="1" si="463"/>
        <v>0</v>
      </c>
      <c r="TT14" s="241">
        <f t="shared" ca="1" si="443"/>
        <v>1</v>
      </c>
      <c r="TU14" s="220">
        <f t="shared" ca="1" si="464"/>
        <v>0</v>
      </c>
      <c r="TV14" s="220">
        <f t="shared" ca="1" si="465"/>
        <v>0</v>
      </c>
      <c r="TW14" s="235">
        <f t="shared" ca="1" si="466"/>
        <v>0</v>
      </c>
      <c r="TX14" s="235">
        <f t="shared" ca="1" si="467"/>
        <v>0</v>
      </c>
      <c r="TY14" s="242">
        <f t="shared" ca="1" si="468"/>
        <v>0</v>
      </c>
      <c r="TZ14" s="241">
        <f t="shared" ca="1" si="443"/>
        <v>1</v>
      </c>
      <c r="UA14" s="220">
        <f t="shared" ca="1" si="469"/>
        <v>0</v>
      </c>
      <c r="UB14" s="220">
        <f t="shared" ca="1" si="470"/>
        <v>0</v>
      </c>
      <c r="UC14" s="235">
        <f t="shared" ca="1" si="471"/>
        <v>0</v>
      </c>
      <c r="UD14" s="235">
        <f t="shared" ca="1" si="472"/>
        <v>0</v>
      </c>
      <c r="UE14" s="242">
        <f t="shared" ca="1" si="473"/>
        <v>0</v>
      </c>
      <c r="UF14" s="241">
        <f t="shared" ca="1" si="443"/>
        <v>1</v>
      </c>
      <c r="UG14" s="220">
        <f t="shared" ca="1" si="474"/>
        <v>0</v>
      </c>
      <c r="UH14" s="220">
        <f t="shared" ca="1" si="475"/>
        <v>0</v>
      </c>
      <c r="UI14" s="235">
        <f t="shared" ca="1" si="476"/>
        <v>0</v>
      </c>
      <c r="UJ14" s="235">
        <f t="shared" ca="1" si="477"/>
        <v>0</v>
      </c>
      <c r="UK14" s="242">
        <f t="shared" ca="1" si="478"/>
        <v>0</v>
      </c>
      <c r="UL14" s="241">
        <f t="shared" ca="1" si="443"/>
        <v>1</v>
      </c>
      <c r="UM14" s="220">
        <f t="shared" ca="1" si="479"/>
        <v>0</v>
      </c>
      <c r="UN14" s="220">
        <f t="shared" ca="1" si="480"/>
        <v>0</v>
      </c>
      <c r="UO14" s="235">
        <f t="shared" ca="1" si="481"/>
        <v>0</v>
      </c>
      <c r="UP14" s="235">
        <f t="shared" ca="1" si="482"/>
        <v>0</v>
      </c>
      <c r="UQ14" s="242">
        <f t="shared" ca="1" si="483"/>
        <v>0</v>
      </c>
      <c r="UR14" s="241">
        <f t="shared" ca="1" si="443"/>
        <v>1</v>
      </c>
      <c r="US14" s="220">
        <f t="shared" ca="1" si="484"/>
        <v>0</v>
      </c>
      <c r="UT14" s="220">
        <f t="shared" ca="1" si="485"/>
        <v>0</v>
      </c>
      <c r="UU14" s="235">
        <f t="shared" ca="1" si="486"/>
        <v>0</v>
      </c>
      <c r="UV14" s="235">
        <f t="shared" ca="1" si="487"/>
        <v>0</v>
      </c>
      <c r="UW14" s="242">
        <f t="shared" ca="1" si="488"/>
        <v>0</v>
      </c>
      <c r="UX14" s="241">
        <f t="shared" ca="1" si="443"/>
        <v>1</v>
      </c>
      <c r="UY14" s="220">
        <f t="shared" ca="1" si="489"/>
        <v>0</v>
      </c>
      <c r="UZ14" s="220">
        <f t="shared" ca="1" si="490"/>
        <v>0</v>
      </c>
      <c r="VA14" s="235">
        <f t="shared" ca="1" si="491"/>
        <v>0</v>
      </c>
      <c r="VB14" s="235">
        <f t="shared" ca="1" si="492"/>
        <v>0</v>
      </c>
      <c r="VC14" s="242">
        <f t="shared" ca="1" si="493"/>
        <v>0</v>
      </c>
      <c r="VD14" s="241">
        <f t="shared" ca="1" si="443"/>
        <v>1</v>
      </c>
      <c r="VE14" s="220">
        <f t="shared" ca="1" si="494"/>
        <v>0</v>
      </c>
      <c r="VF14" s="220">
        <f t="shared" ca="1" si="495"/>
        <v>0</v>
      </c>
      <c r="VG14" s="235">
        <f t="shared" ca="1" si="496"/>
        <v>0</v>
      </c>
      <c r="VH14" s="235">
        <f t="shared" ca="1" si="497"/>
        <v>0</v>
      </c>
      <c r="VI14" s="242">
        <f t="shared" ca="1" si="498"/>
        <v>0</v>
      </c>
      <c r="VJ14" s="241">
        <f t="shared" ca="1" si="499"/>
        <v>1</v>
      </c>
      <c r="VK14" s="220">
        <f t="shared" ca="1" si="500"/>
        <v>0</v>
      </c>
      <c r="VL14" s="220">
        <f t="shared" ca="1" si="501"/>
        <v>0</v>
      </c>
      <c r="VM14" s="235">
        <f t="shared" ca="1" si="502"/>
        <v>0</v>
      </c>
      <c r="VN14" s="235">
        <f t="shared" ca="1" si="503"/>
        <v>0</v>
      </c>
      <c r="VO14" s="242">
        <f t="shared" ca="1" si="504"/>
        <v>0</v>
      </c>
      <c r="VP14" s="241">
        <f t="shared" ca="1" si="499"/>
        <v>1</v>
      </c>
      <c r="VQ14" s="220">
        <f t="shared" ca="1" si="505"/>
        <v>0</v>
      </c>
      <c r="VR14" s="220">
        <f t="shared" ca="1" si="506"/>
        <v>0</v>
      </c>
      <c r="VS14" s="235">
        <f t="shared" ca="1" si="507"/>
        <v>0</v>
      </c>
      <c r="VT14" s="235">
        <f t="shared" ca="1" si="508"/>
        <v>0</v>
      </c>
      <c r="VU14" s="242">
        <f t="shared" ca="1" si="509"/>
        <v>0</v>
      </c>
      <c r="VV14" s="241">
        <f t="shared" ca="1" si="499"/>
        <v>1</v>
      </c>
      <c r="VW14" s="220">
        <f t="shared" ca="1" si="510"/>
        <v>0</v>
      </c>
      <c r="VX14" s="220">
        <f t="shared" ca="1" si="511"/>
        <v>0</v>
      </c>
      <c r="VY14" s="235">
        <f t="shared" ca="1" si="512"/>
        <v>0</v>
      </c>
      <c r="VZ14" s="235">
        <f t="shared" ca="1" si="513"/>
        <v>0</v>
      </c>
      <c r="WA14" s="242">
        <f t="shared" ca="1" si="514"/>
        <v>0</v>
      </c>
      <c r="WB14" s="241">
        <f t="shared" ca="1" si="499"/>
        <v>1</v>
      </c>
      <c r="WC14" s="220">
        <f t="shared" ca="1" si="515"/>
        <v>0</v>
      </c>
      <c r="WD14" s="220">
        <f t="shared" ca="1" si="516"/>
        <v>0</v>
      </c>
      <c r="WE14" s="235">
        <f t="shared" ca="1" si="517"/>
        <v>0</v>
      </c>
      <c r="WF14" s="235">
        <f t="shared" ca="1" si="518"/>
        <v>0</v>
      </c>
      <c r="WG14" s="242">
        <f t="shared" ca="1" si="519"/>
        <v>0</v>
      </c>
      <c r="WH14" s="241">
        <f t="shared" ca="1" si="499"/>
        <v>1</v>
      </c>
      <c r="WI14" s="220">
        <f t="shared" ca="1" si="520"/>
        <v>0</v>
      </c>
      <c r="WJ14" s="220">
        <f t="shared" ca="1" si="521"/>
        <v>0</v>
      </c>
      <c r="WK14" s="235">
        <f t="shared" ca="1" si="522"/>
        <v>0</v>
      </c>
      <c r="WL14" s="235">
        <f t="shared" ca="1" si="523"/>
        <v>0</v>
      </c>
      <c r="WM14" s="242">
        <f t="shared" ca="1" si="524"/>
        <v>0</v>
      </c>
      <c r="WN14" s="241">
        <f t="shared" ca="1" si="499"/>
        <v>1</v>
      </c>
      <c r="WO14" s="220">
        <f t="shared" ca="1" si="525"/>
        <v>0</v>
      </c>
      <c r="WP14" s="220">
        <f t="shared" ca="1" si="526"/>
        <v>0</v>
      </c>
      <c r="WQ14" s="235">
        <f t="shared" ca="1" si="527"/>
        <v>0</v>
      </c>
      <c r="WR14" s="235">
        <f t="shared" ca="1" si="528"/>
        <v>0</v>
      </c>
      <c r="WS14" s="242">
        <f t="shared" ca="1" si="529"/>
        <v>0</v>
      </c>
      <c r="WT14" s="241">
        <f t="shared" ca="1" si="499"/>
        <v>1</v>
      </c>
      <c r="WU14" s="220">
        <f t="shared" ca="1" si="530"/>
        <v>0</v>
      </c>
      <c r="WV14" s="220">
        <f t="shared" ca="1" si="531"/>
        <v>0</v>
      </c>
      <c r="WW14" s="235">
        <f t="shared" ca="1" si="532"/>
        <v>0</v>
      </c>
      <c r="WX14" s="235">
        <f t="shared" ca="1" si="533"/>
        <v>0</v>
      </c>
      <c r="WY14" s="242">
        <f t="shared" ca="1" si="534"/>
        <v>0</v>
      </c>
      <c r="WZ14" s="241">
        <f t="shared" ca="1" si="499"/>
        <v>1</v>
      </c>
      <c r="XA14" s="220">
        <f t="shared" ca="1" si="535"/>
        <v>0</v>
      </c>
      <c r="XB14" s="220">
        <f t="shared" ca="1" si="536"/>
        <v>0</v>
      </c>
      <c r="XC14" s="235">
        <f t="shared" ca="1" si="537"/>
        <v>0</v>
      </c>
      <c r="XD14" s="235">
        <f t="shared" ca="1" si="538"/>
        <v>0</v>
      </c>
      <c r="XE14" s="242">
        <f t="shared" ca="1" si="539"/>
        <v>0</v>
      </c>
      <c r="XF14" s="241">
        <f t="shared" ca="1" si="499"/>
        <v>1</v>
      </c>
      <c r="XG14" s="220">
        <f t="shared" ca="1" si="540"/>
        <v>0</v>
      </c>
      <c r="XH14" s="220">
        <f t="shared" ca="1" si="541"/>
        <v>0</v>
      </c>
      <c r="XI14" s="235">
        <f t="shared" ca="1" si="542"/>
        <v>0</v>
      </c>
      <c r="XJ14" s="235">
        <f t="shared" ca="1" si="543"/>
        <v>0</v>
      </c>
      <c r="XK14" s="242">
        <f t="shared" ca="1" si="544"/>
        <v>0</v>
      </c>
    </row>
    <row r="15" spans="1:635" x14ac:dyDescent="0.25">
      <c r="B15" s="65">
        <f t="shared" ca="1" si="14"/>
        <v>2030</v>
      </c>
      <c r="C15" s="65" t="s">
        <v>741</v>
      </c>
      <c r="D15" s="77">
        <f t="shared" si="15"/>
        <v>0</v>
      </c>
      <c r="E15" s="77">
        <f t="shared" si="16"/>
        <v>0</v>
      </c>
      <c r="F15" s="77">
        <f t="shared" si="17"/>
        <v>0</v>
      </c>
      <c r="G15" s="77">
        <f t="shared" si="18"/>
        <v>0</v>
      </c>
      <c r="H15" s="15" t="e">
        <f t="shared" ca="1" si="19"/>
        <v>#REF!</v>
      </c>
      <c r="L15" s="326">
        <f t="shared" ca="1" si="20"/>
        <v>3.5000000000000003E-2</v>
      </c>
      <c r="M15" s="327">
        <f t="shared" ca="1" si="21"/>
        <v>3.5000000000000003E-2</v>
      </c>
      <c r="N15" s="322">
        <f t="shared" ca="1" si="22"/>
        <v>-7</v>
      </c>
      <c r="O15" s="322">
        <f t="shared" ca="1" si="23"/>
        <v>4</v>
      </c>
      <c r="P15" s="328">
        <f t="shared" ca="1" si="545"/>
        <v>3.8016369809136523</v>
      </c>
      <c r="Q15" s="328">
        <f t="shared" ca="1" si="546"/>
        <v>3.8016369809136523</v>
      </c>
      <c r="R15" s="328">
        <f t="shared" ca="1" si="547"/>
        <v>3.8016369809136523</v>
      </c>
      <c r="S15" s="329">
        <f t="shared" ca="1" si="24"/>
        <v>3.4999999999999969E-2</v>
      </c>
      <c r="T15" s="329">
        <f t="shared" ca="1" si="25"/>
        <v>3.4999999999999969E-2</v>
      </c>
      <c r="U15" s="329">
        <f t="shared" ca="1" si="26"/>
        <v>3.4999999999999969E-2</v>
      </c>
      <c r="V15" s="320" t="e">
        <f t="shared" ca="1" si="27"/>
        <v>#REF!</v>
      </c>
      <c r="W15" s="320" t="e">
        <f t="shared" ca="1" si="28"/>
        <v>#REF!</v>
      </c>
      <c r="X15" s="320" t="e">
        <f t="shared" ca="1" si="29"/>
        <v>#REF!</v>
      </c>
      <c r="Y15" s="320" t="e">
        <f ca="1">INDEX(SC_ZA_HECMLumpSum,ZAIDX)</f>
        <v>#REF!</v>
      </c>
      <c r="Z15" s="320" t="e">
        <f t="shared" ca="1" si="30"/>
        <v>#REF!</v>
      </c>
      <c r="AA15" s="320" t="e">
        <f t="shared" ca="1" si="31"/>
        <v>#REF!</v>
      </c>
      <c r="AB15" s="320" t="e">
        <f t="shared" ca="1" si="32"/>
        <v>#REF!</v>
      </c>
      <c r="AC15" s="330" t="e">
        <f t="shared" ca="1" si="33"/>
        <v>#REF!</v>
      </c>
      <c r="AD15" s="236" t="e">
        <f t="shared" ca="1" si="548"/>
        <v>#REF!</v>
      </c>
      <c r="AE15" s="320" t="e">
        <f t="shared" ca="1" si="34"/>
        <v>#REF!</v>
      </c>
      <c r="AF15" s="320" t="e">
        <f t="shared" ca="1" si="35"/>
        <v>#REF!</v>
      </c>
      <c r="AG15" s="320" t="e">
        <f t="shared" ca="1" si="549"/>
        <v>#REF!</v>
      </c>
      <c r="AH15" s="284" t="e">
        <f t="shared" ca="1" si="550"/>
        <v>#REF!</v>
      </c>
      <c r="AI15" s="318" t="e">
        <f t="shared" ca="1" si="551"/>
        <v>#REF!</v>
      </c>
      <c r="AJ15" s="331">
        <f t="shared" ca="1" si="552"/>
        <v>1</v>
      </c>
      <c r="AK15" s="220">
        <f t="shared" ca="1" si="553"/>
        <v>0</v>
      </c>
      <c r="AL15" s="220">
        <f t="shared" ca="1" si="37"/>
        <v>0</v>
      </c>
      <c r="AM15" s="235">
        <f t="shared" ca="1" si="554"/>
        <v>1</v>
      </c>
      <c r="AN15" s="235">
        <f t="shared" ca="1" si="555"/>
        <v>1</v>
      </c>
      <c r="AO15" s="242">
        <f t="shared" ca="1" si="556"/>
        <v>1</v>
      </c>
      <c r="AP15" s="241">
        <f t="shared" ca="1" si="552"/>
        <v>1</v>
      </c>
      <c r="AQ15" s="220">
        <f t="shared" ca="1" si="41"/>
        <v>0</v>
      </c>
      <c r="AR15" s="220">
        <f t="shared" ca="1" si="42"/>
        <v>0</v>
      </c>
      <c r="AS15" s="235">
        <f t="shared" ca="1" si="43"/>
        <v>0.96618357487922713</v>
      </c>
      <c r="AT15" s="235">
        <f t="shared" ca="1" si="44"/>
        <v>0.96618357487922713</v>
      </c>
      <c r="AU15" s="242">
        <f t="shared" ca="1" si="45"/>
        <v>0.96618357487922713</v>
      </c>
      <c r="AV15" s="241">
        <f t="shared" ca="1" si="552"/>
        <v>1</v>
      </c>
      <c r="AW15" s="220">
        <f t="shared" ca="1" si="46"/>
        <v>0</v>
      </c>
      <c r="AX15" s="220">
        <f t="shared" ca="1" si="47"/>
        <v>0</v>
      </c>
      <c r="AY15" s="235">
        <f t="shared" ca="1" si="48"/>
        <v>0.93351070036640305</v>
      </c>
      <c r="AZ15" s="235">
        <f t="shared" ca="1" si="49"/>
        <v>0.93351070036640305</v>
      </c>
      <c r="BA15" s="242">
        <f t="shared" ca="1" si="50"/>
        <v>0.93351070036640305</v>
      </c>
      <c r="BB15" s="241">
        <f t="shared" ca="1" si="552"/>
        <v>1</v>
      </c>
      <c r="BC15" s="220">
        <f t="shared" ca="1" si="52"/>
        <v>0</v>
      </c>
      <c r="BD15" s="220">
        <f t="shared" ca="1" si="53"/>
        <v>0</v>
      </c>
      <c r="BE15" s="235">
        <f t="shared" ca="1" si="54"/>
        <v>0.90194270566802237</v>
      </c>
      <c r="BF15" s="235">
        <f t="shared" ca="1" si="55"/>
        <v>0.90194270566802237</v>
      </c>
      <c r="BG15" s="242">
        <f t="shared" ca="1" si="56"/>
        <v>0.90194270566802237</v>
      </c>
      <c r="BH15" s="241">
        <f t="shared" ca="1" si="552"/>
        <v>1</v>
      </c>
      <c r="BI15" s="220">
        <f t="shared" ca="1" si="57"/>
        <v>0</v>
      </c>
      <c r="BJ15" s="220">
        <f t="shared" ca="1" si="58"/>
        <v>0</v>
      </c>
      <c r="BK15" s="235">
        <f t="shared" ca="1" si="59"/>
        <v>0</v>
      </c>
      <c r="BL15" s="235">
        <f t="shared" ca="1" si="60"/>
        <v>0</v>
      </c>
      <c r="BM15" s="242">
        <f t="shared" ca="1" si="61"/>
        <v>0</v>
      </c>
      <c r="BN15" s="241">
        <f t="shared" ca="1" si="552"/>
        <v>1</v>
      </c>
      <c r="BO15" s="220">
        <f t="shared" ca="1" si="62"/>
        <v>0</v>
      </c>
      <c r="BP15" s="220">
        <f t="shared" ca="1" si="63"/>
        <v>0</v>
      </c>
      <c r="BQ15" s="235">
        <f t="shared" ca="1" si="64"/>
        <v>0</v>
      </c>
      <c r="BR15" s="235">
        <f t="shared" ca="1" si="65"/>
        <v>0</v>
      </c>
      <c r="BS15" s="242">
        <f t="shared" ca="1" si="66"/>
        <v>0</v>
      </c>
      <c r="BT15" s="241">
        <f t="shared" ca="1" si="552"/>
        <v>1</v>
      </c>
      <c r="BU15" s="220">
        <f t="shared" ca="1" si="67"/>
        <v>0</v>
      </c>
      <c r="BV15" s="220">
        <f t="shared" ca="1" si="68"/>
        <v>0</v>
      </c>
      <c r="BW15" s="235">
        <f t="shared" ca="1" si="69"/>
        <v>0</v>
      </c>
      <c r="BX15" s="235">
        <f t="shared" ca="1" si="70"/>
        <v>0</v>
      </c>
      <c r="BY15" s="242">
        <f t="shared" ca="1" si="71"/>
        <v>0</v>
      </c>
      <c r="BZ15" s="241">
        <f t="shared" ca="1" si="552"/>
        <v>1</v>
      </c>
      <c r="CA15" s="220">
        <f t="shared" ca="1" si="72"/>
        <v>0</v>
      </c>
      <c r="CB15" s="220">
        <f t="shared" ca="1" si="73"/>
        <v>0</v>
      </c>
      <c r="CC15" s="235">
        <f t="shared" ca="1" si="74"/>
        <v>0</v>
      </c>
      <c r="CD15" s="235">
        <f t="shared" ca="1" si="75"/>
        <v>0</v>
      </c>
      <c r="CE15" s="242">
        <f t="shared" ca="1" si="76"/>
        <v>0</v>
      </c>
      <c r="CF15" s="241">
        <f t="shared" ca="1" si="552"/>
        <v>1</v>
      </c>
      <c r="CG15" s="220">
        <f t="shared" ca="1" si="77"/>
        <v>0</v>
      </c>
      <c r="CH15" s="220">
        <f t="shared" ca="1" si="78"/>
        <v>0</v>
      </c>
      <c r="CI15" s="235">
        <f t="shared" ca="1" si="79"/>
        <v>0</v>
      </c>
      <c r="CJ15" s="235">
        <f t="shared" ca="1" si="80"/>
        <v>0</v>
      </c>
      <c r="CK15" s="242">
        <f t="shared" ca="1" si="81"/>
        <v>0</v>
      </c>
      <c r="CL15" s="241">
        <f t="shared" ca="1" si="552"/>
        <v>1</v>
      </c>
      <c r="CM15" s="220">
        <f t="shared" ca="1" si="82"/>
        <v>0</v>
      </c>
      <c r="CN15" s="220">
        <f t="shared" ca="1" si="83"/>
        <v>0</v>
      </c>
      <c r="CO15" s="235">
        <f t="shared" ca="1" si="84"/>
        <v>0</v>
      </c>
      <c r="CP15" s="235">
        <f t="shared" ca="1" si="85"/>
        <v>0</v>
      </c>
      <c r="CQ15" s="242">
        <f t="shared" ca="1" si="86"/>
        <v>0</v>
      </c>
      <c r="CR15" s="241">
        <f t="shared" ca="1" si="552"/>
        <v>1</v>
      </c>
      <c r="CS15" s="220">
        <f t="shared" ca="1" si="87"/>
        <v>0</v>
      </c>
      <c r="CT15" s="220">
        <f t="shared" ca="1" si="88"/>
        <v>0</v>
      </c>
      <c r="CU15" s="235">
        <f t="shared" ca="1" si="89"/>
        <v>0</v>
      </c>
      <c r="CV15" s="235">
        <f t="shared" ca="1" si="90"/>
        <v>0</v>
      </c>
      <c r="CW15" s="242">
        <f t="shared" ca="1" si="91"/>
        <v>0</v>
      </c>
      <c r="CX15" s="241">
        <f t="shared" ca="1" si="51"/>
        <v>1</v>
      </c>
      <c r="CY15" s="220">
        <f t="shared" ca="1" si="92"/>
        <v>0</v>
      </c>
      <c r="CZ15" s="220">
        <f t="shared" ca="1" si="93"/>
        <v>0</v>
      </c>
      <c r="DA15" s="235">
        <f t="shared" ca="1" si="94"/>
        <v>0</v>
      </c>
      <c r="DB15" s="235">
        <f t="shared" ca="1" si="95"/>
        <v>0</v>
      </c>
      <c r="DC15" s="242">
        <f t="shared" ca="1" si="96"/>
        <v>0</v>
      </c>
      <c r="DD15" s="241">
        <f t="shared" ca="1" si="51"/>
        <v>1</v>
      </c>
      <c r="DE15" s="220">
        <f t="shared" ca="1" si="97"/>
        <v>0</v>
      </c>
      <c r="DF15" s="220">
        <f t="shared" ca="1" si="98"/>
        <v>0</v>
      </c>
      <c r="DG15" s="235">
        <f t="shared" ca="1" si="99"/>
        <v>0</v>
      </c>
      <c r="DH15" s="235">
        <f t="shared" ca="1" si="100"/>
        <v>0</v>
      </c>
      <c r="DI15" s="242">
        <f t="shared" ca="1" si="101"/>
        <v>0</v>
      </c>
      <c r="DJ15" s="241">
        <f t="shared" ca="1" si="51"/>
        <v>1</v>
      </c>
      <c r="DK15" s="220">
        <f t="shared" ca="1" si="102"/>
        <v>0</v>
      </c>
      <c r="DL15" s="220">
        <f t="shared" ca="1" si="103"/>
        <v>0</v>
      </c>
      <c r="DM15" s="235">
        <f t="shared" ca="1" si="104"/>
        <v>0</v>
      </c>
      <c r="DN15" s="235">
        <f t="shared" ca="1" si="105"/>
        <v>0</v>
      </c>
      <c r="DO15" s="242">
        <f t="shared" ca="1" si="106"/>
        <v>0</v>
      </c>
      <c r="DP15" s="241">
        <f t="shared" ca="1" si="107"/>
        <v>1</v>
      </c>
      <c r="DQ15" s="220">
        <f t="shared" ca="1" si="108"/>
        <v>0</v>
      </c>
      <c r="DR15" s="220">
        <f t="shared" ca="1" si="109"/>
        <v>0</v>
      </c>
      <c r="DS15" s="235">
        <f t="shared" ca="1" si="110"/>
        <v>0</v>
      </c>
      <c r="DT15" s="235">
        <f t="shared" ca="1" si="111"/>
        <v>0</v>
      </c>
      <c r="DU15" s="242">
        <f t="shared" ca="1" si="112"/>
        <v>0</v>
      </c>
      <c r="DV15" s="241">
        <f t="shared" ca="1" si="107"/>
        <v>1</v>
      </c>
      <c r="DW15" s="220">
        <f t="shared" ca="1" si="113"/>
        <v>0</v>
      </c>
      <c r="DX15" s="220">
        <f t="shared" ca="1" si="114"/>
        <v>0</v>
      </c>
      <c r="DY15" s="235">
        <f t="shared" ca="1" si="115"/>
        <v>0</v>
      </c>
      <c r="DZ15" s="235">
        <f t="shared" ca="1" si="116"/>
        <v>0</v>
      </c>
      <c r="EA15" s="242">
        <f t="shared" ca="1" si="117"/>
        <v>0</v>
      </c>
      <c r="EB15" s="241">
        <f t="shared" ca="1" si="107"/>
        <v>1</v>
      </c>
      <c r="EC15" s="220">
        <f t="shared" ca="1" si="118"/>
        <v>0</v>
      </c>
      <c r="ED15" s="220">
        <f t="shared" ca="1" si="119"/>
        <v>0</v>
      </c>
      <c r="EE15" s="235">
        <f t="shared" ca="1" si="120"/>
        <v>0</v>
      </c>
      <c r="EF15" s="235">
        <f t="shared" ca="1" si="121"/>
        <v>0</v>
      </c>
      <c r="EG15" s="242">
        <f t="shared" ca="1" si="122"/>
        <v>0</v>
      </c>
      <c r="EH15" s="241">
        <f t="shared" ca="1" si="107"/>
        <v>1</v>
      </c>
      <c r="EI15" s="220">
        <f t="shared" ca="1" si="123"/>
        <v>0</v>
      </c>
      <c r="EJ15" s="220">
        <f t="shared" ca="1" si="124"/>
        <v>0</v>
      </c>
      <c r="EK15" s="235">
        <f t="shared" ca="1" si="125"/>
        <v>0</v>
      </c>
      <c r="EL15" s="235">
        <f t="shared" ca="1" si="126"/>
        <v>0</v>
      </c>
      <c r="EM15" s="242">
        <f t="shared" ca="1" si="127"/>
        <v>0</v>
      </c>
      <c r="EN15" s="241">
        <f t="shared" ca="1" si="107"/>
        <v>1</v>
      </c>
      <c r="EO15" s="220">
        <f t="shared" ca="1" si="128"/>
        <v>0</v>
      </c>
      <c r="EP15" s="220">
        <f t="shared" ca="1" si="129"/>
        <v>0</v>
      </c>
      <c r="EQ15" s="235">
        <f t="shared" ca="1" si="130"/>
        <v>0</v>
      </c>
      <c r="ER15" s="235">
        <f t="shared" ca="1" si="131"/>
        <v>0</v>
      </c>
      <c r="ES15" s="242">
        <f t="shared" ca="1" si="132"/>
        <v>0</v>
      </c>
      <c r="ET15" s="241">
        <f t="shared" ca="1" si="107"/>
        <v>1</v>
      </c>
      <c r="EU15" s="220">
        <f t="shared" ca="1" si="133"/>
        <v>0</v>
      </c>
      <c r="EV15" s="220">
        <f t="shared" ca="1" si="134"/>
        <v>0</v>
      </c>
      <c r="EW15" s="235">
        <f t="shared" ca="1" si="135"/>
        <v>0</v>
      </c>
      <c r="EX15" s="235">
        <f t="shared" ca="1" si="136"/>
        <v>0</v>
      </c>
      <c r="EY15" s="242">
        <f t="shared" ca="1" si="137"/>
        <v>0</v>
      </c>
      <c r="EZ15" s="241">
        <f t="shared" ca="1" si="107"/>
        <v>1</v>
      </c>
      <c r="FA15" s="220">
        <f t="shared" ca="1" si="138"/>
        <v>0</v>
      </c>
      <c r="FB15" s="220">
        <f t="shared" ca="1" si="139"/>
        <v>0</v>
      </c>
      <c r="FC15" s="235">
        <f t="shared" ca="1" si="140"/>
        <v>0</v>
      </c>
      <c r="FD15" s="235">
        <f t="shared" ca="1" si="141"/>
        <v>0</v>
      </c>
      <c r="FE15" s="242">
        <f t="shared" ca="1" si="142"/>
        <v>0</v>
      </c>
      <c r="FF15" s="241">
        <f t="shared" ca="1" si="107"/>
        <v>1</v>
      </c>
      <c r="FG15" s="220">
        <f t="shared" ca="1" si="143"/>
        <v>0</v>
      </c>
      <c r="FH15" s="220">
        <f t="shared" ca="1" si="144"/>
        <v>0</v>
      </c>
      <c r="FI15" s="235">
        <f t="shared" ca="1" si="145"/>
        <v>0</v>
      </c>
      <c r="FJ15" s="235">
        <f t="shared" ca="1" si="146"/>
        <v>0</v>
      </c>
      <c r="FK15" s="242">
        <f t="shared" ca="1" si="147"/>
        <v>0</v>
      </c>
      <c r="FL15" s="241">
        <f t="shared" ca="1" si="107"/>
        <v>1</v>
      </c>
      <c r="FM15" s="220">
        <f t="shared" ca="1" si="148"/>
        <v>0</v>
      </c>
      <c r="FN15" s="220">
        <f t="shared" ca="1" si="149"/>
        <v>0</v>
      </c>
      <c r="FO15" s="235">
        <f t="shared" ca="1" si="150"/>
        <v>0</v>
      </c>
      <c r="FP15" s="235">
        <f t="shared" ca="1" si="151"/>
        <v>0</v>
      </c>
      <c r="FQ15" s="242">
        <f t="shared" ca="1" si="152"/>
        <v>0</v>
      </c>
      <c r="FR15" s="241">
        <f t="shared" ca="1" si="107"/>
        <v>1</v>
      </c>
      <c r="FS15" s="220">
        <f t="shared" ca="1" si="153"/>
        <v>0</v>
      </c>
      <c r="FT15" s="220">
        <f t="shared" ca="1" si="154"/>
        <v>0</v>
      </c>
      <c r="FU15" s="235">
        <f t="shared" ca="1" si="155"/>
        <v>0</v>
      </c>
      <c r="FV15" s="235">
        <f t="shared" ca="1" si="156"/>
        <v>0</v>
      </c>
      <c r="FW15" s="242">
        <f t="shared" ca="1" si="157"/>
        <v>0</v>
      </c>
      <c r="FX15" s="241">
        <f t="shared" ca="1" si="107"/>
        <v>1</v>
      </c>
      <c r="FY15" s="220">
        <f t="shared" ca="1" si="158"/>
        <v>0</v>
      </c>
      <c r="FZ15" s="220">
        <f t="shared" ca="1" si="159"/>
        <v>0</v>
      </c>
      <c r="GA15" s="235">
        <f t="shared" ca="1" si="160"/>
        <v>0</v>
      </c>
      <c r="GB15" s="235">
        <f t="shared" ca="1" si="161"/>
        <v>0</v>
      </c>
      <c r="GC15" s="242">
        <f t="shared" ca="1" si="162"/>
        <v>0</v>
      </c>
      <c r="GD15" s="241">
        <f t="shared" ca="1" si="163"/>
        <v>1</v>
      </c>
      <c r="GE15" s="220">
        <f t="shared" ca="1" si="164"/>
        <v>0</v>
      </c>
      <c r="GF15" s="220">
        <f t="shared" ca="1" si="165"/>
        <v>0</v>
      </c>
      <c r="GG15" s="235">
        <f t="shared" ca="1" si="166"/>
        <v>0</v>
      </c>
      <c r="GH15" s="235">
        <f t="shared" ca="1" si="167"/>
        <v>0</v>
      </c>
      <c r="GI15" s="242">
        <f t="shared" ca="1" si="168"/>
        <v>0</v>
      </c>
      <c r="GJ15" s="241">
        <f t="shared" ca="1" si="163"/>
        <v>1</v>
      </c>
      <c r="GK15" s="220">
        <f t="shared" ca="1" si="169"/>
        <v>0</v>
      </c>
      <c r="GL15" s="220">
        <f t="shared" ca="1" si="170"/>
        <v>0</v>
      </c>
      <c r="GM15" s="235">
        <f t="shared" ca="1" si="171"/>
        <v>0</v>
      </c>
      <c r="GN15" s="235">
        <f t="shared" ca="1" si="172"/>
        <v>0</v>
      </c>
      <c r="GO15" s="242">
        <f t="shared" ca="1" si="173"/>
        <v>0</v>
      </c>
      <c r="GP15" s="241">
        <f t="shared" ca="1" si="163"/>
        <v>1</v>
      </c>
      <c r="GQ15" s="220">
        <f t="shared" ca="1" si="174"/>
        <v>0</v>
      </c>
      <c r="GR15" s="220">
        <f t="shared" ca="1" si="175"/>
        <v>0</v>
      </c>
      <c r="GS15" s="235">
        <f t="shared" ca="1" si="176"/>
        <v>0</v>
      </c>
      <c r="GT15" s="235">
        <f t="shared" ca="1" si="177"/>
        <v>0</v>
      </c>
      <c r="GU15" s="242">
        <f t="shared" ca="1" si="178"/>
        <v>0</v>
      </c>
      <c r="GV15" s="241">
        <f t="shared" ca="1" si="163"/>
        <v>1</v>
      </c>
      <c r="GW15" s="220">
        <f t="shared" ca="1" si="179"/>
        <v>0</v>
      </c>
      <c r="GX15" s="220">
        <f t="shared" ca="1" si="180"/>
        <v>0</v>
      </c>
      <c r="GY15" s="235">
        <f t="shared" ca="1" si="181"/>
        <v>0</v>
      </c>
      <c r="GZ15" s="235">
        <f t="shared" ca="1" si="182"/>
        <v>0</v>
      </c>
      <c r="HA15" s="242">
        <f t="shared" ca="1" si="183"/>
        <v>0</v>
      </c>
      <c r="HB15" s="241">
        <f t="shared" ca="1" si="163"/>
        <v>1</v>
      </c>
      <c r="HC15" s="220">
        <f t="shared" ca="1" si="184"/>
        <v>0</v>
      </c>
      <c r="HD15" s="220">
        <f t="shared" ca="1" si="185"/>
        <v>0</v>
      </c>
      <c r="HE15" s="235">
        <f t="shared" ca="1" si="186"/>
        <v>0</v>
      </c>
      <c r="HF15" s="235">
        <f t="shared" ca="1" si="187"/>
        <v>0</v>
      </c>
      <c r="HG15" s="242">
        <f t="shared" ca="1" si="188"/>
        <v>0</v>
      </c>
      <c r="HH15" s="241">
        <f t="shared" ca="1" si="163"/>
        <v>1</v>
      </c>
      <c r="HI15" s="220">
        <f t="shared" ca="1" si="189"/>
        <v>0</v>
      </c>
      <c r="HJ15" s="220">
        <f t="shared" ca="1" si="190"/>
        <v>0</v>
      </c>
      <c r="HK15" s="235">
        <f t="shared" ca="1" si="191"/>
        <v>0</v>
      </c>
      <c r="HL15" s="235">
        <f t="shared" ca="1" si="192"/>
        <v>0</v>
      </c>
      <c r="HM15" s="242">
        <f t="shared" ca="1" si="193"/>
        <v>0</v>
      </c>
      <c r="HN15" s="241">
        <f t="shared" ca="1" si="163"/>
        <v>1</v>
      </c>
      <c r="HO15" s="220">
        <f t="shared" ca="1" si="194"/>
        <v>0</v>
      </c>
      <c r="HP15" s="220">
        <f t="shared" ca="1" si="195"/>
        <v>0</v>
      </c>
      <c r="HQ15" s="235">
        <f t="shared" ca="1" si="196"/>
        <v>0</v>
      </c>
      <c r="HR15" s="235">
        <f t="shared" ca="1" si="197"/>
        <v>0</v>
      </c>
      <c r="HS15" s="242">
        <f t="shared" ca="1" si="198"/>
        <v>0</v>
      </c>
      <c r="HT15" s="241">
        <f t="shared" ca="1" si="163"/>
        <v>1</v>
      </c>
      <c r="HU15" s="220">
        <f t="shared" ca="1" si="199"/>
        <v>0</v>
      </c>
      <c r="HV15" s="220">
        <f t="shared" ca="1" si="200"/>
        <v>0</v>
      </c>
      <c r="HW15" s="235">
        <f t="shared" ca="1" si="201"/>
        <v>0</v>
      </c>
      <c r="HX15" s="235">
        <f t="shared" ca="1" si="202"/>
        <v>0</v>
      </c>
      <c r="HY15" s="242">
        <f t="shared" ca="1" si="203"/>
        <v>0</v>
      </c>
      <c r="HZ15" s="241">
        <f t="shared" ca="1" si="163"/>
        <v>1</v>
      </c>
      <c r="IA15" s="220">
        <f t="shared" ca="1" si="204"/>
        <v>0</v>
      </c>
      <c r="IB15" s="220">
        <f t="shared" ca="1" si="205"/>
        <v>0</v>
      </c>
      <c r="IC15" s="235">
        <f t="shared" ca="1" si="206"/>
        <v>0</v>
      </c>
      <c r="ID15" s="235">
        <f t="shared" ca="1" si="207"/>
        <v>0</v>
      </c>
      <c r="IE15" s="242">
        <f t="shared" ca="1" si="208"/>
        <v>0</v>
      </c>
      <c r="IF15" s="241">
        <f t="shared" ca="1" si="163"/>
        <v>1</v>
      </c>
      <c r="IG15" s="220">
        <f t="shared" ca="1" si="209"/>
        <v>0</v>
      </c>
      <c r="IH15" s="220">
        <f t="shared" ca="1" si="210"/>
        <v>0</v>
      </c>
      <c r="II15" s="235">
        <f t="shared" ca="1" si="211"/>
        <v>0</v>
      </c>
      <c r="IJ15" s="235">
        <f t="shared" ca="1" si="212"/>
        <v>0</v>
      </c>
      <c r="IK15" s="242">
        <f t="shared" ca="1" si="213"/>
        <v>0</v>
      </c>
      <c r="IL15" s="241">
        <f t="shared" ca="1" si="163"/>
        <v>1</v>
      </c>
      <c r="IM15" s="220">
        <f t="shared" ca="1" si="214"/>
        <v>0</v>
      </c>
      <c r="IN15" s="220">
        <f t="shared" ca="1" si="215"/>
        <v>0</v>
      </c>
      <c r="IO15" s="235">
        <f t="shared" ca="1" si="216"/>
        <v>0</v>
      </c>
      <c r="IP15" s="235">
        <f t="shared" ca="1" si="217"/>
        <v>0</v>
      </c>
      <c r="IQ15" s="242">
        <f t="shared" ca="1" si="218"/>
        <v>0</v>
      </c>
      <c r="IR15" s="241">
        <f t="shared" ca="1" si="219"/>
        <v>1</v>
      </c>
      <c r="IS15" s="220">
        <f t="shared" ca="1" si="220"/>
        <v>0</v>
      </c>
      <c r="IT15" s="220">
        <f t="shared" ca="1" si="221"/>
        <v>0</v>
      </c>
      <c r="IU15" s="235">
        <f t="shared" ca="1" si="222"/>
        <v>0</v>
      </c>
      <c r="IV15" s="235">
        <f t="shared" ca="1" si="223"/>
        <v>0</v>
      </c>
      <c r="IW15" s="242">
        <f t="shared" ca="1" si="224"/>
        <v>0</v>
      </c>
      <c r="IX15" s="241">
        <f t="shared" ca="1" si="219"/>
        <v>1</v>
      </c>
      <c r="IY15" s="220">
        <f t="shared" ca="1" si="225"/>
        <v>0</v>
      </c>
      <c r="IZ15" s="220">
        <f t="shared" ca="1" si="226"/>
        <v>0</v>
      </c>
      <c r="JA15" s="235">
        <f t="shared" ca="1" si="227"/>
        <v>0</v>
      </c>
      <c r="JB15" s="235">
        <f t="shared" ca="1" si="228"/>
        <v>0</v>
      </c>
      <c r="JC15" s="242">
        <f t="shared" ca="1" si="229"/>
        <v>0</v>
      </c>
      <c r="JD15" s="241">
        <f t="shared" ca="1" si="219"/>
        <v>1</v>
      </c>
      <c r="JE15" s="220">
        <f t="shared" ca="1" si="230"/>
        <v>0</v>
      </c>
      <c r="JF15" s="220">
        <f t="shared" ca="1" si="231"/>
        <v>0</v>
      </c>
      <c r="JG15" s="235">
        <f t="shared" ca="1" si="232"/>
        <v>0</v>
      </c>
      <c r="JH15" s="235">
        <f t="shared" ca="1" si="233"/>
        <v>0</v>
      </c>
      <c r="JI15" s="242">
        <f t="shared" ca="1" si="234"/>
        <v>0</v>
      </c>
      <c r="JJ15" s="241">
        <f t="shared" ca="1" si="219"/>
        <v>1</v>
      </c>
      <c r="JK15" s="220">
        <f t="shared" ca="1" si="235"/>
        <v>0</v>
      </c>
      <c r="JL15" s="220">
        <f t="shared" ca="1" si="236"/>
        <v>0</v>
      </c>
      <c r="JM15" s="235">
        <f t="shared" ca="1" si="237"/>
        <v>0</v>
      </c>
      <c r="JN15" s="235">
        <f t="shared" ca="1" si="238"/>
        <v>0</v>
      </c>
      <c r="JO15" s="242">
        <f t="shared" ca="1" si="239"/>
        <v>0</v>
      </c>
      <c r="JP15" s="241">
        <f t="shared" ca="1" si="219"/>
        <v>1</v>
      </c>
      <c r="JQ15" s="220">
        <f t="shared" ca="1" si="240"/>
        <v>0</v>
      </c>
      <c r="JR15" s="220">
        <f t="shared" ca="1" si="241"/>
        <v>0</v>
      </c>
      <c r="JS15" s="235">
        <f t="shared" ca="1" si="242"/>
        <v>0</v>
      </c>
      <c r="JT15" s="235">
        <f t="shared" ca="1" si="243"/>
        <v>0</v>
      </c>
      <c r="JU15" s="242">
        <f t="shared" ca="1" si="244"/>
        <v>0</v>
      </c>
      <c r="JV15" s="241">
        <f t="shared" ca="1" si="219"/>
        <v>1</v>
      </c>
      <c r="JW15" s="220">
        <f t="shared" ca="1" si="245"/>
        <v>0</v>
      </c>
      <c r="JX15" s="220">
        <f t="shared" ca="1" si="246"/>
        <v>0</v>
      </c>
      <c r="JY15" s="235">
        <f t="shared" ca="1" si="247"/>
        <v>0</v>
      </c>
      <c r="JZ15" s="235">
        <f t="shared" ca="1" si="248"/>
        <v>0</v>
      </c>
      <c r="KA15" s="242">
        <f t="shared" ca="1" si="249"/>
        <v>0</v>
      </c>
      <c r="KB15" s="241">
        <f t="shared" ca="1" si="219"/>
        <v>1</v>
      </c>
      <c r="KC15" s="220">
        <f t="shared" ca="1" si="250"/>
        <v>0</v>
      </c>
      <c r="KD15" s="220">
        <f t="shared" ca="1" si="251"/>
        <v>0</v>
      </c>
      <c r="KE15" s="235">
        <f t="shared" ca="1" si="252"/>
        <v>0</v>
      </c>
      <c r="KF15" s="235">
        <f t="shared" ca="1" si="253"/>
        <v>0</v>
      </c>
      <c r="KG15" s="242">
        <f t="shared" ca="1" si="254"/>
        <v>0</v>
      </c>
      <c r="KH15" s="241">
        <f t="shared" ca="1" si="219"/>
        <v>1</v>
      </c>
      <c r="KI15" s="220">
        <f t="shared" ca="1" si="255"/>
        <v>0</v>
      </c>
      <c r="KJ15" s="220">
        <f t="shared" ca="1" si="256"/>
        <v>0</v>
      </c>
      <c r="KK15" s="235">
        <f t="shared" ca="1" si="257"/>
        <v>0</v>
      </c>
      <c r="KL15" s="235">
        <f t="shared" ca="1" si="258"/>
        <v>0</v>
      </c>
      <c r="KM15" s="242">
        <f t="shared" ca="1" si="259"/>
        <v>0</v>
      </c>
      <c r="KN15" s="241">
        <f t="shared" ca="1" si="219"/>
        <v>1</v>
      </c>
      <c r="KO15" s="220">
        <f t="shared" ca="1" si="260"/>
        <v>0</v>
      </c>
      <c r="KP15" s="220">
        <f t="shared" ca="1" si="261"/>
        <v>0</v>
      </c>
      <c r="KQ15" s="235">
        <f t="shared" ca="1" si="262"/>
        <v>0</v>
      </c>
      <c r="KR15" s="235">
        <f t="shared" ca="1" si="263"/>
        <v>0</v>
      </c>
      <c r="KS15" s="242">
        <f t="shared" ca="1" si="264"/>
        <v>0</v>
      </c>
      <c r="KT15" s="241">
        <f t="shared" ca="1" si="219"/>
        <v>1</v>
      </c>
      <c r="KU15" s="220">
        <f t="shared" ca="1" si="265"/>
        <v>0</v>
      </c>
      <c r="KV15" s="220">
        <f t="shared" ca="1" si="266"/>
        <v>0</v>
      </c>
      <c r="KW15" s="235">
        <f t="shared" ca="1" si="267"/>
        <v>0</v>
      </c>
      <c r="KX15" s="235">
        <f t="shared" ca="1" si="268"/>
        <v>0</v>
      </c>
      <c r="KY15" s="242">
        <f t="shared" ca="1" si="269"/>
        <v>0</v>
      </c>
      <c r="KZ15" s="241">
        <f t="shared" ca="1" si="219"/>
        <v>1</v>
      </c>
      <c r="LA15" s="220">
        <f t="shared" ca="1" si="270"/>
        <v>0</v>
      </c>
      <c r="LB15" s="220">
        <f t="shared" ca="1" si="271"/>
        <v>0</v>
      </c>
      <c r="LC15" s="235">
        <f t="shared" ca="1" si="272"/>
        <v>0</v>
      </c>
      <c r="LD15" s="235">
        <f t="shared" ca="1" si="273"/>
        <v>0</v>
      </c>
      <c r="LE15" s="242">
        <f t="shared" ca="1" si="274"/>
        <v>0</v>
      </c>
      <c r="LF15" s="241">
        <f t="shared" ca="1" si="275"/>
        <v>1</v>
      </c>
      <c r="LG15" s="220">
        <f t="shared" ca="1" si="276"/>
        <v>0</v>
      </c>
      <c r="LH15" s="220">
        <f t="shared" ca="1" si="277"/>
        <v>0</v>
      </c>
      <c r="LI15" s="235">
        <f t="shared" ca="1" si="278"/>
        <v>0</v>
      </c>
      <c r="LJ15" s="235">
        <f t="shared" ca="1" si="279"/>
        <v>0</v>
      </c>
      <c r="LK15" s="242">
        <f t="shared" ca="1" si="280"/>
        <v>0</v>
      </c>
      <c r="LL15" s="241">
        <f t="shared" ca="1" si="275"/>
        <v>1</v>
      </c>
      <c r="LM15" s="220">
        <f t="shared" ca="1" si="281"/>
        <v>0</v>
      </c>
      <c r="LN15" s="220">
        <f t="shared" ca="1" si="282"/>
        <v>0</v>
      </c>
      <c r="LO15" s="235">
        <f t="shared" ca="1" si="283"/>
        <v>0</v>
      </c>
      <c r="LP15" s="235">
        <f t="shared" ca="1" si="284"/>
        <v>0</v>
      </c>
      <c r="LQ15" s="242">
        <f t="shared" ca="1" si="285"/>
        <v>0</v>
      </c>
      <c r="LR15" s="241">
        <f t="shared" ca="1" si="275"/>
        <v>1</v>
      </c>
      <c r="LS15" s="220">
        <f t="shared" ca="1" si="286"/>
        <v>0</v>
      </c>
      <c r="LT15" s="220">
        <f t="shared" ca="1" si="287"/>
        <v>0</v>
      </c>
      <c r="LU15" s="235">
        <f t="shared" ca="1" si="288"/>
        <v>0</v>
      </c>
      <c r="LV15" s="235">
        <f t="shared" ca="1" si="289"/>
        <v>0</v>
      </c>
      <c r="LW15" s="242">
        <f t="shared" ca="1" si="290"/>
        <v>0</v>
      </c>
      <c r="LX15" s="241">
        <f t="shared" ca="1" si="275"/>
        <v>1</v>
      </c>
      <c r="LY15" s="220">
        <f t="shared" ca="1" si="291"/>
        <v>0</v>
      </c>
      <c r="LZ15" s="220">
        <f t="shared" ca="1" si="292"/>
        <v>0</v>
      </c>
      <c r="MA15" s="235">
        <f t="shared" ca="1" si="293"/>
        <v>0</v>
      </c>
      <c r="MB15" s="235">
        <f t="shared" ca="1" si="294"/>
        <v>0</v>
      </c>
      <c r="MC15" s="242">
        <f t="shared" ca="1" si="295"/>
        <v>0</v>
      </c>
      <c r="MD15" s="241">
        <f t="shared" ca="1" si="275"/>
        <v>1</v>
      </c>
      <c r="ME15" s="220">
        <f t="shared" ca="1" si="296"/>
        <v>0</v>
      </c>
      <c r="MF15" s="220">
        <f t="shared" ca="1" si="297"/>
        <v>0</v>
      </c>
      <c r="MG15" s="235">
        <f t="shared" ca="1" si="298"/>
        <v>0</v>
      </c>
      <c r="MH15" s="235">
        <f t="shared" ca="1" si="299"/>
        <v>0</v>
      </c>
      <c r="MI15" s="242">
        <f t="shared" ca="1" si="300"/>
        <v>0</v>
      </c>
      <c r="MJ15" s="241">
        <f t="shared" ca="1" si="275"/>
        <v>1</v>
      </c>
      <c r="MK15" s="220">
        <f t="shared" ca="1" si="301"/>
        <v>0</v>
      </c>
      <c r="ML15" s="220">
        <f t="shared" ca="1" si="302"/>
        <v>0</v>
      </c>
      <c r="MM15" s="235">
        <f t="shared" ca="1" si="303"/>
        <v>0</v>
      </c>
      <c r="MN15" s="235">
        <f t="shared" ca="1" si="304"/>
        <v>0</v>
      </c>
      <c r="MO15" s="242">
        <f t="shared" ca="1" si="305"/>
        <v>0</v>
      </c>
      <c r="MP15" s="241">
        <f t="shared" ca="1" si="275"/>
        <v>1</v>
      </c>
      <c r="MQ15" s="220">
        <f t="shared" ca="1" si="306"/>
        <v>0</v>
      </c>
      <c r="MR15" s="220">
        <f t="shared" ca="1" si="307"/>
        <v>0</v>
      </c>
      <c r="MS15" s="235">
        <f t="shared" ca="1" si="308"/>
        <v>0</v>
      </c>
      <c r="MT15" s="235">
        <f t="shared" ca="1" si="309"/>
        <v>0</v>
      </c>
      <c r="MU15" s="242">
        <f t="shared" ca="1" si="310"/>
        <v>0</v>
      </c>
      <c r="MV15" s="241">
        <f t="shared" ca="1" si="275"/>
        <v>1</v>
      </c>
      <c r="MW15" s="220">
        <f t="shared" ca="1" si="311"/>
        <v>0</v>
      </c>
      <c r="MX15" s="220">
        <f t="shared" ca="1" si="312"/>
        <v>0</v>
      </c>
      <c r="MY15" s="235">
        <f t="shared" ca="1" si="313"/>
        <v>0</v>
      </c>
      <c r="MZ15" s="235">
        <f t="shared" ca="1" si="314"/>
        <v>0</v>
      </c>
      <c r="NA15" s="242">
        <f t="shared" ca="1" si="315"/>
        <v>0</v>
      </c>
      <c r="NB15" s="241">
        <f t="shared" ca="1" si="275"/>
        <v>1</v>
      </c>
      <c r="NC15" s="220">
        <f t="shared" ca="1" si="316"/>
        <v>0</v>
      </c>
      <c r="ND15" s="220">
        <f t="shared" ca="1" si="317"/>
        <v>0</v>
      </c>
      <c r="NE15" s="235">
        <f t="shared" ca="1" si="318"/>
        <v>0</v>
      </c>
      <c r="NF15" s="235">
        <f t="shared" ca="1" si="319"/>
        <v>0</v>
      </c>
      <c r="NG15" s="242">
        <f t="shared" ca="1" si="320"/>
        <v>0</v>
      </c>
      <c r="NH15" s="241">
        <f t="shared" ca="1" si="275"/>
        <v>1</v>
      </c>
      <c r="NI15" s="220">
        <f t="shared" ca="1" si="321"/>
        <v>0</v>
      </c>
      <c r="NJ15" s="220">
        <f t="shared" ca="1" si="322"/>
        <v>0</v>
      </c>
      <c r="NK15" s="235">
        <f t="shared" ca="1" si="323"/>
        <v>0</v>
      </c>
      <c r="NL15" s="235">
        <f t="shared" ca="1" si="324"/>
        <v>0</v>
      </c>
      <c r="NM15" s="242">
        <f t="shared" ca="1" si="325"/>
        <v>0</v>
      </c>
      <c r="NN15" s="241">
        <f t="shared" ca="1" si="275"/>
        <v>1</v>
      </c>
      <c r="NO15" s="220">
        <f t="shared" ca="1" si="326"/>
        <v>0</v>
      </c>
      <c r="NP15" s="220">
        <f t="shared" ca="1" si="327"/>
        <v>0</v>
      </c>
      <c r="NQ15" s="235">
        <f t="shared" ca="1" si="328"/>
        <v>0</v>
      </c>
      <c r="NR15" s="235">
        <f t="shared" ca="1" si="329"/>
        <v>0</v>
      </c>
      <c r="NS15" s="242">
        <f t="shared" ca="1" si="330"/>
        <v>0</v>
      </c>
      <c r="NT15" s="241">
        <f t="shared" ca="1" si="331"/>
        <v>1</v>
      </c>
      <c r="NU15" s="220">
        <f t="shared" ca="1" si="332"/>
        <v>0</v>
      </c>
      <c r="NV15" s="220">
        <f t="shared" ca="1" si="333"/>
        <v>0</v>
      </c>
      <c r="NW15" s="235">
        <f t="shared" ca="1" si="334"/>
        <v>0</v>
      </c>
      <c r="NX15" s="235">
        <f t="shared" ca="1" si="335"/>
        <v>0</v>
      </c>
      <c r="NY15" s="242">
        <f t="shared" ca="1" si="336"/>
        <v>0</v>
      </c>
      <c r="NZ15" s="241">
        <f t="shared" ca="1" si="331"/>
        <v>1</v>
      </c>
      <c r="OA15" s="220">
        <f t="shared" ca="1" si="337"/>
        <v>0</v>
      </c>
      <c r="OB15" s="220">
        <f t="shared" ca="1" si="338"/>
        <v>0</v>
      </c>
      <c r="OC15" s="235">
        <f t="shared" ca="1" si="339"/>
        <v>0</v>
      </c>
      <c r="OD15" s="235">
        <f t="shared" ca="1" si="340"/>
        <v>0</v>
      </c>
      <c r="OE15" s="242">
        <f t="shared" ca="1" si="341"/>
        <v>0</v>
      </c>
      <c r="OF15" s="241">
        <f t="shared" ca="1" si="331"/>
        <v>1</v>
      </c>
      <c r="OG15" s="220">
        <f t="shared" ca="1" si="342"/>
        <v>0</v>
      </c>
      <c r="OH15" s="220">
        <f t="shared" ca="1" si="343"/>
        <v>0</v>
      </c>
      <c r="OI15" s="235">
        <f t="shared" ca="1" si="344"/>
        <v>0</v>
      </c>
      <c r="OJ15" s="235">
        <f t="shared" ca="1" si="345"/>
        <v>0</v>
      </c>
      <c r="OK15" s="242">
        <f t="shared" ca="1" si="346"/>
        <v>0</v>
      </c>
      <c r="OL15" s="241">
        <f t="shared" ca="1" si="331"/>
        <v>1</v>
      </c>
      <c r="OM15" s="220">
        <f t="shared" ca="1" si="347"/>
        <v>0</v>
      </c>
      <c r="ON15" s="220">
        <f t="shared" ca="1" si="348"/>
        <v>0</v>
      </c>
      <c r="OO15" s="235">
        <f t="shared" ca="1" si="349"/>
        <v>0</v>
      </c>
      <c r="OP15" s="235">
        <f t="shared" ca="1" si="350"/>
        <v>0</v>
      </c>
      <c r="OQ15" s="242">
        <f t="shared" ca="1" si="351"/>
        <v>0</v>
      </c>
      <c r="OR15" s="241">
        <f t="shared" ca="1" si="331"/>
        <v>1</v>
      </c>
      <c r="OS15" s="220">
        <f t="shared" ca="1" si="352"/>
        <v>0</v>
      </c>
      <c r="OT15" s="220">
        <f t="shared" ca="1" si="353"/>
        <v>0</v>
      </c>
      <c r="OU15" s="235">
        <f t="shared" ca="1" si="354"/>
        <v>0</v>
      </c>
      <c r="OV15" s="235">
        <f t="shared" ca="1" si="355"/>
        <v>0</v>
      </c>
      <c r="OW15" s="242">
        <f t="shared" ca="1" si="356"/>
        <v>0</v>
      </c>
      <c r="OX15" s="241">
        <f t="shared" ca="1" si="331"/>
        <v>1</v>
      </c>
      <c r="OY15" s="220">
        <f t="shared" ca="1" si="357"/>
        <v>0</v>
      </c>
      <c r="OZ15" s="220">
        <f t="shared" ca="1" si="358"/>
        <v>0</v>
      </c>
      <c r="PA15" s="235">
        <f t="shared" ca="1" si="359"/>
        <v>0</v>
      </c>
      <c r="PB15" s="235">
        <f t="shared" ca="1" si="360"/>
        <v>0</v>
      </c>
      <c r="PC15" s="242">
        <f t="shared" ca="1" si="361"/>
        <v>0</v>
      </c>
      <c r="PD15" s="241">
        <f t="shared" ca="1" si="331"/>
        <v>1</v>
      </c>
      <c r="PE15" s="220">
        <f t="shared" ca="1" si="362"/>
        <v>0</v>
      </c>
      <c r="PF15" s="220">
        <f t="shared" ca="1" si="363"/>
        <v>0</v>
      </c>
      <c r="PG15" s="235">
        <f t="shared" ca="1" si="364"/>
        <v>0</v>
      </c>
      <c r="PH15" s="235">
        <f t="shared" ca="1" si="365"/>
        <v>0</v>
      </c>
      <c r="PI15" s="242">
        <f t="shared" ca="1" si="366"/>
        <v>0</v>
      </c>
      <c r="PJ15" s="241">
        <f t="shared" ca="1" si="331"/>
        <v>1</v>
      </c>
      <c r="PK15" s="220">
        <f t="shared" ca="1" si="367"/>
        <v>0</v>
      </c>
      <c r="PL15" s="220">
        <f t="shared" ca="1" si="368"/>
        <v>0</v>
      </c>
      <c r="PM15" s="235">
        <f t="shared" ca="1" si="369"/>
        <v>0</v>
      </c>
      <c r="PN15" s="235">
        <f t="shared" ca="1" si="370"/>
        <v>0</v>
      </c>
      <c r="PO15" s="242">
        <f t="shared" ca="1" si="371"/>
        <v>0</v>
      </c>
      <c r="PP15" s="241">
        <f t="shared" ca="1" si="331"/>
        <v>1</v>
      </c>
      <c r="PQ15" s="220">
        <f t="shared" ca="1" si="372"/>
        <v>0</v>
      </c>
      <c r="PR15" s="220">
        <f t="shared" ca="1" si="373"/>
        <v>0</v>
      </c>
      <c r="PS15" s="235">
        <f t="shared" ca="1" si="374"/>
        <v>0</v>
      </c>
      <c r="PT15" s="235">
        <f t="shared" ca="1" si="375"/>
        <v>0</v>
      </c>
      <c r="PU15" s="242">
        <f t="shared" ca="1" si="376"/>
        <v>0</v>
      </c>
      <c r="PV15" s="241">
        <f t="shared" ca="1" si="331"/>
        <v>1</v>
      </c>
      <c r="PW15" s="220">
        <f t="shared" ca="1" si="377"/>
        <v>0</v>
      </c>
      <c r="PX15" s="220">
        <f t="shared" ca="1" si="378"/>
        <v>0</v>
      </c>
      <c r="PY15" s="235">
        <f t="shared" ca="1" si="379"/>
        <v>0</v>
      </c>
      <c r="PZ15" s="235">
        <f t="shared" ca="1" si="380"/>
        <v>0</v>
      </c>
      <c r="QA15" s="242">
        <f t="shared" ca="1" si="381"/>
        <v>0</v>
      </c>
      <c r="QB15" s="241">
        <f t="shared" ca="1" si="331"/>
        <v>1</v>
      </c>
      <c r="QC15" s="220">
        <f t="shared" ca="1" si="382"/>
        <v>0</v>
      </c>
      <c r="QD15" s="220">
        <f t="shared" ca="1" si="383"/>
        <v>0</v>
      </c>
      <c r="QE15" s="235">
        <f t="shared" ca="1" si="384"/>
        <v>0</v>
      </c>
      <c r="QF15" s="235">
        <f t="shared" ca="1" si="385"/>
        <v>0</v>
      </c>
      <c r="QG15" s="242">
        <f t="shared" ca="1" si="386"/>
        <v>0</v>
      </c>
      <c r="QH15" s="241">
        <f t="shared" ca="1" si="387"/>
        <v>1</v>
      </c>
      <c r="QI15" s="220">
        <f t="shared" ca="1" si="388"/>
        <v>0</v>
      </c>
      <c r="QJ15" s="220">
        <f t="shared" ca="1" si="389"/>
        <v>0</v>
      </c>
      <c r="QK15" s="235">
        <f t="shared" ca="1" si="390"/>
        <v>0</v>
      </c>
      <c r="QL15" s="235">
        <f t="shared" ca="1" si="391"/>
        <v>0</v>
      </c>
      <c r="QM15" s="242">
        <f t="shared" ca="1" si="392"/>
        <v>0</v>
      </c>
      <c r="QN15" s="241">
        <f t="shared" ca="1" si="387"/>
        <v>1</v>
      </c>
      <c r="QO15" s="220">
        <f t="shared" ca="1" si="393"/>
        <v>0</v>
      </c>
      <c r="QP15" s="220">
        <f t="shared" ca="1" si="394"/>
        <v>0</v>
      </c>
      <c r="QQ15" s="235">
        <f t="shared" ca="1" si="395"/>
        <v>0</v>
      </c>
      <c r="QR15" s="235">
        <f t="shared" ca="1" si="396"/>
        <v>0</v>
      </c>
      <c r="QS15" s="242">
        <f t="shared" ca="1" si="397"/>
        <v>0</v>
      </c>
      <c r="QT15" s="241">
        <f t="shared" ca="1" si="387"/>
        <v>1</v>
      </c>
      <c r="QU15" s="220">
        <f t="shared" ca="1" si="398"/>
        <v>0</v>
      </c>
      <c r="QV15" s="220">
        <f t="shared" ca="1" si="399"/>
        <v>0</v>
      </c>
      <c r="QW15" s="235">
        <f t="shared" ca="1" si="400"/>
        <v>0</v>
      </c>
      <c r="QX15" s="235">
        <f t="shared" ca="1" si="401"/>
        <v>0</v>
      </c>
      <c r="QY15" s="242">
        <f t="shared" ca="1" si="402"/>
        <v>0</v>
      </c>
      <c r="QZ15" s="241">
        <f t="shared" ca="1" si="387"/>
        <v>1</v>
      </c>
      <c r="RA15" s="220">
        <f t="shared" ca="1" si="403"/>
        <v>0</v>
      </c>
      <c r="RB15" s="220">
        <f t="shared" ca="1" si="404"/>
        <v>0</v>
      </c>
      <c r="RC15" s="235">
        <f t="shared" ca="1" si="405"/>
        <v>0</v>
      </c>
      <c r="RD15" s="235">
        <f t="shared" ca="1" si="406"/>
        <v>0</v>
      </c>
      <c r="RE15" s="242">
        <f t="shared" ca="1" si="407"/>
        <v>0</v>
      </c>
      <c r="RF15" s="241">
        <f t="shared" ca="1" si="387"/>
        <v>1</v>
      </c>
      <c r="RG15" s="220">
        <f t="shared" ca="1" si="408"/>
        <v>0</v>
      </c>
      <c r="RH15" s="220">
        <f t="shared" ca="1" si="409"/>
        <v>0</v>
      </c>
      <c r="RI15" s="235">
        <f t="shared" ca="1" si="410"/>
        <v>0</v>
      </c>
      <c r="RJ15" s="235">
        <f t="shared" ca="1" si="411"/>
        <v>0</v>
      </c>
      <c r="RK15" s="242">
        <f t="shared" ca="1" si="412"/>
        <v>0</v>
      </c>
      <c r="RL15" s="241">
        <f t="shared" ca="1" si="387"/>
        <v>1</v>
      </c>
      <c r="RM15" s="220">
        <f t="shared" ca="1" si="413"/>
        <v>0</v>
      </c>
      <c r="RN15" s="220">
        <f t="shared" ca="1" si="414"/>
        <v>0</v>
      </c>
      <c r="RO15" s="235">
        <f t="shared" ca="1" si="415"/>
        <v>0</v>
      </c>
      <c r="RP15" s="235">
        <f t="shared" ca="1" si="416"/>
        <v>0</v>
      </c>
      <c r="RQ15" s="242">
        <f t="shared" ca="1" si="417"/>
        <v>0</v>
      </c>
      <c r="RR15" s="241">
        <f t="shared" ca="1" si="387"/>
        <v>1</v>
      </c>
      <c r="RS15" s="220">
        <f t="shared" ca="1" si="418"/>
        <v>0</v>
      </c>
      <c r="RT15" s="220">
        <f t="shared" ca="1" si="419"/>
        <v>0</v>
      </c>
      <c r="RU15" s="235">
        <f t="shared" ca="1" si="420"/>
        <v>0</v>
      </c>
      <c r="RV15" s="235">
        <f t="shared" ca="1" si="421"/>
        <v>0</v>
      </c>
      <c r="RW15" s="242">
        <f t="shared" ca="1" si="422"/>
        <v>0</v>
      </c>
      <c r="RX15" s="241">
        <f t="shared" ca="1" si="387"/>
        <v>1</v>
      </c>
      <c r="RY15" s="220">
        <f t="shared" ca="1" si="423"/>
        <v>0</v>
      </c>
      <c r="RZ15" s="220">
        <f t="shared" ca="1" si="424"/>
        <v>0</v>
      </c>
      <c r="SA15" s="235">
        <f t="shared" ca="1" si="425"/>
        <v>0</v>
      </c>
      <c r="SB15" s="235">
        <f t="shared" ca="1" si="426"/>
        <v>0</v>
      </c>
      <c r="SC15" s="242">
        <f t="shared" ca="1" si="427"/>
        <v>0</v>
      </c>
      <c r="SD15" s="241">
        <f t="shared" ca="1" si="387"/>
        <v>1</v>
      </c>
      <c r="SE15" s="220">
        <f t="shared" ca="1" si="428"/>
        <v>0</v>
      </c>
      <c r="SF15" s="220">
        <f t="shared" ca="1" si="429"/>
        <v>0</v>
      </c>
      <c r="SG15" s="235">
        <f t="shared" ca="1" si="430"/>
        <v>0</v>
      </c>
      <c r="SH15" s="235">
        <f t="shared" ca="1" si="431"/>
        <v>0</v>
      </c>
      <c r="SI15" s="242">
        <f t="shared" ca="1" si="432"/>
        <v>0</v>
      </c>
      <c r="SJ15" s="241">
        <f t="shared" ca="1" si="387"/>
        <v>1</v>
      </c>
      <c r="SK15" s="220">
        <f t="shared" ca="1" si="433"/>
        <v>0</v>
      </c>
      <c r="SL15" s="220">
        <f t="shared" ca="1" si="434"/>
        <v>0</v>
      </c>
      <c r="SM15" s="235">
        <f t="shared" ca="1" si="435"/>
        <v>0</v>
      </c>
      <c r="SN15" s="235">
        <f t="shared" ca="1" si="436"/>
        <v>0</v>
      </c>
      <c r="SO15" s="242">
        <f t="shared" ca="1" si="437"/>
        <v>0</v>
      </c>
      <c r="SP15" s="241">
        <f t="shared" ca="1" si="387"/>
        <v>1</v>
      </c>
      <c r="SQ15" s="220">
        <f t="shared" ca="1" si="438"/>
        <v>0</v>
      </c>
      <c r="SR15" s="220">
        <f t="shared" ca="1" si="439"/>
        <v>0</v>
      </c>
      <c r="SS15" s="235">
        <f t="shared" ca="1" si="440"/>
        <v>0</v>
      </c>
      <c r="ST15" s="235">
        <f t="shared" ca="1" si="441"/>
        <v>0</v>
      </c>
      <c r="SU15" s="242">
        <f t="shared" ca="1" si="442"/>
        <v>0</v>
      </c>
      <c r="SV15" s="241">
        <f t="shared" ca="1" si="443"/>
        <v>1</v>
      </c>
      <c r="SW15" s="220">
        <f t="shared" ca="1" si="444"/>
        <v>0</v>
      </c>
      <c r="SX15" s="220">
        <f t="shared" ca="1" si="445"/>
        <v>0</v>
      </c>
      <c r="SY15" s="235">
        <f t="shared" ca="1" si="446"/>
        <v>0</v>
      </c>
      <c r="SZ15" s="235">
        <f t="shared" ca="1" si="447"/>
        <v>0</v>
      </c>
      <c r="TA15" s="242">
        <f t="shared" ca="1" si="448"/>
        <v>0</v>
      </c>
      <c r="TB15" s="241">
        <f t="shared" ca="1" si="443"/>
        <v>1</v>
      </c>
      <c r="TC15" s="220">
        <f t="shared" ca="1" si="449"/>
        <v>0</v>
      </c>
      <c r="TD15" s="220">
        <f t="shared" ca="1" si="450"/>
        <v>0</v>
      </c>
      <c r="TE15" s="235">
        <f t="shared" ca="1" si="451"/>
        <v>0</v>
      </c>
      <c r="TF15" s="235">
        <f t="shared" ca="1" si="452"/>
        <v>0</v>
      </c>
      <c r="TG15" s="242">
        <f t="shared" ca="1" si="453"/>
        <v>0</v>
      </c>
      <c r="TH15" s="241">
        <f t="shared" ca="1" si="443"/>
        <v>1</v>
      </c>
      <c r="TI15" s="220">
        <f t="shared" ca="1" si="454"/>
        <v>0</v>
      </c>
      <c r="TJ15" s="220">
        <f t="shared" ca="1" si="455"/>
        <v>0</v>
      </c>
      <c r="TK15" s="235">
        <f t="shared" ca="1" si="456"/>
        <v>0</v>
      </c>
      <c r="TL15" s="235">
        <f t="shared" ca="1" si="457"/>
        <v>0</v>
      </c>
      <c r="TM15" s="242">
        <f t="shared" ca="1" si="458"/>
        <v>0</v>
      </c>
      <c r="TN15" s="241">
        <f t="shared" ca="1" si="443"/>
        <v>1</v>
      </c>
      <c r="TO15" s="220">
        <f t="shared" ca="1" si="459"/>
        <v>0</v>
      </c>
      <c r="TP15" s="220">
        <f t="shared" ca="1" si="460"/>
        <v>0</v>
      </c>
      <c r="TQ15" s="235">
        <f t="shared" ca="1" si="461"/>
        <v>0</v>
      </c>
      <c r="TR15" s="235">
        <f t="shared" ca="1" si="462"/>
        <v>0</v>
      </c>
      <c r="TS15" s="242">
        <f t="shared" ca="1" si="463"/>
        <v>0</v>
      </c>
      <c r="TT15" s="241">
        <f t="shared" ca="1" si="443"/>
        <v>1</v>
      </c>
      <c r="TU15" s="220">
        <f t="shared" ca="1" si="464"/>
        <v>0</v>
      </c>
      <c r="TV15" s="220">
        <f t="shared" ca="1" si="465"/>
        <v>0</v>
      </c>
      <c r="TW15" s="235">
        <f t="shared" ca="1" si="466"/>
        <v>0</v>
      </c>
      <c r="TX15" s="235">
        <f t="shared" ca="1" si="467"/>
        <v>0</v>
      </c>
      <c r="TY15" s="242">
        <f t="shared" ca="1" si="468"/>
        <v>0</v>
      </c>
      <c r="TZ15" s="241">
        <f t="shared" ca="1" si="443"/>
        <v>1</v>
      </c>
      <c r="UA15" s="220">
        <f t="shared" ca="1" si="469"/>
        <v>0</v>
      </c>
      <c r="UB15" s="220">
        <f t="shared" ca="1" si="470"/>
        <v>0</v>
      </c>
      <c r="UC15" s="235">
        <f t="shared" ca="1" si="471"/>
        <v>0</v>
      </c>
      <c r="UD15" s="235">
        <f t="shared" ca="1" si="472"/>
        <v>0</v>
      </c>
      <c r="UE15" s="242">
        <f t="shared" ca="1" si="473"/>
        <v>0</v>
      </c>
      <c r="UF15" s="241">
        <f t="shared" ca="1" si="443"/>
        <v>1</v>
      </c>
      <c r="UG15" s="220">
        <f t="shared" ca="1" si="474"/>
        <v>0</v>
      </c>
      <c r="UH15" s="220">
        <f t="shared" ca="1" si="475"/>
        <v>0</v>
      </c>
      <c r="UI15" s="235">
        <f t="shared" ca="1" si="476"/>
        <v>0</v>
      </c>
      <c r="UJ15" s="235">
        <f t="shared" ca="1" si="477"/>
        <v>0</v>
      </c>
      <c r="UK15" s="242">
        <f t="shared" ca="1" si="478"/>
        <v>0</v>
      </c>
      <c r="UL15" s="241">
        <f t="shared" ca="1" si="443"/>
        <v>1</v>
      </c>
      <c r="UM15" s="220">
        <f t="shared" ca="1" si="479"/>
        <v>0</v>
      </c>
      <c r="UN15" s="220">
        <f t="shared" ca="1" si="480"/>
        <v>0</v>
      </c>
      <c r="UO15" s="235">
        <f t="shared" ca="1" si="481"/>
        <v>0</v>
      </c>
      <c r="UP15" s="235">
        <f t="shared" ca="1" si="482"/>
        <v>0</v>
      </c>
      <c r="UQ15" s="242">
        <f t="shared" ca="1" si="483"/>
        <v>0</v>
      </c>
      <c r="UR15" s="241">
        <f t="shared" ca="1" si="443"/>
        <v>1</v>
      </c>
      <c r="US15" s="220">
        <f t="shared" ca="1" si="484"/>
        <v>0</v>
      </c>
      <c r="UT15" s="220">
        <f t="shared" ca="1" si="485"/>
        <v>0</v>
      </c>
      <c r="UU15" s="235">
        <f t="shared" ca="1" si="486"/>
        <v>0</v>
      </c>
      <c r="UV15" s="235">
        <f t="shared" ca="1" si="487"/>
        <v>0</v>
      </c>
      <c r="UW15" s="242">
        <f t="shared" ca="1" si="488"/>
        <v>0</v>
      </c>
      <c r="UX15" s="241">
        <f t="shared" ca="1" si="443"/>
        <v>1</v>
      </c>
      <c r="UY15" s="220">
        <f t="shared" ca="1" si="489"/>
        <v>0</v>
      </c>
      <c r="UZ15" s="220">
        <f t="shared" ca="1" si="490"/>
        <v>0</v>
      </c>
      <c r="VA15" s="235">
        <f t="shared" ca="1" si="491"/>
        <v>0</v>
      </c>
      <c r="VB15" s="235">
        <f t="shared" ca="1" si="492"/>
        <v>0</v>
      </c>
      <c r="VC15" s="242">
        <f t="shared" ca="1" si="493"/>
        <v>0</v>
      </c>
      <c r="VD15" s="241">
        <f t="shared" ca="1" si="443"/>
        <v>1</v>
      </c>
      <c r="VE15" s="220">
        <f t="shared" ca="1" si="494"/>
        <v>0</v>
      </c>
      <c r="VF15" s="220">
        <f t="shared" ca="1" si="495"/>
        <v>0</v>
      </c>
      <c r="VG15" s="235">
        <f t="shared" ca="1" si="496"/>
        <v>0</v>
      </c>
      <c r="VH15" s="235">
        <f t="shared" ca="1" si="497"/>
        <v>0</v>
      </c>
      <c r="VI15" s="242">
        <f t="shared" ca="1" si="498"/>
        <v>0</v>
      </c>
      <c r="VJ15" s="241">
        <f t="shared" ca="1" si="499"/>
        <v>1</v>
      </c>
      <c r="VK15" s="220">
        <f t="shared" ca="1" si="500"/>
        <v>0</v>
      </c>
      <c r="VL15" s="220">
        <f t="shared" ca="1" si="501"/>
        <v>0</v>
      </c>
      <c r="VM15" s="235">
        <f t="shared" ca="1" si="502"/>
        <v>0</v>
      </c>
      <c r="VN15" s="235">
        <f t="shared" ca="1" si="503"/>
        <v>0</v>
      </c>
      <c r="VO15" s="242">
        <f t="shared" ca="1" si="504"/>
        <v>0</v>
      </c>
      <c r="VP15" s="241">
        <f t="shared" ca="1" si="499"/>
        <v>1</v>
      </c>
      <c r="VQ15" s="220">
        <f t="shared" ca="1" si="505"/>
        <v>0</v>
      </c>
      <c r="VR15" s="220">
        <f t="shared" ca="1" si="506"/>
        <v>0</v>
      </c>
      <c r="VS15" s="235">
        <f t="shared" ca="1" si="507"/>
        <v>0</v>
      </c>
      <c r="VT15" s="235">
        <f t="shared" ca="1" si="508"/>
        <v>0</v>
      </c>
      <c r="VU15" s="242">
        <f t="shared" ca="1" si="509"/>
        <v>0</v>
      </c>
      <c r="VV15" s="241">
        <f t="shared" ca="1" si="499"/>
        <v>1</v>
      </c>
      <c r="VW15" s="220">
        <f t="shared" ca="1" si="510"/>
        <v>0</v>
      </c>
      <c r="VX15" s="220">
        <f t="shared" ca="1" si="511"/>
        <v>0</v>
      </c>
      <c r="VY15" s="235">
        <f t="shared" ca="1" si="512"/>
        <v>0</v>
      </c>
      <c r="VZ15" s="235">
        <f t="shared" ca="1" si="513"/>
        <v>0</v>
      </c>
      <c r="WA15" s="242">
        <f t="shared" ca="1" si="514"/>
        <v>0</v>
      </c>
      <c r="WB15" s="241">
        <f t="shared" ca="1" si="499"/>
        <v>1</v>
      </c>
      <c r="WC15" s="220">
        <f t="shared" ca="1" si="515"/>
        <v>0</v>
      </c>
      <c r="WD15" s="220">
        <f t="shared" ca="1" si="516"/>
        <v>0</v>
      </c>
      <c r="WE15" s="235">
        <f t="shared" ca="1" si="517"/>
        <v>0</v>
      </c>
      <c r="WF15" s="235">
        <f t="shared" ca="1" si="518"/>
        <v>0</v>
      </c>
      <c r="WG15" s="242">
        <f t="shared" ca="1" si="519"/>
        <v>0</v>
      </c>
      <c r="WH15" s="241">
        <f t="shared" ca="1" si="499"/>
        <v>1</v>
      </c>
      <c r="WI15" s="220">
        <f t="shared" ca="1" si="520"/>
        <v>0</v>
      </c>
      <c r="WJ15" s="220">
        <f t="shared" ca="1" si="521"/>
        <v>0</v>
      </c>
      <c r="WK15" s="235">
        <f t="shared" ca="1" si="522"/>
        <v>0</v>
      </c>
      <c r="WL15" s="235">
        <f t="shared" ca="1" si="523"/>
        <v>0</v>
      </c>
      <c r="WM15" s="242">
        <f t="shared" ca="1" si="524"/>
        <v>0</v>
      </c>
      <c r="WN15" s="241">
        <f t="shared" ca="1" si="499"/>
        <v>1</v>
      </c>
      <c r="WO15" s="220">
        <f t="shared" ca="1" si="525"/>
        <v>0</v>
      </c>
      <c r="WP15" s="220">
        <f t="shared" ca="1" si="526"/>
        <v>0</v>
      </c>
      <c r="WQ15" s="235">
        <f t="shared" ca="1" si="527"/>
        <v>0</v>
      </c>
      <c r="WR15" s="235">
        <f t="shared" ca="1" si="528"/>
        <v>0</v>
      </c>
      <c r="WS15" s="242">
        <f t="shared" ca="1" si="529"/>
        <v>0</v>
      </c>
      <c r="WT15" s="241">
        <f t="shared" ca="1" si="499"/>
        <v>1</v>
      </c>
      <c r="WU15" s="220">
        <f t="shared" ca="1" si="530"/>
        <v>0</v>
      </c>
      <c r="WV15" s="220">
        <f t="shared" ca="1" si="531"/>
        <v>0</v>
      </c>
      <c r="WW15" s="235">
        <f t="shared" ca="1" si="532"/>
        <v>0</v>
      </c>
      <c r="WX15" s="235">
        <f t="shared" ca="1" si="533"/>
        <v>0</v>
      </c>
      <c r="WY15" s="242">
        <f t="shared" ca="1" si="534"/>
        <v>0</v>
      </c>
      <c r="WZ15" s="241">
        <f t="shared" ca="1" si="499"/>
        <v>1</v>
      </c>
      <c r="XA15" s="220">
        <f t="shared" ca="1" si="535"/>
        <v>0</v>
      </c>
      <c r="XB15" s="220">
        <f t="shared" ca="1" si="536"/>
        <v>0</v>
      </c>
      <c r="XC15" s="235">
        <f t="shared" ca="1" si="537"/>
        <v>0</v>
      </c>
      <c r="XD15" s="235">
        <f t="shared" ca="1" si="538"/>
        <v>0</v>
      </c>
      <c r="XE15" s="242">
        <f t="shared" ca="1" si="539"/>
        <v>0</v>
      </c>
      <c r="XF15" s="241">
        <f t="shared" ca="1" si="499"/>
        <v>1</v>
      </c>
      <c r="XG15" s="220">
        <f t="shared" ca="1" si="540"/>
        <v>0</v>
      </c>
      <c r="XH15" s="220">
        <f t="shared" ca="1" si="541"/>
        <v>0</v>
      </c>
      <c r="XI15" s="235">
        <f t="shared" ca="1" si="542"/>
        <v>0</v>
      </c>
      <c r="XJ15" s="235">
        <f t="shared" ca="1" si="543"/>
        <v>0</v>
      </c>
      <c r="XK15" s="242">
        <f t="shared" ca="1" si="544"/>
        <v>0</v>
      </c>
    </row>
    <row r="16" spans="1:635" x14ac:dyDescent="0.25">
      <c r="B16" s="65">
        <f t="shared" ca="1" si="14"/>
        <v>2031</v>
      </c>
      <c r="C16" s="65" t="s">
        <v>741</v>
      </c>
      <c r="D16" s="77">
        <f t="shared" si="15"/>
        <v>0</v>
      </c>
      <c r="E16" s="77">
        <f t="shared" si="16"/>
        <v>0</v>
      </c>
      <c r="F16" s="77">
        <f t="shared" si="17"/>
        <v>0</v>
      </c>
      <c r="G16" s="77">
        <f t="shared" si="18"/>
        <v>0</v>
      </c>
      <c r="H16" s="15" t="e">
        <f t="shared" ca="1" si="19"/>
        <v>#REF!</v>
      </c>
      <c r="L16" s="326">
        <f t="shared" ca="1" si="20"/>
        <v>3.5000000000000003E-2</v>
      </c>
      <c r="M16" s="327">
        <f t="shared" ca="1" si="21"/>
        <v>3.5000000000000003E-2</v>
      </c>
      <c r="N16" s="322">
        <f t="shared" ca="1" si="22"/>
        <v>-8</v>
      </c>
      <c r="O16" s="322">
        <f t="shared" ca="1" si="23"/>
        <v>3</v>
      </c>
      <c r="P16" s="328">
        <f t="shared" ca="1" si="545"/>
        <v>2.8996942752456301</v>
      </c>
      <c r="Q16" s="328">
        <f t="shared" ca="1" si="546"/>
        <v>2.8996942752456301</v>
      </c>
      <c r="R16" s="328">
        <f t="shared" ca="1" si="547"/>
        <v>2.8996942752456301</v>
      </c>
      <c r="S16" s="329">
        <f t="shared" ca="1" si="24"/>
        <v>3.500000000000001E-2</v>
      </c>
      <c r="T16" s="329">
        <f t="shared" ca="1" si="25"/>
        <v>3.500000000000001E-2</v>
      </c>
      <c r="U16" s="329">
        <f t="shared" ca="1" si="26"/>
        <v>3.500000000000001E-2</v>
      </c>
      <c r="V16" s="320" t="e">
        <f t="shared" ca="1" si="27"/>
        <v>#REF!</v>
      </c>
      <c r="W16" s="320" t="e">
        <f t="shared" ca="1" si="28"/>
        <v>#REF!</v>
      </c>
      <c r="X16" s="320" t="e">
        <f t="shared" ca="1" si="29"/>
        <v>#REF!</v>
      </c>
      <c r="Y16" s="320" t="e">
        <f ca="1">INDEX(SC_ZA_HECMLumpSum,ZAIDX)</f>
        <v>#REF!</v>
      </c>
      <c r="Z16" s="320" t="e">
        <f t="shared" ca="1" si="30"/>
        <v>#REF!</v>
      </c>
      <c r="AA16" s="320" t="e">
        <f t="shared" ca="1" si="31"/>
        <v>#REF!</v>
      </c>
      <c r="AB16" s="320" t="e">
        <f t="shared" ca="1" si="32"/>
        <v>#REF!</v>
      </c>
      <c r="AC16" s="330" t="e">
        <f t="shared" ca="1" si="33"/>
        <v>#REF!</v>
      </c>
      <c r="AD16" s="236" t="e">
        <f t="shared" ca="1" si="548"/>
        <v>#REF!</v>
      </c>
      <c r="AE16" s="320" t="e">
        <f t="shared" ca="1" si="34"/>
        <v>#REF!</v>
      </c>
      <c r="AF16" s="320" t="e">
        <f t="shared" ca="1" si="35"/>
        <v>#REF!</v>
      </c>
      <c r="AG16" s="320" t="e">
        <f t="shared" ca="1" si="549"/>
        <v>#REF!</v>
      </c>
      <c r="AH16" s="284" t="e">
        <f t="shared" ca="1" si="550"/>
        <v>#REF!</v>
      </c>
      <c r="AI16" s="318" t="e">
        <f t="shared" ca="1" si="551"/>
        <v>#REF!</v>
      </c>
      <c r="AJ16" s="331">
        <f t="shared" ca="1" si="552"/>
        <v>1</v>
      </c>
      <c r="AK16" s="220">
        <f t="shared" ca="1" si="553"/>
        <v>0</v>
      </c>
      <c r="AL16" s="220">
        <f t="shared" ca="1" si="37"/>
        <v>0</v>
      </c>
      <c r="AM16" s="235">
        <f t="shared" ca="1" si="554"/>
        <v>1</v>
      </c>
      <c r="AN16" s="235">
        <f t="shared" ca="1" si="555"/>
        <v>1</v>
      </c>
      <c r="AO16" s="242">
        <f t="shared" ca="1" si="556"/>
        <v>1</v>
      </c>
      <c r="AP16" s="241">
        <f t="shared" ca="1" si="552"/>
        <v>1</v>
      </c>
      <c r="AQ16" s="220">
        <f t="shared" ca="1" si="41"/>
        <v>0</v>
      </c>
      <c r="AR16" s="220">
        <f t="shared" ca="1" si="42"/>
        <v>0</v>
      </c>
      <c r="AS16" s="235">
        <f t="shared" ca="1" si="43"/>
        <v>0.96618357487922713</v>
      </c>
      <c r="AT16" s="235">
        <f t="shared" ca="1" si="44"/>
        <v>0.96618357487922713</v>
      </c>
      <c r="AU16" s="242">
        <f t="shared" ca="1" si="45"/>
        <v>0.96618357487922713</v>
      </c>
      <c r="AV16" s="241">
        <f t="shared" ca="1" si="552"/>
        <v>1</v>
      </c>
      <c r="AW16" s="220">
        <f t="shared" ca="1" si="46"/>
        <v>0</v>
      </c>
      <c r="AX16" s="220">
        <f t="shared" ca="1" si="47"/>
        <v>0</v>
      </c>
      <c r="AY16" s="235">
        <f t="shared" ca="1" si="48"/>
        <v>0.93351070036640305</v>
      </c>
      <c r="AZ16" s="235">
        <f t="shared" ca="1" si="49"/>
        <v>0.93351070036640305</v>
      </c>
      <c r="BA16" s="242">
        <f t="shared" ca="1" si="50"/>
        <v>0.93351070036640305</v>
      </c>
      <c r="BB16" s="241">
        <f t="shared" ca="1" si="552"/>
        <v>1</v>
      </c>
      <c r="BC16" s="220">
        <f t="shared" ca="1" si="52"/>
        <v>0</v>
      </c>
      <c r="BD16" s="220">
        <f t="shared" ca="1" si="53"/>
        <v>0</v>
      </c>
      <c r="BE16" s="235">
        <f t="shared" ca="1" si="54"/>
        <v>0</v>
      </c>
      <c r="BF16" s="235">
        <f t="shared" ca="1" si="55"/>
        <v>0</v>
      </c>
      <c r="BG16" s="242">
        <f t="shared" ca="1" si="56"/>
        <v>0</v>
      </c>
      <c r="BH16" s="241">
        <f t="shared" ca="1" si="552"/>
        <v>1</v>
      </c>
      <c r="BI16" s="220">
        <f t="shared" ca="1" si="57"/>
        <v>0</v>
      </c>
      <c r="BJ16" s="220">
        <f t="shared" ca="1" si="58"/>
        <v>0</v>
      </c>
      <c r="BK16" s="235">
        <f t="shared" ca="1" si="59"/>
        <v>0</v>
      </c>
      <c r="BL16" s="235">
        <f t="shared" ca="1" si="60"/>
        <v>0</v>
      </c>
      <c r="BM16" s="242">
        <f t="shared" ca="1" si="61"/>
        <v>0</v>
      </c>
      <c r="BN16" s="241">
        <f t="shared" ca="1" si="552"/>
        <v>1</v>
      </c>
      <c r="BO16" s="220">
        <f t="shared" ca="1" si="62"/>
        <v>0</v>
      </c>
      <c r="BP16" s="220">
        <f t="shared" ca="1" si="63"/>
        <v>0</v>
      </c>
      <c r="BQ16" s="235">
        <f t="shared" ca="1" si="64"/>
        <v>0</v>
      </c>
      <c r="BR16" s="235">
        <f t="shared" ca="1" si="65"/>
        <v>0</v>
      </c>
      <c r="BS16" s="242">
        <f t="shared" ca="1" si="66"/>
        <v>0</v>
      </c>
      <c r="BT16" s="241">
        <f t="shared" ca="1" si="552"/>
        <v>1</v>
      </c>
      <c r="BU16" s="220">
        <f t="shared" ca="1" si="67"/>
        <v>0</v>
      </c>
      <c r="BV16" s="220">
        <f t="shared" ca="1" si="68"/>
        <v>0</v>
      </c>
      <c r="BW16" s="235">
        <f t="shared" ca="1" si="69"/>
        <v>0</v>
      </c>
      <c r="BX16" s="235">
        <f t="shared" ca="1" si="70"/>
        <v>0</v>
      </c>
      <c r="BY16" s="242">
        <f t="shared" ca="1" si="71"/>
        <v>0</v>
      </c>
      <c r="BZ16" s="241">
        <f t="shared" ca="1" si="552"/>
        <v>1</v>
      </c>
      <c r="CA16" s="220">
        <f t="shared" ca="1" si="72"/>
        <v>0</v>
      </c>
      <c r="CB16" s="220">
        <f t="shared" ca="1" si="73"/>
        <v>0</v>
      </c>
      <c r="CC16" s="235">
        <f t="shared" ca="1" si="74"/>
        <v>0</v>
      </c>
      <c r="CD16" s="235">
        <f t="shared" ca="1" si="75"/>
        <v>0</v>
      </c>
      <c r="CE16" s="242">
        <f t="shared" ca="1" si="76"/>
        <v>0</v>
      </c>
      <c r="CF16" s="241">
        <f t="shared" ca="1" si="552"/>
        <v>1</v>
      </c>
      <c r="CG16" s="220">
        <f t="shared" ca="1" si="77"/>
        <v>0</v>
      </c>
      <c r="CH16" s="220">
        <f t="shared" ca="1" si="78"/>
        <v>0</v>
      </c>
      <c r="CI16" s="235">
        <f t="shared" ca="1" si="79"/>
        <v>0</v>
      </c>
      <c r="CJ16" s="235">
        <f t="shared" ca="1" si="80"/>
        <v>0</v>
      </c>
      <c r="CK16" s="242">
        <f t="shared" ca="1" si="81"/>
        <v>0</v>
      </c>
      <c r="CL16" s="241">
        <f t="shared" ca="1" si="552"/>
        <v>1</v>
      </c>
      <c r="CM16" s="220">
        <f t="shared" ca="1" si="82"/>
        <v>0</v>
      </c>
      <c r="CN16" s="220">
        <f t="shared" ca="1" si="83"/>
        <v>0</v>
      </c>
      <c r="CO16" s="235">
        <f t="shared" ca="1" si="84"/>
        <v>0</v>
      </c>
      <c r="CP16" s="235">
        <f t="shared" ca="1" si="85"/>
        <v>0</v>
      </c>
      <c r="CQ16" s="242">
        <f t="shared" ca="1" si="86"/>
        <v>0</v>
      </c>
      <c r="CR16" s="241">
        <f t="shared" ca="1" si="552"/>
        <v>1</v>
      </c>
      <c r="CS16" s="220">
        <f t="shared" ca="1" si="87"/>
        <v>0</v>
      </c>
      <c r="CT16" s="220">
        <f t="shared" ca="1" si="88"/>
        <v>0</v>
      </c>
      <c r="CU16" s="235">
        <f t="shared" ca="1" si="89"/>
        <v>0</v>
      </c>
      <c r="CV16" s="235">
        <f t="shared" ca="1" si="90"/>
        <v>0</v>
      </c>
      <c r="CW16" s="242">
        <f t="shared" ca="1" si="91"/>
        <v>0</v>
      </c>
      <c r="CX16" s="241">
        <f t="shared" ca="1" si="51"/>
        <v>1</v>
      </c>
      <c r="CY16" s="220">
        <f t="shared" ca="1" si="92"/>
        <v>0</v>
      </c>
      <c r="CZ16" s="220">
        <f t="shared" ca="1" si="93"/>
        <v>0</v>
      </c>
      <c r="DA16" s="235">
        <f t="shared" ca="1" si="94"/>
        <v>0</v>
      </c>
      <c r="DB16" s="235">
        <f t="shared" ca="1" si="95"/>
        <v>0</v>
      </c>
      <c r="DC16" s="242">
        <f t="shared" ca="1" si="96"/>
        <v>0</v>
      </c>
      <c r="DD16" s="241">
        <f t="shared" ca="1" si="51"/>
        <v>1</v>
      </c>
      <c r="DE16" s="220">
        <f t="shared" ca="1" si="97"/>
        <v>0</v>
      </c>
      <c r="DF16" s="220">
        <f t="shared" ca="1" si="98"/>
        <v>0</v>
      </c>
      <c r="DG16" s="235">
        <f t="shared" ca="1" si="99"/>
        <v>0</v>
      </c>
      <c r="DH16" s="235">
        <f t="shared" ca="1" si="100"/>
        <v>0</v>
      </c>
      <c r="DI16" s="242">
        <f t="shared" ca="1" si="101"/>
        <v>0</v>
      </c>
      <c r="DJ16" s="241">
        <f t="shared" ca="1" si="51"/>
        <v>1</v>
      </c>
      <c r="DK16" s="220">
        <f t="shared" ca="1" si="102"/>
        <v>0</v>
      </c>
      <c r="DL16" s="220">
        <f t="shared" ca="1" si="103"/>
        <v>0</v>
      </c>
      <c r="DM16" s="235">
        <f t="shared" ca="1" si="104"/>
        <v>0</v>
      </c>
      <c r="DN16" s="235">
        <f t="shared" ca="1" si="105"/>
        <v>0</v>
      </c>
      <c r="DO16" s="242">
        <f t="shared" ca="1" si="106"/>
        <v>0</v>
      </c>
      <c r="DP16" s="241">
        <f t="shared" ca="1" si="107"/>
        <v>1</v>
      </c>
      <c r="DQ16" s="220">
        <f t="shared" ca="1" si="108"/>
        <v>0</v>
      </c>
      <c r="DR16" s="220">
        <f t="shared" ca="1" si="109"/>
        <v>0</v>
      </c>
      <c r="DS16" s="235">
        <f t="shared" ca="1" si="110"/>
        <v>0</v>
      </c>
      <c r="DT16" s="235">
        <f t="shared" ca="1" si="111"/>
        <v>0</v>
      </c>
      <c r="DU16" s="242">
        <f t="shared" ca="1" si="112"/>
        <v>0</v>
      </c>
      <c r="DV16" s="241">
        <f t="shared" ca="1" si="107"/>
        <v>1</v>
      </c>
      <c r="DW16" s="220">
        <f t="shared" ca="1" si="113"/>
        <v>0</v>
      </c>
      <c r="DX16" s="220">
        <f t="shared" ca="1" si="114"/>
        <v>0</v>
      </c>
      <c r="DY16" s="235">
        <f t="shared" ca="1" si="115"/>
        <v>0</v>
      </c>
      <c r="DZ16" s="235">
        <f t="shared" ca="1" si="116"/>
        <v>0</v>
      </c>
      <c r="EA16" s="242">
        <f t="shared" ca="1" si="117"/>
        <v>0</v>
      </c>
      <c r="EB16" s="241">
        <f t="shared" ca="1" si="107"/>
        <v>1</v>
      </c>
      <c r="EC16" s="220">
        <f t="shared" ca="1" si="118"/>
        <v>0</v>
      </c>
      <c r="ED16" s="220">
        <f t="shared" ca="1" si="119"/>
        <v>0</v>
      </c>
      <c r="EE16" s="235">
        <f t="shared" ca="1" si="120"/>
        <v>0</v>
      </c>
      <c r="EF16" s="235">
        <f t="shared" ca="1" si="121"/>
        <v>0</v>
      </c>
      <c r="EG16" s="242">
        <f t="shared" ca="1" si="122"/>
        <v>0</v>
      </c>
      <c r="EH16" s="241">
        <f t="shared" ca="1" si="107"/>
        <v>1</v>
      </c>
      <c r="EI16" s="220">
        <f t="shared" ca="1" si="123"/>
        <v>0</v>
      </c>
      <c r="EJ16" s="220">
        <f t="shared" ca="1" si="124"/>
        <v>0</v>
      </c>
      <c r="EK16" s="235">
        <f t="shared" ca="1" si="125"/>
        <v>0</v>
      </c>
      <c r="EL16" s="235">
        <f t="shared" ca="1" si="126"/>
        <v>0</v>
      </c>
      <c r="EM16" s="242">
        <f t="shared" ca="1" si="127"/>
        <v>0</v>
      </c>
      <c r="EN16" s="241">
        <f t="shared" ca="1" si="107"/>
        <v>1</v>
      </c>
      <c r="EO16" s="220">
        <f t="shared" ca="1" si="128"/>
        <v>0</v>
      </c>
      <c r="EP16" s="220">
        <f t="shared" ca="1" si="129"/>
        <v>0</v>
      </c>
      <c r="EQ16" s="235">
        <f t="shared" ca="1" si="130"/>
        <v>0</v>
      </c>
      <c r="ER16" s="235">
        <f t="shared" ca="1" si="131"/>
        <v>0</v>
      </c>
      <c r="ES16" s="242">
        <f t="shared" ca="1" si="132"/>
        <v>0</v>
      </c>
      <c r="ET16" s="241">
        <f t="shared" ca="1" si="107"/>
        <v>1</v>
      </c>
      <c r="EU16" s="220">
        <f t="shared" ca="1" si="133"/>
        <v>0</v>
      </c>
      <c r="EV16" s="220">
        <f t="shared" ca="1" si="134"/>
        <v>0</v>
      </c>
      <c r="EW16" s="235">
        <f t="shared" ca="1" si="135"/>
        <v>0</v>
      </c>
      <c r="EX16" s="235">
        <f t="shared" ca="1" si="136"/>
        <v>0</v>
      </c>
      <c r="EY16" s="242">
        <f t="shared" ca="1" si="137"/>
        <v>0</v>
      </c>
      <c r="EZ16" s="241">
        <f t="shared" ca="1" si="107"/>
        <v>1</v>
      </c>
      <c r="FA16" s="220">
        <f t="shared" ca="1" si="138"/>
        <v>0</v>
      </c>
      <c r="FB16" s="220">
        <f t="shared" ca="1" si="139"/>
        <v>0</v>
      </c>
      <c r="FC16" s="235">
        <f t="shared" ca="1" si="140"/>
        <v>0</v>
      </c>
      <c r="FD16" s="235">
        <f t="shared" ca="1" si="141"/>
        <v>0</v>
      </c>
      <c r="FE16" s="242">
        <f t="shared" ca="1" si="142"/>
        <v>0</v>
      </c>
      <c r="FF16" s="241">
        <f t="shared" ca="1" si="107"/>
        <v>1</v>
      </c>
      <c r="FG16" s="220">
        <f t="shared" ca="1" si="143"/>
        <v>0</v>
      </c>
      <c r="FH16" s="220">
        <f t="shared" ca="1" si="144"/>
        <v>0</v>
      </c>
      <c r="FI16" s="235">
        <f t="shared" ca="1" si="145"/>
        <v>0</v>
      </c>
      <c r="FJ16" s="235">
        <f t="shared" ca="1" si="146"/>
        <v>0</v>
      </c>
      <c r="FK16" s="242">
        <f t="shared" ca="1" si="147"/>
        <v>0</v>
      </c>
      <c r="FL16" s="241">
        <f t="shared" ca="1" si="107"/>
        <v>1</v>
      </c>
      <c r="FM16" s="220">
        <f t="shared" ca="1" si="148"/>
        <v>0</v>
      </c>
      <c r="FN16" s="220">
        <f t="shared" ca="1" si="149"/>
        <v>0</v>
      </c>
      <c r="FO16" s="235">
        <f t="shared" ca="1" si="150"/>
        <v>0</v>
      </c>
      <c r="FP16" s="235">
        <f t="shared" ca="1" si="151"/>
        <v>0</v>
      </c>
      <c r="FQ16" s="242">
        <f t="shared" ca="1" si="152"/>
        <v>0</v>
      </c>
      <c r="FR16" s="241">
        <f t="shared" ca="1" si="107"/>
        <v>1</v>
      </c>
      <c r="FS16" s="220">
        <f t="shared" ca="1" si="153"/>
        <v>0</v>
      </c>
      <c r="FT16" s="220">
        <f t="shared" ca="1" si="154"/>
        <v>0</v>
      </c>
      <c r="FU16" s="235">
        <f t="shared" ca="1" si="155"/>
        <v>0</v>
      </c>
      <c r="FV16" s="235">
        <f t="shared" ca="1" si="156"/>
        <v>0</v>
      </c>
      <c r="FW16" s="242">
        <f t="shared" ca="1" si="157"/>
        <v>0</v>
      </c>
      <c r="FX16" s="241">
        <f t="shared" ca="1" si="107"/>
        <v>1</v>
      </c>
      <c r="FY16" s="220">
        <f t="shared" ca="1" si="158"/>
        <v>0</v>
      </c>
      <c r="FZ16" s="220">
        <f t="shared" ca="1" si="159"/>
        <v>0</v>
      </c>
      <c r="GA16" s="235">
        <f t="shared" ca="1" si="160"/>
        <v>0</v>
      </c>
      <c r="GB16" s="235">
        <f t="shared" ca="1" si="161"/>
        <v>0</v>
      </c>
      <c r="GC16" s="242">
        <f t="shared" ca="1" si="162"/>
        <v>0</v>
      </c>
      <c r="GD16" s="241">
        <f t="shared" ca="1" si="163"/>
        <v>1</v>
      </c>
      <c r="GE16" s="220">
        <f t="shared" ca="1" si="164"/>
        <v>0</v>
      </c>
      <c r="GF16" s="220">
        <f t="shared" ca="1" si="165"/>
        <v>0</v>
      </c>
      <c r="GG16" s="235">
        <f t="shared" ca="1" si="166"/>
        <v>0</v>
      </c>
      <c r="GH16" s="235">
        <f t="shared" ca="1" si="167"/>
        <v>0</v>
      </c>
      <c r="GI16" s="242">
        <f t="shared" ca="1" si="168"/>
        <v>0</v>
      </c>
      <c r="GJ16" s="241">
        <f t="shared" ca="1" si="163"/>
        <v>1</v>
      </c>
      <c r="GK16" s="220">
        <f t="shared" ca="1" si="169"/>
        <v>0</v>
      </c>
      <c r="GL16" s="220">
        <f t="shared" ca="1" si="170"/>
        <v>0</v>
      </c>
      <c r="GM16" s="235">
        <f t="shared" ca="1" si="171"/>
        <v>0</v>
      </c>
      <c r="GN16" s="235">
        <f t="shared" ca="1" si="172"/>
        <v>0</v>
      </c>
      <c r="GO16" s="242">
        <f t="shared" ca="1" si="173"/>
        <v>0</v>
      </c>
      <c r="GP16" s="241">
        <f t="shared" ca="1" si="163"/>
        <v>1</v>
      </c>
      <c r="GQ16" s="220">
        <f t="shared" ca="1" si="174"/>
        <v>0</v>
      </c>
      <c r="GR16" s="220">
        <f t="shared" ca="1" si="175"/>
        <v>0</v>
      </c>
      <c r="GS16" s="235">
        <f t="shared" ca="1" si="176"/>
        <v>0</v>
      </c>
      <c r="GT16" s="235">
        <f t="shared" ca="1" si="177"/>
        <v>0</v>
      </c>
      <c r="GU16" s="242">
        <f t="shared" ca="1" si="178"/>
        <v>0</v>
      </c>
      <c r="GV16" s="241">
        <f t="shared" ca="1" si="163"/>
        <v>1</v>
      </c>
      <c r="GW16" s="220">
        <f t="shared" ca="1" si="179"/>
        <v>0</v>
      </c>
      <c r="GX16" s="220">
        <f t="shared" ca="1" si="180"/>
        <v>0</v>
      </c>
      <c r="GY16" s="235">
        <f t="shared" ca="1" si="181"/>
        <v>0</v>
      </c>
      <c r="GZ16" s="235">
        <f t="shared" ca="1" si="182"/>
        <v>0</v>
      </c>
      <c r="HA16" s="242">
        <f t="shared" ca="1" si="183"/>
        <v>0</v>
      </c>
      <c r="HB16" s="241">
        <f t="shared" ca="1" si="163"/>
        <v>1</v>
      </c>
      <c r="HC16" s="220">
        <f t="shared" ca="1" si="184"/>
        <v>0</v>
      </c>
      <c r="HD16" s="220">
        <f t="shared" ca="1" si="185"/>
        <v>0</v>
      </c>
      <c r="HE16" s="235">
        <f t="shared" ca="1" si="186"/>
        <v>0</v>
      </c>
      <c r="HF16" s="235">
        <f t="shared" ca="1" si="187"/>
        <v>0</v>
      </c>
      <c r="HG16" s="242">
        <f t="shared" ca="1" si="188"/>
        <v>0</v>
      </c>
      <c r="HH16" s="241">
        <f t="shared" ca="1" si="163"/>
        <v>1</v>
      </c>
      <c r="HI16" s="220">
        <f t="shared" ca="1" si="189"/>
        <v>0</v>
      </c>
      <c r="HJ16" s="220">
        <f t="shared" ca="1" si="190"/>
        <v>0</v>
      </c>
      <c r="HK16" s="235">
        <f t="shared" ca="1" si="191"/>
        <v>0</v>
      </c>
      <c r="HL16" s="235">
        <f t="shared" ca="1" si="192"/>
        <v>0</v>
      </c>
      <c r="HM16" s="242">
        <f t="shared" ca="1" si="193"/>
        <v>0</v>
      </c>
      <c r="HN16" s="241">
        <f t="shared" ca="1" si="163"/>
        <v>1</v>
      </c>
      <c r="HO16" s="220">
        <f t="shared" ca="1" si="194"/>
        <v>0</v>
      </c>
      <c r="HP16" s="220">
        <f t="shared" ca="1" si="195"/>
        <v>0</v>
      </c>
      <c r="HQ16" s="235">
        <f t="shared" ca="1" si="196"/>
        <v>0</v>
      </c>
      <c r="HR16" s="235">
        <f t="shared" ca="1" si="197"/>
        <v>0</v>
      </c>
      <c r="HS16" s="242">
        <f t="shared" ca="1" si="198"/>
        <v>0</v>
      </c>
      <c r="HT16" s="241">
        <f t="shared" ca="1" si="163"/>
        <v>1</v>
      </c>
      <c r="HU16" s="220">
        <f t="shared" ca="1" si="199"/>
        <v>0</v>
      </c>
      <c r="HV16" s="220">
        <f t="shared" ca="1" si="200"/>
        <v>0</v>
      </c>
      <c r="HW16" s="235">
        <f t="shared" ca="1" si="201"/>
        <v>0</v>
      </c>
      <c r="HX16" s="235">
        <f t="shared" ca="1" si="202"/>
        <v>0</v>
      </c>
      <c r="HY16" s="242">
        <f t="shared" ca="1" si="203"/>
        <v>0</v>
      </c>
      <c r="HZ16" s="241">
        <f t="shared" ca="1" si="163"/>
        <v>1</v>
      </c>
      <c r="IA16" s="220">
        <f t="shared" ca="1" si="204"/>
        <v>0</v>
      </c>
      <c r="IB16" s="220">
        <f t="shared" ca="1" si="205"/>
        <v>0</v>
      </c>
      <c r="IC16" s="235">
        <f t="shared" ca="1" si="206"/>
        <v>0</v>
      </c>
      <c r="ID16" s="235">
        <f t="shared" ca="1" si="207"/>
        <v>0</v>
      </c>
      <c r="IE16" s="242">
        <f t="shared" ca="1" si="208"/>
        <v>0</v>
      </c>
      <c r="IF16" s="241">
        <f t="shared" ca="1" si="163"/>
        <v>1</v>
      </c>
      <c r="IG16" s="220">
        <f t="shared" ca="1" si="209"/>
        <v>0</v>
      </c>
      <c r="IH16" s="220">
        <f t="shared" ca="1" si="210"/>
        <v>0</v>
      </c>
      <c r="II16" s="235">
        <f t="shared" ca="1" si="211"/>
        <v>0</v>
      </c>
      <c r="IJ16" s="235">
        <f t="shared" ca="1" si="212"/>
        <v>0</v>
      </c>
      <c r="IK16" s="242">
        <f t="shared" ca="1" si="213"/>
        <v>0</v>
      </c>
      <c r="IL16" s="241">
        <f t="shared" ca="1" si="163"/>
        <v>1</v>
      </c>
      <c r="IM16" s="220">
        <f t="shared" ca="1" si="214"/>
        <v>0</v>
      </c>
      <c r="IN16" s="220">
        <f t="shared" ca="1" si="215"/>
        <v>0</v>
      </c>
      <c r="IO16" s="235">
        <f t="shared" ca="1" si="216"/>
        <v>0</v>
      </c>
      <c r="IP16" s="235">
        <f t="shared" ca="1" si="217"/>
        <v>0</v>
      </c>
      <c r="IQ16" s="242">
        <f t="shared" ca="1" si="218"/>
        <v>0</v>
      </c>
      <c r="IR16" s="241">
        <f t="shared" ca="1" si="219"/>
        <v>1</v>
      </c>
      <c r="IS16" s="220">
        <f t="shared" ca="1" si="220"/>
        <v>0</v>
      </c>
      <c r="IT16" s="220">
        <f t="shared" ca="1" si="221"/>
        <v>0</v>
      </c>
      <c r="IU16" s="235">
        <f t="shared" ca="1" si="222"/>
        <v>0</v>
      </c>
      <c r="IV16" s="235">
        <f t="shared" ca="1" si="223"/>
        <v>0</v>
      </c>
      <c r="IW16" s="242">
        <f t="shared" ca="1" si="224"/>
        <v>0</v>
      </c>
      <c r="IX16" s="241">
        <f t="shared" ca="1" si="219"/>
        <v>1</v>
      </c>
      <c r="IY16" s="220">
        <f t="shared" ca="1" si="225"/>
        <v>0</v>
      </c>
      <c r="IZ16" s="220">
        <f t="shared" ca="1" si="226"/>
        <v>0</v>
      </c>
      <c r="JA16" s="235">
        <f t="shared" ca="1" si="227"/>
        <v>0</v>
      </c>
      <c r="JB16" s="235">
        <f t="shared" ca="1" si="228"/>
        <v>0</v>
      </c>
      <c r="JC16" s="242">
        <f t="shared" ca="1" si="229"/>
        <v>0</v>
      </c>
      <c r="JD16" s="241">
        <f t="shared" ca="1" si="219"/>
        <v>1</v>
      </c>
      <c r="JE16" s="220">
        <f t="shared" ca="1" si="230"/>
        <v>0</v>
      </c>
      <c r="JF16" s="220">
        <f t="shared" ca="1" si="231"/>
        <v>0</v>
      </c>
      <c r="JG16" s="235">
        <f t="shared" ca="1" si="232"/>
        <v>0</v>
      </c>
      <c r="JH16" s="235">
        <f t="shared" ca="1" si="233"/>
        <v>0</v>
      </c>
      <c r="JI16" s="242">
        <f t="shared" ca="1" si="234"/>
        <v>0</v>
      </c>
      <c r="JJ16" s="241">
        <f t="shared" ca="1" si="219"/>
        <v>1</v>
      </c>
      <c r="JK16" s="220">
        <f t="shared" ca="1" si="235"/>
        <v>0</v>
      </c>
      <c r="JL16" s="220">
        <f t="shared" ca="1" si="236"/>
        <v>0</v>
      </c>
      <c r="JM16" s="235">
        <f t="shared" ca="1" si="237"/>
        <v>0</v>
      </c>
      <c r="JN16" s="235">
        <f t="shared" ca="1" si="238"/>
        <v>0</v>
      </c>
      <c r="JO16" s="242">
        <f t="shared" ca="1" si="239"/>
        <v>0</v>
      </c>
      <c r="JP16" s="241">
        <f t="shared" ca="1" si="219"/>
        <v>1</v>
      </c>
      <c r="JQ16" s="220">
        <f t="shared" ca="1" si="240"/>
        <v>0</v>
      </c>
      <c r="JR16" s="220">
        <f t="shared" ca="1" si="241"/>
        <v>0</v>
      </c>
      <c r="JS16" s="235">
        <f t="shared" ca="1" si="242"/>
        <v>0</v>
      </c>
      <c r="JT16" s="235">
        <f t="shared" ca="1" si="243"/>
        <v>0</v>
      </c>
      <c r="JU16" s="242">
        <f t="shared" ca="1" si="244"/>
        <v>0</v>
      </c>
      <c r="JV16" s="241">
        <f t="shared" ca="1" si="219"/>
        <v>1</v>
      </c>
      <c r="JW16" s="220">
        <f t="shared" ca="1" si="245"/>
        <v>0</v>
      </c>
      <c r="JX16" s="220">
        <f t="shared" ca="1" si="246"/>
        <v>0</v>
      </c>
      <c r="JY16" s="235">
        <f t="shared" ca="1" si="247"/>
        <v>0</v>
      </c>
      <c r="JZ16" s="235">
        <f t="shared" ca="1" si="248"/>
        <v>0</v>
      </c>
      <c r="KA16" s="242">
        <f t="shared" ca="1" si="249"/>
        <v>0</v>
      </c>
      <c r="KB16" s="241">
        <f t="shared" ca="1" si="219"/>
        <v>1</v>
      </c>
      <c r="KC16" s="220">
        <f t="shared" ca="1" si="250"/>
        <v>0</v>
      </c>
      <c r="KD16" s="220">
        <f t="shared" ca="1" si="251"/>
        <v>0</v>
      </c>
      <c r="KE16" s="235">
        <f t="shared" ca="1" si="252"/>
        <v>0</v>
      </c>
      <c r="KF16" s="235">
        <f t="shared" ca="1" si="253"/>
        <v>0</v>
      </c>
      <c r="KG16" s="242">
        <f t="shared" ca="1" si="254"/>
        <v>0</v>
      </c>
      <c r="KH16" s="241">
        <f t="shared" ca="1" si="219"/>
        <v>1</v>
      </c>
      <c r="KI16" s="220">
        <f t="shared" ca="1" si="255"/>
        <v>0</v>
      </c>
      <c r="KJ16" s="220">
        <f t="shared" ca="1" si="256"/>
        <v>0</v>
      </c>
      <c r="KK16" s="235">
        <f t="shared" ca="1" si="257"/>
        <v>0</v>
      </c>
      <c r="KL16" s="235">
        <f t="shared" ca="1" si="258"/>
        <v>0</v>
      </c>
      <c r="KM16" s="242">
        <f t="shared" ca="1" si="259"/>
        <v>0</v>
      </c>
      <c r="KN16" s="241">
        <f t="shared" ca="1" si="219"/>
        <v>1</v>
      </c>
      <c r="KO16" s="220">
        <f t="shared" ca="1" si="260"/>
        <v>0</v>
      </c>
      <c r="KP16" s="220">
        <f t="shared" ca="1" si="261"/>
        <v>0</v>
      </c>
      <c r="KQ16" s="235">
        <f t="shared" ca="1" si="262"/>
        <v>0</v>
      </c>
      <c r="KR16" s="235">
        <f t="shared" ca="1" si="263"/>
        <v>0</v>
      </c>
      <c r="KS16" s="242">
        <f t="shared" ca="1" si="264"/>
        <v>0</v>
      </c>
      <c r="KT16" s="241">
        <f t="shared" ca="1" si="219"/>
        <v>1</v>
      </c>
      <c r="KU16" s="220">
        <f t="shared" ca="1" si="265"/>
        <v>0</v>
      </c>
      <c r="KV16" s="220">
        <f t="shared" ca="1" si="266"/>
        <v>0</v>
      </c>
      <c r="KW16" s="235">
        <f t="shared" ca="1" si="267"/>
        <v>0</v>
      </c>
      <c r="KX16" s="235">
        <f t="shared" ca="1" si="268"/>
        <v>0</v>
      </c>
      <c r="KY16" s="242">
        <f t="shared" ca="1" si="269"/>
        <v>0</v>
      </c>
      <c r="KZ16" s="241">
        <f t="shared" ca="1" si="219"/>
        <v>1</v>
      </c>
      <c r="LA16" s="220">
        <f t="shared" ca="1" si="270"/>
        <v>0</v>
      </c>
      <c r="LB16" s="220">
        <f t="shared" ca="1" si="271"/>
        <v>0</v>
      </c>
      <c r="LC16" s="235">
        <f t="shared" ca="1" si="272"/>
        <v>0</v>
      </c>
      <c r="LD16" s="235">
        <f t="shared" ca="1" si="273"/>
        <v>0</v>
      </c>
      <c r="LE16" s="242">
        <f t="shared" ca="1" si="274"/>
        <v>0</v>
      </c>
      <c r="LF16" s="241">
        <f t="shared" ca="1" si="275"/>
        <v>1</v>
      </c>
      <c r="LG16" s="220">
        <f t="shared" ca="1" si="276"/>
        <v>0</v>
      </c>
      <c r="LH16" s="220">
        <f t="shared" ca="1" si="277"/>
        <v>0</v>
      </c>
      <c r="LI16" s="235">
        <f t="shared" ca="1" si="278"/>
        <v>0</v>
      </c>
      <c r="LJ16" s="235">
        <f t="shared" ca="1" si="279"/>
        <v>0</v>
      </c>
      <c r="LK16" s="242">
        <f t="shared" ca="1" si="280"/>
        <v>0</v>
      </c>
      <c r="LL16" s="241">
        <f t="shared" ca="1" si="275"/>
        <v>1</v>
      </c>
      <c r="LM16" s="220">
        <f t="shared" ca="1" si="281"/>
        <v>0</v>
      </c>
      <c r="LN16" s="220">
        <f t="shared" ca="1" si="282"/>
        <v>0</v>
      </c>
      <c r="LO16" s="235">
        <f t="shared" ca="1" si="283"/>
        <v>0</v>
      </c>
      <c r="LP16" s="235">
        <f t="shared" ca="1" si="284"/>
        <v>0</v>
      </c>
      <c r="LQ16" s="242">
        <f t="shared" ca="1" si="285"/>
        <v>0</v>
      </c>
      <c r="LR16" s="241">
        <f t="shared" ca="1" si="275"/>
        <v>1</v>
      </c>
      <c r="LS16" s="220">
        <f t="shared" ca="1" si="286"/>
        <v>0</v>
      </c>
      <c r="LT16" s="220">
        <f t="shared" ca="1" si="287"/>
        <v>0</v>
      </c>
      <c r="LU16" s="235">
        <f t="shared" ca="1" si="288"/>
        <v>0</v>
      </c>
      <c r="LV16" s="235">
        <f t="shared" ca="1" si="289"/>
        <v>0</v>
      </c>
      <c r="LW16" s="242">
        <f t="shared" ca="1" si="290"/>
        <v>0</v>
      </c>
      <c r="LX16" s="241">
        <f t="shared" ca="1" si="275"/>
        <v>1</v>
      </c>
      <c r="LY16" s="220">
        <f t="shared" ca="1" si="291"/>
        <v>0</v>
      </c>
      <c r="LZ16" s="220">
        <f t="shared" ca="1" si="292"/>
        <v>0</v>
      </c>
      <c r="MA16" s="235">
        <f t="shared" ca="1" si="293"/>
        <v>0</v>
      </c>
      <c r="MB16" s="235">
        <f t="shared" ca="1" si="294"/>
        <v>0</v>
      </c>
      <c r="MC16" s="242">
        <f t="shared" ca="1" si="295"/>
        <v>0</v>
      </c>
      <c r="MD16" s="241">
        <f t="shared" ca="1" si="275"/>
        <v>1</v>
      </c>
      <c r="ME16" s="220">
        <f t="shared" ca="1" si="296"/>
        <v>0</v>
      </c>
      <c r="MF16" s="220">
        <f t="shared" ca="1" si="297"/>
        <v>0</v>
      </c>
      <c r="MG16" s="235">
        <f t="shared" ca="1" si="298"/>
        <v>0</v>
      </c>
      <c r="MH16" s="235">
        <f t="shared" ca="1" si="299"/>
        <v>0</v>
      </c>
      <c r="MI16" s="242">
        <f t="shared" ca="1" si="300"/>
        <v>0</v>
      </c>
      <c r="MJ16" s="241">
        <f t="shared" ca="1" si="275"/>
        <v>1</v>
      </c>
      <c r="MK16" s="220">
        <f t="shared" ca="1" si="301"/>
        <v>0</v>
      </c>
      <c r="ML16" s="220">
        <f t="shared" ca="1" si="302"/>
        <v>0</v>
      </c>
      <c r="MM16" s="235">
        <f t="shared" ca="1" si="303"/>
        <v>0</v>
      </c>
      <c r="MN16" s="235">
        <f t="shared" ca="1" si="304"/>
        <v>0</v>
      </c>
      <c r="MO16" s="242">
        <f t="shared" ca="1" si="305"/>
        <v>0</v>
      </c>
      <c r="MP16" s="241">
        <f t="shared" ca="1" si="275"/>
        <v>1</v>
      </c>
      <c r="MQ16" s="220">
        <f t="shared" ca="1" si="306"/>
        <v>0</v>
      </c>
      <c r="MR16" s="220">
        <f t="shared" ca="1" si="307"/>
        <v>0</v>
      </c>
      <c r="MS16" s="235">
        <f t="shared" ca="1" si="308"/>
        <v>0</v>
      </c>
      <c r="MT16" s="235">
        <f t="shared" ca="1" si="309"/>
        <v>0</v>
      </c>
      <c r="MU16" s="242">
        <f t="shared" ca="1" si="310"/>
        <v>0</v>
      </c>
      <c r="MV16" s="241">
        <f t="shared" ca="1" si="275"/>
        <v>1</v>
      </c>
      <c r="MW16" s="220">
        <f t="shared" ca="1" si="311"/>
        <v>0</v>
      </c>
      <c r="MX16" s="220">
        <f t="shared" ca="1" si="312"/>
        <v>0</v>
      </c>
      <c r="MY16" s="235">
        <f t="shared" ca="1" si="313"/>
        <v>0</v>
      </c>
      <c r="MZ16" s="235">
        <f t="shared" ca="1" si="314"/>
        <v>0</v>
      </c>
      <c r="NA16" s="242">
        <f t="shared" ca="1" si="315"/>
        <v>0</v>
      </c>
      <c r="NB16" s="241">
        <f t="shared" ca="1" si="275"/>
        <v>1</v>
      </c>
      <c r="NC16" s="220">
        <f t="shared" ca="1" si="316"/>
        <v>0</v>
      </c>
      <c r="ND16" s="220">
        <f t="shared" ca="1" si="317"/>
        <v>0</v>
      </c>
      <c r="NE16" s="235">
        <f t="shared" ca="1" si="318"/>
        <v>0</v>
      </c>
      <c r="NF16" s="235">
        <f t="shared" ca="1" si="319"/>
        <v>0</v>
      </c>
      <c r="NG16" s="242">
        <f t="shared" ca="1" si="320"/>
        <v>0</v>
      </c>
      <c r="NH16" s="241">
        <f t="shared" ca="1" si="275"/>
        <v>1</v>
      </c>
      <c r="NI16" s="220">
        <f t="shared" ca="1" si="321"/>
        <v>0</v>
      </c>
      <c r="NJ16" s="220">
        <f t="shared" ca="1" si="322"/>
        <v>0</v>
      </c>
      <c r="NK16" s="235">
        <f t="shared" ca="1" si="323"/>
        <v>0</v>
      </c>
      <c r="NL16" s="235">
        <f t="shared" ca="1" si="324"/>
        <v>0</v>
      </c>
      <c r="NM16" s="242">
        <f t="shared" ca="1" si="325"/>
        <v>0</v>
      </c>
      <c r="NN16" s="241">
        <f t="shared" ca="1" si="275"/>
        <v>1</v>
      </c>
      <c r="NO16" s="220">
        <f t="shared" ca="1" si="326"/>
        <v>0</v>
      </c>
      <c r="NP16" s="220">
        <f t="shared" ca="1" si="327"/>
        <v>0</v>
      </c>
      <c r="NQ16" s="235">
        <f t="shared" ca="1" si="328"/>
        <v>0</v>
      </c>
      <c r="NR16" s="235">
        <f t="shared" ca="1" si="329"/>
        <v>0</v>
      </c>
      <c r="NS16" s="242">
        <f t="shared" ca="1" si="330"/>
        <v>0</v>
      </c>
      <c r="NT16" s="241">
        <f t="shared" ca="1" si="331"/>
        <v>1</v>
      </c>
      <c r="NU16" s="220">
        <f t="shared" ca="1" si="332"/>
        <v>0</v>
      </c>
      <c r="NV16" s="220">
        <f t="shared" ca="1" si="333"/>
        <v>0</v>
      </c>
      <c r="NW16" s="235">
        <f t="shared" ca="1" si="334"/>
        <v>0</v>
      </c>
      <c r="NX16" s="235">
        <f t="shared" ca="1" si="335"/>
        <v>0</v>
      </c>
      <c r="NY16" s="242">
        <f t="shared" ca="1" si="336"/>
        <v>0</v>
      </c>
      <c r="NZ16" s="241">
        <f t="shared" ca="1" si="331"/>
        <v>1</v>
      </c>
      <c r="OA16" s="220">
        <f t="shared" ca="1" si="337"/>
        <v>0</v>
      </c>
      <c r="OB16" s="220">
        <f t="shared" ca="1" si="338"/>
        <v>0</v>
      </c>
      <c r="OC16" s="235">
        <f t="shared" ca="1" si="339"/>
        <v>0</v>
      </c>
      <c r="OD16" s="235">
        <f t="shared" ca="1" si="340"/>
        <v>0</v>
      </c>
      <c r="OE16" s="242">
        <f t="shared" ca="1" si="341"/>
        <v>0</v>
      </c>
      <c r="OF16" s="241">
        <f t="shared" ca="1" si="331"/>
        <v>1</v>
      </c>
      <c r="OG16" s="220">
        <f t="shared" ca="1" si="342"/>
        <v>0</v>
      </c>
      <c r="OH16" s="220">
        <f t="shared" ca="1" si="343"/>
        <v>0</v>
      </c>
      <c r="OI16" s="235">
        <f t="shared" ca="1" si="344"/>
        <v>0</v>
      </c>
      <c r="OJ16" s="235">
        <f t="shared" ca="1" si="345"/>
        <v>0</v>
      </c>
      <c r="OK16" s="242">
        <f t="shared" ca="1" si="346"/>
        <v>0</v>
      </c>
      <c r="OL16" s="241">
        <f t="shared" ca="1" si="331"/>
        <v>1</v>
      </c>
      <c r="OM16" s="220">
        <f t="shared" ca="1" si="347"/>
        <v>0</v>
      </c>
      <c r="ON16" s="220">
        <f t="shared" ca="1" si="348"/>
        <v>0</v>
      </c>
      <c r="OO16" s="235">
        <f t="shared" ca="1" si="349"/>
        <v>0</v>
      </c>
      <c r="OP16" s="235">
        <f t="shared" ca="1" si="350"/>
        <v>0</v>
      </c>
      <c r="OQ16" s="242">
        <f t="shared" ca="1" si="351"/>
        <v>0</v>
      </c>
      <c r="OR16" s="241">
        <f t="shared" ca="1" si="331"/>
        <v>1</v>
      </c>
      <c r="OS16" s="220">
        <f t="shared" ca="1" si="352"/>
        <v>0</v>
      </c>
      <c r="OT16" s="220">
        <f t="shared" ca="1" si="353"/>
        <v>0</v>
      </c>
      <c r="OU16" s="235">
        <f t="shared" ca="1" si="354"/>
        <v>0</v>
      </c>
      <c r="OV16" s="235">
        <f t="shared" ca="1" si="355"/>
        <v>0</v>
      </c>
      <c r="OW16" s="242">
        <f t="shared" ca="1" si="356"/>
        <v>0</v>
      </c>
      <c r="OX16" s="241">
        <f t="shared" ca="1" si="331"/>
        <v>1</v>
      </c>
      <c r="OY16" s="220">
        <f t="shared" ca="1" si="357"/>
        <v>0</v>
      </c>
      <c r="OZ16" s="220">
        <f t="shared" ca="1" si="358"/>
        <v>0</v>
      </c>
      <c r="PA16" s="235">
        <f t="shared" ca="1" si="359"/>
        <v>0</v>
      </c>
      <c r="PB16" s="235">
        <f t="shared" ca="1" si="360"/>
        <v>0</v>
      </c>
      <c r="PC16" s="242">
        <f t="shared" ca="1" si="361"/>
        <v>0</v>
      </c>
      <c r="PD16" s="241">
        <f t="shared" ca="1" si="331"/>
        <v>1</v>
      </c>
      <c r="PE16" s="220">
        <f t="shared" ca="1" si="362"/>
        <v>0</v>
      </c>
      <c r="PF16" s="220">
        <f t="shared" ca="1" si="363"/>
        <v>0</v>
      </c>
      <c r="PG16" s="235">
        <f t="shared" ca="1" si="364"/>
        <v>0</v>
      </c>
      <c r="PH16" s="235">
        <f t="shared" ca="1" si="365"/>
        <v>0</v>
      </c>
      <c r="PI16" s="242">
        <f t="shared" ca="1" si="366"/>
        <v>0</v>
      </c>
      <c r="PJ16" s="241">
        <f t="shared" ca="1" si="331"/>
        <v>1</v>
      </c>
      <c r="PK16" s="220">
        <f t="shared" ca="1" si="367"/>
        <v>0</v>
      </c>
      <c r="PL16" s="220">
        <f t="shared" ca="1" si="368"/>
        <v>0</v>
      </c>
      <c r="PM16" s="235">
        <f t="shared" ca="1" si="369"/>
        <v>0</v>
      </c>
      <c r="PN16" s="235">
        <f t="shared" ca="1" si="370"/>
        <v>0</v>
      </c>
      <c r="PO16" s="242">
        <f t="shared" ca="1" si="371"/>
        <v>0</v>
      </c>
      <c r="PP16" s="241">
        <f t="shared" ca="1" si="331"/>
        <v>1</v>
      </c>
      <c r="PQ16" s="220">
        <f t="shared" ca="1" si="372"/>
        <v>0</v>
      </c>
      <c r="PR16" s="220">
        <f t="shared" ca="1" si="373"/>
        <v>0</v>
      </c>
      <c r="PS16" s="235">
        <f t="shared" ca="1" si="374"/>
        <v>0</v>
      </c>
      <c r="PT16" s="235">
        <f t="shared" ca="1" si="375"/>
        <v>0</v>
      </c>
      <c r="PU16" s="242">
        <f t="shared" ca="1" si="376"/>
        <v>0</v>
      </c>
      <c r="PV16" s="241">
        <f t="shared" ca="1" si="331"/>
        <v>1</v>
      </c>
      <c r="PW16" s="220">
        <f t="shared" ca="1" si="377"/>
        <v>0</v>
      </c>
      <c r="PX16" s="220">
        <f t="shared" ca="1" si="378"/>
        <v>0</v>
      </c>
      <c r="PY16" s="235">
        <f t="shared" ca="1" si="379"/>
        <v>0</v>
      </c>
      <c r="PZ16" s="235">
        <f t="shared" ca="1" si="380"/>
        <v>0</v>
      </c>
      <c r="QA16" s="242">
        <f t="shared" ca="1" si="381"/>
        <v>0</v>
      </c>
      <c r="QB16" s="241">
        <f t="shared" ca="1" si="331"/>
        <v>1</v>
      </c>
      <c r="QC16" s="220">
        <f t="shared" ca="1" si="382"/>
        <v>0</v>
      </c>
      <c r="QD16" s="220">
        <f t="shared" ca="1" si="383"/>
        <v>0</v>
      </c>
      <c r="QE16" s="235">
        <f t="shared" ca="1" si="384"/>
        <v>0</v>
      </c>
      <c r="QF16" s="235">
        <f t="shared" ca="1" si="385"/>
        <v>0</v>
      </c>
      <c r="QG16" s="242">
        <f t="shared" ca="1" si="386"/>
        <v>0</v>
      </c>
      <c r="QH16" s="241">
        <f t="shared" ca="1" si="387"/>
        <v>1</v>
      </c>
      <c r="QI16" s="220">
        <f t="shared" ca="1" si="388"/>
        <v>0</v>
      </c>
      <c r="QJ16" s="220">
        <f t="shared" ca="1" si="389"/>
        <v>0</v>
      </c>
      <c r="QK16" s="235">
        <f t="shared" ca="1" si="390"/>
        <v>0</v>
      </c>
      <c r="QL16" s="235">
        <f t="shared" ca="1" si="391"/>
        <v>0</v>
      </c>
      <c r="QM16" s="242">
        <f t="shared" ca="1" si="392"/>
        <v>0</v>
      </c>
      <c r="QN16" s="241">
        <f t="shared" ca="1" si="387"/>
        <v>1</v>
      </c>
      <c r="QO16" s="220">
        <f t="shared" ca="1" si="393"/>
        <v>0</v>
      </c>
      <c r="QP16" s="220">
        <f t="shared" ca="1" si="394"/>
        <v>0</v>
      </c>
      <c r="QQ16" s="235">
        <f t="shared" ca="1" si="395"/>
        <v>0</v>
      </c>
      <c r="QR16" s="235">
        <f t="shared" ca="1" si="396"/>
        <v>0</v>
      </c>
      <c r="QS16" s="242">
        <f t="shared" ca="1" si="397"/>
        <v>0</v>
      </c>
      <c r="QT16" s="241">
        <f t="shared" ca="1" si="387"/>
        <v>1</v>
      </c>
      <c r="QU16" s="220">
        <f t="shared" ca="1" si="398"/>
        <v>0</v>
      </c>
      <c r="QV16" s="220">
        <f t="shared" ca="1" si="399"/>
        <v>0</v>
      </c>
      <c r="QW16" s="235">
        <f t="shared" ca="1" si="400"/>
        <v>0</v>
      </c>
      <c r="QX16" s="235">
        <f t="shared" ca="1" si="401"/>
        <v>0</v>
      </c>
      <c r="QY16" s="242">
        <f t="shared" ca="1" si="402"/>
        <v>0</v>
      </c>
      <c r="QZ16" s="241">
        <f t="shared" ca="1" si="387"/>
        <v>1</v>
      </c>
      <c r="RA16" s="220">
        <f t="shared" ca="1" si="403"/>
        <v>0</v>
      </c>
      <c r="RB16" s="220">
        <f t="shared" ca="1" si="404"/>
        <v>0</v>
      </c>
      <c r="RC16" s="235">
        <f t="shared" ca="1" si="405"/>
        <v>0</v>
      </c>
      <c r="RD16" s="235">
        <f t="shared" ca="1" si="406"/>
        <v>0</v>
      </c>
      <c r="RE16" s="242">
        <f t="shared" ca="1" si="407"/>
        <v>0</v>
      </c>
      <c r="RF16" s="241">
        <f t="shared" ca="1" si="387"/>
        <v>1</v>
      </c>
      <c r="RG16" s="220">
        <f t="shared" ca="1" si="408"/>
        <v>0</v>
      </c>
      <c r="RH16" s="220">
        <f t="shared" ca="1" si="409"/>
        <v>0</v>
      </c>
      <c r="RI16" s="235">
        <f t="shared" ca="1" si="410"/>
        <v>0</v>
      </c>
      <c r="RJ16" s="235">
        <f t="shared" ca="1" si="411"/>
        <v>0</v>
      </c>
      <c r="RK16" s="242">
        <f t="shared" ca="1" si="412"/>
        <v>0</v>
      </c>
      <c r="RL16" s="241">
        <f t="shared" ca="1" si="387"/>
        <v>1</v>
      </c>
      <c r="RM16" s="220">
        <f t="shared" ca="1" si="413"/>
        <v>0</v>
      </c>
      <c r="RN16" s="220">
        <f t="shared" ca="1" si="414"/>
        <v>0</v>
      </c>
      <c r="RO16" s="235">
        <f t="shared" ca="1" si="415"/>
        <v>0</v>
      </c>
      <c r="RP16" s="235">
        <f t="shared" ca="1" si="416"/>
        <v>0</v>
      </c>
      <c r="RQ16" s="242">
        <f t="shared" ca="1" si="417"/>
        <v>0</v>
      </c>
      <c r="RR16" s="241">
        <f t="shared" ca="1" si="387"/>
        <v>1</v>
      </c>
      <c r="RS16" s="220">
        <f t="shared" ca="1" si="418"/>
        <v>0</v>
      </c>
      <c r="RT16" s="220">
        <f t="shared" ca="1" si="419"/>
        <v>0</v>
      </c>
      <c r="RU16" s="235">
        <f t="shared" ca="1" si="420"/>
        <v>0</v>
      </c>
      <c r="RV16" s="235">
        <f t="shared" ca="1" si="421"/>
        <v>0</v>
      </c>
      <c r="RW16" s="242">
        <f t="shared" ca="1" si="422"/>
        <v>0</v>
      </c>
      <c r="RX16" s="241">
        <f t="shared" ca="1" si="387"/>
        <v>1</v>
      </c>
      <c r="RY16" s="220">
        <f t="shared" ca="1" si="423"/>
        <v>0</v>
      </c>
      <c r="RZ16" s="220">
        <f t="shared" ca="1" si="424"/>
        <v>0</v>
      </c>
      <c r="SA16" s="235">
        <f t="shared" ca="1" si="425"/>
        <v>0</v>
      </c>
      <c r="SB16" s="235">
        <f t="shared" ca="1" si="426"/>
        <v>0</v>
      </c>
      <c r="SC16" s="242">
        <f t="shared" ca="1" si="427"/>
        <v>0</v>
      </c>
      <c r="SD16" s="241">
        <f t="shared" ca="1" si="387"/>
        <v>1</v>
      </c>
      <c r="SE16" s="220">
        <f t="shared" ca="1" si="428"/>
        <v>0</v>
      </c>
      <c r="SF16" s="220">
        <f t="shared" ca="1" si="429"/>
        <v>0</v>
      </c>
      <c r="SG16" s="235">
        <f t="shared" ca="1" si="430"/>
        <v>0</v>
      </c>
      <c r="SH16" s="235">
        <f t="shared" ca="1" si="431"/>
        <v>0</v>
      </c>
      <c r="SI16" s="242">
        <f t="shared" ca="1" si="432"/>
        <v>0</v>
      </c>
      <c r="SJ16" s="241">
        <f t="shared" ca="1" si="387"/>
        <v>1</v>
      </c>
      <c r="SK16" s="220">
        <f t="shared" ca="1" si="433"/>
        <v>0</v>
      </c>
      <c r="SL16" s="220">
        <f t="shared" ca="1" si="434"/>
        <v>0</v>
      </c>
      <c r="SM16" s="235">
        <f t="shared" ca="1" si="435"/>
        <v>0</v>
      </c>
      <c r="SN16" s="235">
        <f t="shared" ca="1" si="436"/>
        <v>0</v>
      </c>
      <c r="SO16" s="242">
        <f t="shared" ca="1" si="437"/>
        <v>0</v>
      </c>
      <c r="SP16" s="241">
        <f t="shared" ca="1" si="387"/>
        <v>1</v>
      </c>
      <c r="SQ16" s="220">
        <f t="shared" ca="1" si="438"/>
        <v>0</v>
      </c>
      <c r="SR16" s="220">
        <f t="shared" ca="1" si="439"/>
        <v>0</v>
      </c>
      <c r="SS16" s="235">
        <f t="shared" ca="1" si="440"/>
        <v>0</v>
      </c>
      <c r="ST16" s="235">
        <f t="shared" ca="1" si="441"/>
        <v>0</v>
      </c>
      <c r="SU16" s="242">
        <f t="shared" ca="1" si="442"/>
        <v>0</v>
      </c>
      <c r="SV16" s="241">
        <f t="shared" ca="1" si="443"/>
        <v>1</v>
      </c>
      <c r="SW16" s="220">
        <f t="shared" ca="1" si="444"/>
        <v>0</v>
      </c>
      <c r="SX16" s="220">
        <f t="shared" ca="1" si="445"/>
        <v>0</v>
      </c>
      <c r="SY16" s="235">
        <f t="shared" ca="1" si="446"/>
        <v>0</v>
      </c>
      <c r="SZ16" s="235">
        <f t="shared" ca="1" si="447"/>
        <v>0</v>
      </c>
      <c r="TA16" s="242">
        <f t="shared" ca="1" si="448"/>
        <v>0</v>
      </c>
      <c r="TB16" s="241">
        <f t="shared" ca="1" si="443"/>
        <v>1</v>
      </c>
      <c r="TC16" s="220">
        <f t="shared" ca="1" si="449"/>
        <v>0</v>
      </c>
      <c r="TD16" s="220">
        <f t="shared" ca="1" si="450"/>
        <v>0</v>
      </c>
      <c r="TE16" s="235">
        <f t="shared" ca="1" si="451"/>
        <v>0</v>
      </c>
      <c r="TF16" s="235">
        <f t="shared" ca="1" si="452"/>
        <v>0</v>
      </c>
      <c r="TG16" s="242">
        <f t="shared" ca="1" si="453"/>
        <v>0</v>
      </c>
      <c r="TH16" s="241">
        <f t="shared" ca="1" si="443"/>
        <v>1</v>
      </c>
      <c r="TI16" s="220">
        <f t="shared" ca="1" si="454"/>
        <v>0</v>
      </c>
      <c r="TJ16" s="220">
        <f t="shared" ca="1" si="455"/>
        <v>0</v>
      </c>
      <c r="TK16" s="235">
        <f t="shared" ca="1" si="456"/>
        <v>0</v>
      </c>
      <c r="TL16" s="235">
        <f t="shared" ca="1" si="457"/>
        <v>0</v>
      </c>
      <c r="TM16" s="242">
        <f t="shared" ca="1" si="458"/>
        <v>0</v>
      </c>
      <c r="TN16" s="241">
        <f t="shared" ca="1" si="443"/>
        <v>1</v>
      </c>
      <c r="TO16" s="220">
        <f t="shared" ca="1" si="459"/>
        <v>0</v>
      </c>
      <c r="TP16" s="220">
        <f t="shared" ca="1" si="460"/>
        <v>0</v>
      </c>
      <c r="TQ16" s="235">
        <f t="shared" ca="1" si="461"/>
        <v>0</v>
      </c>
      <c r="TR16" s="235">
        <f t="shared" ca="1" si="462"/>
        <v>0</v>
      </c>
      <c r="TS16" s="242">
        <f t="shared" ca="1" si="463"/>
        <v>0</v>
      </c>
      <c r="TT16" s="241">
        <f t="shared" ca="1" si="443"/>
        <v>1</v>
      </c>
      <c r="TU16" s="220">
        <f t="shared" ca="1" si="464"/>
        <v>0</v>
      </c>
      <c r="TV16" s="220">
        <f t="shared" ca="1" si="465"/>
        <v>0</v>
      </c>
      <c r="TW16" s="235">
        <f t="shared" ca="1" si="466"/>
        <v>0</v>
      </c>
      <c r="TX16" s="235">
        <f t="shared" ca="1" si="467"/>
        <v>0</v>
      </c>
      <c r="TY16" s="242">
        <f t="shared" ca="1" si="468"/>
        <v>0</v>
      </c>
      <c r="TZ16" s="241">
        <f t="shared" ca="1" si="443"/>
        <v>1</v>
      </c>
      <c r="UA16" s="220">
        <f t="shared" ca="1" si="469"/>
        <v>0</v>
      </c>
      <c r="UB16" s="220">
        <f t="shared" ca="1" si="470"/>
        <v>0</v>
      </c>
      <c r="UC16" s="235">
        <f t="shared" ca="1" si="471"/>
        <v>0</v>
      </c>
      <c r="UD16" s="235">
        <f t="shared" ca="1" si="472"/>
        <v>0</v>
      </c>
      <c r="UE16" s="242">
        <f t="shared" ca="1" si="473"/>
        <v>0</v>
      </c>
      <c r="UF16" s="241">
        <f t="shared" ca="1" si="443"/>
        <v>1</v>
      </c>
      <c r="UG16" s="220">
        <f t="shared" ca="1" si="474"/>
        <v>0</v>
      </c>
      <c r="UH16" s="220">
        <f t="shared" ca="1" si="475"/>
        <v>0</v>
      </c>
      <c r="UI16" s="235">
        <f t="shared" ca="1" si="476"/>
        <v>0</v>
      </c>
      <c r="UJ16" s="235">
        <f t="shared" ca="1" si="477"/>
        <v>0</v>
      </c>
      <c r="UK16" s="242">
        <f t="shared" ca="1" si="478"/>
        <v>0</v>
      </c>
      <c r="UL16" s="241">
        <f t="shared" ca="1" si="443"/>
        <v>1</v>
      </c>
      <c r="UM16" s="220">
        <f t="shared" ca="1" si="479"/>
        <v>0</v>
      </c>
      <c r="UN16" s="220">
        <f t="shared" ca="1" si="480"/>
        <v>0</v>
      </c>
      <c r="UO16" s="235">
        <f t="shared" ca="1" si="481"/>
        <v>0</v>
      </c>
      <c r="UP16" s="235">
        <f t="shared" ca="1" si="482"/>
        <v>0</v>
      </c>
      <c r="UQ16" s="242">
        <f t="shared" ca="1" si="483"/>
        <v>0</v>
      </c>
      <c r="UR16" s="241">
        <f t="shared" ca="1" si="443"/>
        <v>1</v>
      </c>
      <c r="US16" s="220">
        <f t="shared" ca="1" si="484"/>
        <v>0</v>
      </c>
      <c r="UT16" s="220">
        <f t="shared" ca="1" si="485"/>
        <v>0</v>
      </c>
      <c r="UU16" s="235">
        <f t="shared" ca="1" si="486"/>
        <v>0</v>
      </c>
      <c r="UV16" s="235">
        <f t="shared" ca="1" si="487"/>
        <v>0</v>
      </c>
      <c r="UW16" s="242">
        <f t="shared" ca="1" si="488"/>
        <v>0</v>
      </c>
      <c r="UX16" s="241">
        <f t="shared" ca="1" si="443"/>
        <v>1</v>
      </c>
      <c r="UY16" s="220">
        <f t="shared" ca="1" si="489"/>
        <v>0</v>
      </c>
      <c r="UZ16" s="220">
        <f t="shared" ca="1" si="490"/>
        <v>0</v>
      </c>
      <c r="VA16" s="235">
        <f t="shared" ca="1" si="491"/>
        <v>0</v>
      </c>
      <c r="VB16" s="235">
        <f t="shared" ca="1" si="492"/>
        <v>0</v>
      </c>
      <c r="VC16" s="242">
        <f t="shared" ca="1" si="493"/>
        <v>0</v>
      </c>
      <c r="VD16" s="241">
        <f t="shared" ca="1" si="443"/>
        <v>1</v>
      </c>
      <c r="VE16" s="220">
        <f t="shared" ca="1" si="494"/>
        <v>0</v>
      </c>
      <c r="VF16" s="220">
        <f t="shared" ca="1" si="495"/>
        <v>0</v>
      </c>
      <c r="VG16" s="235">
        <f t="shared" ca="1" si="496"/>
        <v>0</v>
      </c>
      <c r="VH16" s="235">
        <f t="shared" ca="1" si="497"/>
        <v>0</v>
      </c>
      <c r="VI16" s="242">
        <f t="shared" ca="1" si="498"/>
        <v>0</v>
      </c>
      <c r="VJ16" s="241">
        <f t="shared" ca="1" si="499"/>
        <v>1</v>
      </c>
      <c r="VK16" s="220">
        <f t="shared" ca="1" si="500"/>
        <v>0</v>
      </c>
      <c r="VL16" s="220">
        <f t="shared" ca="1" si="501"/>
        <v>0</v>
      </c>
      <c r="VM16" s="235">
        <f t="shared" ca="1" si="502"/>
        <v>0</v>
      </c>
      <c r="VN16" s="235">
        <f t="shared" ca="1" si="503"/>
        <v>0</v>
      </c>
      <c r="VO16" s="242">
        <f t="shared" ca="1" si="504"/>
        <v>0</v>
      </c>
      <c r="VP16" s="241">
        <f t="shared" ca="1" si="499"/>
        <v>1</v>
      </c>
      <c r="VQ16" s="220">
        <f t="shared" ca="1" si="505"/>
        <v>0</v>
      </c>
      <c r="VR16" s="220">
        <f t="shared" ca="1" si="506"/>
        <v>0</v>
      </c>
      <c r="VS16" s="235">
        <f t="shared" ca="1" si="507"/>
        <v>0</v>
      </c>
      <c r="VT16" s="235">
        <f t="shared" ca="1" si="508"/>
        <v>0</v>
      </c>
      <c r="VU16" s="242">
        <f t="shared" ca="1" si="509"/>
        <v>0</v>
      </c>
      <c r="VV16" s="241">
        <f t="shared" ca="1" si="499"/>
        <v>1</v>
      </c>
      <c r="VW16" s="220">
        <f t="shared" ca="1" si="510"/>
        <v>0</v>
      </c>
      <c r="VX16" s="220">
        <f t="shared" ca="1" si="511"/>
        <v>0</v>
      </c>
      <c r="VY16" s="235">
        <f t="shared" ca="1" si="512"/>
        <v>0</v>
      </c>
      <c r="VZ16" s="235">
        <f t="shared" ca="1" si="513"/>
        <v>0</v>
      </c>
      <c r="WA16" s="242">
        <f t="shared" ca="1" si="514"/>
        <v>0</v>
      </c>
      <c r="WB16" s="241">
        <f t="shared" ca="1" si="499"/>
        <v>1</v>
      </c>
      <c r="WC16" s="220">
        <f t="shared" ca="1" si="515"/>
        <v>0</v>
      </c>
      <c r="WD16" s="220">
        <f t="shared" ca="1" si="516"/>
        <v>0</v>
      </c>
      <c r="WE16" s="235">
        <f t="shared" ca="1" si="517"/>
        <v>0</v>
      </c>
      <c r="WF16" s="235">
        <f t="shared" ca="1" si="518"/>
        <v>0</v>
      </c>
      <c r="WG16" s="242">
        <f t="shared" ca="1" si="519"/>
        <v>0</v>
      </c>
      <c r="WH16" s="241">
        <f t="shared" ca="1" si="499"/>
        <v>1</v>
      </c>
      <c r="WI16" s="220">
        <f t="shared" ca="1" si="520"/>
        <v>0</v>
      </c>
      <c r="WJ16" s="220">
        <f t="shared" ca="1" si="521"/>
        <v>0</v>
      </c>
      <c r="WK16" s="235">
        <f t="shared" ca="1" si="522"/>
        <v>0</v>
      </c>
      <c r="WL16" s="235">
        <f t="shared" ca="1" si="523"/>
        <v>0</v>
      </c>
      <c r="WM16" s="242">
        <f t="shared" ca="1" si="524"/>
        <v>0</v>
      </c>
      <c r="WN16" s="241">
        <f t="shared" ca="1" si="499"/>
        <v>1</v>
      </c>
      <c r="WO16" s="220">
        <f t="shared" ca="1" si="525"/>
        <v>0</v>
      </c>
      <c r="WP16" s="220">
        <f t="shared" ca="1" si="526"/>
        <v>0</v>
      </c>
      <c r="WQ16" s="235">
        <f t="shared" ca="1" si="527"/>
        <v>0</v>
      </c>
      <c r="WR16" s="235">
        <f t="shared" ca="1" si="528"/>
        <v>0</v>
      </c>
      <c r="WS16" s="242">
        <f t="shared" ca="1" si="529"/>
        <v>0</v>
      </c>
      <c r="WT16" s="241">
        <f t="shared" ca="1" si="499"/>
        <v>1</v>
      </c>
      <c r="WU16" s="220">
        <f t="shared" ca="1" si="530"/>
        <v>0</v>
      </c>
      <c r="WV16" s="220">
        <f t="shared" ca="1" si="531"/>
        <v>0</v>
      </c>
      <c r="WW16" s="235">
        <f t="shared" ca="1" si="532"/>
        <v>0</v>
      </c>
      <c r="WX16" s="235">
        <f t="shared" ca="1" si="533"/>
        <v>0</v>
      </c>
      <c r="WY16" s="242">
        <f t="shared" ca="1" si="534"/>
        <v>0</v>
      </c>
      <c r="WZ16" s="241">
        <f t="shared" ca="1" si="499"/>
        <v>1</v>
      </c>
      <c r="XA16" s="220">
        <f t="shared" ca="1" si="535"/>
        <v>0</v>
      </c>
      <c r="XB16" s="220">
        <f t="shared" ca="1" si="536"/>
        <v>0</v>
      </c>
      <c r="XC16" s="235">
        <f t="shared" ca="1" si="537"/>
        <v>0</v>
      </c>
      <c r="XD16" s="235">
        <f t="shared" ca="1" si="538"/>
        <v>0</v>
      </c>
      <c r="XE16" s="242">
        <f t="shared" ca="1" si="539"/>
        <v>0</v>
      </c>
      <c r="XF16" s="241">
        <f t="shared" ca="1" si="499"/>
        <v>1</v>
      </c>
      <c r="XG16" s="220">
        <f t="shared" ca="1" si="540"/>
        <v>0</v>
      </c>
      <c r="XH16" s="220">
        <f t="shared" ca="1" si="541"/>
        <v>0</v>
      </c>
      <c r="XI16" s="235">
        <f t="shared" ca="1" si="542"/>
        <v>0</v>
      </c>
      <c r="XJ16" s="235">
        <f t="shared" ca="1" si="543"/>
        <v>0</v>
      </c>
      <c r="XK16" s="242">
        <f t="shared" ca="1" si="544"/>
        <v>0</v>
      </c>
    </row>
    <row r="17" spans="2:635" x14ac:dyDescent="0.25">
      <c r="B17" s="65">
        <f t="shared" ca="1" si="14"/>
        <v>2032</v>
      </c>
      <c r="C17" s="65" t="s">
        <v>741</v>
      </c>
      <c r="D17" s="77">
        <f t="shared" si="15"/>
        <v>0</v>
      </c>
      <c r="E17" s="77">
        <f t="shared" si="16"/>
        <v>0</v>
      </c>
      <c r="F17" s="77">
        <f t="shared" si="17"/>
        <v>0</v>
      </c>
      <c r="G17" s="77">
        <f t="shared" si="18"/>
        <v>0</v>
      </c>
      <c r="H17" s="15" t="e">
        <f t="shared" ca="1" si="19"/>
        <v>#REF!</v>
      </c>
      <c r="L17" s="326">
        <f t="shared" ca="1" si="20"/>
        <v>3.5000000000000003E-2</v>
      </c>
      <c r="M17" s="327">
        <f t="shared" ca="1" si="21"/>
        <v>3.5000000000000003E-2</v>
      </c>
      <c r="N17" s="322">
        <f t="shared" ca="1" si="22"/>
        <v>-9</v>
      </c>
      <c r="O17" s="322">
        <f t="shared" ca="1" si="23"/>
        <v>2</v>
      </c>
      <c r="P17" s="328">
        <f t="shared" ca="1" si="545"/>
        <v>1.9661835748792271</v>
      </c>
      <c r="Q17" s="328">
        <f t="shared" ca="1" si="546"/>
        <v>1.9661835748792271</v>
      </c>
      <c r="R17" s="328">
        <f t="shared" ca="1" si="547"/>
        <v>1.9661835748792271</v>
      </c>
      <c r="S17" s="329">
        <f t="shared" ca="1" si="24"/>
        <v>3.499999999999992E-2</v>
      </c>
      <c r="T17" s="329">
        <f t="shared" ca="1" si="25"/>
        <v>3.499999999999992E-2</v>
      </c>
      <c r="U17" s="329">
        <f t="shared" ca="1" si="26"/>
        <v>3.499999999999992E-2</v>
      </c>
      <c r="V17" s="320" t="e">
        <f t="shared" ca="1" si="27"/>
        <v>#REF!</v>
      </c>
      <c r="W17" s="320" t="e">
        <f t="shared" ca="1" si="28"/>
        <v>#REF!</v>
      </c>
      <c r="X17" s="320" t="e">
        <f t="shared" ca="1" si="29"/>
        <v>#REF!</v>
      </c>
      <c r="Y17" s="320" t="e">
        <f ca="1">INDEX(SC_ZA_HECMLumpSum,ZAIDX)</f>
        <v>#REF!</v>
      </c>
      <c r="Z17" s="320" t="e">
        <f t="shared" ca="1" si="30"/>
        <v>#REF!</v>
      </c>
      <c r="AA17" s="320" t="e">
        <f t="shared" ca="1" si="31"/>
        <v>#REF!</v>
      </c>
      <c r="AB17" s="320" t="e">
        <f t="shared" ca="1" si="32"/>
        <v>#REF!</v>
      </c>
      <c r="AC17" s="330" t="e">
        <f t="shared" ca="1" si="33"/>
        <v>#REF!</v>
      </c>
      <c r="AD17" s="236" t="e">
        <f t="shared" ca="1" si="548"/>
        <v>#REF!</v>
      </c>
      <c r="AE17" s="320" t="e">
        <f t="shared" ca="1" si="34"/>
        <v>#REF!</v>
      </c>
      <c r="AF17" s="320" t="e">
        <f t="shared" ca="1" si="35"/>
        <v>#REF!</v>
      </c>
      <c r="AG17" s="320" t="e">
        <f t="shared" ca="1" si="549"/>
        <v>#REF!</v>
      </c>
      <c r="AH17" s="284" t="e">
        <f t="shared" ca="1" si="550"/>
        <v>#REF!</v>
      </c>
      <c r="AI17" s="318" t="e">
        <f t="shared" ca="1" si="551"/>
        <v>#REF!</v>
      </c>
      <c r="AJ17" s="331">
        <f t="shared" ca="1" si="552"/>
        <v>1</v>
      </c>
      <c r="AK17" s="220">
        <f t="shared" ca="1" si="553"/>
        <v>0</v>
      </c>
      <c r="AL17" s="220">
        <f t="shared" ca="1" si="37"/>
        <v>0</v>
      </c>
      <c r="AM17" s="235">
        <f t="shared" ca="1" si="554"/>
        <v>1</v>
      </c>
      <c r="AN17" s="235">
        <f t="shared" ca="1" si="555"/>
        <v>1</v>
      </c>
      <c r="AO17" s="242">
        <f t="shared" ca="1" si="556"/>
        <v>1</v>
      </c>
      <c r="AP17" s="241">
        <f t="shared" ca="1" si="552"/>
        <v>1</v>
      </c>
      <c r="AQ17" s="220">
        <f t="shared" ca="1" si="41"/>
        <v>0</v>
      </c>
      <c r="AR17" s="220">
        <f t="shared" ca="1" si="42"/>
        <v>0</v>
      </c>
      <c r="AS17" s="235">
        <f t="shared" ca="1" si="43"/>
        <v>0.96618357487922713</v>
      </c>
      <c r="AT17" s="235">
        <f t="shared" ca="1" si="44"/>
        <v>0.96618357487922713</v>
      </c>
      <c r="AU17" s="242">
        <f t="shared" ca="1" si="45"/>
        <v>0.96618357487922713</v>
      </c>
      <c r="AV17" s="241">
        <f t="shared" ca="1" si="552"/>
        <v>1</v>
      </c>
      <c r="AW17" s="220">
        <f t="shared" ca="1" si="46"/>
        <v>0</v>
      </c>
      <c r="AX17" s="220">
        <f t="shared" ca="1" si="47"/>
        <v>0</v>
      </c>
      <c r="AY17" s="235">
        <f t="shared" ca="1" si="48"/>
        <v>0</v>
      </c>
      <c r="AZ17" s="235">
        <f t="shared" ca="1" si="49"/>
        <v>0</v>
      </c>
      <c r="BA17" s="242">
        <f t="shared" ca="1" si="50"/>
        <v>0</v>
      </c>
      <c r="BB17" s="241">
        <f t="shared" ca="1" si="552"/>
        <v>1</v>
      </c>
      <c r="BC17" s="220">
        <f t="shared" ca="1" si="52"/>
        <v>0</v>
      </c>
      <c r="BD17" s="220">
        <f t="shared" ca="1" si="53"/>
        <v>0</v>
      </c>
      <c r="BE17" s="235">
        <f t="shared" ca="1" si="54"/>
        <v>0</v>
      </c>
      <c r="BF17" s="235">
        <f t="shared" ca="1" si="55"/>
        <v>0</v>
      </c>
      <c r="BG17" s="242">
        <f t="shared" ca="1" si="56"/>
        <v>0</v>
      </c>
      <c r="BH17" s="241">
        <f t="shared" ca="1" si="552"/>
        <v>1</v>
      </c>
      <c r="BI17" s="220">
        <f t="shared" ca="1" si="57"/>
        <v>0</v>
      </c>
      <c r="BJ17" s="220">
        <f t="shared" ca="1" si="58"/>
        <v>0</v>
      </c>
      <c r="BK17" s="235">
        <f t="shared" ca="1" si="59"/>
        <v>0</v>
      </c>
      <c r="BL17" s="235">
        <f t="shared" ca="1" si="60"/>
        <v>0</v>
      </c>
      <c r="BM17" s="242">
        <f t="shared" ca="1" si="61"/>
        <v>0</v>
      </c>
      <c r="BN17" s="241">
        <f t="shared" ca="1" si="552"/>
        <v>1</v>
      </c>
      <c r="BO17" s="220">
        <f t="shared" ca="1" si="62"/>
        <v>0</v>
      </c>
      <c r="BP17" s="220">
        <f t="shared" ca="1" si="63"/>
        <v>0</v>
      </c>
      <c r="BQ17" s="235">
        <f t="shared" ca="1" si="64"/>
        <v>0</v>
      </c>
      <c r="BR17" s="235">
        <f t="shared" ca="1" si="65"/>
        <v>0</v>
      </c>
      <c r="BS17" s="242">
        <f t="shared" ca="1" si="66"/>
        <v>0</v>
      </c>
      <c r="BT17" s="241">
        <f t="shared" ca="1" si="552"/>
        <v>1</v>
      </c>
      <c r="BU17" s="220">
        <f t="shared" ca="1" si="67"/>
        <v>0</v>
      </c>
      <c r="BV17" s="220">
        <f t="shared" ca="1" si="68"/>
        <v>0</v>
      </c>
      <c r="BW17" s="235">
        <f t="shared" ca="1" si="69"/>
        <v>0</v>
      </c>
      <c r="BX17" s="235">
        <f t="shared" ca="1" si="70"/>
        <v>0</v>
      </c>
      <c r="BY17" s="242">
        <f t="shared" ca="1" si="71"/>
        <v>0</v>
      </c>
      <c r="BZ17" s="241">
        <f t="shared" ca="1" si="552"/>
        <v>1</v>
      </c>
      <c r="CA17" s="220">
        <f t="shared" ca="1" si="72"/>
        <v>0</v>
      </c>
      <c r="CB17" s="220">
        <f t="shared" ca="1" si="73"/>
        <v>0</v>
      </c>
      <c r="CC17" s="235">
        <f t="shared" ca="1" si="74"/>
        <v>0</v>
      </c>
      <c r="CD17" s="235">
        <f t="shared" ca="1" si="75"/>
        <v>0</v>
      </c>
      <c r="CE17" s="242">
        <f t="shared" ca="1" si="76"/>
        <v>0</v>
      </c>
      <c r="CF17" s="241">
        <f t="shared" ca="1" si="552"/>
        <v>1</v>
      </c>
      <c r="CG17" s="220">
        <f t="shared" ca="1" si="77"/>
        <v>0</v>
      </c>
      <c r="CH17" s="220">
        <f t="shared" ca="1" si="78"/>
        <v>0</v>
      </c>
      <c r="CI17" s="235">
        <f t="shared" ca="1" si="79"/>
        <v>0</v>
      </c>
      <c r="CJ17" s="235">
        <f t="shared" ca="1" si="80"/>
        <v>0</v>
      </c>
      <c r="CK17" s="242">
        <f t="shared" ca="1" si="81"/>
        <v>0</v>
      </c>
      <c r="CL17" s="241">
        <f t="shared" ca="1" si="552"/>
        <v>1</v>
      </c>
      <c r="CM17" s="220">
        <f t="shared" ca="1" si="82"/>
        <v>0</v>
      </c>
      <c r="CN17" s="220">
        <f t="shared" ca="1" si="83"/>
        <v>0</v>
      </c>
      <c r="CO17" s="235">
        <f t="shared" ca="1" si="84"/>
        <v>0</v>
      </c>
      <c r="CP17" s="235">
        <f t="shared" ca="1" si="85"/>
        <v>0</v>
      </c>
      <c r="CQ17" s="242">
        <f t="shared" ca="1" si="86"/>
        <v>0</v>
      </c>
      <c r="CR17" s="241">
        <f t="shared" ca="1" si="552"/>
        <v>1</v>
      </c>
      <c r="CS17" s="220">
        <f t="shared" ca="1" si="87"/>
        <v>0</v>
      </c>
      <c r="CT17" s="220">
        <f t="shared" ca="1" si="88"/>
        <v>0</v>
      </c>
      <c r="CU17" s="235">
        <f t="shared" ca="1" si="89"/>
        <v>0</v>
      </c>
      <c r="CV17" s="235">
        <f t="shared" ca="1" si="90"/>
        <v>0</v>
      </c>
      <c r="CW17" s="242">
        <f t="shared" ca="1" si="91"/>
        <v>0</v>
      </c>
      <c r="CX17" s="241">
        <f t="shared" ca="1" si="51"/>
        <v>1</v>
      </c>
      <c r="CY17" s="220">
        <f t="shared" ca="1" si="92"/>
        <v>0</v>
      </c>
      <c r="CZ17" s="220">
        <f t="shared" ca="1" si="93"/>
        <v>0</v>
      </c>
      <c r="DA17" s="235">
        <f t="shared" ca="1" si="94"/>
        <v>0</v>
      </c>
      <c r="DB17" s="235">
        <f t="shared" ca="1" si="95"/>
        <v>0</v>
      </c>
      <c r="DC17" s="242">
        <f t="shared" ca="1" si="96"/>
        <v>0</v>
      </c>
      <c r="DD17" s="241">
        <f t="shared" ca="1" si="51"/>
        <v>1</v>
      </c>
      <c r="DE17" s="220">
        <f t="shared" ca="1" si="97"/>
        <v>0</v>
      </c>
      <c r="DF17" s="220">
        <f t="shared" ca="1" si="98"/>
        <v>0</v>
      </c>
      <c r="DG17" s="235">
        <f t="shared" ca="1" si="99"/>
        <v>0</v>
      </c>
      <c r="DH17" s="235">
        <f t="shared" ca="1" si="100"/>
        <v>0</v>
      </c>
      <c r="DI17" s="242">
        <f t="shared" ca="1" si="101"/>
        <v>0</v>
      </c>
      <c r="DJ17" s="241">
        <f t="shared" ca="1" si="51"/>
        <v>1</v>
      </c>
      <c r="DK17" s="220">
        <f t="shared" ca="1" si="102"/>
        <v>0</v>
      </c>
      <c r="DL17" s="220">
        <f t="shared" ca="1" si="103"/>
        <v>0</v>
      </c>
      <c r="DM17" s="235">
        <f t="shared" ca="1" si="104"/>
        <v>0</v>
      </c>
      <c r="DN17" s="235">
        <f t="shared" ca="1" si="105"/>
        <v>0</v>
      </c>
      <c r="DO17" s="242">
        <f t="shared" ca="1" si="106"/>
        <v>0</v>
      </c>
      <c r="DP17" s="241">
        <f t="shared" ca="1" si="107"/>
        <v>1</v>
      </c>
      <c r="DQ17" s="220">
        <f t="shared" ca="1" si="108"/>
        <v>0</v>
      </c>
      <c r="DR17" s="220">
        <f t="shared" ca="1" si="109"/>
        <v>0</v>
      </c>
      <c r="DS17" s="235">
        <f t="shared" ca="1" si="110"/>
        <v>0</v>
      </c>
      <c r="DT17" s="235">
        <f t="shared" ca="1" si="111"/>
        <v>0</v>
      </c>
      <c r="DU17" s="242">
        <f t="shared" ca="1" si="112"/>
        <v>0</v>
      </c>
      <c r="DV17" s="241">
        <f t="shared" ca="1" si="107"/>
        <v>1</v>
      </c>
      <c r="DW17" s="220">
        <f t="shared" ca="1" si="113"/>
        <v>0</v>
      </c>
      <c r="DX17" s="220">
        <f t="shared" ca="1" si="114"/>
        <v>0</v>
      </c>
      <c r="DY17" s="235">
        <f t="shared" ca="1" si="115"/>
        <v>0</v>
      </c>
      <c r="DZ17" s="235">
        <f t="shared" ca="1" si="116"/>
        <v>0</v>
      </c>
      <c r="EA17" s="242">
        <f t="shared" ca="1" si="117"/>
        <v>0</v>
      </c>
      <c r="EB17" s="241">
        <f t="shared" ca="1" si="107"/>
        <v>1</v>
      </c>
      <c r="EC17" s="220">
        <f t="shared" ca="1" si="118"/>
        <v>0</v>
      </c>
      <c r="ED17" s="220">
        <f t="shared" ca="1" si="119"/>
        <v>0</v>
      </c>
      <c r="EE17" s="235">
        <f t="shared" ca="1" si="120"/>
        <v>0</v>
      </c>
      <c r="EF17" s="235">
        <f t="shared" ca="1" si="121"/>
        <v>0</v>
      </c>
      <c r="EG17" s="242">
        <f t="shared" ca="1" si="122"/>
        <v>0</v>
      </c>
      <c r="EH17" s="241">
        <f t="shared" ca="1" si="107"/>
        <v>1</v>
      </c>
      <c r="EI17" s="220">
        <f t="shared" ca="1" si="123"/>
        <v>0</v>
      </c>
      <c r="EJ17" s="220">
        <f t="shared" ca="1" si="124"/>
        <v>0</v>
      </c>
      <c r="EK17" s="235">
        <f t="shared" ca="1" si="125"/>
        <v>0</v>
      </c>
      <c r="EL17" s="235">
        <f t="shared" ca="1" si="126"/>
        <v>0</v>
      </c>
      <c r="EM17" s="242">
        <f t="shared" ca="1" si="127"/>
        <v>0</v>
      </c>
      <c r="EN17" s="241">
        <f t="shared" ca="1" si="107"/>
        <v>1</v>
      </c>
      <c r="EO17" s="220">
        <f t="shared" ca="1" si="128"/>
        <v>0</v>
      </c>
      <c r="EP17" s="220">
        <f t="shared" ca="1" si="129"/>
        <v>0</v>
      </c>
      <c r="EQ17" s="235">
        <f t="shared" ca="1" si="130"/>
        <v>0</v>
      </c>
      <c r="ER17" s="235">
        <f t="shared" ca="1" si="131"/>
        <v>0</v>
      </c>
      <c r="ES17" s="242">
        <f t="shared" ca="1" si="132"/>
        <v>0</v>
      </c>
      <c r="ET17" s="241">
        <f t="shared" ca="1" si="107"/>
        <v>1</v>
      </c>
      <c r="EU17" s="220">
        <f t="shared" ca="1" si="133"/>
        <v>0</v>
      </c>
      <c r="EV17" s="220">
        <f t="shared" ca="1" si="134"/>
        <v>0</v>
      </c>
      <c r="EW17" s="235">
        <f t="shared" ca="1" si="135"/>
        <v>0</v>
      </c>
      <c r="EX17" s="235">
        <f t="shared" ca="1" si="136"/>
        <v>0</v>
      </c>
      <c r="EY17" s="242">
        <f t="shared" ca="1" si="137"/>
        <v>0</v>
      </c>
      <c r="EZ17" s="241">
        <f t="shared" ca="1" si="107"/>
        <v>1</v>
      </c>
      <c r="FA17" s="220">
        <f t="shared" ca="1" si="138"/>
        <v>0</v>
      </c>
      <c r="FB17" s="220">
        <f t="shared" ca="1" si="139"/>
        <v>0</v>
      </c>
      <c r="FC17" s="235">
        <f t="shared" ca="1" si="140"/>
        <v>0</v>
      </c>
      <c r="FD17" s="235">
        <f t="shared" ca="1" si="141"/>
        <v>0</v>
      </c>
      <c r="FE17" s="242">
        <f t="shared" ca="1" si="142"/>
        <v>0</v>
      </c>
      <c r="FF17" s="241">
        <f t="shared" ca="1" si="107"/>
        <v>1</v>
      </c>
      <c r="FG17" s="220">
        <f t="shared" ca="1" si="143"/>
        <v>0</v>
      </c>
      <c r="FH17" s="220">
        <f t="shared" ca="1" si="144"/>
        <v>0</v>
      </c>
      <c r="FI17" s="235">
        <f t="shared" ca="1" si="145"/>
        <v>0</v>
      </c>
      <c r="FJ17" s="235">
        <f t="shared" ca="1" si="146"/>
        <v>0</v>
      </c>
      <c r="FK17" s="242">
        <f t="shared" ca="1" si="147"/>
        <v>0</v>
      </c>
      <c r="FL17" s="241">
        <f t="shared" ca="1" si="107"/>
        <v>1</v>
      </c>
      <c r="FM17" s="220">
        <f t="shared" ca="1" si="148"/>
        <v>0</v>
      </c>
      <c r="FN17" s="220">
        <f t="shared" ca="1" si="149"/>
        <v>0</v>
      </c>
      <c r="FO17" s="235">
        <f t="shared" ca="1" si="150"/>
        <v>0</v>
      </c>
      <c r="FP17" s="235">
        <f t="shared" ca="1" si="151"/>
        <v>0</v>
      </c>
      <c r="FQ17" s="242">
        <f t="shared" ca="1" si="152"/>
        <v>0</v>
      </c>
      <c r="FR17" s="241">
        <f t="shared" ca="1" si="107"/>
        <v>1</v>
      </c>
      <c r="FS17" s="220">
        <f t="shared" ca="1" si="153"/>
        <v>0</v>
      </c>
      <c r="FT17" s="220">
        <f t="shared" ca="1" si="154"/>
        <v>0</v>
      </c>
      <c r="FU17" s="235">
        <f t="shared" ca="1" si="155"/>
        <v>0</v>
      </c>
      <c r="FV17" s="235">
        <f t="shared" ca="1" si="156"/>
        <v>0</v>
      </c>
      <c r="FW17" s="242">
        <f t="shared" ca="1" si="157"/>
        <v>0</v>
      </c>
      <c r="FX17" s="241">
        <f t="shared" ca="1" si="107"/>
        <v>1</v>
      </c>
      <c r="FY17" s="220">
        <f t="shared" ca="1" si="158"/>
        <v>0</v>
      </c>
      <c r="FZ17" s="220">
        <f t="shared" ca="1" si="159"/>
        <v>0</v>
      </c>
      <c r="GA17" s="235">
        <f t="shared" ca="1" si="160"/>
        <v>0</v>
      </c>
      <c r="GB17" s="235">
        <f t="shared" ca="1" si="161"/>
        <v>0</v>
      </c>
      <c r="GC17" s="242">
        <f t="shared" ca="1" si="162"/>
        <v>0</v>
      </c>
      <c r="GD17" s="241">
        <f t="shared" ca="1" si="163"/>
        <v>1</v>
      </c>
      <c r="GE17" s="220">
        <f t="shared" ca="1" si="164"/>
        <v>0</v>
      </c>
      <c r="GF17" s="220">
        <f t="shared" ca="1" si="165"/>
        <v>0</v>
      </c>
      <c r="GG17" s="235">
        <f t="shared" ca="1" si="166"/>
        <v>0</v>
      </c>
      <c r="GH17" s="235">
        <f t="shared" ca="1" si="167"/>
        <v>0</v>
      </c>
      <c r="GI17" s="242">
        <f t="shared" ca="1" si="168"/>
        <v>0</v>
      </c>
      <c r="GJ17" s="241">
        <f t="shared" ca="1" si="163"/>
        <v>1</v>
      </c>
      <c r="GK17" s="220">
        <f t="shared" ca="1" si="169"/>
        <v>0</v>
      </c>
      <c r="GL17" s="220">
        <f t="shared" ca="1" si="170"/>
        <v>0</v>
      </c>
      <c r="GM17" s="235">
        <f t="shared" ca="1" si="171"/>
        <v>0</v>
      </c>
      <c r="GN17" s="235">
        <f t="shared" ca="1" si="172"/>
        <v>0</v>
      </c>
      <c r="GO17" s="242">
        <f t="shared" ca="1" si="173"/>
        <v>0</v>
      </c>
      <c r="GP17" s="241">
        <f t="shared" ca="1" si="163"/>
        <v>1</v>
      </c>
      <c r="GQ17" s="220">
        <f t="shared" ca="1" si="174"/>
        <v>0</v>
      </c>
      <c r="GR17" s="220">
        <f t="shared" ca="1" si="175"/>
        <v>0</v>
      </c>
      <c r="GS17" s="235">
        <f t="shared" ca="1" si="176"/>
        <v>0</v>
      </c>
      <c r="GT17" s="235">
        <f t="shared" ca="1" si="177"/>
        <v>0</v>
      </c>
      <c r="GU17" s="242">
        <f t="shared" ca="1" si="178"/>
        <v>0</v>
      </c>
      <c r="GV17" s="241">
        <f t="shared" ca="1" si="163"/>
        <v>1</v>
      </c>
      <c r="GW17" s="220">
        <f t="shared" ca="1" si="179"/>
        <v>0</v>
      </c>
      <c r="GX17" s="220">
        <f t="shared" ca="1" si="180"/>
        <v>0</v>
      </c>
      <c r="GY17" s="235">
        <f t="shared" ca="1" si="181"/>
        <v>0</v>
      </c>
      <c r="GZ17" s="235">
        <f t="shared" ca="1" si="182"/>
        <v>0</v>
      </c>
      <c r="HA17" s="242">
        <f t="shared" ca="1" si="183"/>
        <v>0</v>
      </c>
      <c r="HB17" s="241">
        <f t="shared" ca="1" si="163"/>
        <v>1</v>
      </c>
      <c r="HC17" s="220">
        <f t="shared" ca="1" si="184"/>
        <v>0</v>
      </c>
      <c r="HD17" s="220">
        <f t="shared" ca="1" si="185"/>
        <v>0</v>
      </c>
      <c r="HE17" s="235">
        <f t="shared" ca="1" si="186"/>
        <v>0</v>
      </c>
      <c r="HF17" s="235">
        <f t="shared" ca="1" si="187"/>
        <v>0</v>
      </c>
      <c r="HG17" s="242">
        <f t="shared" ca="1" si="188"/>
        <v>0</v>
      </c>
      <c r="HH17" s="241">
        <f t="shared" ca="1" si="163"/>
        <v>1</v>
      </c>
      <c r="HI17" s="220">
        <f t="shared" ca="1" si="189"/>
        <v>0</v>
      </c>
      <c r="HJ17" s="220">
        <f t="shared" ca="1" si="190"/>
        <v>0</v>
      </c>
      <c r="HK17" s="235">
        <f t="shared" ca="1" si="191"/>
        <v>0</v>
      </c>
      <c r="HL17" s="235">
        <f t="shared" ca="1" si="192"/>
        <v>0</v>
      </c>
      <c r="HM17" s="242">
        <f t="shared" ca="1" si="193"/>
        <v>0</v>
      </c>
      <c r="HN17" s="241">
        <f t="shared" ca="1" si="163"/>
        <v>1</v>
      </c>
      <c r="HO17" s="220">
        <f t="shared" ca="1" si="194"/>
        <v>0</v>
      </c>
      <c r="HP17" s="220">
        <f t="shared" ca="1" si="195"/>
        <v>0</v>
      </c>
      <c r="HQ17" s="235">
        <f t="shared" ca="1" si="196"/>
        <v>0</v>
      </c>
      <c r="HR17" s="235">
        <f t="shared" ca="1" si="197"/>
        <v>0</v>
      </c>
      <c r="HS17" s="242">
        <f t="shared" ca="1" si="198"/>
        <v>0</v>
      </c>
      <c r="HT17" s="241">
        <f t="shared" ca="1" si="163"/>
        <v>1</v>
      </c>
      <c r="HU17" s="220">
        <f t="shared" ca="1" si="199"/>
        <v>0</v>
      </c>
      <c r="HV17" s="220">
        <f t="shared" ca="1" si="200"/>
        <v>0</v>
      </c>
      <c r="HW17" s="235">
        <f t="shared" ca="1" si="201"/>
        <v>0</v>
      </c>
      <c r="HX17" s="235">
        <f t="shared" ca="1" si="202"/>
        <v>0</v>
      </c>
      <c r="HY17" s="242">
        <f t="shared" ca="1" si="203"/>
        <v>0</v>
      </c>
      <c r="HZ17" s="241">
        <f t="shared" ca="1" si="163"/>
        <v>1</v>
      </c>
      <c r="IA17" s="220">
        <f t="shared" ca="1" si="204"/>
        <v>0</v>
      </c>
      <c r="IB17" s="220">
        <f t="shared" ca="1" si="205"/>
        <v>0</v>
      </c>
      <c r="IC17" s="235">
        <f t="shared" ca="1" si="206"/>
        <v>0</v>
      </c>
      <c r="ID17" s="235">
        <f t="shared" ca="1" si="207"/>
        <v>0</v>
      </c>
      <c r="IE17" s="242">
        <f t="shared" ca="1" si="208"/>
        <v>0</v>
      </c>
      <c r="IF17" s="241">
        <f t="shared" ca="1" si="163"/>
        <v>1</v>
      </c>
      <c r="IG17" s="220">
        <f t="shared" ca="1" si="209"/>
        <v>0</v>
      </c>
      <c r="IH17" s="220">
        <f t="shared" ca="1" si="210"/>
        <v>0</v>
      </c>
      <c r="II17" s="235">
        <f t="shared" ca="1" si="211"/>
        <v>0</v>
      </c>
      <c r="IJ17" s="235">
        <f t="shared" ca="1" si="212"/>
        <v>0</v>
      </c>
      <c r="IK17" s="242">
        <f t="shared" ca="1" si="213"/>
        <v>0</v>
      </c>
      <c r="IL17" s="241">
        <f t="shared" ca="1" si="163"/>
        <v>1</v>
      </c>
      <c r="IM17" s="220">
        <f t="shared" ca="1" si="214"/>
        <v>0</v>
      </c>
      <c r="IN17" s="220">
        <f t="shared" ca="1" si="215"/>
        <v>0</v>
      </c>
      <c r="IO17" s="235">
        <f t="shared" ca="1" si="216"/>
        <v>0</v>
      </c>
      <c r="IP17" s="235">
        <f t="shared" ca="1" si="217"/>
        <v>0</v>
      </c>
      <c r="IQ17" s="242">
        <f t="shared" ca="1" si="218"/>
        <v>0</v>
      </c>
      <c r="IR17" s="241">
        <f t="shared" ca="1" si="219"/>
        <v>1</v>
      </c>
      <c r="IS17" s="220">
        <f t="shared" ca="1" si="220"/>
        <v>0</v>
      </c>
      <c r="IT17" s="220">
        <f t="shared" ca="1" si="221"/>
        <v>0</v>
      </c>
      <c r="IU17" s="235">
        <f t="shared" ca="1" si="222"/>
        <v>0</v>
      </c>
      <c r="IV17" s="235">
        <f t="shared" ca="1" si="223"/>
        <v>0</v>
      </c>
      <c r="IW17" s="242">
        <f t="shared" ca="1" si="224"/>
        <v>0</v>
      </c>
      <c r="IX17" s="241">
        <f t="shared" ca="1" si="219"/>
        <v>1</v>
      </c>
      <c r="IY17" s="220">
        <f t="shared" ca="1" si="225"/>
        <v>0</v>
      </c>
      <c r="IZ17" s="220">
        <f t="shared" ca="1" si="226"/>
        <v>0</v>
      </c>
      <c r="JA17" s="235">
        <f t="shared" ca="1" si="227"/>
        <v>0</v>
      </c>
      <c r="JB17" s="235">
        <f t="shared" ca="1" si="228"/>
        <v>0</v>
      </c>
      <c r="JC17" s="242">
        <f t="shared" ca="1" si="229"/>
        <v>0</v>
      </c>
      <c r="JD17" s="241">
        <f t="shared" ca="1" si="219"/>
        <v>1</v>
      </c>
      <c r="JE17" s="220">
        <f t="shared" ca="1" si="230"/>
        <v>0</v>
      </c>
      <c r="JF17" s="220">
        <f t="shared" ca="1" si="231"/>
        <v>0</v>
      </c>
      <c r="JG17" s="235">
        <f t="shared" ca="1" si="232"/>
        <v>0</v>
      </c>
      <c r="JH17" s="235">
        <f t="shared" ca="1" si="233"/>
        <v>0</v>
      </c>
      <c r="JI17" s="242">
        <f t="shared" ca="1" si="234"/>
        <v>0</v>
      </c>
      <c r="JJ17" s="241">
        <f t="shared" ca="1" si="219"/>
        <v>1</v>
      </c>
      <c r="JK17" s="220">
        <f t="shared" ca="1" si="235"/>
        <v>0</v>
      </c>
      <c r="JL17" s="220">
        <f t="shared" ca="1" si="236"/>
        <v>0</v>
      </c>
      <c r="JM17" s="235">
        <f t="shared" ca="1" si="237"/>
        <v>0</v>
      </c>
      <c r="JN17" s="235">
        <f t="shared" ca="1" si="238"/>
        <v>0</v>
      </c>
      <c r="JO17" s="242">
        <f t="shared" ca="1" si="239"/>
        <v>0</v>
      </c>
      <c r="JP17" s="241">
        <f t="shared" ca="1" si="219"/>
        <v>1</v>
      </c>
      <c r="JQ17" s="220">
        <f t="shared" ca="1" si="240"/>
        <v>0</v>
      </c>
      <c r="JR17" s="220">
        <f t="shared" ca="1" si="241"/>
        <v>0</v>
      </c>
      <c r="JS17" s="235">
        <f t="shared" ca="1" si="242"/>
        <v>0</v>
      </c>
      <c r="JT17" s="235">
        <f t="shared" ca="1" si="243"/>
        <v>0</v>
      </c>
      <c r="JU17" s="242">
        <f t="shared" ca="1" si="244"/>
        <v>0</v>
      </c>
      <c r="JV17" s="241">
        <f t="shared" ca="1" si="219"/>
        <v>1</v>
      </c>
      <c r="JW17" s="220">
        <f t="shared" ca="1" si="245"/>
        <v>0</v>
      </c>
      <c r="JX17" s="220">
        <f t="shared" ca="1" si="246"/>
        <v>0</v>
      </c>
      <c r="JY17" s="235">
        <f t="shared" ca="1" si="247"/>
        <v>0</v>
      </c>
      <c r="JZ17" s="235">
        <f t="shared" ca="1" si="248"/>
        <v>0</v>
      </c>
      <c r="KA17" s="242">
        <f t="shared" ca="1" si="249"/>
        <v>0</v>
      </c>
      <c r="KB17" s="241">
        <f t="shared" ca="1" si="219"/>
        <v>1</v>
      </c>
      <c r="KC17" s="220">
        <f t="shared" ca="1" si="250"/>
        <v>0</v>
      </c>
      <c r="KD17" s="220">
        <f t="shared" ca="1" si="251"/>
        <v>0</v>
      </c>
      <c r="KE17" s="235">
        <f t="shared" ca="1" si="252"/>
        <v>0</v>
      </c>
      <c r="KF17" s="235">
        <f t="shared" ca="1" si="253"/>
        <v>0</v>
      </c>
      <c r="KG17" s="242">
        <f t="shared" ca="1" si="254"/>
        <v>0</v>
      </c>
      <c r="KH17" s="241">
        <f t="shared" ca="1" si="219"/>
        <v>1</v>
      </c>
      <c r="KI17" s="220">
        <f t="shared" ca="1" si="255"/>
        <v>0</v>
      </c>
      <c r="KJ17" s="220">
        <f t="shared" ca="1" si="256"/>
        <v>0</v>
      </c>
      <c r="KK17" s="235">
        <f t="shared" ca="1" si="257"/>
        <v>0</v>
      </c>
      <c r="KL17" s="235">
        <f t="shared" ca="1" si="258"/>
        <v>0</v>
      </c>
      <c r="KM17" s="242">
        <f t="shared" ca="1" si="259"/>
        <v>0</v>
      </c>
      <c r="KN17" s="241">
        <f t="shared" ca="1" si="219"/>
        <v>1</v>
      </c>
      <c r="KO17" s="220">
        <f t="shared" ca="1" si="260"/>
        <v>0</v>
      </c>
      <c r="KP17" s="220">
        <f t="shared" ca="1" si="261"/>
        <v>0</v>
      </c>
      <c r="KQ17" s="235">
        <f t="shared" ca="1" si="262"/>
        <v>0</v>
      </c>
      <c r="KR17" s="235">
        <f t="shared" ca="1" si="263"/>
        <v>0</v>
      </c>
      <c r="KS17" s="242">
        <f t="shared" ca="1" si="264"/>
        <v>0</v>
      </c>
      <c r="KT17" s="241">
        <f t="shared" ca="1" si="219"/>
        <v>1</v>
      </c>
      <c r="KU17" s="220">
        <f t="shared" ca="1" si="265"/>
        <v>0</v>
      </c>
      <c r="KV17" s="220">
        <f t="shared" ca="1" si="266"/>
        <v>0</v>
      </c>
      <c r="KW17" s="235">
        <f t="shared" ca="1" si="267"/>
        <v>0</v>
      </c>
      <c r="KX17" s="235">
        <f t="shared" ca="1" si="268"/>
        <v>0</v>
      </c>
      <c r="KY17" s="242">
        <f t="shared" ca="1" si="269"/>
        <v>0</v>
      </c>
      <c r="KZ17" s="241">
        <f t="shared" ca="1" si="219"/>
        <v>1</v>
      </c>
      <c r="LA17" s="220">
        <f t="shared" ca="1" si="270"/>
        <v>0</v>
      </c>
      <c r="LB17" s="220">
        <f t="shared" ca="1" si="271"/>
        <v>0</v>
      </c>
      <c r="LC17" s="235">
        <f t="shared" ca="1" si="272"/>
        <v>0</v>
      </c>
      <c r="LD17" s="235">
        <f t="shared" ca="1" si="273"/>
        <v>0</v>
      </c>
      <c r="LE17" s="242">
        <f t="shared" ca="1" si="274"/>
        <v>0</v>
      </c>
      <c r="LF17" s="241">
        <f t="shared" ca="1" si="275"/>
        <v>1</v>
      </c>
      <c r="LG17" s="220">
        <f t="shared" ca="1" si="276"/>
        <v>0</v>
      </c>
      <c r="LH17" s="220">
        <f t="shared" ca="1" si="277"/>
        <v>0</v>
      </c>
      <c r="LI17" s="235">
        <f t="shared" ca="1" si="278"/>
        <v>0</v>
      </c>
      <c r="LJ17" s="235">
        <f t="shared" ca="1" si="279"/>
        <v>0</v>
      </c>
      <c r="LK17" s="242">
        <f t="shared" ca="1" si="280"/>
        <v>0</v>
      </c>
      <c r="LL17" s="241">
        <f t="shared" ca="1" si="275"/>
        <v>1</v>
      </c>
      <c r="LM17" s="220">
        <f t="shared" ca="1" si="281"/>
        <v>0</v>
      </c>
      <c r="LN17" s="220">
        <f t="shared" ca="1" si="282"/>
        <v>0</v>
      </c>
      <c r="LO17" s="235">
        <f t="shared" ca="1" si="283"/>
        <v>0</v>
      </c>
      <c r="LP17" s="235">
        <f t="shared" ca="1" si="284"/>
        <v>0</v>
      </c>
      <c r="LQ17" s="242">
        <f t="shared" ca="1" si="285"/>
        <v>0</v>
      </c>
      <c r="LR17" s="241">
        <f t="shared" ca="1" si="275"/>
        <v>1</v>
      </c>
      <c r="LS17" s="220">
        <f t="shared" ca="1" si="286"/>
        <v>0</v>
      </c>
      <c r="LT17" s="220">
        <f t="shared" ca="1" si="287"/>
        <v>0</v>
      </c>
      <c r="LU17" s="235">
        <f t="shared" ca="1" si="288"/>
        <v>0</v>
      </c>
      <c r="LV17" s="235">
        <f t="shared" ca="1" si="289"/>
        <v>0</v>
      </c>
      <c r="LW17" s="242">
        <f t="shared" ca="1" si="290"/>
        <v>0</v>
      </c>
      <c r="LX17" s="241">
        <f t="shared" ca="1" si="275"/>
        <v>1</v>
      </c>
      <c r="LY17" s="220">
        <f t="shared" ca="1" si="291"/>
        <v>0</v>
      </c>
      <c r="LZ17" s="220">
        <f t="shared" ca="1" si="292"/>
        <v>0</v>
      </c>
      <c r="MA17" s="235">
        <f t="shared" ca="1" si="293"/>
        <v>0</v>
      </c>
      <c r="MB17" s="235">
        <f t="shared" ca="1" si="294"/>
        <v>0</v>
      </c>
      <c r="MC17" s="242">
        <f t="shared" ca="1" si="295"/>
        <v>0</v>
      </c>
      <c r="MD17" s="241">
        <f t="shared" ca="1" si="275"/>
        <v>1</v>
      </c>
      <c r="ME17" s="220">
        <f t="shared" ca="1" si="296"/>
        <v>0</v>
      </c>
      <c r="MF17" s="220">
        <f t="shared" ca="1" si="297"/>
        <v>0</v>
      </c>
      <c r="MG17" s="235">
        <f t="shared" ca="1" si="298"/>
        <v>0</v>
      </c>
      <c r="MH17" s="235">
        <f t="shared" ca="1" si="299"/>
        <v>0</v>
      </c>
      <c r="MI17" s="242">
        <f t="shared" ca="1" si="300"/>
        <v>0</v>
      </c>
      <c r="MJ17" s="241">
        <f t="shared" ca="1" si="275"/>
        <v>1</v>
      </c>
      <c r="MK17" s="220">
        <f t="shared" ca="1" si="301"/>
        <v>0</v>
      </c>
      <c r="ML17" s="220">
        <f t="shared" ca="1" si="302"/>
        <v>0</v>
      </c>
      <c r="MM17" s="235">
        <f t="shared" ca="1" si="303"/>
        <v>0</v>
      </c>
      <c r="MN17" s="235">
        <f t="shared" ca="1" si="304"/>
        <v>0</v>
      </c>
      <c r="MO17" s="242">
        <f t="shared" ca="1" si="305"/>
        <v>0</v>
      </c>
      <c r="MP17" s="241">
        <f t="shared" ca="1" si="275"/>
        <v>1</v>
      </c>
      <c r="MQ17" s="220">
        <f t="shared" ca="1" si="306"/>
        <v>0</v>
      </c>
      <c r="MR17" s="220">
        <f t="shared" ca="1" si="307"/>
        <v>0</v>
      </c>
      <c r="MS17" s="235">
        <f t="shared" ca="1" si="308"/>
        <v>0</v>
      </c>
      <c r="MT17" s="235">
        <f t="shared" ca="1" si="309"/>
        <v>0</v>
      </c>
      <c r="MU17" s="242">
        <f t="shared" ca="1" si="310"/>
        <v>0</v>
      </c>
      <c r="MV17" s="241">
        <f t="shared" ca="1" si="275"/>
        <v>1</v>
      </c>
      <c r="MW17" s="220">
        <f t="shared" ca="1" si="311"/>
        <v>0</v>
      </c>
      <c r="MX17" s="220">
        <f t="shared" ca="1" si="312"/>
        <v>0</v>
      </c>
      <c r="MY17" s="235">
        <f t="shared" ca="1" si="313"/>
        <v>0</v>
      </c>
      <c r="MZ17" s="235">
        <f t="shared" ca="1" si="314"/>
        <v>0</v>
      </c>
      <c r="NA17" s="242">
        <f t="shared" ca="1" si="315"/>
        <v>0</v>
      </c>
      <c r="NB17" s="241">
        <f t="shared" ca="1" si="275"/>
        <v>1</v>
      </c>
      <c r="NC17" s="220">
        <f t="shared" ca="1" si="316"/>
        <v>0</v>
      </c>
      <c r="ND17" s="220">
        <f t="shared" ca="1" si="317"/>
        <v>0</v>
      </c>
      <c r="NE17" s="235">
        <f t="shared" ca="1" si="318"/>
        <v>0</v>
      </c>
      <c r="NF17" s="235">
        <f t="shared" ca="1" si="319"/>
        <v>0</v>
      </c>
      <c r="NG17" s="242">
        <f t="shared" ca="1" si="320"/>
        <v>0</v>
      </c>
      <c r="NH17" s="241">
        <f t="shared" ca="1" si="275"/>
        <v>1</v>
      </c>
      <c r="NI17" s="220">
        <f t="shared" ca="1" si="321"/>
        <v>0</v>
      </c>
      <c r="NJ17" s="220">
        <f t="shared" ca="1" si="322"/>
        <v>0</v>
      </c>
      <c r="NK17" s="235">
        <f t="shared" ca="1" si="323"/>
        <v>0</v>
      </c>
      <c r="NL17" s="235">
        <f t="shared" ca="1" si="324"/>
        <v>0</v>
      </c>
      <c r="NM17" s="242">
        <f t="shared" ca="1" si="325"/>
        <v>0</v>
      </c>
      <c r="NN17" s="241">
        <f t="shared" ca="1" si="275"/>
        <v>1</v>
      </c>
      <c r="NO17" s="220">
        <f t="shared" ca="1" si="326"/>
        <v>0</v>
      </c>
      <c r="NP17" s="220">
        <f t="shared" ca="1" si="327"/>
        <v>0</v>
      </c>
      <c r="NQ17" s="235">
        <f t="shared" ca="1" si="328"/>
        <v>0</v>
      </c>
      <c r="NR17" s="235">
        <f t="shared" ca="1" si="329"/>
        <v>0</v>
      </c>
      <c r="NS17" s="242">
        <f t="shared" ca="1" si="330"/>
        <v>0</v>
      </c>
      <c r="NT17" s="241">
        <f t="shared" ca="1" si="331"/>
        <v>1</v>
      </c>
      <c r="NU17" s="220">
        <f t="shared" ca="1" si="332"/>
        <v>0</v>
      </c>
      <c r="NV17" s="220">
        <f t="shared" ca="1" si="333"/>
        <v>0</v>
      </c>
      <c r="NW17" s="235">
        <f t="shared" ca="1" si="334"/>
        <v>0</v>
      </c>
      <c r="NX17" s="235">
        <f t="shared" ca="1" si="335"/>
        <v>0</v>
      </c>
      <c r="NY17" s="242">
        <f t="shared" ca="1" si="336"/>
        <v>0</v>
      </c>
      <c r="NZ17" s="241">
        <f t="shared" ca="1" si="331"/>
        <v>1</v>
      </c>
      <c r="OA17" s="220">
        <f t="shared" ca="1" si="337"/>
        <v>0</v>
      </c>
      <c r="OB17" s="220">
        <f t="shared" ca="1" si="338"/>
        <v>0</v>
      </c>
      <c r="OC17" s="235">
        <f t="shared" ca="1" si="339"/>
        <v>0</v>
      </c>
      <c r="OD17" s="235">
        <f t="shared" ca="1" si="340"/>
        <v>0</v>
      </c>
      <c r="OE17" s="242">
        <f t="shared" ca="1" si="341"/>
        <v>0</v>
      </c>
      <c r="OF17" s="241">
        <f t="shared" ca="1" si="331"/>
        <v>1</v>
      </c>
      <c r="OG17" s="220">
        <f t="shared" ca="1" si="342"/>
        <v>0</v>
      </c>
      <c r="OH17" s="220">
        <f t="shared" ca="1" si="343"/>
        <v>0</v>
      </c>
      <c r="OI17" s="235">
        <f t="shared" ca="1" si="344"/>
        <v>0</v>
      </c>
      <c r="OJ17" s="235">
        <f t="shared" ca="1" si="345"/>
        <v>0</v>
      </c>
      <c r="OK17" s="242">
        <f t="shared" ca="1" si="346"/>
        <v>0</v>
      </c>
      <c r="OL17" s="241">
        <f t="shared" ca="1" si="331"/>
        <v>1</v>
      </c>
      <c r="OM17" s="220">
        <f t="shared" ca="1" si="347"/>
        <v>0</v>
      </c>
      <c r="ON17" s="220">
        <f t="shared" ca="1" si="348"/>
        <v>0</v>
      </c>
      <c r="OO17" s="235">
        <f t="shared" ca="1" si="349"/>
        <v>0</v>
      </c>
      <c r="OP17" s="235">
        <f t="shared" ca="1" si="350"/>
        <v>0</v>
      </c>
      <c r="OQ17" s="242">
        <f t="shared" ca="1" si="351"/>
        <v>0</v>
      </c>
      <c r="OR17" s="241">
        <f t="shared" ca="1" si="331"/>
        <v>1</v>
      </c>
      <c r="OS17" s="220">
        <f t="shared" ca="1" si="352"/>
        <v>0</v>
      </c>
      <c r="OT17" s="220">
        <f t="shared" ca="1" si="353"/>
        <v>0</v>
      </c>
      <c r="OU17" s="235">
        <f t="shared" ca="1" si="354"/>
        <v>0</v>
      </c>
      <c r="OV17" s="235">
        <f t="shared" ca="1" si="355"/>
        <v>0</v>
      </c>
      <c r="OW17" s="242">
        <f t="shared" ca="1" si="356"/>
        <v>0</v>
      </c>
      <c r="OX17" s="241">
        <f t="shared" ca="1" si="331"/>
        <v>1</v>
      </c>
      <c r="OY17" s="220">
        <f t="shared" ca="1" si="357"/>
        <v>0</v>
      </c>
      <c r="OZ17" s="220">
        <f t="shared" ca="1" si="358"/>
        <v>0</v>
      </c>
      <c r="PA17" s="235">
        <f t="shared" ca="1" si="359"/>
        <v>0</v>
      </c>
      <c r="PB17" s="235">
        <f t="shared" ca="1" si="360"/>
        <v>0</v>
      </c>
      <c r="PC17" s="242">
        <f t="shared" ca="1" si="361"/>
        <v>0</v>
      </c>
      <c r="PD17" s="241">
        <f t="shared" ca="1" si="331"/>
        <v>1</v>
      </c>
      <c r="PE17" s="220">
        <f t="shared" ca="1" si="362"/>
        <v>0</v>
      </c>
      <c r="PF17" s="220">
        <f t="shared" ca="1" si="363"/>
        <v>0</v>
      </c>
      <c r="PG17" s="235">
        <f t="shared" ca="1" si="364"/>
        <v>0</v>
      </c>
      <c r="PH17" s="235">
        <f t="shared" ca="1" si="365"/>
        <v>0</v>
      </c>
      <c r="PI17" s="242">
        <f t="shared" ca="1" si="366"/>
        <v>0</v>
      </c>
      <c r="PJ17" s="241">
        <f t="shared" ca="1" si="331"/>
        <v>1</v>
      </c>
      <c r="PK17" s="220">
        <f t="shared" ca="1" si="367"/>
        <v>0</v>
      </c>
      <c r="PL17" s="220">
        <f t="shared" ca="1" si="368"/>
        <v>0</v>
      </c>
      <c r="PM17" s="235">
        <f t="shared" ca="1" si="369"/>
        <v>0</v>
      </c>
      <c r="PN17" s="235">
        <f t="shared" ca="1" si="370"/>
        <v>0</v>
      </c>
      <c r="PO17" s="242">
        <f t="shared" ca="1" si="371"/>
        <v>0</v>
      </c>
      <c r="PP17" s="241">
        <f t="shared" ca="1" si="331"/>
        <v>1</v>
      </c>
      <c r="PQ17" s="220">
        <f t="shared" ca="1" si="372"/>
        <v>0</v>
      </c>
      <c r="PR17" s="220">
        <f t="shared" ca="1" si="373"/>
        <v>0</v>
      </c>
      <c r="PS17" s="235">
        <f t="shared" ca="1" si="374"/>
        <v>0</v>
      </c>
      <c r="PT17" s="235">
        <f t="shared" ca="1" si="375"/>
        <v>0</v>
      </c>
      <c r="PU17" s="242">
        <f t="shared" ca="1" si="376"/>
        <v>0</v>
      </c>
      <c r="PV17" s="241">
        <f t="shared" ca="1" si="331"/>
        <v>1</v>
      </c>
      <c r="PW17" s="220">
        <f t="shared" ca="1" si="377"/>
        <v>0</v>
      </c>
      <c r="PX17" s="220">
        <f t="shared" ca="1" si="378"/>
        <v>0</v>
      </c>
      <c r="PY17" s="235">
        <f t="shared" ca="1" si="379"/>
        <v>0</v>
      </c>
      <c r="PZ17" s="235">
        <f t="shared" ca="1" si="380"/>
        <v>0</v>
      </c>
      <c r="QA17" s="242">
        <f t="shared" ca="1" si="381"/>
        <v>0</v>
      </c>
      <c r="QB17" s="241">
        <f t="shared" ca="1" si="331"/>
        <v>1</v>
      </c>
      <c r="QC17" s="220">
        <f t="shared" ca="1" si="382"/>
        <v>0</v>
      </c>
      <c r="QD17" s="220">
        <f t="shared" ca="1" si="383"/>
        <v>0</v>
      </c>
      <c r="QE17" s="235">
        <f t="shared" ca="1" si="384"/>
        <v>0</v>
      </c>
      <c r="QF17" s="235">
        <f t="shared" ca="1" si="385"/>
        <v>0</v>
      </c>
      <c r="QG17" s="242">
        <f t="shared" ca="1" si="386"/>
        <v>0</v>
      </c>
      <c r="QH17" s="241">
        <f t="shared" ca="1" si="387"/>
        <v>1</v>
      </c>
      <c r="QI17" s="220">
        <f t="shared" ca="1" si="388"/>
        <v>0</v>
      </c>
      <c r="QJ17" s="220">
        <f t="shared" ca="1" si="389"/>
        <v>0</v>
      </c>
      <c r="QK17" s="235">
        <f t="shared" ca="1" si="390"/>
        <v>0</v>
      </c>
      <c r="QL17" s="235">
        <f t="shared" ca="1" si="391"/>
        <v>0</v>
      </c>
      <c r="QM17" s="242">
        <f t="shared" ca="1" si="392"/>
        <v>0</v>
      </c>
      <c r="QN17" s="241">
        <f t="shared" ca="1" si="387"/>
        <v>1</v>
      </c>
      <c r="QO17" s="220">
        <f t="shared" ca="1" si="393"/>
        <v>0</v>
      </c>
      <c r="QP17" s="220">
        <f t="shared" ca="1" si="394"/>
        <v>0</v>
      </c>
      <c r="QQ17" s="235">
        <f t="shared" ca="1" si="395"/>
        <v>0</v>
      </c>
      <c r="QR17" s="235">
        <f t="shared" ca="1" si="396"/>
        <v>0</v>
      </c>
      <c r="QS17" s="242">
        <f t="shared" ca="1" si="397"/>
        <v>0</v>
      </c>
      <c r="QT17" s="241">
        <f t="shared" ca="1" si="387"/>
        <v>1</v>
      </c>
      <c r="QU17" s="220">
        <f t="shared" ca="1" si="398"/>
        <v>0</v>
      </c>
      <c r="QV17" s="220">
        <f t="shared" ca="1" si="399"/>
        <v>0</v>
      </c>
      <c r="QW17" s="235">
        <f t="shared" ca="1" si="400"/>
        <v>0</v>
      </c>
      <c r="QX17" s="235">
        <f t="shared" ca="1" si="401"/>
        <v>0</v>
      </c>
      <c r="QY17" s="242">
        <f t="shared" ca="1" si="402"/>
        <v>0</v>
      </c>
      <c r="QZ17" s="241">
        <f t="shared" ca="1" si="387"/>
        <v>1</v>
      </c>
      <c r="RA17" s="220">
        <f t="shared" ca="1" si="403"/>
        <v>0</v>
      </c>
      <c r="RB17" s="220">
        <f t="shared" ca="1" si="404"/>
        <v>0</v>
      </c>
      <c r="RC17" s="235">
        <f t="shared" ca="1" si="405"/>
        <v>0</v>
      </c>
      <c r="RD17" s="235">
        <f t="shared" ca="1" si="406"/>
        <v>0</v>
      </c>
      <c r="RE17" s="242">
        <f t="shared" ca="1" si="407"/>
        <v>0</v>
      </c>
      <c r="RF17" s="241">
        <f t="shared" ca="1" si="387"/>
        <v>1</v>
      </c>
      <c r="RG17" s="220">
        <f t="shared" ca="1" si="408"/>
        <v>0</v>
      </c>
      <c r="RH17" s="220">
        <f t="shared" ca="1" si="409"/>
        <v>0</v>
      </c>
      <c r="RI17" s="235">
        <f t="shared" ca="1" si="410"/>
        <v>0</v>
      </c>
      <c r="RJ17" s="235">
        <f t="shared" ca="1" si="411"/>
        <v>0</v>
      </c>
      <c r="RK17" s="242">
        <f t="shared" ca="1" si="412"/>
        <v>0</v>
      </c>
      <c r="RL17" s="241">
        <f t="shared" ca="1" si="387"/>
        <v>1</v>
      </c>
      <c r="RM17" s="220">
        <f t="shared" ca="1" si="413"/>
        <v>0</v>
      </c>
      <c r="RN17" s="220">
        <f t="shared" ca="1" si="414"/>
        <v>0</v>
      </c>
      <c r="RO17" s="235">
        <f t="shared" ca="1" si="415"/>
        <v>0</v>
      </c>
      <c r="RP17" s="235">
        <f t="shared" ca="1" si="416"/>
        <v>0</v>
      </c>
      <c r="RQ17" s="242">
        <f t="shared" ca="1" si="417"/>
        <v>0</v>
      </c>
      <c r="RR17" s="241">
        <f t="shared" ca="1" si="387"/>
        <v>1</v>
      </c>
      <c r="RS17" s="220">
        <f t="shared" ca="1" si="418"/>
        <v>0</v>
      </c>
      <c r="RT17" s="220">
        <f t="shared" ca="1" si="419"/>
        <v>0</v>
      </c>
      <c r="RU17" s="235">
        <f t="shared" ca="1" si="420"/>
        <v>0</v>
      </c>
      <c r="RV17" s="235">
        <f t="shared" ca="1" si="421"/>
        <v>0</v>
      </c>
      <c r="RW17" s="242">
        <f t="shared" ca="1" si="422"/>
        <v>0</v>
      </c>
      <c r="RX17" s="241">
        <f t="shared" ca="1" si="387"/>
        <v>1</v>
      </c>
      <c r="RY17" s="220">
        <f t="shared" ca="1" si="423"/>
        <v>0</v>
      </c>
      <c r="RZ17" s="220">
        <f t="shared" ca="1" si="424"/>
        <v>0</v>
      </c>
      <c r="SA17" s="235">
        <f t="shared" ca="1" si="425"/>
        <v>0</v>
      </c>
      <c r="SB17" s="235">
        <f t="shared" ca="1" si="426"/>
        <v>0</v>
      </c>
      <c r="SC17" s="242">
        <f t="shared" ca="1" si="427"/>
        <v>0</v>
      </c>
      <c r="SD17" s="241">
        <f t="shared" ca="1" si="387"/>
        <v>1</v>
      </c>
      <c r="SE17" s="220">
        <f t="shared" ca="1" si="428"/>
        <v>0</v>
      </c>
      <c r="SF17" s="220">
        <f t="shared" ca="1" si="429"/>
        <v>0</v>
      </c>
      <c r="SG17" s="235">
        <f t="shared" ca="1" si="430"/>
        <v>0</v>
      </c>
      <c r="SH17" s="235">
        <f t="shared" ca="1" si="431"/>
        <v>0</v>
      </c>
      <c r="SI17" s="242">
        <f t="shared" ca="1" si="432"/>
        <v>0</v>
      </c>
      <c r="SJ17" s="241">
        <f t="shared" ca="1" si="387"/>
        <v>1</v>
      </c>
      <c r="SK17" s="220">
        <f t="shared" ca="1" si="433"/>
        <v>0</v>
      </c>
      <c r="SL17" s="220">
        <f t="shared" ca="1" si="434"/>
        <v>0</v>
      </c>
      <c r="SM17" s="235">
        <f t="shared" ca="1" si="435"/>
        <v>0</v>
      </c>
      <c r="SN17" s="235">
        <f t="shared" ca="1" si="436"/>
        <v>0</v>
      </c>
      <c r="SO17" s="242">
        <f t="shared" ca="1" si="437"/>
        <v>0</v>
      </c>
      <c r="SP17" s="241">
        <f t="shared" ca="1" si="387"/>
        <v>1</v>
      </c>
      <c r="SQ17" s="220">
        <f t="shared" ca="1" si="438"/>
        <v>0</v>
      </c>
      <c r="SR17" s="220">
        <f t="shared" ca="1" si="439"/>
        <v>0</v>
      </c>
      <c r="SS17" s="235">
        <f t="shared" ca="1" si="440"/>
        <v>0</v>
      </c>
      <c r="ST17" s="235">
        <f t="shared" ca="1" si="441"/>
        <v>0</v>
      </c>
      <c r="SU17" s="242">
        <f t="shared" ca="1" si="442"/>
        <v>0</v>
      </c>
      <c r="SV17" s="241">
        <f t="shared" ca="1" si="443"/>
        <v>1</v>
      </c>
      <c r="SW17" s="220">
        <f t="shared" ca="1" si="444"/>
        <v>0</v>
      </c>
      <c r="SX17" s="220">
        <f t="shared" ca="1" si="445"/>
        <v>0</v>
      </c>
      <c r="SY17" s="235">
        <f t="shared" ca="1" si="446"/>
        <v>0</v>
      </c>
      <c r="SZ17" s="235">
        <f t="shared" ca="1" si="447"/>
        <v>0</v>
      </c>
      <c r="TA17" s="242">
        <f t="shared" ca="1" si="448"/>
        <v>0</v>
      </c>
      <c r="TB17" s="241">
        <f t="shared" ca="1" si="443"/>
        <v>1</v>
      </c>
      <c r="TC17" s="220">
        <f t="shared" ca="1" si="449"/>
        <v>0</v>
      </c>
      <c r="TD17" s="220">
        <f t="shared" ca="1" si="450"/>
        <v>0</v>
      </c>
      <c r="TE17" s="235">
        <f t="shared" ca="1" si="451"/>
        <v>0</v>
      </c>
      <c r="TF17" s="235">
        <f t="shared" ca="1" si="452"/>
        <v>0</v>
      </c>
      <c r="TG17" s="242">
        <f t="shared" ca="1" si="453"/>
        <v>0</v>
      </c>
      <c r="TH17" s="241">
        <f t="shared" ca="1" si="443"/>
        <v>1</v>
      </c>
      <c r="TI17" s="220">
        <f t="shared" ca="1" si="454"/>
        <v>0</v>
      </c>
      <c r="TJ17" s="220">
        <f t="shared" ca="1" si="455"/>
        <v>0</v>
      </c>
      <c r="TK17" s="235">
        <f t="shared" ca="1" si="456"/>
        <v>0</v>
      </c>
      <c r="TL17" s="235">
        <f t="shared" ca="1" si="457"/>
        <v>0</v>
      </c>
      <c r="TM17" s="242">
        <f t="shared" ca="1" si="458"/>
        <v>0</v>
      </c>
      <c r="TN17" s="241">
        <f t="shared" ca="1" si="443"/>
        <v>1</v>
      </c>
      <c r="TO17" s="220">
        <f t="shared" ca="1" si="459"/>
        <v>0</v>
      </c>
      <c r="TP17" s="220">
        <f t="shared" ca="1" si="460"/>
        <v>0</v>
      </c>
      <c r="TQ17" s="235">
        <f t="shared" ca="1" si="461"/>
        <v>0</v>
      </c>
      <c r="TR17" s="235">
        <f t="shared" ca="1" si="462"/>
        <v>0</v>
      </c>
      <c r="TS17" s="242">
        <f t="shared" ca="1" si="463"/>
        <v>0</v>
      </c>
      <c r="TT17" s="241">
        <f t="shared" ca="1" si="443"/>
        <v>1</v>
      </c>
      <c r="TU17" s="220">
        <f t="shared" ca="1" si="464"/>
        <v>0</v>
      </c>
      <c r="TV17" s="220">
        <f t="shared" ca="1" si="465"/>
        <v>0</v>
      </c>
      <c r="TW17" s="235">
        <f t="shared" ca="1" si="466"/>
        <v>0</v>
      </c>
      <c r="TX17" s="235">
        <f t="shared" ca="1" si="467"/>
        <v>0</v>
      </c>
      <c r="TY17" s="242">
        <f t="shared" ca="1" si="468"/>
        <v>0</v>
      </c>
      <c r="TZ17" s="241">
        <f t="shared" ca="1" si="443"/>
        <v>1</v>
      </c>
      <c r="UA17" s="220">
        <f t="shared" ca="1" si="469"/>
        <v>0</v>
      </c>
      <c r="UB17" s="220">
        <f t="shared" ca="1" si="470"/>
        <v>0</v>
      </c>
      <c r="UC17" s="235">
        <f t="shared" ca="1" si="471"/>
        <v>0</v>
      </c>
      <c r="UD17" s="235">
        <f t="shared" ca="1" si="472"/>
        <v>0</v>
      </c>
      <c r="UE17" s="242">
        <f t="shared" ca="1" si="473"/>
        <v>0</v>
      </c>
      <c r="UF17" s="241">
        <f t="shared" ca="1" si="443"/>
        <v>1</v>
      </c>
      <c r="UG17" s="220">
        <f t="shared" ca="1" si="474"/>
        <v>0</v>
      </c>
      <c r="UH17" s="220">
        <f t="shared" ca="1" si="475"/>
        <v>0</v>
      </c>
      <c r="UI17" s="235">
        <f t="shared" ca="1" si="476"/>
        <v>0</v>
      </c>
      <c r="UJ17" s="235">
        <f t="shared" ca="1" si="477"/>
        <v>0</v>
      </c>
      <c r="UK17" s="242">
        <f t="shared" ca="1" si="478"/>
        <v>0</v>
      </c>
      <c r="UL17" s="241">
        <f t="shared" ca="1" si="443"/>
        <v>1</v>
      </c>
      <c r="UM17" s="220">
        <f t="shared" ca="1" si="479"/>
        <v>0</v>
      </c>
      <c r="UN17" s="220">
        <f t="shared" ca="1" si="480"/>
        <v>0</v>
      </c>
      <c r="UO17" s="235">
        <f t="shared" ca="1" si="481"/>
        <v>0</v>
      </c>
      <c r="UP17" s="235">
        <f t="shared" ca="1" si="482"/>
        <v>0</v>
      </c>
      <c r="UQ17" s="242">
        <f t="shared" ca="1" si="483"/>
        <v>0</v>
      </c>
      <c r="UR17" s="241">
        <f t="shared" ca="1" si="443"/>
        <v>1</v>
      </c>
      <c r="US17" s="220">
        <f t="shared" ca="1" si="484"/>
        <v>0</v>
      </c>
      <c r="UT17" s="220">
        <f t="shared" ca="1" si="485"/>
        <v>0</v>
      </c>
      <c r="UU17" s="235">
        <f t="shared" ca="1" si="486"/>
        <v>0</v>
      </c>
      <c r="UV17" s="235">
        <f t="shared" ca="1" si="487"/>
        <v>0</v>
      </c>
      <c r="UW17" s="242">
        <f t="shared" ca="1" si="488"/>
        <v>0</v>
      </c>
      <c r="UX17" s="241">
        <f t="shared" ca="1" si="443"/>
        <v>1</v>
      </c>
      <c r="UY17" s="220">
        <f t="shared" ca="1" si="489"/>
        <v>0</v>
      </c>
      <c r="UZ17" s="220">
        <f t="shared" ca="1" si="490"/>
        <v>0</v>
      </c>
      <c r="VA17" s="235">
        <f t="shared" ca="1" si="491"/>
        <v>0</v>
      </c>
      <c r="VB17" s="235">
        <f t="shared" ca="1" si="492"/>
        <v>0</v>
      </c>
      <c r="VC17" s="242">
        <f t="shared" ca="1" si="493"/>
        <v>0</v>
      </c>
      <c r="VD17" s="241">
        <f t="shared" ca="1" si="443"/>
        <v>1</v>
      </c>
      <c r="VE17" s="220">
        <f t="shared" ca="1" si="494"/>
        <v>0</v>
      </c>
      <c r="VF17" s="220">
        <f t="shared" ca="1" si="495"/>
        <v>0</v>
      </c>
      <c r="VG17" s="235">
        <f t="shared" ca="1" si="496"/>
        <v>0</v>
      </c>
      <c r="VH17" s="235">
        <f t="shared" ca="1" si="497"/>
        <v>0</v>
      </c>
      <c r="VI17" s="242">
        <f t="shared" ca="1" si="498"/>
        <v>0</v>
      </c>
      <c r="VJ17" s="241">
        <f t="shared" ca="1" si="499"/>
        <v>1</v>
      </c>
      <c r="VK17" s="220">
        <f t="shared" ca="1" si="500"/>
        <v>0</v>
      </c>
      <c r="VL17" s="220">
        <f t="shared" ca="1" si="501"/>
        <v>0</v>
      </c>
      <c r="VM17" s="235">
        <f t="shared" ca="1" si="502"/>
        <v>0</v>
      </c>
      <c r="VN17" s="235">
        <f t="shared" ca="1" si="503"/>
        <v>0</v>
      </c>
      <c r="VO17" s="242">
        <f t="shared" ca="1" si="504"/>
        <v>0</v>
      </c>
      <c r="VP17" s="241">
        <f t="shared" ca="1" si="499"/>
        <v>1</v>
      </c>
      <c r="VQ17" s="220">
        <f t="shared" ca="1" si="505"/>
        <v>0</v>
      </c>
      <c r="VR17" s="220">
        <f t="shared" ca="1" si="506"/>
        <v>0</v>
      </c>
      <c r="VS17" s="235">
        <f t="shared" ca="1" si="507"/>
        <v>0</v>
      </c>
      <c r="VT17" s="235">
        <f t="shared" ca="1" si="508"/>
        <v>0</v>
      </c>
      <c r="VU17" s="242">
        <f t="shared" ca="1" si="509"/>
        <v>0</v>
      </c>
      <c r="VV17" s="241">
        <f t="shared" ca="1" si="499"/>
        <v>1</v>
      </c>
      <c r="VW17" s="220">
        <f t="shared" ca="1" si="510"/>
        <v>0</v>
      </c>
      <c r="VX17" s="220">
        <f t="shared" ca="1" si="511"/>
        <v>0</v>
      </c>
      <c r="VY17" s="235">
        <f t="shared" ca="1" si="512"/>
        <v>0</v>
      </c>
      <c r="VZ17" s="235">
        <f t="shared" ca="1" si="513"/>
        <v>0</v>
      </c>
      <c r="WA17" s="242">
        <f t="shared" ca="1" si="514"/>
        <v>0</v>
      </c>
      <c r="WB17" s="241">
        <f t="shared" ca="1" si="499"/>
        <v>1</v>
      </c>
      <c r="WC17" s="220">
        <f t="shared" ca="1" si="515"/>
        <v>0</v>
      </c>
      <c r="WD17" s="220">
        <f t="shared" ca="1" si="516"/>
        <v>0</v>
      </c>
      <c r="WE17" s="235">
        <f t="shared" ca="1" si="517"/>
        <v>0</v>
      </c>
      <c r="WF17" s="235">
        <f t="shared" ca="1" si="518"/>
        <v>0</v>
      </c>
      <c r="WG17" s="242">
        <f t="shared" ca="1" si="519"/>
        <v>0</v>
      </c>
      <c r="WH17" s="241">
        <f t="shared" ca="1" si="499"/>
        <v>1</v>
      </c>
      <c r="WI17" s="220">
        <f t="shared" ca="1" si="520"/>
        <v>0</v>
      </c>
      <c r="WJ17" s="220">
        <f t="shared" ca="1" si="521"/>
        <v>0</v>
      </c>
      <c r="WK17" s="235">
        <f t="shared" ca="1" si="522"/>
        <v>0</v>
      </c>
      <c r="WL17" s="235">
        <f t="shared" ca="1" si="523"/>
        <v>0</v>
      </c>
      <c r="WM17" s="242">
        <f t="shared" ca="1" si="524"/>
        <v>0</v>
      </c>
      <c r="WN17" s="241">
        <f t="shared" ca="1" si="499"/>
        <v>1</v>
      </c>
      <c r="WO17" s="220">
        <f t="shared" ca="1" si="525"/>
        <v>0</v>
      </c>
      <c r="WP17" s="220">
        <f t="shared" ca="1" si="526"/>
        <v>0</v>
      </c>
      <c r="WQ17" s="235">
        <f t="shared" ca="1" si="527"/>
        <v>0</v>
      </c>
      <c r="WR17" s="235">
        <f t="shared" ca="1" si="528"/>
        <v>0</v>
      </c>
      <c r="WS17" s="242">
        <f t="shared" ca="1" si="529"/>
        <v>0</v>
      </c>
      <c r="WT17" s="241">
        <f t="shared" ca="1" si="499"/>
        <v>1</v>
      </c>
      <c r="WU17" s="220">
        <f t="shared" ca="1" si="530"/>
        <v>0</v>
      </c>
      <c r="WV17" s="220">
        <f t="shared" ca="1" si="531"/>
        <v>0</v>
      </c>
      <c r="WW17" s="235">
        <f t="shared" ca="1" si="532"/>
        <v>0</v>
      </c>
      <c r="WX17" s="235">
        <f t="shared" ca="1" si="533"/>
        <v>0</v>
      </c>
      <c r="WY17" s="242">
        <f t="shared" ca="1" si="534"/>
        <v>0</v>
      </c>
      <c r="WZ17" s="241">
        <f t="shared" ca="1" si="499"/>
        <v>1</v>
      </c>
      <c r="XA17" s="220">
        <f t="shared" ca="1" si="535"/>
        <v>0</v>
      </c>
      <c r="XB17" s="220">
        <f t="shared" ca="1" si="536"/>
        <v>0</v>
      </c>
      <c r="XC17" s="235">
        <f t="shared" ca="1" si="537"/>
        <v>0</v>
      </c>
      <c r="XD17" s="235">
        <f t="shared" ca="1" si="538"/>
        <v>0</v>
      </c>
      <c r="XE17" s="242">
        <f t="shared" ca="1" si="539"/>
        <v>0</v>
      </c>
      <c r="XF17" s="241">
        <f t="shared" ca="1" si="499"/>
        <v>1</v>
      </c>
      <c r="XG17" s="220">
        <f t="shared" ca="1" si="540"/>
        <v>0</v>
      </c>
      <c r="XH17" s="220">
        <f t="shared" ca="1" si="541"/>
        <v>0</v>
      </c>
      <c r="XI17" s="235">
        <f t="shared" ca="1" si="542"/>
        <v>0</v>
      </c>
      <c r="XJ17" s="235">
        <f t="shared" ca="1" si="543"/>
        <v>0</v>
      </c>
      <c r="XK17" s="242">
        <f t="shared" ca="1" si="544"/>
        <v>0</v>
      </c>
    </row>
    <row r="18" spans="2:635" x14ac:dyDescent="0.25">
      <c r="B18" s="65">
        <f t="shared" ca="1" si="14"/>
        <v>2033</v>
      </c>
      <c r="C18" s="65" t="s">
        <v>741</v>
      </c>
      <c r="D18" s="77">
        <f t="shared" si="15"/>
        <v>0</v>
      </c>
      <c r="E18" s="77">
        <f t="shared" si="16"/>
        <v>0</v>
      </c>
      <c r="F18" s="77">
        <f t="shared" si="17"/>
        <v>0</v>
      </c>
      <c r="G18" s="77">
        <f t="shared" si="18"/>
        <v>0</v>
      </c>
      <c r="H18" s="15" t="e">
        <f t="shared" ca="1" si="19"/>
        <v>#REF!</v>
      </c>
      <c r="L18" s="326">
        <f t="shared" ca="1" si="20"/>
        <v>3.5000000000000003E-2</v>
      </c>
      <c r="M18" s="327">
        <f t="shared" ca="1" si="21"/>
        <v>3.5000000000000003E-2</v>
      </c>
      <c r="N18" s="322">
        <f t="shared" ca="1" si="22"/>
        <v>-10</v>
      </c>
      <c r="O18" s="322">
        <f t="shared" ca="1" si="23"/>
        <v>1</v>
      </c>
      <c r="P18" s="328">
        <f t="shared" ca="1" si="545"/>
        <v>1</v>
      </c>
      <c r="Q18" s="328">
        <f t="shared" ca="1" si="546"/>
        <v>1</v>
      </c>
      <c r="R18" s="328">
        <f t="shared" ca="1" si="547"/>
        <v>1</v>
      </c>
      <c r="S18" s="329">
        <f t="shared" ca="1" si="24"/>
        <v>0</v>
      </c>
      <c r="T18" s="329">
        <f t="shared" ca="1" si="25"/>
        <v>0</v>
      </c>
      <c r="U18" s="329">
        <f t="shared" ca="1" si="26"/>
        <v>0</v>
      </c>
      <c r="V18" s="320" t="e">
        <f t="shared" ca="1" si="27"/>
        <v>#REF!</v>
      </c>
      <c r="W18" s="320" t="e">
        <f t="shared" ca="1" si="28"/>
        <v>#REF!</v>
      </c>
      <c r="X18" s="320" t="e">
        <f t="shared" ca="1" si="29"/>
        <v>#REF!</v>
      </c>
      <c r="Y18" s="320" t="e">
        <f ca="1">INDEX(SC_ZA_HECMLumpSum,ZAIDX)</f>
        <v>#REF!</v>
      </c>
      <c r="Z18" s="320" t="e">
        <f t="shared" ca="1" si="30"/>
        <v>#REF!</v>
      </c>
      <c r="AA18" s="320" t="e">
        <f t="shared" ca="1" si="31"/>
        <v>#REF!</v>
      </c>
      <c r="AB18" s="320" t="e">
        <f t="shared" ca="1" si="32"/>
        <v>#REF!</v>
      </c>
      <c r="AC18" s="330" t="e">
        <f t="shared" ca="1" si="33"/>
        <v>#REF!</v>
      </c>
      <c r="AD18" s="236" t="e">
        <f t="shared" ca="1" si="548"/>
        <v>#REF!</v>
      </c>
      <c r="AE18" s="320" t="e">
        <f t="shared" ca="1" si="34"/>
        <v>#REF!</v>
      </c>
      <c r="AF18" s="320" t="e">
        <f t="shared" ca="1" si="35"/>
        <v>#REF!</v>
      </c>
      <c r="AG18" s="320" t="e">
        <f t="shared" ca="1" si="549"/>
        <v>#REF!</v>
      </c>
      <c r="AH18" s="284" t="e">
        <f t="shared" ca="1" si="550"/>
        <v>#REF!</v>
      </c>
      <c r="AI18" s="318" t="e">
        <f t="shared" ca="1" si="551"/>
        <v>#REF!</v>
      </c>
      <c r="AJ18" s="331">
        <f t="shared" ca="1" si="552"/>
        <v>1</v>
      </c>
      <c r="AK18" s="220">
        <f t="shared" ca="1" si="553"/>
        <v>0</v>
      </c>
      <c r="AL18" s="220">
        <f t="shared" ca="1" si="37"/>
        <v>0</v>
      </c>
      <c r="AM18" s="235">
        <f t="shared" ca="1" si="554"/>
        <v>1</v>
      </c>
      <c r="AN18" s="235">
        <f t="shared" ca="1" si="555"/>
        <v>1</v>
      </c>
      <c r="AO18" s="242">
        <f t="shared" ca="1" si="556"/>
        <v>1</v>
      </c>
      <c r="AP18" s="241">
        <f t="shared" ca="1" si="552"/>
        <v>1</v>
      </c>
      <c r="AQ18" s="220">
        <f t="shared" ca="1" si="41"/>
        <v>0</v>
      </c>
      <c r="AR18" s="220">
        <f t="shared" ca="1" si="42"/>
        <v>0</v>
      </c>
      <c r="AS18" s="235">
        <f t="shared" ca="1" si="43"/>
        <v>0</v>
      </c>
      <c r="AT18" s="235">
        <f t="shared" ca="1" si="44"/>
        <v>0</v>
      </c>
      <c r="AU18" s="242">
        <f t="shared" ca="1" si="45"/>
        <v>0</v>
      </c>
      <c r="AV18" s="241">
        <f t="shared" ca="1" si="552"/>
        <v>1</v>
      </c>
      <c r="AW18" s="220">
        <f t="shared" ca="1" si="46"/>
        <v>0</v>
      </c>
      <c r="AX18" s="220">
        <f t="shared" ca="1" si="47"/>
        <v>0</v>
      </c>
      <c r="AY18" s="235">
        <f t="shared" ca="1" si="48"/>
        <v>0</v>
      </c>
      <c r="AZ18" s="235">
        <f t="shared" ca="1" si="49"/>
        <v>0</v>
      </c>
      <c r="BA18" s="242">
        <f t="shared" ca="1" si="50"/>
        <v>0</v>
      </c>
      <c r="BB18" s="241">
        <f t="shared" ca="1" si="552"/>
        <v>1</v>
      </c>
      <c r="BC18" s="220">
        <f t="shared" ca="1" si="52"/>
        <v>0</v>
      </c>
      <c r="BD18" s="220">
        <f t="shared" ca="1" si="53"/>
        <v>0</v>
      </c>
      <c r="BE18" s="235">
        <f t="shared" ca="1" si="54"/>
        <v>0</v>
      </c>
      <c r="BF18" s="235">
        <f t="shared" ca="1" si="55"/>
        <v>0</v>
      </c>
      <c r="BG18" s="242">
        <f t="shared" ca="1" si="56"/>
        <v>0</v>
      </c>
      <c r="BH18" s="241">
        <f t="shared" ca="1" si="552"/>
        <v>1</v>
      </c>
      <c r="BI18" s="220">
        <f t="shared" ca="1" si="57"/>
        <v>0</v>
      </c>
      <c r="BJ18" s="220">
        <f t="shared" ca="1" si="58"/>
        <v>0</v>
      </c>
      <c r="BK18" s="235">
        <f t="shared" ca="1" si="59"/>
        <v>0</v>
      </c>
      <c r="BL18" s="235">
        <f t="shared" ca="1" si="60"/>
        <v>0</v>
      </c>
      <c r="BM18" s="242">
        <f t="shared" ca="1" si="61"/>
        <v>0</v>
      </c>
      <c r="BN18" s="241">
        <f t="shared" ca="1" si="552"/>
        <v>1</v>
      </c>
      <c r="BO18" s="220">
        <f t="shared" ca="1" si="62"/>
        <v>0</v>
      </c>
      <c r="BP18" s="220">
        <f t="shared" ca="1" si="63"/>
        <v>0</v>
      </c>
      <c r="BQ18" s="235">
        <f t="shared" ca="1" si="64"/>
        <v>0</v>
      </c>
      <c r="BR18" s="235">
        <f t="shared" ca="1" si="65"/>
        <v>0</v>
      </c>
      <c r="BS18" s="242">
        <f t="shared" ca="1" si="66"/>
        <v>0</v>
      </c>
      <c r="BT18" s="241">
        <f t="shared" ca="1" si="552"/>
        <v>1</v>
      </c>
      <c r="BU18" s="220">
        <f t="shared" ca="1" si="67"/>
        <v>0</v>
      </c>
      <c r="BV18" s="220">
        <f t="shared" ca="1" si="68"/>
        <v>0</v>
      </c>
      <c r="BW18" s="235">
        <f t="shared" ca="1" si="69"/>
        <v>0</v>
      </c>
      <c r="BX18" s="235">
        <f t="shared" ca="1" si="70"/>
        <v>0</v>
      </c>
      <c r="BY18" s="242">
        <f t="shared" ca="1" si="71"/>
        <v>0</v>
      </c>
      <c r="BZ18" s="241">
        <f t="shared" ca="1" si="552"/>
        <v>1</v>
      </c>
      <c r="CA18" s="220">
        <f t="shared" ca="1" si="72"/>
        <v>0</v>
      </c>
      <c r="CB18" s="220">
        <f t="shared" ca="1" si="73"/>
        <v>0</v>
      </c>
      <c r="CC18" s="235">
        <f t="shared" ca="1" si="74"/>
        <v>0</v>
      </c>
      <c r="CD18" s="235">
        <f t="shared" ca="1" si="75"/>
        <v>0</v>
      </c>
      <c r="CE18" s="242">
        <f t="shared" ca="1" si="76"/>
        <v>0</v>
      </c>
      <c r="CF18" s="241">
        <f t="shared" ca="1" si="552"/>
        <v>1</v>
      </c>
      <c r="CG18" s="220">
        <f t="shared" ca="1" si="77"/>
        <v>0</v>
      </c>
      <c r="CH18" s="220">
        <f t="shared" ca="1" si="78"/>
        <v>0</v>
      </c>
      <c r="CI18" s="235">
        <f t="shared" ca="1" si="79"/>
        <v>0</v>
      </c>
      <c r="CJ18" s="235">
        <f t="shared" ca="1" si="80"/>
        <v>0</v>
      </c>
      <c r="CK18" s="242">
        <f t="shared" ca="1" si="81"/>
        <v>0</v>
      </c>
      <c r="CL18" s="241">
        <f t="shared" ca="1" si="552"/>
        <v>1</v>
      </c>
      <c r="CM18" s="220">
        <f t="shared" ca="1" si="82"/>
        <v>0</v>
      </c>
      <c r="CN18" s="220">
        <f t="shared" ca="1" si="83"/>
        <v>0</v>
      </c>
      <c r="CO18" s="235">
        <f t="shared" ca="1" si="84"/>
        <v>0</v>
      </c>
      <c r="CP18" s="235">
        <f t="shared" ca="1" si="85"/>
        <v>0</v>
      </c>
      <c r="CQ18" s="242">
        <f t="shared" ca="1" si="86"/>
        <v>0</v>
      </c>
      <c r="CR18" s="241">
        <f t="shared" ca="1" si="552"/>
        <v>1</v>
      </c>
      <c r="CS18" s="220">
        <f t="shared" ca="1" si="87"/>
        <v>0</v>
      </c>
      <c r="CT18" s="220">
        <f t="shared" ca="1" si="88"/>
        <v>0</v>
      </c>
      <c r="CU18" s="235">
        <f t="shared" ca="1" si="89"/>
        <v>0</v>
      </c>
      <c r="CV18" s="235">
        <f t="shared" ca="1" si="90"/>
        <v>0</v>
      </c>
      <c r="CW18" s="242">
        <f t="shared" ca="1" si="91"/>
        <v>0</v>
      </c>
      <c r="CX18" s="241">
        <f t="shared" ca="1" si="51"/>
        <v>1</v>
      </c>
      <c r="CY18" s="220">
        <f t="shared" ca="1" si="92"/>
        <v>0</v>
      </c>
      <c r="CZ18" s="220">
        <f t="shared" ca="1" si="93"/>
        <v>0</v>
      </c>
      <c r="DA18" s="235">
        <f t="shared" ca="1" si="94"/>
        <v>0</v>
      </c>
      <c r="DB18" s="235">
        <f t="shared" ca="1" si="95"/>
        <v>0</v>
      </c>
      <c r="DC18" s="242">
        <f t="shared" ca="1" si="96"/>
        <v>0</v>
      </c>
      <c r="DD18" s="241">
        <f t="shared" ca="1" si="51"/>
        <v>1</v>
      </c>
      <c r="DE18" s="220">
        <f t="shared" ca="1" si="97"/>
        <v>0</v>
      </c>
      <c r="DF18" s="220">
        <f t="shared" ca="1" si="98"/>
        <v>0</v>
      </c>
      <c r="DG18" s="235">
        <f t="shared" ca="1" si="99"/>
        <v>0</v>
      </c>
      <c r="DH18" s="235">
        <f t="shared" ca="1" si="100"/>
        <v>0</v>
      </c>
      <c r="DI18" s="242">
        <f t="shared" ca="1" si="101"/>
        <v>0</v>
      </c>
      <c r="DJ18" s="241">
        <f t="shared" ca="1" si="51"/>
        <v>1</v>
      </c>
      <c r="DK18" s="220">
        <f t="shared" ca="1" si="102"/>
        <v>0</v>
      </c>
      <c r="DL18" s="220">
        <f t="shared" ca="1" si="103"/>
        <v>0</v>
      </c>
      <c r="DM18" s="235">
        <f t="shared" ca="1" si="104"/>
        <v>0</v>
      </c>
      <c r="DN18" s="235">
        <f t="shared" ca="1" si="105"/>
        <v>0</v>
      </c>
      <c r="DO18" s="242">
        <f t="shared" ca="1" si="106"/>
        <v>0</v>
      </c>
      <c r="DP18" s="241">
        <f t="shared" ca="1" si="107"/>
        <v>1</v>
      </c>
      <c r="DQ18" s="220">
        <f t="shared" ca="1" si="108"/>
        <v>0</v>
      </c>
      <c r="DR18" s="220">
        <f t="shared" ca="1" si="109"/>
        <v>0</v>
      </c>
      <c r="DS18" s="235">
        <f t="shared" ca="1" si="110"/>
        <v>0</v>
      </c>
      <c r="DT18" s="235">
        <f t="shared" ca="1" si="111"/>
        <v>0</v>
      </c>
      <c r="DU18" s="242">
        <f t="shared" ca="1" si="112"/>
        <v>0</v>
      </c>
      <c r="DV18" s="241">
        <f t="shared" ca="1" si="107"/>
        <v>1</v>
      </c>
      <c r="DW18" s="220">
        <f t="shared" ca="1" si="113"/>
        <v>0</v>
      </c>
      <c r="DX18" s="220">
        <f t="shared" ca="1" si="114"/>
        <v>0</v>
      </c>
      <c r="DY18" s="235">
        <f t="shared" ca="1" si="115"/>
        <v>0</v>
      </c>
      <c r="DZ18" s="235">
        <f t="shared" ca="1" si="116"/>
        <v>0</v>
      </c>
      <c r="EA18" s="242">
        <f t="shared" ca="1" si="117"/>
        <v>0</v>
      </c>
      <c r="EB18" s="241">
        <f t="shared" ca="1" si="107"/>
        <v>1</v>
      </c>
      <c r="EC18" s="220">
        <f t="shared" ca="1" si="118"/>
        <v>0</v>
      </c>
      <c r="ED18" s="220">
        <f t="shared" ca="1" si="119"/>
        <v>0</v>
      </c>
      <c r="EE18" s="235">
        <f t="shared" ca="1" si="120"/>
        <v>0</v>
      </c>
      <c r="EF18" s="235">
        <f t="shared" ca="1" si="121"/>
        <v>0</v>
      </c>
      <c r="EG18" s="242">
        <f t="shared" ca="1" si="122"/>
        <v>0</v>
      </c>
      <c r="EH18" s="241">
        <f t="shared" ca="1" si="107"/>
        <v>1</v>
      </c>
      <c r="EI18" s="220">
        <f t="shared" ca="1" si="123"/>
        <v>0</v>
      </c>
      <c r="EJ18" s="220">
        <f t="shared" ca="1" si="124"/>
        <v>0</v>
      </c>
      <c r="EK18" s="235">
        <f t="shared" ca="1" si="125"/>
        <v>0</v>
      </c>
      <c r="EL18" s="235">
        <f t="shared" ca="1" si="126"/>
        <v>0</v>
      </c>
      <c r="EM18" s="242">
        <f t="shared" ca="1" si="127"/>
        <v>0</v>
      </c>
      <c r="EN18" s="241">
        <f t="shared" ca="1" si="107"/>
        <v>1</v>
      </c>
      <c r="EO18" s="220">
        <f t="shared" ca="1" si="128"/>
        <v>0</v>
      </c>
      <c r="EP18" s="220">
        <f t="shared" ca="1" si="129"/>
        <v>0</v>
      </c>
      <c r="EQ18" s="235">
        <f t="shared" ca="1" si="130"/>
        <v>0</v>
      </c>
      <c r="ER18" s="235">
        <f t="shared" ca="1" si="131"/>
        <v>0</v>
      </c>
      <c r="ES18" s="242">
        <f t="shared" ca="1" si="132"/>
        <v>0</v>
      </c>
      <c r="ET18" s="241">
        <f t="shared" ca="1" si="107"/>
        <v>1</v>
      </c>
      <c r="EU18" s="220">
        <f t="shared" ca="1" si="133"/>
        <v>0</v>
      </c>
      <c r="EV18" s="220">
        <f t="shared" ca="1" si="134"/>
        <v>0</v>
      </c>
      <c r="EW18" s="235">
        <f t="shared" ca="1" si="135"/>
        <v>0</v>
      </c>
      <c r="EX18" s="235">
        <f t="shared" ca="1" si="136"/>
        <v>0</v>
      </c>
      <c r="EY18" s="242">
        <f t="shared" ca="1" si="137"/>
        <v>0</v>
      </c>
      <c r="EZ18" s="241">
        <f t="shared" ca="1" si="107"/>
        <v>1</v>
      </c>
      <c r="FA18" s="220">
        <f t="shared" ca="1" si="138"/>
        <v>0</v>
      </c>
      <c r="FB18" s="220">
        <f t="shared" ca="1" si="139"/>
        <v>0</v>
      </c>
      <c r="FC18" s="235">
        <f t="shared" ca="1" si="140"/>
        <v>0</v>
      </c>
      <c r="FD18" s="235">
        <f t="shared" ca="1" si="141"/>
        <v>0</v>
      </c>
      <c r="FE18" s="242">
        <f t="shared" ca="1" si="142"/>
        <v>0</v>
      </c>
      <c r="FF18" s="241">
        <f t="shared" ca="1" si="107"/>
        <v>1</v>
      </c>
      <c r="FG18" s="220">
        <f t="shared" ca="1" si="143"/>
        <v>0</v>
      </c>
      <c r="FH18" s="220">
        <f t="shared" ca="1" si="144"/>
        <v>0</v>
      </c>
      <c r="FI18" s="235">
        <f t="shared" ca="1" si="145"/>
        <v>0</v>
      </c>
      <c r="FJ18" s="235">
        <f t="shared" ca="1" si="146"/>
        <v>0</v>
      </c>
      <c r="FK18" s="242">
        <f t="shared" ca="1" si="147"/>
        <v>0</v>
      </c>
      <c r="FL18" s="241">
        <f t="shared" ca="1" si="107"/>
        <v>1</v>
      </c>
      <c r="FM18" s="220">
        <f t="shared" ca="1" si="148"/>
        <v>0</v>
      </c>
      <c r="FN18" s="220">
        <f t="shared" ca="1" si="149"/>
        <v>0</v>
      </c>
      <c r="FO18" s="235">
        <f t="shared" ca="1" si="150"/>
        <v>0</v>
      </c>
      <c r="FP18" s="235">
        <f t="shared" ca="1" si="151"/>
        <v>0</v>
      </c>
      <c r="FQ18" s="242">
        <f t="shared" ca="1" si="152"/>
        <v>0</v>
      </c>
      <c r="FR18" s="241">
        <f t="shared" ca="1" si="107"/>
        <v>1</v>
      </c>
      <c r="FS18" s="220">
        <f t="shared" ca="1" si="153"/>
        <v>0</v>
      </c>
      <c r="FT18" s="220">
        <f t="shared" ca="1" si="154"/>
        <v>0</v>
      </c>
      <c r="FU18" s="235">
        <f t="shared" ca="1" si="155"/>
        <v>0</v>
      </c>
      <c r="FV18" s="235">
        <f t="shared" ca="1" si="156"/>
        <v>0</v>
      </c>
      <c r="FW18" s="242">
        <f t="shared" ca="1" si="157"/>
        <v>0</v>
      </c>
      <c r="FX18" s="241">
        <f t="shared" ca="1" si="107"/>
        <v>1</v>
      </c>
      <c r="FY18" s="220">
        <f t="shared" ca="1" si="158"/>
        <v>0</v>
      </c>
      <c r="FZ18" s="220">
        <f t="shared" ca="1" si="159"/>
        <v>0</v>
      </c>
      <c r="GA18" s="235">
        <f t="shared" ca="1" si="160"/>
        <v>0</v>
      </c>
      <c r="GB18" s="235">
        <f t="shared" ca="1" si="161"/>
        <v>0</v>
      </c>
      <c r="GC18" s="242">
        <f t="shared" ca="1" si="162"/>
        <v>0</v>
      </c>
      <c r="GD18" s="241">
        <f t="shared" ca="1" si="163"/>
        <v>1</v>
      </c>
      <c r="GE18" s="220">
        <f t="shared" ca="1" si="164"/>
        <v>0</v>
      </c>
      <c r="GF18" s="220">
        <f t="shared" ca="1" si="165"/>
        <v>0</v>
      </c>
      <c r="GG18" s="235">
        <f t="shared" ca="1" si="166"/>
        <v>0</v>
      </c>
      <c r="GH18" s="235">
        <f t="shared" ca="1" si="167"/>
        <v>0</v>
      </c>
      <c r="GI18" s="242">
        <f t="shared" ca="1" si="168"/>
        <v>0</v>
      </c>
      <c r="GJ18" s="241">
        <f t="shared" ca="1" si="163"/>
        <v>1</v>
      </c>
      <c r="GK18" s="220">
        <f t="shared" ca="1" si="169"/>
        <v>0</v>
      </c>
      <c r="GL18" s="220">
        <f t="shared" ca="1" si="170"/>
        <v>0</v>
      </c>
      <c r="GM18" s="235">
        <f t="shared" ca="1" si="171"/>
        <v>0</v>
      </c>
      <c r="GN18" s="235">
        <f t="shared" ca="1" si="172"/>
        <v>0</v>
      </c>
      <c r="GO18" s="242">
        <f t="shared" ca="1" si="173"/>
        <v>0</v>
      </c>
      <c r="GP18" s="241">
        <f t="shared" ca="1" si="163"/>
        <v>1</v>
      </c>
      <c r="GQ18" s="220">
        <f t="shared" ca="1" si="174"/>
        <v>0</v>
      </c>
      <c r="GR18" s="220">
        <f t="shared" ca="1" si="175"/>
        <v>0</v>
      </c>
      <c r="GS18" s="235">
        <f t="shared" ca="1" si="176"/>
        <v>0</v>
      </c>
      <c r="GT18" s="235">
        <f t="shared" ca="1" si="177"/>
        <v>0</v>
      </c>
      <c r="GU18" s="242">
        <f t="shared" ca="1" si="178"/>
        <v>0</v>
      </c>
      <c r="GV18" s="241">
        <f t="shared" ca="1" si="163"/>
        <v>1</v>
      </c>
      <c r="GW18" s="220">
        <f t="shared" ca="1" si="179"/>
        <v>0</v>
      </c>
      <c r="GX18" s="220">
        <f t="shared" ca="1" si="180"/>
        <v>0</v>
      </c>
      <c r="GY18" s="235">
        <f t="shared" ca="1" si="181"/>
        <v>0</v>
      </c>
      <c r="GZ18" s="235">
        <f t="shared" ca="1" si="182"/>
        <v>0</v>
      </c>
      <c r="HA18" s="242">
        <f t="shared" ca="1" si="183"/>
        <v>0</v>
      </c>
      <c r="HB18" s="241">
        <f t="shared" ca="1" si="163"/>
        <v>1</v>
      </c>
      <c r="HC18" s="220">
        <f t="shared" ca="1" si="184"/>
        <v>0</v>
      </c>
      <c r="HD18" s="220">
        <f t="shared" ca="1" si="185"/>
        <v>0</v>
      </c>
      <c r="HE18" s="235">
        <f t="shared" ca="1" si="186"/>
        <v>0</v>
      </c>
      <c r="HF18" s="235">
        <f t="shared" ca="1" si="187"/>
        <v>0</v>
      </c>
      <c r="HG18" s="242">
        <f t="shared" ca="1" si="188"/>
        <v>0</v>
      </c>
      <c r="HH18" s="241">
        <f t="shared" ca="1" si="163"/>
        <v>1</v>
      </c>
      <c r="HI18" s="220">
        <f t="shared" ca="1" si="189"/>
        <v>0</v>
      </c>
      <c r="HJ18" s="220">
        <f t="shared" ca="1" si="190"/>
        <v>0</v>
      </c>
      <c r="HK18" s="235">
        <f t="shared" ca="1" si="191"/>
        <v>0</v>
      </c>
      <c r="HL18" s="235">
        <f t="shared" ca="1" si="192"/>
        <v>0</v>
      </c>
      <c r="HM18" s="242">
        <f t="shared" ca="1" si="193"/>
        <v>0</v>
      </c>
      <c r="HN18" s="241">
        <f t="shared" ca="1" si="163"/>
        <v>1</v>
      </c>
      <c r="HO18" s="220">
        <f t="shared" ca="1" si="194"/>
        <v>0</v>
      </c>
      <c r="HP18" s="220">
        <f t="shared" ca="1" si="195"/>
        <v>0</v>
      </c>
      <c r="HQ18" s="235">
        <f t="shared" ca="1" si="196"/>
        <v>0</v>
      </c>
      <c r="HR18" s="235">
        <f t="shared" ca="1" si="197"/>
        <v>0</v>
      </c>
      <c r="HS18" s="242">
        <f t="shared" ca="1" si="198"/>
        <v>0</v>
      </c>
      <c r="HT18" s="241">
        <f t="shared" ca="1" si="163"/>
        <v>1</v>
      </c>
      <c r="HU18" s="220">
        <f t="shared" ca="1" si="199"/>
        <v>0</v>
      </c>
      <c r="HV18" s="220">
        <f t="shared" ca="1" si="200"/>
        <v>0</v>
      </c>
      <c r="HW18" s="235">
        <f t="shared" ca="1" si="201"/>
        <v>0</v>
      </c>
      <c r="HX18" s="235">
        <f t="shared" ca="1" si="202"/>
        <v>0</v>
      </c>
      <c r="HY18" s="242">
        <f t="shared" ca="1" si="203"/>
        <v>0</v>
      </c>
      <c r="HZ18" s="241">
        <f t="shared" ca="1" si="163"/>
        <v>1</v>
      </c>
      <c r="IA18" s="220">
        <f t="shared" ca="1" si="204"/>
        <v>0</v>
      </c>
      <c r="IB18" s="220">
        <f t="shared" ca="1" si="205"/>
        <v>0</v>
      </c>
      <c r="IC18" s="235">
        <f t="shared" ca="1" si="206"/>
        <v>0</v>
      </c>
      <c r="ID18" s="235">
        <f t="shared" ca="1" si="207"/>
        <v>0</v>
      </c>
      <c r="IE18" s="242">
        <f t="shared" ca="1" si="208"/>
        <v>0</v>
      </c>
      <c r="IF18" s="241">
        <f t="shared" ca="1" si="163"/>
        <v>1</v>
      </c>
      <c r="IG18" s="220">
        <f t="shared" ca="1" si="209"/>
        <v>0</v>
      </c>
      <c r="IH18" s="220">
        <f t="shared" ca="1" si="210"/>
        <v>0</v>
      </c>
      <c r="II18" s="235">
        <f t="shared" ca="1" si="211"/>
        <v>0</v>
      </c>
      <c r="IJ18" s="235">
        <f t="shared" ca="1" si="212"/>
        <v>0</v>
      </c>
      <c r="IK18" s="242">
        <f t="shared" ca="1" si="213"/>
        <v>0</v>
      </c>
      <c r="IL18" s="241">
        <f t="shared" ca="1" si="163"/>
        <v>1</v>
      </c>
      <c r="IM18" s="220">
        <f t="shared" ca="1" si="214"/>
        <v>0</v>
      </c>
      <c r="IN18" s="220">
        <f t="shared" ca="1" si="215"/>
        <v>0</v>
      </c>
      <c r="IO18" s="235">
        <f t="shared" ca="1" si="216"/>
        <v>0</v>
      </c>
      <c r="IP18" s="235">
        <f t="shared" ca="1" si="217"/>
        <v>0</v>
      </c>
      <c r="IQ18" s="242">
        <f t="shared" ca="1" si="218"/>
        <v>0</v>
      </c>
      <c r="IR18" s="241">
        <f t="shared" ca="1" si="219"/>
        <v>1</v>
      </c>
      <c r="IS18" s="220">
        <f t="shared" ca="1" si="220"/>
        <v>0</v>
      </c>
      <c r="IT18" s="220">
        <f t="shared" ca="1" si="221"/>
        <v>0</v>
      </c>
      <c r="IU18" s="235">
        <f t="shared" ca="1" si="222"/>
        <v>0</v>
      </c>
      <c r="IV18" s="235">
        <f t="shared" ca="1" si="223"/>
        <v>0</v>
      </c>
      <c r="IW18" s="242">
        <f t="shared" ca="1" si="224"/>
        <v>0</v>
      </c>
      <c r="IX18" s="241">
        <f t="shared" ca="1" si="219"/>
        <v>1</v>
      </c>
      <c r="IY18" s="220">
        <f t="shared" ca="1" si="225"/>
        <v>0</v>
      </c>
      <c r="IZ18" s="220">
        <f t="shared" ca="1" si="226"/>
        <v>0</v>
      </c>
      <c r="JA18" s="235">
        <f t="shared" ca="1" si="227"/>
        <v>0</v>
      </c>
      <c r="JB18" s="235">
        <f t="shared" ca="1" si="228"/>
        <v>0</v>
      </c>
      <c r="JC18" s="242">
        <f t="shared" ca="1" si="229"/>
        <v>0</v>
      </c>
      <c r="JD18" s="241">
        <f t="shared" ca="1" si="219"/>
        <v>1</v>
      </c>
      <c r="JE18" s="220">
        <f t="shared" ca="1" si="230"/>
        <v>0</v>
      </c>
      <c r="JF18" s="220">
        <f t="shared" ca="1" si="231"/>
        <v>0</v>
      </c>
      <c r="JG18" s="235">
        <f t="shared" ca="1" si="232"/>
        <v>0</v>
      </c>
      <c r="JH18" s="235">
        <f t="shared" ca="1" si="233"/>
        <v>0</v>
      </c>
      <c r="JI18" s="242">
        <f t="shared" ca="1" si="234"/>
        <v>0</v>
      </c>
      <c r="JJ18" s="241">
        <f t="shared" ca="1" si="219"/>
        <v>1</v>
      </c>
      <c r="JK18" s="220">
        <f t="shared" ca="1" si="235"/>
        <v>0</v>
      </c>
      <c r="JL18" s="220">
        <f t="shared" ca="1" si="236"/>
        <v>0</v>
      </c>
      <c r="JM18" s="235">
        <f t="shared" ca="1" si="237"/>
        <v>0</v>
      </c>
      <c r="JN18" s="235">
        <f t="shared" ca="1" si="238"/>
        <v>0</v>
      </c>
      <c r="JO18" s="242">
        <f t="shared" ca="1" si="239"/>
        <v>0</v>
      </c>
      <c r="JP18" s="241">
        <f t="shared" ca="1" si="219"/>
        <v>1</v>
      </c>
      <c r="JQ18" s="220">
        <f t="shared" ca="1" si="240"/>
        <v>0</v>
      </c>
      <c r="JR18" s="220">
        <f t="shared" ca="1" si="241"/>
        <v>0</v>
      </c>
      <c r="JS18" s="235">
        <f t="shared" ca="1" si="242"/>
        <v>0</v>
      </c>
      <c r="JT18" s="235">
        <f t="shared" ca="1" si="243"/>
        <v>0</v>
      </c>
      <c r="JU18" s="242">
        <f t="shared" ca="1" si="244"/>
        <v>0</v>
      </c>
      <c r="JV18" s="241">
        <f t="shared" ca="1" si="219"/>
        <v>1</v>
      </c>
      <c r="JW18" s="220">
        <f t="shared" ca="1" si="245"/>
        <v>0</v>
      </c>
      <c r="JX18" s="220">
        <f t="shared" ca="1" si="246"/>
        <v>0</v>
      </c>
      <c r="JY18" s="235">
        <f t="shared" ca="1" si="247"/>
        <v>0</v>
      </c>
      <c r="JZ18" s="235">
        <f t="shared" ca="1" si="248"/>
        <v>0</v>
      </c>
      <c r="KA18" s="242">
        <f t="shared" ca="1" si="249"/>
        <v>0</v>
      </c>
      <c r="KB18" s="241">
        <f t="shared" ca="1" si="219"/>
        <v>1</v>
      </c>
      <c r="KC18" s="220">
        <f t="shared" ca="1" si="250"/>
        <v>0</v>
      </c>
      <c r="KD18" s="220">
        <f t="shared" ca="1" si="251"/>
        <v>0</v>
      </c>
      <c r="KE18" s="235">
        <f t="shared" ca="1" si="252"/>
        <v>0</v>
      </c>
      <c r="KF18" s="235">
        <f t="shared" ca="1" si="253"/>
        <v>0</v>
      </c>
      <c r="KG18" s="242">
        <f t="shared" ca="1" si="254"/>
        <v>0</v>
      </c>
      <c r="KH18" s="241">
        <f t="shared" ca="1" si="219"/>
        <v>1</v>
      </c>
      <c r="KI18" s="220">
        <f t="shared" ca="1" si="255"/>
        <v>0</v>
      </c>
      <c r="KJ18" s="220">
        <f t="shared" ca="1" si="256"/>
        <v>0</v>
      </c>
      <c r="KK18" s="235">
        <f t="shared" ca="1" si="257"/>
        <v>0</v>
      </c>
      <c r="KL18" s="235">
        <f t="shared" ca="1" si="258"/>
        <v>0</v>
      </c>
      <c r="KM18" s="242">
        <f t="shared" ca="1" si="259"/>
        <v>0</v>
      </c>
      <c r="KN18" s="241">
        <f t="shared" ca="1" si="219"/>
        <v>1</v>
      </c>
      <c r="KO18" s="220">
        <f t="shared" ca="1" si="260"/>
        <v>0</v>
      </c>
      <c r="KP18" s="220">
        <f t="shared" ca="1" si="261"/>
        <v>0</v>
      </c>
      <c r="KQ18" s="235">
        <f t="shared" ca="1" si="262"/>
        <v>0</v>
      </c>
      <c r="KR18" s="235">
        <f t="shared" ca="1" si="263"/>
        <v>0</v>
      </c>
      <c r="KS18" s="242">
        <f t="shared" ca="1" si="264"/>
        <v>0</v>
      </c>
      <c r="KT18" s="241">
        <f t="shared" ca="1" si="219"/>
        <v>1</v>
      </c>
      <c r="KU18" s="220">
        <f t="shared" ca="1" si="265"/>
        <v>0</v>
      </c>
      <c r="KV18" s="220">
        <f t="shared" ca="1" si="266"/>
        <v>0</v>
      </c>
      <c r="KW18" s="235">
        <f t="shared" ca="1" si="267"/>
        <v>0</v>
      </c>
      <c r="KX18" s="235">
        <f t="shared" ca="1" si="268"/>
        <v>0</v>
      </c>
      <c r="KY18" s="242">
        <f t="shared" ca="1" si="269"/>
        <v>0</v>
      </c>
      <c r="KZ18" s="241">
        <f t="shared" ca="1" si="219"/>
        <v>1</v>
      </c>
      <c r="LA18" s="220">
        <f t="shared" ca="1" si="270"/>
        <v>0</v>
      </c>
      <c r="LB18" s="220">
        <f t="shared" ca="1" si="271"/>
        <v>0</v>
      </c>
      <c r="LC18" s="235">
        <f t="shared" ca="1" si="272"/>
        <v>0</v>
      </c>
      <c r="LD18" s="235">
        <f t="shared" ca="1" si="273"/>
        <v>0</v>
      </c>
      <c r="LE18" s="242">
        <f t="shared" ca="1" si="274"/>
        <v>0</v>
      </c>
      <c r="LF18" s="241">
        <f t="shared" ca="1" si="275"/>
        <v>1</v>
      </c>
      <c r="LG18" s="220">
        <f t="shared" ca="1" si="276"/>
        <v>0</v>
      </c>
      <c r="LH18" s="220">
        <f t="shared" ca="1" si="277"/>
        <v>0</v>
      </c>
      <c r="LI18" s="235">
        <f t="shared" ca="1" si="278"/>
        <v>0</v>
      </c>
      <c r="LJ18" s="235">
        <f t="shared" ca="1" si="279"/>
        <v>0</v>
      </c>
      <c r="LK18" s="242">
        <f t="shared" ca="1" si="280"/>
        <v>0</v>
      </c>
      <c r="LL18" s="241">
        <f t="shared" ca="1" si="275"/>
        <v>1</v>
      </c>
      <c r="LM18" s="220">
        <f t="shared" ca="1" si="281"/>
        <v>0</v>
      </c>
      <c r="LN18" s="220">
        <f t="shared" ca="1" si="282"/>
        <v>0</v>
      </c>
      <c r="LO18" s="235">
        <f t="shared" ca="1" si="283"/>
        <v>0</v>
      </c>
      <c r="LP18" s="235">
        <f t="shared" ca="1" si="284"/>
        <v>0</v>
      </c>
      <c r="LQ18" s="242">
        <f t="shared" ca="1" si="285"/>
        <v>0</v>
      </c>
      <c r="LR18" s="241">
        <f t="shared" ca="1" si="275"/>
        <v>1</v>
      </c>
      <c r="LS18" s="220">
        <f t="shared" ca="1" si="286"/>
        <v>0</v>
      </c>
      <c r="LT18" s="220">
        <f t="shared" ca="1" si="287"/>
        <v>0</v>
      </c>
      <c r="LU18" s="235">
        <f t="shared" ca="1" si="288"/>
        <v>0</v>
      </c>
      <c r="LV18" s="235">
        <f t="shared" ca="1" si="289"/>
        <v>0</v>
      </c>
      <c r="LW18" s="242">
        <f t="shared" ca="1" si="290"/>
        <v>0</v>
      </c>
      <c r="LX18" s="241">
        <f t="shared" ca="1" si="275"/>
        <v>1</v>
      </c>
      <c r="LY18" s="220">
        <f t="shared" ca="1" si="291"/>
        <v>0</v>
      </c>
      <c r="LZ18" s="220">
        <f t="shared" ca="1" si="292"/>
        <v>0</v>
      </c>
      <c r="MA18" s="235">
        <f t="shared" ca="1" si="293"/>
        <v>0</v>
      </c>
      <c r="MB18" s="235">
        <f t="shared" ca="1" si="294"/>
        <v>0</v>
      </c>
      <c r="MC18" s="242">
        <f t="shared" ca="1" si="295"/>
        <v>0</v>
      </c>
      <c r="MD18" s="241">
        <f t="shared" ca="1" si="275"/>
        <v>1</v>
      </c>
      <c r="ME18" s="220">
        <f t="shared" ca="1" si="296"/>
        <v>0</v>
      </c>
      <c r="MF18" s="220">
        <f t="shared" ca="1" si="297"/>
        <v>0</v>
      </c>
      <c r="MG18" s="235">
        <f t="shared" ca="1" si="298"/>
        <v>0</v>
      </c>
      <c r="MH18" s="235">
        <f t="shared" ca="1" si="299"/>
        <v>0</v>
      </c>
      <c r="MI18" s="242">
        <f t="shared" ca="1" si="300"/>
        <v>0</v>
      </c>
      <c r="MJ18" s="241">
        <f t="shared" ca="1" si="275"/>
        <v>1</v>
      </c>
      <c r="MK18" s="220">
        <f t="shared" ca="1" si="301"/>
        <v>0</v>
      </c>
      <c r="ML18" s="220">
        <f t="shared" ca="1" si="302"/>
        <v>0</v>
      </c>
      <c r="MM18" s="235">
        <f t="shared" ca="1" si="303"/>
        <v>0</v>
      </c>
      <c r="MN18" s="235">
        <f t="shared" ca="1" si="304"/>
        <v>0</v>
      </c>
      <c r="MO18" s="242">
        <f t="shared" ca="1" si="305"/>
        <v>0</v>
      </c>
      <c r="MP18" s="241">
        <f t="shared" ca="1" si="275"/>
        <v>1</v>
      </c>
      <c r="MQ18" s="220">
        <f t="shared" ca="1" si="306"/>
        <v>0</v>
      </c>
      <c r="MR18" s="220">
        <f t="shared" ca="1" si="307"/>
        <v>0</v>
      </c>
      <c r="MS18" s="235">
        <f t="shared" ca="1" si="308"/>
        <v>0</v>
      </c>
      <c r="MT18" s="235">
        <f t="shared" ca="1" si="309"/>
        <v>0</v>
      </c>
      <c r="MU18" s="242">
        <f t="shared" ca="1" si="310"/>
        <v>0</v>
      </c>
      <c r="MV18" s="241">
        <f t="shared" ca="1" si="275"/>
        <v>1</v>
      </c>
      <c r="MW18" s="220">
        <f t="shared" ca="1" si="311"/>
        <v>0</v>
      </c>
      <c r="MX18" s="220">
        <f t="shared" ca="1" si="312"/>
        <v>0</v>
      </c>
      <c r="MY18" s="235">
        <f t="shared" ca="1" si="313"/>
        <v>0</v>
      </c>
      <c r="MZ18" s="235">
        <f t="shared" ca="1" si="314"/>
        <v>0</v>
      </c>
      <c r="NA18" s="242">
        <f t="shared" ca="1" si="315"/>
        <v>0</v>
      </c>
      <c r="NB18" s="241">
        <f t="shared" ca="1" si="275"/>
        <v>1</v>
      </c>
      <c r="NC18" s="220">
        <f t="shared" ca="1" si="316"/>
        <v>0</v>
      </c>
      <c r="ND18" s="220">
        <f t="shared" ca="1" si="317"/>
        <v>0</v>
      </c>
      <c r="NE18" s="235">
        <f t="shared" ca="1" si="318"/>
        <v>0</v>
      </c>
      <c r="NF18" s="235">
        <f t="shared" ca="1" si="319"/>
        <v>0</v>
      </c>
      <c r="NG18" s="242">
        <f t="shared" ca="1" si="320"/>
        <v>0</v>
      </c>
      <c r="NH18" s="241">
        <f t="shared" ca="1" si="275"/>
        <v>1</v>
      </c>
      <c r="NI18" s="220">
        <f t="shared" ca="1" si="321"/>
        <v>0</v>
      </c>
      <c r="NJ18" s="220">
        <f t="shared" ca="1" si="322"/>
        <v>0</v>
      </c>
      <c r="NK18" s="235">
        <f t="shared" ca="1" si="323"/>
        <v>0</v>
      </c>
      <c r="NL18" s="235">
        <f t="shared" ca="1" si="324"/>
        <v>0</v>
      </c>
      <c r="NM18" s="242">
        <f t="shared" ca="1" si="325"/>
        <v>0</v>
      </c>
      <c r="NN18" s="241">
        <f t="shared" ca="1" si="275"/>
        <v>1</v>
      </c>
      <c r="NO18" s="220">
        <f t="shared" ca="1" si="326"/>
        <v>0</v>
      </c>
      <c r="NP18" s="220">
        <f t="shared" ca="1" si="327"/>
        <v>0</v>
      </c>
      <c r="NQ18" s="235">
        <f t="shared" ca="1" si="328"/>
        <v>0</v>
      </c>
      <c r="NR18" s="235">
        <f t="shared" ca="1" si="329"/>
        <v>0</v>
      </c>
      <c r="NS18" s="242">
        <f t="shared" ca="1" si="330"/>
        <v>0</v>
      </c>
      <c r="NT18" s="241">
        <f t="shared" ca="1" si="331"/>
        <v>1</v>
      </c>
      <c r="NU18" s="220">
        <f t="shared" ca="1" si="332"/>
        <v>0</v>
      </c>
      <c r="NV18" s="220">
        <f t="shared" ca="1" si="333"/>
        <v>0</v>
      </c>
      <c r="NW18" s="235">
        <f t="shared" ca="1" si="334"/>
        <v>0</v>
      </c>
      <c r="NX18" s="235">
        <f t="shared" ca="1" si="335"/>
        <v>0</v>
      </c>
      <c r="NY18" s="242">
        <f t="shared" ca="1" si="336"/>
        <v>0</v>
      </c>
      <c r="NZ18" s="241">
        <f t="shared" ca="1" si="331"/>
        <v>1</v>
      </c>
      <c r="OA18" s="220">
        <f t="shared" ca="1" si="337"/>
        <v>0</v>
      </c>
      <c r="OB18" s="220">
        <f t="shared" ca="1" si="338"/>
        <v>0</v>
      </c>
      <c r="OC18" s="235">
        <f t="shared" ca="1" si="339"/>
        <v>0</v>
      </c>
      <c r="OD18" s="235">
        <f t="shared" ca="1" si="340"/>
        <v>0</v>
      </c>
      <c r="OE18" s="242">
        <f t="shared" ca="1" si="341"/>
        <v>0</v>
      </c>
      <c r="OF18" s="241">
        <f t="shared" ca="1" si="331"/>
        <v>1</v>
      </c>
      <c r="OG18" s="220">
        <f t="shared" ca="1" si="342"/>
        <v>0</v>
      </c>
      <c r="OH18" s="220">
        <f t="shared" ca="1" si="343"/>
        <v>0</v>
      </c>
      <c r="OI18" s="235">
        <f t="shared" ca="1" si="344"/>
        <v>0</v>
      </c>
      <c r="OJ18" s="235">
        <f t="shared" ca="1" si="345"/>
        <v>0</v>
      </c>
      <c r="OK18" s="242">
        <f t="shared" ca="1" si="346"/>
        <v>0</v>
      </c>
      <c r="OL18" s="241">
        <f t="shared" ca="1" si="331"/>
        <v>1</v>
      </c>
      <c r="OM18" s="220">
        <f t="shared" ca="1" si="347"/>
        <v>0</v>
      </c>
      <c r="ON18" s="220">
        <f t="shared" ca="1" si="348"/>
        <v>0</v>
      </c>
      <c r="OO18" s="235">
        <f t="shared" ca="1" si="349"/>
        <v>0</v>
      </c>
      <c r="OP18" s="235">
        <f t="shared" ca="1" si="350"/>
        <v>0</v>
      </c>
      <c r="OQ18" s="242">
        <f t="shared" ca="1" si="351"/>
        <v>0</v>
      </c>
      <c r="OR18" s="241">
        <f t="shared" ca="1" si="331"/>
        <v>1</v>
      </c>
      <c r="OS18" s="220">
        <f t="shared" ca="1" si="352"/>
        <v>0</v>
      </c>
      <c r="OT18" s="220">
        <f t="shared" ca="1" si="353"/>
        <v>0</v>
      </c>
      <c r="OU18" s="235">
        <f t="shared" ca="1" si="354"/>
        <v>0</v>
      </c>
      <c r="OV18" s="235">
        <f t="shared" ca="1" si="355"/>
        <v>0</v>
      </c>
      <c r="OW18" s="242">
        <f t="shared" ca="1" si="356"/>
        <v>0</v>
      </c>
      <c r="OX18" s="241">
        <f t="shared" ca="1" si="331"/>
        <v>1</v>
      </c>
      <c r="OY18" s="220">
        <f t="shared" ca="1" si="357"/>
        <v>0</v>
      </c>
      <c r="OZ18" s="220">
        <f t="shared" ca="1" si="358"/>
        <v>0</v>
      </c>
      <c r="PA18" s="235">
        <f t="shared" ca="1" si="359"/>
        <v>0</v>
      </c>
      <c r="PB18" s="235">
        <f t="shared" ca="1" si="360"/>
        <v>0</v>
      </c>
      <c r="PC18" s="242">
        <f t="shared" ca="1" si="361"/>
        <v>0</v>
      </c>
      <c r="PD18" s="241">
        <f t="shared" ca="1" si="331"/>
        <v>1</v>
      </c>
      <c r="PE18" s="220">
        <f t="shared" ca="1" si="362"/>
        <v>0</v>
      </c>
      <c r="PF18" s="220">
        <f t="shared" ca="1" si="363"/>
        <v>0</v>
      </c>
      <c r="PG18" s="235">
        <f t="shared" ca="1" si="364"/>
        <v>0</v>
      </c>
      <c r="PH18" s="235">
        <f t="shared" ca="1" si="365"/>
        <v>0</v>
      </c>
      <c r="PI18" s="242">
        <f t="shared" ca="1" si="366"/>
        <v>0</v>
      </c>
      <c r="PJ18" s="241">
        <f t="shared" ca="1" si="331"/>
        <v>1</v>
      </c>
      <c r="PK18" s="220">
        <f t="shared" ca="1" si="367"/>
        <v>0</v>
      </c>
      <c r="PL18" s="220">
        <f t="shared" ca="1" si="368"/>
        <v>0</v>
      </c>
      <c r="PM18" s="235">
        <f t="shared" ca="1" si="369"/>
        <v>0</v>
      </c>
      <c r="PN18" s="235">
        <f t="shared" ca="1" si="370"/>
        <v>0</v>
      </c>
      <c r="PO18" s="242">
        <f t="shared" ca="1" si="371"/>
        <v>0</v>
      </c>
      <c r="PP18" s="241">
        <f t="shared" ca="1" si="331"/>
        <v>1</v>
      </c>
      <c r="PQ18" s="220">
        <f t="shared" ca="1" si="372"/>
        <v>0</v>
      </c>
      <c r="PR18" s="220">
        <f t="shared" ca="1" si="373"/>
        <v>0</v>
      </c>
      <c r="PS18" s="235">
        <f t="shared" ca="1" si="374"/>
        <v>0</v>
      </c>
      <c r="PT18" s="235">
        <f t="shared" ca="1" si="375"/>
        <v>0</v>
      </c>
      <c r="PU18" s="242">
        <f t="shared" ca="1" si="376"/>
        <v>0</v>
      </c>
      <c r="PV18" s="241">
        <f t="shared" ca="1" si="331"/>
        <v>1</v>
      </c>
      <c r="PW18" s="220">
        <f t="shared" ca="1" si="377"/>
        <v>0</v>
      </c>
      <c r="PX18" s="220">
        <f t="shared" ca="1" si="378"/>
        <v>0</v>
      </c>
      <c r="PY18" s="235">
        <f t="shared" ca="1" si="379"/>
        <v>0</v>
      </c>
      <c r="PZ18" s="235">
        <f t="shared" ca="1" si="380"/>
        <v>0</v>
      </c>
      <c r="QA18" s="242">
        <f t="shared" ca="1" si="381"/>
        <v>0</v>
      </c>
      <c r="QB18" s="241">
        <f t="shared" ca="1" si="331"/>
        <v>1</v>
      </c>
      <c r="QC18" s="220">
        <f t="shared" ca="1" si="382"/>
        <v>0</v>
      </c>
      <c r="QD18" s="220">
        <f t="shared" ca="1" si="383"/>
        <v>0</v>
      </c>
      <c r="QE18" s="235">
        <f t="shared" ca="1" si="384"/>
        <v>0</v>
      </c>
      <c r="QF18" s="235">
        <f t="shared" ca="1" si="385"/>
        <v>0</v>
      </c>
      <c r="QG18" s="242">
        <f t="shared" ca="1" si="386"/>
        <v>0</v>
      </c>
      <c r="QH18" s="241">
        <f t="shared" ca="1" si="387"/>
        <v>1</v>
      </c>
      <c r="QI18" s="220">
        <f t="shared" ca="1" si="388"/>
        <v>0</v>
      </c>
      <c r="QJ18" s="220">
        <f t="shared" ca="1" si="389"/>
        <v>0</v>
      </c>
      <c r="QK18" s="235">
        <f t="shared" ca="1" si="390"/>
        <v>0</v>
      </c>
      <c r="QL18" s="235">
        <f t="shared" ca="1" si="391"/>
        <v>0</v>
      </c>
      <c r="QM18" s="242">
        <f t="shared" ca="1" si="392"/>
        <v>0</v>
      </c>
      <c r="QN18" s="241">
        <f t="shared" ca="1" si="387"/>
        <v>1</v>
      </c>
      <c r="QO18" s="220">
        <f t="shared" ca="1" si="393"/>
        <v>0</v>
      </c>
      <c r="QP18" s="220">
        <f t="shared" ca="1" si="394"/>
        <v>0</v>
      </c>
      <c r="QQ18" s="235">
        <f t="shared" ca="1" si="395"/>
        <v>0</v>
      </c>
      <c r="QR18" s="235">
        <f t="shared" ca="1" si="396"/>
        <v>0</v>
      </c>
      <c r="QS18" s="242">
        <f t="shared" ca="1" si="397"/>
        <v>0</v>
      </c>
      <c r="QT18" s="241">
        <f t="shared" ca="1" si="387"/>
        <v>1</v>
      </c>
      <c r="QU18" s="220">
        <f t="shared" ca="1" si="398"/>
        <v>0</v>
      </c>
      <c r="QV18" s="220">
        <f t="shared" ca="1" si="399"/>
        <v>0</v>
      </c>
      <c r="QW18" s="235">
        <f t="shared" ca="1" si="400"/>
        <v>0</v>
      </c>
      <c r="QX18" s="235">
        <f t="shared" ca="1" si="401"/>
        <v>0</v>
      </c>
      <c r="QY18" s="242">
        <f t="shared" ca="1" si="402"/>
        <v>0</v>
      </c>
      <c r="QZ18" s="241">
        <f t="shared" ca="1" si="387"/>
        <v>1</v>
      </c>
      <c r="RA18" s="220">
        <f t="shared" ca="1" si="403"/>
        <v>0</v>
      </c>
      <c r="RB18" s="220">
        <f t="shared" ca="1" si="404"/>
        <v>0</v>
      </c>
      <c r="RC18" s="235">
        <f t="shared" ca="1" si="405"/>
        <v>0</v>
      </c>
      <c r="RD18" s="235">
        <f t="shared" ca="1" si="406"/>
        <v>0</v>
      </c>
      <c r="RE18" s="242">
        <f t="shared" ca="1" si="407"/>
        <v>0</v>
      </c>
      <c r="RF18" s="241">
        <f t="shared" ca="1" si="387"/>
        <v>1</v>
      </c>
      <c r="RG18" s="220">
        <f t="shared" ca="1" si="408"/>
        <v>0</v>
      </c>
      <c r="RH18" s="220">
        <f t="shared" ca="1" si="409"/>
        <v>0</v>
      </c>
      <c r="RI18" s="235">
        <f t="shared" ca="1" si="410"/>
        <v>0</v>
      </c>
      <c r="RJ18" s="235">
        <f t="shared" ca="1" si="411"/>
        <v>0</v>
      </c>
      <c r="RK18" s="242">
        <f t="shared" ca="1" si="412"/>
        <v>0</v>
      </c>
      <c r="RL18" s="241">
        <f t="shared" ca="1" si="387"/>
        <v>1</v>
      </c>
      <c r="RM18" s="220">
        <f t="shared" ca="1" si="413"/>
        <v>0</v>
      </c>
      <c r="RN18" s="220">
        <f t="shared" ca="1" si="414"/>
        <v>0</v>
      </c>
      <c r="RO18" s="235">
        <f t="shared" ca="1" si="415"/>
        <v>0</v>
      </c>
      <c r="RP18" s="235">
        <f t="shared" ca="1" si="416"/>
        <v>0</v>
      </c>
      <c r="RQ18" s="242">
        <f t="shared" ca="1" si="417"/>
        <v>0</v>
      </c>
      <c r="RR18" s="241">
        <f t="shared" ca="1" si="387"/>
        <v>1</v>
      </c>
      <c r="RS18" s="220">
        <f t="shared" ca="1" si="418"/>
        <v>0</v>
      </c>
      <c r="RT18" s="220">
        <f t="shared" ca="1" si="419"/>
        <v>0</v>
      </c>
      <c r="RU18" s="235">
        <f t="shared" ca="1" si="420"/>
        <v>0</v>
      </c>
      <c r="RV18" s="235">
        <f t="shared" ca="1" si="421"/>
        <v>0</v>
      </c>
      <c r="RW18" s="242">
        <f t="shared" ca="1" si="422"/>
        <v>0</v>
      </c>
      <c r="RX18" s="241">
        <f t="shared" ca="1" si="387"/>
        <v>1</v>
      </c>
      <c r="RY18" s="220">
        <f t="shared" ca="1" si="423"/>
        <v>0</v>
      </c>
      <c r="RZ18" s="220">
        <f t="shared" ca="1" si="424"/>
        <v>0</v>
      </c>
      <c r="SA18" s="235">
        <f t="shared" ca="1" si="425"/>
        <v>0</v>
      </c>
      <c r="SB18" s="235">
        <f t="shared" ca="1" si="426"/>
        <v>0</v>
      </c>
      <c r="SC18" s="242">
        <f t="shared" ca="1" si="427"/>
        <v>0</v>
      </c>
      <c r="SD18" s="241">
        <f t="shared" ca="1" si="387"/>
        <v>1</v>
      </c>
      <c r="SE18" s="220">
        <f t="shared" ca="1" si="428"/>
        <v>0</v>
      </c>
      <c r="SF18" s="220">
        <f t="shared" ca="1" si="429"/>
        <v>0</v>
      </c>
      <c r="SG18" s="235">
        <f t="shared" ca="1" si="430"/>
        <v>0</v>
      </c>
      <c r="SH18" s="235">
        <f t="shared" ca="1" si="431"/>
        <v>0</v>
      </c>
      <c r="SI18" s="242">
        <f t="shared" ca="1" si="432"/>
        <v>0</v>
      </c>
      <c r="SJ18" s="241">
        <f t="shared" ca="1" si="387"/>
        <v>1</v>
      </c>
      <c r="SK18" s="220">
        <f t="shared" ca="1" si="433"/>
        <v>0</v>
      </c>
      <c r="SL18" s="220">
        <f t="shared" ca="1" si="434"/>
        <v>0</v>
      </c>
      <c r="SM18" s="235">
        <f t="shared" ca="1" si="435"/>
        <v>0</v>
      </c>
      <c r="SN18" s="235">
        <f t="shared" ca="1" si="436"/>
        <v>0</v>
      </c>
      <c r="SO18" s="242">
        <f t="shared" ca="1" si="437"/>
        <v>0</v>
      </c>
      <c r="SP18" s="241">
        <f t="shared" ca="1" si="387"/>
        <v>1</v>
      </c>
      <c r="SQ18" s="220">
        <f t="shared" ca="1" si="438"/>
        <v>0</v>
      </c>
      <c r="SR18" s="220">
        <f t="shared" ca="1" si="439"/>
        <v>0</v>
      </c>
      <c r="SS18" s="235">
        <f t="shared" ca="1" si="440"/>
        <v>0</v>
      </c>
      <c r="ST18" s="235">
        <f t="shared" ca="1" si="441"/>
        <v>0</v>
      </c>
      <c r="SU18" s="242">
        <f t="shared" ca="1" si="442"/>
        <v>0</v>
      </c>
      <c r="SV18" s="241">
        <f t="shared" ca="1" si="443"/>
        <v>1</v>
      </c>
      <c r="SW18" s="220">
        <f t="shared" ca="1" si="444"/>
        <v>0</v>
      </c>
      <c r="SX18" s="220">
        <f t="shared" ca="1" si="445"/>
        <v>0</v>
      </c>
      <c r="SY18" s="235">
        <f t="shared" ca="1" si="446"/>
        <v>0</v>
      </c>
      <c r="SZ18" s="235">
        <f t="shared" ca="1" si="447"/>
        <v>0</v>
      </c>
      <c r="TA18" s="242">
        <f t="shared" ca="1" si="448"/>
        <v>0</v>
      </c>
      <c r="TB18" s="241">
        <f t="shared" ca="1" si="443"/>
        <v>1</v>
      </c>
      <c r="TC18" s="220">
        <f t="shared" ca="1" si="449"/>
        <v>0</v>
      </c>
      <c r="TD18" s="220">
        <f t="shared" ca="1" si="450"/>
        <v>0</v>
      </c>
      <c r="TE18" s="235">
        <f t="shared" ca="1" si="451"/>
        <v>0</v>
      </c>
      <c r="TF18" s="235">
        <f t="shared" ca="1" si="452"/>
        <v>0</v>
      </c>
      <c r="TG18" s="242">
        <f t="shared" ca="1" si="453"/>
        <v>0</v>
      </c>
      <c r="TH18" s="241">
        <f t="shared" ca="1" si="443"/>
        <v>1</v>
      </c>
      <c r="TI18" s="220">
        <f t="shared" ca="1" si="454"/>
        <v>0</v>
      </c>
      <c r="TJ18" s="220">
        <f t="shared" ca="1" si="455"/>
        <v>0</v>
      </c>
      <c r="TK18" s="235">
        <f t="shared" ca="1" si="456"/>
        <v>0</v>
      </c>
      <c r="TL18" s="235">
        <f t="shared" ca="1" si="457"/>
        <v>0</v>
      </c>
      <c r="TM18" s="242">
        <f t="shared" ca="1" si="458"/>
        <v>0</v>
      </c>
      <c r="TN18" s="241">
        <f t="shared" ca="1" si="443"/>
        <v>1</v>
      </c>
      <c r="TO18" s="220">
        <f t="shared" ca="1" si="459"/>
        <v>0</v>
      </c>
      <c r="TP18" s="220">
        <f t="shared" ca="1" si="460"/>
        <v>0</v>
      </c>
      <c r="TQ18" s="235">
        <f t="shared" ca="1" si="461"/>
        <v>0</v>
      </c>
      <c r="TR18" s="235">
        <f t="shared" ca="1" si="462"/>
        <v>0</v>
      </c>
      <c r="TS18" s="242">
        <f t="shared" ca="1" si="463"/>
        <v>0</v>
      </c>
      <c r="TT18" s="241">
        <f t="shared" ca="1" si="443"/>
        <v>1</v>
      </c>
      <c r="TU18" s="220">
        <f t="shared" ca="1" si="464"/>
        <v>0</v>
      </c>
      <c r="TV18" s="220">
        <f t="shared" ca="1" si="465"/>
        <v>0</v>
      </c>
      <c r="TW18" s="235">
        <f t="shared" ca="1" si="466"/>
        <v>0</v>
      </c>
      <c r="TX18" s="235">
        <f t="shared" ca="1" si="467"/>
        <v>0</v>
      </c>
      <c r="TY18" s="242">
        <f t="shared" ca="1" si="468"/>
        <v>0</v>
      </c>
      <c r="TZ18" s="241">
        <f t="shared" ca="1" si="443"/>
        <v>1</v>
      </c>
      <c r="UA18" s="220">
        <f t="shared" ca="1" si="469"/>
        <v>0</v>
      </c>
      <c r="UB18" s="220">
        <f t="shared" ca="1" si="470"/>
        <v>0</v>
      </c>
      <c r="UC18" s="235">
        <f t="shared" ca="1" si="471"/>
        <v>0</v>
      </c>
      <c r="UD18" s="235">
        <f t="shared" ca="1" si="472"/>
        <v>0</v>
      </c>
      <c r="UE18" s="242">
        <f t="shared" ca="1" si="473"/>
        <v>0</v>
      </c>
      <c r="UF18" s="241">
        <f t="shared" ca="1" si="443"/>
        <v>1</v>
      </c>
      <c r="UG18" s="220">
        <f t="shared" ca="1" si="474"/>
        <v>0</v>
      </c>
      <c r="UH18" s="220">
        <f t="shared" ca="1" si="475"/>
        <v>0</v>
      </c>
      <c r="UI18" s="235">
        <f t="shared" ca="1" si="476"/>
        <v>0</v>
      </c>
      <c r="UJ18" s="235">
        <f t="shared" ca="1" si="477"/>
        <v>0</v>
      </c>
      <c r="UK18" s="242">
        <f t="shared" ca="1" si="478"/>
        <v>0</v>
      </c>
      <c r="UL18" s="241">
        <f t="shared" ca="1" si="443"/>
        <v>1</v>
      </c>
      <c r="UM18" s="220">
        <f t="shared" ca="1" si="479"/>
        <v>0</v>
      </c>
      <c r="UN18" s="220">
        <f t="shared" ca="1" si="480"/>
        <v>0</v>
      </c>
      <c r="UO18" s="235">
        <f t="shared" ca="1" si="481"/>
        <v>0</v>
      </c>
      <c r="UP18" s="235">
        <f t="shared" ca="1" si="482"/>
        <v>0</v>
      </c>
      <c r="UQ18" s="242">
        <f t="shared" ca="1" si="483"/>
        <v>0</v>
      </c>
      <c r="UR18" s="241">
        <f t="shared" ca="1" si="443"/>
        <v>1</v>
      </c>
      <c r="US18" s="220">
        <f t="shared" ca="1" si="484"/>
        <v>0</v>
      </c>
      <c r="UT18" s="220">
        <f t="shared" ca="1" si="485"/>
        <v>0</v>
      </c>
      <c r="UU18" s="235">
        <f t="shared" ca="1" si="486"/>
        <v>0</v>
      </c>
      <c r="UV18" s="235">
        <f t="shared" ca="1" si="487"/>
        <v>0</v>
      </c>
      <c r="UW18" s="242">
        <f t="shared" ca="1" si="488"/>
        <v>0</v>
      </c>
      <c r="UX18" s="241">
        <f t="shared" ca="1" si="443"/>
        <v>1</v>
      </c>
      <c r="UY18" s="220">
        <f t="shared" ca="1" si="489"/>
        <v>0</v>
      </c>
      <c r="UZ18" s="220">
        <f t="shared" ca="1" si="490"/>
        <v>0</v>
      </c>
      <c r="VA18" s="235">
        <f t="shared" ca="1" si="491"/>
        <v>0</v>
      </c>
      <c r="VB18" s="235">
        <f t="shared" ca="1" si="492"/>
        <v>0</v>
      </c>
      <c r="VC18" s="242">
        <f t="shared" ca="1" si="493"/>
        <v>0</v>
      </c>
      <c r="VD18" s="241">
        <f t="shared" ca="1" si="443"/>
        <v>1</v>
      </c>
      <c r="VE18" s="220">
        <f t="shared" ca="1" si="494"/>
        <v>0</v>
      </c>
      <c r="VF18" s="220">
        <f t="shared" ca="1" si="495"/>
        <v>0</v>
      </c>
      <c r="VG18" s="235">
        <f t="shared" ca="1" si="496"/>
        <v>0</v>
      </c>
      <c r="VH18" s="235">
        <f t="shared" ca="1" si="497"/>
        <v>0</v>
      </c>
      <c r="VI18" s="242">
        <f t="shared" ca="1" si="498"/>
        <v>0</v>
      </c>
      <c r="VJ18" s="241">
        <f t="shared" ca="1" si="499"/>
        <v>1</v>
      </c>
      <c r="VK18" s="220">
        <f t="shared" ca="1" si="500"/>
        <v>0</v>
      </c>
      <c r="VL18" s="220">
        <f t="shared" ca="1" si="501"/>
        <v>0</v>
      </c>
      <c r="VM18" s="235">
        <f t="shared" ca="1" si="502"/>
        <v>0</v>
      </c>
      <c r="VN18" s="235">
        <f t="shared" ca="1" si="503"/>
        <v>0</v>
      </c>
      <c r="VO18" s="242">
        <f t="shared" ca="1" si="504"/>
        <v>0</v>
      </c>
      <c r="VP18" s="241">
        <f t="shared" ca="1" si="499"/>
        <v>1</v>
      </c>
      <c r="VQ18" s="220">
        <f t="shared" ca="1" si="505"/>
        <v>0</v>
      </c>
      <c r="VR18" s="220">
        <f t="shared" ca="1" si="506"/>
        <v>0</v>
      </c>
      <c r="VS18" s="235">
        <f t="shared" ca="1" si="507"/>
        <v>0</v>
      </c>
      <c r="VT18" s="235">
        <f t="shared" ca="1" si="508"/>
        <v>0</v>
      </c>
      <c r="VU18" s="242">
        <f t="shared" ca="1" si="509"/>
        <v>0</v>
      </c>
      <c r="VV18" s="241">
        <f t="shared" ca="1" si="499"/>
        <v>1</v>
      </c>
      <c r="VW18" s="220">
        <f t="shared" ca="1" si="510"/>
        <v>0</v>
      </c>
      <c r="VX18" s="220">
        <f t="shared" ca="1" si="511"/>
        <v>0</v>
      </c>
      <c r="VY18" s="235">
        <f t="shared" ca="1" si="512"/>
        <v>0</v>
      </c>
      <c r="VZ18" s="235">
        <f t="shared" ca="1" si="513"/>
        <v>0</v>
      </c>
      <c r="WA18" s="242">
        <f t="shared" ca="1" si="514"/>
        <v>0</v>
      </c>
      <c r="WB18" s="241">
        <f t="shared" ca="1" si="499"/>
        <v>1</v>
      </c>
      <c r="WC18" s="220">
        <f t="shared" ca="1" si="515"/>
        <v>0</v>
      </c>
      <c r="WD18" s="220">
        <f t="shared" ca="1" si="516"/>
        <v>0</v>
      </c>
      <c r="WE18" s="235">
        <f t="shared" ca="1" si="517"/>
        <v>0</v>
      </c>
      <c r="WF18" s="235">
        <f t="shared" ca="1" si="518"/>
        <v>0</v>
      </c>
      <c r="WG18" s="242">
        <f t="shared" ca="1" si="519"/>
        <v>0</v>
      </c>
      <c r="WH18" s="241">
        <f t="shared" ca="1" si="499"/>
        <v>1</v>
      </c>
      <c r="WI18" s="220">
        <f t="shared" ca="1" si="520"/>
        <v>0</v>
      </c>
      <c r="WJ18" s="220">
        <f t="shared" ca="1" si="521"/>
        <v>0</v>
      </c>
      <c r="WK18" s="235">
        <f t="shared" ca="1" si="522"/>
        <v>0</v>
      </c>
      <c r="WL18" s="235">
        <f t="shared" ca="1" si="523"/>
        <v>0</v>
      </c>
      <c r="WM18" s="242">
        <f t="shared" ca="1" si="524"/>
        <v>0</v>
      </c>
      <c r="WN18" s="241">
        <f t="shared" ca="1" si="499"/>
        <v>1</v>
      </c>
      <c r="WO18" s="220">
        <f t="shared" ca="1" si="525"/>
        <v>0</v>
      </c>
      <c r="WP18" s="220">
        <f t="shared" ca="1" si="526"/>
        <v>0</v>
      </c>
      <c r="WQ18" s="235">
        <f t="shared" ca="1" si="527"/>
        <v>0</v>
      </c>
      <c r="WR18" s="235">
        <f t="shared" ca="1" si="528"/>
        <v>0</v>
      </c>
      <c r="WS18" s="242">
        <f t="shared" ca="1" si="529"/>
        <v>0</v>
      </c>
      <c r="WT18" s="241">
        <f t="shared" ca="1" si="499"/>
        <v>1</v>
      </c>
      <c r="WU18" s="220">
        <f t="shared" ca="1" si="530"/>
        <v>0</v>
      </c>
      <c r="WV18" s="220">
        <f t="shared" ca="1" si="531"/>
        <v>0</v>
      </c>
      <c r="WW18" s="235">
        <f t="shared" ca="1" si="532"/>
        <v>0</v>
      </c>
      <c r="WX18" s="235">
        <f t="shared" ca="1" si="533"/>
        <v>0</v>
      </c>
      <c r="WY18" s="242">
        <f t="shared" ca="1" si="534"/>
        <v>0</v>
      </c>
      <c r="WZ18" s="241">
        <f t="shared" ca="1" si="499"/>
        <v>1</v>
      </c>
      <c r="XA18" s="220">
        <f t="shared" ca="1" si="535"/>
        <v>0</v>
      </c>
      <c r="XB18" s="220">
        <f t="shared" ca="1" si="536"/>
        <v>0</v>
      </c>
      <c r="XC18" s="235">
        <f t="shared" ca="1" si="537"/>
        <v>0</v>
      </c>
      <c r="XD18" s="235">
        <f t="shared" ca="1" si="538"/>
        <v>0</v>
      </c>
      <c r="XE18" s="242">
        <f t="shared" ca="1" si="539"/>
        <v>0</v>
      </c>
      <c r="XF18" s="241">
        <f t="shared" ca="1" si="499"/>
        <v>1</v>
      </c>
      <c r="XG18" s="220">
        <f t="shared" ca="1" si="540"/>
        <v>0</v>
      </c>
      <c r="XH18" s="220">
        <f t="shared" ca="1" si="541"/>
        <v>0</v>
      </c>
      <c r="XI18" s="235">
        <f t="shared" ca="1" si="542"/>
        <v>0</v>
      </c>
      <c r="XJ18" s="235">
        <f t="shared" ca="1" si="543"/>
        <v>0</v>
      </c>
      <c r="XK18" s="242">
        <f t="shared" ca="1" si="544"/>
        <v>0</v>
      </c>
    </row>
    <row r="19" spans="2:635" x14ac:dyDescent="0.25">
      <c r="B19" s="65">
        <f t="shared" ca="1" si="14"/>
        <v>2034</v>
      </c>
      <c r="C19" s="65" t="s">
        <v>741</v>
      </c>
      <c r="D19" s="77">
        <f t="shared" si="15"/>
        <v>0</v>
      </c>
      <c r="E19" s="77">
        <f t="shared" si="16"/>
        <v>0</v>
      </c>
      <c r="F19" s="77">
        <f t="shared" si="17"/>
        <v>0</v>
      </c>
      <c r="G19" s="77">
        <f t="shared" si="18"/>
        <v>0</v>
      </c>
      <c r="H19" s="15" t="e">
        <f t="shared" ca="1" si="19"/>
        <v>#REF!</v>
      </c>
      <c r="L19" s="326">
        <f t="shared" ca="1" si="20"/>
        <v>3.5000000000000003E-2</v>
      </c>
      <c r="M19" s="327">
        <f t="shared" ca="1" si="21"/>
        <v>3.5000000000000003E-2</v>
      </c>
      <c r="N19" s="322">
        <f t="shared" ca="1" si="22"/>
        <v>-11</v>
      </c>
      <c r="O19" s="322">
        <f t="shared" ca="1" si="23"/>
        <v>0</v>
      </c>
      <c r="P19" s="328">
        <f t="shared" ca="1" si="545"/>
        <v>0</v>
      </c>
      <c r="Q19" s="328">
        <f t="shared" ca="1" si="546"/>
        <v>0</v>
      </c>
      <c r="R19" s="328">
        <f t="shared" ca="1" si="547"/>
        <v>0</v>
      </c>
      <c r="S19" s="329">
        <f t="shared" ca="1" si="24"/>
        <v>0</v>
      </c>
      <c r="T19" s="329">
        <f t="shared" ca="1" si="25"/>
        <v>0</v>
      </c>
      <c r="U19" s="329">
        <f t="shared" ca="1" si="26"/>
        <v>0</v>
      </c>
      <c r="V19" s="320" t="e">
        <f t="shared" ca="1" si="27"/>
        <v>#REF!</v>
      </c>
      <c r="W19" s="320" t="e">
        <f t="shared" ca="1" si="28"/>
        <v>#REF!</v>
      </c>
      <c r="X19" s="320" t="e">
        <f t="shared" ca="1" si="29"/>
        <v>#REF!</v>
      </c>
      <c r="Y19" s="320" t="e">
        <f ca="1">INDEX(SC_ZA_HECMLumpSum,ZAIDX)</f>
        <v>#REF!</v>
      </c>
      <c r="Z19" s="320" t="e">
        <f t="shared" ca="1" si="30"/>
        <v>#REF!</v>
      </c>
      <c r="AA19" s="320">
        <f t="shared" ca="1" si="31"/>
        <v>0</v>
      </c>
      <c r="AB19" s="320" t="e">
        <f t="shared" ca="1" si="32"/>
        <v>#REF!</v>
      </c>
      <c r="AC19" s="330" t="e">
        <f t="shared" ca="1" si="33"/>
        <v>#REF!</v>
      </c>
      <c r="AD19" s="236" t="e">
        <f t="shared" ca="1" si="548"/>
        <v>#REF!</v>
      </c>
      <c r="AE19" s="320" t="e">
        <f t="shared" ca="1" si="34"/>
        <v>#REF!</v>
      </c>
      <c r="AF19" s="320" t="e">
        <f t="shared" ca="1" si="35"/>
        <v>#REF!</v>
      </c>
      <c r="AG19" s="320" t="e">
        <f t="shared" ca="1" si="549"/>
        <v>#REF!</v>
      </c>
      <c r="AH19" s="284" t="e">
        <f t="shared" ca="1" si="550"/>
        <v>#REF!</v>
      </c>
      <c r="AI19" s="318" t="e">
        <f t="shared" ca="1" si="551"/>
        <v>#REF!</v>
      </c>
      <c r="AJ19" s="331">
        <f t="shared" ca="1" si="552"/>
        <v>1</v>
      </c>
      <c r="AK19" s="220">
        <f t="shared" ca="1" si="553"/>
        <v>0</v>
      </c>
      <c r="AL19" s="220">
        <f t="shared" ca="1" si="37"/>
        <v>0</v>
      </c>
      <c r="AM19" s="235">
        <f t="shared" ca="1" si="554"/>
        <v>0</v>
      </c>
      <c r="AN19" s="235">
        <f t="shared" ca="1" si="555"/>
        <v>0</v>
      </c>
      <c r="AO19" s="242">
        <f t="shared" ca="1" si="556"/>
        <v>0</v>
      </c>
      <c r="AP19" s="241">
        <f t="shared" ca="1" si="552"/>
        <v>1</v>
      </c>
      <c r="AQ19" s="220">
        <f t="shared" ca="1" si="41"/>
        <v>0</v>
      </c>
      <c r="AR19" s="220">
        <f t="shared" ca="1" si="42"/>
        <v>0</v>
      </c>
      <c r="AS19" s="235">
        <f t="shared" ca="1" si="43"/>
        <v>0</v>
      </c>
      <c r="AT19" s="235">
        <f t="shared" ca="1" si="44"/>
        <v>0</v>
      </c>
      <c r="AU19" s="242">
        <f t="shared" ca="1" si="45"/>
        <v>0</v>
      </c>
      <c r="AV19" s="241">
        <f t="shared" ca="1" si="552"/>
        <v>1</v>
      </c>
      <c r="AW19" s="220">
        <f t="shared" ca="1" si="46"/>
        <v>0</v>
      </c>
      <c r="AX19" s="220">
        <f t="shared" ca="1" si="47"/>
        <v>0</v>
      </c>
      <c r="AY19" s="235">
        <f t="shared" ca="1" si="48"/>
        <v>0</v>
      </c>
      <c r="AZ19" s="235">
        <f t="shared" ca="1" si="49"/>
        <v>0</v>
      </c>
      <c r="BA19" s="242">
        <f t="shared" ca="1" si="50"/>
        <v>0</v>
      </c>
      <c r="BB19" s="241">
        <f t="shared" ca="1" si="552"/>
        <v>1</v>
      </c>
      <c r="BC19" s="220">
        <f t="shared" ca="1" si="52"/>
        <v>0</v>
      </c>
      <c r="BD19" s="220">
        <f t="shared" ca="1" si="53"/>
        <v>0</v>
      </c>
      <c r="BE19" s="235">
        <f t="shared" ca="1" si="54"/>
        <v>0</v>
      </c>
      <c r="BF19" s="235">
        <f t="shared" ca="1" si="55"/>
        <v>0</v>
      </c>
      <c r="BG19" s="242">
        <f t="shared" ca="1" si="56"/>
        <v>0</v>
      </c>
      <c r="BH19" s="241">
        <f t="shared" ca="1" si="552"/>
        <v>1</v>
      </c>
      <c r="BI19" s="220">
        <f t="shared" ca="1" si="57"/>
        <v>0</v>
      </c>
      <c r="BJ19" s="220">
        <f t="shared" ca="1" si="58"/>
        <v>0</v>
      </c>
      <c r="BK19" s="235">
        <f t="shared" ca="1" si="59"/>
        <v>0</v>
      </c>
      <c r="BL19" s="235">
        <f t="shared" ca="1" si="60"/>
        <v>0</v>
      </c>
      <c r="BM19" s="242">
        <f t="shared" ca="1" si="61"/>
        <v>0</v>
      </c>
      <c r="BN19" s="241">
        <f t="shared" ca="1" si="552"/>
        <v>1</v>
      </c>
      <c r="BO19" s="220">
        <f t="shared" ca="1" si="62"/>
        <v>0</v>
      </c>
      <c r="BP19" s="220">
        <f t="shared" ca="1" si="63"/>
        <v>0</v>
      </c>
      <c r="BQ19" s="235">
        <f t="shared" ca="1" si="64"/>
        <v>0</v>
      </c>
      <c r="BR19" s="235">
        <f t="shared" ca="1" si="65"/>
        <v>0</v>
      </c>
      <c r="BS19" s="242">
        <f t="shared" ca="1" si="66"/>
        <v>0</v>
      </c>
      <c r="BT19" s="241">
        <f t="shared" ca="1" si="552"/>
        <v>1</v>
      </c>
      <c r="BU19" s="220">
        <f t="shared" ca="1" si="67"/>
        <v>0</v>
      </c>
      <c r="BV19" s="220">
        <f t="shared" ca="1" si="68"/>
        <v>0</v>
      </c>
      <c r="BW19" s="235">
        <f t="shared" ca="1" si="69"/>
        <v>0</v>
      </c>
      <c r="BX19" s="235">
        <f t="shared" ca="1" si="70"/>
        <v>0</v>
      </c>
      <c r="BY19" s="242">
        <f t="shared" ca="1" si="71"/>
        <v>0</v>
      </c>
      <c r="BZ19" s="241">
        <f t="shared" ca="1" si="552"/>
        <v>1</v>
      </c>
      <c r="CA19" s="220">
        <f t="shared" ca="1" si="72"/>
        <v>0</v>
      </c>
      <c r="CB19" s="220">
        <f t="shared" ca="1" si="73"/>
        <v>0</v>
      </c>
      <c r="CC19" s="235">
        <f t="shared" ca="1" si="74"/>
        <v>0</v>
      </c>
      <c r="CD19" s="235">
        <f t="shared" ca="1" si="75"/>
        <v>0</v>
      </c>
      <c r="CE19" s="242">
        <f t="shared" ca="1" si="76"/>
        <v>0</v>
      </c>
      <c r="CF19" s="241">
        <f t="shared" ca="1" si="552"/>
        <v>1</v>
      </c>
      <c r="CG19" s="220">
        <f t="shared" ca="1" si="77"/>
        <v>0</v>
      </c>
      <c r="CH19" s="220">
        <f t="shared" ca="1" si="78"/>
        <v>0</v>
      </c>
      <c r="CI19" s="235">
        <f t="shared" ca="1" si="79"/>
        <v>0</v>
      </c>
      <c r="CJ19" s="235">
        <f t="shared" ca="1" si="80"/>
        <v>0</v>
      </c>
      <c r="CK19" s="242">
        <f t="shared" ca="1" si="81"/>
        <v>0</v>
      </c>
      <c r="CL19" s="241">
        <f t="shared" ca="1" si="552"/>
        <v>1</v>
      </c>
      <c r="CM19" s="220">
        <f t="shared" ca="1" si="82"/>
        <v>0</v>
      </c>
      <c r="CN19" s="220">
        <f t="shared" ca="1" si="83"/>
        <v>0</v>
      </c>
      <c r="CO19" s="235">
        <f t="shared" ca="1" si="84"/>
        <v>0</v>
      </c>
      <c r="CP19" s="235">
        <f t="shared" ca="1" si="85"/>
        <v>0</v>
      </c>
      <c r="CQ19" s="242">
        <f t="shared" ca="1" si="86"/>
        <v>0</v>
      </c>
      <c r="CR19" s="241">
        <f t="shared" ca="1" si="552"/>
        <v>1</v>
      </c>
      <c r="CS19" s="220">
        <f t="shared" ca="1" si="87"/>
        <v>0</v>
      </c>
      <c r="CT19" s="220">
        <f t="shared" ca="1" si="88"/>
        <v>0</v>
      </c>
      <c r="CU19" s="235">
        <f t="shared" ca="1" si="89"/>
        <v>0</v>
      </c>
      <c r="CV19" s="235">
        <f t="shared" ca="1" si="90"/>
        <v>0</v>
      </c>
      <c r="CW19" s="242">
        <f t="shared" ca="1" si="91"/>
        <v>0</v>
      </c>
      <c r="CX19" s="241">
        <f t="shared" ca="1" si="51"/>
        <v>1</v>
      </c>
      <c r="CY19" s="220">
        <f t="shared" ca="1" si="92"/>
        <v>0</v>
      </c>
      <c r="CZ19" s="220">
        <f t="shared" ca="1" si="93"/>
        <v>0</v>
      </c>
      <c r="DA19" s="235">
        <f t="shared" ca="1" si="94"/>
        <v>0</v>
      </c>
      <c r="DB19" s="235">
        <f t="shared" ca="1" si="95"/>
        <v>0</v>
      </c>
      <c r="DC19" s="242">
        <f t="shared" ca="1" si="96"/>
        <v>0</v>
      </c>
      <c r="DD19" s="241">
        <f t="shared" ca="1" si="51"/>
        <v>1</v>
      </c>
      <c r="DE19" s="220">
        <f t="shared" ca="1" si="97"/>
        <v>0</v>
      </c>
      <c r="DF19" s="220">
        <f t="shared" ca="1" si="98"/>
        <v>0</v>
      </c>
      <c r="DG19" s="235">
        <f t="shared" ca="1" si="99"/>
        <v>0</v>
      </c>
      <c r="DH19" s="235">
        <f t="shared" ca="1" si="100"/>
        <v>0</v>
      </c>
      <c r="DI19" s="242">
        <f t="shared" ca="1" si="101"/>
        <v>0</v>
      </c>
      <c r="DJ19" s="241">
        <f t="shared" ca="1" si="51"/>
        <v>1</v>
      </c>
      <c r="DK19" s="220">
        <f t="shared" ca="1" si="102"/>
        <v>0</v>
      </c>
      <c r="DL19" s="220">
        <f t="shared" ca="1" si="103"/>
        <v>0</v>
      </c>
      <c r="DM19" s="235">
        <f t="shared" ca="1" si="104"/>
        <v>0</v>
      </c>
      <c r="DN19" s="235">
        <f t="shared" ca="1" si="105"/>
        <v>0</v>
      </c>
      <c r="DO19" s="242">
        <f t="shared" ca="1" si="106"/>
        <v>0</v>
      </c>
      <c r="DP19" s="241">
        <f t="shared" ca="1" si="107"/>
        <v>1</v>
      </c>
      <c r="DQ19" s="220">
        <f t="shared" ca="1" si="108"/>
        <v>0</v>
      </c>
      <c r="DR19" s="220">
        <f t="shared" ca="1" si="109"/>
        <v>0</v>
      </c>
      <c r="DS19" s="235">
        <f t="shared" ca="1" si="110"/>
        <v>0</v>
      </c>
      <c r="DT19" s="235">
        <f t="shared" ca="1" si="111"/>
        <v>0</v>
      </c>
      <c r="DU19" s="242">
        <f t="shared" ca="1" si="112"/>
        <v>0</v>
      </c>
      <c r="DV19" s="241">
        <f t="shared" ca="1" si="107"/>
        <v>1</v>
      </c>
      <c r="DW19" s="220">
        <f t="shared" ca="1" si="113"/>
        <v>0</v>
      </c>
      <c r="DX19" s="220">
        <f t="shared" ca="1" si="114"/>
        <v>0</v>
      </c>
      <c r="DY19" s="235">
        <f t="shared" ca="1" si="115"/>
        <v>0</v>
      </c>
      <c r="DZ19" s="235">
        <f t="shared" ca="1" si="116"/>
        <v>0</v>
      </c>
      <c r="EA19" s="242">
        <f t="shared" ca="1" si="117"/>
        <v>0</v>
      </c>
      <c r="EB19" s="241">
        <f t="shared" ca="1" si="107"/>
        <v>1</v>
      </c>
      <c r="EC19" s="220">
        <f t="shared" ca="1" si="118"/>
        <v>0</v>
      </c>
      <c r="ED19" s="220">
        <f t="shared" ca="1" si="119"/>
        <v>0</v>
      </c>
      <c r="EE19" s="235">
        <f t="shared" ca="1" si="120"/>
        <v>0</v>
      </c>
      <c r="EF19" s="235">
        <f t="shared" ca="1" si="121"/>
        <v>0</v>
      </c>
      <c r="EG19" s="242">
        <f t="shared" ca="1" si="122"/>
        <v>0</v>
      </c>
      <c r="EH19" s="241">
        <f t="shared" ca="1" si="107"/>
        <v>1</v>
      </c>
      <c r="EI19" s="220">
        <f t="shared" ca="1" si="123"/>
        <v>0</v>
      </c>
      <c r="EJ19" s="220">
        <f t="shared" ca="1" si="124"/>
        <v>0</v>
      </c>
      <c r="EK19" s="235">
        <f t="shared" ca="1" si="125"/>
        <v>0</v>
      </c>
      <c r="EL19" s="235">
        <f t="shared" ca="1" si="126"/>
        <v>0</v>
      </c>
      <c r="EM19" s="242">
        <f t="shared" ca="1" si="127"/>
        <v>0</v>
      </c>
      <c r="EN19" s="241">
        <f t="shared" ca="1" si="107"/>
        <v>1</v>
      </c>
      <c r="EO19" s="220">
        <f t="shared" ca="1" si="128"/>
        <v>0</v>
      </c>
      <c r="EP19" s="220">
        <f t="shared" ca="1" si="129"/>
        <v>0</v>
      </c>
      <c r="EQ19" s="235">
        <f t="shared" ca="1" si="130"/>
        <v>0</v>
      </c>
      <c r="ER19" s="235">
        <f t="shared" ca="1" si="131"/>
        <v>0</v>
      </c>
      <c r="ES19" s="242">
        <f t="shared" ca="1" si="132"/>
        <v>0</v>
      </c>
      <c r="ET19" s="241">
        <f t="shared" ca="1" si="107"/>
        <v>1</v>
      </c>
      <c r="EU19" s="220">
        <f t="shared" ca="1" si="133"/>
        <v>0</v>
      </c>
      <c r="EV19" s="220">
        <f t="shared" ca="1" si="134"/>
        <v>0</v>
      </c>
      <c r="EW19" s="235">
        <f t="shared" ca="1" si="135"/>
        <v>0</v>
      </c>
      <c r="EX19" s="235">
        <f t="shared" ca="1" si="136"/>
        <v>0</v>
      </c>
      <c r="EY19" s="242">
        <f t="shared" ca="1" si="137"/>
        <v>0</v>
      </c>
      <c r="EZ19" s="241">
        <f t="shared" ca="1" si="107"/>
        <v>1</v>
      </c>
      <c r="FA19" s="220">
        <f t="shared" ca="1" si="138"/>
        <v>0</v>
      </c>
      <c r="FB19" s="220">
        <f t="shared" ca="1" si="139"/>
        <v>0</v>
      </c>
      <c r="FC19" s="235">
        <f t="shared" ca="1" si="140"/>
        <v>0</v>
      </c>
      <c r="FD19" s="235">
        <f t="shared" ca="1" si="141"/>
        <v>0</v>
      </c>
      <c r="FE19" s="242">
        <f t="shared" ca="1" si="142"/>
        <v>0</v>
      </c>
      <c r="FF19" s="241">
        <f t="shared" ca="1" si="107"/>
        <v>1</v>
      </c>
      <c r="FG19" s="220">
        <f t="shared" ca="1" si="143"/>
        <v>0</v>
      </c>
      <c r="FH19" s="220">
        <f t="shared" ca="1" si="144"/>
        <v>0</v>
      </c>
      <c r="FI19" s="235">
        <f t="shared" ca="1" si="145"/>
        <v>0</v>
      </c>
      <c r="FJ19" s="235">
        <f t="shared" ca="1" si="146"/>
        <v>0</v>
      </c>
      <c r="FK19" s="242">
        <f t="shared" ca="1" si="147"/>
        <v>0</v>
      </c>
      <c r="FL19" s="241">
        <f t="shared" ca="1" si="107"/>
        <v>1</v>
      </c>
      <c r="FM19" s="220">
        <f t="shared" ca="1" si="148"/>
        <v>0</v>
      </c>
      <c r="FN19" s="220">
        <f t="shared" ca="1" si="149"/>
        <v>0</v>
      </c>
      <c r="FO19" s="235">
        <f t="shared" ca="1" si="150"/>
        <v>0</v>
      </c>
      <c r="FP19" s="235">
        <f t="shared" ca="1" si="151"/>
        <v>0</v>
      </c>
      <c r="FQ19" s="242">
        <f t="shared" ca="1" si="152"/>
        <v>0</v>
      </c>
      <c r="FR19" s="241">
        <f t="shared" ca="1" si="107"/>
        <v>1</v>
      </c>
      <c r="FS19" s="220">
        <f t="shared" ca="1" si="153"/>
        <v>0</v>
      </c>
      <c r="FT19" s="220">
        <f t="shared" ca="1" si="154"/>
        <v>0</v>
      </c>
      <c r="FU19" s="235">
        <f t="shared" ca="1" si="155"/>
        <v>0</v>
      </c>
      <c r="FV19" s="235">
        <f t="shared" ca="1" si="156"/>
        <v>0</v>
      </c>
      <c r="FW19" s="242">
        <f t="shared" ca="1" si="157"/>
        <v>0</v>
      </c>
      <c r="FX19" s="241">
        <f t="shared" ca="1" si="107"/>
        <v>1</v>
      </c>
      <c r="FY19" s="220">
        <f t="shared" ca="1" si="158"/>
        <v>0</v>
      </c>
      <c r="FZ19" s="220">
        <f t="shared" ca="1" si="159"/>
        <v>0</v>
      </c>
      <c r="GA19" s="235">
        <f t="shared" ca="1" si="160"/>
        <v>0</v>
      </c>
      <c r="GB19" s="235">
        <f t="shared" ca="1" si="161"/>
        <v>0</v>
      </c>
      <c r="GC19" s="242">
        <f t="shared" ca="1" si="162"/>
        <v>0</v>
      </c>
      <c r="GD19" s="241">
        <f t="shared" ca="1" si="163"/>
        <v>1</v>
      </c>
      <c r="GE19" s="220">
        <f t="shared" ca="1" si="164"/>
        <v>0</v>
      </c>
      <c r="GF19" s="220">
        <f t="shared" ca="1" si="165"/>
        <v>0</v>
      </c>
      <c r="GG19" s="235">
        <f t="shared" ca="1" si="166"/>
        <v>0</v>
      </c>
      <c r="GH19" s="235">
        <f t="shared" ca="1" si="167"/>
        <v>0</v>
      </c>
      <c r="GI19" s="242">
        <f t="shared" ca="1" si="168"/>
        <v>0</v>
      </c>
      <c r="GJ19" s="241">
        <f t="shared" ca="1" si="163"/>
        <v>1</v>
      </c>
      <c r="GK19" s="220">
        <f t="shared" ca="1" si="169"/>
        <v>0</v>
      </c>
      <c r="GL19" s="220">
        <f t="shared" ca="1" si="170"/>
        <v>0</v>
      </c>
      <c r="GM19" s="235">
        <f t="shared" ca="1" si="171"/>
        <v>0</v>
      </c>
      <c r="GN19" s="235">
        <f t="shared" ca="1" si="172"/>
        <v>0</v>
      </c>
      <c r="GO19" s="242">
        <f t="shared" ca="1" si="173"/>
        <v>0</v>
      </c>
      <c r="GP19" s="241">
        <f t="shared" ca="1" si="163"/>
        <v>1</v>
      </c>
      <c r="GQ19" s="220">
        <f t="shared" ca="1" si="174"/>
        <v>0</v>
      </c>
      <c r="GR19" s="220">
        <f t="shared" ca="1" si="175"/>
        <v>0</v>
      </c>
      <c r="GS19" s="235">
        <f t="shared" ca="1" si="176"/>
        <v>0</v>
      </c>
      <c r="GT19" s="235">
        <f t="shared" ca="1" si="177"/>
        <v>0</v>
      </c>
      <c r="GU19" s="242">
        <f t="shared" ca="1" si="178"/>
        <v>0</v>
      </c>
      <c r="GV19" s="241">
        <f t="shared" ca="1" si="163"/>
        <v>1</v>
      </c>
      <c r="GW19" s="220">
        <f t="shared" ca="1" si="179"/>
        <v>0</v>
      </c>
      <c r="GX19" s="220">
        <f t="shared" ca="1" si="180"/>
        <v>0</v>
      </c>
      <c r="GY19" s="235">
        <f t="shared" ca="1" si="181"/>
        <v>0</v>
      </c>
      <c r="GZ19" s="235">
        <f t="shared" ca="1" si="182"/>
        <v>0</v>
      </c>
      <c r="HA19" s="242">
        <f t="shared" ca="1" si="183"/>
        <v>0</v>
      </c>
      <c r="HB19" s="241">
        <f t="shared" ca="1" si="163"/>
        <v>1</v>
      </c>
      <c r="HC19" s="220">
        <f t="shared" ca="1" si="184"/>
        <v>0</v>
      </c>
      <c r="HD19" s="220">
        <f t="shared" ca="1" si="185"/>
        <v>0</v>
      </c>
      <c r="HE19" s="235">
        <f t="shared" ca="1" si="186"/>
        <v>0</v>
      </c>
      <c r="HF19" s="235">
        <f t="shared" ca="1" si="187"/>
        <v>0</v>
      </c>
      <c r="HG19" s="242">
        <f t="shared" ca="1" si="188"/>
        <v>0</v>
      </c>
      <c r="HH19" s="241">
        <f t="shared" ca="1" si="163"/>
        <v>1</v>
      </c>
      <c r="HI19" s="220">
        <f t="shared" ca="1" si="189"/>
        <v>0</v>
      </c>
      <c r="HJ19" s="220">
        <f t="shared" ca="1" si="190"/>
        <v>0</v>
      </c>
      <c r="HK19" s="235">
        <f t="shared" ca="1" si="191"/>
        <v>0</v>
      </c>
      <c r="HL19" s="235">
        <f t="shared" ca="1" si="192"/>
        <v>0</v>
      </c>
      <c r="HM19" s="242">
        <f t="shared" ca="1" si="193"/>
        <v>0</v>
      </c>
      <c r="HN19" s="241">
        <f t="shared" ca="1" si="163"/>
        <v>1</v>
      </c>
      <c r="HO19" s="220">
        <f t="shared" ca="1" si="194"/>
        <v>0</v>
      </c>
      <c r="HP19" s="220">
        <f t="shared" ca="1" si="195"/>
        <v>0</v>
      </c>
      <c r="HQ19" s="235">
        <f t="shared" ca="1" si="196"/>
        <v>0</v>
      </c>
      <c r="HR19" s="235">
        <f t="shared" ca="1" si="197"/>
        <v>0</v>
      </c>
      <c r="HS19" s="242">
        <f t="shared" ca="1" si="198"/>
        <v>0</v>
      </c>
      <c r="HT19" s="241">
        <f t="shared" ca="1" si="163"/>
        <v>1</v>
      </c>
      <c r="HU19" s="220">
        <f t="shared" ca="1" si="199"/>
        <v>0</v>
      </c>
      <c r="HV19" s="220">
        <f t="shared" ca="1" si="200"/>
        <v>0</v>
      </c>
      <c r="HW19" s="235">
        <f t="shared" ca="1" si="201"/>
        <v>0</v>
      </c>
      <c r="HX19" s="235">
        <f t="shared" ca="1" si="202"/>
        <v>0</v>
      </c>
      <c r="HY19" s="242">
        <f t="shared" ca="1" si="203"/>
        <v>0</v>
      </c>
      <c r="HZ19" s="241">
        <f t="shared" ca="1" si="163"/>
        <v>1</v>
      </c>
      <c r="IA19" s="220">
        <f t="shared" ca="1" si="204"/>
        <v>0</v>
      </c>
      <c r="IB19" s="220">
        <f t="shared" ca="1" si="205"/>
        <v>0</v>
      </c>
      <c r="IC19" s="235">
        <f t="shared" ca="1" si="206"/>
        <v>0</v>
      </c>
      <c r="ID19" s="235">
        <f t="shared" ca="1" si="207"/>
        <v>0</v>
      </c>
      <c r="IE19" s="242">
        <f t="shared" ca="1" si="208"/>
        <v>0</v>
      </c>
      <c r="IF19" s="241">
        <f t="shared" ca="1" si="163"/>
        <v>1</v>
      </c>
      <c r="IG19" s="220">
        <f t="shared" ca="1" si="209"/>
        <v>0</v>
      </c>
      <c r="IH19" s="220">
        <f t="shared" ca="1" si="210"/>
        <v>0</v>
      </c>
      <c r="II19" s="235">
        <f t="shared" ca="1" si="211"/>
        <v>0</v>
      </c>
      <c r="IJ19" s="235">
        <f t="shared" ca="1" si="212"/>
        <v>0</v>
      </c>
      <c r="IK19" s="242">
        <f t="shared" ca="1" si="213"/>
        <v>0</v>
      </c>
      <c r="IL19" s="241">
        <f t="shared" ca="1" si="163"/>
        <v>1</v>
      </c>
      <c r="IM19" s="220">
        <f t="shared" ca="1" si="214"/>
        <v>0</v>
      </c>
      <c r="IN19" s="220">
        <f t="shared" ca="1" si="215"/>
        <v>0</v>
      </c>
      <c r="IO19" s="235">
        <f t="shared" ca="1" si="216"/>
        <v>0</v>
      </c>
      <c r="IP19" s="235">
        <f t="shared" ca="1" si="217"/>
        <v>0</v>
      </c>
      <c r="IQ19" s="242">
        <f t="shared" ca="1" si="218"/>
        <v>0</v>
      </c>
      <c r="IR19" s="241">
        <f t="shared" ca="1" si="219"/>
        <v>1</v>
      </c>
      <c r="IS19" s="220">
        <f t="shared" ca="1" si="220"/>
        <v>0</v>
      </c>
      <c r="IT19" s="220">
        <f t="shared" ca="1" si="221"/>
        <v>0</v>
      </c>
      <c r="IU19" s="235">
        <f t="shared" ca="1" si="222"/>
        <v>0</v>
      </c>
      <c r="IV19" s="235">
        <f t="shared" ca="1" si="223"/>
        <v>0</v>
      </c>
      <c r="IW19" s="242">
        <f t="shared" ca="1" si="224"/>
        <v>0</v>
      </c>
      <c r="IX19" s="241">
        <f t="shared" ca="1" si="219"/>
        <v>1</v>
      </c>
      <c r="IY19" s="220">
        <f t="shared" ca="1" si="225"/>
        <v>0</v>
      </c>
      <c r="IZ19" s="220">
        <f t="shared" ca="1" si="226"/>
        <v>0</v>
      </c>
      <c r="JA19" s="235">
        <f t="shared" ca="1" si="227"/>
        <v>0</v>
      </c>
      <c r="JB19" s="235">
        <f t="shared" ca="1" si="228"/>
        <v>0</v>
      </c>
      <c r="JC19" s="242">
        <f t="shared" ca="1" si="229"/>
        <v>0</v>
      </c>
      <c r="JD19" s="241">
        <f t="shared" ca="1" si="219"/>
        <v>1</v>
      </c>
      <c r="JE19" s="220">
        <f t="shared" ca="1" si="230"/>
        <v>0</v>
      </c>
      <c r="JF19" s="220">
        <f t="shared" ca="1" si="231"/>
        <v>0</v>
      </c>
      <c r="JG19" s="235">
        <f t="shared" ca="1" si="232"/>
        <v>0</v>
      </c>
      <c r="JH19" s="235">
        <f t="shared" ca="1" si="233"/>
        <v>0</v>
      </c>
      <c r="JI19" s="242">
        <f t="shared" ca="1" si="234"/>
        <v>0</v>
      </c>
      <c r="JJ19" s="241">
        <f t="shared" ca="1" si="219"/>
        <v>1</v>
      </c>
      <c r="JK19" s="220">
        <f t="shared" ca="1" si="235"/>
        <v>0</v>
      </c>
      <c r="JL19" s="220">
        <f t="shared" ca="1" si="236"/>
        <v>0</v>
      </c>
      <c r="JM19" s="235">
        <f t="shared" ca="1" si="237"/>
        <v>0</v>
      </c>
      <c r="JN19" s="235">
        <f t="shared" ca="1" si="238"/>
        <v>0</v>
      </c>
      <c r="JO19" s="242">
        <f t="shared" ca="1" si="239"/>
        <v>0</v>
      </c>
      <c r="JP19" s="241">
        <f t="shared" ca="1" si="219"/>
        <v>1</v>
      </c>
      <c r="JQ19" s="220">
        <f t="shared" ca="1" si="240"/>
        <v>0</v>
      </c>
      <c r="JR19" s="220">
        <f t="shared" ca="1" si="241"/>
        <v>0</v>
      </c>
      <c r="JS19" s="235">
        <f t="shared" ca="1" si="242"/>
        <v>0</v>
      </c>
      <c r="JT19" s="235">
        <f t="shared" ca="1" si="243"/>
        <v>0</v>
      </c>
      <c r="JU19" s="242">
        <f t="shared" ca="1" si="244"/>
        <v>0</v>
      </c>
      <c r="JV19" s="241">
        <f t="shared" ca="1" si="219"/>
        <v>1</v>
      </c>
      <c r="JW19" s="220">
        <f t="shared" ca="1" si="245"/>
        <v>0</v>
      </c>
      <c r="JX19" s="220">
        <f t="shared" ca="1" si="246"/>
        <v>0</v>
      </c>
      <c r="JY19" s="235">
        <f t="shared" ca="1" si="247"/>
        <v>0</v>
      </c>
      <c r="JZ19" s="235">
        <f t="shared" ca="1" si="248"/>
        <v>0</v>
      </c>
      <c r="KA19" s="242">
        <f t="shared" ca="1" si="249"/>
        <v>0</v>
      </c>
      <c r="KB19" s="241">
        <f t="shared" ca="1" si="219"/>
        <v>1</v>
      </c>
      <c r="KC19" s="220">
        <f t="shared" ca="1" si="250"/>
        <v>0</v>
      </c>
      <c r="KD19" s="220">
        <f t="shared" ca="1" si="251"/>
        <v>0</v>
      </c>
      <c r="KE19" s="235">
        <f t="shared" ca="1" si="252"/>
        <v>0</v>
      </c>
      <c r="KF19" s="235">
        <f t="shared" ca="1" si="253"/>
        <v>0</v>
      </c>
      <c r="KG19" s="242">
        <f t="shared" ca="1" si="254"/>
        <v>0</v>
      </c>
      <c r="KH19" s="241">
        <f t="shared" ca="1" si="219"/>
        <v>1</v>
      </c>
      <c r="KI19" s="220">
        <f t="shared" ca="1" si="255"/>
        <v>0</v>
      </c>
      <c r="KJ19" s="220">
        <f t="shared" ca="1" si="256"/>
        <v>0</v>
      </c>
      <c r="KK19" s="235">
        <f t="shared" ca="1" si="257"/>
        <v>0</v>
      </c>
      <c r="KL19" s="235">
        <f t="shared" ca="1" si="258"/>
        <v>0</v>
      </c>
      <c r="KM19" s="242">
        <f t="shared" ca="1" si="259"/>
        <v>0</v>
      </c>
      <c r="KN19" s="241">
        <f t="shared" ca="1" si="219"/>
        <v>1</v>
      </c>
      <c r="KO19" s="220">
        <f t="shared" ca="1" si="260"/>
        <v>0</v>
      </c>
      <c r="KP19" s="220">
        <f t="shared" ca="1" si="261"/>
        <v>0</v>
      </c>
      <c r="KQ19" s="235">
        <f t="shared" ca="1" si="262"/>
        <v>0</v>
      </c>
      <c r="KR19" s="235">
        <f t="shared" ca="1" si="263"/>
        <v>0</v>
      </c>
      <c r="KS19" s="242">
        <f t="shared" ca="1" si="264"/>
        <v>0</v>
      </c>
      <c r="KT19" s="241">
        <f t="shared" ca="1" si="219"/>
        <v>1</v>
      </c>
      <c r="KU19" s="220">
        <f t="shared" ca="1" si="265"/>
        <v>0</v>
      </c>
      <c r="KV19" s="220">
        <f t="shared" ca="1" si="266"/>
        <v>0</v>
      </c>
      <c r="KW19" s="235">
        <f t="shared" ca="1" si="267"/>
        <v>0</v>
      </c>
      <c r="KX19" s="235">
        <f t="shared" ca="1" si="268"/>
        <v>0</v>
      </c>
      <c r="KY19" s="242">
        <f t="shared" ca="1" si="269"/>
        <v>0</v>
      </c>
      <c r="KZ19" s="241">
        <f t="shared" ca="1" si="219"/>
        <v>1</v>
      </c>
      <c r="LA19" s="220">
        <f t="shared" ca="1" si="270"/>
        <v>0</v>
      </c>
      <c r="LB19" s="220">
        <f t="shared" ca="1" si="271"/>
        <v>0</v>
      </c>
      <c r="LC19" s="235">
        <f t="shared" ca="1" si="272"/>
        <v>0</v>
      </c>
      <c r="LD19" s="235">
        <f t="shared" ca="1" si="273"/>
        <v>0</v>
      </c>
      <c r="LE19" s="242">
        <f t="shared" ca="1" si="274"/>
        <v>0</v>
      </c>
      <c r="LF19" s="241">
        <f t="shared" ca="1" si="275"/>
        <v>1</v>
      </c>
      <c r="LG19" s="220">
        <f t="shared" ca="1" si="276"/>
        <v>0</v>
      </c>
      <c r="LH19" s="220">
        <f t="shared" ca="1" si="277"/>
        <v>0</v>
      </c>
      <c r="LI19" s="235">
        <f t="shared" ca="1" si="278"/>
        <v>0</v>
      </c>
      <c r="LJ19" s="235">
        <f t="shared" ca="1" si="279"/>
        <v>0</v>
      </c>
      <c r="LK19" s="242">
        <f t="shared" ca="1" si="280"/>
        <v>0</v>
      </c>
      <c r="LL19" s="241">
        <f t="shared" ca="1" si="275"/>
        <v>1</v>
      </c>
      <c r="LM19" s="220">
        <f t="shared" ca="1" si="281"/>
        <v>0</v>
      </c>
      <c r="LN19" s="220">
        <f t="shared" ca="1" si="282"/>
        <v>0</v>
      </c>
      <c r="LO19" s="235">
        <f t="shared" ca="1" si="283"/>
        <v>0</v>
      </c>
      <c r="LP19" s="235">
        <f t="shared" ca="1" si="284"/>
        <v>0</v>
      </c>
      <c r="LQ19" s="242">
        <f t="shared" ca="1" si="285"/>
        <v>0</v>
      </c>
      <c r="LR19" s="241">
        <f t="shared" ca="1" si="275"/>
        <v>1</v>
      </c>
      <c r="LS19" s="220">
        <f t="shared" ca="1" si="286"/>
        <v>0</v>
      </c>
      <c r="LT19" s="220">
        <f t="shared" ca="1" si="287"/>
        <v>0</v>
      </c>
      <c r="LU19" s="235">
        <f t="shared" ca="1" si="288"/>
        <v>0</v>
      </c>
      <c r="LV19" s="235">
        <f t="shared" ca="1" si="289"/>
        <v>0</v>
      </c>
      <c r="LW19" s="242">
        <f t="shared" ca="1" si="290"/>
        <v>0</v>
      </c>
      <c r="LX19" s="241">
        <f t="shared" ca="1" si="275"/>
        <v>1</v>
      </c>
      <c r="LY19" s="220">
        <f t="shared" ca="1" si="291"/>
        <v>0</v>
      </c>
      <c r="LZ19" s="220">
        <f t="shared" ca="1" si="292"/>
        <v>0</v>
      </c>
      <c r="MA19" s="235">
        <f t="shared" ca="1" si="293"/>
        <v>0</v>
      </c>
      <c r="MB19" s="235">
        <f t="shared" ca="1" si="294"/>
        <v>0</v>
      </c>
      <c r="MC19" s="242">
        <f t="shared" ca="1" si="295"/>
        <v>0</v>
      </c>
      <c r="MD19" s="241">
        <f t="shared" ca="1" si="275"/>
        <v>1</v>
      </c>
      <c r="ME19" s="220">
        <f t="shared" ca="1" si="296"/>
        <v>0</v>
      </c>
      <c r="MF19" s="220">
        <f t="shared" ca="1" si="297"/>
        <v>0</v>
      </c>
      <c r="MG19" s="235">
        <f t="shared" ca="1" si="298"/>
        <v>0</v>
      </c>
      <c r="MH19" s="235">
        <f t="shared" ca="1" si="299"/>
        <v>0</v>
      </c>
      <c r="MI19" s="242">
        <f t="shared" ca="1" si="300"/>
        <v>0</v>
      </c>
      <c r="MJ19" s="241">
        <f t="shared" ca="1" si="275"/>
        <v>1</v>
      </c>
      <c r="MK19" s="220">
        <f t="shared" ca="1" si="301"/>
        <v>0</v>
      </c>
      <c r="ML19" s="220">
        <f t="shared" ca="1" si="302"/>
        <v>0</v>
      </c>
      <c r="MM19" s="235">
        <f t="shared" ca="1" si="303"/>
        <v>0</v>
      </c>
      <c r="MN19" s="235">
        <f t="shared" ca="1" si="304"/>
        <v>0</v>
      </c>
      <c r="MO19" s="242">
        <f t="shared" ca="1" si="305"/>
        <v>0</v>
      </c>
      <c r="MP19" s="241">
        <f t="shared" ca="1" si="275"/>
        <v>1</v>
      </c>
      <c r="MQ19" s="220">
        <f t="shared" ca="1" si="306"/>
        <v>0</v>
      </c>
      <c r="MR19" s="220">
        <f t="shared" ca="1" si="307"/>
        <v>0</v>
      </c>
      <c r="MS19" s="235">
        <f t="shared" ca="1" si="308"/>
        <v>0</v>
      </c>
      <c r="MT19" s="235">
        <f t="shared" ca="1" si="309"/>
        <v>0</v>
      </c>
      <c r="MU19" s="242">
        <f t="shared" ca="1" si="310"/>
        <v>0</v>
      </c>
      <c r="MV19" s="241">
        <f t="shared" ca="1" si="275"/>
        <v>1</v>
      </c>
      <c r="MW19" s="220">
        <f t="shared" ca="1" si="311"/>
        <v>0</v>
      </c>
      <c r="MX19" s="220">
        <f t="shared" ca="1" si="312"/>
        <v>0</v>
      </c>
      <c r="MY19" s="235">
        <f t="shared" ca="1" si="313"/>
        <v>0</v>
      </c>
      <c r="MZ19" s="235">
        <f t="shared" ca="1" si="314"/>
        <v>0</v>
      </c>
      <c r="NA19" s="242">
        <f t="shared" ca="1" si="315"/>
        <v>0</v>
      </c>
      <c r="NB19" s="241">
        <f t="shared" ca="1" si="275"/>
        <v>1</v>
      </c>
      <c r="NC19" s="220">
        <f t="shared" ca="1" si="316"/>
        <v>0</v>
      </c>
      <c r="ND19" s="220">
        <f t="shared" ca="1" si="317"/>
        <v>0</v>
      </c>
      <c r="NE19" s="235">
        <f t="shared" ca="1" si="318"/>
        <v>0</v>
      </c>
      <c r="NF19" s="235">
        <f t="shared" ca="1" si="319"/>
        <v>0</v>
      </c>
      <c r="NG19" s="242">
        <f t="shared" ca="1" si="320"/>
        <v>0</v>
      </c>
      <c r="NH19" s="241">
        <f t="shared" ca="1" si="275"/>
        <v>1</v>
      </c>
      <c r="NI19" s="220">
        <f t="shared" ca="1" si="321"/>
        <v>0</v>
      </c>
      <c r="NJ19" s="220">
        <f t="shared" ca="1" si="322"/>
        <v>0</v>
      </c>
      <c r="NK19" s="235">
        <f t="shared" ca="1" si="323"/>
        <v>0</v>
      </c>
      <c r="NL19" s="235">
        <f t="shared" ca="1" si="324"/>
        <v>0</v>
      </c>
      <c r="NM19" s="242">
        <f t="shared" ca="1" si="325"/>
        <v>0</v>
      </c>
      <c r="NN19" s="241">
        <f t="shared" ca="1" si="275"/>
        <v>1</v>
      </c>
      <c r="NO19" s="220">
        <f t="shared" ca="1" si="326"/>
        <v>0</v>
      </c>
      <c r="NP19" s="220">
        <f t="shared" ca="1" si="327"/>
        <v>0</v>
      </c>
      <c r="NQ19" s="235">
        <f t="shared" ca="1" si="328"/>
        <v>0</v>
      </c>
      <c r="NR19" s="235">
        <f t="shared" ca="1" si="329"/>
        <v>0</v>
      </c>
      <c r="NS19" s="242">
        <f t="shared" ca="1" si="330"/>
        <v>0</v>
      </c>
      <c r="NT19" s="241">
        <f t="shared" ca="1" si="331"/>
        <v>1</v>
      </c>
      <c r="NU19" s="220">
        <f t="shared" ca="1" si="332"/>
        <v>0</v>
      </c>
      <c r="NV19" s="220">
        <f t="shared" ca="1" si="333"/>
        <v>0</v>
      </c>
      <c r="NW19" s="235">
        <f t="shared" ca="1" si="334"/>
        <v>0</v>
      </c>
      <c r="NX19" s="235">
        <f t="shared" ca="1" si="335"/>
        <v>0</v>
      </c>
      <c r="NY19" s="242">
        <f t="shared" ca="1" si="336"/>
        <v>0</v>
      </c>
      <c r="NZ19" s="241">
        <f t="shared" ca="1" si="331"/>
        <v>1</v>
      </c>
      <c r="OA19" s="220">
        <f t="shared" ca="1" si="337"/>
        <v>0</v>
      </c>
      <c r="OB19" s="220">
        <f t="shared" ca="1" si="338"/>
        <v>0</v>
      </c>
      <c r="OC19" s="235">
        <f t="shared" ca="1" si="339"/>
        <v>0</v>
      </c>
      <c r="OD19" s="235">
        <f t="shared" ca="1" si="340"/>
        <v>0</v>
      </c>
      <c r="OE19" s="242">
        <f t="shared" ca="1" si="341"/>
        <v>0</v>
      </c>
      <c r="OF19" s="241">
        <f t="shared" ca="1" si="331"/>
        <v>1</v>
      </c>
      <c r="OG19" s="220">
        <f t="shared" ca="1" si="342"/>
        <v>0</v>
      </c>
      <c r="OH19" s="220">
        <f t="shared" ca="1" si="343"/>
        <v>0</v>
      </c>
      <c r="OI19" s="235">
        <f t="shared" ca="1" si="344"/>
        <v>0</v>
      </c>
      <c r="OJ19" s="235">
        <f t="shared" ca="1" si="345"/>
        <v>0</v>
      </c>
      <c r="OK19" s="242">
        <f t="shared" ca="1" si="346"/>
        <v>0</v>
      </c>
      <c r="OL19" s="241">
        <f t="shared" ca="1" si="331"/>
        <v>1</v>
      </c>
      <c r="OM19" s="220">
        <f t="shared" ca="1" si="347"/>
        <v>0</v>
      </c>
      <c r="ON19" s="220">
        <f t="shared" ca="1" si="348"/>
        <v>0</v>
      </c>
      <c r="OO19" s="235">
        <f t="shared" ca="1" si="349"/>
        <v>0</v>
      </c>
      <c r="OP19" s="235">
        <f t="shared" ca="1" si="350"/>
        <v>0</v>
      </c>
      <c r="OQ19" s="242">
        <f t="shared" ca="1" si="351"/>
        <v>0</v>
      </c>
      <c r="OR19" s="241">
        <f t="shared" ca="1" si="331"/>
        <v>1</v>
      </c>
      <c r="OS19" s="220">
        <f t="shared" ca="1" si="352"/>
        <v>0</v>
      </c>
      <c r="OT19" s="220">
        <f t="shared" ca="1" si="353"/>
        <v>0</v>
      </c>
      <c r="OU19" s="235">
        <f t="shared" ca="1" si="354"/>
        <v>0</v>
      </c>
      <c r="OV19" s="235">
        <f t="shared" ca="1" si="355"/>
        <v>0</v>
      </c>
      <c r="OW19" s="242">
        <f t="shared" ca="1" si="356"/>
        <v>0</v>
      </c>
      <c r="OX19" s="241">
        <f t="shared" ca="1" si="331"/>
        <v>1</v>
      </c>
      <c r="OY19" s="220">
        <f t="shared" ca="1" si="357"/>
        <v>0</v>
      </c>
      <c r="OZ19" s="220">
        <f t="shared" ca="1" si="358"/>
        <v>0</v>
      </c>
      <c r="PA19" s="235">
        <f t="shared" ca="1" si="359"/>
        <v>0</v>
      </c>
      <c r="PB19" s="235">
        <f t="shared" ca="1" si="360"/>
        <v>0</v>
      </c>
      <c r="PC19" s="242">
        <f t="shared" ca="1" si="361"/>
        <v>0</v>
      </c>
      <c r="PD19" s="241">
        <f t="shared" ca="1" si="331"/>
        <v>1</v>
      </c>
      <c r="PE19" s="220">
        <f t="shared" ca="1" si="362"/>
        <v>0</v>
      </c>
      <c r="PF19" s="220">
        <f t="shared" ca="1" si="363"/>
        <v>0</v>
      </c>
      <c r="PG19" s="235">
        <f t="shared" ca="1" si="364"/>
        <v>0</v>
      </c>
      <c r="PH19" s="235">
        <f t="shared" ca="1" si="365"/>
        <v>0</v>
      </c>
      <c r="PI19" s="242">
        <f t="shared" ca="1" si="366"/>
        <v>0</v>
      </c>
      <c r="PJ19" s="241">
        <f t="shared" ca="1" si="331"/>
        <v>1</v>
      </c>
      <c r="PK19" s="220">
        <f t="shared" ca="1" si="367"/>
        <v>0</v>
      </c>
      <c r="PL19" s="220">
        <f t="shared" ca="1" si="368"/>
        <v>0</v>
      </c>
      <c r="PM19" s="235">
        <f t="shared" ca="1" si="369"/>
        <v>0</v>
      </c>
      <c r="PN19" s="235">
        <f t="shared" ca="1" si="370"/>
        <v>0</v>
      </c>
      <c r="PO19" s="242">
        <f t="shared" ca="1" si="371"/>
        <v>0</v>
      </c>
      <c r="PP19" s="241">
        <f t="shared" ca="1" si="331"/>
        <v>1</v>
      </c>
      <c r="PQ19" s="220">
        <f t="shared" ca="1" si="372"/>
        <v>0</v>
      </c>
      <c r="PR19" s="220">
        <f t="shared" ca="1" si="373"/>
        <v>0</v>
      </c>
      <c r="PS19" s="235">
        <f t="shared" ca="1" si="374"/>
        <v>0</v>
      </c>
      <c r="PT19" s="235">
        <f t="shared" ca="1" si="375"/>
        <v>0</v>
      </c>
      <c r="PU19" s="242">
        <f t="shared" ca="1" si="376"/>
        <v>0</v>
      </c>
      <c r="PV19" s="241">
        <f t="shared" ca="1" si="331"/>
        <v>1</v>
      </c>
      <c r="PW19" s="220">
        <f t="shared" ca="1" si="377"/>
        <v>0</v>
      </c>
      <c r="PX19" s="220">
        <f t="shared" ca="1" si="378"/>
        <v>0</v>
      </c>
      <c r="PY19" s="235">
        <f t="shared" ca="1" si="379"/>
        <v>0</v>
      </c>
      <c r="PZ19" s="235">
        <f t="shared" ca="1" si="380"/>
        <v>0</v>
      </c>
      <c r="QA19" s="242">
        <f t="shared" ca="1" si="381"/>
        <v>0</v>
      </c>
      <c r="QB19" s="241">
        <f t="shared" ca="1" si="331"/>
        <v>1</v>
      </c>
      <c r="QC19" s="220">
        <f t="shared" ca="1" si="382"/>
        <v>0</v>
      </c>
      <c r="QD19" s="220">
        <f t="shared" ca="1" si="383"/>
        <v>0</v>
      </c>
      <c r="QE19" s="235">
        <f t="shared" ca="1" si="384"/>
        <v>0</v>
      </c>
      <c r="QF19" s="235">
        <f t="shared" ca="1" si="385"/>
        <v>0</v>
      </c>
      <c r="QG19" s="242">
        <f t="shared" ca="1" si="386"/>
        <v>0</v>
      </c>
      <c r="QH19" s="241">
        <f t="shared" ca="1" si="387"/>
        <v>1</v>
      </c>
      <c r="QI19" s="220">
        <f t="shared" ca="1" si="388"/>
        <v>0</v>
      </c>
      <c r="QJ19" s="220">
        <f t="shared" ca="1" si="389"/>
        <v>0</v>
      </c>
      <c r="QK19" s="235">
        <f t="shared" ca="1" si="390"/>
        <v>0</v>
      </c>
      <c r="QL19" s="235">
        <f t="shared" ca="1" si="391"/>
        <v>0</v>
      </c>
      <c r="QM19" s="242">
        <f t="shared" ca="1" si="392"/>
        <v>0</v>
      </c>
      <c r="QN19" s="241">
        <f t="shared" ca="1" si="387"/>
        <v>1</v>
      </c>
      <c r="QO19" s="220">
        <f t="shared" ca="1" si="393"/>
        <v>0</v>
      </c>
      <c r="QP19" s="220">
        <f t="shared" ca="1" si="394"/>
        <v>0</v>
      </c>
      <c r="QQ19" s="235">
        <f t="shared" ca="1" si="395"/>
        <v>0</v>
      </c>
      <c r="QR19" s="235">
        <f t="shared" ca="1" si="396"/>
        <v>0</v>
      </c>
      <c r="QS19" s="242">
        <f t="shared" ca="1" si="397"/>
        <v>0</v>
      </c>
      <c r="QT19" s="241">
        <f t="shared" ca="1" si="387"/>
        <v>1</v>
      </c>
      <c r="QU19" s="220">
        <f t="shared" ca="1" si="398"/>
        <v>0</v>
      </c>
      <c r="QV19" s="220">
        <f t="shared" ca="1" si="399"/>
        <v>0</v>
      </c>
      <c r="QW19" s="235">
        <f t="shared" ca="1" si="400"/>
        <v>0</v>
      </c>
      <c r="QX19" s="235">
        <f t="shared" ca="1" si="401"/>
        <v>0</v>
      </c>
      <c r="QY19" s="242">
        <f t="shared" ca="1" si="402"/>
        <v>0</v>
      </c>
      <c r="QZ19" s="241">
        <f t="shared" ca="1" si="387"/>
        <v>1</v>
      </c>
      <c r="RA19" s="220">
        <f t="shared" ca="1" si="403"/>
        <v>0</v>
      </c>
      <c r="RB19" s="220">
        <f t="shared" ca="1" si="404"/>
        <v>0</v>
      </c>
      <c r="RC19" s="235">
        <f t="shared" ca="1" si="405"/>
        <v>0</v>
      </c>
      <c r="RD19" s="235">
        <f t="shared" ca="1" si="406"/>
        <v>0</v>
      </c>
      <c r="RE19" s="242">
        <f t="shared" ca="1" si="407"/>
        <v>0</v>
      </c>
      <c r="RF19" s="241">
        <f t="shared" ca="1" si="387"/>
        <v>1</v>
      </c>
      <c r="RG19" s="220">
        <f t="shared" ca="1" si="408"/>
        <v>0</v>
      </c>
      <c r="RH19" s="220">
        <f t="shared" ca="1" si="409"/>
        <v>0</v>
      </c>
      <c r="RI19" s="235">
        <f t="shared" ca="1" si="410"/>
        <v>0</v>
      </c>
      <c r="RJ19" s="235">
        <f t="shared" ca="1" si="411"/>
        <v>0</v>
      </c>
      <c r="RK19" s="242">
        <f t="shared" ca="1" si="412"/>
        <v>0</v>
      </c>
      <c r="RL19" s="241">
        <f t="shared" ca="1" si="387"/>
        <v>1</v>
      </c>
      <c r="RM19" s="220">
        <f t="shared" ca="1" si="413"/>
        <v>0</v>
      </c>
      <c r="RN19" s="220">
        <f t="shared" ca="1" si="414"/>
        <v>0</v>
      </c>
      <c r="RO19" s="235">
        <f t="shared" ca="1" si="415"/>
        <v>0</v>
      </c>
      <c r="RP19" s="235">
        <f t="shared" ca="1" si="416"/>
        <v>0</v>
      </c>
      <c r="RQ19" s="242">
        <f t="shared" ca="1" si="417"/>
        <v>0</v>
      </c>
      <c r="RR19" s="241">
        <f t="shared" ca="1" si="387"/>
        <v>1</v>
      </c>
      <c r="RS19" s="220">
        <f t="shared" ca="1" si="418"/>
        <v>0</v>
      </c>
      <c r="RT19" s="220">
        <f t="shared" ca="1" si="419"/>
        <v>0</v>
      </c>
      <c r="RU19" s="235">
        <f t="shared" ca="1" si="420"/>
        <v>0</v>
      </c>
      <c r="RV19" s="235">
        <f t="shared" ca="1" si="421"/>
        <v>0</v>
      </c>
      <c r="RW19" s="242">
        <f t="shared" ca="1" si="422"/>
        <v>0</v>
      </c>
      <c r="RX19" s="241">
        <f t="shared" ca="1" si="387"/>
        <v>1</v>
      </c>
      <c r="RY19" s="220">
        <f t="shared" ca="1" si="423"/>
        <v>0</v>
      </c>
      <c r="RZ19" s="220">
        <f t="shared" ca="1" si="424"/>
        <v>0</v>
      </c>
      <c r="SA19" s="235">
        <f t="shared" ca="1" si="425"/>
        <v>0</v>
      </c>
      <c r="SB19" s="235">
        <f t="shared" ca="1" si="426"/>
        <v>0</v>
      </c>
      <c r="SC19" s="242">
        <f t="shared" ca="1" si="427"/>
        <v>0</v>
      </c>
      <c r="SD19" s="241">
        <f t="shared" ca="1" si="387"/>
        <v>1</v>
      </c>
      <c r="SE19" s="220">
        <f t="shared" ca="1" si="428"/>
        <v>0</v>
      </c>
      <c r="SF19" s="220">
        <f t="shared" ca="1" si="429"/>
        <v>0</v>
      </c>
      <c r="SG19" s="235">
        <f t="shared" ca="1" si="430"/>
        <v>0</v>
      </c>
      <c r="SH19" s="235">
        <f t="shared" ca="1" si="431"/>
        <v>0</v>
      </c>
      <c r="SI19" s="242">
        <f t="shared" ca="1" si="432"/>
        <v>0</v>
      </c>
      <c r="SJ19" s="241">
        <f t="shared" ca="1" si="387"/>
        <v>1</v>
      </c>
      <c r="SK19" s="220">
        <f t="shared" ca="1" si="433"/>
        <v>0</v>
      </c>
      <c r="SL19" s="220">
        <f t="shared" ca="1" si="434"/>
        <v>0</v>
      </c>
      <c r="SM19" s="235">
        <f t="shared" ca="1" si="435"/>
        <v>0</v>
      </c>
      <c r="SN19" s="235">
        <f t="shared" ca="1" si="436"/>
        <v>0</v>
      </c>
      <c r="SO19" s="242">
        <f t="shared" ca="1" si="437"/>
        <v>0</v>
      </c>
      <c r="SP19" s="241">
        <f t="shared" ca="1" si="387"/>
        <v>1</v>
      </c>
      <c r="SQ19" s="220">
        <f t="shared" ca="1" si="438"/>
        <v>0</v>
      </c>
      <c r="SR19" s="220">
        <f t="shared" ca="1" si="439"/>
        <v>0</v>
      </c>
      <c r="SS19" s="235">
        <f t="shared" ca="1" si="440"/>
        <v>0</v>
      </c>
      <c r="ST19" s="235">
        <f t="shared" ca="1" si="441"/>
        <v>0</v>
      </c>
      <c r="SU19" s="242">
        <f t="shared" ca="1" si="442"/>
        <v>0</v>
      </c>
      <c r="SV19" s="241">
        <f t="shared" ca="1" si="443"/>
        <v>1</v>
      </c>
      <c r="SW19" s="220">
        <f t="shared" ca="1" si="444"/>
        <v>0</v>
      </c>
      <c r="SX19" s="220">
        <f t="shared" ca="1" si="445"/>
        <v>0</v>
      </c>
      <c r="SY19" s="235">
        <f t="shared" ca="1" si="446"/>
        <v>0</v>
      </c>
      <c r="SZ19" s="235">
        <f t="shared" ca="1" si="447"/>
        <v>0</v>
      </c>
      <c r="TA19" s="242">
        <f t="shared" ca="1" si="448"/>
        <v>0</v>
      </c>
      <c r="TB19" s="241">
        <f t="shared" ca="1" si="443"/>
        <v>1</v>
      </c>
      <c r="TC19" s="220">
        <f t="shared" ca="1" si="449"/>
        <v>0</v>
      </c>
      <c r="TD19" s="220">
        <f t="shared" ca="1" si="450"/>
        <v>0</v>
      </c>
      <c r="TE19" s="235">
        <f t="shared" ca="1" si="451"/>
        <v>0</v>
      </c>
      <c r="TF19" s="235">
        <f t="shared" ca="1" si="452"/>
        <v>0</v>
      </c>
      <c r="TG19" s="242">
        <f t="shared" ca="1" si="453"/>
        <v>0</v>
      </c>
      <c r="TH19" s="241">
        <f t="shared" ca="1" si="443"/>
        <v>1</v>
      </c>
      <c r="TI19" s="220">
        <f t="shared" ca="1" si="454"/>
        <v>0</v>
      </c>
      <c r="TJ19" s="220">
        <f t="shared" ca="1" si="455"/>
        <v>0</v>
      </c>
      <c r="TK19" s="235">
        <f t="shared" ca="1" si="456"/>
        <v>0</v>
      </c>
      <c r="TL19" s="235">
        <f t="shared" ca="1" si="457"/>
        <v>0</v>
      </c>
      <c r="TM19" s="242">
        <f t="shared" ca="1" si="458"/>
        <v>0</v>
      </c>
      <c r="TN19" s="241">
        <f t="shared" ca="1" si="443"/>
        <v>1</v>
      </c>
      <c r="TO19" s="220">
        <f t="shared" ca="1" si="459"/>
        <v>0</v>
      </c>
      <c r="TP19" s="220">
        <f t="shared" ca="1" si="460"/>
        <v>0</v>
      </c>
      <c r="TQ19" s="235">
        <f t="shared" ca="1" si="461"/>
        <v>0</v>
      </c>
      <c r="TR19" s="235">
        <f t="shared" ca="1" si="462"/>
        <v>0</v>
      </c>
      <c r="TS19" s="242">
        <f t="shared" ca="1" si="463"/>
        <v>0</v>
      </c>
      <c r="TT19" s="241">
        <f t="shared" ca="1" si="443"/>
        <v>1</v>
      </c>
      <c r="TU19" s="220">
        <f t="shared" ca="1" si="464"/>
        <v>0</v>
      </c>
      <c r="TV19" s="220">
        <f t="shared" ca="1" si="465"/>
        <v>0</v>
      </c>
      <c r="TW19" s="235">
        <f t="shared" ca="1" si="466"/>
        <v>0</v>
      </c>
      <c r="TX19" s="235">
        <f t="shared" ca="1" si="467"/>
        <v>0</v>
      </c>
      <c r="TY19" s="242">
        <f t="shared" ca="1" si="468"/>
        <v>0</v>
      </c>
      <c r="TZ19" s="241">
        <f t="shared" ca="1" si="443"/>
        <v>1</v>
      </c>
      <c r="UA19" s="220">
        <f t="shared" ca="1" si="469"/>
        <v>0</v>
      </c>
      <c r="UB19" s="220">
        <f t="shared" ca="1" si="470"/>
        <v>0</v>
      </c>
      <c r="UC19" s="235">
        <f t="shared" ca="1" si="471"/>
        <v>0</v>
      </c>
      <c r="UD19" s="235">
        <f t="shared" ca="1" si="472"/>
        <v>0</v>
      </c>
      <c r="UE19" s="242">
        <f t="shared" ca="1" si="473"/>
        <v>0</v>
      </c>
      <c r="UF19" s="241">
        <f t="shared" ca="1" si="443"/>
        <v>1</v>
      </c>
      <c r="UG19" s="220">
        <f t="shared" ca="1" si="474"/>
        <v>0</v>
      </c>
      <c r="UH19" s="220">
        <f t="shared" ca="1" si="475"/>
        <v>0</v>
      </c>
      <c r="UI19" s="235">
        <f t="shared" ca="1" si="476"/>
        <v>0</v>
      </c>
      <c r="UJ19" s="235">
        <f t="shared" ca="1" si="477"/>
        <v>0</v>
      </c>
      <c r="UK19" s="242">
        <f t="shared" ca="1" si="478"/>
        <v>0</v>
      </c>
      <c r="UL19" s="241">
        <f t="shared" ca="1" si="443"/>
        <v>1</v>
      </c>
      <c r="UM19" s="220">
        <f t="shared" ca="1" si="479"/>
        <v>0</v>
      </c>
      <c r="UN19" s="220">
        <f t="shared" ca="1" si="480"/>
        <v>0</v>
      </c>
      <c r="UO19" s="235">
        <f t="shared" ca="1" si="481"/>
        <v>0</v>
      </c>
      <c r="UP19" s="235">
        <f t="shared" ca="1" si="482"/>
        <v>0</v>
      </c>
      <c r="UQ19" s="242">
        <f t="shared" ca="1" si="483"/>
        <v>0</v>
      </c>
      <c r="UR19" s="241">
        <f t="shared" ca="1" si="443"/>
        <v>1</v>
      </c>
      <c r="US19" s="220">
        <f t="shared" ca="1" si="484"/>
        <v>0</v>
      </c>
      <c r="UT19" s="220">
        <f t="shared" ca="1" si="485"/>
        <v>0</v>
      </c>
      <c r="UU19" s="235">
        <f t="shared" ca="1" si="486"/>
        <v>0</v>
      </c>
      <c r="UV19" s="235">
        <f t="shared" ca="1" si="487"/>
        <v>0</v>
      </c>
      <c r="UW19" s="242">
        <f t="shared" ca="1" si="488"/>
        <v>0</v>
      </c>
      <c r="UX19" s="241">
        <f t="shared" ca="1" si="443"/>
        <v>1</v>
      </c>
      <c r="UY19" s="220">
        <f t="shared" ca="1" si="489"/>
        <v>0</v>
      </c>
      <c r="UZ19" s="220">
        <f t="shared" ca="1" si="490"/>
        <v>0</v>
      </c>
      <c r="VA19" s="235">
        <f t="shared" ca="1" si="491"/>
        <v>0</v>
      </c>
      <c r="VB19" s="235">
        <f t="shared" ca="1" si="492"/>
        <v>0</v>
      </c>
      <c r="VC19" s="242">
        <f t="shared" ca="1" si="493"/>
        <v>0</v>
      </c>
      <c r="VD19" s="241">
        <f t="shared" ca="1" si="443"/>
        <v>1</v>
      </c>
      <c r="VE19" s="220">
        <f t="shared" ca="1" si="494"/>
        <v>0</v>
      </c>
      <c r="VF19" s="220">
        <f t="shared" ca="1" si="495"/>
        <v>0</v>
      </c>
      <c r="VG19" s="235">
        <f t="shared" ca="1" si="496"/>
        <v>0</v>
      </c>
      <c r="VH19" s="235">
        <f t="shared" ca="1" si="497"/>
        <v>0</v>
      </c>
      <c r="VI19" s="242">
        <f t="shared" ca="1" si="498"/>
        <v>0</v>
      </c>
      <c r="VJ19" s="241">
        <f t="shared" ca="1" si="499"/>
        <v>1</v>
      </c>
      <c r="VK19" s="220">
        <f t="shared" ca="1" si="500"/>
        <v>0</v>
      </c>
      <c r="VL19" s="220">
        <f t="shared" ca="1" si="501"/>
        <v>0</v>
      </c>
      <c r="VM19" s="235">
        <f t="shared" ca="1" si="502"/>
        <v>0</v>
      </c>
      <c r="VN19" s="235">
        <f t="shared" ca="1" si="503"/>
        <v>0</v>
      </c>
      <c r="VO19" s="242">
        <f t="shared" ca="1" si="504"/>
        <v>0</v>
      </c>
      <c r="VP19" s="241">
        <f t="shared" ca="1" si="499"/>
        <v>1</v>
      </c>
      <c r="VQ19" s="220">
        <f t="shared" ca="1" si="505"/>
        <v>0</v>
      </c>
      <c r="VR19" s="220">
        <f t="shared" ca="1" si="506"/>
        <v>0</v>
      </c>
      <c r="VS19" s="235">
        <f t="shared" ca="1" si="507"/>
        <v>0</v>
      </c>
      <c r="VT19" s="235">
        <f t="shared" ca="1" si="508"/>
        <v>0</v>
      </c>
      <c r="VU19" s="242">
        <f t="shared" ca="1" si="509"/>
        <v>0</v>
      </c>
      <c r="VV19" s="241">
        <f t="shared" ca="1" si="499"/>
        <v>1</v>
      </c>
      <c r="VW19" s="220">
        <f t="shared" ca="1" si="510"/>
        <v>0</v>
      </c>
      <c r="VX19" s="220">
        <f t="shared" ca="1" si="511"/>
        <v>0</v>
      </c>
      <c r="VY19" s="235">
        <f t="shared" ca="1" si="512"/>
        <v>0</v>
      </c>
      <c r="VZ19" s="235">
        <f t="shared" ca="1" si="513"/>
        <v>0</v>
      </c>
      <c r="WA19" s="242">
        <f t="shared" ca="1" si="514"/>
        <v>0</v>
      </c>
      <c r="WB19" s="241">
        <f t="shared" ca="1" si="499"/>
        <v>1</v>
      </c>
      <c r="WC19" s="220">
        <f t="shared" ca="1" si="515"/>
        <v>0</v>
      </c>
      <c r="WD19" s="220">
        <f t="shared" ca="1" si="516"/>
        <v>0</v>
      </c>
      <c r="WE19" s="235">
        <f t="shared" ca="1" si="517"/>
        <v>0</v>
      </c>
      <c r="WF19" s="235">
        <f t="shared" ca="1" si="518"/>
        <v>0</v>
      </c>
      <c r="WG19" s="242">
        <f t="shared" ca="1" si="519"/>
        <v>0</v>
      </c>
      <c r="WH19" s="241">
        <f t="shared" ca="1" si="499"/>
        <v>1</v>
      </c>
      <c r="WI19" s="220">
        <f t="shared" ca="1" si="520"/>
        <v>0</v>
      </c>
      <c r="WJ19" s="220">
        <f t="shared" ca="1" si="521"/>
        <v>0</v>
      </c>
      <c r="WK19" s="235">
        <f t="shared" ca="1" si="522"/>
        <v>0</v>
      </c>
      <c r="WL19" s="235">
        <f t="shared" ca="1" si="523"/>
        <v>0</v>
      </c>
      <c r="WM19" s="242">
        <f t="shared" ca="1" si="524"/>
        <v>0</v>
      </c>
      <c r="WN19" s="241">
        <f t="shared" ca="1" si="499"/>
        <v>1</v>
      </c>
      <c r="WO19" s="220">
        <f t="shared" ca="1" si="525"/>
        <v>0</v>
      </c>
      <c r="WP19" s="220">
        <f t="shared" ca="1" si="526"/>
        <v>0</v>
      </c>
      <c r="WQ19" s="235">
        <f t="shared" ca="1" si="527"/>
        <v>0</v>
      </c>
      <c r="WR19" s="235">
        <f t="shared" ca="1" si="528"/>
        <v>0</v>
      </c>
      <c r="WS19" s="242">
        <f t="shared" ca="1" si="529"/>
        <v>0</v>
      </c>
      <c r="WT19" s="241">
        <f t="shared" ca="1" si="499"/>
        <v>1</v>
      </c>
      <c r="WU19" s="220">
        <f t="shared" ca="1" si="530"/>
        <v>0</v>
      </c>
      <c r="WV19" s="220">
        <f t="shared" ca="1" si="531"/>
        <v>0</v>
      </c>
      <c r="WW19" s="235">
        <f t="shared" ca="1" si="532"/>
        <v>0</v>
      </c>
      <c r="WX19" s="235">
        <f t="shared" ca="1" si="533"/>
        <v>0</v>
      </c>
      <c r="WY19" s="242">
        <f t="shared" ca="1" si="534"/>
        <v>0</v>
      </c>
      <c r="WZ19" s="241">
        <f t="shared" ca="1" si="499"/>
        <v>1</v>
      </c>
      <c r="XA19" s="220">
        <f t="shared" ca="1" si="535"/>
        <v>0</v>
      </c>
      <c r="XB19" s="220">
        <f t="shared" ca="1" si="536"/>
        <v>0</v>
      </c>
      <c r="XC19" s="235">
        <f t="shared" ca="1" si="537"/>
        <v>0</v>
      </c>
      <c r="XD19" s="235">
        <f t="shared" ca="1" si="538"/>
        <v>0</v>
      </c>
      <c r="XE19" s="242">
        <f t="shared" ca="1" si="539"/>
        <v>0</v>
      </c>
      <c r="XF19" s="241">
        <f t="shared" ca="1" si="499"/>
        <v>1</v>
      </c>
      <c r="XG19" s="220">
        <f t="shared" ca="1" si="540"/>
        <v>0</v>
      </c>
      <c r="XH19" s="220">
        <f t="shared" ca="1" si="541"/>
        <v>0</v>
      </c>
      <c r="XI19" s="235">
        <f t="shared" ca="1" si="542"/>
        <v>0</v>
      </c>
      <c r="XJ19" s="235">
        <f t="shared" ca="1" si="543"/>
        <v>0</v>
      </c>
      <c r="XK19" s="242">
        <f t="shared" ca="1" si="544"/>
        <v>0</v>
      </c>
    </row>
    <row r="20" spans="2:635" x14ac:dyDescent="0.25">
      <c r="B20" s="65">
        <f t="shared" ca="1" si="14"/>
        <v>2035</v>
      </c>
      <c r="C20" s="65" t="s">
        <v>741</v>
      </c>
      <c r="D20" s="77">
        <f t="shared" si="15"/>
        <v>0</v>
      </c>
      <c r="E20" s="77">
        <f t="shared" si="16"/>
        <v>0</v>
      </c>
      <c r="F20" s="77">
        <f t="shared" si="17"/>
        <v>0</v>
      </c>
      <c r="G20" s="77">
        <f t="shared" si="18"/>
        <v>0</v>
      </c>
      <c r="H20" s="15" t="e">
        <f t="shared" ca="1" si="19"/>
        <v>#REF!</v>
      </c>
      <c r="L20" s="326">
        <f t="shared" ca="1" si="20"/>
        <v>3.5000000000000003E-2</v>
      </c>
      <c r="M20" s="327">
        <f t="shared" ca="1" si="21"/>
        <v>3.5000000000000003E-2</v>
      </c>
      <c r="N20" s="322">
        <f t="shared" ca="1" si="22"/>
        <v>-12</v>
      </c>
      <c r="O20" s="322">
        <f t="shared" ca="1" si="23"/>
        <v>0</v>
      </c>
      <c r="P20" s="328">
        <f t="shared" ca="1" si="545"/>
        <v>0</v>
      </c>
      <c r="Q20" s="328">
        <f t="shared" ca="1" si="546"/>
        <v>0</v>
      </c>
      <c r="R20" s="328">
        <f t="shared" ca="1" si="547"/>
        <v>0</v>
      </c>
      <c r="S20" s="329">
        <f t="shared" ca="1" si="24"/>
        <v>0</v>
      </c>
      <c r="T20" s="329">
        <f t="shared" ca="1" si="25"/>
        <v>0</v>
      </c>
      <c r="U20" s="329">
        <f t="shared" ca="1" si="26"/>
        <v>0</v>
      </c>
      <c r="V20" s="320" t="e">
        <f t="shared" ca="1" si="27"/>
        <v>#REF!</v>
      </c>
      <c r="W20" s="320" t="e">
        <f t="shared" ca="1" si="28"/>
        <v>#REF!</v>
      </c>
      <c r="X20" s="320" t="e">
        <f t="shared" ca="1" si="29"/>
        <v>#REF!</v>
      </c>
      <c r="Y20" s="320" t="e">
        <f ca="1">INDEX(SC_ZA_HECMLumpSum,ZAIDX)</f>
        <v>#REF!</v>
      </c>
      <c r="Z20" s="320" t="e">
        <f t="shared" ca="1" si="30"/>
        <v>#REF!</v>
      </c>
      <c r="AA20" s="320">
        <f ca="1">IF($R20&gt;0,-(V20+SUM(X20:Z20))*ABS($AJ20)/$R20,0)</f>
        <v>0</v>
      </c>
      <c r="AB20" s="320" t="e">
        <f ca="1">(V20+SUM(X20:AA20))*U20</f>
        <v>#REF!</v>
      </c>
      <c r="AC20" s="330" t="e">
        <f ca="1">(V20+SUM(X20:AA20))</f>
        <v>#REF!</v>
      </c>
      <c r="AD20" s="236" t="e">
        <f t="shared" ca="1" si="548"/>
        <v>#REF!</v>
      </c>
      <c r="AE20" s="320" t="e">
        <f t="shared" ca="1" si="34"/>
        <v>#REF!</v>
      </c>
      <c r="AF20" s="320" t="e">
        <f t="shared" ca="1" si="35"/>
        <v>#REF!</v>
      </c>
      <c r="AG20" s="320" t="e">
        <f t="shared" ca="1" si="549"/>
        <v>#REF!</v>
      </c>
      <c r="AH20" s="284" t="e">
        <f t="shared" ca="1" si="550"/>
        <v>#REF!</v>
      </c>
      <c r="AI20" s="318" t="e">
        <f t="shared" ca="1" si="551"/>
        <v>#REF!</v>
      </c>
      <c r="AJ20" s="331">
        <f t="shared" ca="1" si="552"/>
        <v>1</v>
      </c>
      <c r="AK20" s="220">
        <f t="shared" ca="1" si="553"/>
        <v>0</v>
      </c>
      <c r="AL20" s="220">
        <f t="shared" ca="1" si="37"/>
        <v>0</v>
      </c>
      <c r="AM20" s="235">
        <f t="shared" ca="1" si="554"/>
        <v>0</v>
      </c>
      <c r="AN20" s="235">
        <f t="shared" ca="1" si="555"/>
        <v>0</v>
      </c>
      <c r="AO20" s="242">
        <f t="shared" ca="1" si="556"/>
        <v>0</v>
      </c>
      <c r="AP20" s="241">
        <f t="shared" ca="1" si="552"/>
        <v>1</v>
      </c>
      <c r="AQ20" s="220">
        <f t="shared" ca="1" si="41"/>
        <v>0</v>
      </c>
      <c r="AR20" s="220">
        <f t="shared" ca="1" si="42"/>
        <v>0</v>
      </c>
      <c r="AS20" s="235">
        <f t="shared" ca="1" si="43"/>
        <v>0</v>
      </c>
      <c r="AT20" s="235">
        <f t="shared" ca="1" si="44"/>
        <v>0</v>
      </c>
      <c r="AU20" s="242">
        <f t="shared" ca="1" si="45"/>
        <v>0</v>
      </c>
      <c r="AV20" s="241">
        <f t="shared" ca="1" si="552"/>
        <v>1</v>
      </c>
      <c r="AW20" s="220">
        <f t="shared" ca="1" si="46"/>
        <v>0</v>
      </c>
      <c r="AX20" s="220">
        <f t="shared" ca="1" si="47"/>
        <v>0</v>
      </c>
      <c r="AY20" s="235">
        <f t="shared" ca="1" si="48"/>
        <v>0</v>
      </c>
      <c r="AZ20" s="235">
        <f t="shared" ca="1" si="49"/>
        <v>0</v>
      </c>
      <c r="BA20" s="242">
        <f t="shared" ca="1" si="50"/>
        <v>0</v>
      </c>
      <c r="BB20" s="241">
        <f t="shared" ca="1" si="552"/>
        <v>1</v>
      </c>
      <c r="BC20" s="220">
        <f t="shared" ca="1" si="52"/>
        <v>0</v>
      </c>
      <c r="BD20" s="220">
        <f t="shared" ca="1" si="53"/>
        <v>0</v>
      </c>
      <c r="BE20" s="235">
        <f t="shared" ca="1" si="54"/>
        <v>0</v>
      </c>
      <c r="BF20" s="235">
        <f t="shared" ca="1" si="55"/>
        <v>0</v>
      </c>
      <c r="BG20" s="242">
        <f t="shared" ca="1" si="56"/>
        <v>0</v>
      </c>
      <c r="BH20" s="241">
        <f t="shared" ca="1" si="552"/>
        <v>1</v>
      </c>
      <c r="BI20" s="220">
        <f t="shared" ca="1" si="57"/>
        <v>0</v>
      </c>
      <c r="BJ20" s="220">
        <f t="shared" ca="1" si="58"/>
        <v>0</v>
      </c>
      <c r="BK20" s="235">
        <f t="shared" ca="1" si="59"/>
        <v>0</v>
      </c>
      <c r="BL20" s="235">
        <f t="shared" ca="1" si="60"/>
        <v>0</v>
      </c>
      <c r="BM20" s="242">
        <f t="shared" ca="1" si="61"/>
        <v>0</v>
      </c>
      <c r="BN20" s="241">
        <f t="shared" ca="1" si="552"/>
        <v>1</v>
      </c>
      <c r="BO20" s="220">
        <f t="shared" ca="1" si="62"/>
        <v>0</v>
      </c>
      <c r="BP20" s="220">
        <f t="shared" ca="1" si="63"/>
        <v>0</v>
      </c>
      <c r="BQ20" s="235">
        <f t="shared" ca="1" si="64"/>
        <v>0</v>
      </c>
      <c r="BR20" s="235">
        <f t="shared" ca="1" si="65"/>
        <v>0</v>
      </c>
      <c r="BS20" s="242">
        <f t="shared" ca="1" si="66"/>
        <v>0</v>
      </c>
      <c r="BT20" s="241">
        <f t="shared" ca="1" si="552"/>
        <v>1</v>
      </c>
      <c r="BU20" s="220">
        <f t="shared" ca="1" si="67"/>
        <v>0</v>
      </c>
      <c r="BV20" s="220">
        <f t="shared" ca="1" si="68"/>
        <v>0</v>
      </c>
      <c r="BW20" s="235">
        <f t="shared" ca="1" si="69"/>
        <v>0</v>
      </c>
      <c r="BX20" s="235">
        <f t="shared" ca="1" si="70"/>
        <v>0</v>
      </c>
      <c r="BY20" s="242">
        <f t="shared" ca="1" si="71"/>
        <v>0</v>
      </c>
      <c r="BZ20" s="241">
        <f t="shared" ca="1" si="552"/>
        <v>1</v>
      </c>
      <c r="CA20" s="220">
        <f t="shared" ca="1" si="72"/>
        <v>0</v>
      </c>
      <c r="CB20" s="220">
        <f t="shared" ca="1" si="73"/>
        <v>0</v>
      </c>
      <c r="CC20" s="235">
        <f t="shared" ca="1" si="74"/>
        <v>0</v>
      </c>
      <c r="CD20" s="235">
        <f t="shared" ca="1" si="75"/>
        <v>0</v>
      </c>
      <c r="CE20" s="242">
        <f t="shared" ca="1" si="76"/>
        <v>0</v>
      </c>
      <c r="CF20" s="241">
        <f t="shared" ca="1" si="552"/>
        <v>1</v>
      </c>
      <c r="CG20" s="220">
        <f t="shared" ca="1" si="77"/>
        <v>0</v>
      </c>
      <c r="CH20" s="220">
        <f t="shared" ca="1" si="78"/>
        <v>0</v>
      </c>
      <c r="CI20" s="235">
        <f t="shared" ca="1" si="79"/>
        <v>0</v>
      </c>
      <c r="CJ20" s="235">
        <f t="shared" ca="1" si="80"/>
        <v>0</v>
      </c>
      <c r="CK20" s="242">
        <f t="shared" ca="1" si="81"/>
        <v>0</v>
      </c>
      <c r="CL20" s="241">
        <f t="shared" ca="1" si="552"/>
        <v>1</v>
      </c>
      <c r="CM20" s="220">
        <f t="shared" ca="1" si="82"/>
        <v>0</v>
      </c>
      <c r="CN20" s="220">
        <f t="shared" ca="1" si="83"/>
        <v>0</v>
      </c>
      <c r="CO20" s="235">
        <f t="shared" ca="1" si="84"/>
        <v>0</v>
      </c>
      <c r="CP20" s="235">
        <f t="shared" ca="1" si="85"/>
        <v>0</v>
      </c>
      <c r="CQ20" s="242">
        <f t="shared" ca="1" si="86"/>
        <v>0</v>
      </c>
      <c r="CR20" s="241">
        <f t="shared" ca="1" si="552"/>
        <v>1</v>
      </c>
      <c r="CS20" s="220">
        <f t="shared" ca="1" si="87"/>
        <v>0</v>
      </c>
      <c r="CT20" s="220">
        <f t="shared" ca="1" si="88"/>
        <v>0</v>
      </c>
      <c r="CU20" s="235">
        <f t="shared" ca="1" si="89"/>
        <v>0</v>
      </c>
      <c r="CV20" s="235">
        <f t="shared" ca="1" si="90"/>
        <v>0</v>
      </c>
      <c r="CW20" s="242">
        <f t="shared" ca="1" si="91"/>
        <v>0</v>
      </c>
      <c r="CX20" s="241">
        <f t="shared" ca="1" si="51"/>
        <v>1</v>
      </c>
      <c r="CY20" s="220">
        <f t="shared" ca="1" si="92"/>
        <v>0</v>
      </c>
      <c r="CZ20" s="220">
        <f t="shared" ca="1" si="93"/>
        <v>0</v>
      </c>
      <c r="DA20" s="235">
        <f t="shared" ca="1" si="94"/>
        <v>0</v>
      </c>
      <c r="DB20" s="235">
        <f t="shared" ca="1" si="95"/>
        <v>0</v>
      </c>
      <c r="DC20" s="242">
        <f t="shared" ca="1" si="96"/>
        <v>0</v>
      </c>
      <c r="DD20" s="241">
        <f t="shared" ca="1" si="51"/>
        <v>1</v>
      </c>
      <c r="DE20" s="220">
        <f t="shared" ca="1" si="97"/>
        <v>0</v>
      </c>
      <c r="DF20" s="220">
        <f t="shared" ca="1" si="98"/>
        <v>0</v>
      </c>
      <c r="DG20" s="235">
        <f t="shared" ca="1" si="99"/>
        <v>0</v>
      </c>
      <c r="DH20" s="235">
        <f t="shared" ca="1" si="100"/>
        <v>0</v>
      </c>
      <c r="DI20" s="242">
        <f t="shared" ca="1" si="101"/>
        <v>0</v>
      </c>
      <c r="DJ20" s="241">
        <f t="shared" ca="1" si="51"/>
        <v>1</v>
      </c>
      <c r="DK20" s="220">
        <f t="shared" ca="1" si="102"/>
        <v>0</v>
      </c>
      <c r="DL20" s="220">
        <f t="shared" ca="1" si="103"/>
        <v>0</v>
      </c>
      <c r="DM20" s="235">
        <f t="shared" ca="1" si="104"/>
        <v>0</v>
      </c>
      <c r="DN20" s="235">
        <f t="shared" ca="1" si="105"/>
        <v>0</v>
      </c>
      <c r="DO20" s="242">
        <f t="shared" ca="1" si="106"/>
        <v>0</v>
      </c>
      <c r="DP20" s="241">
        <f t="shared" ca="1" si="107"/>
        <v>1</v>
      </c>
      <c r="DQ20" s="220">
        <f t="shared" ca="1" si="108"/>
        <v>0</v>
      </c>
      <c r="DR20" s="220">
        <f t="shared" ca="1" si="109"/>
        <v>0</v>
      </c>
      <c r="DS20" s="235">
        <f t="shared" ca="1" si="110"/>
        <v>0</v>
      </c>
      <c r="DT20" s="235">
        <f t="shared" ca="1" si="111"/>
        <v>0</v>
      </c>
      <c r="DU20" s="242">
        <f t="shared" ca="1" si="112"/>
        <v>0</v>
      </c>
      <c r="DV20" s="241">
        <f t="shared" ca="1" si="107"/>
        <v>1</v>
      </c>
      <c r="DW20" s="220">
        <f t="shared" ca="1" si="113"/>
        <v>0</v>
      </c>
      <c r="DX20" s="220">
        <f t="shared" ca="1" si="114"/>
        <v>0</v>
      </c>
      <c r="DY20" s="235">
        <f t="shared" ca="1" si="115"/>
        <v>0</v>
      </c>
      <c r="DZ20" s="235">
        <f t="shared" ca="1" si="116"/>
        <v>0</v>
      </c>
      <c r="EA20" s="242">
        <f t="shared" ca="1" si="117"/>
        <v>0</v>
      </c>
      <c r="EB20" s="241">
        <f t="shared" ca="1" si="107"/>
        <v>1</v>
      </c>
      <c r="EC20" s="220">
        <f t="shared" ca="1" si="118"/>
        <v>0</v>
      </c>
      <c r="ED20" s="220">
        <f t="shared" ca="1" si="119"/>
        <v>0</v>
      </c>
      <c r="EE20" s="235">
        <f t="shared" ca="1" si="120"/>
        <v>0</v>
      </c>
      <c r="EF20" s="235">
        <f t="shared" ca="1" si="121"/>
        <v>0</v>
      </c>
      <c r="EG20" s="242">
        <f t="shared" ca="1" si="122"/>
        <v>0</v>
      </c>
      <c r="EH20" s="241">
        <f t="shared" ca="1" si="107"/>
        <v>1</v>
      </c>
      <c r="EI20" s="220">
        <f t="shared" ca="1" si="123"/>
        <v>0</v>
      </c>
      <c r="EJ20" s="220">
        <f t="shared" ca="1" si="124"/>
        <v>0</v>
      </c>
      <c r="EK20" s="235">
        <f t="shared" ca="1" si="125"/>
        <v>0</v>
      </c>
      <c r="EL20" s="235">
        <f t="shared" ca="1" si="126"/>
        <v>0</v>
      </c>
      <c r="EM20" s="242">
        <f t="shared" ca="1" si="127"/>
        <v>0</v>
      </c>
      <c r="EN20" s="241">
        <f t="shared" ca="1" si="107"/>
        <v>1</v>
      </c>
      <c r="EO20" s="220">
        <f t="shared" ca="1" si="128"/>
        <v>0</v>
      </c>
      <c r="EP20" s="220">
        <f t="shared" ca="1" si="129"/>
        <v>0</v>
      </c>
      <c r="EQ20" s="235">
        <f t="shared" ca="1" si="130"/>
        <v>0</v>
      </c>
      <c r="ER20" s="235">
        <f t="shared" ca="1" si="131"/>
        <v>0</v>
      </c>
      <c r="ES20" s="242">
        <f t="shared" ca="1" si="132"/>
        <v>0</v>
      </c>
      <c r="ET20" s="241">
        <f t="shared" ca="1" si="107"/>
        <v>1</v>
      </c>
      <c r="EU20" s="220">
        <f t="shared" ca="1" si="133"/>
        <v>0</v>
      </c>
      <c r="EV20" s="220">
        <f t="shared" ca="1" si="134"/>
        <v>0</v>
      </c>
      <c r="EW20" s="235">
        <f t="shared" ca="1" si="135"/>
        <v>0</v>
      </c>
      <c r="EX20" s="235">
        <f t="shared" ca="1" si="136"/>
        <v>0</v>
      </c>
      <c r="EY20" s="242">
        <f t="shared" ca="1" si="137"/>
        <v>0</v>
      </c>
      <c r="EZ20" s="241">
        <f t="shared" ca="1" si="107"/>
        <v>1</v>
      </c>
      <c r="FA20" s="220">
        <f t="shared" ca="1" si="138"/>
        <v>0</v>
      </c>
      <c r="FB20" s="220">
        <f t="shared" ca="1" si="139"/>
        <v>0</v>
      </c>
      <c r="FC20" s="235">
        <f t="shared" ca="1" si="140"/>
        <v>0</v>
      </c>
      <c r="FD20" s="235">
        <f t="shared" ca="1" si="141"/>
        <v>0</v>
      </c>
      <c r="FE20" s="242">
        <f t="shared" ca="1" si="142"/>
        <v>0</v>
      </c>
      <c r="FF20" s="241">
        <f t="shared" ca="1" si="107"/>
        <v>1</v>
      </c>
      <c r="FG20" s="220">
        <f t="shared" ca="1" si="143"/>
        <v>0</v>
      </c>
      <c r="FH20" s="220">
        <f t="shared" ca="1" si="144"/>
        <v>0</v>
      </c>
      <c r="FI20" s="235">
        <f t="shared" ca="1" si="145"/>
        <v>0</v>
      </c>
      <c r="FJ20" s="235">
        <f t="shared" ca="1" si="146"/>
        <v>0</v>
      </c>
      <c r="FK20" s="242">
        <f t="shared" ca="1" si="147"/>
        <v>0</v>
      </c>
      <c r="FL20" s="241">
        <f t="shared" ca="1" si="107"/>
        <v>1</v>
      </c>
      <c r="FM20" s="220">
        <f t="shared" ca="1" si="148"/>
        <v>0</v>
      </c>
      <c r="FN20" s="220">
        <f t="shared" ca="1" si="149"/>
        <v>0</v>
      </c>
      <c r="FO20" s="235">
        <f t="shared" ca="1" si="150"/>
        <v>0</v>
      </c>
      <c r="FP20" s="235">
        <f t="shared" ca="1" si="151"/>
        <v>0</v>
      </c>
      <c r="FQ20" s="242">
        <f t="shared" ca="1" si="152"/>
        <v>0</v>
      </c>
      <c r="FR20" s="241">
        <f t="shared" ca="1" si="107"/>
        <v>1</v>
      </c>
      <c r="FS20" s="220">
        <f t="shared" ca="1" si="153"/>
        <v>0</v>
      </c>
      <c r="FT20" s="220">
        <f t="shared" ca="1" si="154"/>
        <v>0</v>
      </c>
      <c r="FU20" s="235">
        <f t="shared" ca="1" si="155"/>
        <v>0</v>
      </c>
      <c r="FV20" s="235">
        <f t="shared" ca="1" si="156"/>
        <v>0</v>
      </c>
      <c r="FW20" s="242">
        <f t="shared" ca="1" si="157"/>
        <v>0</v>
      </c>
      <c r="FX20" s="241">
        <f t="shared" ca="1" si="107"/>
        <v>1</v>
      </c>
      <c r="FY20" s="220">
        <f t="shared" ca="1" si="158"/>
        <v>0</v>
      </c>
      <c r="FZ20" s="220">
        <f t="shared" ca="1" si="159"/>
        <v>0</v>
      </c>
      <c r="GA20" s="235">
        <f t="shared" ca="1" si="160"/>
        <v>0</v>
      </c>
      <c r="GB20" s="235">
        <f t="shared" ca="1" si="161"/>
        <v>0</v>
      </c>
      <c r="GC20" s="242">
        <f t="shared" ca="1" si="162"/>
        <v>0</v>
      </c>
      <c r="GD20" s="241">
        <f t="shared" ca="1" si="163"/>
        <v>1</v>
      </c>
      <c r="GE20" s="220">
        <f t="shared" ca="1" si="164"/>
        <v>0</v>
      </c>
      <c r="GF20" s="220">
        <f t="shared" ca="1" si="165"/>
        <v>0</v>
      </c>
      <c r="GG20" s="235">
        <f t="shared" ca="1" si="166"/>
        <v>0</v>
      </c>
      <c r="GH20" s="235">
        <f t="shared" ca="1" si="167"/>
        <v>0</v>
      </c>
      <c r="GI20" s="242">
        <f t="shared" ca="1" si="168"/>
        <v>0</v>
      </c>
      <c r="GJ20" s="241">
        <f t="shared" ca="1" si="163"/>
        <v>1</v>
      </c>
      <c r="GK20" s="220">
        <f t="shared" ca="1" si="169"/>
        <v>0</v>
      </c>
      <c r="GL20" s="220">
        <f t="shared" ca="1" si="170"/>
        <v>0</v>
      </c>
      <c r="GM20" s="235">
        <f t="shared" ca="1" si="171"/>
        <v>0</v>
      </c>
      <c r="GN20" s="235">
        <f t="shared" ca="1" si="172"/>
        <v>0</v>
      </c>
      <c r="GO20" s="242">
        <f t="shared" ca="1" si="173"/>
        <v>0</v>
      </c>
      <c r="GP20" s="241">
        <f t="shared" ca="1" si="163"/>
        <v>1</v>
      </c>
      <c r="GQ20" s="220">
        <f t="shared" ca="1" si="174"/>
        <v>0</v>
      </c>
      <c r="GR20" s="220">
        <f t="shared" ca="1" si="175"/>
        <v>0</v>
      </c>
      <c r="GS20" s="235">
        <f t="shared" ca="1" si="176"/>
        <v>0</v>
      </c>
      <c r="GT20" s="235">
        <f t="shared" ca="1" si="177"/>
        <v>0</v>
      </c>
      <c r="GU20" s="242">
        <f t="shared" ca="1" si="178"/>
        <v>0</v>
      </c>
      <c r="GV20" s="241">
        <f t="shared" ca="1" si="163"/>
        <v>1</v>
      </c>
      <c r="GW20" s="220">
        <f t="shared" ca="1" si="179"/>
        <v>0</v>
      </c>
      <c r="GX20" s="220">
        <f t="shared" ca="1" si="180"/>
        <v>0</v>
      </c>
      <c r="GY20" s="235">
        <f t="shared" ca="1" si="181"/>
        <v>0</v>
      </c>
      <c r="GZ20" s="235">
        <f t="shared" ca="1" si="182"/>
        <v>0</v>
      </c>
      <c r="HA20" s="242">
        <f t="shared" ca="1" si="183"/>
        <v>0</v>
      </c>
      <c r="HB20" s="241">
        <f t="shared" ca="1" si="163"/>
        <v>1</v>
      </c>
      <c r="HC20" s="220">
        <f t="shared" ca="1" si="184"/>
        <v>0</v>
      </c>
      <c r="HD20" s="220">
        <f t="shared" ca="1" si="185"/>
        <v>0</v>
      </c>
      <c r="HE20" s="235">
        <f t="shared" ca="1" si="186"/>
        <v>0</v>
      </c>
      <c r="HF20" s="235">
        <f t="shared" ca="1" si="187"/>
        <v>0</v>
      </c>
      <c r="HG20" s="242">
        <f t="shared" ca="1" si="188"/>
        <v>0</v>
      </c>
      <c r="HH20" s="241">
        <f t="shared" ca="1" si="163"/>
        <v>1</v>
      </c>
      <c r="HI20" s="220">
        <f t="shared" ca="1" si="189"/>
        <v>0</v>
      </c>
      <c r="HJ20" s="220">
        <f t="shared" ca="1" si="190"/>
        <v>0</v>
      </c>
      <c r="HK20" s="235">
        <f t="shared" ca="1" si="191"/>
        <v>0</v>
      </c>
      <c r="HL20" s="235">
        <f t="shared" ca="1" si="192"/>
        <v>0</v>
      </c>
      <c r="HM20" s="242">
        <f t="shared" ca="1" si="193"/>
        <v>0</v>
      </c>
      <c r="HN20" s="241">
        <f t="shared" ca="1" si="163"/>
        <v>1</v>
      </c>
      <c r="HO20" s="220">
        <f t="shared" ca="1" si="194"/>
        <v>0</v>
      </c>
      <c r="HP20" s="220">
        <f t="shared" ca="1" si="195"/>
        <v>0</v>
      </c>
      <c r="HQ20" s="235">
        <f t="shared" ca="1" si="196"/>
        <v>0</v>
      </c>
      <c r="HR20" s="235">
        <f t="shared" ca="1" si="197"/>
        <v>0</v>
      </c>
      <c r="HS20" s="242">
        <f t="shared" ca="1" si="198"/>
        <v>0</v>
      </c>
      <c r="HT20" s="241">
        <f t="shared" ca="1" si="163"/>
        <v>1</v>
      </c>
      <c r="HU20" s="220">
        <f t="shared" ca="1" si="199"/>
        <v>0</v>
      </c>
      <c r="HV20" s="220">
        <f t="shared" ca="1" si="200"/>
        <v>0</v>
      </c>
      <c r="HW20" s="235">
        <f t="shared" ca="1" si="201"/>
        <v>0</v>
      </c>
      <c r="HX20" s="235">
        <f t="shared" ca="1" si="202"/>
        <v>0</v>
      </c>
      <c r="HY20" s="242">
        <f t="shared" ca="1" si="203"/>
        <v>0</v>
      </c>
      <c r="HZ20" s="241">
        <f t="shared" ca="1" si="163"/>
        <v>1</v>
      </c>
      <c r="IA20" s="220">
        <f t="shared" ca="1" si="204"/>
        <v>0</v>
      </c>
      <c r="IB20" s="220">
        <f t="shared" ca="1" si="205"/>
        <v>0</v>
      </c>
      <c r="IC20" s="235">
        <f t="shared" ca="1" si="206"/>
        <v>0</v>
      </c>
      <c r="ID20" s="235">
        <f t="shared" ca="1" si="207"/>
        <v>0</v>
      </c>
      <c r="IE20" s="242">
        <f t="shared" ca="1" si="208"/>
        <v>0</v>
      </c>
      <c r="IF20" s="241">
        <f t="shared" ca="1" si="163"/>
        <v>1</v>
      </c>
      <c r="IG20" s="220">
        <f t="shared" ca="1" si="209"/>
        <v>0</v>
      </c>
      <c r="IH20" s="220">
        <f t="shared" ca="1" si="210"/>
        <v>0</v>
      </c>
      <c r="II20" s="235">
        <f t="shared" ca="1" si="211"/>
        <v>0</v>
      </c>
      <c r="IJ20" s="235">
        <f t="shared" ca="1" si="212"/>
        <v>0</v>
      </c>
      <c r="IK20" s="242">
        <f t="shared" ca="1" si="213"/>
        <v>0</v>
      </c>
      <c r="IL20" s="241">
        <f t="shared" ca="1" si="163"/>
        <v>1</v>
      </c>
      <c r="IM20" s="220">
        <f t="shared" ca="1" si="214"/>
        <v>0</v>
      </c>
      <c r="IN20" s="220">
        <f t="shared" ca="1" si="215"/>
        <v>0</v>
      </c>
      <c r="IO20" s="235">
        <f t="shared" ca="1" si="216"/>
        <v>0</v>
      </c>
      <c r="IP20" s="235">
        <f t="shared" ca="1" si="217"/>
        <v>0</v>
      </c>
      <c r="IQ20" s="242">
        <f t="shared" ca="1" si="218"/>
        <v>0</v>
      </c>
      <c r="IR20" s="241">
        <f t="shared" ca="1" si="219"/>
        <v>1</v>
      </c>
      <c r="IS20" s="220">
        <f t="shared" ca="1" si="220"/>
        <v>0</v>
      </c>
      <c r="IT20" s="220">
        <f t="shared" ca="1" si="221"/>
        <v>0</v>
      </c>
      <c r="IU20" s="235">
        <f t="shared" ca="1" si="222"/>
        <v>0</v>
      </c>
      <c r="IV20" s="235">
        <f t="shared" ca="1" si="223"/>
        <v>0</v>
      </c>
      <c r="IW20" s="242">
        <f t="shared" ca="1" si="224"/>
        <v>0</v>
      </c>
      <c r="IX20" s="241">
        <f t="shared" ca="1" si="219"/>
        <v>1</v>
      </c>
      <c r="IY20" s="220">
        <f t="shared" ca="1" si="225"/>
        <v>0</v>
      </c>
      <c r="IZ20" s="220">
        <f t="shared" ca="1" si="226"/>
        <v>0</v>
      </c>
      <c r="JA20" s="235">
        <f t="shared" ca="1" si="227"/>
        <v>0</v>
      </c>
      <c r="JB20" s="235">
        <f t="shared" ca="1" si="228"/>
        <v>0</v>
      </c>
      <c r="JC20" s="242">
        <f t="shared" ca="1" si="229"/>
        <v>0</v>
      </c>
      <c r="JD20" s="241">
        <f t="shared" ca="1" si="219"/>
        <v>1</v>
      </c>
      <c r="JE20" s="220">
        <f t="shared" ca="1" si="230"/>
        <v>0</v>
      </c>
      <c r="JF20" s="220">
        <f t="shared" ca="1" si="231"/>
        <v>0</v>
      </c>
      <c r="JG20" s="235">
        <f t="shared" ca="1" si="232"/>
        <v>0</v>
      </c>
      <c r="JH20" s="235">
        <f t="shared" ca="1" si="233"/>
        <v>0</v>
      </c>
      <c r="JI20" s="242">
        <f t="shared" ca="1" si="234"/>
        <v>0</v>
      </c>
      <c r="JJ20" s="241">
        <f t="shared" ca="1" si="219"/>
        <v>1</v>
      </c>
      <c r="JK20" s="220">
        <f t="shared" ca="1" si="235"/>
        <v>0</v>
      </c>
      <c r="JL20" s="220">
        <f t="shared" ca="1" si="236"/>
        <v>0</v>
      </c>
      <c r="JM20" s="235">
        <f t="shared" ca="1" si="237"/>
        <v>0</v>
      </c>
      <c r="JN20" s="235">
        <f t="shared" ca="1" si="238"/>
        <v>0</v>
      </c>
      <c r="JO20" s="242">
        <f t="shared" ca="1" si="239"/>
        <v>0</v>
      </c>
      <c r="JP20" s="241">
        <f t="shared" ca="1" si="219"/>
        <v>1</v>
      </c>
      <c r="JQ20" s="220">
        <f t="shared" ca="1" si="240"/>
        <v>0</v>
      </c>
      <c r="JR20" s="220">
        <f t="shared" ca="1" si="241"/>
        <v>0</v>
      </c>
      <c r="JS20" s="235">
        <f t="shared" ca="1" si="242"/>
        <v>0</v>
      </c>
      <c r="JT20" s="235">
        <f t="shared" ca="1" si="243"/>
        <v>0</v>
      </c>
      <c r="JU20" s="242">
        <f t="shared" ca="1" si="244"/>
        <v>0</v>
      </c>
      <c r="JV20" s="241">
        <f t="shared" ca="1" si="219"/>
        <v>1</v>
      </c>
      <c r="JW20" s="220">
        <f t="shared" ca="1" si="245"/>
        <v>0</v>
      </c>
      <c r="JX20" s="220">
        <f t="shared" ca="1" si="246"/>
        <v>0</v>
      </c>
      <c r="JY20" s="235">
        <f t="shared" ca="1" si="247"/>
        <v>0</v>
      </c>
      <c r="JZ20" s="235">
        <f t="shared" ca="1" si="248"/>
        <v>0</v>
      </c>
      <c r="KA20" s="242">
        <f t="shared" ca="1" si="249"/>
        <v>0</v>
      </c>
      <c r="KB20" s="241">
        <f t="shared" ca="1" si="219"/>
        <v>1</v>
      </c>
      <c r="KC20" s="220">
        <f t="shared" ca="1" si="250"/>
        <v>0</v>
      </c>
      <c r="KD20" s="220">
        <f t="shared" ca="1" si="251"/>
        <v>0</v>
      </c>
      <c r="KE20" s="235">
        <f t="shared" ca="1" si="252"/>
        <v>0</v>
      </c>
      <c r="KF20" s="235">
        <f t="shared" ca="1" si="253"/>
        <v>0</v>
      </c>
      <c r="KG20" s="242">
        <f t="shared" ca="1" si="254"/>
        <v>0</v>
      </c>
      <c r="KH20" s="241">
        <f t="shared" ca="1" si="219"/>
        <v>1</v>
      </c>
      <c r="KI20" s="220">
        <f t="shared" ca="1" si="255"/>
        <v>0</v>
      </c>
      <c r="KJ20" s="220">
        <f t="shared" ca="1" si="256"/>
        <v>0</v>
      </c>
      <c r="KK20" s="235">
        <f t="shared" ca="1" si="257"/>
        <v>0</v>
      </c>
      <c r="KL20" s="235">
        <f t="shared" ca="1" si="258"/>
        <v>0</v>
      </c>
      <c r="KM20" s="242">
        <f t="shared" ca="1" si="259"/>
        <v>0</v>
      </c>
      <c r="KN20" s="241">
        <f t="shared" ca="1" si="219"/>
        <v>1</v>
      </c>
      <c r="KO20" s="220">
        <f t="shared" ca="1" si="260"/>
        <v>0</v>
      </c>
      <c r="KP20" s="220">
        <f t="shared" ca="1" si="261"/>
        <v>0</v>
      </c>
      <c r="KQ20" s="235">
        <f t="shared" ca="1" si="262"/>
        <v>0</v>
      </c>
      <c r="KR20" s="235">
        <f t="shared" ca="1" si="263"/>
        <v>0</v>
      </c>
      <c r="KS20" s="242">
        <f t="shared" ca="1" si="264"/>
        <v>0</v>
      </c>
      <c r="KT20" s="241">
        <f t="shared" ca="1" si="219"/>
        <v>1</v>
      </c>
      <c r="KU20" s="220">
        <f t="shared" ca="1" si="265"/>
        <v>0</v>
      </c>
      <c r="KV20" s="220">
        <f t="shared" ca="1" si="266"/>
        <v>0</v>
      </c>
      <c r="KW20" s="235">
        <f t="shared" ca="1" si="267"/>
        <v>0</v>
      </c>
      <c r="KX20" s="235">
        <f t="shared" ca="1" si="268"/>
        <v>0</v>
      </c>
      <c r="KY20" s="242">
        <f t="shared" ca="1" si="269"/>
        <v>0</v>
      </c>
      <c r="KZ20" s="241">
        <f t="shared" ca="1" si="219"/>
        <v>1</v>
      </c>
      <c r="LA20" s="220">
        <f t="shared" ca="1" si="270"/>
        <v>0</v>
      </c>
      <c r="LB20" s="220">
        <f t="shared" ca="1" si="271"/>
        <v>0</v>
      </c>
      <c r="LC20" s="235">
        <f t="shared" ca="1" si="272"/>
        <v>0</v>
      </c>
      <c r="LD20" s="235">
        <f t="shared" ca="1" si="273"/>
        <v>0</v>
      </c>
      <c r="LE20" s="242">
        <f t="shared" ca="1" si="274"/>
        <v>0</v>
      </c>
      <c r="LF20" s="241">
        <f t="shared" ca="1" si="275"/>
        <v>1</v>
      </c>
      <c r="LG20" s="220">
        <f t="shared" ca="1" si="276"/>
        <v>0</v>
      </c>
      <c r="LH20" s="220">
        <f t="shared" ca="1" si="277"/>
        <v>0</v>
      </c>
      <c r="LI20" s="235">
        <f t="shared" ca="1" si="278"/>
        <v>0</v>
      </c>
      <c r="LJ20" s="235">
        <f t="shared" ca="1" si="279"/>
        <v>0</v>
      </c>
      <c r="LK20" s="242">
        <f t="shared" ca="1" si="280"/>
        <v>0</v>
      </c>
      <c r="LL20" s="241">
        <f t="shared" ca="1" si="275"/>
        <v>1</v>
      </c>
      <c r="LM20" s="220">
        <f t="shared" ca="1" si="281"/>
        <v>0</v>
      </c>
      <c r="LN20" s="220">
        <f t="shared" ca="1" si="282"/>
        <v>0</v>
      </c>
      <c r="LO20" s="235">
        <f t="shared" ca="1" si="283"/>
        <v>0</v>
      </c>
      <c r="LP20" s="235">
        <f t="shared" ca="1" si="284"/>
        <v>0</v>
      </c>
      <c r="LQ20" s="242">
        <f t="shared" ca="1" si="285"/>
        <v>0</v>
      </c>
      <c r="LR20" s="241">
        <f t="shared" ca="1" si="275"/>
        <v>1</v>
      </c>
      <c r="LS20" s="220">
        <f t="shared" ca="1" si="286"/>
        <v>0</v>
      </c>
      <c r="LT20" s="220">
        <f t="shared" ca="1" si="287"/>
        <v>0</v>
      </c>
      <c r="LU20" s="235">
        <f t="shared" ca="1" si="288"/>
        <v>0</v>
      </c>
      <c r="LV20" s="235">
        <f t="shared" ca="1" si="289"/>
        <v>0</v>
      </c>
      <c r="LW20" s="242">
        <f t="shared" ca="1" si="290"/>
        <v>0</v>
      </c>
      <c r="LX20" s="241">
        <f t="shared" ca="1" si="275"/>
        <v>1</v>
      </c>
      <c r="LY20" s="220">
        <f t="shared" ca="1" si="291"/>
        <v>0</v>
      </c>
      <c r="LZ20" s="220">
        <f t="shared" ca="1" si="292"/>
        <v>0</v>
      </c>
      <c r="MA20" s="235">
        <f t="shared" ca="1" si="293"/>
        <v>0</v>
      </c>
      <c r="MB20" s="235">
        <f t="shared" ca="1" si="294"/>
        <v>0</v>
      </c>
      <c r="MC20" s="242">
        <f t="shared" ca="1" si="295"/>
        <v>0</v>
      </c>
      <c r="MD20" s="241">
        <f t="shared" ca="1" si="275"/>
        <v>1</v>
      </c>
      <c r="ME20" s="220">
        <f t="shared" ca="1" si="296"/>
        <v>0</v>
      </c>
      <c r="MF20" s="220">
        <f t="shared" ca="1" si="297"/>
        <v>0</v>
      </c>
      <c r="MG20" s="235">
        <f t="shared" ca="1" si="298"/>
        <v>0</v>
      </c>
      <c r="MH20" s="235">
        <f t="shared" ca="1" si="299"/>
        <v>0</v>
      </c>
      <c r="MI20" s="242">
        <f t="shared" ca="1" si="300"/>
        <v>0</v>
      </c>
      <c r="MJ20" s="241">
        <f t="shared" ca="1" si="275"/>
        <v>1</v>
      </c>
      <c r="MK20" s="220">
        <f t="shared" ca="1" si="301"/>
        <v>0</v>
      </c>
      <c r="ML20" s="220">
        <f t="shared" ca="1" si="302"/>
        <v>0</v>
      </c>
      <c r="MM20" s="235">
        <f t="shared" ca="1" si="303"/>
        <v>0</v>
      </c>
      <c r="MN20" s="235">
        <f t="shared" ca="1" si="304"/>
        <v>0</v>
      </c>
      <c r="MO20" s="242">
        <f t="shared" ca="1" si="305"/>
        <v>0</v>
      </c>
      <c r="MP20" s="241">
        <f t="shared" ca="1" si="275"/>
        <v>1</v>
      </c>
      <c r="MQ20" s="220">
        <f t="shared" ca="1" si="306"/>
        <v>0</v>
      </c>
      <c r="MR20" s="220">
        <f t="shared" ca="1" si="307"/>
        <v>0</v>
      </c>
      <c r="MS20" s="235">
        <f t="shared" ca="1" si="308"/>
        <v>0</v>
      </c>
      <c r="MT20" s="235">
        <f t="shared" ca="1" si="309"/>
        <v>0</v>
      </c>
      <c r="MU20" s="242">
        <f t="shared" ca="1" si="310"/>
        <v>0</v>
      </c>
      <c r="MV20" s="241">
        <f t="shared" ca="1" si="275"/>
        <v>1</v>
      </c>
      <c r="MW20" s="220">
        <f t="shared" ca="1" si="311"/>
        <v>0</v>
      </c>
      <c r="MX20" s="220">
        <f t="shared" ca="1" si="312"/>
        <v>0</v>
      </c>
      <c r="MY20" s="235">
        <f t="shared" ca="1" si="313"/>
        <v>0</v>
      </c>
      <c r="MZ20" s="235">
        <f t="shared" ca="1" si="314"/>
        <v>0</v>
      </c>
      <c r="NA20" s="242">
        <f t="shared" ca="1" si="315"/>
        <v>0</v>
      </c>
      <c r="NB20" s="241">
        <f t="shared" ca="1" si="275"/>
        <v>1</v>
      </c>
      <c r="NC20" s="220">
        <f t="shared" ca="1" si="316"/>
        <v>0</v>
      </c>
      <c r="ND20" s="220">
        <f t="shared" ca="1" si="317"/>
        <v>0</v>
      </c>
      <c r="NE20" s="235">
        <f t="shared" ca="1" si="318"/>
        <v>0</v>
      </c>
      <c r="NF20" s="235">
        <f t="shared" ca="1" si="319"/>
        <v>0</v>
      </c>
      <c r="NG20" s="242">
        <f t="shared" ca="1" si="320"/>
        <v>0</v>
      </c>
      <c r="NH20" s="241">
        <f t="shared" ca="1" si="275"/>
        <v>1</v>
      </c>
      <c r="NI20" s="220">
        <f t="shared" ca="1" si="321"/>
        <v>0</v>
      </c>
      <c r="NJ20" s="220">
        <f t="shared" ca="1" si="322"/>
        <v>0</v>
      </c>
      <c r="NK20" s="235">
        <f t="shared" ca="1" si="323"/>
        <v>0</v>
      </c>
      <c r="NL20" s="235">
        <f t="shared" ca="1" si="324"/>
        <v>0</v>
      </c>
      <c r="NM20" s="242">
        <f t="shared" ca="1" si="325"/>
        <v>0</v>
      </c>
      <c r="NN20" s="241">
        <f t="shared" ca="1" si="275"/>
        <v>1</v>
      </c>
      <c r="NO20" s="220">
        <f t="shared" ca="1" si="326"/>
        <v>0</v>
      </c>
      <c r="NP20" s="220">
        <f t="shared" ca="1" si="327"/>
        <v>0</v>
      </c>
      <c r="NQ20" s="235">
        <f t="shared" ca="1" si="328"/>
        <v>0</v>
      </c>
      <c r="NR20" s="235">
        <f t="shared" ca="1" si="329"/>
        <v>0</v>
      </c>
      <c r="NS20" s="242">
        <f t="shared" ca="1" si="330"/>
        <v>0</v>
      </c>
      <c r="NT20" s="241">
        <f t="shared" ca="1" si="331"/>
        <v>1</v>
      </c>
      <c r="NU20" s="220">
        <f t="shared" ca="1" si="332"/>
        <v>0</v>
      </c>
      <c r="NV20" s="220">
        <f t="shared" ca="1" si="333"/>
        <v>0</v>
      </c>
      <c r="NW20" s="235">
        <f t="shared" ca="1" si="334"/>
        <v>0</v>
      </c>
      <c r="NX20" s="235">
        <f t="shared" ca="1" si="335"/>
        <v>0</v>
      </c>
      <c r="NY20" s="242">
        <f t="shared" ca="1" si="336"/>
        <v>0</v>
      </c>
      <c r="NZ20" s="241">
        <f t="shared" ca="1" si="331"/>
        <v>1</v>
      </c>
      <c r="OA20" s="220">
        <f t="shared" ca="1" si="337"/>
        <v>0</v>
      </c>
      <c r="OB20" s="220">
        <f t="shared" ca="1" si="338"/>
        <v>0</v>
      </c>
      <c r="OC20" s="235">
        <f t="shared" ca="1" si="339"/>
        <v>0</v>
      </c>
      <c r="OD20" s="235">
        <f t="shared" ca="1" si="340"/>
        <v>0</v>
      </c>
      <c r="OE20" s="242">
        <f t="shared" ca="1" si="341"/>
        <v>0</v>
      </c>
      <c r="OF20" s="241">
        <f t="shared" ca="1" si="331"/>
        <v>1</v>
      </c>
      <c r="OG20" s="220">
        <f t="shared" ca="1" si="342"/>
        <v>0</v>
      </c>
      <c r="OH20" s="220">
        <f t="shared" ca="1" si="343"/>
        <v>0</v>
      </c>
      <c r="OI20" s="235">
        <f t="shared" ca="1" si="344"/>
        <v>0</v>
      </c>
      <c r="OJ20" s="235">
        <f t="shared" ca="1" si="345"/>
        <v>0</v>
      </c>
      <c r="OK20" s="242">
        <f t="shared" ca="1" si="346"/>
        <v>0</v>
      </c>
      <c r="OL20" s="241">
        <f t="shared" ca="1" si="331"/>
        <v>1</v>
      </c>
      <c r="OM20" s="220">
        <f t="shared" ca="1" si="347"/>
        <v>0</v>
      </c>
      <c r="ON20" s="220">
        <f t="shared" ca="1" si="348"/>
        <v>0</v>
      </c>
      <c r="OO20" s="235">
        <f t="shared" ca="1" si="349"/>
        <v>0</v>
      </c>
      <c r="OP20" s="235">
        <f t="shared" ca="1" si="350"/>
        <v>0</v>
      </c>
      <c r="OQ20" s="242">
        <f t="shared" ca="1" si="351"/>
        <v>0</v>
      </c>
      <c r="OR20" s="241">
        <f t="shared" ca="1" si="331"/>
        <v>1</v>
      </c>
      <c r="OS20" s="220">
        <f t="shared" ca="1" si="352"/>
        <v>0</v>
      </c>
      <c r="OT20" s="220">
        <f t="shared" ca="1" si="353"/>
        <v>0</v>
      </c>
      <c r="OU20" s="235">
        <f t="shared" ca="1" si="354"/>
        <v>0</v>
      </c>
      <c r="OV20" s="235">
        <f t="shared" ca="1" si="355"/>
        <v>0</v>
      </c>
      <c r="OW20" s="242">
        <f t="shared" ca="1" si="356"/>
        <v>0</v>
      </c>
      <c r="OX20" s="241">
        <f t="shared" ca="1" si="331"/>
        <v>1</v>
      </c>
      <c r="OY20" s="220">
        <f t="shared" ca="1" si="357"/>
        <v>0</v>
      </c>
      <c r="OZ20" s="220">
        <f t="shared" ca="1" si="358"/>
        <v>0</v>
      </c>
      <c r="PA20" s="235">
        <f t="shared" ca="1" si="359"/>
        <v>0</v>
      </c>
      <c r="PB20" s="235">
        <f t="shared" ca="1" si="360"/>
        <v>0</v>
      </c>
      <c r="PC20" s="242">
        <f t="shared" ca="1" si="361"/>
        <v>0</v>
      </c>
      <c r="PD20" s="241">
        <f t="shared" ca="1" si="331"/>
        <v>1</v>
      </c>
      <c r="PE20" s="220">
        <f t="shared" ca="1" si="362"/>
        <v>0</v>
      </c>
      <c r="PF20" s="220">
        <f t="shared" ca="1" si="363"/>
        <v>0</v>
      </c>
      <c r="PG20" s="235">
        <f t="shared" ca="1" si="364"/>
        <v>0</v>
      </c>
      <c r="PH20" s="235">
        <f t="shared" ca="1" si="365"/>
        <v>0</v>
      </c>
      <c r="PI20" s="242">
        <f t="shared" ca="1" si="366"/>
        <v>0</v>
      </c>
      <c r="PJ20" s="241">
        <f t="shared" ca="1" si="331"/>
        <v>1</v>
      </c>
      <c r="PK20" s="220">
        <f t="shared" ca="1" si="367"/>
        <v>0</v>
      </c>
      <c r="PL20" s="220">
        <f t="shared" ca="1" si="368"/>
        <v>0</v>
      </c>
      <c r="PM20" s="235">
        <f t="shared" ca="1" si="369"/>
        <v>0</v>
      </c>
      <c r="PN20" s="235">
        <f t="shared" ca="1" si="370"/>
        <v>0</v>
      </c>
      <c r="PO20" s="242">
        <f t="shared" ca="1" si="371"/>
        <v>0</v>
      </c>
      <c r="PP20" s="241">
        <f t="shared" ca="1" si="331"/>
        <v>1</v>
      </c>
      <c r="PQ20" s="220">
        <f t="shared" ca="1" si="372"/>
        <v>0</v>
      </c>
      <c r="PR20" s="220">
        <f t="shared" ca="1" si="373"/>
        <v>0</v>
      </c>
      <c r="PS20" s="235">
        <f t="shared" ca="1" si="374"/>
        <v>0</v>
      </c>
      <c r="PT20" s="235">
        <f t="shared" ca="1" si="375"/>
        <v>0</v>
      </c>
      <c r="PU20" s="242">
        <f t="shared" ca="1" si="376"/>
        <v>0</v>
      </c>
      <c r="PV20" s="241">
        <f t="shared" ca="1" si="331"/>
        <v>1</v>
      </c>
      <c r="PW20" s="220">
        <f t="shared" ca="1" si="377"/>
        <v>0</v>
      </c>
      <c r="PX20" s="220">
        <f t="shared" ca="1" si="378"/>
        <v>0</v>
      </c>
      <c r="PY20" s="235">
        <f t="shared" ca="1" si="379"/>
        <v>0</v>
      </c>
      <c r="PZ20" s="235">
        <f t="shared" ca="1" si="380"/>
        <v>0</v>
      </c>
      <c r="QA20" s="242">
        <f t="shared" ca="1" si="381"/>
        <v>0</v>
      </c>
      <c r="QB20" s="241">
        <f t="shared" ca="1" si="331"/>
        <v>1</v>
      </c>
      <c r="QC20" s="220">
        <f t="shared" ca="1" si="382"/>
        <v>0</v>
      </c>
      <c r="QD20" s="220">
        <f t="shared" ca="1" si="383"/>
        <v>0</v>
      </c>
      <c r="QE20" s="235">
        <f t="shared" ca="1" si="384"/>
        <v>0</v>
      </c>
      <c r="QF20" s="235">
        <f t="shared" ca="1" si="385"/>
        <v>0</v>
      </c>
      <c r="QG20" s="242">
        <f t="shared" ca="1" si="386"/>
        <v>0</v>
      </c>
      <c r="QH20" s="241">
        <f t="shared" ca="1" si="387"/>
        <v>1</v>
      </c>
      <c r="QI20" s="220">
        <f t="shared" ca="1" si="388"/>
        <v>0</v>
      </c>
      <c r="QJ20" s="220">
        <f t="shared" ca="1" si="389"/>
        <v>0</v>
      </c>
      <c r="QK20" s="235">
        <f t="shared" ca="1" si="390"/>
        <v>0</v>
      </c>
      <c r="QL20" s="235">
        <f t="shared" ca="1" si="391"/>
        <v>0</v>
      </c>
      <c r="QM20" s="242">
        <f t="shared" ca="1" si="392"/>
        <v>0</v>
      </c>
      <c r="QN20" s="241">
        <f t="shared" ca="1" si="387"/>
        <v>1</v>
      </c>
      <c r="QO20" s="220">
        <f t="shared" ca="1" si="393"/>
        <v>0</v>
      </c>
      <c r="QP20" s="220">
        <f t="shared" ca="1" si="394"/>
        <v>0</v>
      </c>
      <c r="QQ20" s="235">
        <f t="shared" ca="1" si="395"/>
        <v>0</v>
      </c>
      <c r="QR20" s="235">
        <f t="shared" ca="1" si="396"/>
        <v>0</v>
      </c>
      <c r="QS20" s="242">
        <f t="shared" ca="1" si="397"/>
        <v>0</v>
      </c>
      <c r="QT20" s="241">
        <f t="shared" ca="1" si="387"/>
        <v>1</v>
      </c>
      <c r="QU20" s="220">
        <f t="shared" ca="1" si="398"/>
        <v>0</v>
      </c>
      <c r="QV20" s="220">
        <f t="shared" ca="1" si="399"/>
        <v>0</v>
      </c>
      <c r="QW20" s="235">
        <f t="shared" ca="1" si="400"/>
        <v>0</v>
      </c>
      <c r="QX20" s="235">
        <f t="shared" ca="1" si="401"/>
        <v>0</v>
      </c>
      <c r="QY20" s="242">
        <f t="shared" ca="1" si="402"/>
        <v>0</v>
      </c>
      <c r="QZ20" s="241">
        <f t="shared" ca="1" si="387"/>
        <v>1</v>
      </c>
      <c r="RA20" s="220">
        <f t="shared" ca="1" si="403"/>
        <v>0</v>
      </c>
      <c r="RB20" s="220">
        <f t="shared" ca="1" si="404"/>
        <v>0</v>
      </c>
      <c r="RC20" s="235">
        <f t="shared" ca="1" si="405"/>
        <v>0</v>
      </c>
      <c r="RD20" s="235">
        <f t="shared" ca="1" si="406"/>
        <v>0</v>
      </c>
      <c r="RE20" s="242">
        <f t="shared" ca="1" si="407"/>
        <v>0</v>
      </c>
      <c r="RF20" s="241">
        <f t="shared" ca="1" si="387"/>
        <v>1</v>
      </c>
      <c r="RG20" s="220">
        <f t="shared" ca="1" si="408"/>
        <v>0</v>
      </c>
      <c r="RH20" s="220">
        <f t="shared" ca="1" si="409"/>
        <v>0</v>
      </c>
      <c r="RI20" s="235">
        <f t="shared" ca="1" si="410"/>
        <v>0</v>
      </c>
      <c r="RJ20" s="235">
        <f t="shared" ca="1" si="411"/>
        <v>0</v>
      </c>
      <c r="RK20" s="242">
        <f t="shared" ca="1" si="412"/>
        <v>0</v>
      </c>
      <c r="RL20" s="241">
        <f t="shared" ca="1" si="387"/>
        <v>1</v>
      </c>
      <c r="RM20" s="220">
        <f t="shared" ca="1" si="413"/>
        <v>0</v>
      </c>
      <c r="RN20" s="220">
        <f t="shared" ca="1" si="414"/>
        <v>0</v>
      </c>
      <c r="RO20" s="235">
        <f t="shared" ca="1" si="415"/>
        <v>0</v>
      </c>
      <c r="RP20" s="235">
        <f t="shared" ca="1" si="416"/>
        <v>0</v>
      </c>
      <c r="RQ20" s="242">
        <f t="shared" ca="1" si="417"/>
        <v>0</v>
      </c>
      <c r="RR20" s="241">
        <f t="shared" ca="1" si="387"/>
        <v>1</v>
      </c>
      <c r="RS20" s="220">
        <f t="shared" ca="1" si="418"/>
        <v>0</v>
      </c>
      <c r="RT20" s="220">
        <f t="shared" ca="1" si="419"/>
        <v>0</v>
      </c>
      <c r="RU20" s="235">
        <f t="shared" ca="1" si="420"/>
        <v>0</v>
      </c>
      <c r="RV20" s="235">
        <f t="shared" ca="1" si="421"/>
        <v>0</v>
      </c>
      <c r="RW20" s="242">
        <f t="shared" ca="1" si="422"/>
        <v>0</v>
      </c>
      <c r="RX20" s="241">
        <f t="shared" ca="1" si="387"/>
        <v>1</v>
      </c>
      <c r="RY20" s="220">
        <f t="shared" ca="1" si="423"/>
        <v>0</v>
      </c>
      <c r="RZ20" s="220">
        <f t="shared" ca="1" si="424"/>
        <v>0</v>
      </c>
      <c r="SA20" s="235">
        <f t="shared" ca="1" si="425"/>
        <v>0</v>
      </c>
      <c r="SB20" s="235">
        <f t="shared" ca="1" si="426"/>
        <v>0</v>
      </c>
      <c r="SC20" s="242">
        <f t="shared" ca="1" si="427"/>
        <v>0</v>
      </c>
      <c r="SD20" s="241">
        <f t="shared" ca="1" si="387"/>
        <v>1</v>
      </c>
      <c r="SE20" s="220">
        <f t="shared" ca="1" si="428"/>
        <v>0</v>
      </c>
      <c r="SF20" s="220">
        <f t="shared" ca="1" si="429"/>
        <v>0</v>
      </c>
      <c r="SG20" s="235">
        <f t="shared" ca="1" si="430"/>
        <v>0</v>
      </c>
      <c r="SH20" s="235">
        <f t="shared" ca="1" si="431"/>
        <v>0</v>
      </c>
      <c r="SI20" s="242">
        <f t="shared" ca="1" si="432"/>
        <v>0</v>
      </c>
      <c r="SJ20" s="241">
        <f t="shared" ca="1" si="387"/>
        <v>1</v>
      </c>
      <c r="SK20" s="220">
        <f t="shared" ca="1" si="433"/>
        <v>0</v>
      </c>
      <c r="SL20" s="220">
        <f t="shared" ca="1" si="434"/>
        <v>0</v>
      </c>
      <c r="SM20" s="235">
        <f t="shared" ca="1" si="435"/>
        <v>0</v>
      </c>
      <c r="SN20" s="235">
        <f t="shared" ca="1" si="436"/>
        <v>0</v>
      </c>
      <c r="SO20" s="242">
        <f t="shared" ca="1" si="437"/>
        <v>0</v>
      </c>
      <c r="SP20" s="241">
        <f t="shared" ca="1" si="387"/>
        <v>1</v>
      </c>
      <c r="SQ20" s="220">
        <f t="shared" ca="1" si="438"/>
        <v>0</v>
      </c>
      <c r="SR20" s="220">
        <f t="shared" ca="1" si="439"/>
        <v>0</v>
      </c>
      <c r="SS20" s="235">
        <f t="shared" ca="1" si="440"/>
        <v>0</v>
      </c>
      <c r="ST20" s="235">
        <f t="shared" ca="1" si="441"/>
        <v>0</v>
      </c>
      <c r="SU20" s="242">
        <f t="shared" ca="1" si="442"/>
        <v>0</v>
      </c>
      <c r="SV20" s="241">
        <f t="shared" ca="1" si="443"/>
        <v>1</v>
      </c>
      <c r="SW20" s="220">
        <f t="shared" ca="1" si="444"/>
        <v>0</v>
      </c>
      <c r="SX20" s="220">
        <f t="shared" ca="1" si="445"/>
        <v>0</v>
      </c>
      <c r="SY20" s="235">
        <f t="shared" ca="1" si="446"/>
        <v>0</v>
      </c>
      <c r="SZ20" s="235">
        <f t="shared" ca="1" si="447"/>
        <v>0</v>
      </c>
      <c r="TA20" s="242">
        <f t="shared" ca="1" si="448"/>
        <v>0</v>
      </c>
      <c r="TB20" s="241">
        <f t="shared" ca="1" si="443"/>
        <v>1</v>
      </c>
      <c r="TC20" s="220">
        <f t="shared" ca="1" si="449"/>
        <v>0</v>
      </c>
      <c r="TD20" s="220">
        <f t="shared" ca="1" si="450"/>
        <v>0</v>
      </c>
      <c r="TE20" s="235">
        <f t="shared" ca="1" si="451"/>
        <v>0</v>
      </c>
      <c r="TF20" s="235">
        <f t="shared" ca="1" si="452"/>
        <v>0</v>
      </c>
      <c r="TG20" s="242">
        <f t="shared" ca="1" si="453"/>
        <v>0</v>
      </c>
      <c r="TH20" s="241">
        <f t="shared" ca="1" si="443"/>
        <v>1</v>
      </c>
      <c r="TI20" s="220">
        <f t="shared" ca="1" si="454"/>
        <v>0</v>
      </c>
      <c r="TJ20" s="220">
        <f t="shared" ca="1" si="455"/>
        <v>0</v>
      </c>
      <c r="TK20" s="235">
        <f t="shared" ca="1" si="456"/>
        <v>0</v>
      </c>
      <c r="TL20" s="235">
        <f t="shared" ca="1" si="457"/>
        <v>0</v>
      </c>
      <c r="TM20" s="242">
        <f t="shared" ca="1" si="458"/>
        <v>0</v>
      </c>
      <c r="TN20" s="241">
        <f t="shared" ca="1" si="443"/>
        <v>1</v>
      </c>
      <c r="TO20" s="220">
        <f t="shared" ca="1" si="459"/>
        <v>0</v>
      </c>
      <c r="TP20" s="220">
        <f t="shared" ca="1" si="460"/>
        <v>0</v>
      </c>
      <c r="TQ20" s="235">
        <f t="shared" ca="1" si="461"/>
        <v>0</v>
      </c>
      <c r="TR20" s="235">
        <f t="shared" ca="1" si="462"/>
        <v>0</v>
      </c>
      <c r="TS20" s="242">
        <f t="shared" ca="1" si="463"/>
        <v>0</v>
      </c>
      <c r="TT20" s="241">
        <f t="shared" ca="1" si="443"/>
        <v>1</v>
      </c>
      <c r="TU20" s="220">
        <f t="shared" ca="1" si="464"/>
        <v>0</v>
      </c>
      <c r="TV20" s="220">
        <f t="shared" ca="1" si="465"/>
        <v>0</v>
      </c>
      <c r="TW20" s="235">
        <f t="shared" ca="1" si="466"/>
        <v>0</v>
      </c>
      <c r="TX20" s="235">
        <f t="shared" ca="1" si="467"/>
        <v>0</v>
      </c>
      <c r="TY20" s="242">
        <f t="shared" ca="1" si="468"/>
        <v>0</v>
      </c>
      <c r="TZ20" s="241">
        <f t="shared" ca="1" si="443"/>
        <v>1</v>
      </c>
      <c r="UA20" s="220">
        <f t="shared" ca="1" si="469"/>
        <v>0</v>
      </c>
      <c r="UB20" s="220">
        <f t="shared" ca="1" si="470"/>
        <v>0</v>
      </c>
      <c r="UC20" s="235">
        <f t="shared" ca="1" si="471"/>
        <v>0</v>
      </c>
      <c r="UD20" s="235">
        <f t="shared" ca="1" si="472"/>
        <v>0</v>
      </c>
      <c r="UE20" s="242">
        <f t="shared" ca="1" si="473"/>
        <v>0</v>
      </c>
      <c r="UF20" s="241">
        <f t="shared" ca="1" si="443"/>
        <v>1</v>
      </c>
      <c r="UG20" s="220">
        <f t="shared" ca="1" si="474"/>
        <v>0</v>
      </c>
      <c r="UH20" s="220">
        <f t="shared" ca="1" si="475"/>
        <v>0</v>
      </c>
      <c r="UI20" s="235">
        <f t="shared" ca="1" si="476"/>
        <v>0</v>
      </c>
      <c r="UJ20" s="235">
        <f t="shared" ca="1" si="477"/>
        <v>0</v>
      </c>
      <c r="UK20" s="242">
        <f t="shared" ca="1" si="478"/>
        <v>0</v>
      </c>
      <c r="UL20" s="241">
        <f t="shared" ca="1" si="443"/>
        <v>1</v>
      </c>
      <c r="UM20" s="220">
        <f t="shared" ca="1" si="479"/>
        <v>0</v>
      </c>
      <c r="UN20" s="220">
        <f t="shared" ca="1" si="480"/>
        <v>0</v>
      </c>
      <c r="UO20" s="235">
        <f t="shared" ca="1" si="481"/>
        <v>0</v>
      </c>
      <c r="UP20" s="235">
        <f t="shared" ca="1" si="482"/>
        <v>0</v>
      </c>
      <c r="UQ20" s="242">
        <f t="shared" ca="1" si="483"/>
        <v>0</v>
      </c>
      <c r="UR20" s="241">
        <f t="shared" ca="1" si="443"/>
        <v>1</v>
      </c>
      <c r="US20" s="220">
        <f t="shared" ca="1" si="484"/>
        <v>0</v>
      </c>
      <c r="UT20" s="220">
        <f t="shared" ca="1" si="485"/>
        <v>0</v>
      </c>
      <c r="UU20" s="235">
        <f t="shared" ca="1" si="486"/>
        <v>0</v>
      </c>
      <c r="UV20" s="235">
        <f t="shared" ca="1" si="487"/>
        <v>0</v>
      </c>
      <c r="UW20" s="242">
        <f t="shared" ca="1" si="488"/>
        <v>0</v>
      </c>
      <c r="UX20" s="241">
        <f t="shared" ca="1" si="443"/>
        <v>1</v>
      </c>
      <c r="UY20" s="220">
        <f t="shared" ca="1" si="489"/>
        <v>0</v>
      </c>
      <c r="UZ20" s="220">
        <f t="shared" ca="1" si="490"/>
        <v>0</v>
      </c>
      <c r="VA20" s="235">
        <f t="shared" ca="1" si="491"/>
        <v>0</v>
      </c>
      <c r="VB20" s="235">
        <f t="shared" ca="1" si="492"/>
        <v>0</v>
      </c>
      <c r="VC20" s="242">
        <f t="shared" ca="1" si="493"/>
        <v>0</v>
      </c>
      <c r="VD20" s="241">
        <f t="shared" ca="1" si="443"/>
        <v>1</v>
      </c>
      <c r="VE20" s="220">
        <f t="shared" ca="1" si="494"/>
        <v>0</v>
      </c>
      <c r="VF20" s="220">
        <f t="shared" ca="1" si="495"/>
        <v>0</v>
      </c>
      <c r="VG20" s="235">
        <f t="shared" ca="1" si="496"/>
        <v>0</v>
      </c>
      <c r="VH20" s="235">
        <f t="shared" ca="1" si="497"/>
        <v>0</v>
      </c>
      <c r="VI20" s="242">
        <f t="shared" ca="1" si="498"/>
        <v>0</v>
      </c>
      <c r="VJ20" s="241">
        <f t="shared" ca="1" si="499"/>
        <v>1</v>
      </c>
      <c r="VK20" s="220">
        <f t="shared" ca="1" si="500"/>
        <v>0</v>
      </c>
      <c r="VL20" s="220">
        <f t="shared" ca="1" si="501"/>
        <v>0</v>
      </c>
      <c r="VM20" s="235">
        <f t="shared" ca="1" si="502"/>
        <v>0</v>
      </c>
      <c r="VN20" s="235">
        <f t="shared" ca="1" si="503"/>
        <v>0</v>
      </c>
      <c r="VO20" s="242">
        <f t="shared" ca="1" si="504"/>
        <v>0</v>
      </c>
      <c r="VP20" s="241">
        <f t="shared" ca="1" si="499"/>
        <v>1</v>
      </c>
      <c r="VQ20" s="220">
        <f t="shared" ca="1" si="505"/>
        <v>0</v>
      </c>
      <c r="VR20" s="220">
        <f t="shared" ca="1" si="506"/>
        <v>0</v>
      </c>
      <c r="VS20" s="235">
        <f t="shared" ca="1" si="507"/>
        <v>0</v>
      </c>
      <c r="VT20" s="235">
        <f t="shared" ca="1" si="508"/>
        <v>0</v>
      </c>
      <c r="VU20" s="242">
        <f t="shared" ca="1" si="509"/>
        <v>0</v>
      </c>
      <c r="VV20" s="241">
        <f t="shared" ca="1" si="499"/>
        <v>1</v>
      </c>
      <c r="VW20" s="220">
        <f t="shared" ca="1" si="510"/>
        <v>0</v>
      </c>
      <c r="VX20" s="220">
        <f t="shared" ca="1" si="511"/>
        <v>0</v>
      </c>
      <c r="VY20" s="235">
        <f t="shared" ca="1" si="512"/>
        <v>0</v>
      </c>
      <c r="VZ20" s="235">
        <f t="shared" ca="1" si="513"/>
        <v>0</v>
      </c>
      <c r="WA20" s="242">
        <f t="shared" ca="1" si="514"/>
        <v>0</v>
      </c>
      <c r="WB20" s="241">
        <f t="shared" ca="1" si="499"/>
        <v>1</v>
      </c>
      <c r="WC20" s="220">
        <f t="shared" ca="1" si="515"/>
        <v>0</v>
      </c>
      <c r="WD20" s="220">
        <f t="shared" ca="1" si="516"/>
        <v>0</v>
      </c>
      <c r="WE20" s="235">
        <f t="shared" ca="1" si="517"/>
        <v>0</v>
      </c>
      <c r="WF20" s="235">
        <f t="shared" ca="1" si="518"/>
        <v>0</v>
      </c>
      <c r="WG20" s="242">
        <f t="shared" ca="1" si="519"/>
        <v>0</v>
      </c>
      <c r="WH20" s="241">
        <f t="shared" ca="1" si="499"/>
        <v>1</v>
      </c>
      <c r="WI20" s="220">
        <f t="shared" ca="1" si="520"/>
        <v>0</v>
      </c>
      <c r="WJ20" s="220">
        <f t="shared" ca="1" si="521"/>
        <v>0</v>
      </c>
      <c r="WK20" s="235">
        <f t="shared" ca="1" si="522"/>
        <v>0</v>
      </c>
      <c r="WL20" s="235">
        <f t="shared" ca="1" si="523"/>
        <v>0</v>
      </c>
      <c r="WM20" s="242">
        <f t="shared" ca="1" si="524"/>
        <v>0</v>
      </c>
      <c r="WN20" s="241">
        <f t="shared" ca="1" si="499"/>
        <v>1</v>
      </c>
      <c r="WO20" s="220">
        <f t="shared" ca="1" si="525"/>
        <v>0</v>
      </c>
      <c r="WP20" s="220">
        <f t="shared" ca="1" si="526"/>
        <v>0</v>
      </c>
      <c r="WQ20" s="235">
        <f t="shared" ca="1" si="527"/>
        <v>0</v>
      </c>
      <c r="WR20" s="235">
        <f t="shared" ca="1" si="528"/>
        <v>0</v>
      </c>
      <c r="WS20" s="242">
        <f t="shared" ca="1" si="529"/>
        <v>0</v>
      </c>
      <c r="WT20" s="241">
        <f t="shared" ca="1" si="499"/>
        <v>1</v>
      </c>
      <c r="WU20" s="220">
        <f t="shared" ca="1" si="530"/>
        <v>0</v>
      </c>
      <c r="WV20" s="220">
        <f t="shared" ca="1" si="531"/>
        <v>0</v>
      </c>
      <c r="WW20" s="235">
        <f t="shared" ca="1" si="532"/>
        <v>0</v>
      </c>
      <c r="WX20" s="235">
        <f t="shared" ca="1" si="533"/>
        <v>0</v>
      </c>
      <c r="WY20" s="242">
        <f t="shared" ca="1" si="534"/>
        <v>0</v>
      </c>
      <c r="WZ20" s="241">
        <f t="shared" ca="1" si="499"/>
        <v>1</v>
      </c>
      <c r="XA20" s="220">
        <f t="shared" ca="1" si="535"/>
        <v>0</v>
      </c>
      <c r="XB20" s="220">
        <f t="shared" ca="1" si="536"/>
        <v>0</v>
      </c>
      <c r="XC20" s="235">
        <f t="shared" ca="1" si="537"/>
        <v>0</v>
      </c>
      <c r="XD20" s="235">
        <f t="shared" ca="1" si="538"/>
        <v>0</v>
      </c>
      <c r="XE20" s="242">
        <f t="shared" ca="1" si="539"/>
        <v>0</v>
      </c>
      <c r="XF20" s="241">
        <f t="shared" ca="1" si="499"/>
        <v>1</v>
      </c>
      <c r="XG20" s="220">
        <f t="shared" ca="1" si="540"/>
        <v>0</v>
      </c>
      <c r="XH20" s="220">
        <f t="shared" ca="1" si="541"/>
        <v>0</v>
      </c>
      <c r="XI20" s="235">
        <f t="shared" ca="1" si="542"/>
        <v>0</v>
      </c>
      <c r="XJ20" s="235">
        <f t="shared" ca="1" si="543"/>
        <v>0</v>
      </c>
      <c r="XK20" s="242">
        <f t="shared" ca="1" si="544"/>
        <v>0</v>
      </c>
    </row>
    <row r="21" spans="2:635" x14ac:dyDescent="0.25">
      <c r="B21" s="65">
        <f t="shared" ca="1" si="14"/>
        <v>2036</v>
      </c>
      <c r="C21" s="65" t="s">
        <v>741</v>
      </c>
      <c r="D21" s="77">
        <f t="shared" si="15"/>
        <v>0</v>
      </c>
      <c r="E21" s="77">
        <f t="shared" si="16"/>
        <v>0</v>
      </c>
      <c r="F21" s="77">
        <f t="shared" si="17"/>
        <v>0</v>
      </c>
      <c r="G21" s="77">
        <f t="shared" si="18"/>
        <v>0</v>
      </c>
      <c r="H21" s="15" t="e">
        <f t="shared" ca="1" si="19"/>
        <v>#REF!</v>
      </c>
      <c r="L21" s="326">
        <f t="shared" ca="1" si="20"/>
        <v>3.5000000000000003E-2</v>
      </c>
      <c r="M21" s="327">
        <f t="shared" ca="1" si="21"/>
        <v>3.5000000000000003E-2</v>
      </c>
      <c r="N21" s="322">
        <f t="shared" ca="1" si="22"/>
        <v>-13</v>
      </c>
      <c r="O21" s="322">
        <f t="shared" ca="1" si="23"/>
        <v>0</v>
      </c>
      <c r="P21" s="328">
        <f t="shared" ca="1" si="545"/>
        <v>0</v>
      </c>
      <c r="Q21" s="328">
        <f t="shared" ca="1" si="546"/>
        <v>0</v>
      </c>
      <c r="R21" s="328">
        <f t="shared" ca="1" si="547"/>
        <v>0</v>
      </c>
      <c r="S21" s="329">
        <f t="shared" ca="1" si="24"/>
        <v>0</v>
      </c>
      <c r="T21" s="329">
        <f t="shared" ca="1" si="25"/>
        <v>0</v>
      </c>
      <c r="U21" s="329">
        <f t="shared" ca="1" si="26"/>
        <v>0</v>
      </c>
      <c r="V21" s="320" t="e">
        <f t="shared" ca="1" si="27"/>
        <v>#REF!</v>
      </c>
      <c r="W21" s="320" t="e">
        <f t="shared" ca="1" si="28"/>
        <v>#REF!</v>
      </c>
      <c r="X21" s="320" t="e">
        <f t="shared" ca="1" si="29"/>
        <v>#REF!</v>
      </c>
      <c r="Y21" s="320" t="e">
        <f ca="1">INDEX(SC_ZA_HECMLumpSum,ZAIDX)</f>
        <v>#REF!</v>
      </c>
      <c r="Z21" s="320" t="e">
        <f t="shared" ca="1" si="30"/>
        <v>#REF!</v>
      </c>
      <c r="AA21" s="320">
        <f t="shared" ref="AA21:AA84" ca="1" si="557">IF($R21&gt;0,-(V21+SUM(X21:Z21))*ABS($AJ21)/$R21,0)</f>
        <v>0</v>
      </c>
      <c r="AB21" s="320" t="e">
        <f t="shared" ref="AB21:AB84" ca="1" si="558">(V21+SUM(X21:AA21))*U21</f>
        <v>#REF!</v>
      </c>
      <c r="AC21" s="330" t="e">
        <f t="shared" ref="AC21:AC84" ca="1" si="559">(V21+SUM(X21:AA21))</f>
        <v>#REF!</v>
      </c>
      <c r="AD21" s="236" t="e">
        <f t="shared" ca="1" si="548"/>
        <v>#REF!</v>
      </c>
      <c r="AE21" s="320" t="e">
        <f t="shared" ca="1" si="34"/>
        <v>#REF!</v>
      </c>
      <c r="AF21" s="320" t="e">
        <f t="shared" ca="1" si="35"/>
        <v>#REF!</v>
      </c>
      <c r="AG21" s="320" t="e">
        <f t="shared" ca="1" si="549"/>
        <v>#REF!</v>
      </c>
      <c r="AH21" s="284" t="e">
        <f t="shared" ca="1" si="550"/>
        <v>#REF!</v>
      </c>
      <c r="AI21" s="318" t="e">
        <f t="shared" ca="1" si="551"/>
        <v>#REF!</v>
      </c>
      <c r="AJ21" s="331">
        <f t="shared" ca="1" si="552"/>
        <v>1</v>
      </c>
      <c r="AK21" s="220">
        <f t="shared" ca="1" si="553"/>
        <v>0</v>
      </c>
      <c r="AL21" s="220">
        <f t="shared" ca="1" si="37"/>
        <v>0</v>
      </c>
      <c r="AM21" s="235">
        <f t="shared" ca="1" si="554"/>
        <v>0</v>
      </c>
      <c r="AN21" s="235">
        <f t="shared" ca="1" si="555"/>
        <v>0</v>
      </c>
      <c r="AO21" s="242">
        <f t="shared" ca="1" si="556"/>
        <v>0</v>
      </c>
      <c r="AP21" s="241">
        <f t="shared" ca="1" si="552"/>
        <v>1</v>
      </c>
      <c r="AQ21" s="220">
        <f t="shared" ca="1" si="41"/>
        <v>0</v>
      </c>
      <c r="AR21" s="220">
        <f t="shared" ca="1" si="42"/>
        <v>0</v>
      </c>
      <c r="AS21" s="235">
        <f t="shared" ca="1" si="43"/>
        <v>0</v>
      </c>
      <c r="AT21" s="235">
        <f t="shared" ca="1" si="44"/>
        <v>0</v>
      </c>
      <c r="AU21" s="242">
        <f t="shared" ca="1" si="45"/>
        <v>0</v>
      </c>
      <c r="AV21" s="241">
        <f t="shared" ca="1" si="552"/>
        <v>1</v>
      </c>
      <c r="AW21" s="220">
        <f t="shared" ca="1" si="46"/>
        <v>0</v>
      </c>
      <c r="AX21" s="220">
        <f t="shared" ca="1" si="47"/>
        <v>0</v>
      </c>
      <c r="AY21" s="235">
        <f t="shared" ca="1" si="48"/>
        <v>0</v>
      </c>
      <c r="AZ21" s="235">
        <f t="shared" ca="1" si="49"/>
        <v>0</v>
      </c>
      <c r="BA21" s="242">
        <f t="shared" ca="1" si="50"/>
        <v>0</v>
      </c>
      <c r="BB21" s="241">
        <f t="shared" ca="1" si="552"/>
        <v>1</v>
      </c>
      <c r="BC21" s="220">
        <f t="shared" ca="1" si="52"/>
        <v>0</v>
      </c>
      <c r="BD21" s="220">
        <f t="shared" ca="1" si="53"/>
        <v>0</v>
      </c>
      <c r="BE21" s="235">
        <f t="shared" ca="1" si="54"/>
        <v>0</v>
      </c>
      <c r="BF21" s="235">
        <f t="shared" ca="1" si="55"/>
        <v>0</v>
      </c>
      <c r="BG21" s="242">
        <f t="shared" ca="1" si="56"/>
        <v>0</v>
      </c>
      <c r="BH21" s="241">
        <f t="shared" ca="1" si="552"/>
        <v>1</v>
      </c>
      <c r="BI21" s="220">
        <f t="shared" ca="1" si="57"/>
        <v>0</v>
      </c>
      <c r="BJ21" s="220">
        <f t="shared" ca="1" si="58"/>
        <v>0</v>
      </c>
      <c r="BK21" s="235">
        <f t="shared" ca="1" si="59"/>
        <v>0</v>
      </c>
      <c r="BL21" s="235">
        <f t="shared" ca="1" si="60"/>
        <v>0</v>
      </c>
      <c r="BM21" s="242">
        <f t="shared" ca="1" si="61"/>
        <v>0</v>
      </c>
      <c r="BN21" s="241">
        <f t="shared" ca="1" si="552"/>
        <v>1</v>
      </c>
      <c r="BO21" s="220">
        <f t="shared" ca="1" si="62"/>
        <v>0</v>
      </c>
      <c r="BP21" s="220">
        <f t="shared" ca="1" si="63"/>
        <v>0</v>
      </c>
      <c r="BQ21" s="235">
        <f t="shared" ca="1" si="64"/>
        <v>0</v>
      </c>
      <c r="BR21" s="235">
        <f t="shared" ca="1" si="65"/>
        <v>0</v>
      </c>
      <c r="BS21" s="242">
        <f t="shared" ca="1" si="66"/>
        <v>0</v>
      </c>
      <c r="BT21" s="241">
        <f t="shared" ca="1" si="552"/>
        <v>1</v>
      </c>
      <c r="BU21" s="220">
        <f t="shared" ca="1" si="67"/>
        <v>0</v>
      </c>
      <c r="BV21" s="220">
        <f t="shared" ca="1" si="68"/>
        <v>0</v>
      </c>
      <c r="BW21" s="235">
        <f t="shared" ca="1" si="69"/>
        <v>0</v>
      </c>
      <c r="BX21" s="235">
        <f t="shared" ca="1" si="70"/>
        <v>0</v>
      </c>
      <c r="BY21" s="242">
        <f t="shared" ca="1" si="71"/>
        <v>0</v>
      </c>
      <c r="BZ21" s="241">
        <f t="shared" ca="1" si="552"/>
        <v>1</v>
      </c>
      <c r="CA21" s="220">
        <f t="shared" ca="1" si="72"/>
        <v>0</v>
      </c>
      <c r="CB21" s="220">
        <f t="shared" ca="1" si="73"/>
        <v>0</v>
      </c>
      <c r="CC21" s="235">
        <f t="shared" ca="1" si="74"/>
        <v>0</v>
      </c>
      <c r="CD21" s="235">
        <f t="shared" ca="1" si="75"/>
        <v>0</v>
      </c>
      <c r="CE21" s="242">
        <f t="shared" ca="1" si="76"/>
        <v>0</v>
      </c>
      <c r="CF21" s="241">
        <f t="shared" ca="1" si="552"/>
        <v>1</v>
      </c>
      <c r="CG21" s="220">
        <f t="shared" ca="1" si="77"/>
        <v>0</v>
      </c>
      <c r="CH21" s="220">
        <f t="shared" ca="1" si="78"/>
        <v>0</v>
      </c>
      <c r="CI21" s="235">
        <f t="shared" ca="1" si="79"/>
        <v>0</v>
      </c>
      <c r="CJ21" s="235">
        <f t="shared" ca="1" si="80"/>
        <v>0</v>
      </c>
      <c r="CK21" s="242">
        <f t="shared" ca="1" si="81"/>
        <v>0</v>
      </c>
      <c r="CL21" s="241">
        <f t="shared" ca="1" si="552"/>
        <v>1</v>
      </c>
      <c r="CM21" s="220">
        <f t="shared" ca="1" si="82"/>
        <v>0</v>
      </c>
      <c r="CN21" s="220">
        <f t="shared" ca="1" si="83"/>
        <v>0</v>
      </c>
      <c r="CO21" s="235">
        <f t="shared" ca="1" si="84"/>
        <v>0</v>
      </c>
      <c r="CP21" s="235">
        <f t="shared" ca="1" si="85"/>
        <v>0</v>
      </c>
      <c r="CQ21" s="242">
        <f t="shared" ca="1" si="86"/>
        <v>0</v>
      </c>
      <c r="CR21" s="241">
        <f t="shared" ca="1" si="552"/>
        <v>1</v>
      </c>
      <c r="CS21" s="220">
        <f t="shared" ca="1" si="87"/>
        <v>0</v>
      </c>
      <c r="CT21" s="220">
        <f t="shared" ca="1" si="88"/>
        <v>0</v>
      </c>
      <c r="CU21" s="235">
        <f t="shared" ca="1" si="89"/>
        <v>0</v>
      </c>
      <c r="CV21" s="235">
        <f t="shared" ca="1" si="90"/>
        <v>0</v>
      </c>
      <c r="CW21" s="242">
        <f t="shared" ca="1" si="91"/>
        <v>0</v>
      </c>
      <c r="CX21" s="241">
        <f t="shared" ca="1" si="51"/>
        <v>1</v>
      </c>
      <c r="CY21" s="220">
        <f t="shared" ca="1" si="92"/>
        <v>0</v>
      </c>
      <c r="CZ21" s="220">
        <f t="shared" ca="1" si="93"/>
        <v>0</v>
      </c>
      <c r="DA21" s="235">
        <f t="shared" ca="1" si="94"/>
        <v>0</v>
      </c>
      <c r="DB21" s="235">
        <f t="shared" ca="1" si="95"/>
        <v>0</v>
      </c>
      <c r="DC21" s="242">
        <f t="shared" ca="1" si="96"/>
        <v>0</v>
      </c>
      <c r="DD21" s="241">
        <f t="shared" ca="1" si="51"/>
        <v>1</v>
      </c>
      <c r="DE21" s="220">
        <f t="shared" ca="1" si="97"/>
        <v>0</v>
      </c>
      <c r="DF21" s="220">
        <f t="shared" ca="1" si="98"/>
        <v>0</v>
      </c>
      <c r="DG21" s="235">
        <f t="shared" ca="1" si="99"/>
        <v>0</v>
      </c>
      <c r="DH21" s="235">
        <f t="shared" ca="1" si="100"/>
        <v>0</v>
      </c>
      <c r="DI21" s="242">
        <f t="shared" ca="1" si="101"/>
        <v>0</v>
      </c>
      <c r="DJ21" s="241">
        <f t="shared" ca="1" si="51"/>
        <v>1</v>
      </c>
      <c r="DK21" s="220">
        <f t="shared" ca="1" si="102"/>
        <v>0</v>
      </c>
      <c r="DL21" s="220">
        <f t="shared" ca="1" si="103"/>
        <v>0</v>
      </c>
      <c r="DM21" s="235">
        <f t="shared" ca="1" si="104"/>
        <v>0</v>
      </c>
      <c r="DN21" s="235">
        <f t="shared" ca="1" si="105"/>
        <v>0</v>
      </c>
      <c r="DO21" s="242">
        <f t="shared" ca="1" si="106"/>
        <v>0</v>
      </c>
      <c r="DP21" s="241">
        <f t="shared" ca="1" si="107"/>
        <v>1</v>
      </c>
      <c r="DQ21" s="220">
        <f t="shared" ca="1" si="108"/>
        <v>0</v>
      </c>
      <c r="DR21" s="220">
        <f t="shared" ca="1" si="109"/>
        <v>0</v>
      </c>
      <c r="DS21" s="235">
        <f t="shared" ca="1" si="110"/>
        <v>0</v>
      </c>
      <c r="DT21" s="235">
        <f t="shared" ca="1" si="111"/>
        <v>0</v>
      </c>
      <c r="DU21" s="242">
        <f t="shared" ca="1" si="112"/>
        <v>0</v>
      </c>
      <c r="DV21" s="241">
        <f t="shared" ca="1" si="107"/>
        <v>1</v>
      </c>
      <c r="DW21" s="220">
        <f t="shared" ca="1" si="113"/>
        <v>0</v>
      </c>
      <c r="DX21" s="220">
        <f t="shared" ca="1" si="114"/>
        <v>0</v>
      </c>
      <c r="DY21" s="235">
        <f t="shared" ca="1" si="115"/>
        <v>0</v>
      </c>
      <c r="DZ21" s="235">
        <f t="shared" ca="1" si="116"/>
        <v>0</v>
      </c>
      <c r="EA21" s="242">
        <f t="shared" ca="1" si="117"/>
        <v>0</v>
      </c>
      <c r="EB21" s="241">
        <f t="shared" ca="1" si="107"/>
        <v>1</v>
      </c>
      <c r="EC21" s="220">
        <f t="shared" ca="1" si="118"/>
        <v>0</v>
      </c>
      <c r="ED21" s="220">
        <f t="shared" ca="1" si="119"/>
        <v>0</v>
      </c>
      <c r="EE21" s="235">
        <f t="shared" ca="1" si="120"/>
        <v>0</v>
      </c>
      <c r="EF21" s="235">
        <f t="shared" ca="1" si="121"/>
        <v>0</v>
      </c>
      <c r="EG21" s="242">
        <f t="shared" ca="1" si="122"/>
        <v>0</v>
      </c>
      <c r="EH21" s="241">
        <f t="shared" ca="1" si="107"/>
        <v>1</v>
      </c>
      <c r="EI21" s="220">
        <f t="shared" ca="1" si="123"/>
        <v>0</v>
      </c>
      <c r="EJ21" s="220">
        <f t="shared" ca="1" si="124"/>
        <v>0</v>
      </c>
      <c r="EK21" s="235">
        <f t="shared" ca="1" si="125"/>
        <v>0</v>
      </c>
      <c r="EL21" s="235">
        <f t="shared" ca="1" si="126"/>
        <v>0</v>
      </c>
      <c r="EM21" s="242">
        <f t="shared" ca="1" si="127"/>
        <v>0</v>
      </c>
      <c r="EN21" s="241">
        <f t="shared" ca="1" si="107"/>
        <v>1</v>
      </c>
      <c r="EO21" s="220">
        <f t="shared" ca="1" si="128"/>
        <v>0</v>
      </c>
      <c r="EP21" s="220">
        <f t="shared" ca="1" si="129"/>
        <v>0</v>
      </c>
      <c r="EQ21" s="235">
        <f t="shared" ca="1" si="130"/>
        <v>0</v>
      </c>
      <c r="ER21" s="235">
        <f t="shared" ca="1" si="131"/>
        <v>0</v>
      </c>
      <c r="ES21" s="242">
        <f t="shared" ca="1" si="132"/>
        <v>0</v>
      </c>
      <c r="ET21" s="241">
        <f t="shared" ca="1" si="107"/>
        <v>1</v>
      </c>
      <c r="EU21" s="220">
        <f t="shared" ca="1" si="133"/>
        <v>0</v>
      </c>
      <c r="EV21" s="220">
        <f t="shared" ca="1" si="134"/>
        <v>0</v>
      </c>
      <c r="EW21" s="235">
        <f t="shared" ca="1" si="135"/>
        <v>0</v>
      </c>
      <c r="EX21" s="235">
        <f t="shared" ca="1" si="136"/>
        <v>0</v>
      </c>
      <c r="EY21" s="242">
        <f t="shared" ca="1" si="137"/>
        <v>0</v>
      </c>
      <c r="EZ21" s="241">
        <f t="shared" ca="1" si="107"/>
        <v>1</v>
      </c>
      <c r="FA21" s="220">
        <f t="shared" ca="1" si="138"/>
        <v>0</v>
      </c>
      <c r="FB21" s="220">
        <f t="shared" ca="1" si="139"/>
        <v>0</v>
      </c>
      <c r="FC21" s="235">
        <f t="shared" ca="1" si="140"/>
        <v>0</v>
      </c>
      <c r="FD21" s="235">
        <f t="shared" ca="1" si="141"/>
        <v>0</v>
      </c>
      <c r="FE21" s="242">
        <f t="shared" ca="1" si="142"/>
        <v>0</v>
      </c>
      <c r="FF21" s="241">
        <f t="shared" ca="1" si="107"/>
        <v>1</v>
      </c>
      <c r="FG21" s="220">
        <f t="shared" ca="1" si="143"/>
        <v>0</v>
      </c>
      <c r="FH21" s="220">
        <f t="shared" ca="1" si="144"/>
        <v>0</v>
      </c>
      <c r="FI21" s="235">
        <f t="shared" ca="1" si="145"/>
        <v>0</v>
      </c>
      <c r="FJ21" s="235">
        <f t="shared" ca="1" si="146"/>
        <v>0</v>
      </c>
      <c r="FK21" s="242">
        <f t="shared" ca="1" si="147"/>
        <v>0</v>
      </c>
      <c r="FL21" s="241">
        <f t="shared" ca="1" si="107"/>
        <v>1</v>
      </c>
      <c r="FM21" s="220">
        <f t="shared" ca="1" si="148"/>
        <v>0</v>
      </c>
      <c r="FN21" s="220">
        <f t="shared" ca="1" si="149"/>
        <v>0</v>
      </c>
      <c r="FO21" s="235">
        <f t="shared" ca="1" si="150"/>
        <v>0</v>
      </c>
      <c r="FP21" s="235">
        <f t="shared" ca="1" si="151"/>
        <v>0</v>
      </c>
      <c r="FQ21" s="242">
        <f t="shared" ca="1" si="152"/>
        <v>0</v>
      </c>
      <c r="FR21" s="241">
        <f t="shared" ca="1" si="107"/>
        <v>1</v>
      </c>
      <c r="FS21" s="220">
        <f t="shared" ca="1" si="153"/>
        <v>0</v>
      </c>
      <c r="FT21" s="220">
        <f t="shared" ca="1" si="154"/>
        <v>0</v>
      </c>
      <c r="FU21" s="235">
        <f t="shared" ca="1" si="155"/>
        <v>0</v>
      </c>
      <c r="FV21" s="235">
        <f t="shared" ca="1" si="156"/>
        <v>0</v>
      </c>
      <c r="FW21" s="242">
        <f t="shared" ca="1" si="157"/>
        <v>0</v>
      </c>
      <c r="FX21" s="241">
        <f t="shared" ca="1" si="107"/>
        <v>1</v>
      </c>
      <c r="FY21" s="220">
        <f t="shared" ca="1" si="158"/>
        <v>0</v>
      </c>
      <c r="FZ21" s="220">
        <f t="shared" ca="1" si="159"/>
        <v>0</v>
      </c>
      <c r="GA21" s="235">
        <f t="shared" ca="1" si="160"/>
        <v>0</v>
      </c>
      <c r="GB21" s="235">
        <f t="shared" ca="1" si="161"/>
        <v>0</v>
      </c>
      <c r="GC21" s="242">
        <f t="shared" ca="1" si="162"/>
        <v>0</v>
      </c>
      <c r="GD21" s="241">
        <f t="shared" ca="1" si="163"/>
        <v>1</v>
      </c>
      <c r="GE21" s="220">
        <f t="shared" ca="1" si="164"/>
        <v>0</v>
      </c>
      <c r="GF21" s="220">
        <f t="shared" ca="1" si="165"/>
        <v>0</v>
      </c>
      <c r="GG21" s="235">
        <f t="shared" ca="1" si="166"/>
        <v>0</v>
      </c>
      <c r="GH21" s="235">
        <f t="shared" ca="1" si="167"/>
        <v>0</v>
      </c>
      <c r="GI21" s="242">
        <f t="shared" ca="1" si="168"/>
        <v>0</v>
      </c>
      <c r="GJ21" s="241">
        <f t="shared" ca="1" si="163"/>
        <v>1</v>
      </c>
      <c r="GK21" s="220">
        <f t="shared" ca="1" si="169"/>
        <v>0</v>
      </c>
      <c r="GL21" s="220">
        <f t="shared" ca="1" si="170"/>
        <v>0</v>
      </c>
      <c r="GM21" s="235">
        <f t="shared" ca="1" si="171"/>
        <v>0</v>
      </c>
      <c r="GN21" s="235">
        <f t="shared" ca="1" si="172"/>
        <v>0</v>
      </c>
      <c r="GO21" s="242">
        <f t="shared" ca="1" si="173"/>
        <v>0</v>
      </c>
      <c r="GP21" s="241">
        <f t="shared" ca="1" si="163"/>
        <v>1</v>
      </c>
      <c r="GQ21" s="220">
        <f t="shared" ca="1" si="174"/>
        <v>0</v>
      </c>
      <c r="GR21" s="220">
        <f t="shared" ca="1" si="175"/>
        <v>0</v>
      </c>
      <c r="GS21" s="235">
        <f t="shared" ca="1" si="176"/>
        <v>0</v>
      </c>
      <c r="GT21" s="235">
        <f t="shared" ca="1" si="177"/>
        <v>0</v>
      </c>
      <c r="GU21" s="242">
        <f t="shared" ca="1" si="178"/>
        <v>0</v>
      </c>
      <c r="GV21" s="241">
        <f t="shared" ca="1" si="163"/>
        <v>1</v>
      </c>
      <c r="GW21" s="220">
        <f t="shared" ca="1" si="179"/>
        <v>0</v>
      </c>
      <c r="GX21" s="220">
        <f t="shared" ca="1" si="180"/>
        <v>0</v>
      </c>
      <c r="GY21" s="235">
        <f t="shared" ca="1" si="181"/>
        <v>0</v>
      </c>
      <c r="GZ21" s="235">
        <f t="shared" ca="1" si="182"/>
        <v>0</v>
      </c>
      <c r="HA21" s="242">
        <f t="shared" ca="1" si="183"/>
        <v>0</v>
      </c>
      <c r="HB21" s="241">
        <f t="shared" ca="1" si="163"/>
        <v>1</v>
      </c>
      <c r="HC21" s="220">
        <f t="shared" ca="1" si="184"/>
        <v>0</v>
      </c>
      <c r="HD21" s="220">
        <f t="shared" ca="1" si="185"/>
        <v>0</v>
      </c>
      <c r="HE21" s="235">
        <f t="shared" ca="1" si="186"/>
        <v>0</v>
      </c>
      <c r="HF21" s="235">
        <f t="shared" ca="1" si="187"/>
        <v>0</v>
      </c>
      <c r="HG21" s="242">
        <f t="shared" ca="1" si="188"/>
        <v>0</v>
      </c>
      <c r="HH21" s="241">
        <f t="shared" ca="1" si="163"/>
        <v>1</v>
      </c>
      <c r="HI21" s="220">
        <f t="shared" ca="1" si="189"/>
        <v>0</v>
      </c>
      <c r="HJ21" s="220">
        <f t="shared" ca="1" si="190"/>
        <v>0</v>
      </c>
      <c r="HK21" s="235">
        <f t="shared" ca="1" si="191"/>
        <v>0</v>
      </c>
      <c r="HL21" s="235">
        <f t="shared" ca="1" si="192"/>
        <v>0</v>
      </c>
      <c r="HM21" s="242">
        <f t="shared" ca="1" si="193"/>
        <v>0</v>
      </c>
      <c r="HN21" s="241">
        <f t="shared" ca="1" si="163"/>
        <v>1</v>
      </c>
      <c r="HO21" s="220">
        <f t="shared" ca="1" si="194"/>
        <v>0</v>
      </c>
      <c r="HP21" s="220">
        <f t="shared" ca="1" si="195"/>
        <v>0</v>
      </c>
      <c r="HQ21" s="235">
        <f t="shared" ca="1" si="196"/>
        <v>0</v>
      </c>
      <c r="HR21" s="235">
        <f t="shared" ca="1" si="197"/>
        <v>0</v>
      </c>
      <c r="HS21" s="242">
        <f t="shared" ca="1" si="198"/>
        <v>0</v>
      </c>
      <c r="HT21" s="241">
        <f t="shared" ca="1" si="163"/>
        <v>1</v>
      </c>
      <c r="HU21" s="220">
        <f t="shared" ca="1" si="199"/>
        <v>0</v>
      </c>
      <c r="HV21" s="220">
        <f t="shared" ca="1" si="200"/>
        <v>0</v>
      </c>
      <c r="HW21" s="235">
        <f t="shared" ca="1" si="201"/>
        <v>0</v>
      </c>
      <c r="HX21" s="235">
        <f t="shared" ca="1" si="202"/>
        <v>0</v>
      </c>
      <c r="HY21" s="242">
        <f t="shared" ca="1" si="203"/>
        <v>0</v>
      </c>
      <c r="HZ21" s="241">
        <f t="shared" ca="1" si="163"/>
        <v>1</v>
      </c>
      <c r="IA21" s="220">
        <f t="shared" ca="1" si="204"/>
        <v>0</v>
      </c>
      <c r="IB21" s="220">
        <f t="shared" ca="1" si="205"/>
        <v>0</v>
      </c>
      <c r="IC21" s="235">
        <f t="shared" ca="1" si="206"/>
        <v>0</v>
      </c>
      <c r="ID21" s="235">
        <f t="shared" ca="1" si="207"/>
        <v>0</v>
      </c>
      <c r="IE21" s="242">
        <f t="shared" ca="1" si="208"/>
        <v>0</v>
      </c>
      <c r="IF21" s="241">
        <f t="shared" ca="1" si="163"/>
        <v>1</v>
      </c>
      <c r="IG21" s="220">
        <f t="shared" ca="1" si="209"/>
        <v>0</v>
      </c>
      <c r="IH21" s="220">
        <f t="shared" ca="1" si="210"/>
        <v>0</v>
      </c>
      <c r="II21" s="235">
        <f t="shared" ca="1" si="211"/>
        <v>0</v>
      </c>
      <c r="IJ21" s="235">
        <f t="shared" ca="1" si="212"/>
        <v>0</v>
      </c>
      <c r="IK21" s="242">
        <f t="shared" ca="1" si="213"/>
        <v>0</v>
      </c>
      <c r="IL21" s="241">
        <f t="shared" ca="1" si="163"/>
        <v>1</v>
      </c>
      <c r="IM21" s="220">
        <f t="shared" ca="1" si="214"/>
        <v>0</v>
      </c>
      <c r="IN21" s="220">
        <f t="shared" ca="1" si="215"/>
        <v>0</v>
      </c>
      <c r="IO21" s="235">
        <f t="shared" ca="1" si="216"/>
        <v>0</v>
      </c>
      <c r="IP21" s="235">
        <f t="shared" ca="1" si="217"/>
        <v>0</v>
      </c>
      <c r="IQ21" s="242">
        <f t="shared" ca="1" si="218"/>
        <v>0</v>
      </c>
      <c r="IR21" s="241">
        <f t="shared" ca="1" si="219"/>
        <v>1</v>
      </c>
      <c r="IS21" s="220">
        <f t="shared" ca="1" si="220"/>
        <v>0</v>
      </c>
      <c r="IT21" s="220">
        <f t="shared" ca="1" si="221"/>
        <v>0</v>
      </c>
      <c r="IU21" s="235">
        <f t="shared" ca="1" si="222"/>
        <v>0</v>
      </c>
      <c r="IV21" s="235">
        <f t="shared" ca="1" si="223"/>
        <v>0</v>
      </c>
      <c r="IW21" s="242">
        <f t="shared" ca="1" si="224"/>
        <v>0</v>
      </c>
      <c r="IX21" s="241">
        <f t="shared" ca="1" si="219"/>
        <v>1</v>
      </c>
      <c r="IY21" s="220">
        <f t="shared" ca="1" si="225"/>
        <v>0</v>
      </c>
      <c r="IZ21" s="220">
        <f t="shared" ca="1" si="226"/>
        <v>0</v>
      </c>
      <c r="JA21" s="235">
        <f t="shared" ca="1" si="227"/>
        <v>0</v>
      </c>
      <c r="JB21" s="235">
        <f t="shared" ca="1" si="228"/>
        <v>0</v>
      </c>
      <c r="JC21" s="242">
        <f t="shared" ca="1" si="229"/>
        <v>0</v>
      </c>
      <c r="JD21" s="241">
        <f t="shared" ca="1" si="219"/>
        <v>1</v>
      </c>
      <c r="JE21" s="220">
        <f t="shared" ca="1" si="230"/>
        <v>0</v>
      </c>
      <c r="JF21" s="220">
        <f t="shared" ca="1" si="231"/>
        <v>0</v>
      </c>
      <c r="JG21" s="235">
        <f t="shared" ca="1" si="232"/>
        <v>0</v>
      </c>
      <c r="JH21" s="235">
        <f t="shared" ca="1" si="233"/>
        <v>0</v>
      </c>
      <c r="JI21" s="242">
        <f t="shared" ca="1" si="234"/>
        <v>0</v>
      </c>
      <c r="JJ21" s="241">
        <f t="shared" ca="1" si="219"/>
        <v>1</v>
      </c>
      <c r="JK21" s="220">
        <f t="shared" ca="1" si="235"/>
        <v>0</v>
      </c>
      <c r="JL21" s="220">
        <f t="shared" ca="1" si="236"/>
        <v>0</v>
      </c>
      <c r="JM21" s="235">
        <f t="shared" ca="1" si="237"/>
        <v>0</v>
      </c>
      <c r="JN21" s="235">
        <f t="shared" ca="1" si="238"/>
        <v>0</v>
      </c>
      <c r="JO21" s="242">
        <f t="shared" ca="1" si="239"/>
        <v>0</v>
      </c>
      <c r="JP21" s="241">
        <f t="shared" ca="1" si="219"/>
        <v>1</v>
      </c>
      <c r="JQ21" s="220">
        <f t="shared" ca="1" si="240"/>
        <v>0</v>
      </c>
      <c r="JR21" s="220">
        <f t="shared" ca="1" si="241"/>
        <v>0</v>
      </c>
      <c r="JS21" s="235">
        <f t="shared" ca="1" si="242"/>
        <v>0</v>
      </c>
      <c r="JT21" s="235">
        <f t="shared" ca="1" si="243"/>
        <v>0</v>
      </c>
      <c r="JU21" s="242">
        <f t="shared" ca="1" si="244"/>
        <v>0</v>
      </c>
      <c r="JV21" s="241">
        <f t="shared" ca="1" si="219"/>
        <v>1</v>
      </c>
      <c r="JW21" s="220">
        <f t="shared" ca="1" si="245"/>
        <v>0</v>
      </c>
      <c r="JX21" s="220">
        <f t="shared" ca="1" si="246"/>
        <v>0</v>
      </c>
      <c r="JY21" s="235">
        <f t="shared" ca="1" si="247"/>
        <v>0</v>
      </c>
      <c r="JZ21" s="235">
        <f t="shared" ca="1" si="248"/>
        <v>0</v>
      </c>
      <c r="KA21" s="242">
        <f t="shared" ca="1" si="249"/>
        <v>0</v>
      </c>
      <c r="KB21" s="241">
        <f t="shared" ca="1" si="219"/>
        <v>1</v>
      </c>
      <c r="KC21" s="220">
        <f t="shared" ca="1" si="250"/>
        <v>0</v>
      </c>
      <c r="KD21" s="220">
        <f t="shared" ca="1" si="251"/>
        <v>0</v>
      </c>
      <c r="KE21" s="235">
        <f t="shared" ca="1" si="252"/>
        <v>0</v>
      </c>
      <c r="KF21" s="235">
        <f t="shared" ca="1" si="253"/>
        <v>0</v>
      </c>
      <c r="KG21" s="242">
        <f t="shared" ca="1" si="254"/>
        <v>0</v>
      </c>
      <c r="KH21" s="241">
        <f t="shared" ca="1" si="219"/>
        <v>1</v>
      </c>
      <c r="KI21" s="220">
        <f t="shared" ca="1" si="255"/>
        <v>0</v>
      </c>
      <c r="KJ21" s="220">
        <f t="shared" ca="1" si="256"/>
        <v>0</v>
      </c>
      <c r="KK21" s="235">
        <f t="shared" ca="1" si="257"/>
        <v>0</v>
      </c>
      <c r="KL21" s="235">
        <f t="shared" ca="1" si="258"/>
        <v>0</v>
      </c>
      <c r="KM21" s="242">
        <f t="shared" ca="1" si="259"/>
        <v>0</v>
      </c>
      <c r="KN21" s="241">
        <f t="shared" ca="1" si="219"/>
        <v>1</v>
      </c>
      <c r="KO21" s="220">
        <f t="shared" ca="1" si="260"/>
        <v>0</v>
      </c>
      <c r="KP21" s="220">
        <f t="shared" ca="1" si="261"/>
        <v>0</v>
      </c>
      <c r="KQ21" s="235">
        <f t="shared" ca="1" si="262"/>
        <v>0</v>
      </c>
      <c r="KR21" s="235">
        <f t="shared" ca="1" si="263"/>
        <v>0</v>
      </c>
      <c r="KS21" s="242">
        <f t="shared" ca="1" si="264"/>
        <v>0</v>
      </c>
      <c r="KT21" s="241">
        <f t="shared" ca="1" si="219"/>
        <v>1</v>
      </c>
      <c r="KU21" s="220">
        <f t="shared" ca="1" si="265"/>
        <v>0</v>
      </c>
      <c r="KV21" s="220">
        <f t="shared" ca="1" si="266"/>
        <v>0</v>
      </c>
      <c r="KW21" s="235">
        <f t="shared" ca="1" si="267"/>
        <v>0</v>
      </c>
      <c r="KX21" s="235">
        <f t="shared" ca="1" si="268"/>
        <v>0</v>
      </c>
      <c r="KY21" s="242">
        <f t="shared" ca="1" si="269"/>
        <v>0</v>
      </c>
      <c r="KZ21" s="241">
        <f t="shared" ca="1" si="219"/>
        <v>1</v>
      </c>
      <c r="LA21" s="220">
        <f t="shared" ca="1" si="270"/>
        <v>0</v>
      </c>
      <c r="LB21" s="220">
        <f t="shared" ca="1" si="271"/>
        <v>0</v>
      </c>
      <c r="LC21" s="235">
        <f t="shared" ca="1" si="272"/>
        <v>0</v>
      </c>
      <c r="LD21" s="235">
        <f t="shared" ca="1" si="273"/>
        <v>0</v>
      </c>
      <c r="LE21" s="242">
        <f t="shared" ca="1" si="274"/>
        <v>0</v>
      </c>
      <c r="LF21" s="241">
        <f t="shared" ca="1" si="275"/>
        <v>1</v>
      </c>
      <c r="LG21" s="220">
        <f t="shared" ca="1" si="276"/>
        <v>0</v>
      </c>
      <c r="LH21" s="220">
        <f t="shared" ca="1" si="277"/>
        <v>0</v>
      </c>
      <c r="LI21" s="235">
        <f t="shared" ca="1" si="278"/>
        <v>0</v>
      </c>
      <c r="LJ21" s="235">
        <f t="shared" ca="1" si="279"/>
        <v>0</v>
      </c>
      <c r="LK21" s="242">
        <f t="shared" ca="1" si="280"/>
        <v>0</v>
      </c>
      <c r="LL21" s="241">
        <f t="shared" ca="1" si="275"/>
        <v>1</v>
      </c>
      <c r="LM21" s="220">
        <f t="shared" ca="1" si="281"/>
        <v>0</v>
      </c>
      <c r="LN21" s="220">
        <f t="shared" ca="1" si="282"/>
        <v>0</v>
      </c>
      <c r="LO21" s="235">
        <f t="shared" ca="1" si="283"/>
        <v>0</v>
      </c>
      <c r="LP21" s="235">
        <f t="shared" ca="1" si="284"/>
        <v>0</v>
      </c>
      <c r="LQ21" s="242">
        <f t="shared" ca="1" si="285"/>
        <v>0</v>
      </c>
      <c r="LR21" s="241">
        <f t="shared" ca="1" si="275"/>
        <v>1</v>
      </c>
      <c r="LS21" s="220">
        <f t="shared" ca="1" si="286"/>
        <v>0</v>
      </c>
      <c r="LT21" s="220">
        <f t="shared" ca="1" si="287"/>
        <v>0</v>
      </c>
      <c r="LU21" s="235">
        <f t="shared" ca="1" si="288"/>
        <v>0</v>
      </c>
      <c r="LV21" s="235">
        <f t="shared" ca="1" si="289"/>
        <v>0</v>
      </c>
      <c r="LW21" s="242">
        <f t="shared" ca="1" si="290"/>
        <v>0</v>
      </c>
      <c r="LX21" s="241">
        <f t="shared" ca="1" si="275"/>
        <v>1</v>
      </c>
      <c r="LY21" s="220">
        <f t="shared" ca="1" si="291"/>
        <v>0</v>
      </c>
      <c r="LZ21" s="220">
        <f t="shared" ca="1" si="292"/>
        <v>0</v>
      </c>
      <c r="MA21" s="235">
        <f t="shared" ca="1" si="293"/>
        <v>0</v>
      </c>
      <c r="MB21" s="235">
        <f t="shared" ca="1" si="294"/>
        <v>0</v>
      </c>
      <c r="MC21" s="242">
        <f t="shared" ca="1" si="295"/>
        <v>0</v>
      </c>
      <c r="MD21" s="241">
        <f t="shared" ca="1" si="275"/>
        <v>1</v>
      </c>
      <c r="ME21" s="220">
        <f t="shared" ca="1" si="296"/>
        <v>0</v>
      </c>
      <c r="MF21" s="220">
        <f t="shared" ca="1" si="297"/>
        <v>0</v>
      </c>
      <c r="MG21" s="235">
        <f t="shared" ca="1" si="298"/>
        <v>0</v>
      </c>
      <c r="MH21" s="235">
        <f t="shared" ca="1" si="299"/>
        <v>0</v>
      </c>
      <c r="MI21" s="242">
        <f t="shared" ca="1" si="300"/>
        <v>0</v>
      </c>
      <c r="MJ21" s="241">
        <f t="shared" ca="1" si="275"/>
        <v>1</v>
      </c>
      <c r="MK21" s="220">
        <f t="shared" ca="1" si="301"/>
        <v>0</v>
      </c>
      <c r="ML21" s="220">
        <f t="shared" ca="1" si="302"/>
        <v>0</v>
      </c>
      <c r="MM21" s="235">
        <f t="shared" ca="1" si="303"/>
        <v>0</v>
      </c>
      <c r="MN21" s="235">
        <f t="shared" ca="1" si="304"/>
        <v>0</v>
      </c>
      <c r="MO21" s="242">
        <f t="shared" ca="1" si="305"/>
        <v>0</v>
      </c>
      <c r="MP21" s="241">
        <f t="shared" ca="1" si="275"/>
        <v>1</v>
      </c>
      <c r="MQ21" s="220">
        <f t="shared" ca="1" si="306"/>
        <v>0</v>
      </c>
      <c r="MR21" s="220">
        <f t="shared" ca="1" si="307"/>
        <v>0</v>
      </c>
      <c r="MS21" s="235">
        <f t="shared" ca="1" si="308"/>
        <v>0</v>
      </c>
      <c r="MT21" s="235">
        <f t="shared" ca="1" si="309"/>
        <v>0</v>
      </c>
      <c r="MU21" s="242">
        <f t="shared" ca="1" si="310"/>
        <v>0</v>
      </c>
      <c r="MV21" s="241">
        <f t="shared" ca="1" si="275"/>
        <v>1</v>
      </c>
      <c r="MW21" s="220">
        <f t="shared" ca="1" si="311"/>
        <v>0</v>
      </c>
      <c r="MX21" s="220">
        <f t="shared" ca="1" si="312"/>
        <v>0</v>
      </c>
      <c r="MY21" s="235">
        <f t="shared" ca="1" si="313"/>
        <v>0</v>
      </c>
      <c r="MZ21" s="235">
        <f t="shared" ca="1" si="314"/>
        <v>0</v>
      </c>
      <c r="NA21" s="242">
        <f t="shared" ca="1" si="315"/>
        <v>0</v>
      </c>
      <c r="NB21" s="241">
        <f t="shared" ca="1" si="275"/>
        <v>1</v>
      </c>
      <c r="NC21" s="220">
        <f t="shared" ca="1" si="316"/>
        <v>0</v>
      </c>
      <c r="ND21" s="220">
        <f t="shared" ca="1" si="317"/>
        <v>0</v>
      </c>
      <c r="NE21" s="235">
        <f t="shared" ca="1" si="318"/>
        <v>0</v>
      </c>
      <c r="NF21" s="235">
        <f t="shared" ca="1" si="319"/>
        <v>0</v>
      </c>
      <c r="NG21" s="242">
        <f t="shared" ca="1" si="320"/>
        <v>0</v>
      </c>
      <c r="NH21" s="241">
        <f t="shared" ca="1" si="275"/>
        <v>1</v>
      </c>
      <c r="NI21" s="220">
        <f t="shared" ca="1" si="321"/>
        <v>0</v>
      </c>
      <c r="NJ21" s="220">
        <f t="shared" ca="1" si="322"/>
        <v>0</v>
      </c>
      <c r="NK21" s="235">
        <f t="shared" ca="1" si="323"/>
        <v>0</v>
      </c>
      <c r="NL21" s="235">
        <f t="shared" ca="1" si="324"/>
        <v>0</v>
      </c>
      <c r="NM21" s="242">
        <f t="shared" ca="1" si="325"/>
        <v>0</v>
      </c>
      <c r="NN21" s="241">
        <f t="shared" ca="1" si="275"/>
        <v>1</v>
      </c>
      <c r="NO21" s="220">
        <f t="shared" ca="1" si="326"/>
        <v>0</v>
      </c>
      <c r="NP21" s="220">
        <f t="shared" ca="1" si="327"/>
        <v>0</v>
      </c>
      <c r="NQ21" s="235">
        <f t="shared" ca="1" si="328"/>
        <v>0</v>
      </c>
      <c r="NR21" s="235">
        <f t="shared" ca="1" si="329"/>
        <v>0</v>
      </c>
      <c r="NS21" s="242">
        <f t="shared" ca="1" si="330"/>
        <v>0</v>
      </c>
      <c r="NT21" s="241">
        <f t="shared" ca="1" si="331"/>
        <v>1</v>
      </c>
      <c r="NU21" s="220">
        <f t="shared" ca="1" si="332"/>
        <v>0</v>
      </c>
      <c r="NV21" s="220">
        <f t="shared" ca="1" si="333"/>
        <v>0</v>
      </c>
      <c r="NW21" s="235">
        <f t="shared" ca="1" si="334"/>
        <v>0</v>
      </c>
      <c r="NX21" s="235">
        <f t="shared" ca="1" si="335"/>
        <v>0</v>
      </c>
      <c r="NY21" s="242">
        <f t="shared" ca="1" si="336"/>
        <v>0</v>
      </c>
      <c r="NZ21" s="241">
        <f t="shared" ca="1" si="331"/>
        <v>1</v>
      </c>
      <c r="OA21" s="220">
        <f t="shared" ca="1" si="337"/>
        <v>0</v>
      </c>
      <c r="OB21" s="220">
        <f t="shared" ca="1" si="338"/>
        <v>0</v>
      </c>
      <c r="OC21" s="235">
        <f t="shared" ca="1" si="339"/>
        <v>0</v>
      </c>
      <c r="OD21" s="235">
        <f t="shared" ca="1" si="340"/>
        <v>0</v>
      </c>
      <c r="OE21" s="242">
        <f t="shared" ca="1" si="341"/>
        <v>0</v>
      </c>
      <c r="OF21" s="241">
        <f t="shared" ca="1" si="331"/>
        <v>1</v>
      </c>
      <c r="OG21" s="220">
        <f t="shared" ca="1" si="342"/>
        <v>0</v>
      </c>
      <c r="OH21" s="220">
        <f t="shared" ca="1" si="343"/>
        <v>0</v>
      </c>
      <c r="OI21" s="235">
        <f t="shared" ca="1" si="344"/>
        <v>0</v>
      </c>
      <c r="OJ21" s="235">
        <f t="shared" ca="1" si="345"/>
        <v>0</v>
      </c>
      <c r="OK21" s="242">
        <f t="shared" ca="1" si="346"/>
        <v>0</v>
      </c>
      <c r="OL21" s="241">
        <f t="shared" ca="1" si="331"/>
        <v>1</v>
      </c>
      <c r="OM21" s="220">
        <f t="shared" ca="1" si="347"/>
        <v>0</v>
      </c>
      <c r="ON21" s="220">
        <f t="shared" ca="1" si="348"/>
        <v>0</v>
      </c>
      <c r="OO21" s="235">
        <f t="shared" ca="1" si="349"/>
        <v>0</v>
      </c>
      <c r="OP21" s="235">
        <f t="shared" ca="1" si="350"/>
        <v>0</v>
      </c>
      <c r="OQ21" s="242">
        <f t="shared" ca="1" si="351"/>
        <v>0</v>
      </c>
      <c r="OR21" s="241">
        <f t="shared" ca="1" si="331"/>
        <v>1</v>
      </c>
      <c r="OS21" s="220">
        <f t="shared" ca="1" si="352"/>
        <v>0</v>
      </c>
      <c r="OT21" s="220">
        <f t="shared" ca="1" si="353"/>
        <v>0</v>
      </c>
      <c r="OU21" s="235">
        <f t="shared" ca="1" si="354"/>
        <v>0</v>
      </c>
      <c r="OV21" s="235">
        <f t="shared" ca="1" si="355"/>
        <v>0</v>
      </c>
      <c r="OW21" s="242">
        <f t="shared" ca="1" si="356"/>
        <v>0</v>
      </c>
      <c r="OX21" s="241">
        <f t="shared" ca="1" si="331"/>
        <v>1</v>
      </c>
      <c r="OY21" s="220">
        <f t="shared" ca="1" si="357"/>
        <v>0</v>
      </c>
      <c r="OZ21" s="220">
        <f t="shared" ca="1" si="358"/>
        <v>0</v>
      </c>
      <c r="PA21" s="235">
        <f t="shared" ca="1" si="359"/>
        <v>0</v>
      </c>
      <c r="PB21" s="235">
        <f t="shared" ca="1" si="360"/>
        <v>0</v>
      </c>
      <c r="PC21" s="242">
        <f t="shared" ca="1" si="361"/>
        <v>0</v>
      </c>
      <c r="PD21" s="241">
        <f t="shared" ca="1" si="331"/>
        <v>1</v>
      </c>
      <c r="PE21" s="220">
        <f t="shared" ca="1" si="362"/>
        <v>0</v>
      </c>
      <c r="PF21" s="220">
        <f t="shared" ca="1" si="363"/>
        <v>0</v>
      </c>
      <c r="PG21" s="235">
        <f t="shared" ca="1" si="364"/>
        <v>0</v>
      </c>
      <c r="PH21" s="235">
        <f t="shared" ca="1" si="365"/>
        <v>0</v>
      </c>
      <c r="PI21" s="242">
        <f t="shared" ca="1" si="366"/>
        <v>0</v>
      </c>
      <c r="PJ21" s="241">
        <f t="shared" ca="1" si="331"/>
        <v>1</v>
      </c>
      <c r="PK21" s="220">
        <f t="shared" ca="1" si="367"/>
        <v>0</v>
      </c>
      <c r="PL21" s="220">
        <f t="shared" ca="1" si="368"/>
        <v>0</v>
      </c>
      <c r="PM21" s="235">
        <f t="shared" ca="1" si="369"/>
        <v>0</v>
      </c>
      <c r="PN21" s="235">
        <f t="shared" ca="1" si="370"/>
        <v>0</v>
      </c>
      <c r="PO21" s="242">
        <f t="shared" ca="1" si="371"/>
        <v>0</v>
      </c>
      <c r="PP21" s="241">
        <f t="shared" ca="1" si="331"/>
        <v>1</v>
      </c>
      <c r="PQ21" s="220">
        <f t="shared" ca="1" si="372"/>
        <v>0</v>
      </c>
      <c r="PR21" s="220">
        <f t="shared" ca="1" si="373"/>
        <v>0</v>
      </c>
      <c r="PS21" s="235">
        <f t="shared" ca="1" si="374"/>
        <v>0</v>
      </c>
      <c r="PT21" s="235">
        <f t="shared" ca="1" si="375"/>
        <v>0</v>
      </c>
      <c r="PU21" s="242">
        <f t="shared" ca="1" si="376"/>
        <v>0</v>
      </c>
      <c r="PV21" s="241">
        <f t="shared" ca="1" si="331"/>
        <v>1</v>
      </c>
      <c r="PW21" s="220">
        <f t="shared" ca="1" si="377"/>
        <v>0</v>
      </c>
      <c r="PX21" s="220">
        <f t="shared" ca="1" si="378"/>
        <v>0</v>
      </c>
      <c r="PY21" s="235">
        <f t="shared" ca="1" si="379"/>
        <v>0</v>
      </c>
      <c r="PZ21" s="235">
        <f t="shared" ca="1" si="380"/>
        <v>0</v>
      </c>
      <c r="QA21" s="242">
        <f t="shared" ca="1" si="381"/>
        <v>0</v>
      </c>
      <c r="QB21" s="241">
        <f t="shared" ca="1" si="331"/>
        <v>1</v>
      </c>
      <c r="QC21" s="220">
        <f t="shared" ca="1" si="382"/>
        <v>0</v>
      </c>
      <c r="QD21" s="220">
        <f t="shared" ca="1" si="383"/>
        <v>0</v>
      </c>
      <c r="QE21" s="235">
        <f t="shared" ca="1" si="384"/>
        <v>0</v>
      </c>
      <c r="QF21" s="235">
        <f t="shared" ca="1" si="385"/>
        <v>0</v>
      </c>
      <c r="QG21" s="242">
        <f t="shared" ca="1" si="386"/>
        <v>0</v>
      </c>
      <c r="QH21" s="241">
        <f t="shared" ca="1" si="387"/>
        <v>1</v>
      </c>
      <c r="QI21" s="220">
        <f t="shared" ca="1" si="388"/>
        <v>0</v>
      </c>
      <c r="QJ21" s="220">
        <f t="shared" ca="1" si="389"/>
        <v>0</v>
      </c>
      <c r="QK21" s="235">
        <f t="shared" ca="1" si="390"/>
        <v>0</v>
      </c>
      <c r="QL21" s="235">
        <f t="shared" ca="1" si="391"/>
        <v>0</v>
      </c>
      <c r="QM21" s="242">
        <f t="shared" ca="1" si="392"/>
        <v>0</v>
      </c>
      <c r="QN21" s="241">
        <f t="shared" ca="1" si="387"/>
        <v>1</v>
      </c>
      <c r="QO21" s="220">
        <f t="shared" ca="1" si="393"/>
        <v>0</v>
      </c>
      <c r="QP21" s="220">
        <f t="shared" ca="1" si="394"/>
        <v>0</v>
      </c>
      <c r="QQ21" s="235">
        <f t="shared" ca="1" si="395"/>
        <v>0</v>
      </c>
      <c r="QR21" s="235">
        <f t="shared" ca="1" si="396"/>
        <v>0</v>
      </c>
      <c r="QS21" s="242">
        <f t="shared" ca="1" si="397"/>
        <v>0</v>
      </c>
      <c r="QT21" s="241">
        <f t="shared" ca="1" si="387"/>
        <v>1</v>
      </c>
      <c r="QU21" s="220">
        <f t="shared" ca="1" si="398"/>
        <v>0</v>
      </c>
      <c r="QV21" s="220">
        <f t="shared" ca="1" si="399"/>
        <v>0</v>
      </c>
      <c r="QW21" s="235">
        <f t="shared" ca="1" si="400"/>
        <v>0</v>
      </c>
      <c r="QX21" s="235">
        <f t="shared" ca="1" si="401"/>
        <v>0</v>
      </c>
      <c r="QY21" s="242">
        <f t="shared" ca="1" si="402"/>
        <v>0</v>
      </c>
      <c r="QZ21" s="241">
        <f t="shared" ca="1" si="387"/>
        <v>1</v>
      </c>
      <c r="RA21" s="220">
        <f t="shared" ca="1" si="403"/>
        <v>0</v>
      </c>
      <c r="RB21" s="220">
        <f t="shared" ca="1" si="404"/>
        <v>0</v>
      </c>
      <c r="RC21" s="235">
        <f t="shared" ca="1" si="405"/>
        <v>0</v>
      </c>
      <c r="RD21" s="235">
        <f t="shared" ca="1" si="406"/>
        <v>0</v>
      </c>
      <c r="RE21" s="242">
        <f t="shared" ca="1" si="407"/>
        <v>0</v>
      </c>
      <c r="RF21" s="241">
        <f t="shared" ca="1" si="387"/>
        <v>1</v>
      </c>
      <c r="RG21" s="220">
        <f t="shared" ca="1" si="408"/>
        <v>0</v>
      </c>
      <c r="RH21" s="220">
        <f t="shared" ca="1" si="409"/>
        <v>0</v>
      </c>
      <c r="RI21" s="235">
        <f t="shared" ca="1" si="410"/>
        <v>0</v>
      </c>
      <c r="RJ21" s="235">
        <f t="shared" ca="1" si="411"/>
        <v>0</v>
      </c>
      <c r="RK21" s="242">
        <f t="shared" ca="1" si="412"/>
        <v>0</v>
      </c>
      <c r="RL21" s="241">
        <f t="shared" ca="1" si="387"/>
        <v>1</v>
      </c>
      <c r="RM21" s="220">
        <f t="shared" ca="1" si="413"/>
        <v>0</v>
      </c>
      <c r="RN21" s="220">
        <f t="shared" ca="1" si="414"/>
        <v>0</v>
      </c>
      <c r="RO21" s="235">
        <f t="shared" ca="1" si="415"/>
        <v>0</v>
      </c>
      <c r="RP21" s="235">
        <f t="shared" ca="1" si="416"/>
        <v>0</v>
      </c>
      <c r="RQ21" s="242">
        <f t="shared" ca="1" si="417"/>
        <v>0</v>
      </c>
      <c r="RR21" s="241">
        <f t="shared" ca="1" si="387"/>
        <v>1</v>
      </c>
      <c r="RS21" s="220">
        <f t="shared" ca="1" si="418"/>
        <v>0</v>
      </c>
      <c r="RT21" s="220">
        <f t="shared" ca="1" si="419"/>
        <v>0</v>
      </c>
      <c r="RU21" s="235">
        <f t="shared" ca="1" si="420"/>
        <v>0</v>
      </c>
      <c r="RV21" s="235">
        <f t="shared" ca="1" si="421"/>
        <v>0</v>
      </c>
      <c r="RW21" s="242">
        <f t="shared" ca="1" si="422"/>
        <v>0</v>
      </c>
      <c r="RX21" s="241">
        <f t="shared" ca="1" si="387"/>
        <v>1</v>
      </c>
      <c r="RY21" s="220">
        <f t="shared" ca="1" si="423"/>
        <v>0</v>
      </c>
      <c r="RZ21" s="220">
        <f t="shared" ca="1" si="424"/>
        <v>0</v>
      </c>
      <c r="SA21" s="235">
        <f t="shared" ca="1" si="425"/>
        <v>0</v>
      </c>
      <c r="SB21" s="235">
        <f t="shared" ca="1" si="426"/>
        <v>0</v>
      </c>
      <c r="SC21" s="242">
        <f t="shared" ca="1" si="427"/>
        <v>0</v>
      </c>
      <c r="SD21" s="241">
        <f t="shared" ca="1" si="387"/>
        <v>1</v>
      </c>
      <c r="SE21" s="220">
        <f t="shared" ca="1" si="428"/>
        <v>0</v>
      </c>
      <c r="SF21" s="220">
        <f t="shared" ca="1" si="429"/>
        <v>0</v>
      </c>
      <c r="SG21" s="235">
        <f t="shared" ca="1" si="430"/>
        <v>0</v>
      </c>
      <c r="SH21" s="235">
        <f t="shared" ca="1" si="431"/>
        <v>0</v>
      </c>
      <c r="SI21" s="242">
        <f t="shared" ca="1" si="432"/>
        <v>0</v>
      </c>
      <c r="SJ21" s="241">
        <f t="shared" ca="1" si="387"/>
        <v>1</v>
      </c>
      <c r="SK21" s="220">
        <f t="shared" ca="1" si="433"/>
        <v>0</v>
      </c>
      <c r="SL21" s="220">
        <f t="shared" ca="1" si="434"/>
        <v>0</v>
      </c>
      <c r="SM21" s="235">
        <f t="shared" ca="1" si="435"/>
        <v>0</v>
      </c>
      <c r="SN21" s="235">
        <f t="shared" ca="1" si="436"/>
        <v>0</v>
      </c>
      <c r="SO21" s="242">
        <f t="shared" ca="1" si="437"/>
        <v>0</v>
      </c>
      <c r="SP21" s="241">
        <f t="shared" ca="1" si="387"/>
        <v>1</v>
      </c>
      <c r="SQ21" s="220">
        <f t="shared" ca="1" si="438"/>
        <v>0</v>
      </c>
      <c r="SR21" s="220">
        <f t="shared" ca="1" si="439"/>
        <v>0</v>
      </c>
      <c r="SS21" s="235">
        <f t="shared" ca="1" si="440"/>
        <v>0</v>
      </c>
      <c r="ST21" s="235">
        <f t="shared" ca="1" si="441"/>
        <v>0</v>
      </c>
      <c r="SU21" s="242">
        <f t="shared" ca="1" si="442"/>
        <v>0</v>
      </c>
      <c r="SV21" s="241">
        <f t="shared" ca="1" si="443"/>
        <v>1</v>
      </c>
      <c r="SW21" s="220">
        <f t="shared" ca="1" si="444"/>
        <v>0</v>
      </c>
      <c r="SX21" s="220">
        <f t="shared" ca="1" si="445"/>
        <v>0</v>
      </c>
      <c r="SY21" s="235">
        <f t="shared" ca="1" si="446"/>
        <v>0</v>
      </c>
      <c r="SZ21" s="235">
        <f t="shared" ca="1" si="447"/>
        <v>0</v>
      </c>
      <c r="TA21" s="242">
        <f t="shared" ca="1" si="448"/>
        <v>0</v>
      </c>
      <c r="TB21" s="241">
        <f t="shared" ca="1" si="443"/>
        <v>1</v>
      </c>
      <c r="TC21" s="220">
        <f t="shared" ca="1" si="449"/>
        <v>0</v>
      </c>
      <c r="TD21" s="220">
        <f t="shared" ca="1" si="450"/>
        <v>0</v>
      </c>
      <c r="TE21" s="235">
        <f t="shared" ca="1" si="451"/>
        <v>0</v>
      </c>
      <c r="TF21" s="235">
        <f t="shared" ca="1" si="452"/>
        <v>0</v>
      </c>
      <c r="TG21" s="242">
        <f t="shared" ca="1" si="453"/>
        <v>0</v>
      </c>
      <c r="TH21" s="241">
        <f t="shared" ca="1" si="443"/>
        <v>1</v>
      </c>
      <c r="TI21" s="220">
        <f t="shared" ca="1" si="454"/>
        <v>0</v>
      </c>
      <c r="TJ21" s="220">
        <f t="shared" ca="1" si="455"/>
        <v>0</v>
      </c>
      <c r="TK21" s="235">
        <f t="shared" ca="1" si="456"/>
        <v>0</v>
      </c>
      <c r="TL21" s="235">
        <f t="shared" ca="1" si="457"/>
        <v>0</v>
      </c>
      <c r="TM21" s="242">
        <f t="shared" ca="1" si="458"/>
        <v>0</v>
      </c>
      <c r="TN21" s="241">
        <f t="shared" ca="1" si="443"/>
        <v>1</v>
      </c>
      <c r="TO21" s="220">
        <f t="shared" ca="1" si="459"/>
        <v>0</v>
      </c>
      <c r="TP21" s="220">
        <f t="shared" ca="1" si="460"/>
        <v>0</v>
      </c>
      <c r="TQ21" s="235">
        <f t="shared" ca="1" si="461"/>
        <v>0</v>
      </c>
      <c r="TR21" s="235">
        <f t="shared" ca="1" si="462"/>
        <v>0</v>
      </c>
      <c r="TS21" s="242">
        <f t="shared" ca="1" si="463"/>
        <v>0</v>
      </c>
      <c r="TT21" s="241">
        <f t="shared" ca="1" si="443"/>
        <v>1</v>
      </c>
      <c r="TU21" s="220">
        <f t="shared" ca="1" si="464"/>
        <v>0</v>
      </c>
      <c r="TV21" s="220">
        <f t="shared" ca="1" si="465"/>
        <v>0</v>
      </c>
      <c r="TW21" s="235">
        <f t="shared" ca="1" si="466"/>
        <v>0</v>
      </c>
      <c r="TX21" s="235">
        <f t="shared" ca="1" si="467"/>
        <v>0</v>
      </c>
      <c r="TY21" s="242">
        <f t="shared" ca="1" si="468"/>
        <v>0</v>
      </c>
      <c r="TZ21" s="241">
        <f t="shared" ca="1" si="443"/>
        <v>1</v>
      </c>
      <c r="UA21" s="220">
        <f t="shared" ca="1" si="469"/>
        <v>0</v>
      </c>
      <c r="UB21" s="220">
        <f t="shared" ca="1" si="470"/>
        <v>0</v>
      </c>
      <c r="UC21" s="235">
        <f t="shared" ca="1" si="471"/>
        <v>0</v>
      </c>
      <c r="UD21" s="235">
        <f t="shared" ca="1" si="472"/>
        <v>0</v>
      </c>
      <c r="UE21" s="242">
        <f t="shared" ca="1" si="473"/>
        <v>0</v>
      </c>
      <c r="UF21" s="241">
        <f t="shared" ca="1" si="443"/>
        <v>1</v>
      </c>
      <c r="UG21" s="220">
        <f t="shared" ca="1" si="474"/>
        <v>0</v>
      </c>
      <c r="UH21" s="220">
        <f t="shared" ca="1" si="475"/>
        <v>0</v>
      </c>
      <c r="UI21" s="235">
        <f t="shared" ca="1" si="476"/>
        <v>0</v>
      </c>
      <c r="UJ21" s="235">
        <f t="shared" ca="1" si="477"/>
        <v>0</v>
      </c>
      <c r="UK21" s="242">
        <f t="shared" ca="1" si="478"/>
        <v>0</v>
      </c>
      <c r="UL21" s="241">
        <f t="shared" ca="1" si="443"/>
        <v>1</v>
      </c>
      <c r="UM21" s="220">
        <f t="shared" ca="1" si="479"/>
        <v>0</v>
      </c>
      <c r="UN21" s="220">
        <f t="shared" ca="1" si="480"/>
        <v>0</v>
      </c>
      <c r="UO21" s="235">
        <f t="shared" ca="1" si="481"/>
        <v>0</v>
      </c>
      <c r="UP21" s="235">
        <f t="shared" ca="1" si="482"/>
        <v>0</v>
      </c>
      <c r="UQ21" s="242">
        <f t="shared" ca="1" si="483"/>
        <v>0</v>
      </c>
      <c r="UR21" s="241">
        <f t="shared" ca="1" si="443"/>
        <v>1</v>
      </c>
      <c r="US21" s="220">
        <f t="shared" ca="1" si="484"/>
        <v>0</v>
      </c>
      <c r="UT21" s="220">
        <f t="shared" ca="1" si="485"/>
        <v>0</v>
      </c>
      <c r="UU21" s="235">
        <f t="shared" ca="1" si="486"/>
        <v>0</v>
      </c>
      <c r="UV21" s="235">
        <f t="shared" ca="1" si="487"/>
        <v>0</v>
      </c>
      <c r="UW21" s="242">
        <f t="shared" ca="1" si="488"/>
        <v>0</v>
      </c>
      <c r="UX21" s="241">
        <f t="shared" ca="1" si="443"/>
        <v>1</v>
      </c>
      <c r="UY21" s="220">
        <f t="shared" ca="1" si="489"/>
        <v>0</v>
      </c>
      <c r="UZ21" s="220">
        <f t="shared" ca="1" si="490"/>
        <v>0</v>
      </c>
      <c r="VA21" s="235">
        <f t="shared" ca="1" si="491"/>
        <v>0</v>
      </c>
      <c r="VB21" s="235">
        <f t="shared" ca="1" si="492"/>
        <v>0</v>
      </c>
      <c r="VC21" s="242">
        <f t="shared" ca="1" si="493"/>
        <v>0</v>
      </c>
      <c r="VD21" s="241">
        <f t="shared" ca="1" si="443"/>
        <v>1</v>
      </c>
      <c r="VE21" s="220">
        <f t="shared" ca="1" si="494"/>
        <v>0</v>
      </c>
      <c r="VF21" s="220">
        <f t="shared" ca="1" si="495"/>
        <v>0</v>
      </c>
      <c r="VG21" s="235">
        <f t="shared" ca="1" si="496"/>
        <v>0</v>
      </c>
      <c r="VH21" s="235">
        <f t="shared" ca="1" si="497"/>
        <v>0</v>
      </c>
      <c r="VI21" s="242">
        <f t="shared" ca="1" si="498"/>
        <v>0</v>
      </c>
      <c r="VJ21" s="241">
        <f t="shared" ca="1" si="499"/>
        <v>1</v>
      </c>
      <c r="VK21" s="220">
        <f t="shared" ca="1" si="500"/>
        <v>0</v>
      </c>
      <c r="VL21" s="220">
        <f t="shared" ca="1" si="501"/>
        <v>0</v>
      </c>
      <c r="VM21" s="235">
        <f t="shared" ca="1" si="502"/>
        <v>0</v>
      </c>
      <c r="VN21" s="235">
        <f t="shared" ca="1" si="503"/>
        <v>0</v>
      </c>
      <c r="VO21" s="242">
        <f t="shared" ca="1" si="504"/>
        <v>0</v>
      </c>
      <c r="VP21" s="241">
        <f t="shared" ca="1" si="499"/>
        <v>1</v>
      </c>
      <c r="VQ21" s="220">
        <f t="shared" ca="1" si="505"/>
        <v>0</v>
      </c>
      <c r="VR21" s="220">
        <f t="shared" ca="1" si="506"/>
        <v>0</v>
      </c>
      <c r="VS21" s="235">
        <f t="shared" ca="1" si="507"/>
        <v>0</v>
      </c>
      <c r="VT21" s="235">
        <f t="shared" ca="1" si="508"/>
        <v>0</v>
      </c>
      <c r="VU21" s="242">
        <f t="shared" ca="1" si="509"/>
        <v>0</v>
      </c>
      <c r="VV21" s="241">
        <f t="shared" ca="1" si="499"/>
        <v>1</v>
      </c>
      <c r="VW21" s="220">
        <f t="shared" ca="1" si="510"/>
        <v>0</v>
      </c>
      <c r="VX21" s="220">
        <f t="shared" ca="1" si="511"/>
        <v>0</v>
      </c>
      <c r="VY21" s="235">
        <f t="shared" ca="1" si="512"/>
        <v>0</v>
      </c>
      <c r="VZ21" s="235">
        <f t="shared" ca="1" si="513"/>
        <v>0</v>
      </c>
      <c r="WA21" s="242">
        <f t="shared" ca="1" si="514"/>
        <v>0</v>
      </c>
      <c r="WB21" s="241">
        <f t="shared" ca="1" si="499"/>
        <v>1</v>
      </c>
      <c r="WC21" s="220">
        <f t="shared" ca="1" si="515"/>
        <v>0</v>
      </c>
      <c r="WD21" s="220">
        <f t="shared" ca="1" si="516"/>
        <v>0</v>
      </c>
      <c r="WE21" s="235">
        <f t="shared" ca="1" si="517"/>
        <v>0</v>
      </c>
      <c r="WF21" s="235">
        <f t="shared" ca="1" si="518"/>
        <v>0</v>
      </c>
      <c r="WG21" s="242">
        <f t="shared" ca="1" si="519"/>
        <v>0</v>
      </c>
      <c r="WH21" s="241">
        <f t="shared" ca="1" si="499"/>
        <v>1</v>
      </c>
      <c r="WI21" s="220">
        <f t="shared" ca="1" si="520"/>
        <v>0</v>
      </c>
      <c r="WJ21" s="220">
        <f t="shared" ca="1" si="521"/>
        <v>0</v>
      </c>
      <c r="WK21" s="235">
        <f t="shared" ca="1" si="522"/>
        <v>0</v>
      </c>
      <c r="WL21" s="235">
        <f t="shared" ca="1" si="523"/>
        <v>0</v>
      </c>
      <c r="WM21" s="242">
        <f t="shared" ca="1" si="524"/>
        <v>0</v>
      </c>
      <c r="WN21" s="241">
        <f t="shared" ca="1" si="499"/>
        <v>1</v>
      </c>
      <c r="WO21" s="220">
        <f t="shared" ca="1" si="525"/>
        <v>0</v>
      </c>
      <c r="WP21" s="220">
        <f t="shared" ca="1" si="526"/>
        <v>0</v>
      </c>
      <c r="WQ21" s="235">
        <f t="shared" ca="1" si="527"/>
        <v>0</v>
      </c>
      <c r="WR21" s="235">
        <f t="shared" ca="1" si="528"/>
        <v>0</v>
      </c>
      <c r="WS21" s="242">
        <f t="shared" ca="1" si="529"/>
        <v>0</v>
      </c>
      <c r="WT21" s="241">
        <f t="shared" ca="1" si="499"/>
        <v>1</v>
      </c>
      <c r="WU21" s="220">
        <f t="shared" ca="1" si="530"/>
        <v>0</v>
      </c>
      <c r="WV21" s="220">
        <f t="shared" ca="1" si="531"/>
        <v>0</v>
      </c>
      <c r="WW21" s="235">
        <f t="shared" ca="1" si="532"/>
        <v>0</v>
      </c>
      <c r="WX21" s="235">
        <f t="shared" ca="1" si="533"/>
        <v>0</v>
      </c>
      <c r="WY21" s="242">
        <f t="shared" ca="1" si="534"/>
        <v>0</v>
      </c>
      <c r="WZ21" s="241">
        <f t="shared" ca="1" si="499"/>
        <v>1</v>
      </c>
      <c r="XA21" s="220">
        <f t="shared" ca="1" si="535"/>
        <v>0</v>
      </c>
      <c r="XB21" s="220">
        <f t="shared" ca="1" si="536"/>
        <v>0</v>
      </c>
      <c r="XC21" s="235">
        <f t="shared" ca="1" si="537"/>
        <v>0</v>
      </c>
      <c r="XD21" s="235">
        <f t="shared" ca="1" si="538"/>
        <v>0</v>
      </c>
      <c r="XE21" s="242">
        <f t="shared" ca="1" si="539"/>
        <v>0</v>
      </c>
      <c r="XF21" s="241">
        <f t="shared" ca="1" si="499"/>
        <v>1</v>
      </c>
      <c r="XG21" s="220">
        <f t="shared" ca="1" si="540"/>
        <v>0</v>
      </c>
      <c r="XH21" s="220">
        <f t="shared" ca="1" si="541"/>
        <v>0</v>
      </c>
      <c r="XI21" s="235">
        <f t="shared" ca="1" si="542"/>
        <v>0</v>
      </c>
      <c r="XJ21" s="235">
        <f t="shared" ca="1" si="543"/>
        <v>0</v>
      </c>
      <c r="XK21" s="242">
        <f t="shared" ca="1" si="544"/>
        <v>0</v>
      </c>
    </row>
    <row r="22" spans="2:635" x14ac:dyDescent="0.25">
      <c r="B22" s="65">
        <f t="shared" ca="1" si="14"/>
        <v>2037</v>
      </c>
      <c r="C22" s="65" t="s">
        <v>741</v>
      </c>
      <c r="D22" s="77">
        <f t="shared" si="15"/>
        <v>0</v>
      </c>
      <c r="E22" s="77">
        <f t="shared" si="16"/>
        <v>0</v>
      </c>
      <c r="F22" s="77">
        <f t="shared" si="17"/>
        <v>0</v>
      </c>
      <c r="G22" s="77">
        <f t="shared" si="18"/>
        <v>0</v>
      </c>
      <c r="H22" s="15" t="e">
        <f t="shared" ca="1" si="19"/>
        <v>#REF!</v>
      </c>
      <c r="L22" s="326">
        <f t="shared" ca="1" si="20"/>
        <v>3.5000000000000003E-2</v>
      </c>
      <c r="M22" s="327">
        <f t="shared" ca="1" si="21"/>
        <v>3.5000000000000003E-2</v>
      </c>
      <c r="N22" s="322">
        <f t="shared" ca="1" si="22"/>
        <v>-14</v>
      </c>
      <c r="O22" s="322">
        <f t="shared" ca="1" si="23"/>
        <v>0</v>
      </c>
      <c r="P22" s="328">
        <f t="shared" ca="1" si="545"/>
        <v>0</v>
      </c>
      <c r="Q22" s="328">
        <f t="shared" ca="1" si="546"/>
        <v>0</v>
      </c>
      <c r="R22" s="328">
        <f t="shared" ca="1" si="547"/>
        <v>0</v>
      </c>
      <c r="S22" s="329">
        <f t="shared" ca="1" si="24"/>
        <v>0</v>
      </c>
      <c r="T22" s="329">
        <f t="shared" ca="1" si="25"/>
        <v>0</v>
      </c>
      <c r="U22" s="329">
        <f t="shared" ca="1" si="26"/>
        <v>0</v>
      </c>
      <c r="V22" s="320" t="e">
        <f t="shared" ca="1" si="27"/>
        <v>#REF!</v>
      </c>
      <c r="W22" s="320" t="e">
        <f t="shared" ca="1" si="28"/>
        <v>#REF!</v>
      </c>
      <c r="X22" s="320" t="e">
        <f t="shared" ca="1" si="29"/>
        <v>#REF!</v>
      </c>
      <c r="Y22" s="320" t="e">
        <f ca="1">INDEX(SC_ZA_HECMLumpSum,ZAIDX)</f>
        <v>#REF!</v>
      </c>
      <c r="Z22" s="320" t="e">
        <f t="shared" ca="1" si="30"/>
        <v>#REF!</v>
      </c>
      <c r="AA22" s="320">
        <f t="shared" ca="1" si="557"/>
        <v>0</v>
      </c>
      <c r="AB22" s="320" t="e">
        <f t="shared" ca="1" si="558"/>
        <v>#REF!</v>
      </c>
      <c r="AC22" s="330" t="e">
        <f t="shared" ca="1" si="559"/>
        <v>#REF!</v>
      </c>
      <c r="AD22" s="236" t="e">
        <f t="shared" ca="1" si="548"/>
        <v>#REF!</v>
      </c>
      <c r="AE22" s="320" t="e">
        <f t="shared" ca="1" si="34"/>
        <v>#REF!</v>
      </c>
      <c r="AF22" s="320" t="e">
        <f t="shared" ca="1" si="35"/>
        <v>#REF!</v>
      </c>
      <c r="AG22" s="320" t="e">
        <f t="shared" ca="1" si="549"/>
        <v>#REF!</v>
      </c>
      <c r="AH22" s="284" t="e">
        <f t="shared" ca="1" si="550"/>
        <v>#REF!</v>
      </c>
      <c r="AI22" s="318" t="e">
        <f t="shared" ca="1" si="551"/>
        <v>#REF!</v>
      </c>
      <c r="AJ22" s="331">
        <f t="shared" ca="1" si="552"/>
        <v>1</v>
      </c>
      <c r="AK22" s="220">
        <f t="shared" ca="1" si="553"/>
        <v>0</v>
      </c>
      <c r="AL22" s="220">
        <f t="shared" ca="1" si="37"/>
        <v>0</v>
      </c>
      <c r="AM22" s="235">
        <f t="shared" ca="1" si="554"/>
        <v>0</v>
      </c>
      <c r="AN22" s="235">
        <f t="shared" ca="1" si="555"/>
        <v>0</v>
      </c>
      <c r="AO22" s="242">
        <f t="shared" ca="1" si="556"/>
        <v>0</v>
      </c>
      <c r="AP22" s="241">
        <f t="shared" ca="1" si="552"/>
        <v>1</v>
      </c>
      <c r="AQ22" s="220">
        <f t="shared" ca="1" si="41"/>
        <v>0</v>
      </c>
      <c r="AR22" s="220">
        <f t="shared" ca="1" si="42"/>
        <v>0</v>
      </c>
      <c r="AS22" s="235">
        <f t="shared" ca="1" si="43"/>
        <v>0</v>
      </c>
      <c r="AT22" s="235">
        <f t="shared" ca="1" si="44"/>
        <v>0</v>
      </c>
      <c r="AU22" s="242">
        <f t="shared" ca="1" si="45"/>
        <v>0</v>
      </c>
      <c r="AV22" s="241">
        <f t="shared" ca="1" si="552"/>
        <v>1</v>
      </c>
      <c r="AW22" s="220">
        <f t="shared" ca="1" si="46"/>
        <v>0</v>
      </c>
      <c r="AX22" s="220">
        <f t="shared" ca="1" si="47"/>
        <v>0</v>
      </c>
      <c r="AY22" s="235">
        <f t="shared" ca="1" si="48"/>
        <v>0</v>
      </c>
      <c r="AZ22" s="235">
        <f t="shared" ca="1" si="49"/>
        <v>0</v>
      </c>
      <c r="BA22" s="242">
        <f t="shared" ca="1" si="50"/>
        <v>0</v>
      </c>
      <c r="BB22" s="241">
        <f t="shared" ca="1" si="552"/>
        <v>1</v>
      </c>
      <c r="BC22" s="220">
        <f t="shared" ca="1" si="52"/>
        <v>0</v>
      </c>
      <c r="BD22" s="220">
        <f t="shared" ca="1" si="53"/>
        <v>0</v>
      </c>
      <c r="BE22" s="235">
        <f t="shared" ca="1" si="54"/>
        <v>0</v>
      </c>
      <c r="BF22" s="235">
        <f t="shared" ca="1" si="55"/>
        <v>0</v>
      </c>
      <c r="BG22" s="242">
        <f t="shared" ca="1" si="56"/>
        <v>0</v>
      </c>
      <c r="BH22" s="241">
        <f t="shared" ca="1" si="552"/>
        <v>1</v>
      </c>
      <c r="BI22" s="220">
        <f t="shared" ca="1" si="57"/>
        <v>0</v>
      </c>
      <c r="BJ22" s="220">
        <f t="shared" ca="1" si="58"/>
        <v>0</v>
      </c>
      <c r="BK22" s="235">
        <f t="shared" ca="1" si="59"/>
        <v>0</v>
      </c>
      <c r="BL22" s="235">
        <f t="shared" ca="1" si="60"/>
        <v>0</v>
      </c>
      <c r="BM22" s="242">
        <f t="shared" ca="1" si="61"/>
        <v>0</v>
      </c>
      <c r="BN22" s="241">
        <f t="shared" ca="1" si="552"/>
        <v>1</v>
      </c>
      <c r="BO22" s="220">
        <f t="shared" ca="1" si="62"/>
        <v>0</v>
      </c>
      <c r="BP22" s="220">
        <f t="shared" ca="1" si="63"/>
        <v>0</v>
      </c>
      <c r="BQ22" s="235">
        <f t="shared" ca="1" si="64"/>
        <v>0</v>
      </c>
      <c r="BR22" s="235">
        <f t="shared" ca="1" si="65"/>
        <v>0</v>
      </c>
      <c r="BS22" s="242">
        <f t="shared" ca="1" si="66"/>
        <v>0</v>
      </c>
      <c r="BT22" s="241">
        <f t="shared" ca="1" si="552"/>
        <v>1</v>
      </c>
      <c r="BU22" s="220">
        <f t="shared" ca="1" si="67"/>
        <v>0</v>
      </c>
      <c r="BV22" s="220">
        <f t="shared" ca="1" si="68"/>
        <v>0</v>
      </c>
      <c r="BW22" s="235">
        <f t="shared" ca="1" si="69"/>
        <v>0</v>
      </c>
      <c r="BX22" s="235">
        <f t="shared" ca="1" si="70"/>
        <v>0</v>
      </c>
      <c r="BY22" s="242">
        <f t="shared" ca="1" si="71"/>
        <v>0</v>
      </c>
      <c r="BZ22" s="241">
        <f t="shared" ca="1" si="552"/>
        <v>1</v>
      </c>
      <c r="CA22" s="220">
        <f t="shared" ca="1" si="72"/>
        <v>0</v>
      </c>
      <c r="CB22" s="220">
        <f t="shared" ca="1" si="73"/>
        <v>0</v>
      </c>
      <c r="CC22" s="235">
        <f t="shared" ca="1" si="74"/>
        <v>0</v>
      </c>
      <c r="CD22" s="235">
        <f t="shared" ca="1" si="75"/>
        <v>0</v>
      </c>
      <c r="CE22" s="242">
        <f t="shared" ca="1" si="76"/>
        <v>0</v>
      </c>
      <c r="CF22" s="241">
        <f t="shared" ca="1" si="552"/>
        <v>1</v>
      </c>
      <c r="CG22" s="220">
        <f t="shared" ca="1" si="77"/>
        <v>0</v>
      </c>
      <c r="CH22" s="220">
        <f t="shared" ca="1" si="78"/>
        <v>0</v>
      </c>
      <c r="CI22" s="235">
        <f t="shared" ca="1" si="79"/>
        <v>0</v>
      </c>
      <c r="CJ22" s="235">
        <f t="shared" ca="1" si="80"/>
        <v>0</v>
      </c>
      <c r="CK22" s="242">
        <f t="shared" ca="1" si="81"/>
        <v>0</v>
      </c>
      <c r="CL22" s="241">
        <f t="shared" ca="1" si="552"/>
        <v>1</v>
      </c>
      <c r="CM22" s="220">
        <f t="shared" ca="1" si="82"/>
        <v>0</v>
      </c>
      <c r="CN22" s="220">
        <f t="shared" ca="1" si="83"/>
        <v>0</v>
      </c>
      <c r="CO22" s="235">
        <f t="shared" ca="1" si="84"/>
        <v>0</v>
      </c>
      <c r="CP22" s="235">
        <f t="shared" ca="1" si="85"/>
        <v>0</v>
      </c>
      <c r="CQ22" s="242">
        <f t="shared" ca="1" si="86"/>
        <v>0</v>
      </c>
      <c r="CR22" s="241">
        <f t="shared" ca="1" si="552"/>
        <v>1</v>
      </c>
      <c r="CS22" s="220">
        <f t="shared" ca="1" si="87"/>
        <v>0</v>
      </c>
      <c r="CT22" s="220">
        <f t="shared" ca="1" si="88"/>
        <v>0</v>
      </c>
      <c r="CU22" s="235">
        <f t="shared" ca="1" si="89"/>
        <v>0</v>
      </c>
      <c r="CV22" s="235">
        <f t="shared" ca="1" si="90"/>
        <v>0</v>
      </c>
      <c r="CW22" s="242">
        <f t="shared" ca="1" si="91"/>
        <v>0</v>
      </c>
      <c r="CX22" s="241">
        <f t="shared" ca="1" si="51"/>
        <v>1</v>
      </c>
      <c r="CY22" s="220">
        <f t="shared" ca="1" si="92"/>
        <v>0</v>
      </c>
      <c r="CZ22" s="220">
        <f t="shared" ca="1" si="93"/>
        <v>0</v>
      </c>
      <c r="DA22" s="235">
        <f t="shared" ca="1" si="94"/>
        <v>0</v>
      </c>
      <c r="DB22" s="235">
        <f t="shared" ca="1" si="95"/>
        <v>0</v>
      </c>
      <c r="DC22" s="242">
        <f t="shared" ca="1" si="96"/>
        <v>0</v>
      </c>
      <c r="DD22" s="241">
        <f t="shared" ca="1" si="51"/>
        <v>1</v>
      </c>
      <c r="DE22" s="220">
        <f t="shared" ca="1" si="97"/>
        <v>0</v>
      </c>
      <c r="DF22" s="220">
        <f t="shared" ca="1" si="98"/>
        <v>0</v>
      </c>
      <c r="DG22" s="235">
        <f t="shared" ca="1" si="99"/>
        <v>0</v>
      </c>
      <c r="DH22" s="235">
        <f t="shared" ca="1" si="100"/>
        <v>0</v>
      </c>
      <c r="DI22" s="242">
        <f t="shared" ca="1" si="101"/>
        <v>0</v>
      </c>
      <c r="DJ22" s="241">
        <f t="shared" ca="1" si="51"/>
        <v>1</v>
      </c>
      <c r="DK22" s="220">
        <f t="shared" ca="1" si="102"/>
        <v>0</v>
      </c>
      <c r="DL22" s="220">
        <f t="shared" ca="1" si="103"/>
        <v>0</v>
      </c>
      <c r="DM22" s="235">
        <f t="shared" ca="1" si="104"/>
        <v>0</v>
      </c>
      <c r="DN22" s="235">
        <f t="shared" ca="1" si="105"/>
        <v>0</v>
      </c>
      <c r="DO22" s="242">
        <f t="shared" ca="1" si="106"/>
        <v>0</v>
      </c>
      <c r="DP22" s="241">
        <f t="shared" ca="1" si="107"/>
        <v>1</v>
      </c>
      <c r="DQ22" s="220">
        <f t="shared" ca="1" si="108"/>
        <v>0</v>
      </c>
      <c r="DR22" s="220">
        <f t="shared" ca="1" si="109"/>
        <v>0</v>
      </c>
      <c r="DS22" s="235">
        <f t="shared" ca="1" si="110"/>
        <v>0</v>
      </c>
      <c r="DT22" s="235">
        <f t="shared" ca="1" si="111"/>
        <v>0</v>
      </c>
      <c r="DU22" s="242">
        <f t="shared" ca="1" si="112"/>
        <v>0</v>
      </c>
      <c r="DV22" s="241">
        <f t="shared" ca="1" si="107"/>
        <v>1</v>
      </c>
      <c r="DW22" s="220">
        <f t="shared" ca="1" si="113"/>
        <v>0</v>
      </c>
      <c r="DX22" s="220">
        <f t="shared" ca="1" si="114"/>
        <v>0</v>
      </c>
      <c r="DY22" s="235">
        <f t="shared" ca="1" si="115"/>
        <v>0</v>
      </c>
      <c r="DZ22" s="235">
        <f t="shared" ca="1" si="116"/>
        <v>0</v>
      </c>
      <c r="EA22" s="242">
        <f t="shared" ca="1" si="117"/>
        <v>0</v>
      </c>
      <c r="EB22" s="241">
        <f t="shared" ca="1" si="107"/>
        <v>1</v>
      </c>
      <c r="EC22" s="220">
        <f t="shared" ca="1" si="118"/>
        <v>0</v>
      </c>
      <c r="ED22" s="220">
        <f t="shared" ca="1" si="119"/>
        <v>0</v>
      </c>
      <c r="EE22" s="235">
        <f t="shared" ca="1" si="120"/>
        <v>0</v>
      </c>
      <c r="EF22" s="235">
        <f t="shared" ca="1" si="121"/>
        <v>0</v>
      </c>
      <c r="EG22" s="242">
        <f t="shared" ca="1" si="122"/>
        <v>0</v>
      </c>
      <c r="EH22" s="241">
        <f t="shared" ca="1" si="107"/>
        <v>1</v>
      </c>
      <c r="EI22" s="220">
        <f t="shared" ca="1" si="123"/>
        <v>0</v>
      </c>
      <c r="EJ22" s="220">
        <f t="shared" ca="1" si="124"/>
        <v>0</v>
      </c>
      <c r="EK22" s="235">
        <f t="shared" ca="1" si="125"/>
        <v>0</v>
      </c>
      <c r="EL22" s="235">
        <f t="shared" ca="1" si="126"/>
        <v>0</v>
      </c>
      <c r="EM22" s="242">
        <f t="shared" ca="1" si="127"/>
        <v>0</v>
      </c>
      <c r="EN22" s="241">
        <f t="shared" ca="1" si="107"/>
        <v>1</v>
      </c>
      <c r="EO22" s="220">
        <f t="shared" ca="1" si="128"/>
        <v>0</v>
      </c>
      <c r="EP22" s="220">
        <f t="shared" ca="1" si="129"/>
        <v>0</v>
      </c>
      <c r="EQ22" s="235">
        <f t="shared" ca="1" si="130"/>
        <v>0</v>
      </c>
      <c r="ER22" s="235">
        <f t="shared" ca="1" si="131"/>
        <v>0</v>
      </c>
      <c r="ES22" s="242">
        <f t="shared" ca="1" si="132"/>
        <v>0</v>
      </c>
      <c r="ET22" s="241">
        <f t="shared" ca="1" si="107"/>
        <v>1</v>
      </c>
      <c r="EU22" s="220">
        <f t="shared" ca="1" si="133"/>
        <v>0</v>
      </c>
      <c r="EV22" s="220">
        <f t="shared" ca="1" si="134"/>
        <v>0</v>
      </c>
      <c r="EW22" s="235">
        <f t="shared" ca="1" si="135"/>
        <v>0</v>
      </c>
      <c r="EX22" s="235">
        <f t="shared" ca="1" si="136"/>
        <v>0</v>
      </c>
      <c r="EY22" s="242">
        <f t="shared" ca="1" si="137"/>
        <v>0</v>
      </c>
      <c r="EZ22" s="241">
        <f t="shared" ca="1" si="107"/>
        <v>1</v>
      </c>
      <c r="FA22" s="220">
        <f t="shared" ca="1" si="138"/>
        <v>0</v>
      </c>
      <c r="FB22" s="220">
        <f t="shared" ca="1" si="139"/>
        <v>0</v>
      </c>
      <c r="FC22" s="235">
        <f t="shared" ca="1" si="140"/>
        <v>0</v>
      </c>
      <c r="FD22" s="235">
        <f t="shared" ca="1" si="141"/>
        <v>0</v>
      </c>
      <c r="FE22" s="242">
        <f t="shared" ca="1" si="142"/>
        <v>0</v>
      </c>
      <c r="FF22" s="241">
        <f t="shared" ca="1" si="107"/>
        <v>1</v>
      </c>
      <c r="FG22" s="220">
        <f t="shared" ca="1" si="143"/>
        <v>0</v>
      </c>
      <c r="FH22" s="220">
        <f t="shared" ca="1" si="144"/>
        <v>0</v>
      </c>
      <c r="FI22" s="235">
        <f t="shared" ca="1" si="145"/>
        <v>0</v>
      </c>
      <c r="FJ22" s="235">
        <f t="shared" ca="1" si="146"/>
        <v>0</v>
      </c>
      <c r="FK22" s="242">
        <f t="shared" ca="1" si="147"/>
        <v>0</v>
      </c>
      <c r="FL22" s="241">
        <f t="shared" ca="1" si="107"/>
        <v>1</v>
      </c>
      <c r="FM22" s="220">
        <f t="shared" ca="1" si="148"/>
        <v>0</v>
      </c>
      <c r="FN22" s="220">
        <f t="shared" ca="1" si="149"/>
        <v>0</v>
      </c>
      <c r="FO22" s="235">
        <f t="shared" ca="1" si="150"/>
        <v>0</v>
      </c>
      <c r="FP22" s="235">
        <f t="shared" ca="1" si="151"/>
        <v>0</v>
      </c>
      <c r="FQ22" s="242">
        <f t="shared" ca="1" si="152"/>
        <v>0</v>
      </c>
      <c r="FR22" s="241">
        <f t="shared" ca="1" si="107"/>
        <v>1</v>
      </c>
      <c r="FS22" s="220">
        <f t="shared" ca="1" si="153"/>
        <v>0</v>
      </c>
      <c r="FT22" s="220">
        <f t="shared" ca="1" si="154"/>
        <v>0</v>
      </c>
      <c r="FU22" s="235">
        <f t="shared" ca="1" si="155"/>
        <v>0</v>
      </c>
      <c r="FV22" s="235">
        <f t="shared" ca="1" si="156"/>
        <v>0</v>
      </c>
      <c r="FW22" s="242">
        <f t="shared" ca="1" si="157"/>
        <v>0</v>
      </c>
      <c r="FX22" s="241">
        <f t="shared" ca="1" si="107"/>
        <v>1</v>
      </c>
      <c r="FY22" s="220">
        <f t="shared" ca="1" si="158"/>
        <v>0</v>
      </c>
      <c r="FZ22" s="220">
        <f t="shared" ca="1" si="159"/>
        <v>0</v>
      </c>
      <c r="GA22" s="235">
        <f t="shared" ca="1" si="160"/>
        <v>0</v>
      </c>
      <c r="GB22" s="235">
        <f t="shared" ca="1" si="161"/>
        <v>0</v>
      </c>
      <c r="GC22" s="242">
        <f t="shared" ca="1" si="162"/>
        <v>0</v>
      </c>
      <c r="GD22" s="241">
        <f t="shared" ca="1" si="163"/>
        <v>1</v>
      </c>
      <c r="GE22" s="220">
        <f t="shared" ca="1" si="164"/>
        <v>0</v>
      </c>
      <c r="GF22" s="220">
        <f t="shared" ca="1" si="165"/>
        <v>0</v>
      </c>
      <c r="GG22" s="235">
        <f t="shared" ca="1" si="166"/>
        <v>0</v>
      </c>
      <c r="GH22" s="235">
        <f t="shared" ca="1" si="167"/>
        <v>0</v>
      </c>
      <c r="GI22" s="242">
        <f t="shared" ca="1" si="168"/>
        <v>0</v>
      </c>
      <c r="GJ22" s="241">
        <f t="shared" ca="1" si="163"/>
        <v>1</v>
      </c>
      <c r="GK22" s="220">
        <f t="shared" ca="1" si="169"/>
        <v>0</v>
      </c>
      <c r="GL22" s="220">
        <f t="shared" ca="1" si="170"/>
        <v>0</v>
      </c>
      <c r="GM22" s="235">
        <f t="shared" ca="1" si="171"/>
        <v>0</v>
      </c>
      <c r="GN22" s="235">
        <f t="shared" ca="1" si="172"/>
        <v>0</v>
      </c>
      <c r="GO22" s="242">
        <f t="shared" ca="1" si="173"/>
        <v>0</v>
      </c>
      <c r="GP22" s="241">
        <f t="shared" ca="1" si="163"/>
        <v>1</v>
      </c>
      <c r="GQ22" s="220">
        <f t="shared" ca="1" si="174"/>
        <v>0</v>
      </c>
      <c r="GR22" s="220">
        <f t="shared" ca="1" si="175"/>
        <v>0</v>
      </c>
      <c r="GS22" s="235">
        <f t="shared" ca="1" si="176"/>
        <v>0</v>
      </c>
      <c r="GT22" s="235">
        <f t="shared" ca="1" si="177"/>
        <v>0</v>
      </c>
      <c r="GU22" s="242">
        <f t="shared" ca="1" si="178"/>
        <v>0</v>
      </c>
      <c r="GV22" s="241">
        <f t="shared" ca="1" si="163"/>
        <v>1</v>
      </c>
      <c r="GW22" s="220">
        <f t="shared" ca="1" si="179"/>
        <v>0</v>
      </c>
      <c r="GX22" s="220">
        <f t="shared" ca="1" si="180"/>
        <v>0</v>
      </c>
      <c r="GY22" s="235">
        <f t="shared" ca="1" si="181"/>
        <v>0</v>
      </c>
      <c r="GZ22" s="235">
        <f t="shared" ca="1" si="182"/>
        <v>0</v>
      </c>
      <c r="HA22" s="242">
        <f t="shared" ca="1" si="183"/>
        <v>0</v>
      </c>
      <c r="HB22" s="241">
        <f t="shared" ca="1" si="163"/>
        <v>1</v>
      </c>
      <c r="HC22" s="220">
        <f t="shared" ca="1" si="184"/>
        <v>0</v>
      </c>
      <c r="HD22" s="220">
        <f t="shared" ca="1" si="185"/>
        <v>0</v>
      </c>
      <c r="HE22" s="235">
        <f t="shared" ca="1" si="186"/>
        <v>0</v>
      </c>
      <c r="HF22" s="235">
        <f t="shared" ca="1" si="187"/>
        <v>0</v>
      </c>
      <c r="HG22" s="242">
        <f t="shared" ca="1" si="188"/>
        <v>0</v>
      </c>
      <c r="HH22" s="241">
        <f t="shared" ca="1" si="163"/>
        <v>1</v>
      </c>
      <c r="HI22" s="220">
        <f t="shared" ca="1" si="189"/>
        <v>0</v>
      </c>
      <c r="HJ22" s="220">
        <f t="shared" ca="1" si="190"/>
        <v>0</v>
      </c>
      <c r="HK22" s="235">
        <f t="shared" ca="1" si="191"/>
        <v>0</v>
      </c>
      <c r="HL22" s="235">
        <f t="shared" ca="1" si="192"/>
        <v>0</v>
      </c>
      <c r="HM22" s="242">
        <f t="shared" ca="1" si="193"/>
        <v>0</v>
      </c>
      <c r="HN22" s="241">
        <f t="shared" ca="1" si="163"/>
        <v>1</v>
      </c>
      <c r="HO22" s="220">
        <f t="shared" ca="1" si="194"/>
        <v>0</v>
      </c>
      <c r="HP22" s="220">
        <f t="shared" ca="1" si="195"/>
        <v>0</v>
      </c>
      <c r="HQ22" s="235">
        <f t="shared" ca="1" si="196"/>
        <v>0</v>
      </c>
      <c r="HR22" s="235">
        <f t="shared" ca="1" si="197"/>
        <v>0</v>
      </c>
      <c r="HS22" s="242">
        <f t="shared" ca="1" si="198"/>
        <v>0</v>
      </c>
      <c r="HT22" s="241">
        <f t="shared" ca="1" si="163"/>
        <v>1</v>
      </c>
      <c r="HU22" s="220">
        <f t="shared" ca="1" si="199"/>
        <v>0</v>
      </c>
      <c r="HV22" s="220">
        <f t="shared" ca="1" si="200"/>
        <v>0</v>
      </c>
      <c r="HW22" s="235">
        <f t="shared" ca="1" si="201"/>
        <v>0</v>
      </c>
      <c r="HX22" s="235">
        <f t="shared" ca="1" si="202"/>
        <v>0</v>
      </c>
      <c r="HY22" s="242">
        <f t="shared" ca="1" si="203"/>
        <v>0</v>
      </c>
      <c r="HZ22" s="241">
        <f t="shared" ca="1" si="163"/>
        <v>1</v>
      </c>
      <c r="IA22" s="220">
        <f t="shared" ca="1" si="204"/>
        <v>0</v>
      </c>
      <c r="IB22" s="220">
        <f t="shared" ca="1" si="205"/>
        <v>0</v>
      </c>
      <c r="IC22" s="235">
        <f t="shared" ca="1" si="206"/>
        <v>0</v>
      </c>
      <c r="ID22" s="235">
        <f t="shared" ca="1" si="207"/>
        <v>0</v>
      </c>
      <c r="IE22" s="242">
        <f t="shared" ca="1" si="208"/>
        <v>0</v>
      </c>
      <c r="IF22" s="241">
        <f t="shared" ca="1" si="163"/>
        <v>1</v>
      </c>
      <c r="IG22" s="220">
        <f t="shared" ca="1" si="209"/>
        <v>0</v>
      </c>
      <c r="IH22" s="220">
        <f t="shared" ca="1" si="210"/>
        <v>0</v>
      </c>
      <c r="II22" s="235">
        <f t="shared" ca="1" si="211"/>
        <v>0</v>
      </c>
      <c r="IJ22" s="235">
        <f t="shared" ca="1" si="212"/>
        <v>0</v>
      </c>
      <c r="IK22" s="242">
        <f t="shared" ca="1" si="213"/>
        <v>0</v>
      </c>
      <c r="IL22" s="241">
        <f t="shared" ca="1" si="163"/>
        <v>1</v>
      </c>
      <c r="IM22" s="220">
        <f t="shared" ca="1" si="214"/>
        <v>0</v>
      </c>
      <c r="IN22" s="220">
        <f t="shared" ca="1" si="215"/>
        <v>0</v>
      </c>
      <c r="IO22" s="235">
        <f t="shared" ca="1" si="216"/>
        <v>0</v>
      </c>
      <c r="IP22" s="235">
        <f t="shared" ca="1" si="217"/>
        <v>0</v>
      </c>
      <c r="IQ22" s="242">
        <f t="shared" ca="1" si="218"/>
        <v>0</v>
      </c>
      <c r="IR22" s="241">
        <f t="shared" ca="1" si="219"/>
        <v>1</v>
      </c>
      <c r="IS22" s="220">
        <f t="shared" ca="1" si="220"/>
        <v>0</v>
      </c>
      <c r="IT22" s="220">
        <f t="shared" ca="1" si="221"/>
        <v>0</v>
      </c>
      <c r="IU22" s="235">
        <f t="shared" ca="1" si="222"/>
        <v>0</v>
      </c>
      <c r="IV22" s="235">
        <f t="shared" ca="1" si="223"/>
        <v>0</v>
      </c>
      <c r="IW22" s="242">
        <f t="shared" ca="1" si="224"/>
        <v>0</v>
      </c>
      <c r="IX22" s="241">
        <f t="shared" ca="1" si="219"/>
        <v>1</v>
      </c>
      <c r="IY22" s="220">
        <f t="shared" ca="1" si="225"/>
        <v>0</v>
      </c>
      <c r="IZ22" s="220">
        <f t="shared" ca="1" si="226"/>
        <v>0</v>
      </c>
      <c r="JA22" s="235">
        <f t="shared" ca="1" si="227"/>
        <v>0</v>
      </c>
      <c r="JB22" s="235">
        <f t="shared" ca="1" si="228"/>
        <v>0</v>
      </c>
      <c r="JC22" s="242">
        <f t="shared" ca="1" si="229"/>
        <v>0</v>
      </c>
      <c r="JD22" s="241">
        <f t="shared" ca="1" si="219"/>
        <v>1</v>
      </c>
      <c r="JE22" s="220">
        <f t="shared" ca="1" si="230"/>
        <v>0</v>
      </c>
      <c r="JF22" s="220">
        <f t="shared" ca="1" si="231"/>
        <v>0</v>
      </c>
      <c r="JG22" s="235">
        <f t="shared" ca="1" si="232"/>
        <v>0</v>
      </c>
      <c r="JH22" s="235">
        <f t="shared" ca="1" si="233"/>
        <v>0</v>
      </c>
      <c r="JI22" s="242">
        <f t="shared" ca="1" si="234"/>
        <v>0</v>
      </c>
      <c r="JJ22" s="241">
        <f t="shared" ca="1" si="219"/>
        <v>1</v>
      </c>
      <c r="JK22" s="220">
        <f t="shared" ca="1" si="235"/>
        <v>0</v>
      </c>
      <c r="JL22" s="220">
        <f t="shared" ca="1" si="236"/>
        <v>0</v>
      </c>
      <c r="JM22" s="235">
        <f t="shared" ca="1" si="237"/>
        <v>0</v>
      </c>
      <c r="JN22" s="235">
        <f t="shared" ca="1" si="238"/>
        <v>0</v>
      </c>
      <c r="JO22" s="242">
        <f t="shared" ca="1" si="239"/>
        <v>0</v>
      </c>
      <c r="JP22" s="241">
        <f t="shared" ca="1" si="219"/>
        <v>1</v>
      </c>
      <c r="JQ22" s="220">
        <f t="shared" ca="1" si="240"/>
        <v>0</v>
      </c>
      <c r="JR22" s="220">
        <f t="shared" ca="1" si="241"/>
        <v>0</v>
      </c>
      <c r="JS22" s="235">
        <f t="shared" ca="1" si="242"/>
        <v>0</v>
      </c>
      <c r="JT22" s="235">
        <f t="shared" ca="1" si="243"/>
        <v>0</v>
      </c>
      <c r="JU22" s="242">
        <f t="shared" ca="1" si="244"/>
        <v>0</v>
      </c>
      <c r="JV22" s="241">
        <f t="shared" ca="1" si="219"/>
        <v>1</v>
      </c>
      <c r="JW22" s="220">
        <f t="shared" ca="1" si="245"/>
        <v>0</v>
      </c>
      <c r="JX22" s="220">
        <f t="shared" ca="1" si="246"/>
        <v>0</v>
      </c>
      <c r="JY22" s="235">
        <f t="shared" ca="1" si="247"/>
        <v>0</v>
      </c>
      <c r="JZ22" s="235">
        <f t="shared" ca="1" si="248"/>
        <v>0</v>
      </c>
      <c r="KA22" s="242">
        <f t="shared" ca="1" si="249"/>
        <v>0</v>
      </c>
      <c r="KB22" s="241">
        <f t="shared" ca="1" si="219"/>
        <v>1</v>
      </c>
      <c r="KC22" s="220">
        <f t="shared" ca="1" si="250"/>
        <v>0</v>
      </c>
      <c r="KD22" s="220">
        <f t="shared" ca="1" si="251"/>
        <v>0</v>
      </c>
      <c r="KE22" s="235">
        <f t="shared" ca="1" si="252"/>
        <v>0</v>
      </c>
      <c r="KF22" s="235">
        <f t="shared" ca="1" si="253"/>
        <v>0</v>
      </c>
      <c r="KG22" s="242">
        <f t="shared" ca="1" si="254"/>
        <v>0</v>
      </c>
      <c r="KH22" s="241">
        <f t="shared" ca="1" si="219"/>
        <v>1</v>
      </c>
      <c r="KI22" s="220">
        <f t="shared" ca="1" si="255"/>
        <v>0</v>
      </c>
      <c r="KJ22" s="220">
        <f t="shared" ca="1" si="256"/>
        <v>0</v>
      </c>
      <c r="KK22" s="235">
        <f t="shared" ca="1" si="257"/>
        <v>0</v>
      </c>
      <c r="KL22" s="235">
        <f t="shared" ca="1" si="258"/>
        <v>0</v>
      </c>
      <c r="KM22" s="242">
        <f t="shared" ca="1" si="259"/>
        <v>0</v>
      </c>
      <c r="KN22" s="241">
        <f t="shared" ca="1" si="219"/>
        <v>1</v>
      </c>
      <c r="KO22" s="220">
        <f t="shared" ca="1" si="260"/>
        <v>0</v>
      </c>
      <c r="KP22" s="220">
        <f t="shared" ca="1" si="261"/>
        <v>0</v>
      </c>
      <c r="KQ22" s="235">
        <f t="shared" ca="1" si="262"/>
        <v>0</v>
      </c>
      <c r="KR22" s="235">
        <f t="shared" ca="1" si="263"/>
        <v>0</v>
      </c>
      <c r="KS22" s="242">
        <f t="shared" ca="1" si="264"/>
        <v>0</v>
      </c>
      <c r="KT22" s="241">
        <f t="shared" ca="1" si="219"/>
        <v>1</v>
      </c>
      <c r="KU22" s="220">
        <f t="shared" ca="1" si="265"/>
        <v>0</v>
      </c>
      <c r="KV22" s="220">
        <f t="shared" ca="1" si="266"/>
        <v>0</v>
      </c>
      <c r="KW22" s="235">
        <f t="shared" ca="1" si="267"/>
        <v>0</v>
      </c>
      <c r="KX22" s="235">
        <f t="shared" ca="1" si="268"/>
        <v>0</v>
      </c>
      <c r="KY22" s="242">
        <f t="shared" ca="1" si="269"/>
        <v>0</v>
      </c>
      <c r="KZ22" s="241">
        <f t="shared" ca="1" si="219"/>
        <v>1</v>
      </c>
      <c r="LA22" s="220">
        <f t="shared" ca="1" si="270"/>
        <v>0</v>
      </c>
      <c r="LB22" s="220">
        <f t="shared" ca="1" si="271"/>
        <v>0</v>
      </c>
      <c r="LC22" s="235">
        <f t="shared" ca="1" si="272"/>
        <v>0</v>
      </c>
      <c r="LD22" s="235">
        <f t="shared" ca="1" si="273"/>
        <v>0</v>
      </c>
      <c r="LE22" s="242">
        <f t="shared" ca="1" si="274"/>
        <v>0</v>
      </c>
      <c r="LF22" s="241">
        <f t="shared" ca="1" si="275"/>
        <v>1</v>
      </c>
      <c r="LG22" s="220">
        <f t="shared" ca="1" si="276"/>
        <v>0</v>
      </c>
      <c r="LH22" s="220">
        <f t="shared" ca="1" si="277"/>
        <v>0</v>
      </c>
      <c r="LI22" s="235">
        <f t="shared" ca="1" si="278"/>
        <v>0</v>
      </c>
      <c r="LJ22" s="235">
        <f t="shared" ca="1" si="279"/>
        <v>0</v>
      </c>
      <c r="LK22" s="242">
        <f t="shared" ca="1" si="280"/>
        <v>0</v>
      </c>
      <c r="LL22" s="241">
        <f t="shared" ca="1" si="275"/>
        <v>1</v>
      </c>
      <c r="LM22" s="220">
        <f t="shared" ca="1" si="281"/>
        <v>0</v>
      </c>
      <c r="LN22" s="220">
        <f t="shared" ca="1" si="282"/>
        <v>0</v>
      </c>
      <c r="LO22" s="235">
        <f t="shared" ca="1" si="283"/>
        <v>0</v>
      </c>
      <c r="LP22" s="235">
        <f t="shared" ca="1" si="284"/>
        <v>0</v>
      </c>
      <c r="LQ22" s="242">
        <f t="shared" ca="1" si="285"/>
        <v>0</v>
      </c>
      <c r="LR22" s="241">
        <f t="shared" ca="1" si="275"/>
        <v>1</v>
      </c>
      <c r="LS22" s="220">
        <f t="shared" ca="1" si="286"/>
        <v>0</v>
      </c>
      <c r="LT22" s="220">
        <f t="shared" ca="1" si="287"/>
        <v>0</v>
      </c>
      <c r="LU22" s="235">
        <f t="shared" ca="1" si="288"/>
        <v>0</v>
      </c>
      <c r="LV22" s="235">
        <f t="shared" ca="1" si="289"/>
        <v>0</v>
      </c>
      <c r="LW22" s="242">
        <f t="shared" ca="1" si="290"/>
        <v>0</v>
      </c>
      <c r="LX22" s="241">
        <f t="shared" ca="1" si="275"/>
        <v>1</v>
      </c>
      <c r="LY22" s="220">
        <f t="shared" ca="1" si="291"/>
        <v>0</v>
      </c>
      <c r="LZ22" s="220">
        <f t="shared" ca="1" si="292"/>
        <v>0</v>
      </c>
      <c r="MA22" s="235">
        <f t="shared" ca="1" si="293"/>
        <v>0</v>
      </c>
      <c r="MB22" s="235">
        <f t="shared" ca="1" si="294"/>
        <v>0</v>
      </c>
      <c r="MC22" s="242">
        <f t="shared" ca="1" si="295"/>
        <v>0</v>
      </c>
      <c r="MD22" s="241">
        <f t="shared" ca="1" si="275"/>
        <v>1</v>
      </c>
      <c r="ME22" s="220">
        <f t="shared" ca="1" si="296"/>
        <v>0</v>
      </c>
      <c r="MF22" s="220">
        <f t="shared" ca="1" si="297"/>
        <v>0</v>
      </c>
      <c r="MG22" s="235">
        <f t="shared" ca="1" si="298"/>
        <v>0</v>
      </c>
      <c r="MH22" s="235">
        <f t="shared" ca="1" si="299"/>
        <v>0</v>
      </c>
      <c r="MI22" s="242">
        <f t="shared" ca="1" si="300"/>
        <v>0</v>
      </c>
      <c r="MJ22" s="241">
        <f t="shared" ca="1" si="275"/>
        <v>1</v>
      </c>
      <c r="MK22" s="220">
        <f t="shared" ca="1" si="301"/>
        <v>0</v>
      </c>
      <c r="ML22" s="220">
        <f t="shared" ca="1" si="302"/>
        <v>0</v>
      </c>
      <c r="MM22" s="235">
        <f t="shared" ca="1" si="303"/>
        <v>0</v>
      </c>
      <c r="MN22" s="235">
        <f t="shared" ca="1" si="304"/>
        <v>0</v>
      </c>
      <c r="MO22" s="242">
        <f t="shared" ca="1" si="305"/>
        <v>0</v>
      </c>
      <c r="MP22" s="241">
        <f t="shared" ca="1" si="275"/>
        <v>1</v>
      </c>
      <c r="MQ22" s="220">
        <f t="shared" ca="1" si="306"/>
        <v>0</v>
      </c>
      <c r="MR22" s="220">
        <f t="shared" ca="1" si="307"/>
        <v>0</v>
      </c>
      <c r="MS22" s="235">
        <f t="shared" ca="1" si="308"/>
        <v>0</v>
      </c>
      <c r="MT22" s="235">
        <f t="shared" ca="1" si="309"/>
        <v>0</v>
      </c>
      <c r="MU22" s="242">
        <f t="shared" ca="1" si="310"/>
        <v>0</v>
      </c>
      <c r="MV22" s="241">
        <f t="shared" ca="1" si="275"/>
        <v>1</v>
      </c>
      <c r="MW22" s="220">
        <f t="shared" ca="1" si="311"/>
        <v>0</v>
      </c>
      <c r="MX22" s="220">
        <f t="shared" ca="1" si="312"/>
        <v>0</v>
      </c>
      <c r="MY22" s="235">
        <f t="shared" ca="1" si="313"/>
        <v>0</v>
      </c>
      <c r="MZ22" s="235">
        <f t="shared" ca="1" si="314"/>
        <v>0</v>
      </c>
      <c r="NA22" s="242">
        <f t="shared" ca="1" si="315"/>
        <v>0</v>
      </c>
      <c r="NB22" s="241">
        <f t="shared" ca="1" si="275"/>
        <v>1</v>
      </c>
      <c r="NC22" s="220">
        <f t="shared" ca="1" si="316"/>
        <v>0</v>
      </c>
      <c r="ND22" s="220">
        <f t="shared" ca="1" si="317"/>
        <v>0</v>
      </c>
      <c r="NE22" s="235">
        <f t="shared" ca="1" si="318"/>
        <v>0</v>
      </c>
      <c r="NF22" s="235">
        <f t="shared" ca="1" si="319"/>
        <v>0</v>
      </c>
      <c r="NG22" s="242">
        <f t="shared" ca="1" si="320"/>
        <v>0</v>
      </c>
      <c r="NH22" s="241">
        <f t="shared" ca="1" si="275"/>
        <v>1</v>
      </c>
      <c r="NI22" s="220">
        <f t="shared" ca="1" si="321"/>
        <v>0</v>
      </c>
      <c r="NJ22" s="220">
        <f t="shared" ca="1" si="322"/>
        <v>0</v>
      </c>
      <c r="NK22" s="235">
        <f t="shared" ca="1" si="323"/>
        <v>0</v>
      </c>
      <c r="NL22" s="235">
        <f t="shared" ca="1" si="324"/>
        <v>0</v>
      </c>
      <c r="NM22" s="242">
        <f t="shared" ca="1" si="325"/>
        <v>0</v>
      </c>
      <c r="NN22" s="241">
        <f t="shared" ca="1" si="275"/>
        <v>1</v>
      </c>
      <c r="NO22" s="220">
        <f t="shared" ca="1" si="326"/>
        <v>0</v>
      </c>
      <c r="NP22" s="220">
        <f t="shared" ca="1" si="327"/>
        <v>0</v>
      </c>
      <c r="NQ22" s="235">
        <f t="shared" ca="1" si="328"/>
        <v>0</v>
      </c>
      <c r="NR22" s="235">
        <f t="shared" ca="1" si="329"/>
        <v>0</v>
      </c>
      <c r="NS22" s="242">
        <f t="shared" ca="1" si="330"/>
        <v>0</v>
      </c>
      <c r="NT22" s="241">
        <f t="shared" ca="1" si="331"/>
        <v>1</v>
      </c>
      <c r="NU22" s="220">
        <f t="shared" ca="1" si="332"/>
        <v>0</v>
      </c>
      <c r="NV22" s="220">
        <f t="shared" ca="1" si="333"/>
        <v>0</v>
      </c>
      <c r="NW22" s="235">
        <f t="shared" ca="1" si="334"/>
        <v>0</v>
      </c>
      <c r="NX22" s="235">
        <f t="shared" ca="1" si="335"/>
        <v>0</v>
      </c>
      <c r="NY22" s="242">
        <f t="shared" ca="1" si="336"/>
        <v>0</v>
      </c>
      <c r="NZ22" s="241">
        <f t="shared" ca="1" si="331"/>
        <v>1</v>
      </c>
      <c r="OA22" s="220">
        <f t="shared" ca="1" si="337"/>
        <v>0</v>
      </c>
      <c r="OB22" s="220">
        <f t="shared" ca="1" si="338"/>
        <v>0</v>
      </c>
      <c r="OC22" s="235">
        <f t="shared" ca="1" si="339"/>
        <v>0</v>
      </c>
      <c r="OD22" s="235">
        <f t="shared" ca="1" si="340"/>
        <v>0</v>
      </c>
      <c r="OE22" s="242">
        <f t="shared" ca="1" si="341"/>
        <v>0</v>
      </c>
      <c r="OF22" s="241">
        <f t="shared" ca="1" si="331"/>
        <v>1</v>
      </c>
      <c r="OG22" s="220">
        <f t="shared" ca="1" si="342"/>
        <v>0</v>
      </c>
      <c r="OH22" s="220">
        <f t="shared" ca="1" si="343"/>
        <v>0</v>
      </c>
      <c r="OI22" s="235">
        <f t="shared" ca="1" si="344"/>
        <v>0</v>
      </c>
      <c r="OJ22" s="235">
        <f t="shared" ca="1" si="345"/>
        <v>0</v>
      </c>
      <c r="OK22" s="242">
        <f t="shared" ca="1" si="346"/>
        <v>0</v>
      </c>
      <c r="OL22" s="241">
        <f t="shared" ca="1" si="331"/>
        <v>1</v>
      </c>
      <c r="OM22" s="220">
        <f t="shared" ca="1" si="347"/>
        <v>0</v>
      </c>
      <c r="ON22" s="220">
        <f t="shared" ca="1" si="348"/>
        <v>0</v>
      </c>
      <c r="OO22" s="235">
        <f t="shared" ca="1" si="349"/>
        <v>0</v>
      </c>
      <c r="OP22" s="235">
        <f t="shared" ca="1" si="350"/>
        <v>0</v>
      </c>
      <c r="OQ22" s="242">
        <f t="shared" ca="1" si="351"/>
        <v>0</v>
      </c>
      <c r="OR22" s="241">
        <f t="shared" ca="1" si="331"/>
        <v>1</v>
      </c>
      <c r="OS22" s="220">
        <f t="shared" ca="1" si="352"/>
        <v>0</v>
      </c>
      <c r="OT22" s="220">
        <f t="shared" ca="1" si="353"/>
        <v>0</v>
      </c>
      <c r="OU22" s="235">
        <f t="shared" ca="1" si="354"/>
        <v>0</v>
      </c>
      <c r="OV22" s="235">
        <f t="shared" ca="1" si="355"/>
        <v>0</v>
      </c>
      <c r="OW22" s="242">
        <f t="shared" ca="1" si="356"/>
        <v>0</v>
      </c>
      <c r="OX22" s="241">
        <f t="shared" ca="1" si="331"/>
        <v>1</v>
      </c>
      <c r="OY22" s="220">
        <f t="shared" ca="1" si="357"/>
        <v>0</v>
      </c>
      <c r="OZ22" s="220">
        <f t="shared" ca="1" si="358"/>
        <v>0</v>
      </c>
      <c r="PA22" s="235">
        <f t="shared" ca="1" si="359"/>
        <v>0</v>
      </c>
      <c r="PB22" s="235">
        <f t="shared" ca="1" si="360"/>
        <v>0</v>
      </c>
      <c r="PC22" s="242">
        <f t="shared" ca="1" si="361"/>
        <v>0</v>
      </c>
      <c r="PD22" s="241">
        <f t="shared" ca="1" si="331"/>
        <v>1</v>
      </c>
      <c r="PE22" s="220">
        <f t="shared" ca="1" si="362"/>
        <v>0</v>
      </c>
      <c r="PF22" s="220">
        <f t="shared" ca="1" si="363"/>
        <v>0</v>
      </c>
      <c r="PG22" s="235">
        <f t="shared" ca="1" si="364"/>
        <v>0</v>
      </c>
      <c r="PH22" s="235">
        <f t="shared" ca="1" si="365"/>
        <v>0</v>
      </c>
      <c r="PI22" s="242">
        <f t="shared" ca="1" si="366"/>
        <v>0</v>
      </c>
      <c r="PJ22" s="241">
        <f t="shared" ca="1" si="331"/>
        <v>1</v>
      </c>
      <c r="PK22" s="220">
        <f t="shared" ca="1" si="367"/>
        <v>0</v>
      </c>
      <c r="PL22" s="220">
        <f t="shared" ca="1" si="368"/>
        <v>0</v>
      </c>
      <c r="PM22" s="235">
        <f t="shared" ca="1" si="369"/>
        <v>0</v>
      </c>
      <c r="PN22" s="235">
        <f t="shared" ca="1" si="370"/>
        <v>0</v>
      </c>
      <c r="PO22" s="242">
        <f t="shared" ca="1" si="371"/>
        <v>0</v>
      </c>
      <c r="PP22" s="241">
        <f t="shared" ca="1" si="331"/>
        <v>1</v>
      </c>
      <c r="PQ22" s="220">
        <f t="shared" ca="1" si="372"/>
        <v>0</v>
      </c>
      <c r="PR22" s="220">
        <f t="shared" ca="1" si="373"/>
        <v>0</v>
      </c>
      <c r="PS22" s="235">
        <f t="shared" ca="1" si="374"/>
        <v>0</v>
      </c>
      <c r="PT22" s="235">
        <f t="shared" ca="1" si="375"/>
        <v>0</v>
      </c>
      <c r="PU22" s="242">
        <f t="shared" ca="1" si="376"/>
        <v>0</v>
      </c>
      <c r="PV22" s="241">
        <f t="shared" ca="1" si="331"/>
        <v>1</v>
      </c>
      <c r="PW22" s="220">
        <f t="shared" ca="1" si="377"/>
        <v>0</v>
      </c>
      <c r="PX22" s="220">
        <f t="shared" ca="1" si="378"/>
        <v>0</v>
      </c>
      <c r="PY22" s="235">
        <f t="shared" ca="1" si="379"/>
        <v>0</v>
      </c>
      <c r="PZ22" s="235">
        <f t="shared" ca="1" si="380"/>
        <v>0</v>
      </c>
      <c r="QA22" s="242">
        <f t="shared" ca="1" si="381"/>
        <v>0</v>
      </c>
      <c r="QB22" s="241">
        <f t="shared" ca="1" si="331"/>
        <v>1</v>
      </c>
      <c r="QC22" s="220">
        <f t="shared" ca="1" si="382"/>
        <v>0</v>
      </c>
      <c r="QD22" s="220">
        <f t="shared" ca="1" si="383"/>
        <v>0</v>
      </c>
      <c r="QE22" s="235">
        <f t="shared" ca="1" si="384"/>
        <v>0</v>
      </c>
      <c r="QF22" s="235">
        <f t="shared" ca="1" si="385"/>
        <v>0</v>
      </c>
      <c r="QG22" s="242">
        <f t="shared" ca="1" si="386"/>
        <v>0</v>
      </c>
      <c r="QH22" s="241">
        <f t="shared" ca="1" si="387"/>
        <v>1</v>
      </c>
      <c r="QI22" s="220">
        <f t="shared" ca="1" si="388"/>
        <v>0</v>
      </c>
      <c r="QJ22" s="220">
        <f t="shared" ca="1" si="389"/>
        <v>0</v>
      </c>
      <c r="QK22" s="235">
        <f t="shared" ca="1" si="390"/>
        <v>0</v>
      </c>
      <c r="QL22" s="235">
        <f t="shared" ca="1" si="391"/>
        <v>0</v>
      </c>
      <c r="QM22" s="242">
        <f t="shared" ca="1" si="392"/>
        <v>0</v>
      </c>
      <c r="QN22" s="241">
        <f t="shared" ca="1" si="387"/>
        <v>1</v>
      </c>
      <c r="QO22" s="220">
        <f t="shared" ca="1" si="393"/>
        <v>0</v>
      </c>
      <c r="QP22" s="220">
        <f t="shared" ca="1" si="394"/>
        <v>0</v>
      </c>
      <c r="QQ22" s="235">
        <f t="shared" ca="1" si="395"/>
        <v>0</v>
      </c>
      <c r="QR22" s="235">
        <f t="shared" ca="1" si="396"/>
        <v>0</v>
      </c>
      <c r="QS22" s="242">
        <f t="shared" ca="1" si="397"/>
        <v>0</v>
      </c>
      <c r="QT22" s="241">
        <f t="shared" ca="1" si="387"/>
        <v>1</v>
      </c>
      <c r="QU22" s="220">
        <f t="shared" ca="1" si="398"/>
        <v>0</v>
      </c>
      <c r="QV22" s="220">
        <f t="shared" ca="1" si="399"/>
        <v>0</v>
      </c>
      <c r="QW22" s="235">
        <f t="shared" ca="1" si="400"/>
        <v>0</v>
      </c>
      <c r="QX22" s="235">
        <f t="shared" ca="1" si="401"/>
        <v>0</v>
      </c>
      <c r="QY22" s="242">
        <f t="shared" ca="1" si="402"/>
        <v>0</v>
      </c>
      <c r="QZ22" s="241">
        <f t="shared" ca="1" si="387"/>
        <v>1</v>
      </c>
      <c r="RA22" s="220">
        <f t="shared" ca="1" si="403"/>
        <v>0</v>
      </c>
      <c r="RB22" s="220">
        <f t="shared" ca="1" si="404"/>
        <v>0</v>
      </c>
      <c r="RC22" s="235">
        <f t="shared" ca="1" si="405"/>
        <v>0</v>
      </c>
      <c r="RD22" s="235">
        <f t="shared" ca="1" si="406"/>
        <v>0</v>
      </c>
      <c r="RE22" s="242">
        <f t="shared" ca="1" si="407"/>
        <v>0</v>
      </c>
      <c r="RF22" s="241">
        <f t="shared" ca="1" si="387"/>
        <v>1</v>
      </c>
      <c r="RG22" s="220">
        <f t="shared" ca="1" si="408"/>
        <v>0</v>
      </c>
      <c r="RH22" s="220">
        <f t="shared" ca="1" si="409"/>
        <v>0</v>
      </c>
      <c r="RI22" s="235">
        <f t="shared" ca="1" si="410"/>
        <v>0</v>
      </c>
      <c r="RJ22" s="235">
        <f t="shared" ca="1" si="411"/>
        <v>0</v>
      </c>
      <c r="RK22" s="242">
        <f t="shared" ca="1" si="412"/>
        <v>0</v>
      </c>
      <c r="RL22" s="241">
        <f t="shared" ca="1" si="387"/>
        <v>1</v>
      </c>
      <c r="RM22" s="220">
        <f t="shared" ca="1" si="413"/>
        <v>0</v>
      </c>
      <c r="RN22" s="220">
        <f t="shared" ca="1" si="414"/>
        <v>0</v>
      </c>
      <c r="RO22" s="235">
        <f t="shared" ca="1" si="415"/>
        <v>0</v>
      </c>
      <c r="RP22" s="235">
        <f t="shared" ca="1" si="416"/>
        <v>0</v>
      </c>
      <c r="RQ22" s="242">
        <f t="shared" ca="1" si="417"/>
        <v>0</v>
      </c>
      <c r="RR22" s="241">
        <f t="shared" ca="1" si="387"/>
        <v>1</v>
      </c>
      <c r="RS22" s="220">
        <f t="shared" ca="1" si="418"/>
        <v>0</v>
      </c>
      <c r="RT22" s="220">
        <f t="shared" ca="1" si="419"/>
        <v>0</v>
      </c>
      <c r="RU22" s="235">
        <f t="shared" ca="1" si="420"/>
        <v>0</v>
      </c>
      <c r="RV22" s="235">
        <f t="shared" ca="1" si="421"/>
        <v>0</v>
      </c>
      <c r="RW22" s="242">
        <f t="shared" ca="1" si="422"/>
        <v>0</v>
      </c>
      <c r="RX22" s="241">
        <f t="shared" ca="1" si="387"/>
        <v>1</v>
      </c>
      <c r="RY22" s="220">
        <f t="shared" ca="1" si="423"/>
        <v>0</v>
      </c>
      <c r="RZ22" s="220">
        <f t="shared" ca="1" si="424"/>
        <v>0</v>
      </c>
      <c r="SA22" s="235">
        <f t="shared" ca="1" si="425"/>
        <v>0</v>
      </c>
      <c r="SB22" s="235">
        <f t="shared" ca="1" si="426"/>
        <v>0</v>
      </c>
      <c r="SC22" s="242">
        <f t="shared" ca="1" si="427"/>
        <v>0</v>
      </c>
      <c r="SD22" s="241">
        <f t="shared" ca="1" si="387"/>
        <v>1</v>
      </c>
      <c r="SE22" s="220">
        <f t="shared" ca="1" si="428"/>
        <v>0</v>
      </c>
      <c r="SF22" s="220">
        <f t="shared" ca="1" si="429"/>
        <v>0</v>
      </c>
      <c r="SG22" s="235">
        <f t="shared" ca="1" si="430"/>
        <v>0</v>
      </c>
      <c r="SH22" s="235">
        <f t="shared" ca="1" si="431"/>
        <v>0</v>
      </c>
      <c r="SI22" s="242">
        <f t="shared" ca="1" si="432"/>
        <v>0</v>
      </c>
      <c r="SJ22" s="241">
        <f t="shared" ca="1" si="387"/>
        <v>1</v>
      </c>
      <c r="SK22" s="220">
        <f t="shared" ca="1" si="433"/>
        <v>0</v>
      </c>
      <c r="SL22" s="220">
        <f t="shared" ca="1" si="434"/>
        <v>0</v>
      </c>
      <c r="SM22" s="235">
        <f t="shared" ca="1" si="435"/>
        <v>0</v>
      </c>
      <c r="SN22" s="235">
        <f t="shared" ca="1" si="436"/>
        <v>0</v>
      </c>
      <c r="SO22" s="242">
        <f t="shared" ca="1" si="437"/>
        <v>0</v>
      </c>
      <c r="SP22" s="241">
        <f t="shared" ca="1" si="387"/>
        <v>1</v>
      </c>
      <c r="SQ22" s="220">
        <f t="shared" ca="1" si="438"/>
        <v>0</v>
      </c>
      <c r="SR22" s="220">
        <f t="shared" ca="1" si="439"/>
        <v>0</v>
      </c>
      <c r="SS22" s="235">
        <f t="shared" ca="1" si="440"/>
        <v>0</v>
      </c>
      <c r="ST22" s="235">
        <f t="shared" ca="1" si="441"/>
        <v>0</v>
      </c>
      <c r="SU22" s="242">
        <f t="shared" ca="1" si="442"/>
        <v>0</v>
      </c>
      <c r="SV22" s="241">
        <f t="shared" ca="1" si="443"/>
        <v>1</v>
      </c>
      <c r="SW22" s="220">
        <f t="shared" ca="1" si="444"/>
        <v>0</v>
      </c>
      <c r="SX22" s="220">
        <f t="shared" ca="1" si="445"/>
        <v>0</v>
      </c>
      <c r="SY22" s="235">
        <f t="shared" ca="1" si="446"/>
        <v>0</v>
      </c>
      <c r="SZ22" s="235">
        <f t="shared" ca="1" si="447"/>
        <v>0</v>
      </c>
      <c r="TA22" s="242">
        <f t="shared" ca="1" si="448"/>
        <v>0</v>
      </c>
      <c r="TB22" s="241">
        <f t="shared" ca="1" si="443"/>
        <v>1</v>
      </c>
      <c r="TC22" s="220">
        <f t="shared" ca="1" si="449"/>
        <v>0</v>
      </c>
      <c r="TD22" s="220">
        <f t="shared" ca="1" si="450"/>
        <v>0</v>
      </c>
      <c r="TE22" s="235">
        <f t="shared" ca="1" si="451"/>
        <v>0</v>
      </c>
      <c r="TF22" s="235">
        <f t="shared" ca="1" si="452"/>
        <v>0</v>
      </c>
      <c r="TG22" s="242">
        <f t="shared" ca="1" si="453"/>
        <v>0</v>
      </c>
      <c r="TH22" s="241">
        <f t="shared" ca="1" si="443"/>
        <v>1</v>
      </c>
      <c r="TI22" s="220">
        <f t="shared" ca="1" si="454"/>
        <v>0</v>
      </c>
      <c r="TJ22" s="220">
        <f t="shared" ca="1" si="455"/>
        <v>0</v>
      </c>
      <c r="TK22" s="235">
        <f t="shared" ca="1" si="456"/>
        <v>0</v>
      </c>
      <c r="TL22" s="235">
        <f t="shared" ca="1" si="457"/>
        <v>0</v>
      </c>
      <c r="TM22" s="242">
        <f t="shared" ca="1" si="458"/>
        <v>0</v>
      </c>
      <c r="TN22" s="241">
        <f t="shared" ca="1" si="443"/>
        <v>1</v>
      </c>
      <c r="TO22" s="220">
        <f t="shared" ca="1" si="459"/>
        <v>0</v>
      </c>
      <c r="TP22" s="220">
        <f t="shared" ca="1" si="460"/>
        <v>0</v>
      </c>
      <c r="TQ22" s="235">
        <f t="shared" ca="1" si="461"/>
        <v>0</v>
      </c>
      <c r="TR22" s="235">
        <f t="shared" ca="1" si="462"/>
        <v>0</v>
      </c>
      <c r="TS22" s="242">
        <f t="shared" ca="1" si="463"/>
        <v>0</v>
      </c>
      <c r="TT22" s="241">
        <f t="shared" ca="1" si="443"/>
        <v>1</v>
      </c>
      <c r="TU22" s="220">
        <f t="shared" ca="1" si="464"/>
        <v>0</v>
      </c>
      <c r="TV22" s="220">
        <f t="shared" ca="1" si="465"/>
        <v>0</v>
      </c>
      <c r="TW22" s="235">
        <f t="shared" ca="1" si="466"/>
        <v>0</v>
      </c>
      <c r="TX22" s="235">
        <f t="shared" ca="1" si="467"/>
        <v>0</v>
      </c>
      <c r="TY22" s="242">
        <f t="shared" ca="1" si="468"/>
        <v>0</v>
      </c>
      <c r="TZ22" s="241">
        <f t="shared" ca="1" si="443"/>
        <v>1</v>
      </c>
      <c r="UA22" s="220">
        <f t="shared" ca="1" si="469"/>
        <v>0</v>
      </c>
      <c r="UB22" s="220">
        <f t="shared" ca="1" si="470"/>
        <v>0</v>
      </c>
      <c r="UC22" s="235">
        <f t="shared" ca="1" si="471"/>
        <v>0</v>
      </c>
      <c r="UD22" s="235">
        <f t="shared" ca="1" si="472"/>
        <v>0</v>
      </c>
      <c r="UE22" s="242">
        <f t="shared" ca="1" si="473"/>
        <v>0</v>
      </c>
      <c r="UF22" s="241">
        <f t="shared" ca="1" si="443"/>
        <v>1</v>
      </c>
      <c r="UG22" s="220">
        <f t="shared" ca="1" si="474"/>
        <v>0</v>
      </c>
      <c r="UH22" s="220">
        <f t="shared" ca="1" si="475"/>
        <v>0</v>
      </c>
      <c r="UI22" s="235">
        <f t="shared" ca="1" si="476"/>
        <v>0</v>
      </c>
      <c r="UJ22" s="235">
        <f t="shared" ca="1" si="477"/>
        <v>0</v>
      </c>
      <c r="UK22" s="242">
        <f t="shared" ca="1" si="478"/>
        <v>0</v>
      </c>
      <c r="UL22" s="241">
        <f t="shared" ca="1" si="443"/>
        <v>1</v>
      </c>
      <c r="UM22" s="220">
        <f t="shared" ca="1" si="479"/>
        <v>0</v>
      </c>
      <c r="UN22" s="220">
        <f t="shared" ca="1" si="480"/>
        <v>0</v>
      </c>
      <c r="UO22" s="235">
        <f t="shared" ca="1" si="481"/>
        <v>0</v>
      </c>
      <c r="UP22" s="235">
        <f t="shared" ca="1" si="482"/>
        <v>0</v>
      </c>
      <c r="UQ22" s="242">
        <f t="shared" ca="1" si="483"/>
        <v>0</v>
      </c>
      <c r="UR22" s="241">
        <f t="shared" ca="1" si="443"/>
        <v>1</v>
      </c>
      <c r="US22" s="220">
        <f t="shared" ca="1" si="484"/>
        <v>0</v>
      </c>
      <c r="UT22" s="220">
        <f t="shared" ca="1" si="485"/>
        <v>0</v>
      </c>
      <c r="UU22" s="235">
        <f t="shared" ca="1" si="486"/>
        <v>0</v>
      </c>
      <c r="UV22" s="235">
        <f t="shared" ca="1" si="487"/>
        <v>0</v>
      </c>
      <c r="UW22" s="242">
        <f t="shared" ca="1" si="488"/>
        <v>0</v>
      </c>
      <c r="UX22" s="241">
        <f t="shared" ca="1" si="443"/>
        <v>1</v>
      </c>
      <c r="UY22" s="220">
        <f t="shared" ca="1" si="489"/>
        <v>0</v>
      </c>
      <c r="UZ22" s="220">
        <f t="shared" ca="1" si="490"/>
        <v>0</v>
      </c>
      <c r="VA22" s="235">
        <f t="shared" ca="1" si="491"/>
        <v>0</v>
      </c>
      <c r="VB22" s="235">
        <f t="shared" ca="1" si="492"/>
        <v>0</v>
      </c>
      <c r="VC22" s="242">
        <f t="shared" ca="1" si="493"/>
        <v>0</v>
      </c>
      <c r="VD22" s="241">
        <f t="shared" ca="1" si="443"/>
        <v>1</v>
      </c>
      <c r="VE22" s="220">
        <f t="shared" ca="1" si="494"/>
        <v>0</v>
      </c>
      <c r="VF22" s="220">
        <f t="shared" ca="1" si="495"/>
        <v>0</v>
      </c>
      <c r="VG22" s="235">
        <f t="shared" ca="1" si="496"/>
        <v>0</v>
      </c>
      <c r="VH22" s="235">
        <f t="shared" ca="1" si="497"/>
        <v>0</v>
      </c>
      <c r="VI22" s="242">
        <f t="shared" ca="1" si="498"/>
        <v>0</v>
      </c>
      <c r="VJ22" s="241">
        <f t="shared" ca="1" si="499"/>
        <v>1</v>
      </c>
      <c r="VK22" s="220">
        <f t="shared" ca="1" si="500"/>
        <v>0</v>
      </c>
      <c r="VL22" s="220">
        <f t="shared" ca="1" si="501"/>
        <v>0</v>
      </c>
      <c r="VM22" s="235">
        <f t="shared" ca="1" si="502"/>
        <v>0</v>
      </c>
      <c r="VN22" s="235">
        <f t="shared" ca="1" si="503"/>
        <v>0</v>
      </c>
      <c r="VO22" s="242">
        <f t="shared" ca="1" si="504"/>
        <v>0</v>
      </c>
      <c r="VP22" s="241">
        <f t="shared" ca="1" si="499"/>
        <v>1</v>
      </c>
      <c r="VQ22" s="220">
        <f t="shared" ca="1" si="505"/>
        <v>0</v>
      </c>
      <c r="VR22" s="220">
        <f t="shared" ca="1" si="506"/>
        <v>0</v>
      </c>
      <c r="VS22" s="235">
        <f t="shared" ca="1" si="507"/>
        <v>0</v>
      </c>
      <c r="VT22" s="235">
        <f t="shared" ca="1" si="508"/>
        <v>0</v>
      </c>
      <c r="VU22" s="242">
        <f t="shared" ca="1" si="509"/>
        <v>0</v>
      </c>
      <c r="VV22" s="241">
        <f t="shared" ca="1" si="499"/>
        <v>1</v>
      </c>
      <c r="VW22" s="220">
        <f t="shared" ca="1" si="510"/>
        <v>0</v>
      </c>
      <c r="VX22" s="220">
        <f t="shared" ca="1" si="511"/>
        <v>0</v>
      </c>
      <c r="VY22" s="235">
        <f t="shared" ca="1" si="512"/>
        <v>0</v>
      </c>
      <c r="VZ22" s="235">
        <f t="shared" ca="1" si="513"/>
        <v>0</v>
      </c>
      <c r="WA22" s="242">
        <f t="shared" ca="1" si="514"/>
        <v>0</v>
      </c>
      <c r="WB22" s="241">
        <f t="shared" ca="1" si="499"/>
        <v>1</v>
      </c>
      <c r="WC22" s="220">
        <f t="shared" ca="1" si="515"/>
        <v>0</v>
      </c>
      <c r="WD22" s="220">
        <f t="shared" ca="1" si="516"/>
        <v>0</v>
      </c>
      <c r="WE22" s="235">
        <f t="shared" ca="1" si="517"/>
        <v>0</v>
      </c>
      <c r="WF22" s="235">
        <f t="shared" ca="1" si="518"/>
        <v>0</v>
      </c>
      <c r="WG22" s="242">
        <f t="shared" ca="1" si="519"/>
        <v>0</v>
      </c>
      <c r="WH22" s="241">
        <f t="shared" ca="1" si="499"/>
        <v>1</v>
      </c>
      <c r="WI22" s="220">
        <f t="shared" ca="1" si="520"/>
        <v>0</v>
      </c>
      <c r="WJ22" s="220">
        <f t="shared" ca="1" si="521"/>
        <v>0</v>
      </c>
      <c r="WK22" s="235">
        <f t="shared" ca="1" si="522"/>
        <v>0</v>
      </c>
      <c r="WL22" s="235">
        <f t="shared" ca="1" si="523"/>
        <v>0</v>
      </c>
      <c r="WM22" s="242">
        <f t="shared" ca="1" si="524"/>
        <v>0</v>
      </c>
      <c r="WN22" s="241">
        <f t="shared" ca="1" si="499"/>
        <v>1</v>
      </c>
      <c r="WO22" s="220">
        <f t="shared" ca="1" si="525"/>
        <v>0</v>
      </c>
      <c r="WP22" s="220">
        <f t="shared" ca="1" si="526"/>
        <v>0</v>
      </c>
      <c r="WQ22" s="235">
        <f t="shared" ca="1" si="527"/>
        <v>0</v>
      </c>
      <c r="WR22" s="235">
        <f t="shared" ca="1" si="528"/>
        <v>0</v>
      </c>
      <c r="WS22" s="242">
        <f t="shared" ca="1" si="529"/>
        <v>0</v>
      </c>
      <c r="WT22" s="241">
        <f t="shared" ca="1" si="499"/>
        <v>1</v>
      </c>
      <c r="WU22" s="220">
        <f t="shared" ca="1" si="530"/>
        <v>0</v>
      </c>
      <c r="WV22" s="220">
        <f t="shared" ca="1" si="531"/>
        <v>0</v>
      </c>
      <c r="WW22" s="235">
        <f t="shared" ca="1" si="532"/>
        <v>0</v>
      </c>
      <c r="WX22" s="235">
        <f t="shared" ca="1" si="533"/>
        <v>0</v>
      </c>
      <c r="WY22" s="242">
        <f t="shared" ca="1" si="534"/>
        <v>0</v>
      </c>
      <c r="WZ22" s="241">
        <f t="shared" ca="1" si="499"/>
        <v>1</v>
      </c>
      <c r="XA22" s="220">
        <f t="shared" ca="1" si="535"/>
        <v>0</v>
      </c>
      <c r="XB22" s="220">
        <f t="shared" ca="1" si="536"/>
        <v>0</v>
      </c>
      <c r="XC22" s="235">
        <f t="shared" ca="1" si="537"/>
        <v>0</v>
      </c>
      <c r="XD22" s="235">
        <f t="shared" ca="1" si="538"/>
        <v>0</v>
      </c>
      <c r="XE22" s="242">
        <f t="shared" ca="1" si="539"/>
        <v>0</v>
      </c>
      <c r="XF22" s="241">
        <f t="shared" ca="1" si="499"/>
        <v>1</v>
      </c>
      <c r="XG22" s="220">
        <f t="shared" ca="1" si="540"/>
        <v>0</v>
      </c>
      <c r="XH22" s="220">
        <f t="shared" ca="1" si="541"/>
        <v>0</v>
      </c>
      <c r="XI22" s="235">
        <f t="shared" ca="1" si="542"/>
        <v>0</v>
      </c>
      <c r="XJ22" s="235">
        <f t="shared" ca="1" si="543"/>
        <v>0</v>
      </c>
      <c r="XK22" s="242">
        <f t="shared" ca="1" si="544"/>
        <v>0</v>
      </c>
    </row>
    <row r="23" spans="2:635" x14ac:dyDescent="0.25">
      <c r="B23" s="65">
        <f t="shared" ca="1" si="14"/>
        <v>2038</v>
      </c>
      <c r="C23" s="65" t="s">
        <v>741</v>
      </c>
      <c r="D23" s="77">
        <f t="shared" si="15"/>
        <v>0</v>
      </c>
      <c r="E23" s="77">
        <f t="shared" si="16"/>
        <v>0</v>
      </c>
      <c r="F23" s="77">
        <f t="shared" si="17"/>
        <v>0</v>
      </c>
      <c r="G23" s="77">
        <f t="shared" si="18"/>
        <v>0</v>
      </c>
      <c r="H23" s="15" t="e">
        <f t="shared" ca="1" si="19"/>
        <v>#REF!</v>
      </c>
      <c r="L23" s="326">
        <f t="shared" ca="1" si="20"/>
        <v>3.5000000000000003E-2</v>
      </c>
      <c r="M23" s="327">
        <f t="shared" ca="1" si="21"/>
        <v>3.5000000000000003E-2</v>
      </c>
      <c r="N23" s="322">
        <f t="shared" ca="1" si="22"/>
        <v>-15</v>
      </c>
      <c r="O23" s="322">
        <f t="shared" ca="1" si="23"/>
        <v>0</v>
      </c>
      <c r="P23" s="328">
        <f t="shared" ca="1" si="545"/>
        <v>0</v>
      </c>
      <c r="Q23" s="328">
        <f t="shared" ca="1" si="546"/>
        <v>0</v>
      </c>
      <c r="R23" s="328">
        <f t="shared" ca="1" si="547"/>
        <v>0</v>
      </c>
      <c r="S23" s="329">
        <f t="shared" ca="1" si="24"/>
        <v>0</v>
      </c>
      <c r="T23" s="329">
        <f t="shared" ca="1" si="25"/>
        <v>0</v>
      </c>
      <c r="U23" s="329">
        <f t="shared" ca="1" si="26"/>
        <v>0</v>
      </c>
      <c r="V23" s="320" t="e">
        <f t="shared" ca="1" si="27"/>
        <v>#REF!</v>
      </c>
      <c r="W23" s="320" t="e">
        <f t="shared" ca="1" si="28"/>
        <v>#REF!</v>
      </c>
      <c r="X23" s="320" t="e">
        <f t="shared" ca="1" si="29"/>
        <v>#REF!</v>
      </c>
      <c r="Y23" s="320" t="e">
        <f ca="1">INDEX(SC_ZA_HECMLumpSum,ZAIDX)</f>
        <v>#REF!</v>
      </c>
      <c r="Z23" s="320" t="e">
        <f t="shared" ca="1" si="30"/>
        <v>#REF!</v>
      </c>
      <c r="AA23" s="320">
        <f t="shared" ca="1" si="557"/>
        <v>0</v>
      </c>
      <c r="AB23" s="320" t="e">
        <f t="shared" ca="1" si="558"/>
        <v>#REF!</v>
      </c>
      <c r="AC23" s="330" t="e">
        <f t="shared" ca="1" si="559"/>
        <v>#REF!</v>
      </c>
      <c r="AD23" s="236" t="e">
        <f t="shared" ca="1" si="548"/>
        <v>#REF!</v>
      </c>
      <c r="AE23" s="320" t="e">
        <f t="shared" ca="1" si="34"/>
        <v>#REF!</v>
      </c>
      <c r="AF23" s="320" t="e">
        <f t="shared" ca="1" si="35"/>
        <v>#REF!</v>
      </c>
      <c r="AG23" s="320" t="e">
        <f t="shared" ca="1" si="549"/>
        <v>#REF!</v>
      </c>
      <c r="AH23" s="284" t="e">
        <f t="shared" ca="1" si="550"/>
        <v>#REF!</v>
      </c>
      <c r="AI23" s="318" t="e">
        <f t="shared" ca="1" si="551"/>
        <v>#REF!</v>
      </c>
      <c r="AJ23" s="331">
        <f t="shared" ca="1" si="552"/>
        <v>1</v>
      </c>
      <c r="AK23" s="220">
        <f t="shared" ca="1" si="553"/>
        <v>0</v>
      </c>
      <c r="AL23" s="220">
        <f t="shared" ca="1" si="37"/>
        <v>0</v>
      </c>
      <c r="AM23" s="235">
        <f t="shared" ca="1" si="554"/>
        <v>0</v>
      </c>
      <c r="AN23" s="235">
        <f t="shared" ca="1" si="555"/>
        <v>0</v>
      </c>
      <c r="AO23" s="242">
        <f t="shared" ca="1" si="556"/>
        <v>0</v>
      </c>
      <c r="AP23" s="241">
        <f t="shared" ca="1" si="552"/>
        <v>1</v>
      </c>
      <c r="AQ23" s="220">
        <f t="shared" ca="1" si="41"/>
        <v>0</v>
      </c>
      <c r="AR23" s="220">
        <f t="shared" ca="1" si="42"/>
        <v>0</v>
      </c>
      <c r="AS23" s="235">
        <f t="shared" ca="1" si="43"/>
        <v>0</v>
      </c>
      <c r="AT23" s="235">
        <f t="shared" ca="1" si="44"/>
        <v>0</v>
      </c>
      <c r="AU23" s="242">
        <f t="shared" ca="1" si="45"/>
        <v>0</v>
      </c>
      <c r="AV23" s="241">
        <f t="shared" ca="1" si="552"/>
        <v>1</v>
      </c>
      <c r="AW23" s="220">
        <f t="shared" ca="1" si="46"/>
        <v>0</v>
      </c>
      <c r="AX23" s="220">
        <f t="shared" ca="1" si="47"/>
        <v>0</v>
      </c>
      <c r="AY23" s="235">
        <f t="shared" ca="1" si="48"/>
        <v>0</v>
      </c>
      <c r="AZ23" s="235">
        <f t="shared" ca="1" si="49"/>
        <v>0</v>
      </c>
      <c r="BA23" s="242">
        <f t="shared" ca="1" si="50"/>
        <v>0</v>
      </c>
      <c r="BB23" s="241">
        <f t="shared" ca="1" si="552"/>
        <v>1</v>
      </c>
      <c r="BC23" s="220">
        <f t="shared" ca="1" si="52"/>
        <v>0</v>
      </c>
      <c r="BD23" s="220">
        <f t="shared" ca="1" si="53"/>
        <v>0</v>
      </c>
      <c r="BE23" s="235">
        <f t="shared" ca="1" si="54"/>
        <v>0</v>
      </c>
      <c r="BF23" s="235">
        <f t="shared" ca="1" si="55"/>
        <v>0</v>
      </c>
      <c r="BG23" s="242">
        <f t="shared" ca="1" si="56"/>
        <v>0</v>
      </c>
      <c r="BH23" s="241">
        <f t="shared" ca="1" si="552"/>
        <v>1</v>
      </c>
      <c r="BI23" s="220">
        <f t="shared" ca="1" si="57"/>
        <v>0</v>
      </c>
      <c r="BJ23" s="220">
        <f t="shared" ca="1" si="58"/>
        <v>0</v>
      </c>
      <c r="BK23" s="235">
        <f t="shared" ca="1" si="59"/>
        <v>0</v>
      </c>
      <c r="BL23" s="235">
        <f t="shared" ca="1" si="60"/>
        <v>0</v>
      </c>
      <c r="BM23" s="242">
        <f t="shared" ca="1" si="61"/>
        <v>0</v>
      </c>
      <c r="BN23" s="241">
        <f t="shared" ca="1" si="552"/>
        <v>1</v>
      </c>
      <c r="BO23" s="220">
        <f t="shared" ca="1" si="62"/>
        <v>0</v>
      </c>
      <c r="BP23" s="220">
        <f t="shared" ca="1" si="63"/>
        <v>0</v>
      </c>
      <c r="BQ23" s="235">
        <f t="shared" ca="1" si="64"/>
        <v>0</v>
      </c>
      <c r="BR23" s="235">
        <f t="shared" ca="1" si="65"/>
        <v>0</v>
      </c>
      <c r="BS23" s="242">
        <f t="shared" ca="1" si="66"/>
        <v>0</v>
      </c>
      <c r="BT23" s="241">
        <f t="shared" ca="1" si="552"/>
        <v>1</v>
      </c>
      <c r="BU23" s="220">
        <f t="shared" ca="1" si="67"/>
        <v>0</v>
      </c>
      <c r="BV23" s="220">
        <f t="shared" ca="1" si="68"/>
        <v>0</v>
      </c>
      <c r="BW23" s="235">
        <f t="shared" ca="1" si="69"/>
        <v>0</v>
      </c>
      <c r="BX23" s="235">
        <f t="shared" ca="1" si="70"/>
        <v>0</v>
      </c>
      <c r="BY23" s="242">
        <f t="shared" ca="1" si="71"/>
        <v>0</v>
      </c>
      <c r="BZ23" s="241">
        <f t="shared" ca="1" si="552"/>
        <v>1</v>
      </c>
      <c r="CA23" s="220">
        <f t="shared" ca="1" si="72"/>
        <v>0</v>
      </c>
      <c r="CB23" s="220">
        <f t="shared" ca="1" si="73"/>
        <v>0</v>
      </c>
      <c r="CC23" s="235">
        <f t="shared" ca="1" si="74"/>
        <v>0</v>
      </c>
      <c r="CD23" s="235">
        <f t="shared" ca="1" si="75"/>
        <v>0</v>
      </c>
      <c r="CE23" s="242">
        <f t="shared" ca="1" si="76"/>
        <v>0</v>
      </c>
      <c r="CF23" s="241">
        <f t="shared" ca="1" si="552"/>
        <v>1</v>
      </c>
      <c r="CG23" s="220">
        <f t="shared" ca="1" si="77"/>
        <v>0</v>
      </c>
      <c r="CH23" s="220">
        <f t="shared" ca="1" si="78"/>
        <v>0</v>
      </c>
      <c r="CI23" s="235">
        <f t="shared" ca="1" si="79"/>
        <v>0</v>
      </c>
      <c r="CJ23" s="235">
        <f t="shared" ca="1" si="80"/>
        <v>0</v>
      </c>
      <c r="CK23" s="242">
        <f t="shared" ca="1" si="81"/>
        <v>0</v>
      </c>
      <c r="CL23" s="241">
        <f t="shared" ca="1" si="552"/>
        <v>1</v>
      </c>
      <c r="CM23" s="220">
        <f t="shared" ca="1" si="82"/>
        <v>0</v>
      </c>
      <c r="CN23" s="220">
        <f t="shared" ca="1" si="83"/>
        <v>0</v>
      </c>
      <c r="CO23" s="235">
        <f t="shared" ca="1" si="84"/>
        <v>0</v>
      </c>
      <c r="CP23" s="235">
        <f t="shared" ca="1" si="85"/>
        <v>0</v>
      </c>
      <c r="CQ23" s="242">
        <f t="shared" ca="1" si="86"/>
        <v>0</v>
      </c>
      <c r="CR23" s="241">
        <f t="shared" ca="1" si="552"/>
        <v>1</v>
      </c>
      <c r="CS23" s="220">
        <f t="shared" ca="1" si="87"/>
        <v>0</v>
      </c>
      <c r="CT23" s="220">
        <f t="shared" ca="1" si="88"/>
        <v>0</v>
      </c>
      <c r="CU23" s="235">
        <f t="shared" ca="1" si="89"/>
        <v>0</v>
      </c>
      <c r="CV23" s="235">
        <f t="shared" ca="1" si="90"/>
        <v>0</v>
      </c>
      <c r="CW23" s="242">
        <f t="shared" ca="1" si="91"/>
        <v>0</v>
      </c>
      <c r="CX23" s="241">
        <f t="shared" ca="1" si="51"/>
        <v>1</v>
      </c>
      <c r="CY23" s="220">
        <f t="shared" ca="1" si="92"/>
        <v>0</v>
      </c>
      <c r="CZ23" s="220">
        <f t="shared" ca="1" si="93"/>
        <v>0</v>
      </c>
      <c r="DA23" s="235">
        <f t="shared" ca="1" si="94"/>
        <v>0</v>
      </c>
      <c r="DB23" s="235">
        <f t="shared" ca="1" si="95"/>
        <v>0</v>
      </c>
      <c r="DC23" s="242">
        <f t="shared" ca="1" si="96"/>
        <v>0</v>
      </c>
      <c r="DD23" s="241">
        <f t="shared" ca="1" si="51"/>
        <v>1</v>
      </c>
      <c r="DE23" s="220">
        <f t="shared" ca="1" si="97"/>
        <v>0</v>
      </c>
      <c r="DF23" s="220">
        <f t="shared" ca="1" si="98"/>
        <v>0</v>
      </c>
      <c r="DG23" s="235">
        <f t="shared" ca="1" si="99"/>
        <v>0</v>
      </c>
      <c r="DH23" s="235">
        <f t="shared" ca="1" si="100"/>
        <v>0</v>
      </c>
      <c r="DI23" s="242">
        <f t="shared" ca="1" si="101"/>
        <v>0</v>
      </c>
      <c r="DJ23" s="241">
        <f t="shared" ca="1" si="51"/>
        <v>1</v>
      </c>
      <c r="DK23" s="220">
        <f t="shared" ca="1" si="102"/>
        <v>0</v>
      </c>
      <c r="DL23" s="220">
        <f t="shared" ca="1" si="103"/>
        <v>0</v>
      </c>
      <c r="DM23" s="235">
        <f t="shared" ca="1" si="104"/>
        <v>0</v>
      </c>
      <c r="DN23" s="235">
        <f t="shared" ca="1" si="105"/>
        <v>0</v>
      </c>
      <c r="DO23" s="242">
        <f t="shared" ca="1" si="106"/>
        <v>0</v>
      </c>
      <c r="DP23" s="241">
        <f t="shared" ca="1" si="107"/>
        <v>1</v>
      </c>
      <c r="DQ23" s="220">
        <f t="shared" ca="1" si="108"/>
        <v>0</v>
      </c>
      <c r="DR23" s="220">
        <f t="shared" ca="1" si="109"/>
        <v>0</v>
      </c>
      <c r="DS23" s="235">
        <f t="shared" ca="1" si="110"/>
        <v>0</v>
      </c>
      <c r="DT23" s="235">
        <f t="shared" ca="1" si="111"/>
        <v>0</v>
      </c>
      <c r="DU23" s="242">
        <f t="shared" ca="1" si="112"/>
        <v>0</v>
      </c>
      <c r="DV23" s="241">
        <f t="shared" ca="1" si="107"/>
        <v>1</v>
      </c>
      <c r="DW23" s="220">
        <f t="shared" ca="1" si="113"/>
        <v>0</v>
      </c>
      <c r="DX23" s="220">
        <f t="shared" ca="1" si="114"/>
        <v>0</v>
      </c>
      <c r="DY23" s="235">
        <f t="shared" ca="1" si="115"/>
        <v>0</v>
      </c>
      <c r="DZ23" s="235">
        <f t="shared" ca="1" si="116"/>
        <v>0</v>
      </c>
      <c r="EA23" s="242">
        <f t="shared" ca="1" si="117"/>
        <v>0</v>
      </c>
      <c r="EB23" s="241">
        <f t="shared" ca="1" si="107"/>
        <v>1</v>
      </c>
      <c r="EC23" s="220">
        <f t="shared" ca="1" si="118"/>
        <v>0</v>
      </c>
      <c r="ED23" s="220">
        <f t="shared" ca="1" si="119"/>
        <v>0</v>
      </c>
      <c r="EE23" s="235">
        <f t="shared" ca="1" si="120"/>
        <v>0</v>
      </c>
      <c r="EF23" s="235">
        <f t="shared" ca="1" si="121"/>
        <v>0</v>
      </c>
      <c r="EG23" s="242">
        <f t="shared" ca="1" si="122"/>
        <v>0</v>
      </c>
      <c r="EH23" s="241">
        <f t="shared" ca="1" si="107"/>
        <v>1</v>
      </c>
      <c r="EI23" s="220">
        <f t="shared" ca="1" si="123"/>
        <v>0</v>
      </c>
      <c r="EJ23" s="220">
        <f t="shared" ca="1" si="124"/>
        <v>0</v>
      </c>
      <c r="EK23" s="235">
        <f t="shared" ca="1" si="125"/>
        <v>0</v>
      </c>
      <c r="EL23" s="235">
        <f t="shared" ca="1" si="126"/>
        <v>0</v>
      </c>
      <c r="EM23" s="242">
        <f t="shared" ca="1" si="127"/>
        <v>0</v>
      </c>
      <c r="EN23" s="241">
        <f t="shared" ca="1" si="107"/>
        <v>1</v>
      </c>
      <c r="EO23" s="220">
        <f t="shared" ca="1" si="128"/>
        <v>0</v>
      </c>
      <c r="EP23" s="220">
        <f t="shared" ca="1" si="129"/>
        <v>0</v>
      </c>
      <c r="EQ23" s="235">
        <f t="shared" ca="1" si="130"/>
        <v>0</v>
      </c>
      <c r="ER23" s="235">
        <f t="shared" ca="1" si="131"/>
        <v>0</v>
      </c>
      <c r="ES23" s="242">
        <f t="shared" ca="1" si="132"/>
        <v>0</v>
      </c>
      <c r="ET23" s="241">
        <f t="shared" ca="1" si="107"/>
        <v>1</v>
      </c>
      <c r="EU23" s="220">
        <f t="shared" ca="1" si="133"/>
        <v>0</v>
      </c>
      <c r="EV23" s="220">
        <f t="shared" ca="1" si="134"/>
        <v>0</v>
      </c>
      <c r="EW23" s="235">
        <f t="shared" ca="1" si="135"/>
        <v>0</v>
      </c>
      <c r="EX23" s="235">
        <f t="shared" ca="1" si="136"/>
        <v>0</v>
      </c>
      <c r="EY23" s="242">
        <f t="shared" ca="1" si="137"/>
        <v>0</v>
      </c>
      <c r="EZ23" s="241">
        <f t="shared" ca="1" si="107"/>
        <v>1</v>
      </c>
      <c r="FA23" s="220">
        <f t="shared" ca="1" si="138"/>
        <v>0</v>
      </c>
      <c r="FB23" s="220">
        <f t="shared" ca="1" si="139"/>
        <v>0</v>
      </c>
      <c r="FC23" s="235">
        <f t="shared" ca="1" si="140"/>
        <v>0</v>
      </c>
      <c r="FD23" s="235">
        <f t="shared" ca="1" si="141"/>
        <v>0</v>
      </c>
      <c r="FE23" s="242">
        <f t="shared" ca="1" si="142"/>
        <v>0</v>
      </c>
      <c r="FF23" s="241">
        <f t="shared" ca="1" si="107"/>
        <v>1</v>
      </c>
      <c r="FG23" s="220">
        <f t="shared" ca="1" si="143"/>
        <v>0</v>
      </c>
      <c r="FH23" s="220">
        <f t="shared" ca="1" si="144"/>
        <v>0</v>
      </c>
      <c r="FI23" s="235">
        <f t="shared" ca="1" si="145"/>
        <v>0</v>
      </c>
      <c r="FJ23" s="235">
        <f t="shared" ca="1" si="146"/>
        <v>0</v>
      </c>
      <c r="FK23" s="242">
        <f t="shared" ca="1" si="147"/>
        <v>0</v>
      </c>
      <c r="FL23" s="241">
        <f t="shared" ca="1" si="107"/>
        <v>1</v>
      </c>
      <c r="FM23" s="220">
        <f t="shared" ca="1" si="148"/>
        <v>0</v>
      </c>
      <c r="FN23" s="220">
        <f t="shared" ca="1" si="149"/>
        <v>0</v>
      </c>
      <c r="FO23" s="235">
        <f t="shared" ca="1" si="150"/>
        <v>0</v>
      </c>
      <c r="FP23" s="235">
        <f t="shared" ca="1" si="151"/>
        <v>0</v>
      </c>
      <c r="FQ23" s="242">
        <f t="shared" ca="1" si="152"/>
        <v>0</v>
      </c>
      <c r="FR23" s="241">
        <f t="shared" ca="1" si="107"/>
        <v>1</v>
      </c>
      <c r="FS23" s="220">
        <f t="shared" ca="1" si="153"/>
        <v>0</v>
      </c>
      <c r="FT23" s="220">
        <f t="shared" ca="1" si="154"/>
        <v>0</v>
      </c>
      <c r="FU23" s="235">
        <f t="shared" ca="1" si="155"/>
        <v>0</v>
      </c>
      <c r="FV23" s="235">
        <f t="shared" ca="1" si="156"/>
        <v>0</v>
      </c>
      <c r="FW23" s="242">
        <f t="shared" ca="1" si="157"/>
        <v>0</v>
      </c>
      <c r="FX23" s="241">
        <f t="shared" ca="1" si="107"/>
        <v>1</v>
      </c>
      <c r="FY23" s="220">
        <f t="shared" ca="1" si="158"/>
        <v>0</v>
      </c>
      <c r="FZ23" s="220">
        <f t="shared" ca="1" si="159"/>
        <v>0</v>
      </c>
      <c r="GA23" s="235">
        <f t="shared" ca="1" si="160"/>
        <v>0</v>
      </c>
      <c r="GB23" s="235">
        <f t="shared" ca="1" si="161"/>
        <v>0</v>
      </c>
      <c r="GC23" s="242">
        <f t="shared" ca="1" si="162"/>
        <v>0</v>
      </c>
      <c r="GD23" s="241">
        <f t="shared" ca="1" si="163"/>
        <v>1</v>
      </c>
      <c r="GE23" s="220">
        <f t="shared" ca="1" si="164"/>
        <v>0</v>
      </c>
      <c r="GF23" s="220">
        <f t="shared" ca="1" si="165"/>
        <v>0</v>
      </c>
      <c r="GG23" s="235">
        <f t="shared" ca="1" si="166"/>
        <v>0</v>
      </c>
      <c r="GH23" s="235">
        <f t="shared" ca="1" si="167"/>
        <v>0</v>
      </c>
      <c r="GI23" s="242">
        <f t="shared" ca="1" si="168"/>
        <v>0</v>
      </c>
      <c r="GJ23" s="241">
        <f t="shared" ca="1" si="163"/>
        <v>1</v>
      </c>
      <c r="GK23" s="220">
        <f t="shared" ca="1" si="169"/>
        <v>0</v>
      </c>
      <c r="GL23" s="220">
        <f t="shared" ca="1" si="170"/>
        <v>0</v>
      </c>
      <c r="GM23" s="235">
        <f t="shared" ca="1" si="171"/>
        <v>0</v>
      </c>
      <c r="GN23" s="235">
        <f t="shared" ca="1" si="172"/>
        <v>0</v>
      </c>
      <c r="GO23" s="242">
        <f t="shared" ca="1" si="173"/>
        <v>0</v>
      </c>
      <c r="GP23" s="241">
        <f t="shared" ca="1" si="163"/>
        <v>1</v>
      </c>
      <c r="GQ23" s="220">
        <f t="shared" ca="1" si="174"/>
        <v>0</v>
      </c>
      <c r="GR23" s="220">
        <f t="shared" ca="1" si="175"/>
        <v>0</v>
      </c>
      <c r="GS23" s="235">
        <f t="shared" ca="1" si="176"/>
        <v>0</v>
      </c>
      <c r="GT23" s="235">
        <f t="shared" ca="1" si="177"/>
        <v>0</v>
      </c>
      <c r="GU23" s="242">
        <f t="shared" ca="1" si="178"/>
        <v>0</v>
      </c>
      <c r="GV23" s="241">
        <f t="shared" ca="1" si="163"/>
        <v>1</v>
      </c>
      <c r="GW23" s="220">
        <f t="shared" ca="1" si="179"/>
        <v>0</v>
      </c>
      <c r="GX23" s="220">
        <f t="shared" ca="1" si="180"/>
        <v>0</v>
      </c>
      <c r="GY23" s="235">
        <f t="shared" ca="1" si="181"/>
        <v>0</v>
      </c>
      <c r="GZ23" s="235">
        <f t="shared" ca="1" si="182"/>
        <v>0</v>
      </c>
      <c r="HA23" s="242">
        <f t="shared" ca="1" si="183"/>
        <v>0</v>
      </c>
      <c r="HB23" s="241">
        <f t="shared" ca="1" si="163"/>
        <v>1</v>
      </c>
      <c r="HC23" s="220">
        <f t="shared" ca="1" si="184"/>
        <v>0</v>
      </c>
      <c r="HD23" s="220">
        <f t="shared" ca="1" si="185"/>
        <v>0</v>
      </c>
      <c r="HE23" s="235">
        <f t="shared" ca="1" si="186"/>
        <v>0</v>
      </c>
      <c r="HF23" s="235">
        <f t="shared" ca="1" si="187"/>
        <v>0</v>
      </c>
      <c r="HG23" s="242">
        <f t="shared" ca="1" si="188"/>
        <v>0</v>
      </c>
      <c r="HH23" s="241">
        <f t="shared" ca="1" si="163"/>
        <v>1</v>
      </c>
      <c r="HI23" s="220">
        <f t="shared" ca="1" si="189"/>
        <v>0</v>
      </c>
      <c r="HJ23" s="220">
        <f t="shared" ca="1" si="190"/>
        <v>0</v>
      </c>
      <c r="HK23" s="235">
        <f t="shared" ca="1" si="191"/>
        <v>0</v>
      </c>
      <c r="HL23" s="235">
        <f t="shared" ca="1" si="192"/>
        <v>0</v>
      </c>
      <c r="HM23" s="242">
        <f t="shared" ca="1" si="193"/>
        <v>0</v>
      </c>
      <c r="HN23" s="241">
        <f t="shared" ca="1" si="163"/>
        <v>1</v>
      </c>
      <c r="HO23" s="220">
        <f t="shared" ca="1" si="194"/>
        <v>0</v>
      </c>
      <c r="HP23" s="220">
        <f t="shared" ca="1" si="195"/>
        <v>0</v>
      </c>
      <c r="HQ23" s="235">
        <f t="shared" ca="1" si="196"/>
        <v>0</v>
      </c>
      <c r="HR23" s="235">
        <f t="shared" ca="1" si="197"/>
        <v>0</v>
      </c>
      <c r="HS23" s="242">
        <f t="shared" ca="1" si="198"/>
        <v>0</v>
      </c>
      <c r="HT23" s="241">
        <f t="shared" ca="1" si="163"/>
        <v>1</v>
      </c>
      <c r="HU23" s="220">
        <f t="shared" ca="1" si="199"/>
        <v>0</v>
      </c>
      <c r="HV23" s="220">
        <f t="shared" ca="1" si="200"/>
        <v>0</v>
      </c>
      <c r="HW23" s="235">
        <f t="shared" ca="1" si="201"/>
        <v>0</v>
      </c>
      <c r="HX23" s="235">
        <f t="shared" ca="1" si="202"/>
        <v>0</v>
      </c>
      <c r="HY23" s="242">
        <f t="shared" ca="1" si="203"/>
        <v>0</v>
      </c>
      <c r="HZ23" s="241">
        <f t="shared" ca="1" si="163"/>
        <v>1</v>
      </c>
      <c r="IA23" s="220">
        <f t="shared" ca="1" si="204"/>
        <v>0</v>
      </c>
      <c r="IB23" s="220">
        <f t="shared" ca="1" si="205"/>
        <v>0</v>
      </c>
      <c r="IC23" s="235">
        <f t="shared" ca="1" si="206"/>
        <v>0</v>
      </c>
      <c r="ID23" s="235">
        <f t="shared" ca="1" si="207"/>
        <v>0</v>
      </c>
      <c r="IE23" s="242">
        <f t="shared" ca="1" si="208"/>
        <v>0</v>
      </c>
      <c r="IF23" s="241">
        <f t="shared" ca="1" si="163"/>
        <v>1</v>
      </c>
      <c r="IG23" s="220">
        <f t="shared" ca="1" si="209"/>
        <v>0</v>
      </c>
      <c r="IH23" s="220">
        <f t="shared" ca="1" si="210"/>
        <v>0</v>
      </c>
      <c r="II23" s="235">
        <f t="shared" ca="1" si="211"/>
        <v>0</v>
      </c>
      <c r="IJ23" s="235">
        <f t="shared" ca="1" si="212"/>
        <v>0</v>
      </c>
      <c r="IK23" s="242">
        <f t="shared" ca="1" si="213"/>
        <v>0</v>
      </c>
      <c r="IL23" s="241">
        <f t="shared" ca="1" si="163"/>
        <v>1</v>
      </c>
      <c r="IM23" s="220">
        <f t="shared" ca="1" si="214"/>
        <v>0</v>
      </c>
      <c r="IN23" s="220">
        <f t="shared" ca="1" si="215"/>
        <v>0</v>
      </c>
      <c r="IO23" s="235">
        <f t="shared" ca="1" si="216"/>
        <v>0</v>
      </c>
      <c r="IP23" s="235">
        <f t="shared" ca="1" si="217"/>
        <v>0</v>
      </c>
      <c r="IQ23" s="242">
        <f t="shared" ca="1" si="218"/>
        <v>0</v>
      </c>
      <c r="IR23" s="241">
        <f t="shared" ca="1" si="219"/>
        <v>1</v>
      </c>
      <c r="IS23" s="220">
        <f t="shared" ca="1" si="220"/>
        <v>0</v>
      </c>
      <c r="IT23" s="220">
        <f t="shared" ca="1" si="221"/>
        <v>0</v>
      </c>
      <c r="IU23" s="235">
        <f t="shared" ca="1" si="222"/>
        <v>0</v>
      </c>
      <c r="IV23" s="235">
        <f t="shared" ca="1" si="223"/>
        <v>0</v>
      </c>
      <c r="IW23" s="242">
        <f t="shared" ca="1" si="224"/>
        <v>0</v>
      </c>
      <c r="IX23" s="241">
        <f t="shared" ca="1" si="219"/>
        <v>1</v>
      </c>
      <c r="IY23" s="220">
        <f t="shared" ca="1" si="225"/>
        <v>0</v>
      </c>
      <c r="IZ23" s="220">
        <f t="shared" ca="1" si="226"/>
        <v>0</v>
      </c>
      <c r="JA23" s="235">
        <f t="shared" ca="1" si="227"/>
        <v>0</v>
      </c>
      <c r="JB23" s="235">
        <f t="shared" ca="1" si="228"/>
        <v>0</v>
      </c>
      <c r="JC23" s="242">
        <f t="shared" ca="1" si="229"/>
        <v>0</v>
      </c>
      <c r="JD23" s="241">
        <f t="shared" ca="1" si="219"/>
        <v>1</v>
      </c>
      <c r="JE23" s="220">
        <f t="shared" ca="1" si="230"/>
        <v>0</v>
      </c>
      <c r="JF23" s="220">
        <f t="shared" ca="1" si="231"/>
        <v>0</v>
      </c>
      <c r="JG23" s="235">
        <f t="shared" ca="1" si="232"/>
        <v>0</v>
      </c>
      <c r="JH23" s="235">
        <f t="shared" ca="1" si="233"/>
        <v>0</v>
      </c>
      <c r="JI23" s="242">
        <f t="shared" ca="1" si="234"/>
        <v>0</v>
      </c>
      <c r="JJ23" s="241">
        <f t="shared" ca="1" si="219"/>
        <v>1</v>
      </c>
      <c r="JK23" s="220">
        <f t="shared" ca="1" si="235"/>
        <v>0</v>
      </c>
      <c r="JL23" s="220">
        <f t="shared" ca="1" si="236"/>
        <v>0</v>
      </c>
      <c r="JM23" s="235">
        <f t="shared" ca="1" si="237"/>
        <v>0</v>
      </c>
      <c r="JN23" s="235">
        <f t="shared" ca="1" si="238"/>
        <v>0</v>
      </c>
      <c r="JO23" s="242">
        <f t="shared" ca="1" si="239"/>
        <v>0</v>
      </c>
      <c r="JP23" s="241">
        <f t="shared" ca="1" si="219"/>
        <v>1</v>
      </c>
      <c r="JQ23" s="220">
        <f t="shared" ca="1" si="240"/>
        <v>0</v>
      </c>
      <c r="JR23" s="220">
        <f t="shared" ca="1" si="241"/>
        <v>0</v>
      </c>
      <c r="JS23" s="235">
        <f t="shared" ca="1" si="242"/>
        <v>0</v>
      </c>
      <c r="JT23" s="235">
        <f t="shared" ca="1" si="243"/>
        <v>0</v>
      </c>
      <c r="JU23" s="242">
        <f t="shared" ca="1" si="244"/>
        <v>0</v>
      </c>
      <c r="JV23" s="241">
        <f t="shared" ca="1" si="219"/>
        <v>1</v>
      </c>
      <c r="JW23" s="220">
        <f t="shared" ca="1" si="245"/>
        <v>0</v>
      </c>
      <c r="JX23" s="220">
        <f t="shared" ca="1" si="246"/>
        <v>0</v>
      </c>
      <c r="JY23" s="235">
        <f t="shared" ca="1" si="247"/>
        <v>0</v>
      </c>
      <c r="JZ23" s="235">
        <f t="shared" ca="1" si="248"/>
        <v>0</v>
      </c>
      <c r="KA23" s="242">
        <f t="shared" ca="1" si="249"/>
        <v>0</v>
      </c>
      <c r="KB23" s="241">
        <f t="shared" ca="1" si="219"/>
        <v>1</v>
      </c>
      <c r="KC23" s="220">
        <f t="shared" ca="1" si="250"/>
        <v>0</v>
      </c>
      <c r="KD23" s="220">
        <f t="shared" ca="1" si="251"/>
        <v>0</v>
      </c>
      <c r="KE23" s="235">
        <f t="shared" ca="1" si="252"/>
        <v>0</v>
      </c>
      <c r="KF23" s="235">
        <f t="shared" ca="1" si="253"/>
        <v>0</v>
      </c>
      <c r="KG23" s="242">
        <f t="shared" ca="1" si="254"/>
        <v>0</v>
      </c>
      <c r="KH23" s="241">
        <f t="shared" ca="1" si="219"/>
        <v>1</v>
      </c>
      <c r="KI23" s="220">
        <f t="shared" ca="1" si="255"/>
        <v>0</v>
      </c>
      <c r="KJ23" s="220">
        <f t="shared" ca="1" si="256"/>
        <v>0</v>
      </c>
      <c r="KK23" s="235">
        <f t="shared" ca="1" si="257"/>
        <v>0</v>
      </c>
      <c r="KL23" s="235">
        <f t="shared" ca="1" si="258"/>
        <v>0</v>
      </c>
      <c r="KM23" s="242">
        <f t="shared" ca="1" si="259"/>
        <v>0</v>
      </c>
      <c r="KN23" s="241">
        <f t="shared" ca="1" si="219"/>
        <v>1</v>
      </c>
      <c r="KO23" s="220">
        <f t="shared" ca="1" si="260"/>
        <v>0</v>
      </c>
      <c r="KP23" s="220">
        <f t="shared" ca="1" si="261"/>
        <v>0</v>
      </c>
      <c r="KQ23" s="235">
        <f t="shared" ca="1" si="262"/>
        <v>0</v>
      </c>
      <c r="KR23" s="235">
        <f t="shared" ca="1" si="263"/>
        <v>0</v>
      </c>
      <c r="KS23" s="242">
        <f t="shared" ca="1" si="264"/>
        <v>0</v>
      </c>
      <c r="KT23" s="241">
        <f t="shared" ca="1" si="219"/>
        <v>1</v>
      </c>
      <c r="KU23" s="220">
        <f t="shared" ca="1" si="265"/>
        <v>0</v>
      </c>
      <c r="KV23" s="220">
        <f t="shared" ca="1" si="266"/>
        <v>0</v>
      </c>
      <c r="KW23" s="235">
        <f t="shared" ca="1" si="267"/>
        <v>0</v>
      </c>
      <c r="KX23" s="235">
        <f t="shared" ca="1" si="268"/>
        <v>0</v>
      </c>
      <c r="KY23" s="242">
        <f t="shared" ca="1" si="269"/>
        <v>0</v>
      </c>
      <c r="KZ23" s="241">
        <f t="shared" ca="1" si="219"/>
        <v>1</v>
      </c>
      <c r="LA23" s="220">
        <f t="shared" ca="1" si="270"/>
        <v>0</v>
      </c>
      <c r="LB23" s="220">
        <f t="shared" ca="1" si="271"/>
        <v>0</v>
      </c>
      <c r="LC23" s="235">
        <f t="shared" ca="1" si="272"/>
        <v>0</v>
      </c>
      <c r="LD23" s="235">
        <f t="shared" ca="1" si="273"/>
        <v>0</v>
      </c>
      <c r="LE23" s="242">
        <f t="shared" ca="1" si="274"/>
        <v>0</v>
      </c>
      <c r="LF23" s="241">
        <f t="shared" ca="1" si="275"/>
        <v>1</v>
      </c>
      <c r="LG23" s="220">
        <f t="shared" ca="1" si="276"/>
        <v>0</v>
      </c>
      <c r="LH23" s="220">
        <f t="shared" ca="1" si="277"/>
        <v>0</v>
      </c>
      <c r="LI23" s="235">
        <f t="shared" ca="1" si="278"/>
        <v>0</v>
      </c>
      <c r="LJ23" s="235">
        <f t="shared" ca="1" si="279"/>
        <v>0</v>
      </c>
      <c r="LK23" s="242">
        <f t="shared" ca="1" si="280"/>
        <v>0</v>
      </c>
      <c r="LL23" s="241">
        <f t="shared" ca="1" si="275"/>
        <v>1</v>
      </c>
      <c r="LM23" s="220">
        <f t="shared" ca="1" si="281"/>
        <v>0</v>
      </c>
      <c r="LN23" s="220">
        <f t="shared" ca="1" si="282"/>
        <v>0</v>
      </c>
      <c r="LO23" s="235">
        <f t="shared" ca="1" si="283"/>
        <v>0</v>
      </c>
      <c r="LP23" s="235">
        <f t="shared" ca="1" si="284"/>
        <v>0</v>
      </c>
      <c r="LQ23" s="242">
        <f t="shared" ca="1" si="285"/>
        <v>0</v>
      </c>
      <c r="LR23" s="241">
        <f t="shared" ca="1" si="275"/>
        <v>1</v>
      </c>
      <c r="LS23" s="220">
        <f t="shared" ca="1" si="286"/>
        <v>0</v>
      </c>
      <c r="LT23" s="220">
        <f t="shared" ca="1" si="287"/>
        <v>0</v>
      </c>
      <c r="LU23" s="235">
        <f t="shared" ca="1" si="288"/>
        <v>0</v>
      </c>
      <c r="LV23" s="235">
        <f t="shared" ca="1" si="289"/>
        <v>0</v>
      </c>
      <c r="LW23" s="242">
        <f t="shared" ca="1" si="290"/>
        <v>0</v>
      </c>
      <c r="LX23" s="241">
        <f t="shared" ca="1" si="275"/>
        <v>1</v>
      </c>
      <c r="LY23" s="220">
        <f t="shared" ca="1" si="291"/>
        <v>0</v>
      </c>
      <c r="LZ23" s="220">
        <f t="shared" ca="1" si="292"/>
        <v>0</v>
      </c>
      <c r="MA23" s="235">
        <f t="shared" ca="1" si="293"/>
        <v>0</v>
      </c>
      <c r="MB23" s="235">
        <f t="shared" ca="1" si="294"/>
        <v>0</v>
      </c>
      <c r="MC23" s="242">
        <f t="shared" ca="1" si="295"/>
        <v>0</v>
      </c>
      <c r="MD23" s="241">
        <f t="shared" ca="1" si="275"/>
        <v>1</v>
      </c>
      <c r="ME23" s="220">
        <f t="shared" ca="1" si="296"/>
        <v>0</v>
      </c>
      <c r="MF23" s="220">
        <f t="shared" ca="1" si="297"/>
        <v>0</v>
      </c>
      <c r="MG23" s="235">
        <f t="shared" ca="1" si="298"/>
        <v>0</v>
      </c>
      <c r="MH23" s="235">
        <f t="shared" ca="1" si="299"/>
        <v>0</v>
      </c>
      <c r="MI23" s="242">
        <f t="shared" ca="1" si="300"/>
        <v>0</v>
      </c>
      <c r="MJ23" s="241">
        <f t="shared" ca="1" si="275"/>
        <v>1</v>
      </c>
      <c r="MK23" s="220">
        <f t="shared" ca="1" si="301"/>
        <v>0</v>
      </c>
      <c r="ML23" s="220">
        <f t="shared" ca="1" si="302"/>
        <v>0</v>
      </c>
      <c r="MM23" s="235">
        <f t="shared" ca="1" si="303"/>
        <v>0</v>
      </c>
      <c r="MN23" s="235">
        <f t="shared" ca="1" si="304"/>
        <v>0</v>
      </c>
      <c r="MO23" s="242">
        <f t="shared" ca="1" si="305"/>
        <v>0</v>
      </c>
      <c r="MP23" s="241">
        <f t="shared" ca="1" si="275"/>
        <v>1</v>
      </c>
      <c r="MQ23" s="220">
        <f t="shared" ca="1" si="306"/>
        <v>0</v>
      </c>
      <c r="MR23" s="220">
        <f t="shared" ca="1" si="307"/>
        <v>0</v>
      </c>
      <c r="MS23" s="235">
        <f t="shared" ca="1" si="308"/>
        <v>0</v>
      </c>
      <c r="MT23" s="235">
        <f t="shared" ca="1" si="309"/>
        <v>0</v>
      </c>
      <c r="MU23" s="242">
        <f t="shared" ca="1" si="310"/>
        <v>0</v>
      </c>
      <c r="MV23" s="241">
        <f t="shared" ca="1" si="275"/>
        <v>1</v>
      </c>
      <c r="MW23" s="220">
        <f t="shared" ca="1" si="311"/>
        <v>0</v>
      </c>
      <c r="MX23" s="220">
        <f t="shared" ca="1" si="312"/>
        <v>0</v>
      </c>
      <c r="MY23" s="235">
        <f t="shared" ca="1" si="313"/>
        <v>0</v>
      </c>
      <c r="MZ23" s="235">
        <f t="shared" ca="1" si="314"/>
        <v>0</v>
      </c>
      <c r="NA23" s="242">
        <f t="shared" ca="1" si="315"/>
        <v>0</v>
      </c>
      <c r="NB23" s="241">
        <f t="shared" ca="1" si="275"/>
        <v>1</v>
      </c>
      <c r="NC23" s="220">
        <f t="shared" ca="1" si="316"/>
        <v>0</v>
      </c>
      <c r="ND23" s="220">
        <f t="shared" ca="1" si="317"/>
        <v>0</v>
      </c>
      <c r="NE23" s="235">
        <f t="shared" ca="1" si="318"/>
        <v>0</v>
      </c>
      <c r="NF23" s="235">
        <f t="shared" ca="1" si="319"/>
        <v>0</v>
      </c>
      <c r="NG23" s="242">
        <f t="shared" ca="1" si="320"/>
        <v>0</v>
      </c>
      <c r="NH23" s="241">
        <f t="shared" ca="1" si="275"/>
        <v>1</v>
      </c>
      <c r="NI23" s="220">
        <f t="shared" ca="1" si="321"/>
        <v>0</v>
      </c>
      <c r="NJ23" s="220">
        <f t="shared" ca="1" si="322"/>
        <v>0</v>
      </c>
      <c r="NK23" s="235">
        <f t="shared" ca="1" si="323"/>
        <v>0</v>
      </c>
      <c r="NL23" s="235">
        <f t="shared" ca="1" si="324"/>
        <v>0</v>
      </c>
      <c r="NM23" s="242">
        <f t="shared" ca="1" si="325"/>
        <v>0</v>
      </c>
      <c r="NN23" s="241">
        <f t="shared" ca="1" si="275"/>
        <v>1</v>
      </c>
      <c r="NO23" s="220">
        <f t="shared" ca="1" si="326"/>
        <v>0</v>
      </c>
      <c r="NP23" s="220">
        <f t="shared" ca="1" si="327"/>
        <v>0</v>
      </c>
      <c r="NQ23" s="235">
        <f t="shared" ca="1" si="328"/>
        <v>0</v>
      </c>
      <c r="NR23" s="235">
        <f t="shared" ca="1" si="329"/>
        <v>0</v>
      </c>
      <c r="NS23" s="242">
        <f t="shared" ca="1" si="330"/>
        <v>0</v>
      </c>
      <c r="NT23" s="241">
        <f t="shared" ca="1" si="331"/>
        <v>1</v>
      </c>
      <c r="NU23" s="220">
        <f t="shared" ca="1" si="332"/>
        <v>0</v>
      </c>
      <c r="NV23" s="220">
        <f t="shared" ca="1" si="333"/>
        <v>0</v>
      </c>
      <c r="NW23" s="235">
        <f t="shared" ca="1" si="334"/>
        <v>0</v>
      </c>
      <c r="NX23" s="235">
        <f t="shared" ca="1" si="335"/>
        <v>0</v>
      </c>
      <c r="NY23" s="242">
        <f t="shared" ca="1" si="336"/>
        <v>0</v>
      </c>
      <c r="NZ23" s="241">
        <f t="shared" ca="1" si="331"/>
        <v>1</v>
      </c>
      <c r="OA23" s="220">
        <f t="shared" ca="1" si="337"/>
        <v>0</v>
      </c>
      <c r="OB23" s="220">
        <f t="shared" ca="1" si="338"/>
        <v>0</v>
      </c>
      <c r="OC23" s="235">
        <f t="shared" ca="1" si="339"/>
        <v>0</v>
      </c>
      <c r="OD23" s="235">
        <f t="shared" ca="1" si="340"/>
        <v>0</v>
      </c>
      <c r="OE23" s="242">
        <f t="shared" ca="1" si="341"/>
        <v>0</v>
      </c>
      <c r="OF23" s="241">
        <f t="shared" ca="1" si="331"/>
        <v>1</v>
      </c>
      <c r="OG23" s="220">
        <f t="shared" ca="1" si="342"/>
        <v>0</v>
      </c>
      <c r="OH23" s="220">
        <f t="shared" ca="1" si="343"/>
        <v>0</v>
      </c>
      <c r="OI23" s="235">
        <f t="shared" ca="1" si="344"/>
        <v>0</v>
      </c>
      <c r="OJ23" s="235">
        <f t="shared" ca="1" si="345"/>
        <v>0</v>
      </c>
      <c r="OK23" s="242">
        <f t="shared" ca="1" si="346"/>
        <v>0</v>
      </c>
      <c r="OL23" s="241">
        <f t="shared" ca="1" si="331"/>
        <v>1</v>
      </c>
      <c r="OM23" s="220">
        <f t="shared" ca="1" si="347"/>
        <v>0</v>
      </c>
      <c r="ON23" s="220">
        <f t="shared" ca="1" si="348"/>
        <v>0</v>
      </c>
      <c r="OO23" s="235">
        <f t="shared" ca="1" si="349"/>
        <v>0</v>
      </c>
      <c r="OP23" s="235">
        <f t="shared" ca="1" si="350"/>
        <v>0</v>
      </c>
      <c r="OQ23" s="242">
        <f t="shared" ca="1" si="351"/>
        <v>0</v>
      </c>
      <c r="OR23" s="241">
        <f t="shared" ca="1" si="331"/>
        <v>1</v>
      </c>
      <c r="OS23" s="220">
        <f t="shared" ca="1" si="352"/>
        <v>0</v>
      </c>
      <c r="OT23" s="220">
        <f t="shared" ca="1" si="353"/>
        <v>0</v>
      </c>
      <c r="OU23" s="235">
        <f t="shared" ca="1" si="354"/>
        <v>0</v>
      </c>
      <c r="OV23" s="235">
        <f t="shared" ca="1" si="355"/>
        <v>0</v>
      </c>
      <c r="OW23" s="242">
        <f t="shared" ca="1" si="356"/>
        <v>0</v>
      </c>
      <c r="OX23" s="241">
        <f t="shared" ca="1" si="331"/>
        <v>1</v>
      </c>
      <c r="OY23" s="220">
        <f t="shared" ca="1" si="357"/>
        <v>0</v>
      </c>
      <c r="OZ23" s="220">
        <f t="shared" ca="1" si="358"/>
        <v>0</v>
      </c>
      <c r="PA23" s="235">
        <f t="shared" ca="1" si="359"/>
        <v>0</v>
      </c>
      <c r="PB23" s="235">
        <f t="shared" ca="1" si="360"/>
        <v>0</v>
      </c>
      <c r="PC23" s="242">
        <f t="shared" ca="1" si="361"/>
        <v>0</v>
      </c>
      <c r="PD23" s="241">
        <f t="shared" ca="1" si="331"/>
        <v>1</v>
      </c>
      <c r="PE23" s="220">
        <f t="shared" ca="1" si="362"/>
        <v>0</v>
      </c>
      <c r="PF23" s="220">
        <f t="shared" ca="1" si="363"/>
        <v>0</v>
      </c>
      <c r="PG23" s="235">
        <f t="shared" ca="1" si="364"/>
        <v>0</v>
      </c>
      <c r="PH23" s="235">
        <f t="shared" ca="1" si="365"/>
        <v>0</v>
      </c>
      <c r="PI23" s="242">
        <f t="shared" ca="1" si="366"/>
        <v>0</v>
      </c>
      <c r="PJ23" s="241">
        <f t="shared" ca="1" si="331"/>
        <v>1</v>
      </c>
      <c r="PK23" s="220">
        <f t="shared" ca="1" si="367"/>
        <v>0</v>
      </c>
      <c r="PL23" s="220">
        <f t="shared" ca="1" si="368"/>
        <v>0</v>
      </c>
      <c r="PM23" s="235">
        <f t="shared" ca="1" si="369"/>
        <v>0</v>
      </c>
      <c r="PN23" s="235">
        <f t="shared" ca="1" si="370"/>
        <v>0</v>
      </c>
      <c r="PO23" s="242">
        <f t="shared" ca="1" si="371"/>
        <v>0</v>
      </c>
      <c r="PP23" s="241">
        <f t="shared" ca="1" si="331"/>
        <v>1</v>
      </c>
      <c r="PQ23" s="220">
        <f t="shared" ca="1" si="372"/>
        <v>0</v>
      </c>
      <c r="PR23" s="220">
        <f t="shared" ca="1" si="373"/>
        <v>0</v>
      </c>
      <c r="PS23" s="235">
        <f t="shared" ca="1" si="374"/>
        <v>0</v>
      </c>
      <c r="PT23" s="235">
        <f t="shared" ca="1" si="375"/>
        <v>0</v>
      </c>
      <c r="PU23" s="242">
        <f t="shared" ca="1" si="376"/>
        <v>0</v>
      </c>
      <c r="PV23" s="241">
        <f t="shared" ca="1" si="331"/>
        <v>1</v>
      </c>
      <c r="PW23" s="220">
        <f t="shared" ca="1" si="377"/>
        <v>0</v>
      </c>
      <c r="PX23" s="220">
        <f t="shared" ca="1" si="378"/>
        <v>0</v>
      </c>
      <c r="PY23" s="235">
        <f t="shared" ca="1" si="379"/>
        <v>0</v>
      </c>
      <c r="PZ23" s="235">
        <f t="shared" ca="1" si="380"/>
        <v>0</v>
      </c>
      <c r="QA23" s="242">
        <f t="shared" ca="1" si="381"/>
        <v>0</v>
      </c>
      <c r="QB23" s="241">
        <f t="shared" ca="1" si="331"/>
        <v>1</v>
      </c>
      <c r="QC23" s="220">
        <f t="shared" ca="1" si="382"/>
        <v>0</v>
      </c>
      <c r="QD23" s="220">
        <f t="shared" ca="1" si="383"/>
        <v>0</v>
      </c>
      <c r="QE23" s="235">
        <f t="shared" ca="1" si="384"/>
        <v>0</v>
      </c>
      <c r="QF23" s="235">
        <f t="shared" ca="1" si="385"/>
        <v>0</v>
      </c>
      <c r="QG23" s="242">
        <f t="shared" ca="1" si="386"/>
        <v>0</v>
      </c>
      <c r="QH23" s="241">
        <f t="shared" ca="1" si="387"/>
        <v>1</v>
      </c>
      <c r="QI23" s="220">
        <f t="shared" ca="1" si="388"/>
        <v>0</v>
      </c>
      <c r="QJ23" s="220">
        <f t="shared" ca="1" si="389"/>
        <v>0</v>
      </c>
      <c r="QK23" s="235">
        <f t="shared" ca="1" si="390"/>
        <v>0</v>
      </c>
      <c r="QL23" s="235">
        <f t="shared" ca="1" si="391"/>
        <v>0</v>
      </c>
      <c r="QM23" s="242">
        <f t="shared" ca="1" si="392"/>
        <v>0</v>
      </c>
      <c r="QN23" s="241">
        <f t="shared" ca="1" si="387"/>
        <v>1</v>
      </c>
      <c r="QO23" s="220">
        <f t="shared" ca="1" si="393"/>
        <v>0</v>
      </c>
      <c r="QP23" s="220">
        <f t="shared" ca="1" si="394"/>
        <v>0</v>
      </c>
      <c r="QQ23" s="235">
        <f t="shared" ca="1" si="395"/>
        <v>0</v>
      </c>
      <c r="QR23" s="235">
        <f t="shared" ca="1" si="396"/>
        <v>0</v>
      </c>
      <c r="QS23" s="242">
        <f t="shared" ca="1" si="397"/>
        <v>0</v>
      </c>
      <c r="QT23" s="241">
        <f t="shared" ca="1" si="387"/>
        <v>1</v>
      </c>
      <c r="QU23" s="220">
        <f t="shared" ca="1" si="398"/>
        <v>0</v>
      </c>
      <c r="QV23" s="220">
        <f t="shared" ca="1" si="399"/>
        <v>0</v>
      </c>
      <c r="QW23" s="235">
        <f t="shared" ca="1" si="400"/>
        <v>0</v>
      </c>
      <c r="QX23" s="235">
        <f t="shared" ca="1" si="401"/>
        <v>0</v>
      </c>
      <c r="QY23" s="242">
        <f t="shared" ca="1" si="402"/>
        <v>0</v>
      </c>
      <c r="QZ23" s="241">
        <f t="shared" ca="1" si="387"/>
        <v>1</v>
      </c>
      <c r="RA23" s="220">
        <f t="shared" ca="1" si="403"/>
        <v>0</v>
      </c>
      <c r="RB23" s="220">
        <f t="shared" ca="1" si="404"/>
        <v>0</v>
      </c>
      <c r="RC23" s="235">
        <f t="shared" ca="1" si="405"/>
        <v>0</v>
      </c>
      <c r="RD23" s="235">
        <f t="shared" ca="1" si="406"/>
        <v>0</v>
      </c>
      <c r="RE23" s="242">
        <f t="shared" ca="1" si="407"/>
        <v>0</v>
      </c>
      <c r="RF23" s="241">
        <f t="shared" ca="1" si="387"/>
        <v>1</v>
      </c>
      <c r="RG23" s="220">
        <f t="shared" ca="1" si="408"/>
        <v>0</v>
      </c>
      <c r="RH23" s="220">
        <f t="shared" ca="1" si="409"/>
        <v>0</v>
      </c>
      <c r="RI23" s="235">
        <f t="shared" ca="1" si="410"/>
        <v>0</v>
      </c>
      <c r="RJ23" s="235">
        <f t="shared" ca="1" si="411"/>
        <v>0</v>
      </c>
      <c r="RK23" s="242">
        <f t="shared" ca="1" si="412"/>
        <v>0</v>
      </c>
      <c r="RL23" s="241">
        <f t="shared" ca="1" si="387"/>
        <v>1</v>
      </c>
      <c r="RM23" s="220">
        <f t="shared" ca="1" si="413"/>
        <v>0</v>
      </c>
      <c r="RN23" s="220">
        <f t="shared" ca="1" si="414"/>
        <v>0</v>
      </c>
      <c r="RO23" s="235">
        <f t="shared" ca="1" si="415"/>
        <v>0</v>
      </c>
      <c r="RP23" s="235">
        <f t="shared" ca="1" si="416"/>
        <v>0</v>
      </c>
      <c r="RQ23" s="242">
        <f t="shared" ca="1" si="417"/>
        <v>0</v>
      </c>
      <c r="RR23" s="241">
        <f t="shared" ca="1" si="387"/>
        <v>1</v>
      </c>
      <c r="RS23" s="220">
        <f t="shared" ca="1" si="418"/>
        <v>0</v>
      </c>
      <c r="RT23" s="220">
        <f t="shared" ca="1" si="419"/>
        <v>0</v>
      </c>
      <c r="RU23" s="235">
        <f t="shared" ca="1" si="420"/>
        <v>0</v>
      </c>
      <c r="RV23" s="235">
        <f t="shared" ca="1" si="421"/>
        <v>0</v>
      </c>
      <c r="RW23" s="242">
        <f t="shared" ca="1" si="422"/>
        <v>0</v>
      </c>
      <c r="RX23" s="241">
        <f t="shared" ca="1" si="387"/>
        <v>1</v>
      </c>
      <c r="RY23" s="220">
        <f t="shared" ca="1" si="423"/>
        <v>0</v>
      </c>
      <c r="RZ23" s="220">
        <f t="shared" ca="1" si="424"/>
        <v>0</v>
      </c>
      <c r="SA23" s="235">
        <f t="shared" ca="1" si="425"/>
        <v>0</v>
      </c>
      <c r="SB23" s="235">
        <f t="shared" ca="1" si="426"/>
        <v>0</v>
      </c>
      <c r="SC23" s="242">
        <f t="shared" ca="1" si="427"/>
        <v>0</v>
      </c>
      <c r="SD23" s="241">
        <f t="shared" ca="1" si="387"/>
        <v>1</v>
      </c>
      <c r="SE23" s="220">
        <f t="shared" ca="1" si="428"/>
        <v>0</v>
      </c>
      <c r="SF23" s="220">
        <f t="shared" ca="1" si="429"/>
        <v>0</v>
      </c>
      <c r="SG23" s="235">
        <f t="shared" ca="1" si="430"/>
        <v>0</v>
      </c>
      <c r="SH23" s="235">
        <f t="shared" ca="1" si="431"/>
        <v>0</v>
      </c>
      <c r="SI23" s="242">
        <f t="shared" ca="1" si="432"/>
        <v>0</v>
      </c>
      <c r="SJ23" s="241">
        <f t="shared" ca="1" si="387"/>
        <v>1</v>
      </c>
      <c r="SK23" s="220">
        <f t="shared" ca="1" si="433"/>
        <v>0</v>
      </c>
      <c r="SL23" s="220">
        <f t="shared" ca="1" si="434"/>
        <v>0</v>
      </c>
      <c r="SM23" s="235">
        <f t="shared" ca="1" si="435"/>
        <v>0</v>
      </c>
      <c r="SN23" s="235">
        <f t="shared" ca="1" si="436"/>
        <v>0</v>
      </c>
      <c r="SO23" s="242">
        <f t="shared" ca="1" si="437"/>
        <v>0</v>
      </c>
      <c r="SP23" s="241">
        <f t="shared" ca="1" si="387"/>
        <v>1</v>
      </c>
      <c r="SQ23" s="220">
        <f t="shared" ca="1" si="438"/>
        <v>0</v>
      </c>
      <c r="SR23" s="220">
        <f t="shared" ca="1" si="439"/>
        <v>0</v>
      </c>
      <c r="SS23" s="235">
        <f t="shared" ca="1" si="440"/>
        <v>0</v>
      </c>
      <c r="ST23" s="235">
        <f t="shared" ca="1" si="441"/>
        <v>0</v>
      </c>
      <c r="SU23" s="242">
        <f t="shared" ca="1" si="442"/>
        <v>0</v>
      </c>
      <c r="SV23" s="241">
        <f t="shared" ca="1" si="443"/>
        <v>1</v>
      </c>
      <c r="SW23" s="220">
        <f t="shared" ca="1" si="444"/>
        <v>0</v>
      </c>
      <c r="SX23" s="220">
        <f t="shared" ca="1" si="445"/>
        <v>0</v>
      </c>
      <c r="SY23" s="235">
        <f t="shared" ca="1" si="446"/>
        <v>0</v>
      </c>
      <c r="SZ23" s="235">
        <f t="shared" ca="1" si="447"/>
        <v>0</v>
      </c>
      <c r="TA23" s="242">
        <f t="shared" ca="1" si="448"/>
        <v>0</v>
      </c>
      <c r="TB23" s="241">
        <f t="shared" ca="1" si="443"/>
        <v>1</v>
      </c>
      <c r="TC23" s="220">
        <f t="shared" ca="1" si="449"/>
        <v>0</v>
      </c>
      <c r="TD23" s="220">
        <f t="shared" ca="1" si="450"/>
        <v>0</v>
      </c>
      <c r="TE23" s="235">
        <f t="shared" ca="1" si="451"/>
        <v>0</v>
      </c>
      <c r="TF23" s="235">
        <f t="shared" ca="1" si="452"/>
        <v>0</v>
      </c>
      <c r="TG23" s="242">
        <f t="shared" ca="1" si="453"/>
        <v>0</v>
      </c>
      <c r="TH23" s="241">
        <f t="shared" ca="1" si="443"/>
        <v>1</v>
      </c>
      <c r="TI23" s="220">
        <f t="shared" ca="1" si="454"/>
        <v>0</v>
      </c>
      <c r="TJ23" s="220">
        <f t="shared" ca="1" si="455"/>
        <v>0</v>
      </c>
      <c r="TK23" s="235">
        <f t="shared" ca="1" si="456"/>
        <v>0</v>
      </c>
      <c r="TL23" s="235">
        <f t="shared" ca="1" si="457"/>
        <v>0</v>
      </c>
      <c r="TM23" s="242">
        <f t="shared" ca="1" si="458"/>
        <v>0</v>
      </c>
      <c r="TN23" s="241">
        <f t="shared" ca="1" si="443"/>
        <v>1</v>
      </c>
      <c r="TO23" s="220">
        <f t="shared" ca="1" si="459"/>
        <v>0</v>
      </c>
      <c r="TP23" s="220">
        <f t="shared" ca="1" si="460"/>
        <v>0</v>
      </c>
      <c r="TQ23" s="235">
        <f t="shared" ca="1" si="461"/>
        <v>0</v>
      </c>
      <c r="TR23" s="235">
        <f t="shared" ca="1" si="462"/>
        <v>0</v>
      </c>
      <c r="TS23" s="242">
        <f t="shared" ca="1" si="463"/>
        <v>0</v>
      </c>
      <c r="TT23" s="241">
        <f t="shared" ca="1" si="443"/>
        <v>1</v>
      </c>
      <c r="TU23" s="220">
        <f t="shared" ca="1" si="464"/>
        <v>0</v>
      </c>
      <c r="TV23" s="220">
        <f t="shared" ca="1" si="465"/>
        <v>0</v>
      </c>
      <c r="TW23" s="235">
        <f t="shared" ca="1" si="466"/>
        <v>0</v>
      </c>
      <c r="TX23" s="235">
        <f t="shared" ca="1" si="467"/>
        <v>0</v>
      </c>
      <c r="TY23" s="242">
        <f t="shared" ca="1" si="468"/>
        <v>0</v>
      </c>
      <c r="TZ23" s="241">
        <f t="shared" ca="1" si="443"/>
        <v>1</v>
      </c>
      <c r="UA23" s="220">
        <f t="shared" ca="1" si="469"/>
        <v>0</v>
      </c>
      <c r="UB23" s="220">
        <f t="shared" ca="1" si="470"/>
        <v>0</v>
      </c>
      <c r="UC23" s="235">
        <f t="shared" ca="1" si="471"/>
        <v>0</v>
      </c>
      <c r="UD23" s="235">
        <f t="shared" ca="1" si="472"/>
        <v>0</v>
      </c>
      <c r="UE23" s="242">
        <f t="shared" ca="1" si="473"/>
        <v>0</v>
      </c>
      <c r="UF23" s="241">
        <f t="shared" ca="1" si="443"/>
        <v>1</v>
      </c>
      <c r="UG23" s="220">
        <f t="shared" ca="1" si="474"/>
        <v>0</v>
      </c>
      <c r="UH23" s="220">
        <f t="shared" ca="1" si="475"/>
        <v>0</v>
      </c>
      <c r="UI23" s="235">
        <f t="shared" ca="1" si="476"/>
        <v>0</v>
      </c>
      <c r="UJ23" s="235">
        <f t="shared" ca="1" si="477"/>
        <v>0</v>
      </c>
      <c r="UK23" s="242">
        <f t="shared" ca="1" si="478"/>
        <v>0</v>
      </c>
      <c r="UL23" s="241">
        <f t="shared" ca="1" si="443"/>
        <v>1</v>
      </c>
      <c r="UM23" s="220">
        <f t="shared" ca="1" si="479"/>
        <v>0</v>
      </c>
      <c r="UN23" s="220">
        <f t="shared" ca="1" si="480"/>
        <v>0</v>
      </c>
      <c r="UO23" s="235">
        <f t="shared" ca="1" si="481"/>
        <v>0</v>
      </c>
      <c r="UP23" s="235">
        <f t="shared" ca="1" si="482"/>
        <v>0</v>
      </c>
      <c r="UQ23" s="242">
        <f t="shared" ca="1" si="483"/>
        <v>0</v>
      </c>
      <c r="UR23" s="241">
        <f t="shared" ca="1" si="443"/>
        <v>1</v>
      </c>
      <c r="US23" s="220">
        <f t="shared" ca="1" si="484"/>
        <v>0</v>
      </c>
      <c r="UT23" s="220">
        <f t="shared" ca="1" si="485"/>
        <v>0</v>
      </c>
      <c r="UU23" s="235">
        <f t="shared" ca="1" si="486"/>
        <v>0</v>
      </c>
      <c r="UV23" s="235">
        <f t="shared" ca="1" si="487"/>
        <v>0</v>
      </c>
      <c r="UW23" s="242">
        <f t="shared" ca="1" si="488"/>
        <v>0</v>
      </c>
      <c r="UX23" s="241">
        <f t="shared" ca="1" si="443"/>
        <v>1</v>
      </c>
      <c r="UY23" s="220">
        <f t="shared" ca="1" si="489"/>
        <v>0</v>
      </c>
      <c r="UZ23" s="220">
        <f t="shared" ca="1" si="490"/>
        <v>0</v>
      </c>
      <c r="VA23" s="235">
        <f t="shared" ca="1" si="491"/>
        <v>0</v>
      </c>
      <c r="VB23" s="235">
        <f t="shared" ca="1" si="492"/>
        <v>0</v>
      </c>
      <c r="VC23" s="242">
        <f t="shared" ca="1" si="493"/>
        <v>0</v>
      </c>
      <c r="VD23" s="241">
        <f t="shared" ca="1" si="443"/>
        <v>1</v>
      </c>
      <c r="VE23" s="220">
        <f t="shared" ca="1" si="494"/>
        <v>0</v>
      </c>
      <c r="VF23" s="220">
        <f t="shared" ca="1" si="495"/>
        <v>0</v>
      </c>
      <c r="VG23" s="235">
        <f t="shared" ca="1" si="496"/>
        <v>0</v>
      </c>
      <c r="VH23" s="235">
        <f t="shared" ca="1" si="497"/>
        <v>0</v>
      </c>
      <c r="VI23" s="242">
        <f t="shared" ca="1" si="498"/>
        <v>0</v>
      </c>
      <c r="VJ23" s="241">
        <f t="shared" ca="1" si="499"/>
        <v>1</v>
      </c>
      <c r="VK23" s="220">
        <f t="shared" ca="1" si="500"/>
        <v>0</v>
      </c>
      <c r="VL23" s="220">
        <f t="shared" ca="1" si="501"/>
        <v>0</v>
      </c>
      <c r="VM23" s="235">
        <f t="shared" ca="1" si="502"/>
        <v>0</v>
      </c>
      <c r="VN23" s="235">
        <f t="shared" ca="1" si="503"/>
        <v>0</v>
      </c>
      <c r="VO23" s="242">
        <f t="shared" ca="1" si="504"/>
        <v>0</v>
      </c>
      <c r="VP23" s="241">
        <f t="shared" ca="1" si="499"/>
        <v>1</v>
      </c>
      <c r="VQ23" s="220">
        <f t="shared" ca="1" si="505"/>
        <v>0</v>
      </c>
      <c r="VR23" s="220">
        <f t="shared" ca="1" si="506"/>
        <v>0</v>
      </c>
      <c r="VS23" s="235">
        <f t="shared" ca="1" si="507"/>
        <v>0</v>
      </c>
      <c r="VT23" s="235">
        <f t="shared" ca="1" si="508"/>
        <v>0</v>
      </c>
      <c r="VU23" s="242">
        <f t="shared" ca="1" si="509"/>
        <v>0</v>
      </c>
      <c r="VV23" s="241">
        <f t="shared" ca="1" si="499"/>
        <v>1</v>
      </c>
      <c r="VW23" s="220">
        <f t="shared" ca="1" si="510"/>
        <v>0</v>
      </c>
      <c r="VX23" s="220">
        <f t="shared" ca="1" si="511"/>
        <v>0</v>
      </c>
      <c r="VY23" s="235">
        <f t="shared" ca="1" si="512"/>
        <v>0</v>
      </c>
      <c r="VZ23" s="235">
        <f t="shared" ca="1" si="513"/>
        <v>0</v>
      </c>
      <c r="WA23" s="242">
        <f t="shared" ca="1" si="514"/>
        <v>0</v>
      </c>
      <c r="WB23" s="241">
        <f t="shared" ca="1" si="499"/>
        <v>1</v>
      </c>
      <c r="WC23" s="220">
        <f t="shared" ca="1" si="515"/>
        <v>0</v>
      </c>
      <c r="WD23" s="220">
        <f t="shared" ca="1" si="516"/>
        <v>0</v>
      </c>
      <c r="WE23" s="235">
        <f t="shared" ca="1" si="517"/>
        <v>0</v>
      </c>
      <c r="WF23" s="235">
        <f t="shared" ca="1" si="518"/>
        <v>0</v>
      </c>
      <c r="WG23" s="242">
        <f t="shared" ca="1" si="519"/>
        <v>0</v>
      </c>
      <c r="WH23" s="241">
        <f t="shared" ca="1" si="499"/>
        <v>1</v>
      </c>
      <c r="WI23" s="220">
        <f t="shared" ca="1" si="520"/>
        <v>0</v>
      </c>
      <c r="WJ23" s="220">
        <f t="shared" ca="1" si="521"/>
        <v>0</v>
      </c>
      <c r="WK23" s="235">
        <f t="shared" ca="1" si="522"/>
        <v>0</v>
      </c>
      <c r="WL23" s="235">
        <f t="shared" ca="1" si="523"/>
        <v>0</v>
      </c>
      <c r="WM23" s="242">
        <f t="shared" ca="1" si="524"/>
        <v>0</v>
      </c>
      <c r="WN23" s="241">
        <f t="shared" ca="1" si="499"/>
        <v>1</v>
      </c>
      <c r="WO23" s="220">
        <f t="shared" ca="1" si="525"/>
        <v>0</v>
      </c>
      <c r="WP23" s="220">
        <f t="shared" ca="1" si="526"/>
        <v>0</v>
      </c>
      <c r="WQ23" s="235">
        <f t="shared" ca="1" si="527"/>
        <v>0</v>
      </c>
      <c r="WR23" s="235">
        <f t="shared" ca="1" si="528"/>
        <v>0</v>
      </c>
      <c r="WS23" s="242">
        <f t="shared" ca="1" si="529"/>
        <v>0</v>
      </c>
      <c r="WT23" s="241">
        <f t="shared" ca="1" si="499"/>
        <v>1</v>
      </c>
      <c r="WU23" s="220">
        <f t="shared" ca="1" si="530"/>
        <v>0</v>
      </c>
      <c r="WV23" s="220">
        <f t="shared" ca="1" si="531"/>
        <v>0</v>
      </c>
      <c r="WW23" s="235">
        <f t="shared" ca="1" si="532"/>
        <v>0</v>
      </c>
      <c r="WX23" s="235">
        <f t="shared" ca="1" si="533"/>
        <v>0</v>
      </c>
      <c r="WY23" s="242">
        <f t="shared" ca="1" si="534"/>
        <v>0</v>
      </c>
      <c r="WZ23" s="241">
        <f t="shared" ca="1" si="499"/>
        <v>1</v>
      </c>
      <c r="XA23" s="220">
        <f t="shared" ca="1" si="535"/>
        <v>0</v>
      </c>
      <c r="XB23" s="220">
        <f t="shared" ca="1" si="536"/>
        <v>0</v>
      </c>
      <c r="XC23" s="235">
        <f t="shared" ca="1" si="537"/>
        <v>0</v>
      </c>
      <c r="XD23" s="235">
        <f t="shared" ca="1" si="538"/>
        <v>0</v>
      </c>
      <c r="XE23" s="242">
        <f t="shared" ca="1" si="539"/>
        <v>0</v>
      </c>
      <c r="XF23" s="241">
        <f t="shared" ca="1" si="499"/>
        <v>1</v>
      </c>
      <c r="XG23" s="220">
        <f t="shared" ca="1" si="540"/>
        <v>0</v>
      </c>
      <c r="XH23" s="220">
        <f t="shared" ca="1" si="541"/>
        <v>0</v>
      </c>
      <c r="XI23" s="235">
        <f t="shared" ca="1" si="542"/>
        <v>0</v>
      </c>
      <c r="XJ23" s="235">
        <f t="shared" ca="1" si="543"/>
        <v>0</v>
      </c>
      <c r="XK23" s="242">
        <f t="shared" ca="1" si="544"/>
        <v>0</v>
      </c>
    </row>
    <row r="24" spans="2:635" x14ac:dyDescent="0.25">
      <c r="B24" s="65">
        <f t="shared" ca="1" si="14"/>
        <v>2039</v>
      </c>
      <c r="C24" s="65" t="s">
        <v>741</v>
      </c>
      <c r="D24" s="77">
        <f t="shared" si="15"/>
        <v>0</v>
      </c>
      <c r="E24" s="77">
        <f t="shared" si="16"/>
        <v>0</v>
      </c>
      <c r="F24" s="77">
        <f t="shared" si="17"/>
        <v>0</v>
      </c>
      <c r="G24" s="77">
        <f t="shared" si="18"/>
        <v>0</v>
      </c>
      <c r="H24" s="15" t="e">
        <f t="shared" ca="1" si="19"/>
        <v>#REF!</v>
      </c>
      <c r="L24" s="326">
        <f t="shared" ca="1" si="20"/>
        <v>3.5000000000000003E-2</v>
      </c>
      <c r="M24" s="327">
        <f t="shared" ca="1" si="21"/>
        <v>3.5000000000000003E-2</v>
      </c>
      <c r="N24" s="322">
        <f t="shared" ca="1" si="22"/>
        <v>-16</v>
      </c>
      <c r="O24" s="322">
        <f t="shared" ca="1" si="23"/>
        <v>0</v>
      </c>
      <c r="P24" s="328">
        <f t="shared" ca="1" si="545"/>
        <v>0</v>
      </c>
      <c r="Q24" s="328">
        <f t="shared" ca="1" si="546"/>
        <v>0</v>
      </c>
      <c r="R24" s="328">
        <f t="shared" ca="1" si="547"/>
        <v>0</v>
      </c>
      <c r="S24" s="329">
        <f t="shared" ca="1" si="24"/>
        <v>0</v>
      </c>
      <c r="T24" s="329">
        <f t="shared" ca="1" si="25"/>
        <v>0</v>
      </c>
      <c r="U24" s="329">
        <f t="shared" ca="1" si="26"/>
        <v>0</v>
      </c>
      <c r="V24" s="320" t="e">
        <f t="shared" ca="1" si="27"/>
        <v>#REF!</v>
      </c>
      <c r="W24" s="320" t="e">
        <f t="shared" ca="1" si="28"/>
        <v>#REF!</v>
      </c>
      <c r="X24" s="320" t="e">
        <f t="shared" ca="1" si="29"/>
        <v>#REF!</v>
      </c>
      <c r="Y24" s="320" t="e">
        <f ca="1">INDEX(SC_ZA_HECMLumpSum,ZAIDX)</f>
        <v>#REF!</v>
      </c>
      <c r="Z24" s="320" t="e">
        <f t="shared" ca="1" si="30"/>
        <v>#REF!</v>
      </c>
      <c r="AA24" s="320">
        <f t="shared" ca="1" si="557"/>
        <v>0</v>
      </c>
      <c r="AB24" s="320" t="e">
        <f t="shared" ca="1" si="558"/>
        <v>#REF!</v>
      </c>
      <c r="AC24" s="330" t="e">
        <f t="shared" ca="1" si="559"/>
        <v>#REF!</v>
      </c>
      <c r="AD24" s="236" t="e">
        <f t="shared" ca="1" si="548"/>
        <v>#REF!</v>
      </c>
      <c r="AE24" s="320" t="e">
        <f t="shared" ca="1" si="34"/>
        <v>#REF!</v>
      </c>
      <c r="AF24" s="320" t="e">
        <f t="shared" ca="1" si="35"/>
        <v>#REF!</v>
      </c>
      <c r="AG24" s="320" t="e">
        <f t="shared" ca="1" si="549"/>
        <v>#REF!</v>
      </c>
      <c r="AH24" s="284" t="e">
        <f t="shared" ca="1" si="550"/>
        <v>#REF!</v>
      </c>
      <c r="AI24" s="318" t="e">
        <f t="shared" ca="1" si="551"/>
        <v>#REF!</v>
      </c>
      <c r="AJ24" s="331">
        <f t="shared" ca="1" si="552"/>
        <v>1</v>
      </c>
      <c r="AK24" s="220">
        <f t="shared" ca="1" si="553"/>
        <v>0</v>
      </c>
      <c r="AL24" s="220">
        <f t="shared" ca="1" si="37"/>
        <v>0</v>
      </c>
      <c r="AM24" s="235">
        <f t="shared" ca="1" si="554"/>
        <v>0</v>
      </c>
      <c r="AN24" s="235">
        <f t="shared" ca="1" si="555"/>
        <v>0</v>
      </c>
      <c r="AO24" s="242">
        <f t="shared" ca="1" si="556"/>
        <v>0</v>
      </c>
      <c r="AP24" s="241">
        <f t="shared" ca="1" si="552"/>
        <v>1</v>
      </c>
      <c r="AQ24" s="220">
        <f t="shared" ca="1" si="41"/>
        <v>0</v>
      </c>
      <c r="AR24" s="220">
        <f t="shared" ca="1" si="42"/>
        <v>0</v>
      </c>
      <c r="AS24" s="235">
        <f t="shared" ca="1" si="43"/>
        <v>0</v>
      </c>
      <c r="AT24" s="235">
        <f t="shared" ca="1" si="44"/>
        <v>0</v>
      </c>
      <c r="AU24" s="242">
        <f t="shared" ca="1" si="45"/>
        <v>0</v>
      </c>
      <c r="AV24" s="241">
        <f t="shared" ca="1" si="552"/>
        <v>1</v>
      </c>
      <c r="AW24" s="220">
        <f t="shared" ca="1" si="46"/>
        <v>0</v>
      </c>
      <c r="AX24" s="220">
        <f t="shared" ca="1" si="47"/>
        <v>0</v>
      </c>
      <c r="AY24" s="235">
        <f t="shared" ca="1" si="48"/>
        <v>0</v>
      </c>
      <c r="AZ24" s="235">
        <f t="shared" ca="1" si="49"/>
        <v>0</v>
      </c>
      <c r="BA24" s="242">
        <f t="shared" ca="1" si="50"/>
        <v>0</v>
      </c>
      <c r="BB24" s="241">
        <f t="shared" ca="1" si="552"/>
        <v>1</v>
      </c>
      <c r="BC24" s="220">
        <f t="shared" ca="1" si="52"/>
        <v>0</v>
      </c>
      <c r="BD24" s="220">
        <f t="shared" ca="1" si="53"/>
        <v>0</v>
      </c>
      <c r="BE24" s="235">
        <f t="shared" ca="1" si="54"/>
        <v>0</v>
      </c>
      <c r="BF24" s="235">
        <f t="shared" ca="1" si="55"/>
        <v>0</v>
      </c>
      <c r="BG24" s="242">
        <f t="shared" ca="1" si="56"/>
        <v>0</v>
      </c>
      <c r="BH24" s="241">
        <f t="shared" ca="1" si="552"/>
        <v>1</v>
      </c>
      <c r="BI24" s="220">
        <f t="shared" ca="1" si="57"/>
        <v>0</v>
      </c>
      <c r="BJ24" s="220">
        <f t="shared" ca="1" si="58"/>
        <v>0</v>
      </c>
      <c r="BK24" s="235">
        <f t="shared" ca="1" si="59"/>
        <v>0</v>
      </c>
      <c r="BL24" s="235">
        <f t="shared" ca="1" si="60"/>
        <v>0</v>
      </c>
      <c r="BM24" s="242">
        <f t="shared" ca="1" si="61"/>
        <v>0</v>
      </c>
      <c r="BN24" s="241">
        <f t="shared" ca="1" si="552"/>
        <v>1</v>
      </c>
      <c r="BO24" s="220">
        <f t="shared" ca="1" si="62"/>
        <v>0</v>
      </c>
      <c r="BP24" s="220">
        <f t="shared" ca="1" si="63"/>
        <v>0</v>
      </c>
      <c r="BQ24" s="235">
        <f t="shared" ca="1" si="64"/>
        <v>0</v>
      </c>
      <c r="BR24" s="235">
        <f t="shared" ca="1" si="65"/>
        <v>0</v>
      </c>
      <c r="BS24" s="242">
        <f t="shared" ca="1" si="66"/>
        <v>0</v>
      </c>
      <c r="BT24" s="241">
        <f t="shared" ca="1" si="552"/>
        <v>1</v>
      </c>
      <c r="BU24" s="220">
        <f t="shared" ca="1" si="67"/>
        <v>0</v>
      </c>
      <c r="BV24" s="220">
        <f t="shared" ca="1" si="68"/>
        <v>0</v>
      </c>
      <c r="BW24" s="235">
        <f t="shared" ca="1" si="69"/>
        <v>0</v>
      </c>
      <c r="BX24" s="235">
        <f t="shared" ca="1" si="70"/>
        <v>0</v>
      </c>
      <c r="BY24" s="242">
        <f t="shared" ca="1" si="71"/>
        <v>0</v>
      </c>
      <c r="BZ24" s="241">
        <f t="shared" ca="1" si="552"/>
        <v>1</v>
      </c>
      <c r="CA24" s="220">
        <f t="shared" ca="1" si="72"/>
        <v>0</v>
      </c>
      <c r="CB24" s="220">
        <f t="shared" ca="1" si="73"/>
        <v>0</v>
      </c>
      <c r="CC24" s="235">
        <f t="shared" ca="1" si="74"/>
        <v>0</v>
      </c>
      <c r="CD24" s="235">
        <f t="shared" ca="1" si="75"/>
        <v>0</v>
      </c>
      <c r="CE24" s="242">
        <f t="shared" ca="1" si="76"/>
        <v>0</v>
      </c>
      <c r="CF24" s="241">
        <f t="shared" ca="1" si="552"/>
        <v>1</v>
      </c>
      <c r="CG24" s="220">
        <f t="shared" ca="1" si="77"/>
        <v>0</v>
      </c>
      <c r="CH24" s="220">
        <f t="shared" ca="1" si="78"/>
        <v>0</v>
      </c>
      <c r="CI24" s="235">
        <f t="shared" ca="1" si="79"/>
        <v>0</v>
      </c>
      <c r="CJ24" s="235">
        <f t="shared" ca="1" si="80"/>
        <v>0</v>
      </c>
      <c r="CK24" s="242">
        <f t="shared" ca="1" si="81"/>
        <v>0</v>
      </c>
      <c r="CL24" s="241">
        <f t="shared" ca="1" si="552"/>
        <v>1</v>
      </c>
      <c r="CM24" s="220">
        <f t="shared" ca="1" si="82"/>
        <v>0</v>
      </c>
      <c r="CN24" s="220">
        <f t="shared" ca="1" si="83"/>
        <v>0</v>
      </c>
      <c r="CO24" s="235">
        <f t="shared" ca="1" si="84"/>
        <v>0</v>
      </c>
      <c r="CP24" s="235">
        <f t="shared" ca="1" si="85"/>
        <v>0</v>
      </c>
      <c r="CQ24" s="242">
        <f t="shared" ca="1" si="86"/>
        <v>0</v>
      </c>
      <c r="CR24" s="241">
        <f t="shared" ca="1" si="552"/>
        <v>1</v>
      </c>
      <c r="CS24" s="220">
        <f t="shared" ca="1" si="87"/>
        <v>0</v>
      </c>
      <c r="CT24" s="220">
        <f t="shared" ca="1" si="88"/>
        <v>0</v>
      </c>
      <c r="CU24" s="235">
        <f t="shared" ca="1" si="89"/>
        <v>0</v>
      </c>
      <c r="CV24" s="235">
        <f t="shared" ca="1" si="90"/>
        <v>0</v>
      </c>
      <c r="CW24" s="242">
        <f t="shared" ca="1" si="91"/>
        <v>0</v>
      </c>
      <c r="CX24" s="241">
        <f t="shared" ca="1" si="51"/>
        <v>1</v>
      </c>
      <c r="CY24" s="220">
        <f t="shared" ca="1" si="92"/>
        <v>0</v>
      </c>
      <c r="CZ24" s="220">
        <f t="shared" ca="1" si="93"/>
        <v>0</v>
      </c>
      <c r="DA24" s="235">
        <f t="shared" ca="1" si="94"/>
        <v>0</v>
      </c>
      <c r="DB24" s="235">
        <f t="shared" ca="1" si="95"/>
        <v>0</v>
      </c>
      <c r="DC24" s="242">
        <f t="shared" ca="1" si="96"/>
        <v>0</v>
      </c>
      <c r="DD24" s="241">
        <f t="shared" ca="1" si="51"/>
        <v>1</v>
      </c>
      <c r="DE24" s="220">
        <f t="shared" ca="1" si="97"/>
        <v>0</v>
      </c>
      <c r="DF24" s="220">
        <f t="shared" ca="1" si="98"/>
        <v>0</v>
      </c>
      <c r="DG24" s="235">
        <f t="shared" ca="1" si="99"/>
        <v>0</v>
      </c>
      <c r="DH24" s="235">
        <f t="shared" ca="1" si="100"/>
        <v>0</v>
      </c>
      <c r="DI24" s="242">
        <f t="shared" ca="1" si="101"/>
        <v>0</v>
      </c>
      <c r="DJ24" s="241">
        <f t="shared" ca="1" si="51"/>
        <v>1</v>
      </c>
      <c r="DK24" s="220">
        <f t="shared" ca="1" si="102"/>
        <v>0</v>
      </c>
      <c r="DL24" s="220">
        <f t="shared" ca="1" si="103"/>
        <v>0</v>
      </c>
      <c r="DM24" s="235">
        <f t="shared" ca="1" si="104"/>
        <v>0</v>
      </c>
      <c r="DN24" s="235">
        <f t="shared" ca="1" si="105"/>
        <v>0</v>
      </c>
      <c r="DO24" s="242">
        <f t="shared" ca="1" si="106"/>
        <v>0</v>
      </c>
      <c r="DP24" s="241">
        <f t="shared" ca="1" si="107"/>
        <v>1</v>
      </c>
      <c r="DQ24" s="220">
        <f t="shared" ca="1" si="108"/>
        <v>0</v>
      </c>
      <c r="DR24" s="220">
        <f t="shared" ca="1" si="109"/>
        <v>0</v>
      </c>
      <c r="DS24" s="235">
        <f t="shared" ca="1" si="110"/>
        <v>0</v>
      </c>
      <c r="DT24" s="235">
        <f t="shared" ca="1" si="111"/>
        <v>0</v>
      </c>
      <c r="DU24" s="242">
        <f t="shared" ca="1" si="112"/>
        <v>0</v>
      </c>
      <c r="DV24" s="241">
        <f t="shared" ca="1" si="107"/>
        <v>1</v>
      </c>
      <c r="DW24" s="220">
        <f t="shared" ca="1" si="113"/>
        <v>0</v>
      </c>
      <c r="DX24" s="220">
        <f t="shared" ca="1" si="114"/>
        <v>0</v>
      </c>
      <c r="DY24" s="235">
        <f t="shared" ca="1" si="115"/>
        <v>0</v>
      </c>
      <c r="DZ24" s="235">
        <f t="shared" ca="1" si="116"/>
        <v>0</v>
      </c>
      <c r="EA24" s="242">
        <f t="shared" ca="1" si="117"/>
        <v>0</v>
      </c>
      <c r="EB24" s="241">
        <f t="shared" ca="1" si="107"/>
        <v>1</v>
      </c>
      <c r="EC24" s="220">
        <f t="shared" ca="1" si="118"/>
        <v>0</v>
      </c>
      <c r="ED24" s="220">
        <f t="shared" ca="1" si="119"/>
        <v>0</v>
      </c>
      <c r="EE24" s="235">
        <f t="shared" ca="1" si="120"/>
        <v>0</v>
      </c>
      <c r="EF24" s="235">
        <f t="shared" ca="1" si="121"/>
        <v>0</v>
      </c>
      <c r="EG24" s="242">
        <f t="shared" ca="1" si="122"/>
        <v>0</v>
      </c>
      <c r="EH24" s="241">
        <f t="shared" ca="1" si="107"/>
        <v>1</v>
      </c>
      <c r="EI24" s="220">
        <f t="shared" ca="1" si="123"/>
        <v>0</v>
      </c>
      <c r="EJ24" s="220">
        <f t="shared" ca="1" si="124"/>
        <v>0</v>
      </c>
      <c r="EK24" s="235">
        <f t="shared" ca="1" si="125"/>
        <v>0</v>
      </c>
      <c r="EL24" s="235">
        <f t="shared" ca="1" si="126"/>
        <v>0</v>
      </c>
      <c r="EM24" s="242">
        <f t="shared" ca="1" si="127"/>
        <v>0</v>
      </c>
      <c r="EN24" s="241">
        <f t="shared" ca="1" si="107"/>
        <v>1</v>
      </c>
      <c r="EO24" s="220">
        <f t="shared" ca="1" si="128"/>
        <v>0</v>
      </c>
      <c r="EP24" s="220">
        <f t="shared" ca="1" si="129"/>
        <v>0</v>
      </c>
      <c r="EQ24" s="235">
        <f t="shared" ca="1" si="130"/>
        <v>0</v>
      </c>
      <c r="ER24" s="235">
        <f t="shared" ca="1" si="131"/>
        <v>0</v>
      </c>
      <c r="ES24" s="242">
        <f t="shared" ca="1" si="132"/>
        <v>0</v>
      </c>
      <c r="ET24" s="241">
        <f t="shared" ca="1" si="107"/>
        <v>1</v>
      </c>
      <c r="EU24" s="220">
        <f t="shared" ca="1" si="133"/>
        <v>0</v>
      </c>
      <c r="EV24" s="220">
        <f t="shared" ca="1" si="134"/>
        <v>0</v>
      </c>
      <c r="EW24" s="235">
        <f t="shared" ca="1" si="135"/>
        <v>0</v>
      </c>
      <c r="EX24" s="235">
        <f t="shared" ca="1" si="136"/>
        <v>0</v>
      </c>
      <c r="EY24" s="242">
        <f t="shared" ca="1" si="137"/>
        <v>0</v>
      </c>
      <c r="EZ24" s="241">
        <f t="shared" ca="1" si="107"/>
        <v>1</v>
      </c>
      <c r="FA24" s="220">
        <f t="shared" ca="1" si="138"/>
        <v>0</v>
      </c>
      <c r="FB24" s="220">
        <f t="shared" ca="1" si="139"/>
        <v>0</v>
      </c>
      <c r="FC24" s="235">
        <f t="shared" ca="1" si="140"/>
        <v>0</v>
      </c>
      <c r="FD24" s="235">
        <f t="shared" ca="1" si="141"/>
        <v>0</v>
      </c>
      <c r="FE24" s="242">
        <f t="shared" ca="1" si="142"/>
        <v>0</v>
      </c>
      <c r="FF24" s="241">
        <f t="shared" ca="1" si="107"/>
        <v>1</v>
      </c>
      <c r="FG24" s="220">
        <f t="shared" ca="1" si="143"/>
        <v>0</v>
      </c>
      <c r="FH24" s="220">
        <f t="shared" ca="1" si="144"/>
        <v>0</v>
      </c>
      <c r="FI24" s="235">
        <f t="shared" ca="1" si="145"/>
        <v>0</v>
      </c>
      <c r="FJ24" s="235">
        <f t="shared" ca="1" si="146"/>
        <v>0</v>
      </c>
      <c r="FK24" s="242">
        <f t="shared" ca="1" si="147"/>
        <v>0</v>
      </c>
      <c r="FL24" s="241">
        <f t="shared" ca="1" si="107"/>
        <v>1</v>
      </c>
      <c r="FM24" s="220">
        <f t="shared" ca="1" si="148"/>
        <v>0</v>
      </c>
      <c r="FN24" s="220">
        <f t="shared" ca="1" si="149"/>
        <v>0</v>
      </c>
      <c r="FO24" s="235">
        <f t="shared" ca="1" si="150"/>
        <v>0</v>
      </c>
      <c r="FP24" s="235">
        <f t="shared" ca="1" si="151"/>
        <v>0</v>
      </c>
      <c r="FQ24" s="242">
        <f t="shared" ca="1" si="152"/>
        <v>0</v>
      </c>
      <c r="FR24" s="241">
        <f t="shared" ca="1" si="107"/>
        <v>1</v>
      </c>
      <c r="FS24" s="220">
        <f t="shared" ca="1" si="153"/>
        <v>0</v>
      </c>
      <c r="FT24" s="220">
        <f t="shared" ca="1" si="154"/>
        <v>0</v>
      </c>
      <c r="FU24" s="235">
        <f t="shared" ca="1" si="155"/>
        <v>0</v>
      </c>
      <c r="FV24" s="235">
        <f t="shared" ca="1" si="156"/>
        <v>0</v>
      </c>
      <c r="FW24" s="242">
        <f t="shared" ca="1" si="157"/>
        <v>0</v>
      </c>
      <c r="FX24" s="241">
        <f t="shared" ca="1" si="107"/>
        <v>1</v>
      </c>
      <c r="FY24" s="220">
        <f t="shared" ca="1" si="158"/>
        <v>0</v>
      </c>
      <c r="FZ24" s="220">
        <f t="shared" ca="1" si="159"/>
        <v>0</v>
      </c>
      <c r="GA24" s="235">
        <f t="shared" ca="1" si="160"/>
        <v>0</v>
      </c>
      <c r="GB24" s="235">
        <f t="shared" ca="1" si="161"/>
        <v>0</v>
      </c>
      <c r="GC24" s="242">
        <f t="shared" ca="1" si="162"/>
        <v>0</v>
      </c>
      <c r="GD24" s="241">
        <f t="shared" ca="1" si="163"/>
        <v>1</v>
      </c>
      <c r="GE24" s="220">
        <f t="shared" ca="1" si="164"/>
        <v>0</v>
      </c>
      <c r="GF24" s="220">
        <f t="shared" ca="1" si="165"/>
        <v>0</v>
      </c>
      <c r="GG24" s="235">
        <f t="shared" ca="1" si="166"/>
        <v>0</v>
      </c>
      <c r="GH24" s="235">
        <f t="shared" ca="1" si="167"/>
        <v>0</v>
      </c>
      <c r="GI24" s="242">
        <f t="shared" ca="1" si="168"/>
        <v>0</v>
      </c>
      <c r="GJ24" s="241">
        <f t="shared" ca="1" si="163"/>
        <v>1</v>
      </c>
      <c r="GK24" s="220">
        <f t="shared" ca="1" si="169"/>
        <v>0</v>
      </c>
      <c r="GL24" s="220">
        <f t="shared" ca="1" si="170"/>
        <v>0</v>
      </c>
      <c r="GM24" s="235">
        <f t="shared" ca="1" si="171"/>
        <v>0</v>
      </c>
      <c r="GN24" s="235">
        <f t="shared" ca="1" si="172"/>
        <v>0</v>
      </c>
      <c r="GO24" s="242">
        <f t="shared" ca="1" si="173"/>
        <v>0</v>
      </c>
      <c r="GP24" s="241">
        <f t="shared" ca="1" si="163"/>
        <v>1</v>
      </c>
      <c r="GQ24" s="220">
        <f t="shared" ca="1" si="174"/>
        <v>0</v>
      </c>
      <c r="GR24" s="220">
        <f t="shared" ca="1" si="175"/>
        <v>0</v>
      </c>
      <c r="GS24" s="235">
        <f t="shared" ca="1" si="176"/>
        <v>0</v>
      </c>
      <c r="GT24" s="235">
        <f t="shared" ca="1" si="177"/>
        <v>0</v>
      </c>
      <c r="GU24" s="242">
        <f t="shared" ca="1" si="178"/>
        <v>0</v>
      </c>
      <c r="GV24" s="241">
        <f t="shared" ca="1" si="163"/>
        <v>1</v>
      </c>
      <c r="GW24" s="220">
        <f t="shared" ca="1" si="179"/>
        <v>0</v>
      </c>
      <c r="GX24" s="220">
        <f t="shared" ca="1" si="180"/>
        <v>0</v>
      </c>
      <c r="GY24" s="235">
        <f t="shared" ca="1" si="181"/>
        <v>0</v>
      </c>
      <c r="GZ24" s="235">
        <f t="shared" ca="1" si="182"/>
        <v>0</v>
      </c>
      <c r="HA24" s="242">
        <f t="shared" ca="1" si="183"/>
        <v>0</v>
      </c>
      <c r="HB24" s="241">
        <f t="shared" ca="1" si="163"/>
        <v>1</v>
      </c>
      <c r="HC24" s="220">
        <f t="shared" ca="1" si="184"/>
        <v>0</v>
      </c>
      <c r="HD24" s="220">
        <f t="shared" ca="1" si="185"/>
        <v>0</v>
      </c>
      <c r="HE24" s="235">
        <f t="shared" ca="1" si="186"/>
        <v>0</v>
      </c>
      <c r="HF24" s="235">
        <f t="shared" ca="1" si="187"/>
        <v>0</v>
      </c>
      <c r="HG24" s="242">
        <f t="shared" ca="1" si="188"/>
        <v>0</v>
      </c>
      <c r="HH24" s="241">
        <f t="shared" ca="1" si="163"/>
        <v>1</v>
      </c>
      <c r="HI24" s="220">
        <f t="shared" ca="1" si="189"/>
        <v>0</v>
      </c>
      <c r="HJ24" s="220">
        <f t="shared" ca="1" si="190"/>
        <v>0</v>
      </c>
      <c r="HK24" s="235">
        <f t="shared" ca="1" si="191"/>
        <v>0</v>
      </c>
      <c r="HL24" s="235">
        <f t="shared" ca="1" si="192"/>
        <v>0</v>
      </c>
      <c r="HM24" s="242">
        <f t="shared" ca="1" si="193"/>
        <v>0</v>
      </c>
      <c r="HN24" s="241">
        <f t="shared" ca="1" si="163"/>
        <v>1</v>
      </c>
      <c r="HO24" s="220">
        <f t="shared" ca="1" si="194"/>
        <v>0</v>
      </c>
      <c r="HP24" s="220">
        <f t="shared" ca="1" si="195"/>
        <v>0</v>
      </c>
      <c r="HQ24" s="235">
        <f t="shared" ca="1" si="196"/>
        <v>0</v>
      </c>
      <c r="HR24" s="235">
        <f t="shared" ca="1" si="197"/>
        <v>0</v>
      </c>
      <c r="HS24" s="242">
        <f t="shared" ca="1" si="198"/>
        <v>0</v>
      </c>
      <c r="HT24" s="241">
        <f t="shared" ca="1" si="163"/>
        <v>1</v>
      </c>
      <c r="HU24" s="220">
        <f t="shared" ca="1" si="199"/>
        <v>0</v>
      </c>
      <c r="HV24" s="220">
        <f t="shared" ca="1" si="200"/>
        <v>0</v>
      </c>
      <c r="HW24" s="235">
        <f t="shared" ca="1" si="201"/>
        <v>0</v>
      </c>
      <c r="HX24" s="235">
        <f t="shared" ca="1" si="202"/>
        <v>0</v>
      </c>
      <c r="HY24" s="242">
        <f t="shared" ca="1" si="203"/>
        <v>0</v>
      </c>
      <c r="HZ24" s="241">
        <f t="shared" ca="1" si="163"/>
        <v>1</v>
      </c>
      <c r="IA24" s="220">
        <f t="shared" ca="1" si="204"/>
        <v>0</v>
      </c>
      <c r="IB24" s="220">
        <f t="shared" ca="1" si="205"/>
        <v>0</v>
      </c>
      <c r="IC24" s="235">
        <f t="shared" ca="1" si="206"/>
        <v>0</v>
      </c>
      <c r="ID24" s="235">
        <f t="shared" ca="1" si="207"/>
        <v>0</v>
      </c>
      <c r="IE24" s="242">
        <f t="shared" ca="1" si="208"/>
        <v>0</v>
      </c>
      <c r="IF24" s="241">
        <f t="shared" ca="1" si="163"/>
        <v>1</v>
      </c>
      <c r="IG24" s="220">
        <f t="shared" ca="1" si="209"/>
        <v>0</v>
      </c>
      <c r="IH24" s="220">
        <f t="shared" ca="1" si="210"/>
        <v>0</v>
      </c>
      <c r="II24" s="235">
        <f t="shared" ca="1" si="211"/>
        <v>0</v>
      </c>
      <c r="IJ24" s="235">
        <f t="shared" ca="1" si="212"/>
        <v>0</v>
      </c>
      <c r="IK24" s="242">
        <f t="shared" ca="1" si="213"/>
        <v>0</v>
      </c>
      <c r="IL24" s="241">
        <f t="shared" ca="1" si="163"/>
        <v>1</v>
      </c>
      <c r="IM24" s="220">
        <f t="shared" ca="1" si="214"/>
        <v>0</v>
      </c>
      <c r="IN24" s="220">
        <f t="shared" ca="1" si="215"/>
        <v>0</v>
      </c>
      <c r="IO24" s="235">
        <f t="shared" ca="1" si="216"/>
        <v>0</v>
      </c>
      <c r="IP24" s="235">
        <f t="shared" ca="1" si="217"/>
        <v>0</v>
      </c>
      <c r="IQ24" s="242">
        <f t="shared" ca="1" si="218"/>
        <v>0</v>
      </c>
      <c r="IR24" s="241">
        <f t="shared" ca="1" si="219"/>
        <v>1</v>
      </c>
      <c r="IS24" s="220">
        <f t="shared" ca="1" si="220"/>
        <v>0</v>
      </c>
      <c r="IT24" s="220">
        <f t="shared" ca="1" si="221"/>
        <v>0</v>
      </c>
      <c r="IU24" s="235">
        <f t="shared" ca="1" si="222"/>
        <v>0</v>
      </c>
      <c r="IV24" s="235">
        <f t="shared" ca="1" si="223"/>
        <v>0</v>
      </c>
      <c r="IW24" s="242">
        <f t="shared" ca="1" si="224"/>
        <v>0</v>
      </c>
      <c r="IX24" s="241">
        <f t="shared" ca="1" si="219"/>
        <v>1</v>
      </c>
      <c r="IY24" s="220">
        <f t="shared" ca="1" si="225"/>
        <v>0</v>
      </c>
      <c r="IZ24" s="220">
        <f t="shared" ca="1" si="226"/>
        <v>0</v>
      </c>
      <c r="JA24" s="235">
        <f t="shared" ca="1" si="227"/>
        <v>0</v>
      </c>
      <c r="JB24" s="235">
        <f t="shared" ca="1" si="228"/>
        <v>0</v>
      </c>
      <c r="JC24" s="242">
        <f t="shared" ca="1" si="229"/>
        <v>0</v>
      </c>
      <c r="JD24" s="241">
        <f t="shared" ca="1" si="219"/>
        <v>1</v>
      </c>
      <c r="JE24" s="220">
        <f t="shared" ca="1" si="230"/>
        <v>0</v>
      </c>
      <c r="JF24" s="220">
        <f t="shared" ca="1" si="231"/>
        <v>0</v>
      </c>
      <c r="JG24" s="235">
        <f t="shared" ca="1" si="232"/>
        <v>0</v>
      </c>
      <c r="JH24" s="235">
        <f t="shared" ca="1" si="233"/>
        <v>0</v>
      </c>
      <c r="JI24" s="242">
        <f t="shared" ca="1" si="234"/>
        <v>0</v>
      </c>
      <c r="JJ24" s="241">
        <f t="shared" ca="1" si="219"/>
        <v>1</v>
      </c>
      <c r="JK24" s="220">
        <f t="shared" ca="1" si="235"/>
        <v>0</v>
      </c>
      <c r="JL24" s="220">
        <f t="shared" ca="1" si="236"/>
        <v>0</v>
      </c>
      <c r="JM24" s="235">
        <f t="shared" ca="1" si="237"/>
        <v>0</v>
      </c>
      <c r="JN24" s="235">
        <f t="shared" ca="1" si="238"/>
        <v>0</v>
      </c>
      <c r="JO24" s="242">
        <f t="shared" ca="1" si="239"/>
        <v>0</v>
      </c>
      <c r="JP24" s="241">
        <f t="shared" ca="1" si="219"/>
        <v>1</v>
      </c>
      <c r="JQ24" s="220">
        <f t="shared" ca="1" si="240"/>
        <v>0</v>
      </c>
      <c r="JR24" s="220">
        <f t="shared" ca="1" si="241"/>
        <v>0</v>
      </c>
      <c r="JS24" s="235">
        <f t="shared" ca="1" si="242"/>
        <v>0</v>
      </c>
      <c r="JT24" s="235">
        <f t="shared" ca="1" si="243"/>
        <v>0</v>
      </c>
      <c r="JU24" s="242">
        <f t="shared" ca="1" si="244"/>
        <v>0</v>
      </c>
      <c r="JV24" s="241">
        <f t="shared" ca="1" si="219"/>
        <v>1</v>
      </c>
      <c r="JW24" s="220">
        <f t="shared" ca="1" si="245"/>
        <v>0</v>
      </c>
      <c r="JX24" s="220">
        <f t="shared" ca="1" si="246"/>
        <v>0</v>
      </c>
      <c r="JY24" s="235">
        <f t="shared" ca="1" si="247"/>
        <v>0</v>
      </c>
      <c r="JZ24" s="235">
        <f t="shared" ca="1" si="248"/>
        <v>0</v>
      </c>
      <c r="KA24" s="242">
        <f t="shared" ca="1" si="249"/>
        <v>0</v>
      </c>
      <c r="KB24" s="241">
        <f t="shared" ca="1" si="219"/>
        <v>1</v>
      </c>
      <c r="KC24" s="220">
        <f t="shared" ca="1" si="250"/>
        <v>0</v>
      </c>
      <c r="KD24" s="220">
        <f t="shared" ca="1" si="251"/>
        <v>0</v>
      </c>
      <c r="KE24" s="235">
        <f t="shared" ca="1" si="252"/>
        <v>0</v>
      </c>
      <c r="KF24" s="235">
        <f t="shared" ca="1" si="253"/>
        <v>0</v>
      </c>
      <c r="KG24" s="242">
        <f t="shared" ca="1" si="254"/>
        <v>0</v>
      </c>
      <c r="KH24" s="241">
        <f t="shared" ca="1" si="219"/>
        <v>1</v>
      </c>
      <c r="KI24" s="220">
        <f t="shared" ca="1" si="255"/>
        <v>0</v>
      </c>
      <c r="KJ24" s="220">
        <f t="shared" ca="1" si="256"/>
        <v>0</v>
      </c>
      <c r="KK24" s="235">
        <f t="shared" ca="1" si="257"/>
        <v>0</v>
      </c>
      <c r="KL24" s="235">
        <f t="shared" ca="1" si="258"/>
        <v>0</v>
      </c>
      <c r="KM24" s="242">
        <f t="shared" ca="1" si="259"/>
        <v>0</v>
      </c>
      <c r="KN24" s="241">
        <f t="shared" ca="1" si="219"/>
        <v>1</v>
      </c>
      <c r="KO24" s="220">
        <f t="shared" ca="1" si="260"/>
        <v>0</v>
      </c>
      <c r="KP24" s="220">
        <f t="shared" ca="1" si="261"/>
        <v>0</v>
      </c>
      <c r="KQ24" s="235">
        <f t="shared" ca="1" si="262"/>
        <v>0</v>
      </c>
      <c r="KR24" s="235">
        <f t="shared" ca="1" si="263"/>
        <v>0</v>
      </c>
      <c r="KS24" s="242">
        <f t="shared" ca="1" si="264"/>
        <v>0</v>
      </c>
      <c r="KT24" s="241">
        <f t="shared" ca="1" si="219"/>
        <v>1</v>
      </c>
      <c r="KU24" s="220">
        <f t="shared" ca="1" si="265"/>
        <v>0</v>
      </c>
      <c r="KV24" s="220">
        <f t="shared" ca="1" si="266"/>
        <v>0</v>
      </c>
      <c r="KW24" s="235">
        <f t="shared" ca="1" si="267"/>
        <v>0</v>
      </c>
      <c r="KX24" s="235">
        <f t="shared" ca="1" si="268"/>
        <v>0</v>
      </c>
      <c r="KY24" s="242">
        <f t="shared" ca="1" si="269"/>
        <v>0</v>
      </c>
      <c r="KZ24" s="241">
        <f t="shared" ca="1" si="219"/>
        <v>1</v>
      </c>
      <c r="LA24" s="220">
        <f t="shared" ca="1" si="270"/>
        <v>0</v>
      </c>
      <c r="LB24" s="220">
        <f t="shared" ca="1" si="271"/>
        <v>0</v>
      </c>
      <c r="LC24" s="235">
        <f t="shared" ca="1" si="272"/>
        <v>0</v>
      </c>
      <c r="LD24" s="235">
        <f t="shared" ca="1" si="273"/>
        <v>0</v>
      </c>
      <c r="LE24" s="242">
        <f t="shared" ca="1" si="274"/>
        <v>0</v>
      </c>
      <c r="LF24" s="241">
        <f t="shared" ca="1" si="275"/>
        <v>1</v>
      </c>
      <c r="LG24" s="220">
        <f t="shared" ca="1" si="276"/>
        <v>0</v>
      </c>
      <c r="LH24" s="220">
        <f t="shared" ca="1" si="277"/>
        <v>0</v>
      </c>
      <c r="LI24" s="235">
        <f t="shared" ca="1" si="278"/>
        <v>0</v>
      </c>
      <c r="LJ24" s="235">
        <f t="shared" ca="1" si="279"/>
        <v>0</v>
      </c>
      <c r="LK24" s="242">
        <f t="shared" ca="1" si="280"/>
        <v>0</v>
      </c>
      <c r="LL24" s="241">
        <f t="shared" ca="1" si="275"/>
        <v>1</v>
      </c>
      <c r="LM24" s="220">
        <f t="shared" ca="1" si="281"/>
        <v>0</v>
      </c>
      <c r="LN24" s="220">
        <f t="shared" ca="1" si="282"/>
        <v>0</v>
      </c>
      <c r="LO24" s="235">
        <f t="shared" ca="1" si="283"/>
        <v>0</v>
      </c>
      <c r="LP24" s="235">
        <f t="shared" ca="1" si="284"/>
        <v>0</v>
      </c>
      <c r="LQ24" s="242">
        <f t="shared" ca="1" si="285"/>
        <v>0</v>
      </c>
      <c r="LR24" s="241">
        <f t="shared" ca="1" si="275"/>
        <v>1</v>
      </c>
      <c r="LS24" s="220">
        <f t="shared" ca="1" si="286"/>
        <v>0</v>
      </c>
      <c r="LT24" s="220">
        <f t="shared" ca="1" si="287"/>
        <v>0</v>
      </c>
      <c r="LU24" s="235">
        <f t="shared" ca="1" si="288"/>
        <v>0</v>
      </c>
      <c r="LV24" s="235">
        <f t="shared" ca="1" si="289"/>
        <v>0</v>
      </c>
      <c r="LW24" s="242">
        <f t="shared" ca="1" si="290"/>
        <v>0</v>
      </c>
      <c r="LX24" s="241">
        <f t="shared" ca="1" si="275"/>
        <v>1</v>
      </c>
      <c r="LY24" s="220">
        <f t="shared" ca="1" si="291"/>
        <v>0</v>
      </c>
      <c r="LZ24" s="220">
        <f t="shared" ca="1" si="292"/>
        <v>0</v>
      </c>
      <c r="MA24" s="235">
        <f t="shared" ca="1" si="293"/>
        <v>0</v>
      </c>
      <c r="MB24" s="235">
        <f t="shared" ca="1" si="294"/>
        <v>0</v>
      </c>
      <c r="MC24" s="242">
        <f t="shared" ca="1" si="295"/>
        <v>0</v>
      </c>
      <c r="MD24" s="241">
        <f t="shared" ca="1" si="275"/>
        <v>1</v>
      </c>
      <c r="ME24" s="220">
        <f t="shared" ca="1" si="296"/>
        <v>0</v>
      </c>
      <c r="MF24" s="220">
        <f t="shared" ca="1" si="297"/>
        <v>0</v>
      </c>
      <c r="MG24" s="235">
        <f t="shared" ca="1" si="298"/>
        <v>0</v>
      </c>
      <c r="MH24" s="235">
        <f t="shared" ca="1" si="299"/>
        <v>0</v>
      </c>
      <c r="MI24" s="242">
        <f t="shared" ca="1" si="300"/>
        <v>0</v>
      </c>
      <c r="MJ24" s="241">
        <f t="shared" ca="1" si="275"/>
        <v>1</v>
      </c>
      <c r="MK24" s="220">
        <f t="shared" ca="1" si="301"/>
        <v>0</v>
      </c>
      <c r="ML24" s="220">
        <f t="shared" ca="1" si="302"/>
        <v>0</v>
      </c>
      <c r="MM24" s="235">
        <f t="shared" ca="1" si="303"/>
        <v>0</v>
      </c>
      <c r="MN24" s="235">
        <f t="shared" ca="1" si="304"/>
        <v>0</v>
      </c>
      <c r="MO24" s="242">
        <f t="shared" ca="1" si="305"/>
        <v>0</v>
      </c>
      <c r="MP24" s="241">
        <f t="shared" ca="1" si="275"/>
        <v>1</v>
      </c>
      <c r="MQ24" s="220">
        <f t="shared" ca="1" si="306"/>
        <v>0</v>
      </c>
      <c r="MR24" s="220">
        <f t="shared" ca="1" si="307"/>
        <v>0</v>
      </c>
      <c r="MS24" s="235">
        <f t="shared" ca="1" si="308"/>
        <v>0</v>
      </c>
      <c r="MT24" s="235">
        <f t="shared" ca="1" si="309"/>
        <v>0</v>
      </c>
      <c r="MU24" s="242">
        <f t="shared" ca="1" si="310"/>
        <v>0</v>
      </c>
      <c r="MV24" s="241">
        <f t="shared" ca="1" si="275"/>
        <v>1</v>
      </c>
      <c r="MW24" s="220">
        <f t="shared" ca="1" si="311"/>
        <v>0</v>
      </c>
      <c r="MX24" s="220">
        <f t="shared" ca="1" si="312"/>
        <v>0</v>
      </c>
      <c r="MY24" s="235">
        <f t="shared" ca="1" si="313"/>
        <v>0</v>
      </c>
      <c r="MZ24" s="235">
        <f t="shared" ca="1" si="314"/>
        <v>0</v>
      </c>
      <c r="NA24" s="242">
        <f t="shared" ca="1" si="315"/>
        <v>0</v>
      </c>
      <c r="NB24" s="241">
        <f t="shared" ca="1" si="275"/>
        <v>1</v>
      </c>
      <c r="NC24" s="220">
        <f t="shared" ca="1" si="316"/>
        <v>0</v>
      </c>
      <c r="ND24" s="220">
        <f t="shared" ca="1" si="317"/>
        <v>0</v>
      </c>
      <c r="NE24" s="235">
        <f t="shared" ca="1" si="318"/>
        <v>0</v>
      </c>
      <c r="NF24" s="235">
        <f t="shared" ca="1" si="319"/>
        <v>0</v>
      </c>
      <c r="NG24" s="242">
        <f t="shared" ca="1" si="320"/>
        <v>0</v>
      </c>
      <c r="NH24" s="241">
        <f t="shared" ca="1" si="275"/>
        <v>1</v>
      </c>
      <c r="NI24" s="220">
        <f t="shared" ca="1" si="321"/>
        <v>0</v>
      </c>
      <c r="NJ24" s="220">
        <f t="shared" ca="1" si="322"/>
        <v>0</v>
      </c>
      <c r="NK24" s="235">
        <f t="shared" ca="1" si="323"/>
        <v>0</v>
      </c>
      <c r="NL24" s="235">
        <f t="shared" ca="1" si="324"/>
        <v>0</v>
      </c>
      <c r="NM24" s="242">
        <f t="shared" ca="1" si="325"/>
        <v>0</v>
      </c>
      <c r="NN24" s="241">
        <f t="shared" ca="1" si="275"/>
        <v>1</v>
      </c>
      <c r="NO24" s="220">
        <f t="shared" ca="1" si="326"/>
        <v>0</v>
      </c>
      <c r="NP24" s="220">
        <f t="shared" ca="1" si="327"/>
        <v>0</v>
      </c>
      <c r="NQ24" s="235">
        <f t="shared" ca="1" si="328"/>
        <v>0</v>
      </c>
      <c r="NR24" s="235">
        <f t="shared" ca="1" si="329"/>
        <v>0</v>
      </c>
      <c r="NS24" s="242">
        <f t="shared" ca="1" si="330"/>
        <v>0</v>
      </c>
      <c r="NT24" s="241">
        <f t="shared" ca="1" si="331"/>
        <v>1</v>
      </c>
      <c r="NU24" s="220">
        <f t="shared" ca="1" si="332"/>
        <v>0</v>
      </c>
      <c r="NV24" s="220">
        <f t="shared" ca="1" si="333"/>
        <v>0</v>
      </c>
      <c r="NW24" s="235">
        <f t="shared" ca="1" si="334"/>
        <v>0</v>
      </c>
      <c r="NX24" s="235">
        <f t="shared" ca="1" si="335"/>
        <v>0</v>
      </c>
      <c r="NY24" s="242">
        <f t="shared" ca="1" si="336"/>
        <v>0</v>
      </c>
      <c r="NZ24" s="241">
        <f t="shared" ca="1" si="331"/>
        <v>1</v>
      </c>
      <c r="OA24" s="220">
        <f t="shared" ca="1" si="337"/>
        <v>0</v>
      </c>
      <c r="OB24" s="220">
        <f t="shared" ca="1" si="338"/>
        <v>0</v>
      </c>
      <c r="OC24" s="235">
        <f t="shared" ca="1" si="339"/>
        <v>0</v>
      </c>
      <c r="OD24" s="235">
        <f t="shared" ca="1" si="340"/>
        <v>0</v>
      </c>
      <c r="OE24" s="242">
        <f t="shared" ca="1" si="341"/>
        <v>0</v>
      </c>
      <c r="OF24" s="241">
        <f t="shared" ca="1" si="331"/>
        <v>1</v>
      </c>
      <c r="OG24" s="220">
        <f t="shared" ca="1" si="342"/>
        <v>0</v>
      </c>
      <c r="OH24" s="220">
        <f t="shared" ca="1" si="343"/>
        <v>0</v>
      </c>
      <c r="OI24" s="235">
        <f t="shared" ca="1" si="344"/>
        <v>0</v>
      </c>
      <c r="OJ24" s="235">
        <f t="shared" ca="1" si="345"/>
        <v>0</v>
      </c>
      <c r="OK24" s="242">
        <f t="shared" ca="1" si="346"/>
        <v>0</v>
      </c>
      <c r="OL24" s="241">
        <f t="shared" ca="1" si="331"/>
        <v>1</v>
      </c>
      <c r="OM24" s="220">
        <f t="shared" ca="1" si="347"/>
        <v>0</v>
      </c>
      <c r="ON24" s="220">
        <f t="shared" ca="1" si="348"/>
        <v>0</v>
      </c>
      <c r="OO24" s="235">
        <f t="shared" ca="1" si="349"/>
        <v>0</v>
      </c>
      <c r="OP24" s="235">
        <f t="shared" ca="1" si="350"/>
        <v>0</v>
      </c>
      <c r="OQ24" s="242">
        <f t="shared" ca="1" si="351"/>
        <v>0</v>
      </c>
      <c r="OR24" s="241">
        <f t="shared" ca="1" si="331"/>
        <v>1</v>
      </c>
      <c r="OS24" s="220">
        <f t="shared" ca="1" si="352"/>
        <v>0</v>
      </c>
      <c r="OT24" s="220">
        <f t="shared" ca="1" si="353"/>
        <v>0</v>
      </c>
      <c r="OU24" s="235">
        <f t="shared" ca="1" si="354"/>
        <v>0</v>
      </c>
      <c r="OV24" s="235">
        <f t="shared" ca="1" si="355"/>
        <v>0</v>
      </c>
      <c r="OW24" s="242">
        <f t="shared" ca="1" si="356"/>
        <v>0</v>
      </c>
      <c r="OX24" s="241">
        <f t="shared" ca="1" si="331"/>
        <v>1</v>
      </c>
      <c r="OY24" s="220">
        <f t="shared" ca="1" si="357"/>
        <v>0</v>
      </c>
      <c r="OZ24" s="220">
        <f t="shared" ca="1" si="358"/>
        <v>0</v>
      </c>
      <c r="PA24" s="235">
        <f t="shared" ca="1" si="359"/>
        <v>0</v>
      </c>
      <c r="PB24" s="235">
        <f t="shared" ca="1" si="360"/>
        <v>0</v>
      </c>
      <c r="PC24" s="242">
        <f t="shared" ca="1" si="361"/>
        <v>0</v>
      </c>
      <c r="PD24" s="241">
        <f t="shared" ca="1" si="331"/>
        <v>1</v>
      </c>
      <c r="PE24" s="220">
        <f t="shared" ca="1" si="362"/>
        <v>0</v>
      </c>
      <c r="PF24" s="220">
        <f t="shared" ca="1" si="363"/>
        <v>0</v>
      </c>
      <c r="PG24" s="235">
        <f t="shared" ca="1" si="364"/>
        <v>0</v>
      </c>
      <c r="PH24" s="235">
        <f t="shared" ca="1" si="365"/>
        <v>0</v>
      </c>
      <c r="PI24" s="242">
        <f t="shared" ca="1" si="366"/>
        <v>0</v>
      </c>
      <c r="PJ24" s="241">
        <f t="shared" ca="1" si="331"/>
        <v>1</v>
      </c>
      <c r="PK24" s="220">
        <f t="shared" ca="1" si="367"/>
        <v>0</v>
      </c>
      <c r="PL24" s="220">
        <f t="shared" ca="1" si="368"/>
        <v>0</v>
      </c>
      <c r="PM24" s="235">
        <f t="shared" ca="1" si="369"/>
        <v>0</v>
      </c>
      <c r="PN24" s="235">
        <f t="shared" ca="1" si="370"/>
        <v>0</v>
      </c>
      <c r="PO24" s="242">
        <f t="shared" ca="1" si="371"/>
        <v>0</v>
      </c>
      <c r="PP24" s="241">
        <f t="shared" ca="1" si="331"/>
        <v>1</v>
      </c>
      <c r="PQ24" s="220">
        <f t="shared" ca="1" si="372"/>
        <v>0</v>
      </c>
      <c r="PR24" s="220">
        <f t="shared" ca="1" si="373"/>
        <v>0</v>
      </c>
      <c r="PS24" s="235">
        <f t="shared" ca="1" si="374"/>
        <v>0</v>
      </c>
      <c r="PT24" s="235">
        <f t="shared" ca="1" si="375"/>
        <v>0</v>
      </c>
      <c r="PU24" s="242">
        <f t="shared" ca="1" si="376"/>
        <v>0</v>
      </c>
      <c r="PV24" s="241">
        <f t="shared" ca="1" si="331"/>
        <v>1</v>
      </c>
      <c r="PW24" s="220">
        <f t="shared" ca="1" si="377"/>
        <v>0</v>
      </c>
      <c r="PX24" s="220">
        <f t="shared" ca="1" si="378"/>
        <v>0</v>
      </c>
      <c r="PY24" s="235">
        <f t="shared" ca="1" si="379"/>
        <v>0</v>
      </c>
      <c r="PZ24" s="235">
        <f t="shared" ca="1" si="380"/>
        <v>0</v>
      </c>
      <c r="QA24" s="242">
        <f t="shared" ca="1" si="381"/>
        <v>0</v>
      </c>
      <c r="QB24" s="241">
        <f t="shared" ca="1" si="331"/>
        <v>1</v>
      </c>
      <c r="QC24" s="220">
        <f t="shared" ca="1" si="382"/>
        <v>0</v>
      </c>
      <c r="QD24" s="220">
        <f t="shared" ca="1" si="383"/>
        <v>0</v>
      </c>
      <c r="QE24" s="235">
        <f t="shared" ca="1" si="384"/>
        <v>0</v>
      </c>
      <c r="QF24" s="235">
        <f t="shared" ca="1" si="385"/>
        <v>0</v>
      </c>
      <c r="QG24" s="242">
        <f t="shared" ca="1" si="386"/>
        <v>0</v>
      </c>
      <c r="QH24" s="241">
        <f t="shared" ca="1" si="387"/>
        <v>1</v>
      </c>
      <c r="QI24" s="220">
        <f t="shared" ca="1" si="388"/>
        <v>0</v>
      </c>
      <c r="QJ24" s="220">
        <f t="shared" ca="1" si="389"/>
        <v>0</v>
      </c>
      <c r="QK24" s="235">
        <f t="shared" ca="1" si="390"/>
        <v>0</v>
      </c>
      <c r="QL24" s="235">
        <f t="shared" ca="1" si="391"/>
        <v>0</v>
      </c>
      <c r="QM24" s="242">
        <f t="shared" ca="1" si="392"/>
        <v>0</v>
      </c>
      <c r="QN24" s="241">
        <f t="shared" ca="1" si="387"/>
        <v>1</v>
      </c>
      <c r="QO24" s="220">
        <f t="shared" ca="1" si="393"/>
        <v>0</v>
      </c>
      <c r="QP24" s="220">
        <f t="shared" ca="1" si="394"/>
        <v>0</v>
      </c>
      <c r="QQ24" s="235">
        <f t="shared" ca="1" si="395"/>
        <v>0</v>
      </c>
      <c r="QR24" s="235">
        <f t="shared" ca="1" si="396"/>
        <v>0</v>
      </c>
      <c r="QS24" s="242">
        <f t="shared" ca="1" si="397"/>
        <v>0</v>
      </c>
      <c r="QT24" s="241">
        <f t="shared" ca="1" si="387"/>
        <v>1</v>
      </c>
      <c r="QU24" s="220">
        <f t="shared" ca="1" si="398"/>
        <v>0</v>
      </c>
      <c r="QV24" s="220">
        <f t="shared" ca="1" si="399"/>
        <v>0</v>
      </c>
      <c r="QW24" s="235">
        <f t="shared" ca="1" si="400"/>
        <v>0</v>
      </c>
      <c r="QX24" s="235">
        <f t="shared" ca="1" si="401"/>
        <v>0</v>
      </c>
      <c r="QY24" s="242">
        <f t="shared" ca="1" si="402"/>
        <v>0</v>
      </c>
      <c r="QZ24" s="241">
        <f t="shared" ca="1" si="387"/>
        <v>1</v>
      </c>
      <c r="RA24" s="220">
        <f t="shared" ca="1" si="403"/>
        <v>0</v>
      </c>
      <c r="RB24" s="220">
        <f t="shared" ca="1" si="404"/>
        <v>0</v>
      </c>
      <c r="RC24" s="235">
        <f t="shared" ca="1" si="405"/>
        <v>0</v>
      </c>
      <c r="RD24" s="235">
        <f t="shared" ca="1" si="406"/>
        <v>0</v>
      </c>
      <c r="RE24" s="242">
        <f t="shared" ca="1" si="407"/>
        <v>0</v>
      </c>
      <c r="RF24" s="241">
        <f t="shared" ca="1" si="387"/>
        <v>1</v>
      </c>
      <c r="RG24" s="220">
        <f t="shared" ca="1" si="408"/>
        <v>0</v>
      </c>
      <c r="RH24" s="220">
        <f t="shared" ca="1" si="409"/>
        <v>0</v>
      </c>
      <c r="RI24" s="235">
        <f t="shared" ca="1" si="410"/>
        <v>0</v>
      </c>
      <c r="RJ24" s="235">
        <f t="shared" ca="1" si="411"/>
        <v>0</v>
      </c>
      <c r="RK24" s="242">
        <f t="shared" ca="1" si="412"/>
        <v>0</v>
      </c>
      <c r="RL24" s="241">
        <f t="shared" ca="1" si="387"/>
        <v>1</v>
      </c>
      <c r="RM24" s="220">
        <f t="shared" ca="1" si="413"/>
        <v>0</v>
      </c>
      <c r="RN24" s="220">
        <f t="shared" ca="1" si="414"/>
        <v>0</v>
      </c>
      <c r="RO24" s="235">
        <f t="shared" ca="1" si="415"/>
        <v>0</v>
      </c>
      <c r="RP24" s="235">
        <f t="shared" ca="1" si="416"/>
        <v>0</v>
      </c>
      <c r="RQ24" s="242">
        <f t="shared" ca="1" si="417"/>
        <v>0</v>
      </c>
      <c r="RR24" s="241">
        <f t="shared" ca="1" si="387"/>
        <v>1</v>
      </c>
      <c r="RS24" s="220">
        <f t="shared" ca="1" si="418"/>
        <v>0</v>
      </c>
      <c r="RT24" s="220">
        <f t="shared" ca="1" si="419"/>
        <v>0</v>
      </c>
      <c r="RU24" s="235">
        <f t="shared" ca="1" si="420"/>
        <v>0</v>
      </c>
      <c r="RV24" s="235">
        <f t="shared" ca="1" si="421"/>
        <v>0</v>
      </c>
      <c r="RW24" s="242">
        <f t="shared" ca="1" si="422"/>
        <v>0</v>
      </c>
      <c r="RX24" s="241">
        <f t="shared" ca="1" si="387"/>
        <v>1</v>
      </c>
      <c r="RY24" s="220">
        <f t="shared" ca="1" si="423"/>
        <v>0</v>
      </c>
      <c r="RZ24" s="220">
        <f t="shared" ca="1" si="424"/>
        <v>0</v>
      </c>
      <c r="SA24" s="235">
        <f t="shared" ca="1" si="425"/>
        <v>0</v>
      </c>
      <c r="SB24" s="235">
        <f t="shared" ca="1" si="426"/>
        <v>0</v>
      </c>
      <c r="SC24" s="242">
        <f t="shared" ca="1" si="427"/>
        <v>0</v>
      </c>
      <c r="SD24" s="241">
        <f t="shared" ca="1" si="387"/>
        <v>1</v>
      </c>
      <c r="SE24" s="220">
        <f t="shared" ca="1" si="428"/>
        <v>0</v>
      </c>
      <c r="SF24" s="220">
        <f t="shared" ca="1" si="429"/>
        <v>0</v>
      </c>
      <c r="SG24" s="235">
        <f t="shared" ca="1" si="430"/>
        <v>0</v>
      </c>
      <c r="SH24" s="235">
        <f t="shared" ca="1" si="431"/>
        <v>0</v>
      </c>
      <c r="SI24" s="242">
        <f t="shared" ca="1" si="432"/>
        <v>0</v>
      </c>
      <c r="SJ24" s="241">
        <f t="shared" ca="1" si="387"/>
        <v>1</v>
      </c>
      <c r="SK24" s="220">
        <f t="shared" ca="1" si="433"/>
        <v>0</v>
      </c>
      <c r="SL24" s="220">
        <f t="shared" ca="1" si="434"/>
        <v>0</v>
      </c>
      <c r="SM24" s="235">
        <f t="shared" ca="1" si="435"/>
        <v>0</v>
      </c>
      <c r="SN24" s="235">
        <f t="shared" ca="1" si="436"/>
        <v>0</v>
      </c>
      <c r="SO24" s="242">
        <f t="shared" ca="1" si="437"/>
        <v>0</v>
      </c>
      <c r="SP24" s="241">
        <f t="shared" ca="1" si="387"/>
        <v>1</v>
      </c>
      <c r="SQ24" s="220">
        <f t="shared" ca="1" si="438"/>
        <v>0</v>
      </c>
      <c r="SR24" s="220">
        <f t="shared" ca="1" si="439"/>
        <v>0</v>
      </c>
      <c r="SS24" s="235">
        <f t="shared" ca="1" si="440"/>
        <v>0</v>
      </c>
      <c r="ST24" s="235">
        <f t="shared" ca="1" si="441"/>
        <v>0</v>
      </c>
      <c r="SU24" s="242">
        <f t="shared" ca="1" si="442"/>
        <v>0</v>
      </c>
      <c r="SV24" s="241">
        <f t="shared" ca="1" si="443"/>
        <v>1</v>
      </c>
      <c r="SW24" s="220">
        <f t="shared" ca="1" si="444"/>
        <v>0</v>
      </c>
      <c r="SX24" s="220">
        <f t="shared" ca="1" si="445"/>
        <v>0</v>
      </c>
      <c r="SY24" s="235">
        <f t="shared" ca="1" si="446"/>
        <v>0</v>
      </c>
      <c r="SZ24" s="235">
        <f t="shared" ca="1" si="447"/>
        <v>0</v>
      </c>
      <c r="TA24" s="242">
        <f t="shared" ca="1" si="448"/>
        <v>0</v>
      </c>
      <c r="TB24" s="241">
        <f t="shared" ca="1" si="443"/>
        <v>1</v>
      </c>
      <c r="TC24" s="220">
        <f t="shared" ca="1" si="449"/>
        <v>0</v>
      </c>
      <c r="TD24" s="220">
        <f t="shared" ca="1" si="450"/>
        <v>0</v>
      </c>
      <c r="TE24" s="235">
        <f t="shared" ca="1" si="451"/>
        <v>0</v>
      </c>
      <c r="TF24" s="235">
        <f t="shared" ca="1" si="452"/>
        <v>0</v>
      </c>
      <c r="TG24" s="242">
        <f t="shared" ca="1" si="453"/>
        <v>0</v>
      </c>
      <c r="TH24" s="241">
        <f t="shared" ca="1" si="443"/>
        <v>1</v>
      </c>
      <c r="TI24" s="220">
        <f t="shared" ca="1" si="454"/>
        <v>0</v>
      </c>
      <c r="TJ24" s="220">
        <f t="shared" ca="1" si="455"/>
        <v>0</v>
      </c>
      <c r="TK24" s="235">
        <f t="shared" ca="1" si="456"/>
        <v>0</v>
      </c>
      <c r="TL24" s="235">
        <f t="shared" ca="1" si="457"/>
        <v>0</v>
      </c>
      <c r="TM24" s="242">
        <f t="shared" ca="1" si="458"/>
        <v>0</v>
      </c>
      <c r="TN24" s="241">
        <f t="shared" ca="1" si="443"/>
        <v>1</v>
      </c>
      <c r="TO24" s="220">
        <f t="shared" ca="1" si="459"/>
        <v>0</v>
      </c>
      <c r="TP24" s="220">
        <f t="shared" ca="1" si="460"/>
        <v>0</v>
      </c>
      <c r="TQ24" s="235">
        <f t="shared" ca="1" si="461"/>
        <v>0</v>
      </c>
      <c r="TR24" s="235">
        <f t="shared" ca="1" si="462"/>
        <v>0</v>
      </c>
      <c r="TS24" s="242">
        <f t="shared" ca="1" si="463"/>
        <v>0</v>
      </c>
      <c r="TT24" s="241">
        <f t="shared" ca="1" si="443"/>
        <v>1</v>
      </c>
      <c r="TU24" s="220">
        <f t="shared" ca="1" si="464"/>
        <v>0</v>
      </c>
      <c r="TV24" s="220">
        <f t="shared" ca="1" si="465"/>
        <v>0</v>
      </c>
      <c r="TW24" s="235">
        <f t="shared" ca="1" si="466"/>
        <v>0</v>
      </c>
      <c r="TX24" s="235">
        <f t="shared" ca="1" si="467"/>
        <v>0</v>
      </c>
      <c r="TY24" s="242">
        <f t="shared" ca="1" si="468"/>
        <v>0</v>
      </c>
      <c r="TZ24" s="241">
        <f t="shared" ca="1" si="443"/>
        <v>1</v>
      </c>
      <c r="UA24" s="220">
        <f t="shared" ca="1" si="469"/>
        <v>0</v>
      </c>
      <c r="UB24" s="220">
        <f t="shared" ca="1" si="470"/>
        <v>0</v>
      </c>
      <c r="UC24" s="235">
        <f t="shared" ca="1" si="471"/>
        <v>0</v>
      </c>
      <c r="UD24" s="235">
        <f t="shared" ca="1" si="472"/>
        <v>0</v>
      </c>
      <c r="UE24" s="242">
        <f t="shared" ca="1" si="473"/>
        <v>0</v>
      </c>
      <c r="UF24" s="241">
        <f t="shared" ca="1" si="443"/>
        <v>1</v>
      </c>
      <c r="UG24" s="220">
        <f t="shared" ca="1" si="474"/>
        <v>0</v>
      </c>
      <c r="UH24" s="220">
        <f t="shared" ca="1" si="475"/>
        <v>0</v>
      </c>
      <c r="UI24" s="235">
        <f t="shared" ca="1" si="476"/>
        <v>0</v>
      </c>
      <c r="UJ24" s="235">
        <f t="shared" ca="1" si="477"/>
        <v>0</v>
      </c>
      <c r="UK24" s="242">
        <f t="shared" ca="1" si="478"/>
        <v>0</v>
      </c>
      <c r="UL24" s="241">
        <f t="shared" ca="1" si="443"/>
        <v>1</v>
      </c>
      <c r="UM24" s="220">
        <f t="shared" ca="1" si="479"/>
        <v>0</v>
      </c>
      <c r="UN24" s="220">
        <f t="shared" ca="1" si="480"/>
        <v>0</v>
      </c>
      <c r="UO24" s="235">
        <f t="shared" ca="1" si="481"/>
        <v>0</v>
      </c>
      <c r="UP24" s="235">
        <f t="shared" ca="1" si="482"/>
        <v>0</v>
      </c>
      <c r="UQ24" s="242">
        <f t="shared" ca="1" si="483"/>
        <v>0</v>
      </c>
      <c r="UR24" s="241">
        <f t="shared" ca="1" si="443"/>
        <v>1</v>
      </c>
      <c r="US24" s="220">
        <f t="shared" ca="1" si="484"/>
        <v>0</v>
      </c>
      <c r="UT24" s="220">
        <f t="shared" ca="1" si="485"/>
        <v>0</v>
      </c>
      <c r="UU24" s="235">
        <f t="shared" ca="1" si="486"/>
        <v>0</v>
      </c>
      <c r="UV24" s="235">
        <f t="shared" ca="1" si="487"/>
        <v>0</v>
      </c>
      <c r="UW24" s="242">
        <f t="shared" ca="1" si="488"/>
        <v>0</v>
      </c>
      <c r="UX24" s="241">
        <f t="shared" ca="1" si="443"/>
        <v>1</v>
      </c>
      <c r="UY24" s="220">
        <f t="shared" ca="1" si="489"/>
        <v>0</v>
      </c>
      <c r="UZ24" s="220">
        <f t="shared" ca="1" si="490"/>
        <v>0</v>
      </c>
      <c r="VA24" s="235">
        <f t="shared" ca="1" si="491"/>
        <v>0</v>
      </c>
      <c r="VB24" s="235">
        <f t="shared" ca="1" si="492"/>
        <v>0</v>
      </c>
      <c r="VC24" s="242">
        <f t="shared" ca="1" si="493"/>
        <v>0</v>
      </c>
      <c r="VD24" s="241">
        <f t="shared" ca="1" si="443"/>
        <v>1</v>
      </c>
      <c r="VE24" s="220">
        <f t="shared" ca="1" si="494"/>
        <v>0</v>
      </c>
      <c r="VF24" s="220">
        <f t="shared" ca="1" si="495"/>
        <v>0</v>
      </c>
      <c r="VG24" s="235">
        <f t="shared" ca="1" si="496"/>
        <v>0</v>
      </c>
      <c r="VH24" s="235">
        <f t="shared" ca="1" si="497"/>
        <v>0</v>
      </c>
      <c r="VI24" s="242">
        <f t="shared" ca="1" si="498"/>
        <v>0</v>
      </c>
      <c r="VJ24" s="241">
        <f t="shared" ca="1" si="499"/>
        <v>1</v>
      </c>
      <c r="VK24" s="220">
        <f t="shared" ca="1" si="500"/>
        <v>0</v>
      </c>
      <c r="VL24" s="220">
        <f t="shared" ca="1" si="501"/>
        <v>0</v>
      </c>
      <c r="VM24" s="235">
        <f t="shared" ca="1" si="502"/>
        <v>0</v>
      </c>
      <c r="VN24" s="235">
        <f t="shared" ca="1" si="503"/>
        <v>0</v>
      </c>
      <c r="VO24" s="242">
        <f t="shared" ca="1" si="504"/>
        <v>0</v>
      </c>
      <c r="VP24" s="241">
        <f t="shared" ca="1" si="499"/>
        <v>1</v>
      </c>
      <c r="VQ24" s="220">
        <f t="shared" ca="1" si="505"/>
        <v>0</v>
      </c>
      <c r="VR24" s="220">
        <f t="shared" ca="1" si="506"/>
        <v>0</v>
      </c>
      <c r="VS24" s="235">
        <f t="shared" ca="1" si="507"/>
        <v>0</v>
      </c>
      <c r="VT24" s="235">
        <f t="shared" ca="1" si="508"/>
        <v>0</v>
      </c>
      <c r="VU24" s="242">
        <f t="shared" ca="1" si="509"/>
        <v>0</v>
      </c>
      <c r="VV24" s="241">
        <f t="shared" ca="1" si="499"/>
        <v>1</v>
      </c>
      <c r="VW24" s="220">
        <f t="shared" ca="1" si="510"/>
        <v>0</v>
      </c>
      <c r="VX24" s="220">
        <f t="shared" ca="1" si="511"/>
        <v>0</v>
      </c>
      <c r="VY24" s="235">
        <f t="shared" ca="1" si="512"/>
        <v>0</v>
      </c>
      <c r="VZ24" s="235">
        <f t="shared" ca="1" si="513"/>
        <v>0</v>
      </c>
      <c r="WA24" s="242">
        <f t="shared" ca="1" si="514"/>
        <v>0</v>
      </c>
      <c r="WB24" s="241">
        <f t="shared" ca="1" si="499"/>
        <v>1</v>
      </c>
      <c r="WC24" s="220">
        <f t="shared" ca="1" si="515"/>
        <v>0</v>
      </c>
      <c r="WD24" s="220">
        <f t="shared" ca="1" si="516"/>
        <v>0</v>
      </c>
      <c r="WE24" s="235">
        <f t="shared" ca="1" si="517"/>
        <v>0</v>
      </c>
      <c r="WF24" s="235">
        <f t="shared" ca="1" si="518"/>
        <v>0</v>
      </c>
      <c r="WG24" s="242">
        <f t="shared" ca="1" si="519"/>
        <v>0</v>
      </c>
      <c r="WH24" s="241">
        <f t="shared" ca="1" si="499"/>
        <v>1</v>
      </c>
      <c r="WI24" s="220">
        <f t="shared" ca="1" si="520"/>
        <v>0</v>
      </c>
      <c r="WJ24" s="220">
        <f t="shared" ca="1" si="521"/>
        <v>0</v>
      </c>
      <c r="WK24" s="235">
        <f t="shared" ca="1" si="522"/>
        <v>0</v>
      </c>
      <c r="WL24" s="235">
        <f t="shared" ca="1" si="523"/>
        <v>0</v>
      </c>
      <c r="WM24" s="242">
        <f t="shared" ca="1" si="524"/>
        <v>0</v>
      </c>
      <c r="WN24" s="241">
        <f t="shared" ca="1" si="499"/>
        <v>1</v>
      </c>
      <c r="WO24" s="220">
        <f t="shared" ca="1" si="525"/>
        <v>0</v>
      </c>
      <c r="WP24" s="220">
        <f t="shared" ca="1" si="526"/>
        <v>0</v>
      </c>
      <c r="WQ24" s="235">
        <f t="shared" ca="1" si="527"/>
        <v>0</v>
      </c>
      <c r="WR24" s="235">
        <f t="shared" ca="1" si="528"/>
        <v>0</v>
      </c>
      <c r="WS24" s="242">
        <f t="shared" ca="1" si="529"/>
        <v>0</v>
      </c>
      <c r="WT24" s="241">
        <f t="shared" ca="1" si="499"/>
        <v>1</v>
      </c>
      <c r="WU24" s="220">
        <f t="shared" ca="1" si="530"/>
        <v>0</v>
      </c>
      <c r="WV24" s="220">
        <f t="shared" ca="1" si="531"/>
        <v>0</v>
      </c>
      <c r="WW24" s="235">
        <f t="shared" ca="1" si="532"/>
        <v>0</v>
      </c>
      <c r="WX24" s="235">
        <f t="shared" ca="1" si="533"/>
        <v>0</v>
      </c>
      <c r="WY24" s="242">
        <f t="shared" ca="1" si="534"/>
        <v>0</v>
      </c>
      <c r="WZ24" s="241">
        <f t="shared" ca="1" si="499"/>
        <v>1</v>
      </c>
      <c r="XA24" s="220">
        <f t="shared" ca="1" si="535"/>
        <v>0</v>
      </c>
      <c r="XB24" s="220">
        <f t="shared" ca="1" si="536"/>
        <v>0</v>
      </c>
      <c r="XC24" s="235">
        <f t="shared" ca="1" si="537"/>
        <v>0</v>
      </c>
      <c r="XD24" s="235">
        <f t="shared" ca="1" si="538"/>
        <v>0</v>
      </c>
      <c r="XE24" s="242">
        <f t="shared" ca="1" si="539"/>
        <v>0</v>
      </c>
      <c r="XF24" s="241">
        <f t="shared" ca="1" si="499"/>
        <v>1</v>
      </c>
      <c r="XG24" s="220">
        <f t="shared" ca="1" si="540"/>
        <v>0</v>
      </c>
      <c r="XH24" s="220">
        <f t="shared" ca="1" si="541"/>
        <v>0</v>
      </c>
      <c r="XI24" s="235">
        <f t="shared" ca="1" si="542"/>
        <v>0</v>
      </c>
      <c r="XJ24" s="235">
        <f t="shared" ca="1" si="543"/>
        <v>0</v>
      </c>
      <c r="XK24" s="242">
        <f t="shared" ca="1" si="544"/>
        <v>0</v>
      </c>
    </row>
    <row r="25" spans="2:635" x14ac:dyDescent="0.25">
      <c r="B25" s="65">
        <f t="shared" ca="1" si="14"/>
        <v>2040</v>
      </c>
      <c r="C25" s="65" t="s">
        <v>741</v>
      </c>
      <c r="D25" s="77">
        <f t="shared" si="15"/>
        <v>0</v>
      </c>
      <c r="E25" s="77">
        <f t="shared" si="16"/>
        <v>0</v>
      </c>
      <c r="F25" s="77">
        <f t="shared" si="17"/>
        <v>0</v>
      </c>
      <c r="G25" s="77">
        <f t="shared" si="18"/>
        <v>0</v>
      </c>
      <c r="H25" s="15" t="e">
        <f t="shared" ca="1" si="19"/>
        <v>#REF!</v>
      </c>
      <c r="L25" s="326">
        <f t="shared" ca="1" si="20"/>
        <v>3.5000000000000003E-2</v>
      </c>
      <c r="M25" s="327">
        <f t="shared" ca="1" si="21"/>
        <v>3.5000000000000003E-2</v>
      </c>
      <c r="N25" s="322">
        <f t="shared" ca="1" si="22"/>
        <v>-17</v>
      </c>
      <c r="O25" s="322">
        <f t="shared" ca="1" si="23"/>
        <v>0</v>
      </c>
      <c r="P25" s="328">
        <f t="shared" ca="1" si="545"/>
        <v>0</v>
      </c>
      <c r="Q25" s="328">
        <f t="shared" ca="1" si="546"/>
        <v>0</v>
      </c>
      <c r="R25" s="328">
        <f t="shared" ca="1" si="547"/>
        <v>0</v>
      </c>
      <c r="S25" s="329">
        <f t="shared" ca="1" si="24"/>
        <v>0</v>
      </c>
      <c r="T25" s="329">
        <f t="shared" ca="1" si="25"/>
        <v>0</v>
      </c>
      <c r="U25" s="329">
        <f t="shared" ca="1" si="26"/>
        <v>0</v>
      </c>
      <c r="V25" s="320" t="e">
        <f t="shared" ca="1" si="27"/>
        <v>#REF!</v>
      </c>
      <c r="W25" s="320" t="e">
        <f t="shared" ca="1" si="28"/>
        <v>#REF!</v>
      </c>
      <c r="X25" s="320" t="e">
        <f t="shared" ca="1" si="29"/>
        <v>#REF!</v>
      </c>
      <c r="Y25" s="320" t="e">
        <f ca="1">INDEX(SC_ZA_HECMLumpSum,ZAIDX)</f>
        <v>#REF!</v>
      </c>
      <c r="Z25" s="320" t="e">
        <f t="shared" ca="1" si="30"/>
        <v>#REF!</v>
      </c>
      <c r="AA25" s="320">
        <f t="shared" ca="1" si="557"/>
        <v>0</v>
      </c>
      <c r="AB25" s="320" t="e">
        <f t="shared" ca="1" si="558"/>
        <v>#REF!</v>
      </c>
      <c r="AC25" s="330" t="e">
        <f t="shared" ca="1" si="559"/>
        <v>#REF!</v>
      </c>
      <c r="AD25" s="236" t="e">
        <f t="shared" ca="1" si="548"/>
        <v>#REF!</v>
      </c>
      <c r="AE25" s="320" t="e">
        <f t="shared" ca="1" si="34"/>
        <v>#REF!</v>
      </c>
      <c r="AF25" s="320" t="e">
        <f t="shared" ca="1" si="35"/>
        <v>#REF!</v>
      </c>
      <c r="AG25" s="320" t="e">
        <f t="shared" ca="1" si="549"/>
        <v>#REF!</v>
      </c>
      <c r="AH25" s="284" t="e">
        <f t="shared" ca="1" si="550"/>
        <v>#REF!</v>
      </c>
      <c r="AI25" s="318" t="e">
        <f t="shared" ca="1" si="551"/>
        <v>#REF!</v>
      </c>
      <c r="AJ25" s="331">
        <f t="shared" ca="1" si="552"/>
        <v>1</v>
      </c>
      <c r="AK25" s="220">
        <f t="shared" ca="1" si="553"/>
        <v>0</v>
      </c>
      <c r="AL25" s="220">
        <f t="shared" ca="1" si="37"/>
        <v>0</v>
      </c>
      <c r="AM25" s="235">
        <f t="shared" ca="1" si="554"/>
        <v>0</v>
      </c>
      <c r="AN25" s="235">
        <f t="shared" ca="1" si="555"/>
        <v>0</v>
      </c>
      <c r="AO25" s="242">
        <f t="shared" ca="1" si="556"/>
        <v>0</v>
      </c>
      <c r="AP25" s="241">
        <f t="shared" ca="1" si="552"/>
        <v>1</v>
      </c>
      <c r="AQ25" s="220">
        <f t="shared" ca="1" si="41"/>
        <v>0</v>
      </c>
      <c r="AR25" s="220">
        <f t="shared" ca="1" si="42"/>
        <v>0</v>
      </c>
      <c r="AS25" s="235">
        <f t="shared" ca="1" si="43"/>
        <v>0</v>
      </c>
      <c r="AT25" s="235">
        <f t="shared" ca="1" si="44"/>
        <v>0</v>
      </c>
      <c r="AU25" s="242">
        <f t="shared" ca="1" si="45"/>
        <v>0</v>
      </c>
      <c r="AV25" s="241">
        <f t="shared" ca="1" si="552"/>
        <v>1</v>
      </c>
      <c r="AW25" s="220">
        <f t="shared" ca="1" si="46"/>
        <v>0</v>
      </c>
      <c r="AX25" s="220">
        <f t="shared" ca="1" si="47"/>
        <v>0</v>
      </c>
      <c r="AY25" s="235">
        <f t="shared" ca="1" si="48"/>
        <v>0</v>
      </c>
      <c r="AZ25" s="235">
        <f t="shared" ca="1" si="49"/>
        <v>0</v>
      </c>
      <c r="BA25" s="242">
        <f t="shared" ca="1" si="50"/>
        <v>0</v>
      </c>
      <c r="BB25" s="241">
        <f t="shared" ca="1" si="552"/>
        <v>1</v>
      </c>
      <c r="BC25" s="220">
        <f t="shared" ca="1" si="52"/>
        <v>0</v>
      </c>
      <c r="BD25" s="220">
        <f t="shared" ca="1" si="53"/>
        <v>0</v>
      </c>
      <c r="BE25" s="235">
        <f t="shared" ca="1" si="54"/>
        <v>0</v>
      </c>
      <c r="BF25" s="235">
        <f t="shared" ca="1" si="55"/>
        <v>0</v>
      </c>
      <c r="BG25" s="242">
        <f t="shared" ca="1" si="56"/>
        <v>0</v>
      </c>
      <c r="BH25" s="241">
        <f t="shared" ca="1" si="552"/>
        <v>1</v>
      </c>
      <c r="BI25" s="220">
        <f t="shared" ca="1" si="57"/>
        <v>0</v>
      </c>
      <c r="BJ25" s="220">
        <f t="shared" ca="1" si="58"/>
        <v>0</v>
      </c>
      <c r="BK25" s="235">
        <f t="shared" ca="1" si="59"/>
        <v>0</v>
      </c>
      <c r="BL25" s="235">
        <f t="shared" ca="1" si="60"/>
        <v>0</v>
      </c>
      <c r="BM25" s="242">
        <f t="shared" ca="1" si="61"/>
        <v>0</v>
      </c>
      <c r="BN25" s="241">
        <f t="shared" ca="1" si="552"/>
        <v>1</v>
      </c>
      <c r="BO25" s="220">
        <f t="shared" ca="1" si="62"/>
        <v>0</v>
      </c>
      <c r="BP25" s="220">
        <f t="shared" ca="1" si="63"/>
        <v>0</v>
      </c>
      <c r="BQ25" s="235">
        <f t="shared" ca="1" si="64"/>
        <v>0</v>
      </c>
      <c r="BR25" s="235">
        <f t="shared" ca="1" si="65"/>
        <v>0</v>
      </c>
      <c r="BS25" s="242">
        <f t="shared" ca="1" si="66"/>
        <v>0</v>
      </c>
      <c r="BT25" s="241">
        <f t="shared" ca="1" si="552"/>
        <v>1</v>
      </c>
      <c r="BU25" s="220">
        <f t="shared" ca="1" si="67"/>
        <v>0</v>
      </c>
      <c r="BV25" s="220">
        <f t="shared" ca="1" si="68"/>
        <v>0</v>
      </c>
      <c r="BW25" s="235">
        <f t="shared" ca="1" si="69"/>
        <v>0</v>
      </c>
      <c r="BX25" s="235">
        <f t="shared" ca="1" si="70"/>
        <v>0</v>
      </c>
      <c r="BY25" s="242">
        <f t="shared" ca="1" si="71"/>
        <v>0</v>
      </c>
      <c r="BZ25" s="241">
        <f t="shared" ca="1" si="552"/>
        <v>1</v>
      </c>
      <c r="CA25" s="220">
        <f t="shared" ca="1" si="72"/>
        <v>0</v>
      </c>
      <c r="CB25" s="220">
        <f t="shared" ca="1" si="73"/>
        <v>0</v>
      </c>
      <c r="CC25" s="235">
        <f t="shared" ca="1" si="74"/>
        <v>0</v>
      </c>
      <c r="CD25" s="235">
        <f t="shared" ca="1" si="75"/>
        <v>0</v>
      </c>
      <c r="CE25" s="242">
        <f t="shared" ca="1" si="76"/>
        <v>0</v>
      </c>
      <c r="CF25" s="241">
        <f t="shared" ca="1" si="552"/>
        <v>1</v>
      </c>
      <c r="CG25" s="220">
        <f t="shared" ca="1" si="77"/>
        <v>0</v>
      </c>
      <c r="CH25" s="220">
        <f t="shared" ca="1" si="78"/>
        <v>0</v>
      </c>
      <c r="CI25" s="235">
        <f t="shared" ca="1" si="79"/>
        <v>0</v>
      </c>
      <c r="CJ25" s="235">
        <f t="shared" ca="1" si="80"/>
        <v>0</v>
      </c>
      <c r="CK25" s="242">
        <f t="shared" ca="1" si="81"/>
        <v>0</v>
      </c>
      <c r="CL25" s="241">
        <f t="shared" ca="1" si="552"/>
        <v>1</v>
      </c>
      <c r="CM25" s="220">
        <f t="shared" ca="1" si="82"/>
        <v>0</v>
      </c>
      <c r="CN25" s="220">
        <f t="shared" ca="1" si="83"/>
        <v>0</v>
      </c>
      <c r="CO25" s="235">
        <f t="shared" ca="1" si="84"/>
        <v>0</v>
      </c>
      <c r="CP25" s="235">
        <f t="shared" ca="1" si="85"/>
        <v>0</v>
      </c>
      <c r="CQ25" s="242">
        <f t="shared" ca="1" si="86"/>
        <v>0</v>
      </c>
      <c r="CR25" s="241">
        <f t="shared" ca="1" si="552"/>
        <v>1</v>
      </c>
      <c r="CS25" s="220">
        <f t="shared" ca="1" si="87"/>
        <v>0</v>
      </c>
      <c r="CT25" s="220">
        <f t="shared" ca="1" si="88"/>
        <v>0</v>
      </c>
      <c r="CU25" s="235">
        <f t="shared" ca="1" si="89"/>
        <v>0</v>
      </c>
      <c r="CV25" s="235">
        <f t="shared" ca="1" si="90"/>
        <v>0</v>
      </c>
      <c r="CW25" s="242">
        <f t="shared" ca="1" si="91"/>
        <v>0</v>
      </c>
      <c r="CX25" s="241">
        <f t="shared" ca="1" si="51"/>
        <v>1</v>
      </c>
      <c r="CY25" s="220">
        <f t="shared" ca="1" si="92"/>
        <v>0</v>
      </c>
      <c r="CZ25" s="220">
        <f t="shared" ca="1" si="93"/>
        <v>0</v>
      </c>
      <c r="DA25" s="235">
        <f t="shared" ca="1" si="94"/>
        <v>0</v>
      </c>
      <c r="DB25" s="235">
        <f t="shared" ca="1" si="95"/>
        <v>0</v>
      </c>
      <c r="DC25" s="242">
        <f t="shared" ca="1" si="96"/>
        <v>0</v>
      </c>
      <c r="DD25" s="241">
        <f t="shared" ca="1" si="51"/>
        <v>1</v>
      </c>
      <c r="DE25" s="220">
        <f t="shared" ca="1" si="97"/>
        <v>0</v>
      </c>
      <c r="DF25" s="220">
        <f t="shared" ca="1" si="98"/>
        <v>0</v>
      </c>
      <c r="DG25" s="235">
        <f t="shared" ca="1" si="99"/>
        <v>0</v>
      </c>
      <c r="DH25" s="235">
        <f t="shared" ca="1" si="100"/>
        <v>0</v>
      </c>
      <c r="DI25" s="242">
        <f t="shared" ca="1" si="101"/>
        <v>0</v>
      </c>
      <c r="DJ25" s="241">
        <f t="shared" ca="1" si="51"/>
        <v>1</v>
      </c>
      <c r="DK25" s="220">
        <f t="shared" ca="1" si="102"/>
        <v>0</v>
      </c>
      <c r="DL25" s="220">
        <f t="shared" ca="1" si="103"/>
        <v>0</v>
      </c>
      <c r="DM25" s="235">
        <f t="shared" ca="1" si="104"/>
        <v>0</v>
      </c>
      <c r="DN25" s="235">
        <f t="shared" ca="1" si="105"/>
        <v>0</v>
      </c>
      <c r="DO25" s="242">
        <f t="shared" ca="1" si="106"/>
        <v>0</v>
      </c>
      <c r="DP25" s="241">
        <f t="shared" ca="1" si="107"/>
        <v>1</v>
      </c>
      <c r="DQ25" s="220">
        <f t="shared" ca="1" si="108"/>
        <v>0</v>
      </c>
      <c r="DR25" s="220">
        <f t="shared" ca="1" si="109"/>
        <v>0</v>
      </c>
      <c r="DS25" s="235">
        <f t="shared" ca="1" si="110"/>
        <v>0</v>
      </c>
      <c r="DT25" s="235">
        <f t="shared" ca="1" si="111"/>
        <v>0</v>
      </c>
      <c r="DU25" s="242">
        <f t="shared" ca="1" si="112"/>
        <v>0</v>
      </c>
      <c r="DV25" s="241">
        <f t="shared" ca="1" si="107"/>
        <v>1</v>
      </c>
      <c r="DW25" s="220">
        <f t="shared" ca="1" si="113"/>
        <v>0</v>
      </c>
      <c r="DX25" s="220">
        <f t="shared" ca="1" si="114"/>
        <v>0</v>
      </c>
      <c r="DY25" s="235">
        <f t="shared" ca="1" si="115"/>
        <v>0</v>
      </c>
      <c r="DZ25" s="235">
        <f t="shared" ca="1" si="116"/>
        <v>0</v>
      </c>
      <c r="EA25" s="242">
        <f t="shared" ca="1" si="117"/>
        <v>0</v>
      </c>
      <c r="EB25" s="241">
        <f t="shared" ca="1" si="107"/>
        <v>1</v>
      </c>
      <c r="EC25" s="220">
        <f t="shared" ca="1" si="118"/>
        <v>0</v>
      </c>
      <c r="ED25" s="220">
        <f t="shared" ca="1" si="119"/>
        <v>0</v>
      </c>
      <c r="EE25" s="235">
        <f t="shared" ca="1" si="120"/>
        <v>0</v>
      </c>
      <c r="EF25" s="235">
        <f t="shared" ca="1" si="121"/>
        <v>0</v>
      </c>
      <c r="EG25" s="242">
        <f t="shared" ca="1" si="122"/>
        <v>0</v>
      </c>
      <c r="EH25" s="241">
        <f t="shared" ca="1" si="107"/>
        <v>1</v>
      </c>
      <c r="EI25" s="220">
        <f t="shared" ca="1" si="123"/>
        <v>0</v>
      </c>
      <c r="EJ25" s="220">
        <f t="shared" ca="1" si="124"/>
        <v>0</v>
      </c>
      <c r="EK25" s="235">
        <f t="shared" ca="1" si="125"/>
        <v>0</v>
      </c>
      <c r="EL25" s="235">
        <f t="shared" ca="1" si="126"/>
        <v>0</v>
      </c>
      <c r="EM25" s="242">
        <f t="shared" ca="1" si="127"/>
        <v>0</v>
      </c>
      <c r="EN25" s="241">
        <f t="shared" ca="1" si="107"/>
        <v>1</v>
      </c>
      <c r="EO25" s="220">
        <f t="shared" ca="1" si="128"/>
        <v>0</v>
      </c>
      <c r="EP25" s="220">
        <f t="shared" ca="1" si="129"/>
        <v>0</v>
      </c>
      <c r="EQ25" s="235">
        <f t="shared" ca="1" si="130"/>
        <v>0</v>
      </c>
      <c r="ER25" s="235">
        <f t="shared" ca="1" si="131"/>
        <v>0</v>
      </c>
      <c r="ES25" s="242">
        <f t="shared" ca="1" si="132"/>
        <v>0</v>
      </c>
      <c r="ET25" s="241">
        <f t="shared" ca="1" si="107"/>
        <v>1</v>
      </c>
      <c r="EU25" s="220">
        <f t="shared" ca="1" si="133"/>
        <v>0</v>
      </c>
      <c r="EV25" s="220">
        <f t="shared" ca="1" si="134"/>
        <v>0</v>
      </c>
      <c r="EW25" s="235">
        <f t="shared" ca="1" si="135"/>
        <v>0</v>
      </c>
      <c r="EX25" s="235">
        <f t="shared" ca="1" si="136"/>
        <v>0</v>
      </c>
      <c r="EY25" s="242">
        <f t="shared" ca="1" si="137"/>
        <v>0</v>
      </c>
      <c r="EZ25" s="241">
        <f t="shared" ca="1" si="107"/>
        <v>1</v>
      </c>
      <c r="FA25" s="220">
        <f t="shared" ca="1" si="138"/>
        <v>0</v>
      </c>
      <c r="FB25" s="220">
        <f t="shared" ca="1" si="139"/>
        <v>0</v>
      </c>
      <c r="FC25" s="235">
        <f t="shared" ca="1" si="140"/>
        <v>0</v>
      </c>
      <c r="FD25" s="235">
        <f t="shared" ca="1" si="141"/>
        <v>0</v>
      </c>
      <c r="FE25" s="242">
        <f t="shared" ca="1" si="142"/>
        <v>0</v>
      </c>
      <c r="FF25" s="241">
        <f t="shared" ca="1" si="107"/>
        <v>1</v>
      </c>
      <c r="FG25" s="220">
        <f t="shared" ca="1" si="143"/>
        <v>0</v>
      </c>
      <c r="FH25" s="220">
        <f t="shared" ca="1" si="144"/>
        <v>0</v>
      </c>
      <c r="FI25" s="235">
        <f t="shared" ca="1" si="145"/>
        <v>0</v>
      </c>
      <c r="FJ25" s="235">
        <f t="shared" ca="1" si="146"/>
        <v>0</v>
      </c>
      <c r="FK25" s="242">
        <f t="shared" ca="1" si="147"/>
        <v>0</v>
      </c>
      <c r="FL25" s="241">
        <f t="shared" ca="1" si="107"/>
        <v>1</v>
      </c>
      <c r="FM25" s="220">
        <f t="shared" ca="1" si="148"/>
        <v>0</v>
      </c>
      <c r="FN25" s="220">
        <f t="shared" ca="1" si="149"/>
        <v>0</v>
      </c>
      <c r="FO25" s="235">
        <f t="shared" ca="1" si="150"/>
        <v>0</v>
      </c>
      <c r="FP25" s="235">
        <f t="shared" ca="1" si="151"/>
        <v>0</v>
      </c>
      <c r="FQ25" s="242">
        <f t="shared" ca="1" si="152"/>
        <v>0</v>
      </c>
      <c r="FR25" s="241">
        <f t="shared" ca="1" si="107"/>
        <v>1</v>
      </c>
      <c r="FS25" s="220">
        <f t="shared" ca="1" si="153"/>
        <v>0</v>
      </c>
      <c r="FT25" s="220">
        <f t="shared" ca="1" si="154"/>
        <v>0</v>
      </c>
      <c r="FU25" s="235">
        <f t="shared" ca="1" si="155"/>
        <v>0</v>
      </c>
      <c r="FV25" s="235">
        <f t="shared" ca="1" si="156"/>
        <v>0</v>
      </c>
      <c r="FW25" s="242">
        <f t="shared" ca="1" si="157"/>
        <v>0</v>
      </c>
      <c r="FX25" s="241">
        <f t="shared" ca="1" si="107"/>
        <v>1</v>
      </c>
      <c r="FY25" s="220">
        <f t="shared" ca="1" si="158"/>
        <v>0</v>
      </c>
      <c r="FZ25" s="220">
        <f t="shared" ca="1" si="159"/>
        <v>0</v>
      </c>
      <c r="GA25" s="235">
        <f t="shared" ca="1" si="160"/>
        <v>0</v>
      </c>
      <c r="GB25" s="235">
        <f t="shared" ca="1" si="161"/>
        <v>0</v>
      </c>
      <c r="GC25" s="242">
        <f t="shared" ca="1" si="162"/>
        <v>0</v>
      </c>
      <c r="GD25" s="241">
        <f t="shared" ca="1" si="163"/>
        <v>1</v>
      </c>
      <c r="GE25" s="220">
        <f t="shared" ca="1" si="164"/>
        <v>0</v>
      </c>
      <c r="GF25" s="220">
        <f t="shared" ca="1" si="165"/>
        <v>0</v>
      </c>
      <c r="GG25" s="235">
        <f t="shared" ca="1" si="166"/>
        <v>0</v>
      </c>
      <c r="GH25" s="235">
        <f t="shared" ca="1" si="167"/>
        <v>0</v>
      </c>
      <c r="GI25" s="242">
        <f t="shared" ca="1" si="168"/>
        <v>0</v>
      </c>
      <c r="GJ25" s="241">
        <f t="shared" ca="1" si="163"/>
        <v>1</v>
      </c>
      <c r="GK25" s="220">
        <f t="shared" ca="1" si="169"/>
        <v>0</v>
      </c>
      <c r="GL25" s="220">
        <f t="shared" ca="1" si="170"/>
        <v>0</v>
      </c>
      <c r="GM25" s="235">
        <f t="shared" ca="1" si="171"/>
        <v>0</v>
      </c>
      <c r="GN25" s="235">
        <f t="shared" ca="1" si="172"/>
        <v>0</v>
      </c>
      <c r="GO25" s="242">
        <f t="shared" ca="1" si="173"/>
        <v>0</v>
      </c>
      <c r="GP25" s="241">
        <f t="shared" ca="1" si="163"/>
        <v>1</v>
      </c>
      <c r="GQ25" s="220">
        <f t="shared" ca="1" si="174"/>
        <v>0</v>
      </c>
      <c r="GR25" s="220">
        <f t="shared" ca="1" si="175"/>
        <v>0</v>
      </c>
      <c r="GS25" s="235">
        <f t="shared" ca="1" si="176"/>
        <v>0</v>
      </c>
      <c r="GT25" s="235">
        <f t="shared" ca="1" si="177"/>
        <v>0</v>
      </c>
      <c r="GU25" s="242">
        <f t="shared" ca="1" si="178"/>
        <v>0</v>
      </c>
      <c r="GV25" s="241">
        <f t="shared" ca="1" si="163"/>
        <v>1</v>
      </c>
      <c r="GW25" s="220">
        <f t="shared" ca="1" si="179"/>
        <v>0</v>
      </c>
      <c r="GX25" s="220">
        <f t="shared" ca="1" si="180"/>
        <v>0</v>
      </c>
      <c r="GY25" s="235">
        <f t="shared" ca="1" si="181"/>
        <v>0</v>
      </c>
      <c r="GZ25" s="235">
        <f t="shared" ca="1" si="182"/>
        <v>0</v>
      </c>
      <c r="HA25" s="242">
        <f t="shared" ca="1" si="183"/>
        <v>0</v>
      </c>
      <c r="HB25" s="241">
        <f t="shared" ca="1" si="163"/>
        <v>1</v>
      </c>
      <c r="HC25" s="220">
        <f t="shared" ca="1" si="184"/>
        <v>0</v>
      </c>
      <c r="HD25" s="220">
        <f t="shared" ca="1" si="185"/>
        <v>0</v>
      </c>
      <c r="HE25" s="235">
        <f t="shared" ca="1" si="186"/>
        <v>0</v>
      </c>
      <c r="HF25" s="235">
        <f t="shared" ca="1" si="187"/>
        <v>0</v>
      </c>
      <c r="HG25" s="242">
        <f t="shared" ca="1" si="188"/>
        <v>0</v>
      </c>
      <c r="HH25" s="241">
        <f t="shared" ca="1" si="163"/>
        <v>1</v>
      </c>
      <c r="HI25" s="220">
        <f t="shared" ca="1" si="189"/>
        <v>0</v>
      </c>
      <c r="HJ25" s="220">
        <f t="shared" ca="1" si="190"/>
        <v>0</v>
      </c>
      <c r="HK25" s="235">
        <f t="shared" ca="1" si="191"/>
        <v>0</v>
      </c>
      <c r="HL25" s="235">
        <f t="shared" ca="1" si="192"/>
        <v>0</v>
      </c>
      <c r="HM25" s="242">
        <f t="shared" ca="1" si="193"/>
        <v>0</v>
      </c>
      <c r="HN25" s="241">
        <f t="shared" ca="1" si="163"/>
        <v>1</v>
      </c>
      <c r="HO25" s="220">
        <f t="shared" ca="1" si="194"/>
        <v>0</v>
      </c>
      <c r="HP25" s="220">
        <f t="shared" ca="1" si="195"/>
        <v>0</v>
      </c>
      <c r="HQ25" s="235">
        <f t="shared" ca="1" si="196"/>
        <v>0</v>
      </c>
      <c r="HR25" s="235">
        <f t="shared" ca="1" si="197"/>
        <v>0</v>
      </c>
      <c r="HS25" s="242">
        <f t="shared" ca="1" si="198"/>
        <v>0</v>
      </c>
      <c r="HT25" s="241">
        <f t="shared" ca="1" si="163"/>
        <v>1</v>
      </c>
      <c r="HU25" s="220">
        <f t="shared" ca="1" si="199"/>
        <v>0</v>
      </c>
      <c r="HV25" s="220">
        <f t="shared" ca="1" si="200"/>
        <v>0</v>
      </c>
      <c r="HW25" s="235">
        <f t="shared" ca="1" si="201"/>
        <v>0</v>
      </c>
      <c r="HX25" s="235">
        <f t="shared" ca="1" si="202"/>
        <v>0</v>
      </c>
      <c r="HY25" s="242">
        <f t="shared" ca="1" si="203"/>
        <v>0</v>
      </c>
      <c r="HZ25" s="241">
        <f t="shared" ca="1" si="163"/>
        <v>1</v>
      </c>
      <c r="IA25" s="220">
        <f t="shared" ca="1" si="204"/>
        <v>0</v>
      </c>
      <c r="IB25" s="220">
        <f t="shared" ca="1" si="205"/>
        <v>0</v>
      </c>
      <c r="IC25" s="235">
        <f t="shared" ca="1" si="206"/>
        <v>0</v>
      </c>
      <c r="ID25" s="235">
        <f t="shared" ca="1" si="207"/>
        <v>0</v>
      </c>
      <c r="IE25" s="242">
        <f t="shared" ca="1" si="208"/>
        <v>0</v>
      </c>
      <c r="IF25" s="241">
        <f t="shared" ca="1" si="163"/>
        <v>1</v>
      </c>
      <c r="IG25" s="220">
        <f t="shared" ca="1" si="209"/>
        <v>0</v>
      </c>
      <c r="IH25" s="220">
        <f t="shared" ca="1" si="210"/>
        <v>0</v>
      </c>
      <c r="II25" s="235">
        <f t="shared" ca="1" si="211"/>
        <v>0</v>
      </c>
      <c r="IJ25" s="235">
        <f t="shared" ca="1" si="212"/>
        <v>0</v>
      </c>
      <c r="IK25" s="242">
        <f t="shared" ca="1" si="213"/>
        <v>0</v>
      </c>
      <c r="IL25" s="241">
        <f t="shared" ca="1" si="163"/>
        <v>1</v>
      </c>
      <c r="IM25" s="220">
        <f t="shared" ca="1" si="214"/>
        <v>0</v>
      </c>
      <c r="IN25" s="220">
        <f t="shared" ca="1" si="215"/>
        <v>0</v>
      </c>
      <c r="IO25" s="235">
        <f t="shared" ca="1" si="216"/>
        <v>0</v>
      </c>
      <c r="IP25" s="235">
        <f t="shared" ca="1" si="217"/>
        <v>0</v>
      </c>
      <c r="IQ25" s="242">
        <f t="shared" ca="1" si="218"/>
        <v>0</v>
      </c>
      <c r="IR25" s="241">
        <f t="shared" ca="1" si="219"/>
        <v>1</v>
      </c>
      <c r="IS25" s="220">
        <f t="shared" ca="1" si="220"/>
        <v>0</v>
      </c>
      <c r="IT25" s="220">
        <f t="shared" ca="1" si="221"/>
        <v>0</v>
      </c>
      <c r="IU25" s="235">
        <f t="shared" ca="1" si="222"/>
        <v>0</v>
      </c>
      <c r="IV25" s="235">
        <f t="shared" ca="1" si="223"/>
        <v>0</v>
      </c>
      <c r="IW25" s="242">
        <f t="shared" ca="1" si="224"/>
        <v>0</v>
      </c>
      <c r="IX25" s="241">
        <f t="shared" ca="1" si="219"/>
        <v>1</v>
      </c>
      <c r="IY25" s="220">
        <f t="shared" ca="1" si="225"/>
        <v>0</v>
      </c>
      <c r="IZ25" s="220">
        <f t="shared" ca="1" si="226"/>
        <v>0</v>
      </c>
      <c r="JA25" s="235">
        <f t="shared" ca="1" si="227"/>
        <v>0</v>
      </c>
      <c r="JB25" s="235">
        <f t="shared" ca="1" si="228"/>
        <v>0</v>
      </c>
      <c r="JC25" s="242">
        <f t="shared" ca="1" si="229"/>
        <v>0</v>
      </c>
      <c r="JD25" s="241">
        <f t="shared" ca="1" si="219"/>
        <v>1</v>
      </c>
      <c r="JE25" s="220">
        <f t="shared" ca="1" si="230"/>
        <v>0</v>
      </c>
      <c r="JF25" s="220">
        <f t="shared" ca="1" si="231"/>
        <v>0</v>
      </c>
      <c r="JG25" s="235">
        <f t="shared" ca="1" si="232"/>
        <v>0</v>
      </c>
      <c r="JH25" s="235">
        <f t="shared" ca="1" si="233"/>
        <v>0</v>
      </c>
      <c r="JI25" s="242">
        <f t="shared" ca="1" si="234"/>
        <v>0</v>
      </c>
      <c r="JJ25" s="241">
        <f t="shared" ca="1" si="219"/>
        <v>1</v>
      </c>
      <c r="JK25" s="220">
        <f t="shared" ca="1" si="235"/>
        <v>0</v>
      </c>
      <c r="JL25" s="220">
        <f t="shared" ca="1" si="236"/>
        <v>0</v>
      </c>
      <c r="JM25" s="235">
        <f t="shared" ca="1" si="237"/>
        <v>0</v>
      </c>
      <c r="JN25" s="235">
        <f t="shared" ca="1" si="238"/>
        <v>0</v>
      </c>
      <c r="JO25" s="242">
        <f t="shared" ca="1" si="239"/>
        <v>0</v>
      </c>
      <c r="JP25" s="241">
        <f t="shared" ca="1" si="219"/>
        <v>1</v>
      </c>
      <c r="JQ25" s="220">
        <f t="shared" ca="1" si="240"/>
        <v>0</v>
      </c>
      <c r="JR25" s="220">
        <f t="shared" ca="1" si="241"/>
        <v>0</v>
      </c>
      <c r="JS25" s="235">
        <f t="shared" ca="1" si="242"/>
        <v>0</v>
      </c>
      <c r="JT25" s="235">
        <f t="shared" ca="1" si="243"/>
        <v>0</v>
      </c>
      <c r="JU25" s="242">
        <f t="shared" ca="1" si="244"/>
        <v>0</v>
      </c>
      <c r="JV25" s="241">
        <f t="shared" ca="1" si="219"/>
        <v>1</v>
      </c>
      <c r="JW25" s="220">
        <f t="shared" ca="1" si="245"/>
        <v>0</v>
      </c>
      <c r="JX25" s="220">
        <f t="shared" ca="1" si="246"/>
        <v>0</v>
      </c>
      <c r="JY25" s="235">
        <f t="shared" ca="1" si="247"/>
        <v>0</v>
      </c>
      <c r="JZ25" s="235">
        <f t="shared" ca="1" si="248"/>
        <v>0</v>
      </c>
      <c r="KA25" s="242">
        <f t="shared" ca="1" si="249"/>
        <v>0</v>
      </c>
      <c r="KB25" s="241">
        <f t="shared" ca="1" si="219"/>
        <v>1</v>
      </c>
      <c r="KC25" s="220">
        <f t="shared" ca="1" si="250"/>
        <v>0</v>
      </c>
      <c r="KD25" s="220">
        <f t="shared" ca="1" si="251"/>
        <v>0</v>
      </c>
      <c r="KE25" s="235">
        <f t="shared" ca="1" si="252"/>
        <v>0</v>
      </c>
      <c r="KF25" s="235">
        <f t="shared" ca="1" si="253"/>
        <v>0</v>
      </c>
      <c r="KG25" s="242">
        <f t="shared" ca="1" si="254"/>
        <v>0</v>
      </c>
      <c r="KH25" s="241">
        <f t="shared" ca="1" si="219"/>
        <v>1</v>
      </c>
      <c r="KI25" s="220">
        <f t="shared" ca="1" si="255"/>
        <v>0</v>
      </c>
      <c r="KJ25" s="220">
        <f t="shared" ca="1" si="256"/>
        <v>0</v>
      </c>
      <c r="KK25" s="235">
        <f t="shared" ca="1" si="257"/>
        <v>0</v>
      </c>
      <c r="KL25" s="235">
        <f t="shared" ca="1" si="258"/>
        <v>0</v>
      </c>
      <c r="KM25" s="242">
        <f t="shared" ca="1" si="259"/>
        <v>0</v>
      </c>
      <c r="KN25" s="241">
        <f t="shared" ca="1" si="219"/>
        <v>1</v>
      </c>
      <c r="KO25" s="220">
        <f t="shared" ca="1" si="260"/>
        <v>0</v>
      </c>
      <c r="KP25" s="220">
        <f t="shared" ca="1" si="261"/>
        <v>0</v>
      </c>
      <c r="KQ25" s="235">
        <f t="shared" ca="1" si="262"/>
        <v>0</v>
      </c>
      <c r="KR25" s="235">
        <f t="shared" ca="1" si="263"/>
        <v>0</v>
      </c>
      <c r="KS25" s="242">
        <f t="shared" ca="1" si="264"/>
        <v>0</v>
      </c>
      <c r="KT25" s="241">
        <f t="shared" ca="1" si="219"/>
        <v>1</v>
      </c>
      <c r="KU25" s="220">
        <f t="shared" ca="1" si="265"/>
        <v>0</v>
      </c>
      <c r="KV25" s="220">
        <f t="shared" ca="1" si="266"/>
        <v>0</v>
      </c>
      <c r="KW25" s="235">
        <f t="shared" ca="1" si="267"/>
        <v>0</v>
      </c>
      <c r="KX25" s="235">
        <f t="shared" ca="1" si="268"/>
        <v>0</v>
      </c>
      <c r="KY25" s="242">
        <f t="shared" ca="1" si="269"/>
        <v>0</v>
      </c>
      <c r="KZ25" s="241">
        <f t="shared" ca="1" si="219"/>
        <v>1</v>
      </c>
      <c r="LA25" s="220">
        <f t="shared" ca="1" si="270"/>
        <v>0</v>
      </c>
      <c r="LB25" s="220">
        <f t="shared" ca="1" si="271"/>
        <v>0</v>
      </c>
      <c r="LC25" s="235">
        <f t="shared" ca="1" si="272"/>
        <v>0</v>
      </c>
      <c r="LD25" s="235">
        <f t="shared" ca="1" si="273"/>
        <v>0</v>
      </c>
      <c r="LE25" s="242">
        <f t="shared" ca="1" si="274"/>
        <v>0</v>
      </c>
      <c r="LF25" s="241">
        <f t="shared" ca="1" si="275"/>
        <v>1</v>
      </c>
      <c r="LG25" s="220">
        <f t="shared" ca="1" si="276"/>
        <v>0</v>
      </c>
      <c r="LH25" s="220">
        <f t="shared" ca="1" si="277"/>
        <v>0</v>
      </c>
      <c r="LI25" s="235">
        <f t="shared" ca="1" si="278"/>
        <v>0</v>
      </c>
      <c r="LJ25" s="235">
        <f t="shared" ca="1" si="279"/>
        <v>0</v>
      </c>
      <c r="LK25" s="242">
        <f t="shared" ca="1" si="280"/>
        <v>0</v>
      </c>
      <c r="LL25" s="241">
        <f t="shared" ca="1" si="275"/>
        <v>1</v>
      </c>
      <c r="LM25" s="220">
        <f t="shared" ca="1" si="281"/>
        <v>0</v>
      </c>
      <c r="LN25" s="220">
        <f t="shared" ca="1" si="282"/>
        <v>0</v>
      </c>
      <c r="LO25" s="235">
        <f t="shared" ca="1" si="283"/>
        <v>0</v>
      </c>
      <c r="LP25" s="235">
        <f t="shared" ca="1" si="284"/>
        <v>0</v>
      </c>
      <c r="LQ25" s="242">
        <f t="shared" ca="1" si="285"/>
        <v>0</v>
      </c>
      <c r="LR25" s="241">
        <f t="shared" ca="1" si="275"/>
        <v>1</v>
      </c>
      <c r="LS25" s="220">
        <f t="shared" ca="1" si="286"/>
        <v>0</v>
      </c>
      <c r="LT25" s="220">
        <f t="shared" ca="1" si="287"/>
        <v>0</v>
      </c>
      <c r="LU25" s="235">
        <f t="shared" ca="1" si="288"/>
        <v>0</v>
      </c>
      <c r="LV25" s="235">
        <f t="shared" ca="1" si="289"/>
        <v>0</v>
      </c>
      <c r="LW25" s="242">
        <f t="shared" ca="1" si="290"/>
        <v>0</v>
      </c>
      <c r="LX25" s="241">
        <f t="shared" ca="1" si="275"/>
        <v>1</v>
      </c>
      <c r="LY25" s="220">
        <f t="shared" ca="1" si="291"/>
        <v>0</v>
      </c>
      <c r="LZ25" s="220">
        <f t="shared" ca="1" si="292"/>
        <v>0</v>
      </c>
      <c r="MA25" s="235">
        <f t="shared" ca="1" si="293"/>
        <v>0</v>
      </c>
      <c r="MB25" s="235">
        <f t="shared" ca="1" si="294"/>
        <v>0</v>
      </c>
      <c r="MC25" s="242">
        <f t="shared" ca="1" si="295"/>
        <v>0</v>
      </c>
      <c r="MD25" s="241">
        <f t="shared" ca="1" si="275"/>
        <v>1</v>
      </c>
      <c r="ME25" s="220">
        <f t="shared" ca="1" si="296"/>
        <v>0</v>
      </c>
      <c r="MF25" s="220">
        <f t="shared" ca="1" si="297"/>
        <v>0</v>
      </c>
      <c r="MG25" s="235">
        <f t="shared" ca="1" si="298"/>
        <v>0</v>
      </c>
      <c r="MH25" s="235">
        <f t="shared" ca="1" si="299"/>
        <v>0</v>
      </c>
      <c r="MI25" s="242">
        <f t="shared" ca="1" si="300"/>
        <v>0</v>
      </c>
      <c r="MJ25" s="241">
        <f t="shared" ca="1" si="275"/>
        <v>1</v>
      </c>
      <c r="MK25" s="220">
        <f t="shared" ca="1" si="301"/>
        <v>0</v>
      </c>
      <c r="ML25" s="220">
        <f t="shared" ca="1" si="302"/>
        <v>0</v>
      </c>
      <c r="MM25" s="235">
        <f t="shared" ca="1" si="303"/>
        <v>0</v>
      </c>
      <c r="MN25" s="235">
        <f t="shared" ca="1" si="304"/>
        <v>0</v>
      </c>
      <c r="MO25" s="242">
        <f t="shared" ca="1" si="305"/>
        <v>0</v>
      </c>
      <c r="MP25" s="241">
        <f t="shared" ca="1" si="275"/>
        <v>1</v>
      </c>
      <c r="MQ25" s="220">
        <f t="shared" ca="1" si="306"/>
        <v>0</v>
      </c>
      <c r="MR25" s="220">
        <f t="shared" ca="1" si="307"/>
        <v>0</v>
      </c>
      <c r="MS25" s="235">
        <f t="shared" ca="1" si="308"/>
        <v>0</v>
      </c>
      <c r="MT25" s="235">
        <f t="shared" ca="1" si="309"/>
        <v>0</v>
      </c>
      <c r="MU25" s="242">
        <f t="shared" ca="1" si="310"/>
        <v>0</v>
      </c>
      <c r="MV25" s="241">
        <f t="shared" ca="1" si="275"/>
        <v>1</v>
      </c>
      <c r="MW25" s="220">
        <f t="shared" ca="1" si="311"/>
        <v>0</v>
      </c>
      <c r="MX25" s="220">
        <f t="shared" ca="1" si="312"/>
        <v>0</v>
      </c>
      <c r="MY25" s="235">
        <f t="shared" ca="1" si="313"/>
        <v>0</v>
      </c>
      <c r="MZ25" s="235">
        <f t="shared" ca="1" si="314"/>
        <v>0</v>
      </c>
      <c r="NA25" s="242">
        <f t="shared" ca="1" si="315"/>
        <v>0</v>
      </c>
      <c r="NB25" s="241">
        <f t="shared" ca="1" si="275"/>
        <v>1</v>
      </c>
      <c r="NC25" s="220">
        <f t="shared" ca="1" si="316"/>
        <v>0</v>
      </c>
      <c r="ND25" s="220">
        <f t="shared" ca="1" si="317"/>
        <v>0</v>
      </c>
      <c r="NE25" s="235">
        <f t="shared" ca="1" si="318"/>
        <v>0</v>
      </c>
      <c r="NF25" s="235">
        <f t="shared" ca="1" si="319"/>
        <v>0</v>
      </c>
      <c r="NG25" s="242">
        <f t="shared" ca="1" si="320"/>
        <v>0</v>
      </c>
      <c r="NH25" s="241">
        <f t="shared" ca="1" si="275"/>
        <v>1</v>
      </c>
      <c r="NI25" s="220">
        <f t="shared" ca="1" si="321"/>
        <v>0</v>
      </c>
      <c r="NJ25" s="220">
        <f t="shared" ca="1" si="322"/>
        <v>0</v>
      </c>
      <c r="NK25" s="235">
        <f t="shared" ca="1" si="323"/>
        <v>0</v>
      </c>
      <c r="NL25" s="235">
        <f t="shared" ca="1" si="324"/>
        <v>0</v>
      </c>
      <c r="NM25" s="242">
        <f t="shared" ca="1" si="325"/>
        <v>0</v>
      </c>
      <c r="NN25" s="241">
        <f t="shared" ca="1" si="275"/>
        <v>1</v>
      </c>
      <c r="NO25" s="220">
        <f t="shared" ca="1" si="326"/>
        <v>0</v>
      </c>
      <c r="NP25" s="220">
        <f t="shared" ca="1" si="327"/>
        <v>0</v>
      </c>
      <c r="NQ25" s="235">
        <f t="shared" ca="1" si="328"/>
        <v>0</v>
      </c>
      <c r="NR25" s="235">
        <f t="shared" ca="1" si="329"/>
        <v>0</v>
      </c>
      <c r="NS25" s="242">
        <f t="shared" ca="1" si="330"/>
        <v>0</v>
      </c>
      <c r="NT25" s="241">
        <f t="shared" ca="1" si="331"/>
        <v>1</v>
      </c>
      <c r="NU25" s="220">
        <f t="shared" ca="1" si="332"/>
        <v>0</v>
      </c>
      <c r="NV25" s="220">
        <f t="shared" ca="1" si="333"/>
        <v>0</v>
      </c>
      <c r="NW25" s="235">
        <f t="shared" ca="1" si="334"/>
        <v>0</v>
      </c>
      <c r="NX25" s="235">
        <f t="shared" ca="1" si="335"/>
        <v>0</v>
      </c>
      <c r="NY25" s="242">
        <f t="shared" ca="1" si="336"/>
        <v>0</v>
      </c>
      <c r="NZ25" s="241">
        <f t="shared" ca="1" si="331"/>
        <v>1</v>
      </c>
      <c r="OA25" s="220">
        <f t="shared" ca="1" si="337"/>
        <v>0</v>
      </c>
      <c r="OB25" s="220">
        <f t="shared" ca="1" si="338"/>
        <v>0</v>
      </c>
      <c r="OC25" s="235">
        <f t="shared" ca="1" si="339"/>
        <v>0</v>
      </c>
      <c r="OD25" s="235">
        <f t="shared" ca="1" si="340"/>
        <v>0</v>
      </c>
      <c r="OE25" s="242">
        <f t="shared" ca="1" si="341"/>
        <v>0</v>
      </c>
      <c r="OF25" s="241">
        <f t="shared" ca="1" si="331"/>
        <v>1</v>
      </c>
      <c r="OG25" s="220">
        <f t="shared" ca="1" si="342"/>
        <v>0</v>
      </c>
      <c r="OH25" s="220">
        <f t="shared" ca="1" si="343"/>
        <v>0</v>
      </c>
      <c r="OI25" s="235">
        <f t="shared" ca="1" si="344"/>
        <v>0</v>
      </c>
      <c r="OJ25" s="235">
        <f t="shared" ca="1" si="345"/>
        <v>0</v>
      </c>
      <c r="OK25" s="242">
        <f t="shared" ca="1" si="346"/>
        <v>0</v>
      </c>
      <c r="OL25" s="241">
        <f t="shared" ca="1" si="331"/>
        <v>1</v>
      </c>
      <c r="OM25" s="220">
        <f t="shared" ca="1" si="347"/>
        <v>0</v>
      </c>
      <c r="ON25" s="220">
        <f t="shared" ca="1" si="348"/>
        <v>0</v>
      </c>
      <c r="OO25" s="235">
        <f t="shared" ca="1" si="349"/>
        <v>0</v>
      </c>
      <c r="OP25" s="235">
        <f t="shared" ca="1" si="350"/>
        <v>0</v>
      </c>
      <c r="OQ25" s="242">
        <f t="shared" ca="1" si="351"/>
        <v>0</v>
      </c>
      <c r="OR25" s="241">
        <f t="shared" ca="1" si="331"/>
        <v>1</v>
      </c>
      <c r="OS25" s="220">
        <f t="shared" ca="1" si="352"/>
        <v>0</v>
      </c>
      <c r="OT25" s="220">
        <f t="shared" ca="1" si="353"/>
        <v>0</v>
      </c>
      <c r="OU25" s="235">
        <f t="shared" ca="1" si="354"/>
        <v>0</v>
      </c>
      <c r="OV25" s="235">
        <f t="shared" ca="1" si="355"/>
        <v>0</v>
      </c>
      <c r="OW25" s="242">
        <f t="shared" ca="1" si="356"/>
        <v>0</v>
      </c>
      <c r="OX25" s="241">
        <f t="shared" ca="1" si="331"/>
        <v>1</v>
      </c>
      <c r="OY25" s="220">
        <f t="shared" ca="1" si="357"/>
        <v>0</v>
      </c>
      <c r="OZ25" s="220">
        <f t="shared" ca="1" si="358"/>
        <v>0</v>
      </c>
      <c r="PA25" s="235">
        <f t="shared" ca="1" si="359"/>
        <v>0</v>
      </c>
      <c r="PB25" s="235">
        <f t="shared" ca="1" si="360"/>
        <v>0</v>
      </c>
      <c r="PC25" s="242">
        <f t="shared" ca="1" si="361"/>
        <v>0</v>
      </c>
      <c r="PD25" s="241">
        <f t="shared" ca="1" si="331"/>
        <v>1</v>
      </c>
      <c r="PE25" s="220">
        <f t="shared" ca="1" si="362"/>
        <v>0</v>
      </c>
      <c r="PF25" s="220">
        <f t="shared" ca="1" si="363"/>
        <v>0</v>
      </c>
      <c r="PG25" s="235">
        <f t="shared" ca="1" si="364"/>
        <v>0</v>
      </c>
      <c r="PH25" s="235">
        <f t="shared" ca="1" si="365"/>
        <v>0</v>
      </c>
      <c r="PI25" s="242">
        <f t="shared" ca="1" si="366"/>
        <v>0</v>
      </c>
      <c r="PJ25" s="241">
        <f t="shared" ca="1" si="331"/>
        <v>1</v>
      </c>
      <c r="PK25" s="220">
        <f t="shared" ca="1" si="367"/>
        <v>0</v>
      </c>
      <c r="PL25" s="220">
        <f t="shared" ca="1" si="368"/>
        <v>0</v>
      </c>
      <c r="PM25" s="235">
        <f t="shared" ca="1" si="369"/>
        <v>0</v>
      </c>
      <c r="PN25" s="235">
        <f t="shared" ca="1" si="370"/>
        <v>0</v>
      </c>
      <c r="PO25" s="242">
        <f t="shared" ca="1" si="371"/>
        <v>0</v>
      </c>
      <c r="PP25" s="241">
        <f t="shared" ca="1" si="331"/>
        <v>1</v>
      </c>
      <c r="PQ25" s="220">
        <f t="shared" ca="1" si="372"/>
        <v>0</v>
      </c>
      <c r="PR25" s="220">
        <f t="shared" ca="1" si="373"/>
        <v>0</v>
      </c>
      <c r="PS25" s="235">
        <f t="shared" ca="1" si="374"/>
        <v>0</v>
      </c>
      <c r="PT25" s="235">
        <f t="shared" ca="1" si="375"/>
        <v>0</v>
      </c>
      <c r="PU25" s="242">
        <f t="shared" ca="1" si="376"/>
        <v>0</v>
      </c>
      <c r="PV25" s="241">
        <f t="shared" ca="1" si="331"/>
        <v>1</v>
      </c>
      <c r="PW25" s="220">
        <f t="shared" ca="1" si="377"/>
        <v>0</v>
      </c>
      <c r="PX25" s="220">
        <f t="shared" ca="1" si="378"/>
        <v>0</v>
      </c>
      <c r="PY25" s="235">
        <f t="shared" ca="1" si="379"/>
        <v>0</v>
      </c>
      <c r="PZ25" s="235">
        <f t="shared" ca="1" si="380"/>
        <v>0</v>
      </c>
      <c r="QA25" s="242">
        <f t="shared" ca="1" si="381"/>
        <v>0</v>
      </c>
      <c r="QB25" s="241">
        <f t="shared" ca="1" si="331"/>
        <v>1</v>
      </c>
      <c r="QC25" s="220">
        <f t="shared" ca="1" si="382"/>
        <v>0</v>
      </c>
      <c r="QD25" s="220">
        <f t="shared" ca="1" si="383"/>
        <v>0</v>
      </c>
      <c r="QE25" s="235">
        <f t="shared" ca="1" si="384"/>
        <v>0</v>
      </c>
      <c r="QF25" s="235">
        <f t="shared" ca="1" si="385"/>
        <v>0</v>
      </c>
      <c r="QG25" s="242">
        <f t="shared" ca="1" si="386"/>
        <v>0</v>
      </c>
      <c r="QH25" s="241">
        <f t="shared" ca="1" si="387"/>
        <v>1</v>
      </c>
      <c r="QI25" s="220">
        <f t="shared" ca="1" si="388"/>
        <v>0</v>
      </c>
      <c r="QJ25" s="220">
        <f t="shared" ca="1" si="389"/>
        <v>0</v>
      </c>
      <c r="QK25" s="235">
        <f t="shared" ca="1" si="390"/>
        <v>0</v>
      </c>
      <c r="QL25" s="235">
        <f t="shared" ca="1" si="391"/>
        <v>0</v>
      </c>
      <c r="QM25" s="242">
        <f t="shared" ca="1" si="392"/>
        <v>0</v>
      </c>
      <c r="QN25" s="241">
        <f t="shared" ca="1" si="387"/>
        <v>1</v>
      </c>
      <c r="QO25" s="220">
        <f t="shared" ca="1" si="393"/>
        <v>0</v>
      </c>
      <c r="QP25" s="220">
        <f t="shared" ca="1" si="394"/>
        <v>0</v>
      </c>
      <c r="QQ25" s="235">
        <f t="shared" ca="1" si="395"/>
        <v>0</v>
      </c>
      <c r="QR25" s="235">
        <f t="shared" ca="1" si="396"/>
        <v>0</v>
      </c>
      <c r="QS25" s="242">
        <f t="shared" ca="1" si="397"/>
        <v>0</v>
      </c>
      <c r="QT25" s="241">
        <f t="shared" ca="1" si="387"/>
        <v>1</v>
      </c>
      <c r="QU25" s="220">
        <f t="shared" ca="1" si="398"/>
        <v>0</v>
      </c>
      <c r="QV25" s="220">
        <f t="shared" ca="1" si="399"/>
        <v>0</v>
      </c>
      <c r="QW25" s="235">
        <f t="shared" ca="1" si="400"/>
        <v>0</v>
      </c>
      <c r="QX25" s="235">
        <f t="shared" ca="1" si="401"/>
        <v>0</v>
      </c>
      <c r="QY25" s="242">
        <f t="shared" ca="1" si="402"/>
        <v>0</v>
      </c>
      <c r="QZ25" s="241">
        <f t="shared" ca="1" si="387"/>
        <v>1</v>
      </c>
      <c r="RA25" s="220">
        <f t="shared" ca="1" si="403"/>
        <v>0</v>
      </c>
      <c r="RB25" s="220">
        <f t="shared" ca="1" si="404"/>
        <v>0</v>
      </c>
      <c r="RC25" s="235">
        <f t="shared" ca="1" si="405"/>
        <v>0</v>
      </c>
      <c r="RD25" s="235">
        <f t="shared" ca="1" si="406"/>
        <v>0</v>
      </c>
      <c r="RE25" s="242">
        <f t="shared" ca="1" si="407"/>
        <v>0</v>
      </c>
      <c r="RF25" s="241">
        <f t="shared" ca="1" si="387"/>
        <v>1</v>
      </c>
      <c r="RG25" s="220">
        <f t="shared" ca="1" si="408"/>
        <v>0</v>
      </c>
      <c r="RH25" s="220">
        <f t="shared" ca="1" si="409"/>
        <v>0</v>
      </c>
      <c r="RI25" s="235">
        <f t="shared" ca="1" si="410"/>
        <v>0</v>
      </c>
      <c r="RJ25" s="235">
        <f t="shared" ca="1" si="411"/>
        <v>0</v>
      </c>
      <c r="RK25" s="242">
        <f t="shared" ca="1" si="412"/>
        <v>0</v>
      </c>
      <c r="RL25" s="241">
        <f t="shared" ca="1" si="387"/>
        <v>1</v>
      </c>
      <c r="RM25" s="220">
        <f t="shared" ca="1" si="413"/>
        <v>0</v>
      </c>
      <c r="RN25" s="220">
        <f t="shared" ca="1" si="414"/>
        <v>0</v>
      </c>
      <c r="RO25" s="235">
        <f t="shared" ca="1" si="415"/>
        <v>0</v>
      </c>
      <c r="RP25" s="235">
        <f t="shared" ca="1" si="416"/>
        <v>0</v>
      </c>
      <c r="RQ25" s="242">
        <f t="shared" ca="1" si="417"/>
        <v>0</v>
      </c>
      <c r="RR25" s="241">
        <f t="shared" ca="1" si="387"/>
        <v>1</v>
      </c>
      <c r="RS25" s="220">
        <f t="shared" ca="1" si="418"/>
        <v>0</v>
      </c>
      <c r="RT25" s="220">
        <f t="shared" ca="1" si="419"/>
        <v>0</v>
      </c>
      <c r="RU25" s="235">
        <f t="shared" ca="1" si="420"/>
        <v>0</v>
      </c>
      <c r="RV25" s="235">
        <f t="shared" ca="1" si="421"/>
        <v>0</v>
      </c>
      <c r="RW25" s="242">
        <f t="shared" ca="1" si="422"/>
        <v>0</v>
      </c>
      <c r="RX25" s="241">
        <f t="shared" ca="1" si="387"/>
        <v>1</v>
      </c>
      <c r="RY25" s="220">
        <f t="shared" ca="1" si="423"/>
        <v>0</v>
      </c>
      <c r="RZ25" s="220">
        <f t="shared" ca="1" si="424"/>
        <v>0</v>
      </c>
      <c r="SA25" s="235">
        <f t="shared" ca="1" si="425"/>
        <v>0</v>
      </c>
      <c r="SB25" s="235">
        <f t="shared" ca="1" si="426"/>
        <v>0</v>
      </c>
      <c r="SC25" s="242">
        <f t="shared" ca="1" si="427"/>
        <v>0</v>
      </c>
      <c r="SD25" s="241">
        <f t="shared" ca="1" si="387"/>
        <v>1</v>
      </c>
      <c r="SE25" s="220">
        <f t="shared" ca="1" si="428"/>
        <v>0</v>
      </c>
      <c r="SF25" s="220">
        <f t="shared" ca="1" si="429"/>
        <v>0</v>
      </c>
      <c r="SG25" s="235">
        <f t="shared" ca="1" si="430"/>
        <v>0</v>
      </c>
      <c r="SH25" s="235">
        <f t="shared" ca="1" si="431"/>
        <v>0</v>
      </c>
      <c r="SI25" s="242">
        <f t="shared" ca="1" si="432"/>
        <v>0</v>
      </c>
      <c r="SJ25" s="241">
        <f t="shared" ca="1" si="387"/>
        <v>1</v>
      </c>
      <c r="SK25" s="220">
        <f t="shared" ca="1" si="433"/>
        <v>0</v>
      </c>
      <c r="SL25" s="220">
        <f t="shared" ca="1" si="434"/>
        <v>0</v>
      </c>
      <c r="SM25" s="235">
        <f t="shared" ca="1" si="435"/>
        <v>0</v>
      </c>
      <c r="SN25" s="235">
        <f t="shared" ca="1" si="436"/>
        <v>0</v>
      </c>
      <c r="SO25" s="242">
        <f t="shared" ca="1" si="437"/>
        <v>0</v>
      </c>
      <c r="SP25" s="241">
        <f t="shared" ca="1" si="387"/>
        <v>1</v>
      </c>
      <c r="SQ25" s="220">
        <f t="shared" ca="1" si="438"/>
        <v>0</v>
      </c>
      <c r="SR25" s="220">
        <f t="shared" ca="1" si="439"/>
        <v>0</v>
      </c>
      <c r="SS25" s="235">
        <f t="shared" ca="1" si="440"/>
        <v>0</v>
      </c>
      <c r="ST25" s="235">
        <f t="shared" ca="1" si="441"/>
        <v>0</v>
      </c>
      <c r="SU25" s="242">
        <f t="shared" ca="1" si="442"/>
        <v>0</v>
      </c>
      <c r="SV25" s="241">
        <f t="shared" ca="1" si="443"/>
        <v>1</v>
      </c>
      <c r="SW25" s="220">
        <f t="shared" ca="1" si="444"/>
        <v>0</v>
      </c>
      <c r="SX25" s="220">
        <f t="shared" ca="1" si="445"/>
        <v>0</v>
      </c>
      <c r="SY25" s="235">
        <f t="shared" ca="1" si="446"/>
        <v>0</v>
      </c>
      <c r="SZ25" s="235">
        <f t="shared" ca="1" si="447"/>
        <v>0</v>
      </c>
      <c r="TA25" s="242">
        <f t="shared" ca="1" si="448"/>
        <v>0</v>
      </c>
      <c r="TB25" s="241">
        <f t="shared" ca="1" si="443"/>
        <v>1</v>
      </c>
      <c r="TC25" s="220">
        <f t="shared" ca="1" si="449"/>
        <v>0</v>
      </c>
      <c r="TD25" s="220">
        <f t="shared" ca="1" si="450"/>
        <v>0</v>
      </c>
      <c r="TE25" s="235">
        <f t="shared" ca="1" si="451"/>
        <v>0</v>
      </c>
      <c r="TF25" s="235">
        <f t="shared" ca="1" si="452"/>
        <v>0</v>
      </c>
      <c r="TG25" s="242">
        <f t="shared" ca="1" si="453"/>
        <v>0</v>
      </c>
      <c r="TH25" s="241">
        <f t="shared" ca="1" si="443"/>
        <v>1</v>
      </c>
      <c r="TI25" s="220">
        <f t="shared" ca="1" si="454"/>
        <v>0</v>
      </c>
      <c r="TJ25" s="220">
        <f t="shared" ca="1" si="455"/>
        <v>0</v>
      </c>
      <c r="TK25" s="235">
        <f t="shared" ca="1" si="456"/>
        <v>0</v>
      </c>
      <c r="TL25" s="235">
        <f t="shared" ca="1" si="457"/>
        <v>0</v>
      </c>
      <c r="TM25" s="242">
        <f t="shared" ca="1" si="458"/>
        <v>0</v>
      </c>
      <c r="TN25" s="241">
        <f t="shared" ca="1" si="443"/>
        <v>1</v>
      </c>
      <c r="TO25" s="220">
        <f t="shared" ca="1" si="459"/>
        <v>0</v>
      </c>
      <c r="TP25" s="220">
        <f t="shared" ca="1" si="460"/>
        <v>0</v>
      </c>
      <c r="TQ25" s="235">
        <f t="shared" ca="1" si="461"/>
        <v>0</v>
      </c>
      <c r="TR25" s="235">
        <f t="shared" ca="1" si="462"/>
        <v>0</v>
      </c>
      <c r="TS25" s="242">
        <f t="shared" ca="1" si="463"/>
        <v>0</v>
      </c>
      <c r="TT25" s="241">
        <f t="shared" ca="1" si="443"/>
        <v>1</v>
      </c>
      <c r="TU25" s="220">
        <f t="shared" ca="1" si="464"/>
        <v>0</v>
      </c>
      <c r="TV25" s="220">
        <f t="shared" ca="1" si="465"/>
        <v>0</v>
      </c>
      <c r="TW25" s="235">
        <f t="shared" ca="1" si="466"/>
        <v>0</v>
      </c>
      <c r="TX25" s="235">
        <f t="shared" ca="1" si="467"/>
        <v>0</v>
      </c>
      <c r="TY25" s="242">
        <f t="shared" ca="1" si="468"/>
        <v>0</v>
      </c>
      <c r="TZ25" s="241">
        <f t="shared" ca="1" si="443"/>
        <v>1</v>
      </c>
      <c r="UA25" s="220">
        <f t="shared" ca="1" si="469"/>
        <v>0</v>
      </c>
      <c r="UB25" s="220">
        <f t="shared" ca="1" si="470"/>
        <v>0</v>
      </c>
      <c r="UC25" s="235">
        <f t="shared" ca="1" si="471"/>
        <v>0</v>
      </c>
      <c r="UD25" s="235">
        <f t="shared" ca="1" si="472"/>
        <v>0</v>
      </c>
      <c r="UE25" s="242">
        <f t="shared" ca="1" si="473"/>
        <v>0</v>
      </c>
      <c r="UF25" s="241">
        <f t="shared" ca="1" si="443"/>
        <v>1</v>
      </c>
      <c r="UG25" s="220">
        <f t="shared" ca="1" si="474"/>
        <v>0</v>
      </c>
      <c r="UH25" s="220">
        <f t="shared" ca="1" si="475"/>
        <v>0</v>
      </c>
      <c r="UI25" s="235">
        <f t="shared" ca="1" si="476"/>
        <v>0</v>
      </c>
      <c r="UJ25" s="235">
        <f t="shared" ca="1" si="477"/>
        <v>0</v>
      </c>
      <c r="UK25" s="242">
        <f t="shared" ca="1" si="478"/>
        <v>0</v>
      </c>
      <c r="UL25" s="241">
        <f t="shared" ca="1" si="443"/>
        <v>1</v>
      </c>
      <c r="UM25" s="220">
        <f t="shared" ca="1" si="479"/>
        <v>0</v>
      </c>
      <c r="UN25" s="220">
        <f t="shared" ca="1" si="480"/>
        <v>0</v>
      </c>
      <c r="UO25" s="235">
        <f t="shared" ca="1" si="481"/>
        <v>0</v>
      </c>
      <c r="UP25" s="235">
        <f t="shared" ca="1" si="482"/>
        <v>0</v>
      </c>
      <c r="UQ25" s="242">
        <f t="shared" ca="1" si="483"/>
        <v>0</v>
      </c>
      <c r="UR25" s="241">
        <f t="shared" ca="1" si="443"/>
        <v>1</v>
      </c>
      <c r="US25" s="220">
        <f t="shared" ca="1" si="484"/>
        <v>0</v>
      </c>
      <c r="UT25" s="220">
        <f t="shared" ca="1" si="485"/>
        <v>0</v>
      </c>
      <c r="UU25" s="235">
        <f t="shared" ca="1" si="486"/>
        <v>0</v>
      </c>
      <c r="UV25" s="235">
        <f t="shared" ca="1" si="487"/>
        <v>0</v>
      </c>
      <c r="UW25" s="242">
        <f t="shared" ca="1" si="488"/>
        <v>0</v>
      </c>
      <c r="UX25" s="241">
        <f t="shared" ca="1" si="443"/>
        <v>1</v>
      </c>
      <c r="UY25" s="220">
        <f t="shared" ca="1" si="489"/>
        <v>0</v>
      </c>
      <c r="UZ25" s="220">
        <f t="shared" ca="1" si="490"/>
        <v>0</v>
      </c>
      <c r="VA25" s="235">
        <f t="shared" ca="1" si="491"/>
        <v>0</v>
      </c>
      <c r="VB25" s="235">
        <f t="shared" ca="1" si="492"/>
        <v>0</v>
      </c>
      <c r="VC25" s="242">
        <f t="shared" ca="1" si="493"/>
        <v>0</v>
      </c>
      <c r="VD25" s="241">
        <f t="shared" ca="1" si="443"/>
        <v>1</v>
      </c>
      <c r="VE25" s="220">
        <f t="shared" ca="1" si="494"/>
        <v>0</v>
      </c>
      <c r="VF25" s="220">
        <f t="shared" ca="1" si="495"/>
        <v>0</v>
      </c>
      <c r="VG25" s="235">
        <f t="shared" ca="1" si="496"/>
        <v>0</v>
      </c>
      <c r="VH25" s="235">
        <f t="shared" ca="1" si="497"/>
        <v>0</v>
      </c>
      <c r="VI25" s="242">
        <f t="shared" ca="1" si="498"/>
        <v>0</v>
      </c>
      <c r="VJ25" s="241">
        <f t="shared" ca="1" si="499"/>
        <v>1</v>
      </c>
      <c r="VK25" s="220">
        <f t="shared" ca="1" si="500"/>
        <v>0</v>
      </c>
      <c r="VL25" s="220">
        <f t="shared" ca="1" si="501"/>
        <v>0</v>
      </c>
      <c r="VM25" s="235">
        <f t="shared" ca="1" si="502"/>
        <v>0</v>
      </c>
      <c r="VN25" s="235">
        <f t="shared" ca="1" si="503"/>
        <v>0</v>
      </c>
      <c r="VO25" s="242">
        <f t="shared" ca="1" si="504"/>
        <v>0</v>
      </c>
      <c r="VP25" s="241">
        <f t="shared" ca="1" si="499"/>
        <v>1</v>
      </c>
      <c r="VQ25" s="220">
        <f t="shared" ca="1" si="505"/>
        <v>0</v>
      </c>
      <c r="VR25" s="220">
        <f t="shared" ca="1" si="506"/>
        <v>0</v>
      </c>
      <c r="VS25" s="235">
        <f t="shared" ca="1" si="507"/>
        <v>0</v>
      </c>
      <c r="VT25" s="235">
        <f t="shared" ca="1" si="508"/>
        <v>0</v>
      </c>
      <c r="VU25" s="242">
        <f t="shared" ca="1" si="509"/>
        <v>0</v>
      </c>
      <c r="VV25" s="241">
        <f t="shared" ca="1" si="499"/>
        <v>1</v>
      </c>
      <c r="VW25" s="220">
        <f t="shared" ca="1" si="510"/>
        <v>0</v>
      </c>
      <c r="VX25" s="220">
        <f t="shared" ca="1" si="511"/>
        <v>0</v>
      </c>
      <c r="VY25" s="235">
        <f t="shared" ca="1" si="512"/>
        <v>0</v>
      </c>
      <c r="VZ25" s="235">
        <f t="shared" ca="1" si="513"/>
        <v>0</v>
      </c>
      <c r="WA25" s="242">
        <f t="shared" ca="1" si="514"/>
        <v>0</v>
      </c>
      <c r="WB25" s="241">
        <f t="shared" ca="1" si="499"/>
        <v>1</v>
      </c>
      <c r="WC25" s="220">
        <f t="shared" ca="1" si="515"/>
        <v>0</v>
      </c>
      <c r="WD25" s="220">
        <f t="shared" ca="1" si="516"/>
        <v>0</v>
      </c>
      <c r="WE25" s="235">
        <f t="shared" ca="1" si="517"/>
        <v>0</v>
      </c>
      <c r="WF25" s="235">
        <f t="shared" ca="1" si="518"/>
        <v>0</v>
      </c>
      <c r="WG25" s="242">
        <f t="shared" ca="1" si="519"/>
        <v>0</v>
      </c>
      <c r="WH25" s="241">
        <f t="shared" ca="1" si="499"/>
        <v>1</v>
      </c>
      <c r="WI25" s="220">
        <f t="shared" ca="1" si="520"/>
        <v>0</v>
      </c>
      <c r="WJ25" s="220">
        <f t="shared" ca="1" si="521"/>
        <v>0</v>
      </c>
      <c r="WK25" s="235">
        <f t="shared" ca="1" si="522"/>
        <v>0</v>
      </c>
      <c r="WL25" s="235">
        <f t="shared" ca="1" si="523"/>
        <v>0</v>
      </c>
      <c r="WM25" s="242">
        <f t="shared" ca="1" si="524"/>
        <v>0</v>
      </c>
      <c r="WN25" s="241">
        <f t="shared" ca="1" si="499"/>
        <v>1</v>
      </c>
      <c r="WO25" s="220">
        <f t="shared" ca="1" si="525"/>
        <v>0</v>
      </c>
      <c r="WP25" s="220">
        <f t="shared" ca="1" si="526"/>
        <v>0</v>
      </c>
      <c r="WQ25" s="235">
        <f t="shared" ca="1" si="527"/>
        <v>0</v>
      </c>
      <c r="WR25" s="235">
        <f t="shared" ca="1" si="528"/>
        <v>0</v>
      </c>
      <c r="WS25" s="242">
        <f t="shared" ca="1" si="529"/>
        <v>0</v>
      </c>
      <c r="WT25" s="241">
        <f t="shared" ca="1" si="499"/>
        <v>1</v>
      </c>
      <c r="WU25" s="220">
        <f t="shared" ca="1" si="530"/>
        <v>0</v>
      </c>
      <c r="WV25" s="220">
        <f t="shared" ca="1" si="531"/>
        <v>0</v>
      </c>
      <c r="WW25" s="235">
        <f t="shared" ca="1" si="532"/>
        <v>0</v>
      </c>
      <c r="WX25" s="235">
        <f t="shared" ca="1" si="533"/>
        <v>0</v>
      </c>
      <c r="WY25" s="242">
        <f t="shared" ca="1" si="534"/>
        <v>0</v>
      </c>
      <c r="WZ25" s="241">
        <f t="shared" ca="1" si="499"/>
        <v>1</v>
      </c>
      <c r="XA25" s="220">
        <f t="shared" ca="1" si="535"/>
        <v>0</v>
      </c>
      <c r="XB25" s="220">
        <f t="shared" ca="1" si="536"/>
        <v>0</v>
      </c>
      <c r="XC25" s="235">
        <f t="shared" ca="1" si="537"/>
        <v>0</v>
      </c>
      <c r="XD25" s="235">
        <f t="shared" ca="1" si="538"/>
        <v>0</v>
      </c>
      <c r="XE25" s="242">
        <f t="shared" ca="1" si="539"/>
        <v>0</v>
      </c>
      <c r="XF25" s="241">
        <f t="shared" ca="1" si="499"/>
        <v>1</v>
      </c>
      <c r="XG25" s="220">
        <f t="shared" ca="1" si="540"/>
        <v>0</v>
      </c>
      <c r="XH25" s="220">
        <f t="shared" ca="1" si="541"/>
        <v>0</v>
      </c>
      <c r="XI25" s="235">
        <f t="shared" ca="1" si="542"/>
        <v>0</v>
      </c>
      <c r="XJ25" s="235">
        <f t="shared" ca="1" si="543"/>
        <v>0</v>
      </c>
      <c r="XK25" s="242">
        <f t="shared" ca="1" si="544"/>
        <v>0</v>
      </c>
    </row>
    <row r="26" spans="2:635" x14ac:dyDescent="0.25">
      <c r="B26" s="65">
        <f t="shared" ca="1" si="14"/>
        <v>2041</v>
      </c>
      <c r="C26" s="65" t="s">
        <v>741</v>
      </c>
      <c r="D26" s="77">
        <f t="shared" si="15"/>
        <v>0</v>
      </c>
      <c r="E26" s="77">
        <f t="shared" si="16"/>
        <v>0</v>
      </c>
      <c r="F26" s="77">
        <f t="shared" si="17"/>
        <v>0</v>
      </c>
      <c r="G26" s="77">
        <f t="shared" si="18"/>
        <v>0</v>
      </c>
      <c r="H26" s="15" t="e">
        <f t="shared" ca="1" si="19"/>
        <v>#REF!</v>
      </c>
      <c r="L26" s="326">
        <f t="shared" ca="1" si="20"/>
        <v>3.5000000000000003E-2</v>
      </c>
      <c r="M26" s="327">
        <f t="shared" ca="1" si="21"/>
        <v>3.5000000000000003E-2</v>
      </c>
      <c r="N26" s="322">
        <f t="shared" ca="1" si="22"/>
        <v>-18</v>
      </c>
      <c r="O26" s="322">
        <f t="shared" ca="1" si="23"/>
        <v>0</v>
      </c>
      <c r="P26" s="328">
        <f t="shared" ca="1" si="545"/>
        <v>0</v>
      </c>
      <c r="Q26" s="328">
        <f t="shared" ca="1" si="546"/>
        <v>0</v>
      </c>
      <c r="R26" s="328">
        <f t="shared" ca="1" si="547"/>
        <v>0</v>
      </c>
      <c r="S26" s="329">
        <f t="shared" ca="1" si="24"/>
        <v>0</v>
      </c>
      <c r="T26" s="329">
        <f t="shared" ca="1" si="25"/>
        <v>0</v>
      </c>
      <c r="U26" s="329">
        <f t="shared" ca="1" si="26"/>
        <v>0</v>
      </c>
      <c r="V26" s="320" t="e">
        <f t="shared" ca="1" si="27"/>
        <v>#REF!</v>
      </c>
      <c r="W26" s="320" t="e">
        <f t="shared" ca="1" si="28"/>
        <v>#REF!</v>
      </c>
      <c r="X26" s="320" t="e">
        <f t="shared" ca="1" si="29"/>
        <v>#REF!</v>
      </c>
      <c r="Y26" s="320" t="e">
        <f ca="1">INDEX(SC_ZA_HECMLumpSum,ZAIDX)</f>
        <v>#REF!</v>
      </c>
      <c r="Z26" s="320" t="e">
        <f t="shared" ca="1" si="30"/>
        <v>#REF!</v>
      </c>
      <c r="AA26" s="320">
        <f t="shared" ca="1" si="557"/>
        <v>0</v>
      </c>
      <c r="AB26" s="320" t="e">
        <f t="shared" ca="1" si="558"/>
        <v>#REF!</v>
      </c>
      <c r="AC26" s="330" t="e">
        <f t="shared" ca="1" si="559"/>
        <v>#REF!</v>
      </c>
      <c r="AD26" s="236" t="e">
        <f t="shared" ca="1" si="548"/>
        <v>#REF!</v>
      </c>
      <c r="AE26" s="320" t="e">
        <f t="shared" ca="1" si="34"/>
        <v>#REF!</v>
      </c>
      <c r="AF26" s="320" t="e">
        <f t="shared" ca="1" si="35"/>
        <v>#REF!</v>
      </c>
      <c r="AG26" s="320" t="e">
        <f t="shared" ca="1" si="549"/>
        <v>#REF!</v>
      </c>
      <c r="AH26" s="284" t="e">
        <f t="shared" ca="1" si="550"/>
        <v>#REF!</v>
      </c>
      <c r="AI26" s="318" t="e">
        <f t="shared" ca="1" si="551"/>
        <v>#REF!</v>
      </c>
      <c r="AJ26" s="331">
        <f t="shared" ca="1" si="552"/>
        <v>1</v>
      </c>
      <c r="AK26" s="220">
        <f t="shared" ca="1" si="553"/>
        <v>0</v>
      </c>
      <c r="AL26" s="220">
        <f t="shared" ca="1" si="37"/>
        <v>0</v>
      </c>
      <c r="AM26" s="235">
        <f t="shared" ca="1" si="554"/>
        <v>0</v>
      </c>
      <c r="AN26" s="235">
        <f t="shared" ca="1" si="555"/>
        <v>0</v>
      </c>
      <c r="AO26" s="242">
        <f t="shared" ca="1" si="556"/>
        <v>0</v>
      </c>
      <c r="AP26" s="241">
        <f t="shared" ca="1" si="552"/>
        <v>1</v>
      </c>
      <c r="AQ26" s="220">
        <f t="shared" ca="1" si="41"/>
        <v>0</v>
      </c>
      <c r="AR26" s="220">
        <f t="shared" ca="1" si="42"/>
        <v>0</v>
      </c>
      <c r="AS26" s="235">
        <f t="shared" ca="1" si="43"/>
        <v>0</v>
      </c>
      <c r="AT26" s="235">
        <f t="shared" ca="1" si="44"/>
        <v>0</v>
      </c>
      <c r="AU26" s="242">
        <f t="shared" ca="1" si="45"/>
        <v>0</v>
      </c>
      <c r="AV26" s="241">
        <f t="shared" ca="1" si="552"/>
        <v>1</v>
      </c>
      <c r="AW26" s="220">
        <f t="shared" ca="1" si="46"/>
        <v>0</v>
      </c>
      <c r="AX26" s="220">
        <f t="shared" ca="1" si="47"/>
        <v>0</v>
      </c>
      <c r="AY26" s="235">
        <f t="shared" ca="1" si="48"/>
        <v>0</v>
      </c>
      <c r="AZ26" s="235">
        <f t="shared" ca="1" si="49"/>
        <v>0</v>
      </c>
      <c r="BA26" s="242">
        <f t="shared" ca="1" si="50"/>
        <v>0</v>
      </c>
      <c r="BB26" s="241">
        <f t="shared" ca="1" si="552"/>
        <v>1</v>
      </c>
      <c r="BC26" s="220">
        <f t="shared" ca="1" si="52"/>
        <v>0</v>
      </c>
      <c r="BD26" s="220">
        <f t="shared" ca="1" si="53"/>
        <v>0</v>
      </c>
      <c r="BE26" s="235">
        <f t="shared" ca="1" si="54"/>
        <v>0</v>
      </c>
      <c r="BF26" s="235">
        <f t="shared" ca="1" si="55"/>
        <v>0</v>
      </c>
      <c r="BG26" s="242">
        <f t="shared" ca="1" si="56"/>
        <v>0</v>
      </c>
      <c r="BH26" s="241">
        <f t="shared" ca="1" si="552"/>
        <v>1</v>
      </c>
      <c r="BI26" s="220">
        <f t="shared" ca="1" si="57"/>
        <v>0</v>
      </c>
      <c r="BJ26" s="220">
        <f t="shared" ca="1" si="58"/>
        <v>0</v>
      </c>
      <c r="BK26" s="235">
        <f t="shared" ca="1" si="59"/>
        <v>0</v>
      </c>
      <c r="BL26" s="235">
        <f t="shared" ca="1" si="60"/>
        <v>0</v>
      </c>
      <c r="BM26" s="242">
        <f t="shared" ca="1" si="61"/>
        <v>0</v>
      </c>
      <c r="BN26" s="241">
        <f t="shared" ca="1" si="552"/>
        <v>1</v>
      </c>
      <c r="BO26" s="220">
        <f t="shared" ca="1" si="62"/>
        <v>0</v>
      </c>
      <c r="BP26" s="220">
        <f t="shared" ca="1" si="63"/>
        <v>0</v>
      </c>
      <c r="BQ26" s="235">
        <f t="shared" ca="1" si="64"/>
        <v>0</v>
      </c>
      <c r="BR26" s="235">
        <f t="shared" ca="1" si="65"/>
        <v>0</v>
      </c>
      <c r="BS26" s="242">
        <f t="shared" ca="1" si="66"/>
        <v>0</v>
      </c>
      <c r="BT26" s="241">
        <f t="shared" ca="1" si="552"/>
        <v>1</v>
      </c>
      <c r="BU26" s="220">
        <f t="shared" ca="1" si="67"/>
        <v>0</v>
      </c>
      <c r="BV26" s="220">
        <f t="shared" ca="1" si="68"/>
        <v>0</v>
      </c>
      <c r="BW26" s="235">
        <f t="shared" ca="1" si="69"/>
        <v>0</v>
      </c>
      <c r="BX26" s="235">
        <f t="shared" ca="1" si="70"/>
        <v>0</v>
      </c>
      <c r="BY26" s="242">
        <f t="shared" ca="1" si="71"/>
        <v>0</v>
      </c>
      <c r="BZ26" s="241">
        <f t="shared" ca="1" si="552"/>
        <v>1</v>
      </c>
      <c r="CA26" s="220">
        <f t="shared" ca="1" si="72"/>
        <v>0</v>
      </c>
      <c r="CB26" s="220">
        <f t="shared" ca="1" si="73"/>
        <v>0</v>
      </c>
      <c r="CC26" s="235">
        <f t="shared" ca="1" si="74"/>
        <v>0</v>
      </c>
      <c r="CD26" s="235">
        <f t="shared" ca="1" si="75"/>
        <v>0</v>
      </c>
      <c r="CE26" s="242">
        <f t="shared" ca="1" si="76"/>
        <v>0</v>
      </c>
      <c r="CF26" s="241">
        <f t="shared" ca="1" si="552"/>
        <v>1</v>
      </c>
      <c r="CG26" s="220">
        <f t="shared" ca="1" si="77"/>
        <v>0</v>
      </c>
      <c r="CH26" s="220">
        <f t="shared" ca="1" si="78"/>
        <v>0</v>
      </c>
      <c r="CI26" s="235">
        <f t="shared" ca="1" si="79"/>
        <v>0</v>
      </c>
      <c r="CJ26" s="235">
        <f t="shared" ca="1" si="80"/>
        <v>0</v>
      </c>
      <c r="CK26" s="242">
        <f t="shared" ca="1" si="81"/>
        <v>0</v>
      </c>
      <c r="CL26" s="241">
        <f t="shared" ca="1" si="552"/>
        <v>1</v>
      </c>
      <c r="CM26" s="220">
        <f t="shared" ca="1" si="82"/>
        <v>0</v>
      </c>
      <c r="CN26" s="220">
        <f t="shared" ca="1" si="83"/>
        <v>0</v>
      </c>
      <c r="CO26" s="235">
        <f t="shared" ca="1" si="84"/>
        <v>0</v>
      </c>
      <c r="CP26" s="235">
        <f t="shared" ca="1" si="85"/>
        <v>0</v>
      </c>
      <c r="CQ26" s="242">
        <f t="shared" ca="1" si="86"/>
        <v>0</v>
      </c>
      <c r="CR26" s="241">
        <f t="shared" ca="1" si="552"/>
        <v>1</v>
      </c>
      <c r="CS26" s="220">
        <f t="shared" ca="1" si="87"/>
        <v>0</v>
      </c>
      <c r="CT26" s="220">
        <f t="shared" ca="1" si="88"/>
        <v>0</v>
      </c>
      <c r="CU26" s="235">
        <f t="shared" ca="1" si="89"/>
        <v>0</v>
      </c>
      <c r="CV26" s="235">
        <f t="shared" ca="1" si="90"/>
        <v>0</v>
      </c>
      <c r="CW26" s="242">
        <f t="shared" ca="1" si="91"/>
        <v>0</v>
      </c>
      <c r="CX26" s="241">
        <f t="shared" ca="1" si="51"/>
        <v>1</v>
      </c>
      <c r="CY26" s="220">
        <f t="shared" ca="1" si="92"/>
        <v>0</v>
      </c>
      <c r="CZ26" s="220">
        <f t="shared" ca="1" si="93"/>
        <v>0</v>
      </c>
      <c r="DA26" s="235">
        <f t="shared" ca="1" si="94"/>
        <v>0</v>
      </c>
      <c r="DB26" s="235">
        <f t="shared" ca="1" si="95"/>
        <v>0</v>
      </c>
      <c r="DC26" s="242">
        <f t="shared" ca="1" si="96"/>
        <v>0</v>
      </c>
      <c r="DD26" s="241">
        <f t="shared" ca="1" si="51"/>
        <v>1</v>
      </c>
      <c r="DE26" s="220">
        <f t="shared" ca="1" si="97"/>
        <v>0</v>
      </c>
      <c r="DF26" s="220">
        <f t="shared" ca="1" si="98"/>
        <v>0</v>
      </c>
      <c r="DG26" s="235">
        <f t="shared" ca="1" si="99"/>
        <v>0</v>
      </c>
      <c r="DH26" s="235">
        <f t="shared" ca="1" si="100"/>
        <v>0</v>
      </c>
      <c r="DI26" s="242">
        <f t="shared" ca="1" si="101"/>
        <v>0</v>
      </c>
      <c r="DJ26" s="241">
        <f t="shared" ca="1" si="51"/>
        <v>1</v>
      </c>
      <c r="DK26" s="220">
        <f t="shared" ca="1" si="102"/>
        <v>0</v>
      </c>
      <c r="DL26" s="220">
        <f t="shared" ca="1" si="103"/>
        <v>0</v>
      </c>
      <c r="DM26" s="235">
        <f t="shared" ca="1" si="104"/>
        <v>0</v>
      </c>
      <c r="DN26" s="235">
        <f t="shared" ca="1" si="105"/>
        <v>0</v>
      </c>
      <c r="DO26" s="242">
        <f t="shared" ca="1" si="106"/>
        <v>0</v>
      </c>
      <c r="DP26" s="241">
        <f t="shared" ca="1" si="107"/>
        <v>1</v>
      </c>
      <c r="DQ26" s="220">
        <f t="shared" ca="1" si="108"/>
        <v>0</v>
      </c>
      <c r="DR26" s="220">
        <f t="shared" ca="1" si="109"/>
        <v>0</v>
      </c>
      <c r="DS26" s="235">
        <f t="shared" ca="1" si="110"/>
        <v>0</v>
      </c>
      <c r="DT26" s="235">
        <f t="shared" ca="1" si="111"/>
        <v>0</v>
      </c>
      <c r="DU26" s="242">
        <f t="shared" ca="1" si="112"/>
        <v>0</v>
      </c>
      <c r="DV26" s="241">
        <f t="shared" ca="1" si="107"/>
        <v>1</v>
      </c>
      <c r="DW26" s="220">
        <f t="shared" ca="1" si="113"/>
        <v>0</v>
      </c>
      <c r="DX26" s="220">
        <f t="shared" ca="1" si="114"/>
        <v>0</v>
      </c>
      <c r="DY26" s="235">
        <f t="shared" ca="1" si="115"/>
        <v>0</v>
      </c>
      <c r="DZ26" s="235">
        <f t="shared" ca="1" si="116"/>
        <v>0</v>
      </c>
      <c r="EA26" s="242">
        <f t="shared" ca="1" si="117"/>
        <v>0</v>
      </c>
      <c r="EB26" s="241">
        <f t="shared" ca="1" si="107"/>
        <v>1</v>
      </c>
      <c r="EC26" s="220">
        <f t="shared" ca="1" si="118"/>
        <v>0</v>
      </c>
      <c r="ED26" s="220">
        <f t="shared" ca="1" si="119"/>
        <v>0</v>
      </c>
      <c r="EE26" s="235">
        <f t="shared" ca="1" si="120"/>
        <v>0</v>
      </c>
      <c r="EF26" s="235">
        <f t="shared" ca="1" si="121"/>
        <v>0</v>
      </c>
      <c r="EG26" s="242">
        <f t="shared" ca="1" si="122"/>
        <v>0</v>
      </c>
      <c r="EH26" s="241">
        <f t="shared" ca="1" si="107"/>
        <v>1</v>
      </c>
      <c r="EI26" s="220">
        <f t="shared" ca="1" si="123"/>
        <v>0</v>
      </c>
      <c r="EJ26" s="220">
        <f t="shared" ca="1" si="124"/>
        <v>0</v>
      </c>
      <c r="EK26" s="235">
        <f t="shared" ca="1" si="125"/>
        <v>0</v>
      </c>
      <c r="EL26" s="235">
        <f t="shared" ca="1" si="126"/>
        <v>0</v>
      </c>
      <c r="EM26" s="242">
        <f t="shared" ca="1" si="127"/>
        <v>0</v>
      </c>
      <c r="EN26" s="241">
        <f t="shared" ca="1" si="107"/>
        <v>1</v>
      </c>
      <c r="EO26" s="220">
        <f t="shared" ca="1" si="128"/>
        <v>0</v>
      </c>
      <c r="EP26" s="220">
        <f t="shared" ca="1" si="129"/>
        <v>0</v>
      </c>
      <c r="EQ26" s="235">
        <f t="shared" ca="1" si="130"/>
        <v>0</v>
      </c>
      <c r="ER26" s="235">
        <f t="shared" ca="1" si="131"/>
        <v>0</v>
      </c>
      <c r="ES26" s="242">
        <f t="shared" ca="1" si="132"/>
        <v>0</v>
      </c>
      <c r="ET26" s="241">
        <f t="shared" ca="1" si="107"/>
        <v>1</v>
      </c>
      <c r="EU26" s="220">
        <f t="shared" ca="1" si="133"/>
        <v>0</v>
      </c>
      <c r="EV26" s="220">
        <f t="shared" ca="1" si="134"/>
        <v>0</v>
      </c>
      <c r="EW26" s="235">
        <f t="shared" ca="1" si="135"/>
        <v>0</v>
      </c>
      <c r="EX26" s="235">
        <f t="shared" ca="1" si="136"/>
        <v>0</v>
      </c>
      <c r="EY26" s="242">
        <f t="shared" ca="1" si="137"/>
        <v>0</v>
      </c>
      <c r="EZ26" s="241">
        <f t="shared" ca="1" si="107"/>
        <v>1</v>
      </c>
      <c r="FA26" s="220">
        <f t="shared" ca="1" si="138"/>
        <v>0</v>
      </c>
      <c r="FB26" s="220">
        <f t="shared" ca="1" si="139"/>
        <v>0</v>
      </c>
      <c r="FC26" s="235">
        <f t="shared" ca="1" si="140"/>
        <v>0</v>
      </c>
      <c r="FD26" s="235">
        <f t="shared" ca="1" si="141"/>
        <v>0</v>
      </c>
      <c r="FE26" s="242">
        <f t="shared" ca="1" si="142"/>
        <v>0</v>
      </c>
      <c r="FF26" s="241">
        <f t="shared" ca="1" si="107"/>
        <v>1</v>
      </c>
      <c r="FG26" s="220">
        <f t="shared" ca="1" si="143"/>
        <v>0</v>
      </c>
      <c r="FH26" s="220">
        <f t="shared" ca="1" si="144"/>
        <v>0</v>
      </c>
      <c r="FI26" s="235">
        <f t="shared" ca="1" si="145"/>
        <v>0</v>
      </c>
      <c r="FJ26" s="235">
        <f t="shared" ca="1" si="146"/>
        <v>0</v>
      </c>
      <c r="FK26" s="242">
        <f t="shared" ca="1" si="147"/>
        <v>0</v>
      </c>
      <c r="FL26" s="241">
        <f t="shared" ca="1" si="107"/>
        <v>1</v>
      </c>
      <c r="FM26" s="220">
        <f t="shared" ca="1" si="148"/>
        <v>0</v>
      </c>
      <c r="FN26" s="220">
        <f t="shared" ca="1" si="149"/>
        <v>0</v>
      </c>
      <c r="FO26" s="235">
        <f t="shared" ca="1" si="150"/>
        <v>0</v>
      </c>
      <c r="FP26" s="235">
        <f t="shared" ca="1" si="151"/>
        <v>0</v>
      </c>
      <c r="FQ26" s="242">
        <f t="shared" ca="1" si="152"/>
        <v>0</v>
      </c>
      <c r="FR26" s="241">
        <f t="shared" ca="1" si="107"/>
        <v>1</v>
      </c>
      <c r="FS26" s="220">
        <f t="shared" ca="1" si="153"/>
        <v>0</v>
      </c>
      <c r="FT26" s="220">
        <f t="shared" ca="1" si="154"/>
        <v>0</v>
      </c>
      <c r="FU26" s="235">
        <f t="shared" ca="1" si="155"/>
        <v>0</v>
      </c>
      <c r="FV26" s="235">
        <f t="shared" ca="1" si="156"/>
        <v>0</v>
      </c>
      <c r="FW26" s="242">
        <f t="shared" ca="1" si="157"/>
        <v>0</v>
      </c>
      <c r="FX26" s="241">
        <f t="shared" ca="1" si="107"/>
        <v>1</v>
      </c>
      <c r="FY26" s="220">
        <f t="shared" ca="1" si="158"/>
        <v>0</v>
      </c>
      <c r="FZ26" s="220">
        <f t="shared" ca="1" si="159"/>
        <v>0</v>
      </c>
      <c r="GA26" s="235">
        <f t="shared" ca="1" si="160"/>
        <v>0</v>
      </c>
      <c r="GB26" s="235">
        <f t="shared" ca="1" si="161"/>
        <v>0</v>
      </c>
      <c r="GC26" s="242">
        <f t="shared" ca="1" si="162"/>
        <v>0</v>
      </c>
      <c r="GD26" s="241">
        <f t="shared" ca="1" si="163"/>
        <v>1</v>
      </c>
      <c r="GE26" s="220">
        <f t="shared" ca="1" si="164"/>
        <v>0</v>
      </c>
      <c r="GF26" s="220">
        <f t="shared" ca="1" si="165"/>
        <v>0</v>
      </c>
      <c r="GG26" s="235">
        <f t="shared" ca="1" si="166"/>
        <v>0</v>
      </c>
      <c r="GH26" s="235">
        <f t="shared" ca="1" si="167"/>
        <v>0</v>
      </c>
      <c r="GI26" s="242">
        <f t="shared" ca="1" si="168"/>
        <v>0</v>
      </c>
      <c r="GJ26" s="241">
        <f t="shared" ca="1" si="163"/>
        <v>1</v>
      </c>
      <c r="GK26" s="220">
        <f t="shared" ca="1" si="169"/>
        <v>0</v>
      </c>
      <c r="GL26" s="220">
        <f t="shared" ca="1" si="170"/>
        <v>0</v>
      </c>
      <c r="GM26" s="235">
        <f t="shared" ca="1" si="171"/>
        <v>0</v>
      </c>
      <c r="GN26" s="235">
        <f t="shared" ca="1" si="172"/>
        <v>0</v>
      </c>
      <c r="GO26" s="242">
        <f t="shared" ca="1" si="173"/>
        <v>0</v>
      </c>
      <c r="GP26" s="241">
        <f t="shared" ca="1" si="163"/>
        <v>1</v>
      </c>
      <c r="GQ26" s="220">
        <f t="shared" ca="1" si="174"/>
        <v>0</v>
      </c>
      <c r="GR26" s="220">
        <f t="shared" ca="1" si="175"/>
        <v>0</v>
      </c>
      <c r="GS26" s="235">
        <f t="shared" ca="1" si="176"/>
        <v>0</v>
      </c>
      <c r="GT26" s="235">
        <f t="shared" ca="1" si="177"/>
        <v>0</v>
      </c>
      <c r="GU26" s="242">
        <f t="shared" ca="1" si="178"/>
        <v>0</v>
      </c>
      <c r="GV26" s="241">
        <f t="shared" ca="1" si="163"/>
        <v>1</v>
      </c>
      <c r="GW26" s="220">
        <f t="shared" ca="1" si="179"/>
        <v>0</v>
      </c>
      <c r="GX26" s="220">
        <f t="shared" ca="1" si="180"/>
        <v>0</v>
      </c>
      <c r="GY26" s="235">
        <f t="shared" ca="1" si="181"/>
        <v>0</v>
      </c>
      <c r="GZ26" s="235">
        <f t="shared" ca="1" si="182"/>
        <v>0</v>
      </c>
      <c r="HA26" s="242">
        <f t="shared" ca="1" si="183"/>
        <v>0</v>
      </c>
      <c r="HB26" s="241">
        <f t="shared" ca="1" si="163"/>
        <v>1</v>
      </c>
      <c r="HC26" s="220">
        <f t="shared" ca="1" si="184"/>
        <v>0</v>
      </c>
      <c r="HD26" s="220">
        <f t="shared" ca="1" si="185"/>
        <v>0</v>
      </c>
      <c r="HE26" s="235">
        <f t="shared" ca="1" si="186"/>
        <v>0</v>
      </c>
      <c r="HF26" s="235">
        <f t="shared" ca="1" si="187"/>
        <v>0</v>
      </c>
      <c r="HG26" s="242">
        <f t="shared" ca="1" si="188"/>
        <v>0</v>
      </c>
      <c r="HH26" s="241">
        <f t="shared" ca="1" si="163"/>
        <v>1</v>
      </c>
      <c r="HI26" s="220">
        <f t="shared" ca="1" si="189"/>
        <v>0</v>
      </c>
      <c r="HJ26" s="220">
        <f t="shared" ca="1" si="190"/>
        <v>0</v>
      </c>
      <c r="HK26" s="235">
        <f t="shared" ca="1" si="191"/>
        <v>0</v>
      </c>
      <c r="HL26" s="235">
        <f t="shared" ca="1" si="192"/>
        <v>0</v>
      </c>
      <c r="HM26" s="242">
        <f t="shared" ca="1" si="193"/>
        <v>0</v>
      </c>
      <c r="HN26" s="241">
        <f t="shared" ca="1" si="163"/>
        <v>1</v>
      </c>
      <c r="HO26" s="220">
        <f t="shared" ca="1" si="194"/>
        <v>0</v>
      </c>
      <c r="HP26" s="220">
        <f t="shared" ca="1" si="195"/>
        <v>0</v>
      </c>
      <c r="HQ26" s="235">
        <f t="shared" ca="1" si="196"/>
        <v>0</v>
      </c>
      <c r="HR26" s="235">
        <f t="shared" ca="1" si="197"/>
        <v>0</v>
      </c>
      <c r="HS26" s="242">
        <f t="shared" ca="1" si="198"/>
        <v>0</v>
      </c>
      <c r="HT26" s="241">
        <f t="shared" ca="1" si="163"/>
        <v>1</v>
      </c>
      <c r="HU26" s="220">
        <f t="shared" ca="1" si="199"/>
        <v>0</v>
      </c>
      <c r="HV26" s="220">
        <f t="shared" ca="1" si="200"/>
        <v>0</v>
      </c>
      <c r="HW26" s="235">
        <f t="shared" ca="1" si="201"/>
        <v>0</v>
      </c>
      <c r="HX26" s="235">
        <f t="shared" ca="1" si="202"/>
        <v>0</v>
      </c>
      <c r="HY26" s="242">
        <f t="shared" ca="1" si="203"/>
        <v>0</v>
      </c>
      <c r="HZ26" s="241">
        <f t="shared" ca="1" si="163"/>
        <v>1</v>
      </c>
      <c r="IA26" s="220">
        <f t="shared" ca="1" si="204"/>
        <v>0</v>
      </c>
      <c r="IB26" s="220">
        <f t="shared" ca="1" si="205"/>
        <v>0</v>
      </c>
      <c r="IC26" s="235">
        <f t="shared" ca="1" si="206"/>
        <v>0</v>
      </c>
      <c r="ID26" s="235">
        <f t="shared" ca="1" si="207"/>
        <v>0</v>
      </c>
      <c r="IE26" s="242">
        <f t="shared" ca="1" si="208"/>
        <v>0</v>
      </c>
      <c r="IF26" s="241">
        <f t="shared" ca="1" si="163"/>
        <v>1</v>
      </c>
      <c r="IG26" s="220">
        <f t="shared" ca="1" si="209"/>
        <v>0</v>
      </c>
      <c r="IH26" s="220">
        <f t="shared" ca="1" si="210"/>
        <v>0</v>
      </c>
      <c r="II26" s="235">
        <f t="shared" ca="1" si="211"/>
        <v>0</v>
      </c>
      <c r="IJ26" s="235">
        <f t="shared" ca="1" si="212"/>
        <v>0</v>
      </c>
      <c r="IK26" s="242">
        <f t="shared" ca="1" si="213"/>
        <v>0</v>
      </c>
      <c r="IL26" s="241">
        <f t="shared" ca="1" si="163"/>
        <v>1</v>
      </c>
      <c r="IM26" s="220">
        <f t="shared" ca="1" si="214"/>
        <v>0</v>
      </c>
      <c r="IN26" s="220">
        <f t="shared" ca="1" si="215"/>
        <v>0</v>
      </c>
      <c r="IO26" s="235">
        <f t="shared" ca="1" si="216"/>
        <v>0</v>
      </c>
      <c r="IP26" s="235">
        <f t="shared" ca="1" si="217"/>
        <v>0</v>
      </c>
      <c r="IQ26" s="242">
        <f t="shared" ca="1" si="218"/>
        <v>0</v>
      </c>
      <c r="IR26" s="241">
        <f t="shared" ca="1" si="219"/>
        <v>1</v>
      </c>
      <c r="IS26" s="220">
        <f t="shared" ca="1" si="220"/>
        <v>0</v>
      </c>
      <c r="IT26" s="220">
        <f t="shared" ca="1" si="221"/>
        <v>0</v>
      </c>
      <c r="IU26" s="235">
        <f t="shared" ca="1" si="222"/>
        <v>0</v>
      </c>
      <c r="IV26" s="235">
        <f t="shared" ca="1" si="223"/>
        <v>0</v>
      </c>
      <c r="IW26" s="242">
        <f t="shared" ca="1" si="224"/>
        <v>0</v>
      </c>
      <c r="IX26" s="241">
        <f t="shared" ca="1" si="219"/>
        <v>1</v>
      </c>
      <c r="IY26" s="220">
        <f t="shared" ca="1" si="225"/>
        <v>0</v>
      </c>
      <c r="IZ26" s="220">
        <f t="shared" ca="1" si="226"/>
        <v>0</v>
      </c>
      <c r="JA26" s="235">
        <f t="shared" ca="1" si="227"/>
        <v>0</v>
      </c>
      <c r="JB26" s="235">
        <f t="shared" ca="1" si="228"/>
        <v>0</v>
      </c>
      <c r="JC26" s="242">
        <f t="shared" ca="1" si="229"/>
        <v>0</v>
      </c>
      <c r="JD26" s="241">
        <f t="shared" ca="1" si="219"/>
        <v>1</v>
      </c>
      <c r="JE26" s="220">
        <f t="shared" ca="1" si="230"/>
        <v>0</v>
      </c>
      <c r="JF26" s="220">
        <f t="shared" ca="1" si="231"/>
        <v>0</v>
      </c>
      <c r="JG26" s="235">
        <f t="shared" ca="1" si="232"/>
        <v>0</v>
      </c>
      <c r="JH26" s="235">
        <f t="shared" ca="1" si="233"/>
        <v>0</v>
      </c>
      <c r="JI26" s="242">
        <f t="shared" ca="1" si="234"/>
        <v>0</v>
      </c>
      <c r="JJ26" s="241">
        <f t="shared" ca="1" si="219"/>
        <v>1</v>
      </c>
      <c r="JK26" s="220">
        <f t="shared" ca="1" si="235"/>
        <v>0</v>
      </c>
      <c r="JL26" s="220">
        <f t="shared" ca="1" si="236"/>
        <v>0</v>
      </c>
      <c r="JM26" s="235">
        <f t="shared" ca="1" si="237"/>
        <v>0</v>
      </c>
      <c r="JN26" s="235">
        <f t="shared" ca="1" si="238"/>
        <v>0</v>
      </c>
      <c r="JO26" s="242">
        <f t="shared" ca="1" si="239"/>
        <v>0</v>
      </c>
      <c r="JP26" s="241">
        <f t="shared" ca="1" si="219"/>
        <v>1</v>
      </c>
      <c r="JQ26" s="220">
        <f t="shared" ca="1" si="240"/>
        <v>0</v>
      </c>
      <c r="JR26" s="220">
        <f t="shared" ca="1" si="241"/>
        <v>0</v>
      </c>
      <c r="JS26" s="235">
        <f t="shared" ca="1" si="242"/>
        <v>0</v>
      </c>
      <c r="JT26" s="235">
        <f t="shared" ca="1" si="243"/>
        <v>0</v>
      </c>
      <c r="JU26" s="242">
        <f t="shared" ca="1" si="244"/>
        <v>0</v>
      </c>
      <c r="JV26" s="241">
        <f t="shared" ca="1" si="219"/>
        <v>1</v>
      </c>
      <c r="JW26" s="220">
        <f t="shared" ca="1" si="245"/>
        <v>0</v>
      </c>
      <c r="JX26" s="220">
        <f t="shared" ca="1" si="246"/>
        <v>0</v>
      </c>
      <c r="JY26" s="235">
        <f t="shared" ca="1" si="247"/>
        <v>0</v>
      </c>
      <c r="JZ26" s="235">
        <f t="shared" ca="1" si="248"/>
        <v>0</v>
      </c>
      <c r="KA26" s="242">
        <f t="shared" ca="1" si="249"/>
        <v>0</v>
      </c>
      <c r="KB26" s="241">
        <f t="shared" ca="1" si="219"/>
        <v>1</v>
      </c>
      <c r="KC26" s="220">
        <f t="shared" ca="1" si="250"/>
        <v>0</v>
      </c>
      <c r="KD26" s="220">
        <f t="shared" ca="1" si="251"/>
        <v>0</v>
      </c>
      <c r="KE26" s="235">
        <f t="shared" ca="1" si="252"/>
        <v>0</v>
      </c>
      <c r="KF26" s="235">
        <f t="shared" ca="1" si="253"/>
        <v>0</v>
      </c>
      <c r="KG26" s="242">
        <f t="shared" ca="1" si="254"/>
        <v>0</v>
      </c>
      <c r="KH26" s="241">
        <f t="shared" ca="1" si="219"/>
        <v>1</v>
      </c>
      <c r="KI26" s="220">
        <f t="shared" ca="1" si="255"/>
        <v>0</v>
      </c>
      <c r="KJ26" s="220">
        <f t="shared" ca="1" si="256"/>
        <v>0</v>
      </c>
      <c r="KK26" s="235">
        <f t="shared" ca="1" si="257"/>
        <v>0</v>
      </c>
      <c r="KL26" s="235">
        <f t="shared" ca="1" si="258"/>
        <v>0</v>
      </c>
      <c r="KM26" s="242">
        <f t="shared" ca="1" si="259"/>
        <v>0</v>
      </c>
      <c r="KN26" s="241">
        <f t="shared" ca="1" si="219"/>
        <v>1</v>
      </c>
      <c r="KO26" s="220">
        <f t="shared" ca="1" si="260"/>
        <v>0</v>
      </c>
      <c r="KP26" s="220">
        <f t="shared" ca="1" si="261"/>
        <v>0</v>
      </c>
      <c r="KQ26" s="235">
        <f t="shared" ca="1" si="262"/>
        <v>0</v>
      </c>
      <c r="KR26" s="235">
        <f t="shared" ca="1" si="263"/>
        <v>0</v>
      </c>
      <c r="KS26" s="242">
        <f t="shared" ca="1" si="264"/>
        <v>0</v>
      </c>
      <c r="KT26" s="241">
        <f t="shared" ca="1" si="219"/>
        <v>1</v>
      </c>
      <c r="KU26" s="220">
        <f t="shared" ca="1" si="265"/>
        <v>0</v>
      </c>
      <c r="KV26" s="220">
        <f t="shared" ca="1" si="266"/>
        <v>0</v>
      </c>
      <c r="KW26" s="235">
        <f t="shared" ca="1" si="267"/>
        <v>0</v>
      </c>
      <c r="KX26" s="235">
        <f t="shared" ca="1" si="268"/>
        <v>0</v>
      </c>
      <c r="KY26" s="242">
        <f t="shared" ca="1" si="269"/>
        <v>0</v>
      </c>
      <c r="KZ26" s="241">
        <f t="shared" ca="1" si="219"/>
        <v>1</v>
      </c>
      <c r="LA26" s="220">
        <f t="shared" ca="1" si="270"/>
        <v>0</v>
      </c>
      <c r="LB26" s="220">
        <f t="shared" ca="1" si="271"/>
        <v>0</v>
      </c>
      <c r="LC26" s="235">
        <f t="shared" ca="1" si="272"/>
        <v>0</v>
      </c>
      <c r="LD26" s="235">
        <f t="shared" ca="1" si="273"/>
        <v>0</v>
      </c>
      <c r="LE26" s="242">
        <f t="shared" ca="1" si="274"/>
        <v>0</v>
      </c>
      <c r="LF26" s="241">
        <f t="shared" ca="1" si="275"/>
        <v>1</v>
      </c>
      <c r="LG26" s="220">
        <f t="shared" ca="1" si="276"/>
        <v>0</v>
      </c>
      <c r="LH26" s="220">
        <f t="shared" ca="1" si="277"/>
        <v>0</v>
      </c>
      <c r="LI26" s="235">
        <f t="shared" ca="1" si="278"/>
        <v>0</v>
      </c>
      <c r="LJ26" s="235">
        <f t="shared" ca="1" si="279"/>
        <v>0</v>
      </c>
      <c r="LK26" s="242">
        <f t="shared" ca="1" si="280"/>
        <v>0</v>
      </c>
      <c r="LL26" s="241">
        <f t="shared" ca="1" si="275"/>
        <v>1</v>
      </c>
      <c r="LM26" s="220">
        <f t="shared" ca="1" si="281"/>
        <v>0</v>
      </c>
      <c r="LN26" s="220">
        <f t="shared" ca="1" si="282"/>
        <v>0</v>
      </c>
      <c r="LO26" s="235">
        <f t="shared" ca="1" si="283"/>
        <v>0</v>
      </c>
      <c r="LP26" s="235">
        <f t="shared" ca="1" si="284"/>
        <v>0</v>
      </c>
      <c r="LQ26" s="242">
        <f t="shared" ca="1" si="285"/>
        <v>0</v>
      </c>
      <c r="LR26" s="241">
        <f t="shared" ca="1" si="275"/>
        <v>1</v>
      </c>
      <c r="LS26" s="220">
        <f t="shared" ca="1" si="286"/>
        <v>0</v>
      </c>
      <c r="LT26" s="220">
        <f t="shared" ca="1" si="287"/>
        <v>0</v>
      </c>
      <c r="LU26" s="235">
        <f t="shared" ca="1" si="288"/>
        <v>0</v>
      </c>
      <c r="LV26" s="235">
        <f t="shared" ca="1" si="289"/>
        <v>0</v>
      </c>
      <c r="LW26" s="242">
        <f t="shared" ca="1" si="290"/>
        <v>0</v>
      </c>
      <c r="LX26" s="241">
        <f t="shared" ca="1" si="275"/>
        <v>1</v>
      </c>
      <c r="LY26" s="220">
        <f t="shared" ca="1" si="291"/>
        <v>0</v>
      </c>
      <c r="LZ26" s="220">
        <f t="shared" ca="1" si="292"/>
        <v>0</v>
      </c>
      <c r="MA26" s="235">
        <f t="shared" ca="1" si="293"/>
        <v>0</v>
      </c>
      <c r="MB26" s="235">
        <f t="shared" ca="1" si="294"/>
        <v>0</v>
      </c>
      <c r="MC26" s="242">
        <f t="shared" ca="1" si="295"/>
        <v>0</v>
      </c>
      <c r="MD26" s="241">
        <f t="shared" ca="1" si="275"/>
        <v>1</v>
      </c>
      <c r="ME26" s="220">
        <f t="shared" ca="1" si="296"/>
        <v>0</v>
      </c>
      <c r="MF26" s="220">
        <f t="shared" ca="1" si="297"/>
        <v>0</v>
      </c>
      <c r="MG26" s="235">
        <f t="shared" ca="1" si="298"/>
        <v>0</v>
      </c>
      <c r="MH26" s="235">
        <f t="shared" ca="1" si="299"/>
        <v>0</v>
      </c>
      <c r="MI26" s="242">
        <f t="shared" ca="1" si="300"/>
        <v>0</v>
      </c>
      <c r="MJ26" s="241">
        <f t="shared" ca="1" si="275"/>
        <v>1</v>
      </c>
      <c r="MK26" s="220">
        <f t="shared" ca="1" si="301"/>
        <v>0</v>
      </c>
      <c r="ML26" s="220">
        <f t="shared" ca="1" si="302"/>
        <v>0</v>
      </c>
      <c r="MM26" s="235">
        <f t="shared" ca="1" si="303"/>
        <v>0</v>
      </c>
      <c r="MN26" s="235">
        <f t="shared" ca="1" si="304"/>
        <v>0</v>
      </c>
      <c r="MO26" s="242">
        <f t="shared" ca="1" si="305"/>
        <v>0</v>
      </c>
      <c r="MP26" s="241">
        <f t="shared" ca="1" si="275"/>
        <v>1</v>
      </c>
      <c r="MQ26" s="220">
        <f t="shared" ca="1" si="306"/>
        <v>0</v>
      </c>
      <c r="MR26" s="220">
        <f t="shared" ca="1" si="307"/>
        <v>0</v>
      </c>
      <c r="MS26" s="235">
        <f t="shared" ca="1" si="308"/>
        <v>0</v>
      </c>
      <c r="MT26" s="235">
        <f t="shared" ca="1" si="309"/>
        <v>0</v>
      </c>
      <c r="MU26" s="242">
        <f t="shared" ca="1" si="310"/>
        <v>0</v>
      </c>
      <c r="MV26" s="241">
        <f t="shared" ca="1" si="275"/>
        <v>1</v>
      </c>
      <c r="MW26" s="220">
        <f t="shared" ca="1" si="311"/>
        <v>0</v>
      </c>
      <c r="MX26" s="220">
        <f t="shared" ca="1" si="312"/>
        <v>0</v>
      </c>
      <c r="MY26" s="235">
        <f t="shared" ca="1" si="313"/>
        <v>0</v>
      </c>
      <c r="MZ26" s="235">
        <f t="shared" ca="1" si="314"/>
        <v>0</v>
      </c>
      <c r="NA26" s="242">
        <f t="shared" ca="1" si="315"/>
        <v>0</v>
      </c>
      <c r="NB26" s="241">
        <f t="shared" ca="1" si="275"/>
        <v>1</v>
      </c>
      <c r="NC26" s="220">
        <f t="shared" ca="1" si="316"/>
        <v>0</v>
      </c>
      <c r="ND26" s="220">
        <f t="shared" ca="1" si="317"/>
        <v>0</v>
      </c>
      <c r="NE26" s="235">
        <f t="shared" ca="1" si="318"/>
        <v>0</v>
      </c>
      <c r="NF26" s="235">
        <f t="shared" ca="1" si="319"/>
        <v>0</v>
      </c>
      <c r="NG26" s="242">
        <f t="shared" ca="1" si="320"/>
        <v>0</v>
      </c>
      <c r="NH26" s="241">
        <f t="shared" ca="1" si="275"/>
        <v>1</v>
      </c>
      <c r="NI26" s="220">
        <f t="shared" ca="1" si="321"/>
        <v>0</v>
      </c>
      <c r="NJ26" s="220">
        <f t="shared" ca="1" si="322"/>
        <v>0</v>
      </c>
      <c r="NK26" s="235">
        <f t="shared" ca="1" si="323"/>
        <v>0</v>
      </c>
      <c r="NL26" s="235">
        <f t="shared" ca="1" si="324"/>
        <v>0</v>
      </c>
      <c r="NM26" s="242">
        <f t="shared" ca="1" si="325"/>
        <v>0</v>
      </c>
      <c r="NN26" s="241">
        <f t="shared" ca="1" si="275"/>
        <v>1</v>
      </c>
      <c r="NO26" s="220">
        <f t="shared" ca="1" si="326"/>
        <v>0</v>
      </c>
      <c r="NP26" s="220">
        <f t="shared" ca="1" si="327"/>
        <v>0</v>
      </c>
      <c r="NQ26" s="235">
        <f t="shared" ca="1" si="328"/>
        <v>0</v>
      </c>
      <c r="NR26" s="235">
        <f t="shared" ca="1" si="329"/>
        <v>0</v>
      </c>
      <c r="NS26" s="242">
        <f t="shared" ca="1" si="330"/>
        <v>0</v>
      </c>
      <c r="NT26" s="241">
        <f t="shared" ca="1" si="331"/>
        <v>1</v>
      </c>
      <c r="NU26" s="220">
        <f t="shared" ca="1" si="332"/>
        <v>0</v>
      </c>
      <c r="NV26" s="220">
        <f t="shared" ca="1" si="333"/>
        <v>0</v>
      </c>
      <c r="NW26" s="235">
        <f t="shared" ca="1" si="334"/>
        <v>0</v>
      </c>
      <c r="NX26" s="235">
        <f t="shared" ca="1" si="335"/>
        <v>0</v>
      </c>
      <c r="NY26" s="242">
        <f t="shared" ca="1" si="336"/>
        <v>0</v>
      </c>
      <c r="NZ26" s="241">
        <f t="shared" ca="1" si="331"/>
        <v>1</v>
      </c>
      <c r="OA26" s="220">
        <f t="shared" ca="1" si="337"/>
        <v>0</v>
      </c>
      <c r="OB26" s="220">
        <f t="shared" ca="1" si="338"/>
        <v>0</v>
      </c>
      <c r="OC26" s="235">
        <f t="shared" ca="1" si="339"/>
        <v>0</v>
      </c>
      <c r="OD26" s="235">
        <f t="shared" ca="1" si="340"/>
        <v>0</v>
      </c>
      <c r="OE26" s="242">
        <f t="shared" ca="1" si="341"/>
        <v>0</v>
      </c>
      <c r="OF26" s="241">
        <f t="shared" ca="1" si="331"/>
        <v>1</v>
      </c>
      <c r="OG26" s="220">
        <f t="shared" ca="1" si="342"/>
        <v>0</v>
      </c>
      <c r="OH26" s="220">
        <f t="shared" ca="1" si="343"/>
        <v>0</v>
      </c>
      <c r="OI26" s="235">
        <f t="shared" ca="1" si="344"/>
        <v>0</v>
      </c>
      <c r="OJ26" s="235">
        <f t="shared" ca="1" si="345"/>
        <v>0</v>
      </c>
      <c r="OK26" s="242">
        <f t="shared" ca="1" si="346"/>
        <v>0</v>
      </c>
      <c r="OL26" s="241">
        <f t="shared" ca="1" si="331"/>
        <v>1</v>
      </c>
      <c r="OM26" s="220">
        <f t="shared" ca="1" si="347"/>
        <v>0</v>
      </c>
      <c r="ON26" s="220">
        <f t="shared" ca="1" si="348"/>
        <v>0</v>
      </c>
      <c r="OO26" s="235">
        <f t="shared" ca="1" si="349"/>
        <v>0</v>
      </c>
      <c r="OP26" s="235">
        <f t="shared" ca="1" si="350"/>
        <v>0</v>
      </c>
      <c r="OQ26" s="242">
        <f t="shared" ca="1" si="351"/>
        <v>0</v>
      </c>
      <c r="OR26" s="241">
        <f t="shared" ca="1" si="331"/>
        <v>1</v>
      </c>
      <c r="OS26" s="220">
        <f t="shared" ca="1" si="352"/>
        <v>0</v>
      </c>
      <c r="OT26" s="220">
        <f t="shared" ca="1" si="353"/>
        <v>0</v>
      </c>
      <c r="OU26" s="235">
        <f t="shared" ca="1" si="354"/>
        <v>0</v>
      </c>
      <c r="OV26" s="235">
        <f t="shared" ca="1" si="355"/>
        <v>0</v>
      </c>
      <c r="OW26" s="242">
        <f t="shared" ca="1" si="356"/>
        <v>0</v>
      </c>
      <c r="OX26" s="241">
        <f t="shared" ca="1" si="331"/>
        <v>1</v>
      </c>
      <c r="OY26" s="220">
        <f t="shared" ca="1" si="357"/>
        <v>0</v>
      </c>
      <c r="OZ26" s="220">
        <f t="shared" ca="1" si="358"/>
        <v>0</v>
      </c>
      <c r="PA26" s="235">
        <f t="shared" ca="1" si="359"/>
        <v>0</v>
      </c>
      <c r="PB26" s="235">
        <f t="shared" ca="1" si="360"/>
        <v>0</v>
      </c>
      <c r="PC26" s="242">
        <f t="shared" ca="1" si="361"/>
        <v>0</v>
      </c>
      <c r="PD26" s="241">
        <f t="shared" ca="1" si="331"/>
        <v>1</v>
      </c>
      <c r="PE26" s="220">
        <f t="shared" ca="1" si="362"/>
        <v>0</v>
      </c>
      <c r="PF26" s="220">
        <f t="shared" ca="1" si="363"/>
        <v>0</v>
      </c>
      <c r="PG26" s="235">
        <f t="shared" ca="1" si="364"/>
        <v>0</v>
      </c>
      <c r="PH26" s="235">
        <f t="shared" ca="1" si="365"/>
        <v>0</v>
      </c>
      <c r="PI26" s="242">
        <f t="shared" ca="1" si="366"/>
        <v>0</v>
      </c>
      <c r="PJ26" s="241">
        <f t="shared" ca="1" si="331"/>
        <v>1</v>
      </c>
      <c r="PK26" s="220">
        <f t="shared" ca="1" si="367"/>
        <v>0</v>
      </c>
      <c r="PL26" s="220">
        <f t="shared" ca="1" si="368"/>
        <v>0</v>
      </c>
      <c r="PM26" s="235">
        <f t="shared" ca="1" si="369"/>
        <v>0</v>
      </c>
      <c r="PN26" s="235">
        <f t="shared" ca="1" si="370"/>
        <v>0</v>
      </c>
      <c r="PO26" s="242">
        <f t="shared" ca="1" si="371"/>
        <v>0</v>
      </c>
      <c r="PP26" s="241">
        <f t="shared" ca="1" si="331"/>
        <v>1</v>
      </c>
      <c r="PQ26" s="220">
        <f t="shared" ca="1" si="372"/>
        <v>0</v>
      </c>
      <c r="PR26" s="220">
        <f t="shared" ca="1" si="373"/>
        <v>0</v>
      </c>
      <c r="PS26" s="235">
        <f t="shared" ca="1" si="374"/>
        <v>0</v>
      </c>
      <c r="PT26" s="235">
        <f t="shared" ca="1" si="375"/>
        <v>0</v>
      </c>
      <c r="PU26" s="242">
        <f t="shared" ca="1" si="376"/>
        <v>0</v>
      </c>
      <c r="PV26" s="241">
        <f t="shared" ca="1" si="331"/>
        <v>1</v>
      </c>
      <c r="PW26" s="220">
        <f t="shared" ca="1" si="377"/>
        <v>0</v>
      </c>
      <c r="PX26" s="220">
        <f t="shared" ca="1" si="378"/>
        <v>0</v>
      </c>
      <c r="PY26" s="235">
        <f t="shared" ca="1" si="379"/>
        <v>0</v>
      </c>
      <c r="PZ26" s="235">
        <f t="shared" ca="1" si="380"/>
        <v>0</v>
      </c>
      <c r="QA26" s="242">
        <f t="shared" ca="1" si="381"/>
        <v>0</v>
      </c>
      <c r="QB26" s="241">
        <f t="shared" ca="1" si="331"/>
        <v>1</v>
      </c>
      <c r="QC26" s="220">
        <f t="shared" ca="1" si="382"/>
        <v>0</v>
      </c>
      <c r="QD26" s="220">
        <f t="shared" ca="1" si="383"/>
        <v>0</v>
      </c>
      <c r="QE26" s="235">
        <f t="shared" ca="1" si="384"/>
        <v>0</v>
      </c>
      <c r="QF26" s="235">
        <f t="shared" ca="1" si="385"/>
        <v>0</v>
      </c>
      <c r="QG26" s="242">
        <f t="shared" ca="1" si="386"/>
        <v>0</v>
      </c>
      <c r="QH26" s="241">
        <f t="shared" ca="1" si="387"/>
        <v>1</v>
      </c>
      <c r="QI26" s="220">
        <f t="shared" ca="1" si="388"/>
        <v>0</v>
      </c>
      <c r="QJ26" s="220">
        <f t="shared" ca="1" si="389"/>
        <v>0</v>
      </c>
      <c r="QK26" s="235">
        <f t="shared" ca="1" si="390"/>
        <v>0</v>
      </c>
      <c r="QL26" s="235">
        <f t="shared" ca="1" si="391"/>
        <v>0</v>
      </c>
      <c r="QM26" s="242">
        <f t="shared" ca="1" si="392"/>
        <v>0</v>
      </c>
      <c r="QN26" s="241">
        <f t="shared" ca="1" si="387"/>
        <v>1</v>
      </c>
      <c r="QO26" s="220">
        <f t="shared" ca="1" si="393"/>
        <v>0</v>
      </c>
      <c r="QP26" s="220">
        <f t="shared" ca="1" si="394"/>
        <v>0</v>
      </c>
      <c r="QQ26" s="235">
        <f t="shared" ca="1" si="395"/>
        <v>0</v>
      </c>
      <c r="QR26" s="235">
        <f t="shared" ca="1" si="396"/>
        <v>0</v>
      </c>
      <c r="QS26" s="242">
        <f t="shared" ca="1" si="397"/>
        <v>0</v>
      </c>
      <c r="QT26" s="241">
        <f t="shared" ca="1" si="387"/>
        <v>1</v>
      </c>
      <c r="QU26" s="220">
        <f t="shared" ca="1" si="398"/>
        <v>0</v>
      </c>
      <c r="QV26" s="220">
        <f t="shared" ca="1" si="399"/>
        <v>0</v>
      </c>
      <c r="QW26" s="235">
        <f t="shared" ca="1" si="400"/>
        <v>0</v>
      </c>
      <c r="QX26" s="235">
        <f t="shared" ca="1" si="401"/>
        <v>0</v>
      </c>
      <c r="QY26" s="242">
        <f t="shared" ca="1" si="402"/>
        <v>0</v>
      </c>
      <c r="QZ26" s="241">
        <f t="shared" ca="1" si="387"/>
        <v>1</v>
      </c>
      <c r="RA26" s="220">
        <f t="shared" ca="1" si="403"/>
        <v>0</v>
      </c>
      <c r="RB26" s="220">
        <f t="shared" ca="1" si="404"/>
        <v>0</v>
      </c>
      <c r="RC26" s="235">
        <f t="shared" ca="1" si="405"/>
        <v>0</v>
      </c>
      <c r="RD26" s="235">
        <f t="shared" ca="1" si="406"/>
        <v>0</v>
      </c>
      <c r="RE26" s="242">
        <f t="shared" ca="1" si="407"/>
        <v>0</v>
      </c>
      <c r="RF26" s="241">
        <f t="shared" ca="1" si="387"/>
        <v>1</v>
      </c>
      <c r="RG26" s="220">
        <f t="shared" ca="1" si="408"/>
        <v>0</v>
      </c>
      <c r="RH26" s="220">
        <f t="shared" ca="1" si="409"/>
        <v>0</v>
      </c>
      <c r="RI26" s="235">
        <f t="shared" ca="1" si="410"/>
        <v>0</v>
      </c>
      <c r="RJ26" s="235">
        <f t="shared" ca="1" si="411"/>
        <v>0</v>
      </c>
      <c r="RK26" s="242">
        <f t="shared" ca="1" si="412"/>
        <v>0</v>
      </c>
      <c r="RL26" s="241">
        <f t="shared" ca="1" si="387"/>
        <v>1</v>
      </c>
      <c r="RM26" s="220">
        <f t="shared" ca="1" si="413"/>
        <v>0</v>
      </c>
      <c r="RN26" s="220">
        <f t="shared" ca="1" si="414"/>
        <v>0</v>
      </c>
      <c r="RO26" s="235">
        <f t="shared" ca="1" si="415"/>
        <v>0</v>
      </c>
      <c r="RP26" s="235">
        <f t="shared" ca="1" si="416"/>
        <v>0</v>
      </c>
      <c r="RQ26" s="242">
        <f t="shared" ca="1" si="417"/>
        <v>0</v>
      </c>
      <c r="RR26" s="241">
        <f t="shared" ca="1" si="387"/>
        <v>1</v>
      </c>
      <c r="RS26" s="220">
        <f t="shared" ca="1" si="418"/>
        <v>0</v>
      </c>
      <c r="RT26" s="220">
        <f t="shared" ca="1" si="419"/>
        <v>0</v>
      </c>
      <c r="RU26" s="235">
        <f t="shared" ca="1" si="420"/>
        <v>0</v>
      </c>
      <c r="RV26" s="235">
        <f t="shared" ca="1" si="421"/>
        <v>0</v>
      </c>
      <c r="RW26" s="242">
        <f t="shared" ca="1" si="422"/>
        <v>0</v>
      </c>
      <c r="RX26" s="241">
        <f t="shared" ca="1" si="387"/>
        <v>1</v>
      </c>
      <c r="RY26" s="220">
        <f t="shared" ca="1" si="423"/>
        <v>0</v>
      </c>
      <c r="RZ26" s="220">
        <f t="shared" ca="1" si="424"/>
        <v>0</v>
      </c>
      <c r="SA26" s="235">
        <f t="shared" ca="1" si="425"/>
        <v>0</v>
      </c>
      <c r="SB26" s="235">
        <f t="shared" ca="1" si="426"/>
        <v>0</v>
      </c>
      <c r="SC26" s="242">
        <f t="shared" ca="1" si="427"/>
        <v>0</v>
      </c>
      <c r="SD26" s="241">
        <f t="shared" ca="1" si="387"/>
        <v>1</v>
      </c>
      <c r="SE26" s="220">
        <f t="shared" ca="1" si="428"/>
        <v>0</v>
      </c>
      <c r="SF26" s="220">
        <f t="shared" ca="1" si="429"/>
        <v>0</v>
      </c>
      <c r="SG26" s="235">
        <f t="shared" ca="1" si="430"/>
        <v>0</v>
      </c>
      <c r="SH26" s="235">
        <f t="shared" ca="1" si="431"/>
        <v>0</v>
      </c>
      <c r="SI26" s="242">
        <f t="shared" ca="1" si="432"/>
        <v>0</v>
      </c>
      <c r="SJ26" s="241">
        <f t="shared" ca="1" si="387"/>
        <v>1</v>
      </c>
      <c r="SK26" s="220">
        <f t="shared" ca="1" si="433"/>
        <v>0</v>
      </c>
      <c r="SL26" s="220">
        <f t="shared" ca="1" si="434"/>
        <v>0</v>
      </c>
      <c r="SM26" s="235">
        <f t="shared" ca="1" si="435"/>
        <v>0</v>
      </c>
      <c r="SN26" s="235">
        <f t="shared" ca="1" si="436"/>
        <v>0</v>
      </c>
      <c r="SO26" s="242">
        <f t="shared" ca="1" si="437"/>
        <v>0</v>
      </c>
      <c r="SP26" s="241">
        <f t="shared" ca="1" si="387"/>
        <v>1</v>
      </c>
      <c r="SQ26" s="220">
        <f t="shared" ca="1" si="438"/>
        <v>0</v>
      </c>
      <c r="SR26" s="220">
        <f t="shared" ca="1" si="439"/>
        <v>0</v>
      </c>
      <c r="SS26" s="235">
        <f t="shared" ca="1" si="440"/>
        <v>0</v>
      </c>
      <c r="ST26" s="235">
        <f t="shared" ca="1" si="441"/>
        <v>0</v>
      </c>
      <c r="SU26" s="242">
        <f t="shared" ca="1" si="442"/>
        <v>0</v>
      </c>
      <c r="SV26" s="241">
        <f t="shared" ca="1" si="443"/>
        <v>1</v>
      </c>
      <c r="SW26" s="220">
        <f t="shared" ca="1" si="444"/>
        <v>0</v>
      </c>
      <c r="SX26" s="220">
        <f t="shared" ca="1" si="445"/>
        <v>0</v>
      </c>
      <c r="SY26" s="235">
        <f t="shared" ca="1" si="446"/>
        <v>0</v>
      </c>
      <c r="SZ26" s="235">
        <f t="shared" ca="1" si="447"/>
        <v>0</v>
      </c>
      <c r="TA26" s="242">
        <f t="shared" ca="1" si="448"/>
        <v>0</v>
      </c>
      <c r="TB26" s="241">
        <f t="shared" ca="1" si="443"/>
        <v>1</v>
      </c>
      <c r="TC26" s="220">
        <f t="shared" ca="1" si="449"/>
        <v>0</v>
      </c>
      <c r="TD26" s="220">
        <f t="shared" ca="1" si="450"/>
        <v>0</v>
      </c>
      <c r="TE26" s="235">
        <f t="shared" ca="1" si="451"/>
        <v>0</v>
      </c>
      <c r="TF26" s="235">
        <f t="shared" ca="1" si="452"/>
        <v>0</v>
      </c>
      <c r="TG26" s="242">
        <f t="shared" ca="1" si="453"/>
        <v>0</v>
      </c>
      <c r="TH26" s="241">
        <f t="shared" ca="1" si="443"/>
        <v>1</v>
      </c>
      <c r="TI26" s="220">
        <f t="shared" ca="1" si="454"/>
        <v>0</v>
      </c>
      <c r="TJ26" s="220">
        <f t="shared" ca="1" si="455"/>
        <v>0</v>
      </c>
      <c r="TK26" s="235">
        <f t="shared" ca="1" si="456"/>
        <v>0</v>
      </c>
      <c r="TL26" s="235">
        <f t="shared" ca="1" si="457"/>
        <v>0</v>
      </c>
      <c r="TM26" s="242">
        <f t="shared" ca="1" si="458"/>
        <v>0</v>
      </c>
      <c r="TN26" s="241">
        <f t="shared" ca="1" si="443"/>
        <v>1</v>
      </c>
      <c r="TO26" s="220">
        <f t="shared" ca="1" si="459"/>
        <v>0</v>
      </c>
      <c r="TP26" s="220">
        <f t="shared" ca="1" si="460"/>
        <v>0</v>
      </c>
      <c r="TQ26" s="235">
        <f t="shared" ca="1" si="461"/>
        <v>0</v>
      </c>
      <c r="TR26" s="235">
        <f t="shared" ca="1" si="462"/>
        <v>0</v>
      </c>
      <c r="TS26" s="242">
        <f t="shared" ca="1" si="463"/>
        <v>0</v>
      </c>
      <c r="TT26" s="241">
        <f t="shared" ca="1" si="443"/>
        <v>1</v>
      </c>
      <c r="TU26" s="220">
        <f t="shared" ca="1" si="464"/>
        <v>0</v>
      </c>
      <c r="TV26" s="220">
        <f t="shared" ca="1" si="465"/>
        <v>0</v>
      </c>
      <c r="TW26" s="235">
        <f t="shared" ca="1" si="466"/>
        <v>0</v>
      </c>
      <c r="TX26" s="235">
        <f t="shared" ca="1" si="467"/>
        <v>0</v>
      </c>
      <c r="TY26" s="242">
        <f t="shared" ca="1" si="468"/>
        <v>0</v>
      </c>
      <c r="TZ26" s="241">
        <f t="shared" ca="1" si="443"/>
        <v>1</v>
      </c>
      <c r="UA26" s="220">
        <f t="shared" ca="1" si="469"/>
        <v>0</v>
      </c>
      <c r="UB26" s="220">
        <f t="shared" ca="1" si="470"/>
        <v>0</v>
      </c>
      <c r="UC26" s="235">
        <f t="shared" ca="1" si="471"/>
        <v>0</v>
      </c>
      <c r="UD26" s="235">
        <f t="shared" ca="1" si="472"/>
        <v>0</v>
      </c>
      <c r="UE26" s="242">
        <f t="shared" ca="1" si="473"/>
        <v>0</v>
      </c>
      <c r="UF26" s="241">
        <f t="shared" ca="1" si="443"/>
        <v>1</v>
      </c>
      <c r="UG26" s="220">
        <f t="shared" ca="1" si="474"/>
        <v>0</v>
      </c>
      <c r="UH26" s="220">
        <f t="shared" ca="1" si="475"/>
        <v>0</v>
      </c>
      <c r="UI26" s="235">
        <f t="shared" ca="1" si="476"/>
        <v>0</v>
      </c>
      <c r="UJ26" s="235">
        <f t="shared" ca="1" si="477"/>
        <v>0</v>
      </c>
      <c r="UK26" s="242">
        <f t="shared" ca="1" si="478"/>
        <v>0</v>
      </c>
      <c r="UL26" s="241">
        <f t="shared" ca="1" si="443"/>
        <v>1</v>
      </c>
      <c r="UM26" s="220">
        <f t="shared" ca="1" si="479"/>
        <v>0</v>
      </c>
      <c r="UN26" s="220">
        <f t="shared" ca="1" si="480"/>
        <v>0</v>
      </c>
      <c r="UO26" s="235">
        <f t="shared" ca="1" si="481"/>
        <v>0</v>
      </c>
      <c r="UP26" s="235">
        <f t="shared" ca="1" si="482"/>
        <v>0</v>
      </c>
      <c r="UQ26" s="242">
        <f t="shared" ca="1" si="483"/>
        <v>0</v>
      </c>
      <c r="UR26" s="241">
        <f t="shared" ca="1" si="443"/>
        <v>1</v>
      </c>
      <c r="US26" s="220">
        <f t="shared" ca="1" si="484"/>
        <v>0</v>
      </c>
      <c r="UT26" s="220">
        <f t="shared" ca="1" si="485"/>
        <v>0</v>
      </c>
      <c r="UU26" s="235">
        <f t="shared" ca="1" si="486"/>
        <v>0</v>
      </c>
      <c r="UV26" s="235">
        <f t="shared" ca="1" si="487"/>
        <v>0</v>
      </c>
      <c r="UW26" s="242">
        <f t="shared" ca="1" si="488"/>
        <v>0</v>
      </c>
      <c r="UX26" s="241">
        <f t="shared" ca="1" si="443"/>
        <v>1</v>
      </c>
      <c r="UY26" s="220">
        <f t="shared" ca="1" si="489"/>
        <v>0</v>
      </c>
      <c r="UZ26" s="220">
        <f t="shared" ca="1" si="490"/>
        <v>0</v>
      </c>
      <c r="VA26" s="235">
        <f t="shared" ca="1" si="491"/>
        <v>0</v>
      </c>
      <c r="VB26" s="235">
        <f t="shared" ca="1" si="492"/>
        <v>0</v>
      </c>
      <c r="VC26" s="242">
        <f t="shared" ca="1" si="493"/>
        <v>0</v>
      </c>
      <c r="VD26" s="241">
        <f t="shared" ca="1" si="443"/>
        <v>1</v>
      </c>
      <c r="VE26" s="220">
        <f t="shared" ca="1" si="494"/>
        <v>0</v>
      </c>
      <c r="VF26" s="220">
        <f t="shared" ca="1" si="495"/>
        <v>0</v>
      </c>
      <c r="VG26" s="235">
        <f t="shared" ca="1" si="496"/>
        <v>0</v>
      </c>
      <c r="VH26" s="235">
        <f t="shared" ca="1" si="497"/>
        <v>0</v>
      </c>
      <c r="VI26" s="242">
        <f t="shared" ca="1" si="498"/>
        <v>0</v>
      </c>
      <c r="VJ26" s="241">
        <f t="shared" ca="1" si="499"/>
        <v>1</v>
      </c>
      <c r="VK26" s="220">
        <f t="shared" ca="1" si="500"/>
        <v>0</v>
      </c>
      <c r="VL26" s="220">
        <f t="shared" ca="1" si="501"/>
        <v>0</v>
      </c>
      <c r="VM26" s="235">
        <f t="shared" ca="1" si="502"/>
        <v>0</v>
      </c>
      <c r="VN26" s="235">
        <f t="shared" ca="1" si="503"/>
        <v>0</v>
      </c>
      <c r="VO26" s="242">
        <f t="shared" ca="1" si="504"/>
        <v>0</v>
      </c>
      <c r="VP26" s="241">
        <f t="shared" ca="1" si="499"/>
        <v>1</v>
      </c>
      <c r="VQ26" s="220">
        <f t="shared" ca="1" si="505"/>
        <v>0</v>
      </c>
      <c r="VR26" s="220">
        <f t="shared" ca="1" si="506"/>
        <v>0</v>
      </c>
      <c r="VS26" s="235">
        <f t="shared" ca="1" si="507"/>
        <v>0</v>
      </c>
      <c r="VT26" s="235">
        <f t="shared" ca="1" si="508"/>
        <v>0</v>
      </c>
      <c r="VU26" s="242">
        <f t="shared" ca="1" si="509"/>
        <v>0</v>
      </c>
      <c r="VV26" s="241">
        <f t="shared" ca="1" si="499"/>
        <v>1</v>
      </c>
      <c r="VW26" s="220">
        <f t="shared" ca="1" si="510"/>
        <v>0</v>
      </c>
      <c r="VX26" s="220">
        <f t="shared" ca="1" si="511"/>
        <v>0</v>
      </c>
      <c r="VY26" s="235">
        <f t="shared" ca="1" si="512"/>
        <v>0</v>
      </c>
      <c r="VZ26" s="235">
        <f t="shared" ca="1" si="513"/>
        <v>0</v>
      </c>
      <c r="WA26" s="242">
        <f t="shared" ca="1" si="514"/>
        <v>0</v>
      </c>
      <c r="WB26" s="241">
        <f t="shared" ca="1" si="499"/>
        <v>1</v>
      </c>
      <c r="WC26" s="220">
        <f t="shared" ca="1" si="515"/>
        <v>0</v>
      </c>
      <c r="WD26" s="220">
        <f t="shared" ca="1" si="516"/>
        <v>0</v>
      </c>
      <c r="WE26" s="235">
        <f t="shared" ca="1" si="517"/>
        <v>0</v>
      </c>
      <c r="WF26" s="235">
        <f t="shared" ca="1" si="518"/>
        <v>0</v>
      </c>
      <c r="WG26" s="242">
        <f t="shared" ca="1" si="519"/>
        <v>0</v>
      </c>
      <c r="WH26" s="241">
        <f t="shared" ca="1" si="499"/>
        <v>1</v>
      </c>
      <c r="WI26" s="220">
        <f t="shared" ca="1" si="520"/>
        <v>0</v>
      </c>
      <c r="WJ26" s="220">
        <f t="shared" ca="1" si="521"/>
        <v>0</v>
      </c>
      <c r="WK26" s="235">
        <f t="shared" ca="1" si="522"/>
        <v>0</v>
      </c>
      <c r="WL26" s="235">
        <f t="shared" ca="1" si="523"/>
        <v>0</v>
      </c>
      <c r="WM26" s="242">
        <f t="shared" ca="1" si="524"/>
        <v>0</v>
      </c>
      <c r="WN26" s="241">
        <f t="shared" ca="1" si="499"/>
        <v>1</v>
      </c>
      <c r="WO26" s="220">
        <f t="shared" ca="1" si="525"/>
        <v>0</v>
      </c>
      <c r="WP26" s="220">
        <f t="shared" ca="1" si="526"/>
        <v>0</v>
      </c>
      <c r="WQ26" s="235">
        <f t="shared" ca="1" si="527"/>
        <v>0</v>
      </c>
      <c r="WR26" s="235">
        <f t="shared" ca="1" si="528"/>
        <v>0</v>
      </c>
      <c r="WS26" s="242">
        <f t="shared" ca="1" si="529"/>
        <v>0</v>
      </c>
      <c r="WT26" s="241">
        <f t="shared" ca="1" si="499"/>
        <v>1</v>
      </c>
      <c r="WU26" s="220">
        <f t="shared" ca="1" si="530"/>
        <v>0</v>
      </c>
      <c r="WV26" s="220">
        <f t="shared" ca="1" si="531"/>
        <v>0</v>
      </c>
      <c r="WW26" s="235">
        <f t="shared" ca="1" si="532"/>
        <v>0</v>
      </c>
      <c r="WX26" s="235">
        <f t="shared" ca="1" si="533"/>
        <v>0</v>
      </c>
      <c r="WY26" s="242">
        <f t="shared" ca="1" si="534"/>
        <v>0</v>
      </c>
      <c r="WZ26" s="241">
        <f t="shared" ca="1" si="499"/>
        <v>1</v>
      </c>
      <c r="XA26" s="220">
        <f t="shared" ca="1" si="535"/>
        <v>0</v>
      </c>
      <c r="XB26" s="220">
        <f t="shared" ca="1" si="536"/>
        <v>0</v>
      </c>
      <c r="XC26" s="235">
        <f t="shared" ca="1" si="537"/>
        <v>0</v>
      </c>
      <c r="XD26" s="235">
        <f t="shared" ca="1" si="538"/>
        <v>0</v>
      </c>
      <c r="XE26" s="242">
        <f t="shared" ca="1" si="539"/>
        <v>0</v>
      </c>
      <c r="XF26" s="241">
        <f t="shared" ca="1" si="499"/>
        <v>1</v>
      </c>
      <c r="XG26" s="220">
        <f t="shared" ca="1" si="540"/>
        <v>0</v>
      </c>
      <c r="XH26" s="220">
        <f t="shared" ca="1" si="541"/>
        <v>0</v>
      </c>
      <c r="XI26" s="235">
        <f t="shared" ca="1" si="542"/>
        <v>0</v>
      </c>
      <c r="XJ26" s="235">
        <f t="shared" ca="1" si="543"/>
        <v>0</v>
      </c>
      <c r="XK26" s="242">
        <f t="shared" ca="1" si="544"/>
        <v>0</v>
      </c>
    </row>
    <row r="27" spans="2:635" x14ac:dyDescent="0.25">
      <c r="B27" s="65">
        <f t="shared" ca="1" si="14"/>
        <v>2042</v>
      </c>
      <c r="C27" s="65" t="s">
        <v>741</v>
      </c>
      <c r="D27" s="77">
        <f t="shared" si="15"/>
        <v>0</v>
      </c>
      <c r="E27" s="77">
        <f t="shared" si="16"/>
        <v>0</v>
      </c>
      <c r="F27" s="77">
        <f t="shared" si="17"/>
        <v>0</v>
      </c>
      <c r="G27" s="77">
        <f t="shared" si="18"/>
        <v>0</v>
      </c>
      <c r="H27" s="15" t="e">
        <f t="shared" ca="1" si="19"/>
        <v>#REF!</v>
      </c>
      <c r="L27" s="326">
        <f t="shared" ca="1" si="20"/>
        <v>3.5000000000000003E-2</v>
      </c>
      <c r="M27" s="327">
        <f t="shared" ca="1" si="21"/>
        <v>3.5000000000000003E-2</v>
      </c>
      <c r="N27" s="322">
        <f t="shared" ca="1" si="22"/>
        <v>-19</v>
      </c>
      <c r="O27" s="322">
        <f t="shared" ca="1" si="23"/>
        <v>0</v>
      </c>
      <c r="P27" s="328">
        <f t="shared" ca="1" si="545"/>
        <v>0</v>
      </c>
      <c r="Q27" s="328">
        <f t="shared" ca="1" si="546"/>
        <v>0</v>
      </c>
      <c r="R27" s="328">
        <f t="shared" ca="1" si="547"/>
        <v>0</v>
      </c>
      <c r="S27" s="329">
        <f t="shared" ca="1" si="24"/>
        <v>0</v>
      </c>
      <c r="T27" s="329">
        <f t="shared" ca="1" si="25"/>
        <v>0</v>
      </c>
      <c r="U27" s="329">
        <f t="shared" ca="1" si="26"/>
        <v>0</v>
      </c>
      <c r="V27" s="320" t="e">
        <f t="shared" ca="1" si="27"/>
        <v>#REF!</v>
      </c>
      <c r="W27" s="320" t="e">
        <f t="shared" ca="1" si="28"/>
        <v>#REF!</v>
      </c>
      <c r="X27" s="320" t="e">
        <f t="shared" ca="1" si="29"/>
        <v>#REF!</v>
      </c>
      <c r="Y27" s="320" t="e">
        <f ca="1">INDEX(SC_ZA_HECMLumpSum,ZAIDX)</f>
        <v>#REF!</v>
      </c>
      <c r="Z27" s="320" t="e">
        <f t="shared" ca="1" si="30"/>
        <v>#REF!</v>
      </c>
      <c r="AA27" s="320">
        <f t="shared" ca="1" si="557"/>
        <v>0</v>
      </c>
      <c r="AB27" s="320" t="e">
        <f t="shared" ca="1" si="558"/>
        <v>#REF!</v>
      </c>
      <c r="AC27" s="330" t="e">
        <f t="shared" ca="1" si="559"/>
        <v>#REF!</v>
      </c>
      <c r="AD27" s="236" t="e">
        <f t="shared" ca="1" si="548"/>
        <v>#REF!</v>
      </c>
      <c r="AE27" s="320" t="e">
        <f t="shared" ca="1" si="34"/>
        <v>#REF!</v>
      </c>
      <c r="AF27" s="320" t="e">
        <f t="shared" ca="1" si="35"/>
        <v>#REF!</v>
      </c>
      <c r="AG27" s="320" t="e">
        <f t="shared" ca="1" si="549"/>
        <v>#REF!</v>
      </c>
      <c r="AH27" s="284" t="e">
        <f t="shared" ca="1" si="550"/>
        <v>#REF!</v>
      </c>
      <c r="AI27" s="318" t="e">
        <f t="shared" ca="1" si="551"/>
        <v>#REF!</v>
      </c>
      <c r="AJ27" s="331">
        <f t="shared" ca="1" si="552"/>
        <v>1</v>
      </c>
      <c r="AK27" s="220">
        <f t="shared" ca="1" si="553"/>
        <v>0</v>
      </c>
      <c r="AL27" s="220">
        <f t="shared" ca="1" si="37"/>
        <v>0</v>
      </c>
      <c r="AM27" s="235">
        <f t="shared" ca="1" si="554"/>
        <v>0</v>
      </c>
      <c r="AN27" s="235">
        <f t="shared" ca="1" si="555"/>
        <v>0</v>
      </c>
      <c r="AO27" s="242">
        <f t="shared" ca="1" si="556"/>
        <v>0</v>
      </c>
      <c r="AP27" s="241">
        <f t="shared" ca="1" si="552"/>
        <v>1</v>
      </c>
      <c r="AQ27" s="220">
        <f t="shared" ca="1" si="41"/>
        <v>0</v>
      </c>
      <c r="AR27" s="220">
        <f t="shared" ca="1" si="42"/>
        <v>0</v>
      </c>
      <c r="AS27" s="235">
        <f t="shared" ca="1" si="43"/>
        <v>0</v>
      </c>
      <c r="AT27" s="235">
        <f t="shared" ca="1" si="44"/>
        <v>0</v>
      </c>
      <c r="AU27" s="242">
        <f t="shared" ca="1" si="45"/>
        <v>0</v>
      </c>
      <c r="AV27" s="241">
        <f t="shared" ca="1" si="552"/>
        <v>1</v>
      </c>
      <c r="AW27" s="220">
        <f t="shared" ca="1" si="46"/>
        <v>0</v>
      </c>
      <c r="AX27" s="220">
        <f t="shared" ca="1" si="47"/>
        <v>0</v>
      </c>
      <c r="AY27" s="235">
        <f t="shared" ca="1" si="48"/>
        <v>0</v>
      </c>
      <c r="AZ27" s="235">
        <f t="shared" ca="1" si="49"/>
        <v>0</v>
      </c>
      <c r="BA27" s="242">
        <f t="shared" ca="1" si="50"/>
        <v>0</v>
      </c>
      <c r="BB27" s="241">
        <f t="shared" ca="1" si="552"/>
        <v>1</v>
      </c>
      <c r="BC27" s="220">
        <f t="shared" ca="1" si="52"/>
        <v>0</v>
      </c>
      <c r="BD27" s="220">
        <f t="shared" ca="1" si="53"/>
        <v>0</v>
      </c>
      <c r="BE27" s="235">
        <f t="shared" ca="1" si="54"/>
        <v>0</v>
      </c>
      <c r="BF27" s="235">
        <f t="shared" ca="1" si="55"/>
        <v>0</v>
      </c>
      <c r="BG27" s="242">
        <f t="shared" ca="1" si="56"/>
        <v>0</v>
      </c>
      <c r="BH27" s="241">
        <f t="shared" ca="1" si="552"/>
        <v>1</v>
      </c>
      <c r="BI27" s="220">
        <f t="shared" ca="1" si="57"/>
        <v>0</v>
      </c>
      <c r="BJ27" s="220">
        <f t="shared" ca="1" si="58"/>
        <v>0</v>
      </c>
      <c r="BK27" s="235">
        <f t="shared" ca="1" si="59"/>
        <v>0</v>
      </c>
      <c r="BL27" s="235">
        <f t="shared" ca="1" si="60"/>
        <v>0</v>
      </c>
      <c r="BM27" s="242">
        <f t="shared" ca="1" si="61"/>
        <v>0</v>
      </c>
      <c r="BN27" s="241">
        <f t="shared" ca="1" si="552"/>
        <v>1</v>
      </c>
      <c r="BO27" s="220">
        <f t="shared" ca="1" si="62"/>
        <v>0</v>
      </c>
      <c r="BP27" s="220">
        <f t="shared" ca="1" si="63"/>
        <v>0</v>
      </c>
      <c r="BQ27" s="235">
        <f t="shared" ca="1" si="64"/>
        <v>0</v>
      </c>
      <c r="BR27" s="235">
        <f t="shared" ca="1" si="65"/>
        <v>0</v>
      </c>
      <c r="BS27" s="242">
        <f t="shared" ca="1" si="66"/>
        <v>0</v>
      </c>
      <c r="BT27" s="241">
        <f t="shared" ca="1" si="552"/>
        <v>1</v>
      </c>
      <c r="BU27" s="220">
        <f t="shared" ca="1" si="67"/>
        <v>0</v>
      </c>
      <c r="BV27" s="220">
        <f t="shared" ca="1" si="68"/>
        <v>0</v>
      </c>
      <c r="BW27" s="235">
        <f t="shared" ca="1" si="69"/>
        <v>0</v>
      </c>
      <c r="BX27" s="235">
        <f t="shared" ca="1" si="70"/>
        <v>0</v>
      </c>
      <c r="BY27" s="242">
        <f t="shared" ca="1" si="71"/>
        <v>0</v>
      </c>
      <c r="BZ27" s="241">
        <f t="shared" ca="1" si="552"/>
        <v>1</v>
      </c>
      <c r="CA27" s="220">
        <f t="shared" ca="1" si="72"/>
        <v>0</v>
      </c>
      <c r="CB27" s="220">
        <f t="shared" ca="1" si="73"/>
        <v>0</v>
      </c>
      <c r="CC27" s="235">
        <f t="shared" ca="1" si="74"/>
        <v>0</v>
      </c>
      <c r="CD27" s="235">
        <f t="shared" ca="1" si="75"/>
        <v>0</v>
      </c>
      <c r="CE27" s="242">
        <f t="shared" ca="1" si="76"/>
        <v>0</v>
      </c>
      <c r="CF27" s="241">
        <f t="shared" ca="1" si="552"/>
        <v>1</v>
      </c>
      <c r="CG27" s="220">
        <f t="shared" ca="1" si="77"/>
        <v>0</v>
      </c>
      <c r="CH27" s="220">
        <f t="shared" ca="1" si="78"/>
        <v>0</v>
      </c>
      <c r="CI27" s="235">
        <f t="shared" ca="1" si="79"/>
        <v>0</v>
      </c>
      <c r="CJ27" s="235">
        <f t="shared" ca="1" si="80"/>
        <v>0</v>
      </c>
      <c r="CK27" s="242">
        <f t="shared" ca="1" si="81"/>
        <v>0</v>
      </c>
      <c r="CL27" s="241">
        <f t="shared" ca="1" si="552"/>
        <v>1</v>
      </c>
      <c r="CM27" s="220">
        <f t="shared" ca="1" si="82"/>
        <v>0</v>
      </c>
      <c r="CN27" s="220">
        <f t="shared" ca="1" si="83"/>
        <v>0</v>
      </c>
      <c r="CO27" s="235">
        <f t="shared" ca="1" si="84"/>
        <v>0</v>
      </c>
      <c r="CP27" s="235">
        <f t="shared" ca="1" si="85"/>
        <v>0</v>
      </c>
      <c r="CQ27" s="242">
        <f t="shared" ca="1" si="86"/>
        <v>0</v>
      </c>
      <c r="CR27" s="241">
        <f t="shared" ca="1" si="552"/>
        <v>1</v>
      </c>
      <c r="CS27" s="220">
        <f t="shared" ca="1" si="87"/>
        <v>0</v>
      </c>
      <c r="CT27" s="220">
        <f t="shared" ca="1" si="88"/>
        <v>0</v>
      </c>
      <c r="CU27" s="235">
        <f t="shared" ca="1" si="89"/>
        <v>0</v>
      </c>
      <c r="CV27" s="235">
        <f t="shared" ca="1" si="90"/>
        <v>0</v>
      </c>
      <c r="CW27" s="242">
        <f t="shared" ca="1" si="91"/>
        <v>0</v>
      </c>
      <c r="CX27" s="241">
        <f t="shared" ca="1" si="51"/>
        <v>1</v>
      </c>
      <c r="CY27" s="220">
        <f t="shared" ca="1" si="92"/>
        <v>0</v>
      </c>
      <c r="CZ27" s="220">
        <f t="shared" ca="1" si="93"/>
        <v>0</v>
      </c>
      <c r="DA27" s="235">
        <f t="shared" ca="1" si="94"/>
        <v>0</v>
      </c>
      <c r="DB27" s="235">
        <f t="shared" ca="1" si="95"/>
        <v>0</v>
      </c>
      <c r="DC27" s="242">
        <f t="shared" ca="1" si="96"/>
        <v>0</v>
      </c>
      <c r="DD27" s="241">
        <f t="shared" ca="1" si="51"/>
        <v>1</v>
      </c>
      <c r="DE27" s="220">
        <f t="shared" ca="1" si="97"/>
        <v>0</v>
      </c>
      <c r="DF27" s="220">
        <f t="shared" ca="1" si="98"/>
        <v>0</v>
      </c>
      <c r="DG27" s="235">
        <f t="shared" ca="1" si="99"/>
        <v>0</v>
      </c>
      <c r="DH27" s="235">
        <f t="shared" ca="1" si="100"/>
        <v>0</v>
      </c>
      <c r="DI27" s="242">
        <f t="shared" ca="1" si="101"/>
        <v>0</v>
      </c>
      <c r="DJ27" s="241">
        <f t="shared" ca="1" si="51"/>
        <v>1</v>
      </c>
      <c r="DK27" s="220">
        <f t="shared" ca="1" si="102"/>
        <v>0</v>
      </c>
      <c r="DL27" s="220">
        <f t="shared" ca="1" si="103"/>
        <v>0</v>
      </c>
      <c r="DM27" s="235">
        <f t="shared" ca="1" si="104"/>
        <v>0</v>
      </c>
      <c r="DN27" s="235">
        <f t="shared" ca="1" si="105"/>
        <v>0</v>
      </c>
      <c r="DO27" s="242">
        <f t="shared" ca="1" si="106"/>
        <v>0</v>
      </c>
      <c r="DP27" s="241">
        <f t="shared" ca="1" si="107"/>
        <v>1</v>
      </c>
      <c r="DQ27" s="220">
        <f t="shared" ca="1" si="108"/>
        <v>0</v>
      </c>
      <c r="DR27" s="220">
        <f t="shared" ca="1" si="109"/>
        <v>0</v>
      </c>
      <c r="DS27" s="235">
        <f t="shared" ca="1" si="110"/>
        <v>0</v>
      </c>
      <c r="DT27" s="235">
        <f t="shared" ca="1" si="111"/>
        <v>0</v>
      </c>
      <c r="DU27" s="242">
        <f t="shared" ca="1" si="112"/>
        <v>0</v>
      </c>
      <c r="DV27" s="241">
        <f t="shared" ca="1" si="107"/>
        <v>1</v>
      </c>
      <c r="DW27" s="220">
        <f t="shared" ca="1" si="113"/>
        <v>0</v>
      </c>
      <c r="DX27" s="220">
        <f t="shared" ca="1" si="114"/>
        <v>0</v>
      </c>
      <c r="DY27" s="235">
        <f t="shared" ca="1" si="115"/>
        <v>0</v>
      </c>
      <c r="DZ27" s="235">
        <f t="shared" ca="1" si="116"/>
        <v>0</v>
      </c>
      <c r="EA27" s="242">
        <f t="shared" ca="1" si="117"/>
        <v>0</v>
      </c>
      <c r="EB27" s="241">
        <f t="shared" ca="1" si="107"/>
        <v>1</v>
      </c>
      <c r="EC27" s="220">
        <f t="shared" ca="1" si="118"/>
        <v>0</v>
      </c>
      <c r="ED27" s="220">
        <f t="shared" ca="1" si="119"/>
        <v>0</v>
      </c>
      <c r="EE27" s="235">
        <f t="shared" ca="1" si="120"/>
        <v>0</v>
      </c>
      <c r="EF27" s="235">
        <f t="shared" ca="1" si="121"/>
        <v>0</v>
      </c>
      <c r="EG27" s="242">
        <f t="shared" ca="1" si="122"/>
        <v>0</v>
      </c>
      <c r="EH27" s="241">
        <f t="shared" ca="1" si="107"/>
        <v>1</v>
      </c>
      <c r="EI27" s="220">
        <f t="shared" ca="1" si="123"/>
        <v>0</v>
      </c>
      <c r="EJ27" s="220">
        <f t="shared" ca="1" si="124"/>
        <v>0</v>
      </c>
      <c r="EK27" s="235">
        <f t="shared" ca="1" si="125"/>
        <v>0</v>
      </c>
      <c r="EL27" s="235">
        <f t="shared" ca="1" si="126"/>
        <v>0</v>
      </c>
      <c r="EM27" s="242">
        <f t="shared" ca="1" si="127"/>
        <v>0</v>
      </c>
      <c r="EN27" s="241">
        <f t="shared" ca="1" si="107"/>
        <v>1</v>
      </c>
      <c r="EO27" s="220">
        <f t="shared" ca="1" si="128"/>
        <v>0</v>
      </c>
      <c r="EP27" s="220">
        <f t="shared" ca="1" si="129"/>
        <v>0</v>
      </c>
      <c r="EQ27" s="235">
        <f t="shared" ca="1" si="130"/>
        <v>0</v>
      </c>
      <c r="ER27" s="235">
        <f t="shared" ca="1" si="131"/>
        <v>0</v>
      </c>
      <c r="ES27" s="242">
        <f t="shared" ca="1" si="132"/>
        <v>0</v>
      </c>
      <c r="ET27" s="241">
        <f t="shared" ca="1" si="107"/>
        <v>1</v>
      </c>
      <c r="EU27" s="220">
        <f t="shared" ca="1" si="133"/>
        <v>0</v>
      </c>
      <c r="EV27" s="220">
        <f t="shared" ca="1" si="134"/>
        <v>0</v>
      </c>
      <c r="EW27" s="235">
        <f t="shared" ca="1" si="135"/>
        <v>0</v>
      </c>
      <c r="EX27" s="235">
        <f t="shared" ca="1" si="136"/>
        <v>0</v>
      </c>
      <c r="EY27" s="242">
        <f t="shared" ca="1" si="137"/>
        <v>0</v>
      </c>
      <c r="EZ27" s="241">
        <f t="shared" ca="1" si="107"/>
        <v>1</v>
      </c>
      <c r="FA27" s="220">
        <f t="shared" ca="1" si="138"/>
        <v>0</v>
      </c>
      <c r="FB27" s="220">
        <f t="shared" ca="1" si="139"/>
        <v>0</v>
      </c>
      <c r="FC27" s="235">
        <f t="shared" ca="1" si="140"/>
        <v>0</v>
      </c>
      <c r="FD27" s="235">
        <f t="shared" ca="1" si="141"/>
        <v>0</v>
      </c>
      <c r="FE27" s="242">
        <f t="shared" ca="1" si="142"/>
        <v>0</v>
      </c>
      <c r="FF27" s="241">
        <f t="shared" ca="1" si="107"/>
        <v>1</v>
      </c>
      <c r="FG27" s="220">
        <f t="shared" ca="1" si="143"/>
        <v>0</v>
      </c>
      <c r="FH27" s="220">
        <f t="shared" ca="1" si="144"/>
        <v>0</v>
      </c>
      <c r="FI27" s="235">
        <f t="shared" ca="1" si="145"/>
        <v>0</v>
      </c>
      <c r="FJ27" s="235">
        <f t="shared" ca="1" si="146"/>
        <v>0</v>
      </c>
      <c r="FK27" s="242">
        <f t="shared" ca="1" si="147"/>
        <v>0</v>
      </c>
      <c r="FL27" s="241">
        <f t="shared" ca="1" si="107"/>
        <v>1</v>
      </c>
      <c r="FM27" s="220">
        <f t="shared" ca="1" si="148"/>
        <v>0</v>
      </c>
      <c r="FN27" s="220">
        <f t="shared" ca="1" si="149"/>
        <v>0</v>
      </c>
      <c r="FO27" s="235">
        <f t="shared" ca="1" si="150"/>
        <v>0</v>
      </c>
      <c r="FP27" s="235">
        <f t="shared" ca="1" si="151"/>
        <v>0</v>
      </c>
      <c r="FQ27" s="242">
        <f t="shared" ca="1" si="152"/>
        <v>0</v>
      </c>
      <c r="FR27" s="241">
        <f t="shared" ca="1" si="107"/>
        <v>1</v>
      </c>
      <c r="FS27" s="220">
        <f t="shared" ca="1" si="153"/>
        <v>0</v>
      </c>
      <c r="FT27" s="220">
        <f t="shared" ca="1" si="154"/>
        <v>0</v>
      </c>
      <c r="FU27" s="235">
        <f t="shared" ca="1" si="155"/>
        <v>0</v>
      </c>
      <c r="FV27" s="235">
        <f t="shared" ca="1" si="156"/>
        <v>0</v>
      </c>
      <c r="FW27" s="242">
        <f t="shared" ca="1" si="157"/>
        <v>0</v>
      </c>
      <c r="FX27" s="241">
        <f t="shared" ca="1" si="107"/>
        <v>1</v>
      </c>
      <c r="FY27" s="220">
        <f t="shared" ca="1" si="158"/>
        <v>0</v>
      </c>
      <c r="FZ27" s="220">
        <f t="shared" ca="1" si="159"/>
        <v>0</v>
      </c>
      <c r="GA27" s="235">
        <f t="shared" ca="1" si="160"/>
        <v>0</v>
      </c>
      <c r="GB27" s="235">
        <f t="shared" ca="1" si="161"/>
        <v>0</v>
      </c>
      <c r="GC27" s="242">
        <f t="shared" ca="1" si="162"/>
        <v>0</v>
      </c>
      <c r="GD27" s="241">
        <f t="shared" ca="1" si="163"/>
        <v>1</v>
      </c>
      <c r="GE27" s="220">
        <f t="shared" ca="1" si="164"/>
        <v>0</v>
      </c>
      <c r="GF27" s="220">
        <f t="shared" ca="1" si="165"/>
        <v>0</v>
      </c>
      <c r="GG27" s="235">
        <f t="shared" ca="1" si="166"/>
        <v>0</v>
      </c>
      <c r="GH27" s="235">
        <f t="shared" ca="1" si="167"/>
        <v>0</v>
      </c>
      <c r="GI27" s="242">
        <f t="shared" ca="1" si="168"/>
        <v>0</v>
      </c>
      <c r="GJ27" s="241">
        <f t="shared" ca="1" si="163"/>
        <v>1</v>
      </c>
      <c r="GK27" s="220">
        <f t="shared" ca="1" si="169"/>
        <v>0</v>
      </c>
      <c r="GL27" s="220">
        <f t="shared" ca="1" si="170"/>
        <v>0</v>
      </c>
      <c r="GM27" s="235">
        <f t="shared" ca="1" si="171"/>
        <v>0</v>
      </c>
      <c r="GN27" s="235">
        <f t="shared" ca="1" si="172"/>
        <v>0</v>
      </c>
      <c r="GO27" s="242">
        <f t="shared" ca="1" si="173"/>
        <v>0</v>
      </c>
      <c r="GP27" s="241">
        <f t="shared" ca="1" si="163"/>
        <v>1</v>
      </c>
      <c r="GQ27" s="220">
        <f t="shared" ca="1" si="174"/>
        <v>0</v>
      </c>
      <c r="GR27" s="220">
        <f t="shared" ca="1" si="175"/>
        <v>0</v>
      </c>
      <c r="GS27" s="235">
        <f t="shared" ca="1" si="176"/>
        <v>0</v>
      </c>
      <c r="GT27" s="235">
        <f t="shared" ca="1" si="177"/>
        <v>0</v>
      </c>
      <c r="GU27" s="242">
        <f t="shared" ca="1" si="178"/>
        <v>0</v>
      </c>
      <c r="GV27" s="241">
        <f t="shared" ca="1" si="163"/>
        <v>1</v>
      </c>
      <c r="GW27" s="220">
        <f t="shared" ca="1" si="179"/>
        <v>0</v>
      </c>
      <c r="GX27" s="220">
        <f t="shared" ca="1" si="180"/>
        <v>0</v>
      </c>
      <c r="GY27" s="235">
        <f t="shared" ca="1" si="181"/>
        <v>0</v>
      </c>
      <c r="GZ27" s="235">
        <f t="shared" ca="1" si="182"/>
        <v>0</v>
      </c>
      <c r="HA27" s="242">
        <f t="shared" ca="1" si="183"/>
        <v>0</v>
      </c>
      <c r="HB27" s="241">
        <f t="shared" ca="1" si="163"/>
        <v>1</v>
      </c>
      <c r="HC27" s="220">
        <f t="shared" ca="1" si="184"/>
        <v>0</v>
      </c>
      <c r="HD27" s="220">
        <f t="shared" ca="1" si="185"/>
        <v>0</v>
      </c>
      <c r="HE27" s="235">
        <f t="shared" ca="1" si="186"/>
        <v>0</v>
      </c>
      <c r="HF27" s="235">
        <f t="shared" ca="1" si="187"/>
        <v>0</v>
      </c>
      <c r="HG27" s="242">
        <f t="shared" ca="1" si="188"/>
        <v>0</v>
      </c>
      <c r="HH27" s="241">
        <f t="shared" ca="1" si="163"/>
        <v>1</v>
      </c>
      <c r="HI27" s="220">
        <f t="shared" ca="1" si="189"/>
        <v>0</v>
      </c>
      <c r="HJ27" s="220">
        <f t="shared" ca="1" si="190"/>
        <v>0</v>
      </c>
      <c r="HK27" s="235">
        <f t="shared" ca="1" si="191"/>
        <v>0</v>
      </c>
      <c r="HL27" s="235">
        <f t="shared" ca="1" si="192"/>
        <v>0</v>
      </c>
      <c r="HM27" s="242">
        <f t="shared" ca="1" si="193"/>
        <v>0</v>
      </c>
      <c r="HN27" s="241">
        <f t="shared" ca="1" si="163"/>
        <v>1</v>
      </c>
      <c r="HO27" s="220">
        <f t="shared" ca="1" si="194"/>
        <v>0</v>
      </c>
      <c r="HP27" s="220">
        <f t="shared" ca="1" si="195"/>
        <v>0</v>
      </c>
      <c r="HQ27" s="235">
        <f t="shared" ca="1" si="196"/>
        <v>0</v>
      </c>
      <c r="HR27" s="235">
        <f t="shared" ca="1" si="197"/>
        <v>0</v>
      </c>
      <c r="HS27" s="242">
        <f t="shared" ca="1" si="198"/>
        <v>0</v>
      </c>
      <c r="HT27" s="241">
        <f t="shared" ca="1" si="163"/>
        <v>1</v>
      </c>
      <c r="HU27" s="220">
        <f t="shared" ca="1" si="199"/>
        <v>0</v>
      </c>
      <c r="HV27" s="220">
        <f t="shared" ca="1" si="200"/>
        <v>0</v>
      </c>
      <c r="HW27" s="235">
        <f t="shared" ca="1" si="201"/>
        <v>0</v>
      </c>
      <c r="HX27" s="235">
        <f t="shared" ca="1" si="202"/>
        <v>0</v>
      </c>
      <c r="HY27" s="242">
        <f t="shared" ca="1" si="203"/>
        <v>0</v>
      </c>
      <c r="HZ27" s="241">
        <f t="shared" ca="1" si="163"/>
        <v>1</v>
      </c>
      <c r="IA27" s="220">
        <f t="shared" ca="1" si="204"/>
        <v>0</v>
      </c>
      <c r="IB27" s="220">
        <f t="shared" ca="1" si="205"/>
        <v>0</v>
      </c>
      <c r="IC27" s="235">
        <f t="shared" ca="1" si="206"/>
        <v>0</v>
      </c>
      <c r="ID27" s="235">
        <f t="shared" ca="1" si="207"/>
        <v>0</v>
      </c>
      <c r="IE27" s="242">
        <f t="shared" ca="1" si="208"/>
        <v>0</v>
      </c>
      <c r="IF27" s="241">
        <f t="shared" ca="1" si="163"/>
        <v>1</v>
      </c>
      <c r="IG27" s="220">
        <f t="shared" ca="1" si="209"/>
        <v>0</v>
      </c>
      <c r="IH27" s="220">
        <f t="shared" ca="1" si="210"/>
        <v>0</v>
      </c>
      <c r="II27" s="235">
        <f t="shared" ca="1" si="211"/>
        <v>0</v>
      </c>
      <c r="IJ27" s="235">
        <f t="shared" ca="1" si="212"/>
        <v>0</v>
      </c>
      <c r="IK27" s="242">
        <f t="shared" ca="1" si="213"/>
        <v>0</v>
      </c>
      <c r="IL27" s="241">
        <f t="shared" ca="1" si="163"/>
        <v>1</v>
      </c>
      <c r="IM27" s="220">
        <f t="shared" ca="1" si="214"/>
        <v>0</v>
      </c>
      <c r="IN27" s="220">
        <f t="shared" ca="1" si="215"/>
        <v>0</v>
      </c>
      <c r="IO27" s="235">
        <f t="shared" ca="1" si="216"/>
        <v>0</v>
      </c>
      <c r="IP27" s="235">
        <f t="shared" ca="1" si="217"/>
        <v>0</v>
      </c>
      <c r="IQ27" s="242">
        <f t="shared" ca="1" si="218"/>
        <v>0</v>
      </c>
      <c r="IR27" s="241">
        <f t="shared" ca="1" si="219"/>
        <v>1</v>
      </c>
      <c r="IS27" s="220">
        <f t="shared" ca="1" si="220"/>
        <v>0</v>
      </c>
      <c r="IT27" s="220">
        <f t="shared" ca="1" si="221"/>
        <v>0</v>
      </c>
      <c r="IU27" s="235">
        <f t="shared" ca="1" si="222"/>
        <v>0</v>
      </c>
      <c r="IV27" s="235">
        <f t="shared" ca="1" si="223"/>
        <v>0</v>
      </c>
      <c r="IW27" s="242">
        <f t="shared" ca="1" si="224"/>
        <v>0</v>
      </c>
      <c r="IX27" s="241">
        <f t="shared" ca="1" si="219"/>
        <v>1</v>
      </c>
      <c r="IY27" s="220">
        <f t="shared" ca="1" si="225"/>
        <v>0</v>
      </c>
      <c r="IZ27" s="220">
        <f t="shared" ca="1" si="226"/>
        <v>0</v>
      </c>
      <c r="JA27" s="235">
        <f t="shared" ca="1" si="227"/>
        <v>0</v>
      </c>
      <c r="JB27" s="235">
        <f t="shared" ca="1" si="228"/>
        <v>0</v>
      </c>
      <c r="JC27" s="242">
        <f t="shared" ca="1" si="229"/>
        <v>0</v>
      </c>
      <c r="JD27" s="241">
        <f t="shared" ca="1" si="219"/>
        <v>1</v>
      </c>
      <c r="JE27" s="220">
        <f t="shared" ca="1" si="230"/>
        <v>0</v>
      </c>
      <c r="JF27" s="220">
        <f t="shared" ca="1" si="231"/>
        <v>0</v>
      </c>
      <c r="JG27" s="235">
        <f t="shared" ca="1" si="232"/>
        <v>0</v>
      </c>
      <c r="JH27" s="235">
        <f t="shared" ca="1" si="233"/>
        <v>0</v>
      </c>
      <c r="JI27" s="242">
        <f t="shared" ca="1" si="234"/>
        <v>0</v>
      </c>
      <c r="JJ27" s="241">
        <f t="shared" ca="1" si="219"/>
        <v>1</v>
      </c>
      <c r="JK27" s="220">
        <f t="shared" ca="1" si="235"/>
        <v>0</v>
      </c>
      <c r="JL27" s="220">
        <f t="shared" ca="1" si="236"/>
        <v>0</v>
      </c>
      <c r="JM27" s="235">
        <f t="shared" ca="1" si="237"/>
        <v>0</v>
      </c>
      <c r="JN27" s="235">
        <f t="shared" ca="1" si="238"/>
        <v>0</v>
      </c>
      <c r="JO27" s="242">
        <f t="shared" ca="1" si="239"/>
        <v>0</v>
      </c>
      <c r="JP27" s="241">
        <f t="shared" ca="1" si="219"/>
        <v>1</v>
      </c>
      <c r="JQ27" s="220">
        <f t="shared" ca="1" si="240"/>
        <v>0</v>
      </c>
      <c r="JR27" s="220">
        <f t="shared" ca="1" si="241"/>
        <v>0</v>
      </c>
      <c r="JS27" s="235">
        <f t="shared" ca="1" si="242"/>
        <v>0</v>
      </c>
      <c r="JT27" s="235">
        <f t="shared" ca="1" si="243"/>
        <v>0</v>
      </c>
      <c r="JU27" s="242">
        <f t="shared" ca="1" si="244"/>
        <v>0</v>
      </c>
      <c r="JV27" s="241">
        <f t="shared" ca="1" si="219"/>
        <v>1</v>
      </c>
      <c r="JW27" s="220">
        <f t="shared" ca="1" si="245"/>
        <v>0</v>
      </c>
      <c r="JX27" s="220">
        <f t="shared" ca="1" si="246"/>
        <v>0</v>
      </c>
      <c r="JY27" s="235">
        <f t="shared" ca="1" si="247"/>
        <v>0</v>
      </c>
      <c r="JZ27" s="235">
        <f t="shared" ca="1" si="248"/>
        <v>0</v>
      </c>
      <c r="KA27" s="242">
        <f t="shared" ca="1" si="249"/>
        <v>0</v>
      </c>
      <c r="KB27" s="241">
        <f t="shared" ca="1" si="219"/>
        <v>1</v>
      </c>
      <c r="KC27" s="220">
        <f t="shared" ca="1" si="250"/>
        <v>0</v>
      </c>
      <c r="KD27" s="220">
        <f t="shared" ca="1" si="251"/>
        <v>0</v>
      </c>
      <c r="KE27" s="235">
        <f t="shared" ca="1" si="252"/>
        <v>0</v>
      </c>
      <c r="KF27" s="235">
        <f t="shared" ca="1" si="253"/>
        <v>0</v>
      </c>
      <c r="KG27" s="242">
        <f t="shared" ca="1" si="254"/>
        <v>0</v>
      </c>
      <c r="KH27" s="241">
        <f t="shared" ca="1" si="219"/>
        <v>1</v>
      </c>
      <c r="KI27" s="220">
        <f t="shared" ca="1" si="255"/>
        <v>0</v>
      </c>
      <c r="KJ27" s="220">
        <f t="shared" ca="1" si="256"/>
        <v>0</v>
      </c>
      <c r="KK27" s="235">
        <f t="shared" ca="1" si="257"/>
        <v>0</v>
      </c>
      <c r="KL27" s="235">
        <f t="shared" ca="1" si="258"/>
        <v>0</v>
      </c>
      <c r="KM27" s="242">
        <f t="shared" ca="1" si="259"/>
        <v>0</v>
      </c>
      <c r="KN27" s="241">
        <f t="shared" ca="1" si="219"/>
        <v>1</v>
      </c>
      <c r="KO27" s="220">
        <f t="shared" ca="1" si="260"/>
        <v>0</v>
      </c>
      <c r="KP27" s="220">
        <f t="shared" ca="1" si="261"/>
        <v>0</v>
      </c>
      <c r="KQ27" s="235">
        <f t="shared" ca="1" si="262"/>
        <v>0</v>
      </c>
      <c r="KR27" s="235">
        <f t="shared" ca="1" si="263"/>
        <v>0</v>
      </c>
      <c r="KS27" s="242">
        <f t="shared" ca="1" si="264"/>
        <v>0</v>
      </c>
      <c r="KT27" s="241">
        <f t="shared" ca="1" si="219"/>
        <v>1</v>
      </c>
      <c r="KU27" s="220">
        <f t="shared" ca="1" si="265"/>
        <v>0</v>
      </c>
      <c r="KV27" s="220">
        <f t="shared" ca="1" si="266"/>
        <v>0</v>
      </c>
      <c r="KW27" s="235">
        <f t="shared" ca="1" si="267"/>
        <v>0</v>
      </c>
      <c r="KX27" s="235">
        <f t="shared" ca="1" si="268"/>
        <v>0</v>
      </c>
      <c r="KY27" s="242">
        <f t="shared" ca="1" si="269"/>
        <v>0</v>
      </c>
      <c r="KZ27" s="241">
        <f t="shared" ca="1" si="219"/>
        <v>1</v>
      </c>
      <c r="LA27" s="220">
        <f t="shared" ca="1" si="270"/>
        <v>0</v>
      </c>
      <c r="LB27" s="220">
        <f t="shared" ca="1" si="271"/>
        <v>0</v>
      </c>
      <c r="LC27" s="235">
        <f t="shared" ca="1" si="272"/>
        <v>0</v>
      </c>
      <c r="LD27" s="235">
        <f t="shared" ca="1" si="273"/>
        <v>0</v>
      </c>
      <c r="LE27" s="242">
        <f t="shared" ca="1" si="274"/>
        <v>0</v>
      </c>
      <c r="LF27" s="241">
        <f t="shared" ca="1" si="275"/>
        <v>1</v>
      </c>
      <c r="LG27" s="220">
        <f t="shared" ca="1" si="276"/>
        <v>0</v>
      </c>
      <c r="LH27" s="220">
        <f t="shared" ca="1" si="277"/>
        <v>0</v>
      </c>
      <c r="LI27" s="235">
        <f t="shared" ca="1" si="278"/>
        <v>0</v>
      </c>
      <c r="LJ27" s="235">
        <f t="shared" ca="1" si="279"/>
        <v>0</v>
      </c>
      <c r="LK27" s="242">
        <f t="shared" ca="1" si="280"/>
        <v>0</v>
      </c>
      <c r="LL27" s="241">
        <f t="shared" ca="1" si="275"/>
        <v>1</v>
      </c>
      <c r="LM27" s="220">
        <f t="shared" ca="1" si="281"/>
        <v>0</v>
      </c>
      <c r="LN27" s="220">
        <f t="shared" ca="1" si="282"/>
        <v>0</v>
      </c>
      <c r="LO27" s="235">
        <f t="shared" ca="1" si="283"/>
        <v>0</v>
      </c>
      <c r="LP27" s="235">
        <f t="shared" ca="1" si="284"/>
        <v>0</v>
      </c>
      <c r="LQ27" s="242">
        <f t="shared" ca="1" si="285"/>
        <v>0</v>
      </c>
      <c r="LR27" s="241">
        <f t="shared" ca="1" si="275"/>
        <v>1</v>
      </c>
      <c r="LS27" s="220">
        <f t="shared" ca="1" si="286"/>
        <v>0</v>
      </c>
      <c r="LT27" s="220">
        <f t="shared" ca="1" si="287"/>
        <v>0</v>
      </c>
      <c r="LU27" s="235">
        <f t="shared" ca="1" si="288"/>
        <v>0</v>
      </c>
      <c r="LV27" s="235">
        <f t="shared" ca="1" si="289"/>
        <v>0</v>
      </c>
      <c r="LW27" s="242">
        <f t="shared" ca="1" si="290"/>
        <v>0</v>
      </c>
      <c r="LX27" s="241">
        <f t="shared" ca="1" si="275"/>
        <v>1</v>
      </c>
      <c r="LY27" s="220">
        <f t="shared" ca="1" si="291"/>
        <v>0</v>
      </c>
      <c r="LZ27" s="220">
        <f t="shared" ca="1" si="292"/>
        <v>0</v>
      </c>
      <c r="MA27" s="235">
        <f t="shared" ca="1" si="293"/>
        <v>0</v>
      </c>
      <c r="MB27" s="235">
        <f t="shared" ca="1" si="294"/>
        <v>0</v>
      </c>
      <c r="MC27" s="242">
        <f t="shared" ca="1" si="295"/>
        <v>0</v>
      </c>
      <c r="MD27" s="241">
        <f t="shared" ca="1" si="275"/>
        <v>1</v>
      </c>
      <c r="ME27" s="220">
        <f t="shared" ca="1" si="296"/>
        <v>0</v>
      </c>
      <c r="MF27" s="220">
        <f t="shared" ca="1" si="297"/>
        <v>0</v>
      </c>
      <c r="MG27" s="235">
        <f t="shared" ca="1" si="298"/>
        <v>0</v>
      </c>
      <c r="MH27" s="235">
        <f t="shared" ca="1" si="299"/>
        <v>0</v>
      </c>
      <c r="MI27" s="242">
        <f t="shared" ca="1" si="300"/>
        <v>0</v>
      </c>
      <c r="MJ27" s="241">
        <f t="shared" ca="1" si="275"/>
        <v>1</v>
      </c>
      <c r="MK27" s="220">
        <f t="shared" ca="1" si="301"/>
        <v>0</v>
      </c>
      <c r="ML27" s="220">
        <f t="shared" ca="1" si="302"/>
        <v>0</v>
      </c>
      <c r="MM27" s="235">
        <f t="shared" ca="1" si="303"/>
        <v>0</v>
      </c>
      <c r="MN27" s="235">
        <f t="shared" ca="1" si="304"/>
        <v>0</v>
      </c>
      <c r="MO27" s="242">
        <f t="shared" ca="1" si="305"/>
        <v>0</v>
      </c>
      <c r="MP27" s="241">
        <f t="shared" ca="1" si="275"/>
        <v>1</v>
      </c>
      <c r="MQ27" s="220">
        <f t="shared" ca="1" si="306"/>
        <v>0</v>
      </c>
      <c r="MR27" s="220">
        <f t="shared" ca="1" si="307"/>
        <v>0</v>
      </c>
      <c r="MS27" s="235">
        <f t="shared" ca="1" si="308"/>
        <v>0</v>
      </c>
      <c r="MT27" s="235">
        <f t="shared" ca="1" si="309"/>
        <v>0</v>
      </c>
      <c r="MU27" s="242">
        <f t="shared" ca="1" si="310"/>
        <v>0</v>
      </c>
      <c r="MV27" s="241">
        <f t="shared" ca="1" si="275"/>
        <v>1</v>
      </c>
      <c r="MW27" s="220">
        <f t="shared" ca="1" si="311"/>
        <v>0</v>
      </c>
      <c r="MX27" s="220">
        <f t="shared" ca="1" si="312"/>
        <v>0</v>
      </c>
      <c r="MY27" s="235">
        <f t="shared" ca="1" si="313"/>
        <v>0</v>
      </c>
      <c r="MZ27" s="235">
        <f t="shared" ca="1" si="314"/>
        <v>0</v>
      </c>
      <c r="NA27" s="242">
        <f t="shared" ca="1" si="315"/>
        <v>0</v>
      </c>
      <c r="NB27" s="241">
        <f t="shared" ca="1" si="275"/>
        <v>1</v>
      </c>
      <c r="NC27" s="220">
        <f t="shared" ca="1" si="316"/>
        <v>0</v>
      </c>
      <c r="ND27" s="220">
        <f t="shared" ca="1" si="317"/>
        <v>0</v>
      </c>
      <c r="NE27" s="235">
        <f t="shared" ca="1" si="318"/>
        <v>0</v>
      </c>
      <c r="NF27" s="235">
        <f t="shared" ca="1" si="319"/>
        <v>0</v>
      </c>
      <c r="NG27" s="242">
        <f t="shared" ca="1" si="320"/>
        <v>0</v>
      </c>
      <c r="NH27" s="241">
        <f t="shared" ca="1" si="275"/>
        <v>1</v>
      </c>
      <c r="NI27" s="220">
        <f t="shared" ca="1" si="321"/>
        <v>0</v>
      </c>
      <c r="NJ27" s="220">
        <f t="shared" ca="1" si="322"/>
        <v>0</v>
      </c>
      <c r="NK27" s="235">
        <f t="shared" ca="1" si="323"/>
        <v>0</v>
      </c>
      <c r="NL27" s="235">
        <f t="shared" ca="1" si="324"/>
        <v>0</v>
      </c>
      <c r="NM27" s="242">
        <f t="shared" ca="1" si="325"/>
        <v>0</v>
      </c>
      <c r="NN27" s="241">
        <f t="shared" ca="1" si="275"/>
        <v>1</v>
      </c>
      <c r="NO27" s="220">
        <f t="shared" ca="1" si="326"/>
        <v>0</v>
      </c>
      <c r="NP27" s="220">
        <f t="shared" ca="1" si="327"/>
        <v>0</v>
      </c>
      <c r="NQ27" s="235">
        <f t="shared" ca="1" si="328"/>
        <v>0</v>
      </c>
      <c r="NR27" s="235">
        <f t="shared" ca="1" si="329"/>
        <v>0</v>
      </c>
      <c r="NS27" s="242">
        <f t="shared" ca="1" si="330"/>
        <v>0</v>
      </c>
      <c r="NT27" s="241">
        <f t="shared" ca="1" si="331"/>
        <v>1</v>
      </c>
      <c r="NU27" s="220">
        <f t="shared" ca="1" si="332"/>
        <v>0</v>
      </c>
      <c r="NV27" s="220">
        <f t="shared" ca="1" si="333"/>
        <v>0</v>
      </c>
      <c r="NW27" s="235">
        <f t="shared" ca="1" si="334"/>
        <v>0</v>
      </c>
      <c r="NX27" s="235">
        <f t="shared" ca="1" si="335"/>
        <v>0</v>
      </c>
      <c r="NY27" s="242">
        <f t="shared" ca="1" si="336"/>
        <v>0</v>
      </c>
      <c r="NZ27" s="241">
        <f t="shared" ca="1" si="331"/>
        <v>1</v>
      </c>
      <c r="OA27" s="220">
        <f t="shared" ca="1" si="337"/>
        <v>0</v>
      </c>
      <c r="OB27" s="220">
        <f t="shared" ca="1" si="338"/>
        <v>0</v>
      </c>
      <c r="OC27" s="235">
        <f t="shared" ca="1" si="339"/>
        <v>0</v>
      </c>
      <c r="OD27" s="235">
        <f t="shared" ca="1" si="340"/>
        <v>0</v>
      </c>
      <c r="OE27" s="242">
        <f t="shared" ca="1" si="341"/>
        <v>0</v>
      </c>
      <c r="OF27" s="241">
        <f t="shared" ca="1" si="331"/>
        <v>1</v>
      </c>
      <c r="OG27" s="220">
        <f t="shared" ca="1" si="342"/>
        <v>0</v>
      </c>
      <c r="OH27" s="220">
        <f t="shared" ca="1" si="343"/>
        <v>0</v>
      </c>
      <c r="OI27" s="235">
        <f t="shared" ca="1" si="344"/>
        <v>0</v>
      </c>
      <c r="OJ27" s="235">
        <f t="shared" ca="1" si="345"/>
        <v>0</v>
      </c>
      <c r="OK27" s="242">
        <f t="shared" ca="1" si="346"/>
        <v>0</v>
      </c>
      <c r="OL27" s="241">
        <f t="shared" ca="1" si="331"/>
        <v>1</v>
      </c>
      <c r="OM27" s="220">
        <f t="shared" ca="1" si="347"/>
        <v>0</v>
      </c>
      <c r="ON27" s="220">
        <f t="shared" ca="1" si="348"/>
        <v>0</v>
      </c>
      <c r="OO27" s="235">
        <f t="shared" ca="1" si="349"/>
        <v>0</v>
      </c>
      <c r="OP27" s="235">
        <f t="shared" ca="1" si="350"/>
        <v>0</v>
      </c>
      <c r="OQ27" s="242">
        <f t="shared" ca="1" si="351"/>
        <v>0</v>
      </c>
      <c r="OR27" s="241">
        <f t="shared" ca="1" si="331"/>
        <v>1</v>
      </c>
      <c r="OS27" s="220">
        <f t="shared" ca="1" si="352"/>
        <v>0</v>
      </c>
      <c r="OT27" s="220">
        <f t="shared" ca="1" si="353"/>
        <v>0</v>
      </c>
      <c r="OU27" s="235">
        <f t="shared" ca="1" si="354"/>
        <v>0</v>
      </c>
      <c r="OV27" s="235">
        <f t="shared" ca="1" si="355"/>
        <v>0</v>
      </c>
      <c r="OW27" s="242">
        <f t="shared" ca="1" si="356"/>
        <v>0</v>
      </c>
      <c r="OX27" s="241">
        <f t="shared" ca="1" si="331"/>
        <v>1</v>
      </c>
      <c r="OY27" s="220">
        <f t="shared" ca="1" si="357"/>
        <v>0</v>
      </c>
      <c r="OZ27" s="220">
        <f t="shared" ca="1" si="358"/>
        <v>0</v>
      </c>
      <c r="PA27" s="235">
        <f t="shared" ca="1" si="359"/>
        <v>0</v>
      </c>
      <c r="PB27" s="235">
        <f t="shared" ca="1" si="360"/>
        <v>0</v>
      </c>
      <c r="PC27" s="242">
        <f t="shared" ca="1" si="361"/>
        <v>0</v>
      </c>
      <c r="PD27" s="241">
        <f t="shared" ca="1" si="331"/>
        <v>1</v>
      </c>
      <c r="PE27" s="220">
        <f t="shared" ca="1" si="362"/>
        <v>0</v>
      </c>
      <c r="PF27" s="220">
        <f t="shared" ca="1" si="363"/>
        <v>0</v>
      </c>
      <c r="PG27" s="235">
        <f t="shared" ca="1" si="364"/>
        <v>0</v>
      </c>
      <c r="PH27" s="235">
        <f t="shared" ca="1" si="365"/>
        <v>0</v>
      </c>
      <c r="PI27" s="242">
        <f t="shared" ca="1" si="366"/>
        <v>0</v>
      </c>
      <c r="PJ27" s="241">
        <f t="shared" ca="1" si="331"/>
        <v>1</v>
      </c>
      <c r="PK27" s="220">
        <f t="shared" ca="1" si="367"/>
        <v>0</v>
      </c>
      <c r="PL27" s="220">
        <f t="shared" ca="1" si="368"/>
        <v>0</v>
      </c>
      <c r="PM27" s="235">
        <f t="shared" ca="1" si="369"/>
        <v>0</v>
      </c>
      <c r="PN27" s="235">
        <f t="shared" ca="1" si="370"/>
        <v>0</v>
      </c>
      <c r="PO27" s="242">
        <f t="shared" ca="1" si="371"/>
        <v>0</v>
      </c>
      <c r="PP27" s="241">
        <f t="shared" ca="1" si="331"/>
        <v>1</v>
      </c>
      <c r="PQ27" s="220">
        <f t="shared" ca="1" si="372"/>
        <v>0</v>
      </c>
      <c r="PR27" s="220">
        <f t="shared" ca="1" si="373"/>
        <v>0</v>
      </c>
      <c r="PS27" s="235">
        <f t="shared" ca="1" si="374"/>
        <v>0</v>
      </c>
      <c r="PT27" s="235">
        <f t="shared" ca="1" si="375"/>
        <v>0</v>
      </c>
      <c r="PU27" s="242">
        <f t="shared" ca="1" si="376"/>
        <v>0</v>
      </c>
      <c r="PV27" s="241">
        <f t="shared" ca="1" si="331"/>
        <v>1</v>
      </c>
      <c r="PW27" s="220">
        <f t="shared" ca="1" si="377"/>
        <v>0</v>
      </c>
      <c r="PX27" s="220">
        <f t="shared" ca="1" si="378"/>
        <v>0</v>
      </c>
      <c r="PY27" s="235">
        <f t="shared" ca="1" si="379"/>
        <v>0</v>
      </c>
      <c r="PZ27" s="235">
        <f t="shared" ca="1" si="380"/>
        <v>0</v>
      </c>
      <c r="QA27" s="242">
        <f t="shared" ca="1" si="381"/>
        <v>0</v>
      </c>
      <c r="QB27" s="241">
        <f t="shared" ca="1" si="331"/>
        <v>1</v>
      </c>
      <c r="QC27" s="220">
        <f t="shared" ca="1" si="382"/>
        <v>0</v>
      </c>
      <c r="QD27" s="220">
        <f t="shared" ca="1" si="383"/>
        <v>0</v>
      </c>
      <c r="QE27" s="235">
        <f t="shared" ca="1" si="384"/>
        <v>0</v>
      </c>
      <c r="QF27" s="235">
        <f t="shared" ca="1" si="385"/>
        <v>0</v>
      </c>
      <c r="QG27" s="242">
        <f t="shared" ca="1" si="386"/>
        <v>0</v>
      </c>
      <c r="QH27" s="241">
        <f t="shared" ca="1" si="387"/>
        <v>1</v>
      </c>
      <c r="QI27" s="220">
        <f t="shared" ca="1" si="388"/>
        <v>0</v>
      </c>
      <c r="QJ27" s="220">
        <f t="shared" ca="1" si="389"/>
        <v>0</v>
      </c>
      <c r="QK27" s="235">
        <f t="shared" ca="1" si="390"/>
        <v>0</v>
      </c>
      <c r="QL27" s="235">
        <f t="shared" ca="1" si="391"/>
        <v>0</v>
      </c>
      <c r="QM27" s="242">
        <f t="shared" ca="1" si="392"/>
        <v>0</v>
      </c>
      <c r="QN27" s="241">
        <f t="shared" ca="1" si="387"/>
        <v>1</v>
      </c>
      <c r="QO27" s="220">
        <f t="shared" ca="1" si="393"/>
        <v>0</v>
      </c>
      <c r="QP27" s="220">
        <f t="shared" ca="1" si="394"/>
        <v>0</v>
      </c>
      <c r="QQ27" s="235">
        <f t="shared" ca="1" si="395"/>
        <v>0</v>
      </c>
      <c r="QR27" s="235">
        <f t="shared" ca="1" si="396"/>
        <v>0</v>
      </c>
      <c r="QS27" s="242">
        <f t="shared" ca="1" si="397"/>
        <v>0</v>
      </c>
      <c r="QT27" s="241">
        <f t="shared" ca="1" si="387"/>
        <v>1</v>
      </c>
      <c r="QU27" s="220">
        <f t="shared" ca="1" si="398"/>
        <v>0</v>
      </c>
      <c r="QV27" s="220">
        <f t="shared" ca="1" si="399"/>
        <v>0</v>
      </c>
      <c r="QW27" s="235">
        <f t="shared" ca="1" si="400"/>
        <v>0</v>
      </c>
      <c r="QX27" s="235">
        <f t="shared" ca="1" si="401"/>
        <v>0</v>
      </c>
      <c r="QY27" s="242">
        <f t="shared" ca="1" si="402"/>
        <v>0</v>
      </c>
      <c r="QZ27" s="241">
        <f t="shared" ca="1" si="387"/>
        <v>1</v>
      </c>
      <c r="RA27" s="220">
        <f t="shared" ca="1" si="403"/>
        <v>0</v>
      </c>
      <c r="RB27" s="220">
        <f t="shared" ca="1" si="404"/>
        <v>0</v>
      </c>
      <c r="RC27" s="235">
        <f t="shared" ca="1" si="405"/>
        <v>0</v>
      </c>
      <c r="RD27" s="235">
        <f t="shared" ca="1" si="406"/>
        <v>0</v>
      </c>
      <c r="RE27" s="242">
        <f t="shared" ca="1" si="407"/>
        <v>0</v>
      </c>
      <c r="RF27" s="241">
        <f t="shared" ca="1" si="387"/>
        <v>1</v>
      </c>
      <c r="RG27" s="220">
        <f t="shared" ca="1" si="408"/>
        <v>0</v>
      </c>
      <c r="RH27" s="220">
        <f t="shared" ca="1" si="409"/>
        <v>0</v>
      </c>
      <c r="RI27" s="235">
        <f t="shared" ca="1" si="410"/>
        <v>0</v>
      </c>
      <c r="RJ27" s="235">
        <f t="shared" ca="1" si="411"/>
        <v>0</v>
      </c>
      <c r="RK27" s="242">
        <f t="shared" ca="1" si="412"/>
        <v>0</v>
      </c>
      <c r="RL27" s="241">
        <f t="shared" ca="1" si="387"/>
        <v>1</v>
      </c>
      <c r="RM27" s="220">
        <f t="shared" ca="1" si="413"/>
        <v>0</v>
      </c>
      <c r="RN27" s="220">
        <f t="shared" ca="1" si="414"/>
        <v>0</v>
      </c>
      <c r="RO27" s="235">
        <f t="shared" ca="1" si="415"/>
        <v>0</v>
      </c>
      <c r="RP27" s="235">
        <f t="shared" ca="1" si="416"/>
        <v>0</v>
      </c>
      <c r="RQ27" s="242">
        <f t="shared" ca="1" si="417"/>
        <v>0</v>
      </c>
      <c r="RR27" s="241">
        <f t="shared" ca="1" si="387"/>
        <v>1</v>
      </c>
      <c r="RS27" s="220">
        <f t="shared" ca="1" si="418"/>
        <v>0</v>
      </c>
      <c r="RT27" s="220">
        <f t="shared" ca="1" si="419"/>
        <v>0</v>
      </c>
      <c r="RU27" s="235">
        <f t="shared" ca="1" si="420"/>
        <v>0</v>
      </c>
      <c r="RV27" s="235">
        <f t="shared" ca="1" si="421"/>
        <v>0</v>
      </c>
      <c r="RW27" s="242">
        <f t="shared" ca="1" si="422"/>
        <v>0</v>
      </c>
      <c r="RX27" s="241">
        <f t="shared" ca="1" si="387"/>
        <v>1</v>
      </c>
      <c r="RY27" s="220">
        <f t="shared" ca="1" si="423"/>
        <v>0</v>
      </c>
      <c r="RZ27" s="220">
        <f t="shared" ca="1" si="424"/>
        <v>0</v>
      </c>
      <c r="SA27" s="235">
        <f t="shared" ca="1" si="425"/>
        <v>0</v>
      </c>
      <c r="SB27" s="235">
        <f t="shared" ca="1" si="426"/>
        <v>0</v>
      </c>
      <c r="SC27" s="242">
        <f t="shared" ca="1" si="427"/>
        <v>0</v>
      </c>
      <c r="SD27" s="241">
        <f t="shared" ca="1" si="387"/>
        <v>1</v>
      </c>
      <c r="SE27" s="220">
        <f t="shared" ca="1" si="428"/>
        <v>0</v>
      </c>
      <c r="SF27" s="220">
        <f t="shared" ca="1" si="429"/>
        <v>0</v>
      </c>
      <c r="SG27" s="235">
        <f t="shared" ca="1" si="430"/>
        <v>0</v>
      </c>
      <c r="SH27" s="235">
        <f t="shared" ca="1" si="431"/>
        <v>0</v>
      </c>
      <c r="SI27" s="242">
        <f t="shared" ca="1" si="432"/>
        <v>0</v>
      </c>
      <c r="SJ27" s="241">
        <f t="shared" ca="1" si="387"/>
        <v>1</v>
      </c>
      <c r="SK27" s="220">
        <f t="shared" ca="1" si="433"/>
        <v>0</v>
      </c>
      <c r="SL27" s="220">
        <f t="shared" ca="1" si="434"/>
        <v>0</v>
      </c>
      <c r="SM27" s="235">
        <f t="shared" ca="1" si="435"/>
        <v>0</v>
      </c>
      <c r="SN27" s="235">
        <f t="shared" ca="1" si="436"/>
        <v>0</v>
      </c>
      <c r="SO27" s="242">
        <f t="shared" ca="1" si="437"/>
        <v>0</v>
      </c>
      <c r="SP27" s="241">
        <f t="shared" ca="1" si="387"/>
        <v>1</v>
      </c>
      <c r="SQ27" s="220">
        <f t="shared" ca="1" si="438"/>
        <v>0</v>
      </c>
      <c r="SR27" s="220">
        <f t="shared" ca="1" si="439"/>
        <v>0</v>
      </c>
      <c r="SS27" s="235">
        <f t="shared" ca="1" si="440"/>
        <v>0</v>
      </c>
      <c r="ST27" s="235">
        <f t="shared" ca="1" si="441"/>
        <v>0</v>
      </c>
      <c r="SU27" s="242">
        <f t="shared" ca="1" si="442"/>
        <v>0</v>
      </c>
      <c r="SV27" s="241">
        <f t="shared" ca="1" si="443"/>
        <v>1</v>
      </c>
      <c r="SW27" s="220">
        <f t="shared" ca="1" si="444"/>
        <v>0</v>
      </c>
      <c r="SX27" s="220">
        <f t="shared" ca="1" si="445"/>
        <v>0</v>
      </c>
      <c r="SY27" s="235">
        <f t="shared" ca="1" si="446"/>
        <v>0</v>
      </c>
      <c r="SZ27" s="235">
        <f t="shared" ca="1" si="447"/>
        <v>0</v>
      </c>
      <c r="TA27" s="242">
        <f t="shared" ca="1" si="448"/>
        <v>0</v>
      </c>
      <c r="TB27" s="241">
        <f t="shared" ca="1" si="443"/>
        <v>1</v>
      </c>
      <c r="TC27" s="220">
        <f t="shared" ca="1" si="449"/>
        <v>0</v>
      </c>
      <c r="TD27" s="220">
        <f t="shared" ca="1" si="450"/>
        <v>0</v>
      </c>
      <c r="TE27" s="235">
        <f t="shared" ca="1" si="451"/>
        <v>0</v>
      </c>
      <c r="TF27" s="235">
        <f t="shared" ca="1" si="452"/>
        <v>0</v>
      </c>
      <c r="TG27" s="242">
        <f t="shared" ca="1" si="453"/>
        <v>0</v>
      </c>
      <c r="TH27" s="241">
        <f t="shared" ca="1" si="443"/>
        <v>1</v>
      </c>
      <c r="TI27" s="220">
        <f t="shared" ca="1" si="454"/>
        <v>0</v>
      </c>
      <c r="TJ27" s="220">
        <f t="shared" ca="1" si="455"/>
        <v>0</v>
      </c>
      <c r="TK27" s="235">
        <f t="shared" ca="1" si="456"/>
        <v>0</v>
      </c>
      <c r="TL27" s="235">
        <f t="shared" ca="1" si="457"/>
        <v>0</v>
      </c>
      <c r="TM27" s="242">
        <f t="shared" ca="1" si="458"/>
        <v>0</v>
      </c>
      <c r="TN27" s="241">
        <f t="shared" ca="1" si="443"/>
        <v>1</v>
      </c>
      <c r="TO27" s="220">
        <f t="shared" ca="1" si="459"/>
        <v>0</v>
      </c>
      <c r="TP27" s="220">
        <f t="shared" ca="1" si="460"/>
        <v>0</v>
      </c>
      <c r="TQ27" s="235">
        <f t="shared" ca="1" si="461"/>
        <v>0</v>
      </c>
      <c r="TR27" s="235">
        <f t="shared" ca="1" si="462"/>
        <v>0</v>
      </c>
      <c r="TS27" s="242">
        <f t="shared" ca="1" si="463"/>
        <v>0</v>
      </c>
      <c r="TT27" s="241">
        <f t="shared" ca="1" si="443"/>
        <v>1</v>
      </c>
      <c r="TU27" s="220">
        <f t="shared" ca="1" si="464"/>
        <v>0</v>
      </c>
      <c r="TV27" s="220">
        <f t="shared" ca="1" si="465"/>
        <v>0</v>
      </c>
      <c r="TW27" s="235">
        <f t="shared" ca="1" si="466"/>
        <v>0</v>
      </c>
      <c r="TX27" s="235">
        <f t="shared" ca="1" si="467"/>
        <v>0</v>
      </c>
      <c r="TY27" s="242">
        <f t="shared" ca="1" si="468"/>
        <v>0</v>
      </c>
      <c r="TZ27" s="241">
        <f t="shared" ca="1" si="443"/>
        <v>1</v>
      </c>
      <c r="UA27" s="220">
        <f t="shared" ca="1" si="469"/>
        <v>0</v>
      </c>
      <c r="UB27" s="220">
        <f t="shared" ca="1" si="470"/>
        <v>0</v>
      </c>
      <c r="UC27" s="235">
        <f t="shared" ca="1" si="471"/>
        <v>0</v>
      </c>
      <c r="UD27" s="235">
        <f t="shared" ca="1" si="472"/>
        <v>0</v>
      </c>
      <c r="UE27" s="242">
        <f t="shared" ca="1" si="473"/>
        <v>0</v>
      </c>
      <c r="UF27" s="241">
        <f t="shared" ca="1" si="443"/>
        <v>1</v>
      </c>
      <c r="UG27" s="220">
        <f t="shared" ca="1" si="474"/>
        <v>0</v>
      </c>
      <c r="UH27" s="220">
        <f t="shared" ca="1" si="475"/>
        <v>0</v>
      </c>
      <c r="UI27" s="235">
        <f t="shared" ca="1" si="476"/>
        <v>0</v>
      </c>
      <c r="UJ27" s="235">
        <f t="shared" ca="1" si="477"/>
        <v>0</v>
      </c>
      <c r="UK27" s="242">
        <f t="shared" ca="1" si="478"/>
        <v>0</v>
      </c>
      <c r="UL27" s="241">
        <f t="shared" ca="1" si="443"/>
        <v>1</v>
      </c>
      <c r="UM27" s="220">
        <f t="shared" ca="1" si="479"/>
        <v>0</v>
      </c>
      <c r="UN27" s="220">
        <f t="shared" ca="1" si="480"/>
        <v>0</v>
      </c>
      <c r="UO27" s="235">
        <f t="shared" ca="1" si="481"/>
        <v>0</v>
      </c>
      <c r="UP27" s="235">
        <f t="shared" ca="1" si="482"/>
        <v>0</v>
      </c>
      <c r="UQ27" s="242">
        <f t="shared" ca="1" si="483"/>
        <v>0</v>
      </c>
      <c r="UR27" s="241">
        <f t="shared" ca="1" si="443"/>
        <v>1</v>
      </c>
      <c r="US27" s="220">
        <f t="shared" ca="1" si="484"/>
        <v>0</v>
      </c>
      <c r="UT27" s="220">
        <f t="shared" ca="1" si="485"/>
        <v>0</v>
      </c>
      <c r="UU27" s="235">
        <f t="shared" ca="1" si="486"/>
        <v>0</v>
      </c>
      <c r="UV27" s="235">
        <f t="shared" ca="1" si="487"/>
        <v>0</v>
      </c>
      <c r="UW27" s="242">
        <f t="shared" ca="1" si="488"/>
        <v>0</v>
      </c>
      <c r="UX27" s="241">
        <f t="shared" ca="1" si="443"/>
        <v>1</v>
      </c>
      <c r="UY27" s="220">
        <f t="shared" ca="1" si="489"/>
        <v>0</v>
      </c>
      <c r="UZ27" s="220">
        <f t="shared" ca="1" si="490"/>
        <v>0</v>
      </c>
      <c r="VA27" s="235">
        <f t="shared" ca="1" si="491"/>
        <v>0</v>
      </c>
      <c r="VB27" s="235">
        <f t="shared" ca="1" si="492"/>
        <v>0</v>
      </c>
      <c r="VC27" s="242">
        <f t="shared" ca="1" si="493"/>
        <v>0</v>
      </c>
      <c r="VD27" s="241">
        <f t="shared" ca="1" si="443"/>
        <v>1</v>
      </c>
      <c r="VE27" s="220">
        <f t="shared" ca="1" si="494"/>
        <v>0</v>
      </c>
      <c r="VF27" s="220">
        <f t="shared" ca="1" si="495"/>
        <v>0</v>
      </c>
      <c r="VG27" s="235">
        <f t="shared" ca="1" si="496"/>
        <v>0</v>
      </c>
      <c r="VH27" s="235">
        <f t="shared" ca="1" si="497"/>
        <v>0</v>
      </c>
      <c r="VI27" s="242">
        <f t="shared" ca="1" si="498"/>
        <v>0</v>
      </c>
      <c r="VJ27" s="241">
        <f t="shared" ca="1" si="499"/>
        <v>1</v>
      </c>
      <c r="VK27" s="220">
        <f t="shared" ca="1" si="500"/>
        <v>0</v>
      </c>
      <c r="VL27" s="220">
        <f t="shared" ca="1" si="501"/>
        <v>0</v>
      </c>
      <c r="VM27" s="235">
        <f t="shared" ca="1" si="502"/>
        <v>0</v>
      </c>
      <c r="VN27" s="235">
        <f t="shared" ca="1" si="503"/>
        <v>0</v>
      </c>
      <c r="VO27" s="242">
        <f t="shared" ca="1" si="504"/>
        <v>0</v>
      </c>
      <c r="VP27" s="241">
        <f t="shared" ca="1" si="499"/>
        <v>1</v>
      </c>
      <c r="VQ27" s="220">
        <f t="shared" ca="1" si="505"/>
        <v>0</v>
      </c>
      <c r="VR27" s="220">
        <f t="shared" ca="1" si="506"/>
        <v>0</v>
      </c>
      <c r="VS27" s="235">
        <f t="shared" ca="1" si="507"/>
        <v>0</v>
      </c>
      <c r="VT27" s="235">
        <f t="shared" ca="1" si="508"/>
        <v>0</v>
      </c>
      <c r="VU27" s="242">
        <f t="shared" ca="1" si="509"/>
        <v>0</v>
      </c>
      <c r="VV27" s="241">
        <f t="shared" ca="1" si="499"/>
        <v>1</v>
      </c>
      <c r="VW27" s="220">
        <f t="shared" ca="1" si="510"/>
        <v>0</v>
      </c>
      <c r="VX27" s="220">
        <f t="shared" ca="1" si="511"/>
        <v>0</v>
      </c>
      <c r="VY27" s="235">
        <f t="shared" ca="1" si="512"/>
        <v>0</v>
      </c>
      <c r="VZ27" s="235">
        <f t="shared" ca="1" si="513"/>
        <v>0</v>
      </c>
      <c r="WA27" s="242">
        <f t="shared" ca="1" si="514"/>
        <v>0</v>
      </c>
      <c r="WB27" s="241">
        <f t="shared" ca="1" si="499"/>
        <v>1</v>
      </c>
      <c r="WC27" s="220">
        <f t="shared" ca="1" si="515"/>
        <v>0</v>
      </c>
      <c r="WD27" s="220">
        <f t="shared" ca="1" si="516"/>
        <v>0</v>
      </c>
      <c r="WE27" s="235">
        <f t="shared" ca="1" si="517"/>
        <v>0</v>
      </c>
      <c r="WF27" s="235">
        <f t="shared" ca="1" si="518"/>
        <v>0</v>
      </c>
      <c r="WG27" s="242">
        <f t="shared" ca="1" si="519"/>
        <v>0</v>
      </c>
      <c r="WH27" s="241">
        <f t="shared" ca="1" si="499"/>
        <v>1</v>
      </c>
      <c r="WI27" s="220">
        <f t="shared" ca="1" si="520"/>
        <v>0</v>
      </c>
      <c r="WJ27" s="220">
        <f t="shared" ca="1" si="521"/>
        <v>0</v>
      </c>
      <c r="WK27" s="235">
        <f t="shared" ca="1" si="522"/>
        <v>0</v>
      </c>
      <c r="WL27" s="235">
        <f t="shared" ca="1" si="523"/>
        <v>0</v>
      </c>
      <c r="WM27" s="242">
        <f t="shared" ca="1" si="524"/>
        <v>0</v>
      </c>
      <c r="WN27" s="241">
        <f t="shared" ca="1" si="499"/>
        <v>1</v>
      </c>
      <c r="WO27" s="220">
        <f t="shared" ca="1" si="525"/>
        <v>0</v>
      </c>
      <c r="WP27" s="220">
        <f t="shared" ca="1" si="526"/>
        <v>0</v>
      </c>
      <c r="WQ27" s="235">
        <f t="shared" ca="1" si="527"/>
        <v>0</v>
      </c>
      <c r="WR27" s="235">
        <f t="shared" ca="1" si="528"/>
        <v>0</v>
      </c>
      <c r="WS27" s="242">
        <f t="shared" ca="1" si="529"/>
        <v>0</v>
      </c>
      <c r="WT27" s="241">
        <f t="shared" ca="1" si="499"/>
        <v>1</v>
      </c>
      <c r="WU27" s="220">
        <f t="shared" ca="1" si="530"/>
        <v>0</v>
      </c>
      <c r="WV27" s="220">
        <f t="shared" ca="1" si="531"/>
        <v>0</v>
      </c>
      <c r="WW27" s="235">
        <f t="shared" ca="1" si="532"/>
        <v>0</v>
      </c>
      <c r="WX27" s="235">
        <f t="shared" ca="1" si="533"/>
        <v>0</v>
      </c>
      <c r="WY27" s="242">
        <f t="shared" ca="1" si="534"/>
        <v>0</v>
      </c>
      <c r="WZ27" s="241">
        <f t="shared" ca="1" si="499"/>
        <v>1</v>
      </c>
      <c r="XA27" s="220">
        <f t="shared" ca="1" si="535"/>
        <v>0</v>
      </c>
      <c r="XB27" s="220">
        <f t="shared" ca="1" si="536"/>
        <v>0</v>
      </c>
      <c r="XC27" s="235">
        <f t="shared" ca="1" si="537"/>
        <v>0</v>
      </c>
      <c r="XD27" s="235">
        <f t="shared" ca="1" si="538"/>
        <v>0</v>
      </c>
      <c r="XE27" s="242">
        <f t="shared" ca="1" si="539"/>
        <v>0</v>
      </c>
      <c r="XF27" s="241">
        <f t="shared" ca="1" si="499"/>
        <v>1</v>
      </c>
      <c r="XG27" s="220">
        <f t="shared" ca="1" si="540"/>
        <v>0</v>
      </c>
      <c r="XH27" s="220">
        <f t="shared" ca="1" si="541"/>
        <v>0</v>
      </c>
      <c r="XI27" s="235">
        <f t="shared" ca="1" si="542"/>
        <v>0</v>
      </c>
      <c r="XJ27" s="235">
        <f t="shared" ca="1" si="543"/>
        <v>0</v>
      </c>
      <c r="XK27" s="242">
        <f t="shared" ca="1" si="544"/>
        <v>0</v>
      </c>
    </row>
    <row r="28" spans="2:635" x14ac:dyDescent="0.25">
      <c r="B28" s="65">
        <f t="shared" ca="1" si="14"/>
        <v>2043</v>
      </c>
      <c r="C28" s="65" t="s">
        <v>741</v>
      </c>
      <c r="D28" s="77">
        <f t="shared" si="15"/>
        <v>0</v>
      </c>
      <c r="E28" s="77">
        <f t="shared" si="16"/>
        <v>0</v>
      </c>
      <c r="F28" s="77">
        <f t="shared" si="17"/>
        <v>0</v>
      </c>
      <c r="G28" s="77">
        <f t="shared" si="18"/>
        <v>0</v>
      </c>
      <c r="H28" s="15" t="e">
        <f t="shared" ca="1" si="19"/>
        <v>#REF!</v>
      </c>
      <c r="L28" s="326">
        <f t="shared" ca="1" si="20"/>
        <v>3.5000000000000003E-2</v>
      </c>
      <c r="M28" s="327">
        <f t="shared" ca="1" si="21"/>
        <v>3.5000000000000003E-2</v>
      </c>
      <c r="N28" s="322">
        <f t="shared" ca="1" si="22"/>
        <v>-20</v>
      </c>
      <c r="O28" s="322">
        <f t="shared" ca="1" si="23"/>
        <v>0</v>
      </c>
      <c r="P28" s="328">
        <f t="shared" ca="1" si="545"/>
        <v>0</v>
      </c>
      <c r="Q28" s="328">
        <f t="shared" ca="1" si="546"/>
        <v>0</v>
      </c>
      <c r="R28" s="328">
        <f t="shared" ca="1" si="547"/>
        <v>0</v>
      </c>
      <c r="S28" s="329">
        <f t="shared" ca="1" si="24"/>
        <v>0</v>
      </c>
      <c r="T28" s="329">
        <f t="shared" ca="1" si="25"/>
        <v>0</v>
      </c>
      <c r="U28" s="329">
        <f t="shared" ca="1" si="26"/>
        <v>0</v>
      </c>
      <c r="V28" s="320" t="e">
        <f t="shared" ca="1" si="27"/>
        <v>#REF!</v>
      </c>
      <c r="W28" s="320" t="e">
        <f ca="1">MAX(W27+X27+Y27+IF((V27+X27+Y27+Z27)&gt;0,MAX(AA27*((W27+X27+Y27)/(V27+SUM(X27:Z27))),AA27),0),0)</f>
        <v>#REF!</v>
      </c>
      <c r="X28" s="320" t="e">
        <f t="shared" ca="1" si="29"/>
        <v>#REF!</v>
      </c>
      <c r="Y28" s="320" t="e">
        <f ca="1">INDEX(SC_ZA_HECMLumpSum,ZAIDX)</f>
        <v>#REF!</v>
      </c>
      <c r="Z28" s="320" t="e">
        <f t="shared" ca="1" si="30"/>
        <v>#REF!</v>
      </c>
      <c r="AA28" s="320">
        <f t="shared" ca="1" si="557"/>
        <v>0</v>
      </c>
      <c r="AB28" s="320" t="e">
        <f t="shared" ca="1" si="558"/>
        <v>#REF!</v>
      </c>
      <c r="AC28" s="330" t="e">
        <f t="shared" ca="1" si="559"/>
        <v>#REF!</v>
      </c>
      <c r="AD28" s="236" t="e">
        <f t="shared" ca="1" si="548"/>
        <v>#REF!</v>
      </c>
      <c r="AE28" s="320" t="e">
        <f ca="1">-(AA28-IF((V28+SUM(X28:Z28))&gt;0,MAX(AA28*((W28+X28+Y28)/(V28+SUM(X28:Z28))),AA28),0))</f>
        <v>#REF!</v>
      </c>
      <c r="AF28" s="320" t="e">
        <f t="shared" ca="1" si="35"/>
        <v>#REF!</v>
      </c>
      <c r="AG28" s="320" t="e">
        <f t="shared" ca="1" si="549"/>
        <v>#REF!</v>
      </c>
      <c r="AH28" s="284" t="e">
        <f t="shared" ca="1" si="550"/>
        <v>#REF!</v>
      </c>
      <c r="AI28" s="318" t="e">
        <f t="shared" ca="1" si="551"/>
        <v>#REF!</v>
      </c>
      <c r="AJ28" s="331">
        <f t="shared" ca="1" si="552"/>
        <v>1</v>
      </c>
      <c r="AK28" s="220">
        <f t="shared" ca="1" si="553"/>
        <v>0</v>
      </c>
      <c r="AL28" s="220">
        <f t="shared" ca="1" si="37"/>
        <v>0</v>
      </c>
      <c r="AM28" s="235">
        <f t="shared" ca="1" si="554"/>
        <v>0</v>
      </c>
      <c r="AN28" s="235">
        <f t="shared" ca="1" si="555"/>
        <v>0</v>
      </c>
      <c r="AO28" s="242">
        <f t="shared" ca="1" si="556"/>
        <v>0</v>
      </c>
      <c r="AP28" s="241">
        <f t="shared" ca="1" si="552"/>
        <v>1</v>
      </c>
      <c r="AQ28" s="220">
        <f t="shared" ca="1" si="41"/>
        <v>0</v>
      </c>
      <c r="AR28" s="220">
        <f t="shared" ca="1" si="42"/>
        <v>0</v>
      </c>
      <c r="AS28" s="235">
        <f t="shared" ca="1" si="43"/>
        <v>0</v>
      </c>
      <c r="AT28" s="235">
        <f t="shared" ca="1" si="44"/>
        <v>0</v>
      </c>
      <c r="AU28" s="242">
        <f t="shared" ca="1" si="45"/>
        <v>0</v>
      </c>
      <c r="AV28" s="241">
        <f t="shared" ca="1" si="552"/>
        <v>1</v>
      </c>
      <c r="AW28" s="220">
        <f t="shared" ca="1" si="46"/>
        <v>0</v>
      </c>
      <c r="AX28" s="220">
        <f t="shared" ca="1" si="47"/>
        <v>0</v>
      </c>
      <c r="AY28" s="235">
        <f t="shared" ca="1" si="48"/>
        <v>0</v>
      </c>
      <c r="AZ28" s="235">
        <f t="shared" ca="1" si="49"/>
        <v>0</v>
      </c>
      <c r="BA28" s="242">
        <f t="shared" ca="1" si="50"/>
        <v>0</v>
      </c>
      <c r="BB28" s="241">
        <f t="shared" ca="1" si="552"/>
        <v>1</v>
      </c>
      <c r="BC28" s="220">
        <f t="shared" ca="1" si="52"/>
        <v>0</v>
      </c>
      <c r="BD28" s="220">
        <f t="shared" ca="1" si="53"/>
        <v>0</v>
      </c>
      <c r="BE28" s="235">
        <f t="shared" ca="1" si="54"/>
        <v>0</v>
      </c>
      <c r="BF28" s="235">
        <f t="shared" ca="1" si="55"/>
        <v>0</v>
      </c>
      <c r="BG28" s="242">
        <f t="shared" ca="1" si="56"/>
        <v>0</v>
      </c>
      <c r="BH28" s="241">
        <f t="shared" ca="1" si="552"/>
        <v>1</v>
      </c>
      <c r="BI28" s="220">
        <f t="shared" ca="1" si="57"/>
        <v>0</v>
      </c>
      <c r="BJ28" s="220">
        <f t="shared" ca="1" si="58"/>
        <v>0</v>
      </c>
      <c r="BK28" s="235">
        <f t="shared" ca="1" si="59"/>
        <v>0</v>
      </c>
      <c r="BL28" s="235">
        <f t="shared" ca="1" si="60"/>
        <v>0</v>
      </c>
      <c r="BM28" s="242">
        <f t="shared" ca="1" si="61"/>
        <v>0</v>
      </c>
      <c r="BN28" s="241">
        <f t="shared" ca="1" si="552"/>
        <v>1</v>
      </c>
      <c r="BO28" s="220">
        <f t="shared" ca="1" si="62"/>
        <v>0</v>
      </c>
      <c r="BP28" s="220">
        <f t="shared" ca="1" si="63"/>
        <v>0</v>
      </c>
      <c r="BQ28" s="235">
        <f t="shared" ca="1" si="64"/>
        <v>0</v>
      </c>
      <c r="BR28" s="235">
        <f t="shared" ca="1" si="65"/>
        <v>0</v>
      </c>
      <c r="BS28" s="242">
        <f t="shared" ca="1" si="66"/>
        <v>0</v>
      </c>
      <c r="BT28" s="241">
        <f t="shared" ca="1" si="552"/>
        <v>1</v>
      </c>
      <c r="BU28" s="220">
        <f t="shared" ca="1" si="67"/>
        <v>0</v>
      </c>
      <c r="BV28" s="220">
        <f t="shared" ca="1" si="68"/>
        <v>0</v>
      </c>
      <c r="BW28" s="235">
        <f t="shared" ca="1" si="69"/>
        <v>0</v>
      </c>
      <c r="BX28" s="235">
        <f t="shared" ca="1" si="70"/>
        <v>0</v>
      </c>
      <c r="BY28" s="242">
        <f t="shared" ca="1" si="71"/>
        <v>0</v>
      </c>
      <c r="BZ28" s="241">
        <f t="shared" ca="1" si="552"/>
        <v>1</v>
      </c>
      <c r="CA28" s="220">
        <f t="shared" ca="1" si="72"/>
        <v>0</v>
      </c>
      <c r="CB28" s="220">
        <f t="shared" ca="1" si="73"/>
        <v>0</v>
      </c>
      <c r="CC28" s="235">
        <f t="shared" ca="1" si="74"/>
        <v>0</v>
      </c>
      <c r="CD28" s="235">
        <f t="shared" ca="1" si="75"/>
        <v>0</v>
      </c>
      <c r="CE28" s="242">
        <f t="shared" ca="1" si="76"/>
        <v>0</v>
      </c>
      <c r="CF28" s="241">
        <f t="shared" ca="1" si="552"/>
        <v>1</v>
      </c>
      <c r="CG28" s="220">
        <f t="shared" ca="1" si="77"/>
        <v>0</v>
      </c>
      <c r="CH28" s="220">
        <f t="shared" ca="1" si="78"/>
        <v>0</v>
      </c>
      <c r="CI28" s="235">
        <f t="shared" ca="1" si="79"/>
        <v>0</v>
      </c>
      <c r="CJ28" s="235">
        <f t="shared" ca="1" si="80"/>
        <v>0</v>
      </c>
      <c r="CK28" s="242">
        <f t="shared" ca="1" si="81"/>
        <v>0</v>
      </c>
      <c r="CL28" s="241">
        <f t="shared" ca="1" si="552"/>
        <v>1</v>
      </c>
      <c r="CM28" s="220">
        <f t="shared" ca="1" si="82"/>
        <v>0</v>
      </c>
      <c r="CN28" s="220">
        <f t="shared" ca="1" si="83"/>
        <v>0</v>
      </c>
      <c r="CO28" s="235">
        <f t="shared" ca="1" si="84"/>
        <v>0</v>
      </c>
      <c r="CP28" s="235">
        <f t="shared" ca="1" si="85"/>
        <v>0</v>
      </c>
      <c r="CQ28" s="242">
        <f t="shared" ca="1" si="86"/>
        <v>0</v>
      </c>
      <c r="CR28" s="241">
        <f t="shared" ca="1" si="552"/>
        <v>1</v>
      </c>
      <c r="CS28" s="220">
        <f t="shared" ca="1" si="87"/>
        <v>0</v>
      </c>
      <c r="CT28" s="220">
        <f t="shared" ca="1" si="88"/>
        <v>0</v>
      </c>
      <c r="CU28" s="235">
        <f t="shared" ca="1" si="89"/>
        <v>0</v>
      </c>
      <c r="CV28" s="235">
        <f t="shared" ca="1" si="90"/>
        <v>0</v>
      </c>
      <c r="CW28" s="242">
        <f t="shared" ca="1" si="91"/>
        <v>0</v>
      </c>
      <c r="CX28" s="241">
        <f t="shared" ca="1" si="51"/>
        <v>1</v>
      </c>
      <c r="CY28" s="220">
        <f t="shared" ca="1" si="92"/>
        <v>0</v>
      </c>
      <c r="CZ28" s="220">
        <f t="shared" ca="1" si="93"/>
        <v>0</v>
      </c>
      <c r="DA28" s="235">
        <f t="shared" ca="1" si="94"/>
        <v>0</v>
      </c>
      <c r="DB28" s="235">
        <f t="shared" ca="1" si="95"/>
        <v>0</v>
      </c>
      <c r="DC28" s="242">
        <f t="shared" ca="1" si="96"/>
        <v>0</v>
      </c>
      <c r="DD28" s="241">
        <f t="shared" ca="1" si="51"/>
        <v>1</v>
      </c>
      <c r="DE28" s="220">
        <f t="shared" ca="1" si="97"/>
        <v>0</v>
      </c>
      <c r="DF28" s="220">
        <f t="shared" ca="1" si="98"/>
        <v>0</v>
      </c>
      <c r="DG28" s="235">
        <f t="shared" ca="1" si="99"/>
        <v>0</v>
      </c>
      <c r="DH28" s="235">
        <f t="shared" ca="1" si="100"/>
        <v>0</v>
      </c>
      <c r="DI28" s="242">
        <f t="shared" ca="1" si="101"/>
        <v>0</v>
      </c>
      <c r="DJ28" s="241">
        <f t="shared" ca="1" si="51"/>
        <v>1</v>
      </c>
      <c r="DK28" s="220">
        <f t="shared" ca="1" si="102"/>
        <v>0</v>
      </c>
      <c r="DL28" s="220">
        <f t="shared" ca="1" si="103"/>
        <v>0</v>
      </c>
      <c r="DM28" s="235">
        <f t="shared" ca="1" si="104"/>
        <v>0</v>
      </c>
      <c r="DN28" s="235">
        <f t="shared" ca="1" si="105"/>
        <v>0</v>
      </c>
      <c r="DO28" s="242">
        <f t="shared" ca="1" si="106"/>
        <v>0</v>
      </c>
      <c r="DP28" s="241">
        <f t="shared" ca="1" si="107"/>
        <v>1</v>
      </c>
      <c r="DQ28" s="220">
        <f t="shared" ca="1" si="108"/>
        <v>0</v>
      </c>
      <c r="DR28" s="220">
        <f t="shared" ca="1" si="109"/>
        <v>0</v>
      </c>
      <c r="DS28" s="235">
        <f t="shared" ca="1" si="110"/>
        <v>0</v>
      </c>
      <c r="DT28" s="235">
        <f t="shared" ca="1" si="111"/>
        <v>0</v>
      </c>
      <c r="DU28" s="242">
        <f t="shared" ca="1" si="112"/>
        <v>0</v>
      </c>
      <c r="DV28" s="241">
        <f t="shared" ca="1" si="107"/>
        <v>1</v>
      </c>
      <c r="DW28" s="220">
        <f t="shared" ca="1" si="113"/>
        <v>0</v>
      </c>
      <c r="DX28" s="220">
        <f t="shared" ca="1" si="114"/>
        <v>0</v>
      </c>
      <c r="DY28" s="235">
        <f t="shared" ca="1" si="115"/>
        <v>0</v>
      </c>
      <c r="DZ28" s="235">
        <f t="shared" ca="1" si="116"/>
        <v>0</v>
      </c>
      <c r="EA28" s="242">
        <f t="shared" ca="1" si="117"/>
        <v>0</v>
      </c>
      <c r="EB28" s="241">
        <f t="shared" ca="1" si="107"/>
        <v>1</v>
      </c>
      <c r="EC28" s="220">
        <f t="shared" ca="1" si="118"/>
        <v>0</v>
      </c>
      <c r="ED28" s="220">
        <f t="shared" ca="1" si="119"/>
        <v>0</v>
      </c>
      <c r="EE28" s="235">
        <f t="shared" ca="1" si="120"/>
        <v>0</v>
      </c>
      <c r="EF28" s="235">
        <f t="shared" ca="1" si="121"/>
        <v>0</v>
      </c>
      <c r="EG28" s="242">
        <f t="shared" ca="1" si="122"/>
        <v>0</v>
      </c>
      <c r="EH28" s="241">
        <f t="shared" ca="1" si="107"/>
        <v>1</v>
      </c>
      <c r="EI28" s="220">
        <f t="shared" ca="1" si="123"/>
        <v>0</v>
      </c>
      <c r="EJ28" s="220">
        <f t="shared" ca="1" si="124"/>
        <v>0</v>
      </c>
      <c r="EK28" s="235">
        <f t="shared" ca="1" si="125"/>
        <v>0</v>
      </c>
      <c r="EL28" s="235">
        <f t="shared" ca="1" si="126"/>
        <v>0</v>
      </c>
      <c r="EM28" s="242">
        <f t="shared" ca="1" si="127"/>
        <v>0</v>
      </c>
      <c r="EN28" s="241">
        <f t="shared" ca="1" si="107"/>
        <v>1</v>
      </c>
      <c r="EO28" s="220">
        <f t="shared" ca="1" si="128"/>
        <v>0</v>
      </c>
      <c r="EP28" s="220">
        <f t="shared" ca="1" si="129"/>
        <v>0</v>
      </c>
      <c r="EQ28" s="235">
        <f t="shared" ca="1" si="130"/>
        <v>0</v>
      </c>
      <c r="ER28" s="235">
        <f t="shared" ca="1" si="131"/>
        <v>0</v>
      </c>
      <c r="ES28" s="242">
        <f t="shared" ca="1" si="132"/>
        <v>0</v>
      </c>
      <c r="ET28" s="241">
        <f t="shared" ca="1" si="107"/>
        <v>1</v>
      </c>
      <c r="EU28" s="220">
        <f t="shared" ca="1" si="133"/>
        <v>0</v>
      </c>
      <c r="EV28" s="220">
        <f t="shared" ca="1" si="134"/>
        <v>0</v>
      </c>
      <c r="EW28" s="235">
        <f t="shared" ca="1" si="135"/>
        <v>0</v>
      </c>
      <c r="EX28" s="235">
        <f t="shared" ca="1" si="136"/>
        <v>0</v>
      </c>
      <c r="EY28" s="242">
        <f t="shared" ca="1" si="137"/>
        <v>0</v>
      </c>
      <c r="EZ28" s="241">
        <f t="shared" ca="1" si="107"/>
        <v>1</v>
      </c>
      <c r="FA28" s="220">
        <f t="shared" ca="1" si="138"/>
        <v>0</v>
      </c>
      <c r="FB28" s="220">
        <f t="shared" ca="1" si="139"/>
        <v>0</v>
      </c>
      <c r="FC28" s="235">
        <f t="shared" ca="1" si="140"/>
        <v>0</v>
      </c>
      <c r="FD28" s="235">
        <f t="shared" ca="1" si="141"/>
        <v>0</v>
      </c>
      <c r="FE28" s="242">
        <f t="shared" ca="1" si="142"/>
        <v>0</v>
      </c>
      <c r="FF28" s="241">
        <f t="shared" ca="1" si="107"/>
        <v>1</v>
      </c>
      <c r="FG28" s="220">
        <f t="shared" ca="1" si="143"/>
        <v>0</v>
      </c>
      <c r="FH28" s="220">
        <f t="shared" ca="1" si="144"/>
        <v>0</v>
      </c>
      <c r="FI28" s="235">
        <f t="shared" ca="1" si="145"/>
        <v>0</v>
      </c>
      <c r="FJ28" s="235">
        <f t="shared" ca="1" si="146"/>
        <v>0</v>
      </c>
      <c r="FK28" s="242">
        <f t="shared" ca="1" si="147"/>
        <v>0</v>
      </c>
      <c r="FL28" s="241">
        <f t="shared" ca="1" si="107"/>
        <v>1</v>
      </c>
      <c r="FM28" s="220">
        <f t="shared" ca="1" si="148"/>
        <v>0</v>
      </c>
      <c r="FN28" s="220">
        <f t="shared" ca="1" si="149"/>
        <v>0</v>
      </c>
      <c r="FO28" s="235">
        <f t="shared" ca="1" si="150"/>
        <v>0</v>
      </c>
      <c r="FP28" s="235">
        <f t="shared" ca="1" si="151"/>
        <v>0</v>
      </c>
      <c r="FQ28" s="242">
        <f t="shared" ca="1" si="152"/>
        <v>0</v>
      </c>
      <c r="FR28" s="241">
        <f t="shared" ca="1" si="107"/>
        <v>1</v>
      </c>
      <c r="FS28" s="220">
        <f t="shared" ca="1" si="153"/>
        <v>0</v>
      </c>
      <c r="FT28" s="220">
        <f t="shared" ca="1" si="154"/>
        <v>0</v>
      </c>
      <c r="FU28" s="235">
        <f t="shared" ca="1" si="155"/>
        <v>0</v>
      </c>
      <c r="FV28" s="235">
        <f t="shared" ca="1" si="156"/>
        <v>0</v>
      </c>
      <c r="FW28" s="242">
        <f t="shared" ca="1" si="157"/>
        <v>0</v>
      </c>
      <c r="FX28" s="241">
        <f t="shared" ca="1" si="107"/>
        <v>1</v>
      </c>
      <c r="FY28" s="220">
        <f t="shared" ca="1" si="158"/>
        <v>0</v>
      </c>
      <c r="FZ28" s="220">
        <f t="shared" ca="1" si="159"/>
        <v>0</v>
      </c>
      <c r="GA28" s="235">
        <f t="shared" ca="1" si="160"/>
        <v>0</v>
      </c>
      <c r="GB28" s="235">
        <f t="shared" ca="1" si="161"/>
        <v>0</v>
      </c>
      <c r="GC28" s="242">
        <f t="shared" ca="1" si="162"/>
        <v>0</v>
      </c>
      <c r="GD28" s="241">
        <f t="shared" ca="1" si="163"/>
        <v>1</v>
      </c>
      <c r="GE28" s="220">
        <f t="shared" ca="1" si="164"/>
        <v>0</v>
      </c>
      <c r="GF28" s="220">
        <f t="shared" ca="1" si="165"/>
        <v>0</v>
      </c>
      <c r="GG28" s="235">
        <f t="shared" ca="1" si="166"/>
        <v>0</v>
      </c>
      <c r="GH28" s="235">
        <f t="shared" ca="1" si="167"/>
        <v>0</v>
      </c>
      <c r="GI28" s="242">
        <f t="shared" ca="1" si="168"/>
        <v>0</v>
      </c>
      <c r="GJ28" s="241">
        <f t="shared" ca="1" si="163"/>
        <v>1</v>
      </c>
      <c r="GK28" s="220">
        <f t="shared" ca="1" si="169"/>
        <v>0</v>
      </c>
      <c r="GL28" s="220">
        <f t="shared" ca="1" si="170"/>
        <v>0</v>
      </c>
      <c r="GM28" s="235">
        <f t="shared" ca="1" si="171"/>
        <v>0</v>
      </c>
      <c r="GN28" s="235">
        <f t="shared" ca="1" si="172"/>
        <v>0</v>
      </c>
      <c r="GO28" s="242">
        <f t="shared" ca="1" si="173"/>
        <v>0</v>
      </c>
      <c r="GP28" s="241">
        <f t="shared" ca="1" si="163"/>
        <v>1</v>
      </c>
      <c r="GQ28" s="220">
        <f t="shared" ca="1" si="174"/>
        <v>0</v>
      </c>
      <c r="GR28" s="220">
        <f t="shared" ca="1" si="175"/>
        <v>0</v>
      </c>
      <c r="GS28" s="235">
        <f t="shared" ca="1" si="176"/>
        <v>0</v>
      </c>
      <c r="GT28" s="235">
        <f t="shared" ca="1" si="177"/>
        <v>0</v>
      </c>
      <c r="GU28" s="242">
        <f t="shared" ca="1" si="178"/>
        <v>0</v>
      </c>
      <c r="GV28" s="241">
        <f t="shared" ca="1" si="163"/>
        <v>1</v>
      </c>
      <c r="GW28" s="220">
        <f t="shared" ca="1" si="179"/>
        <v>0</v>
      </c>
      <c r="GX28" s="220">
        <f t="shared" ca="1" si="180"/>
        <v>0</v>
      </c>
      <c r="GY28" s="235">
        <f t="shared" ca="1" si="181"/>
        <v>0</v>
      </c>
      <c r="GZ28" s="235">
        <f t="shared" ca="1" si="182"/>
        <v>0</v>
      </c>
      <c r="HA28" s="242">
        <f t="shared" ca="1" si="183"/>
        <v>0</v>
      </c>
      <c r="HB28" s="241">
        <f t="shared" ca="1" si="163"/>
        <v>1</v>
      </c>
      <c r="HC28" s="220">
        <f t="shared" ca="1" si="184"/>
        <v>0</v>
      </c>
      <c r="HD28" s="220">
        <f t="shared" ca="1" si="185"/>
        <v>0</v>
      </c>
      <c r="HE28" s="235">
        <f t="shared" ca="1" si="186"/>
        <v>0</v>
      </c>
      <c r="HF28" s="235">
        <f t="shared" ca="1" si="187"/>
        <v>0</v>
      </c>
      <c r="HG28" s="242">
        <f t="shared" ca="1" si="188"/>
        <v>0</v>
      </c>
      <c r="HH28" s="241">
        <f t="shared" ca="1" si="163"/>
        <v>1</v>
      </c>
      <c r="HI28" s="220">
        <f t="shared" ca="1" si="189"/>
        <v>0</v>
      </c>
      <c r="HJ28" s="220">
        <f t="shared" ca="1" si="190"/>
        <v>0</v>
      </c>
      <c r="HK28" s="235">
        <f t="shared" ca="1" si="191"/>
        <v>0</v>
      </c>
      <c r="HL28" s="235">
        <f t="shared" ca="1" si="192"/>
        <v>0</v>
      </c>
      <c r="HM28" s="242">
        <f t="shared" ca="1" si="193"/>
        <v>0</v>
      </c>
      <c r="HN28" s="241">
        <f t="shared" ca="1" si="163"/>
        <v>1</v>
      </c>
      <c r="HO28" s="220">
        <f t="shared" ca="1" si="194"/>
        <v>0</v>
      </c>
      <c r="HP28" s="220">
        <f t="shared" ca="1" si="195"/>
        <v>0</v>
      </c>
      <c r="HQ28" s="235">
        <f t="shared" ca="1" si="196"/>
        <v>0</v>
      </c>
      <c r="HR28" s="235">
        <f t="shared" ca="1" si="197"/>
        <v>0</v>
      </c>
      <c r="HS28" s="242">
        <f t="shared" ca="1" si="198"/>
        <v>0</v>
      </c>
      <c r="HT28" s="241">
        <f t="shared" ca="1" si="163"/>
        <v>1</v>
      </c>
      <c r="HU28" s="220">
        <f t="shared" ca="1" si="199"/>
        <v>0</v>
      </c>
      <c r="HV28" s="220">
        <f t="shared" ca="1" si="200"/>
        <v>0</v>
      </c>
      <c r="HW28" s="235">
        <f t="shared" ca="1" si="201"/>
        <v>0</v>
      </c>
      <c r="HX28" s="235">
        <f t="shared" ca="1" si="202"/>
        <v>0</v>
      </c>
      <c r="HY28" s="242">
        <f t="shared" ca="1" si="203"/>
        <v>0</v>
      </c>
      <c r="HZ28" s="241">
        <f t="shared" ca="1" si="163"/>
        <v>1</v>
      </c>
      <c r="IA28" s="220">
        <f t="shared" ca="1" si="204"/>
        <v>0</v>
      </c>
      <c r="IB28" s="220">
        <f t="shared" ca="1" si="205"/>
        <v>0</v>
      </c>
      <c r="IC28" s="235">
        <f t="shared" ca="1" si="206"/>
        <v>0</v>
      </c>
      <c r="ID28" s="235">
        <f t="shared" ca="1" si="207"/>
        <v>0</v>
      </c>
      <c r="IE28" s="242">
        <f t="shared" ca="1" si="208"/>
        <v>0</v>
      </c>
      <c r="IF28" s="241">
        <f t="shared" ca="1" si="163"/>
        <v>1</v>
      </c>
      <c r="IG28" s="220">
        <f t="shared" ca="1" si="209"/>
        <v>0</v>
      </c>
      <c r="IH28" s="220">
        <f t="shared" ca="1" si="210"/>
        <v>0</v>
      </c>
      <c r="II28" s="235">
        <f t="shared" ca="1" si="211"/>
        <v>0</v>
      </c>
      <c r="IJ28" s="235">
        <f t="shared" ca="1" si="212"/>
        <v>0</v>
      </c>
      <c r="IK28" s="242">
        <f t="shared" ca="1" si="213"/>
        <v>0</v>
      </c>
      <c r="IL28" s="241">
        <f t="shared" ca="1" si="163"/>
        <v>1</v>
      </c>
      <c r="IM28" s="220">
        <f t="shared" ca="1" si="214"/>
        <v>0</v>
      </c>
      <c r="IN28" s="220">
        <f t="shared" ca="1" si="215"/>
        <v>0</v>
      </c>
      <c r="IO28" s="235">
        <f t="shared" ca="1" si="216"/>
        <v>0</v>
      </c>
      <c r="IP28" s="235">
        <f t="shared" ca="1" si="217"/>
        <v>0</v>
      </c>
      <c r="IQ28" s="242">
        <f t="shared" ca="1" si="218"/>
        <v>0</v>
      </c>
      <c r="IR28" s="241">
        <f t="shared" ca="1" si="219"/>
        <v>1</v>
      </c>
      <c r="IS28" s="220">
        <f t="shared" ca="1" si="220"/>
        <v>0</v>
      </c>
      <c r="IT28" s="220">
        <f t="shared" ca="1" si="221"/>
        <v>0</v>
      </c>
      <c r="IU28" s="235">
        <f t="shared" ca="1" si="222"/>
        <v>0</v>
      </c>
      <c r="IV28" s="235">
        <f t="shared" ca="1" si="223"/>
        <v>0</v>
      </c>
      <c r="IW28" s="242">
        <f t="shared" ca="1" si="224"/>
        <v>0</v>
      </c>
      <c r="IX28" s="241">
        <f t="shared" ca="1" si="219"/>
        <v>1</v>
      </c>
      <c r="IY28" s="220">
        <f t="shared" ca="1" si="225"/>
        <v>0</v>
      </c>
      <c r="IZ28" s="220">
        <f t="shared" ca="1" si="226"/>
        <v>0</v>
      </c>
      <c r="JA28" s="235">
        <f t="shared" ca="1" si="227"/>
        <v>0</v>
      </c>
      <c r="JB28" s="235">
        <f t="shared" ca="1" si="228"/>
        <v>0</v>
      </c>
      <c r="JC28" s="242">
        <f t="shared" ca="1" si="229"/>
        <v>0</v>
      </c>
      <c r="JD28" s="241">
        <f t="shared" ca="1" si="219"/>
        <v>1</v>
      </c>
      <c r="JE28" s="220">
        <f t="shared" ca="1" si="230"/>
        <v>0</v>
      </c>
      <c r="JF28" s="220">
        <f t="shared" ca="1" si="231"/>
        <v>0</v>
      </c>
      <c r="JG28" s="235">
        <f t="shared" ca="1" si="232"/>
        <v>0</v>
      </c>
      <c r="JH28" s="235">
        <f t="shared" ca="1" si="233"/>
        <v>0</v>
      </c>
      <c r="JI28" s="242">
        <f t="shared" ca="1" si="234"/>
        <v>0</v>
      </c>
      <c r="JJ28" s="241">
        <f t="shared" ca="1" si="219"/>
        <v>1</v>
      </c>
      <c r="JK28" s="220">
        <f t="shared" ca="1" si="235"/>
        <v>0</v>
      </c>
      <c r="JL28" s="220">
        <f t="shared" ca="1" si="236"/>
        <v>0</v>
      </c>
      <c r="JM28" s="235">
        <f t="shared" ca="1" si="237"/>
        <v>0</v>
      </c>
      <c r="JN28" s="235">
        <f t="shared" ca="1" si="238"/>
        <v>0</v>
      </c>
      <c r="JO28" s="242">
        <f t="shared" ca="1" si="239"/>
        <v>0</v>
      </c>
      <c r="JP28" s="241">
        <f t="shared" ca="1" si="219"/>
        <v>1</v>
      </c>
      <c r="JQ28" s="220">
        <f t="shared" ca="1" si="240"/>
        <v>0</v>
      </c>
      <c r="JR28" s="220">
        <f t="shared" ca="1" si="241"/>
        <v>0</v>
      </c>
      <c r="JS28" s="235">
        <f t="shared" ca="1" si="242"/>
        <v>0</v>
      </c>
      <c r="JT28" s="235">
        <f t="shared" ca="1" si="243"/>
        <v>0</v>
      </c>
      <c r="JU28" s="242">
        <f t="shared" ca="1" si="244"/>
        <v>0</v>
      </c>
      <c r="JV28" s="241">
        <f t="shared" ca="1" si="219"/>
        <v>1</v>
      </c>
      <c r="JW28" s="220">
        <f t="shared" ca="1" si="245"/>
        <v>0</v>
      </c>
      <c r="JX28" s="220">
        <f t="shared" ca="1" si="246"/>
        <v>0</v>
      </c>
      <c r="JY28" s="235">
        <f t="shared" ca="1" si="247"/>
        <v>0</v>
      </c>
      <c r="JZ28" s="235">
        <f t="shared" ca="1" si="248"/>
        <v>0</v>
      </c>
      <c r="KA28" s="242">
        <f t="shared" ca="1" si="249"/>
        <v>0</v>
      </c>
      <c r="KB28" s="241">
        <f t="shared" ca="1" si="219"/>
        <v>1</v>
      </c>
      <c r="KC28" s="220">
        <f t="shared" ca="1" si="250"/>
        <v>0</v>
      </c>
      <c r="KD28" s="220">
        <f t="shared" ca="1" si="251"/>
        <v>0</v>
      </c>
      <c r="KE28" s="235">
        <f t="shared" ca="1" si="252"/>
        <v>0</v>
      </c>
      <c r="KF28" s="235">
        <f t="shared" ca="1" si="253"/>
        <v>0</v>
      </c>
      <c r="KG28" s="242">
        <f t="shared" ca="1" si="254"/>
        <v>0</v>
      </c>
      <c r="KH28" s="241">
        <f t="shared" ca="1" si="219"/>
        <v>1</v>
      </c>
      <c r="KI28" s="220">
        <f t="shared" ca="1" si="255"/>
        <v>0</v>
      </c>
      <c r="KJ28" s="220">
        <f t="shared" ca="1" si="256"/>
        <v>0</v>
      </c>
      <c r="KK28" s="235">
        <f t="shared" ca="1" si="257"/>
        <v>0</v>
      </c>
      <c r="KL28" s="235">
        <f t="shared" ca="1" si="258"/>
        <v>0</v>
      </c>
      <c r="KM28" s="242">
        <f t="shared" ca="1" si="259"/>
        <v>0</v>
      </c>
      <c r="KN28" s="241">
        <f t="shared" ca="1" si="219"/>
        <v>1</v>
      </c>
      <c r="KO28" s="220">
        <f t="shared" ca="1" si="260"/>
        <v>0</v>
      </c>
      <c r="KP28" s="220">
        <f t="shared" ca="1" si="261"/>
        <v>0</v>
      </c>
      <c r="KQ28" s="235">
        <f t="shared" ca="1" si="262"/>
        <v>0</v>
      </c>
      <c r="KR28" s="235">
        <f t="shared" ca="1" si="263"/>
        <v>0</v>
      </c>
      <c r="KS28" s="242">
        <f t="shared" ca="1" si="264"/>
        <v>0</v>
      </c>
      <c r="KT28" s="241">
        <f t="shared" ca="1" si="219"/>
        <v>1</v>
      </c>
      <c r="KU28" s="220">
        <f t="shared" ca="1" si="265"/>
        <v>0</v>
      </c>
      <c r="KV28" s="220">
        <f t="shared" ca="1" si="266"/>
        <v>0</v>
      </c>
      <c r="KW28" s="235">
        <f t="shared" ca="1" si="267"/>
        <v>0</v>
      </c>
      <c r="KX28" s="235">
        <f t="shared" ca="1" si="268"/>
        <v>0</v>
      </c>
      <c r="KY28" s="242">
        <f t="shared" ca="1" si="269"/>
        <v>0</v>
      </c>
      <c r="KZ28" s="241">
        <f t="shared" ca="1" si="219"/>
        <v>1</v>
      </c>
      <c r="LA28" s="220">
        <f t="shared" ca="1" si="270"/>
        <v>0</v>
      </c>
      <c r="LB28" s="220">
        <f t="shared" ca="1" si="271"/>
        <v>0</v>
      </c>
      <c r="LC28" s="235">
        <f t="shared" ca="1" si="272"/>
        <v>0</v>
      </c>
      <c r="LD28" s="235">
        <f t="shared" ca="1" si="273"/>
        <v>0</v>
      </c>
      <c r="LE28" s="242">
        <f t="shared" ca="1" si="274"/>
        <v>0</v>
      </c>
      <c r="LF28" s="241">
        <f t="shared" ca="1" si="275"/>
        <v>1</v>
      </c>
      <c r="LG28" s="220">
        <f t="shared" ca="1" si="276"/>
        <v>0</v>
      </c>
      <c r="LH28" s="220">
        <f t="shared" ca="1" si="277"/>
        <v>0</v>
      </c>
      <c r="LI28" s="235">
        <f t="shared" ca="1" si="278"/>
        <v>0</v>
      </c>
      <c r="LJ28" s="235">
        <f t="shared" ca="1" si="279"/>
        <v>0</v>
      </c>
      <c r="LK28" s="242">
        <f t="shared" ca="1" si="280"/>
        <v>0</v>
      </c>
      <c r="LL28" s="241">
        <f t="shared" ca="1" si="275"/>
        <v>1</v>
      </c>
      <c r="LM28" s="220">
        <f t="shared" ca="1" si="281"/>
        <v>0</v>
      </c>
      <c r="LN28" s="220">
        <f t="shared" ca="1" si="282"/>
        <v>0</v>
      </c>
      <c r="LO28" s="235">
        <f t="shared" ca="1" si="283"/>
        <v>0</v>
      </c>
      <c r="LP28" s="235">
        <f t="shared" ca="1" si="284"/>
        <v>0</v>
      </c>
      <c r="LQ28" s="242">
        <f t="shared" ca="1" si="285"/>
        <v>0</v>
      </c>
      <c r="LR28" s="241">
        <f t="shared" ca="1" si="275"/>
        <v>1</v>
      </c>
      <c r="LS28" s="220">
        <f t="shared" ca="1" si="286"/>
        <v>0</v>
      </c>
      <c r="LT28" s="220">
        <f t="shared" ca="1" si="287"/>
        <v>0</v>
      </c>
      <c r="LU28" s="235">
        <f t="shared" ca="1" si="288"/>
        <v>0</v>
      </c>
      <c r="LV28" s="235">
        <f t="shared" ca="1" si="289"/>
        <v>0</v>
      </c>
      <c r="LW28" s="242">
        <f t="shared" ca="1" si="290"/>
        <v>0</v>
      </c>
      <c r="LX28" s="241">
        <f t="shared" ca="1" si="275"/>
        <v>1</v>
      </c>
      <c r="LY28" s="220">
        <f t="shared" ca="1" si="291"/>
        <v>0</v>
      </c>
      <c r="LZ28" s="220">
        <f t="shared" ca="1" si="292"/>
        <v>0</v>
      </c>
      <c r="MA28" s="235">
        <f t="shared" ca="1" si="293"/>
        <v>0</v>
      </c>
      <c r="MB28" s="235">
        <f t="shared" ca="1" si="294"/>
        <v>0</v>
      </c>
      <c r="MC28" s="242">
        <f t="shared" ca="1" si="295"/>
        <v>0</v>
      </c>
      <c r="MD28" s="241">
        <f t="shared" ca="1" si="275"/>
        <v>1</v>
      </c>
      <c r="ME28" s="220">
        <f t="shared" ca="1" si="296"/>
        <v>0</v>
      </c>
      <c r="MF28" s="220">
        <f t="shared" ca="1" si="297"/>
        <v>0</v>
      </c>
      <c r="MG28" s="235">
        <f t="shared" ca="1" si="298"/>
        <v>0</v>
      </c>
      <c r="MH28" s="235">
        <f t="shared" ca="1" si="299"/>
        <v>0</v>
      </c>
      <c r="MI28" s="242">
        <f t="shared" ca="1" si="300"/>
        <v>0</v>
      </c>
      <c r="MJ28" s="241">
        <f t="shared" ca="1" si="275"/>
        <v>1</v>
      </c>
      <c r="MK28" s="220">
        <f t="shared" ca="1" si="301"/>
        <v>0</v>
      </c>
      <c r="ML28" s="220">
        <f t="shared" ca="1" si="302"/>
        <v>0</v>
      </c>
      <c r="MM28" s="235">
        <f t="shared" ca="1" si="303"/>
        <v>0</v>
      </c>
      <c r="MN28" s="235">
        <f t="shared" ca="1" si="304"/>
        <v>0</v>
      </c>
      <c r="MO28" s="242">
        <f t="shared" ca="1" si="305"/>
        <v>0</v>
      </c>
      <c r="MP28" s="241">
        <f t="shared" ca="1" si="275"/>
        <v>1</v>
      </c>
      <c r="MQ28" s="220">
        <f t="shared" ca="1" si="306"/>
        <v>0</v>
      </c>
      <c r="MR28" s="220">
        <f t="shared" ca="1" si="307"/>
        <v>0</v>
      </c>
      <c r="MS28" s="235">
        <f t="shared" ca="1" si="308"/>
        <v>0</v>
      </c>
      <c r="MT28" s="235">
        <f t="shared" ca="1" si="309"/>
        <v>0</v>
      </c>
      <c r="MU28" s="242">
        <f t="shared" ca="1" si="310"/>
        <v>0</v>
      </c>
      <c r="MV28" s="241">
        <f t="shared" ca="1" si="275"/>
        <v>1</v>
      </c>
      <c r="MW28" s="220">
        <f t="shared" ca="1" si="311"/>
        <v>0</v>
      </c>
      <c r="MX28" s="220">
        <f t="shared" ca="1" si="312"/>
        <v>0</v>
      </c>
      <c r="MY28" s="235">
        <f t="shared" ca="1" si="313"/>
        <v>0</v>
      </c>
      <c r="MZ28" s="235">
        <f t="shared" ca="1" si="314"/>
        <v>0</v>
      </c>
      <c r="NA28" s="242">
        <f t="shared" ca="1" si="315"/>
        <v>0</v>
      </c>
      <c r="NB28" s="241">
        <f t="shared" ca="1" si="275"/>
        <v>1</v>
      </c>
      <c r="NC28" s="220">
        <f t="shared" ca="1" si="316"/>
        <v>0</v>
      </c>
      <c r="ND28" s="220">
        <f t="shared" ca="1" si="317"/>
        <v>0</v>
      </c>
      <c r="NE28" s="235">
        <f t="shared" ca="1" si="318"/>
        <v>0</v>
      </c>
      <c r="NF28" s="235">
        <f t="shared" ca="1" si="319"/>
        <v>0</v>
      </c>
      <c r="NG28" s="242">
        <f t="shared" ca="1" si="320"/>
        <v>0</v>
      </c>
      <c r="NH28" s="241">
        <f t="shared" ca="1" si="275"/>
        <v>1</v>
      </c>
      <c r="NI28" s="220">
        <f t="shared" ca="1" si="321"/>
        <v>0</v>
      </c>
      <c r="NJ28" s="220">
        <f t="shared" ca="1" si="322"/>
        <v>0</v>
      </c>
      <c r="NK28" s="235">
        <f t="shared" ca="1" si="323"/>
        <v>0</v>
      </c>
      <c r="NL28" s="235">
        <f t="shared" ca="1" si="324"/>
        <v>0</v>
      </c>
      <c r="NM28" s="242">
        <f t="shared" ca="1" si="325"/>
        <v>0</v>
      </c>
      <c r="NN28" s="241">
        <f t="shared" ca="1" si="275"/>
        <v>1</v>
      </c>
      <c r="NO28" s="220">
        <f t="shared" ca="1" si="326"/>
        <v>0</v>
      </c>
      <c r="NP28" s="220">
        <f t="shared" ca="1" si="327"/>
        <v>0</v>
      </c>
      <c r="NQ28" s="235">
        <f t="shared" ca="1" si="328"/>
        <v>0</v>
      </c>
      <c r="NR28" s="235">
        <f t="shared" ca="1" si="329"/>
        <v>0</v>
      </c>
      <c r="NS28" s="242">
        <f t="shared" ca="1" si="330"/>
        <v>0</v>
      </c>
      <c r="NT28" s="241">
        <f t="shared" ca="1" si="331"/>
        <v>1</v>
      </c>
      <c r="NU28" s="220">
        <f t="shared" ca="1" si="332"/>
        <v>0</v>
      </c>
      <c r="NV28" s="220">
        <f t="shared" ca="1" si="333"/>
        <v>0</v>
      </c>
      <c r="NW28" s="235">
        <f t="shared" ca="1" si="334"/>
        <v>0</v>
      </c>
      <c r="NX28" s="235">
        <f t="shared" ca="1" si="335"/>
        <v>0</v>
      </c>
      <c r="NY28" s="242">
        <f t="shared" ca="1" si="336"/>
        <v>0</v>
      </c>
      <c r="NZ28" s="241">
        <f t="shared" ca="1" si="331"/>
        <v>1</v>
      </c>
      <c r="OA28" s="220">
        <f t="shared" ca="1" si="337"/>
        <v>0</v>
      </c>
      <c r="OB28" s="220">
        <f t="shared" ca="1" si="338"/>
        <v>0</v>
      </c>
      <c r="OC28" s="235">
        <f t="shared" ca="1" si="339"/>
        <v>0</v>
      </c>
      <c r="OD28" s="235">
        <f t="shared" ca="1" si="340"/>
        <v>0</v>
      </c>
      <c r="OE28" s="242">
        <f t="shared" ca="1" si="341"/>
        <v>0</v>
      </c>
      <c r="OF28" s="241">
        <f t="shared" ca="1" si="331"/>
        <v>1</v>
      </c>
      <c r="OG28" s="220">
        <f t="shared" ca="1" si="342"/>
        <v>0</v>
      </c>
      <c r="OH28" s="220">
        <f t="shared" ca="1" si="343"/>
        <v>0</v>
      </c>
      <c r="OI28" s="235">
        <f t="shared" ca="1" si="344"/>
        <v>0</v>
      </c>
      <c r="OJ28" s="235">
        <f t="shared" ca="1" si="345"/>
        <v>0</v>
      </c>
      <c r="OK28" s="242">
        <f t="shared" ca="1" si="346"/>
        <v>0</v>
      </c>
      <c r="OL28" s="241">
        <f t="shared" ca="1" si="331"/>
        <v>1</v>
      </c>
      <c r="OM28" s="220">
        <f t="shared" ca="1" si="347"/>
        <v>0</v>
      </c>
      <c r="ON28" s="220">
        <f t="shared" ca="1" si="348"/>
        <v>0</v>
      </c>
      <c r="OO28" s="235">
        <f t="shared" ca="1" si="349"/>
        <v>0</v>
      </c>
      <c r="OP28" s="235">
        <f t="shared" ca="1" si="350"/>
        <v>0</v>
      </c>
      <c r="OQ28" s="242">
        <f t="shared" ca="1" si="351"/>
        <v>0</v>
      </c>
      <c r="OR28" s="241">
        <f t="shared" ca="1" si="331"/>
        <v>1</v>
      </c>
      <c r="OS28" s="220">
        <f t="shared" ca="1" si="352"/>
        <v>0</v>
      </c>
      <c r="OT28" s="220">
        <f t="shared" ca="1" si="353"/>
        <v>0</v>
      </c>
      <c r="OU28" s="235">
        <f t="shared" ca="1" si="354"/>
        <v>0</v>
      </c>
      <c r="OV28" s="235">
        <f t="shared" ca="1" si="355"/>
        <v>0</v>
      </c>
      <c r="OW28" s="242">
        <f t="shared" ca="1" si="356"/>
        <v>0</v>
      </c>
      <c r="OX28" s="241">
        <f t="shared" ca="1" si="331"/>
        <v>1</v>
      </c>
      <c r="OY28" s="220">
        <f t="shared" ca="1" si="357"/>
        <v>0</v>
      </c>
      <c r="OZ28" s="220">
        <f t="shared" ca="1" si="358"/>
        <v>0</v>
      </c>
      <c r="PA28" s="235">
        <f t="shared" ca="1" si="359"/>
        <v>0</v>
      </c>
      <c r="PB28" s="235">
        <f t="shared" ca="1" si="360"/>
        <v>0</v>
      </c>
      <c r="PC28" s="242">
        <f t="shared" ca="1" si="361"/>
        <v>0</v>
      </c>
      <c r="PD28" s="241">
        <f t="shared" ca="1" si="331"/>
        <v>1</v>
      </c>
      <c r="PE28" s="220">
        <f t="shared" ca="1" si="362"/>
        <v>0</v>
      </c>
      <c r="PF28" s="220">
        <f t="shared" ca="1" si="363"/>
        <v>0</v>
      </c>
      <c r="PG28" s="235">
        <f t="shared" ca="1" si="364"/>
        <v>0</v>
      </c>
      <c r="PH28" s="235">
        <f t="shared" ca="1" si="365"/>
        <v>0</v>
      </c>
      <c r="PI28" s="242">
        <f t="shared" ca="1" si="366"/>
        <v>0</v>
      </c>
      <c r="PJ28" s="241">
        <f t="shared" ca="1" si="331"/>
        <v>1</v>
      </c>
      <c r="PK28" s="220">
        <f t="shared" ca="1" si="367"/>
        <v>0</v>
      </c>
      <c r="PL28" s="220">
        <f t="shared" ca="1" si="368"/>
        <v>0</v>
      </c>
      <c r="PM28" s="235">
        <f t="shared" ca="1" si="369"/>
        <v>0</v>
      </c>
      <c r="PN28" s="235">
        <f t="shared" ca="1" si="370"/>
        <v>0</v>
      </c>
      <c r="PO28" s="242">
        <f t="shared" ca="1" si="371"/>
        <v>0</v>
      </c>
      <c r="PP28" s="241">
        <f t="shared" ca="1" si="331"/>
        <v>1</v>
      </c>
      <c r="PQ28" s="220">
        <f t="shared" ca="1" si="372"/>
        <v>0</v>
      </c>
      <c r="PR28" s="220">
        <f t="shared" ca="1" si="373"/>
        <v>0</v>
      </c>
      <c r="PS28" s="235">
        <f t="shared" ca="1" si="374"/>
        <v>0</v>
      </c>
      <c r="PT28" s="235">
        <f t="shared" ca="1" si="375"/>
        <v>0</v>
      </c>
      <c r="PU28" s="242">
        <f t="shared" ca="1" si="376"/>
        <v>0</v>
      </c>
      <c r="PV28" s="241">
        <f t="shared" ca="1" si="331"/>
        <v>1</v>
      </c>
      <c r="PW28" s="220">
        <f t="shared" ca="1" si="377"/>
        <v>0</v>
      </c>
      <c r="PX28" s="220">
        <f t="shared" ca="1" si="378"/>
        <v>0</v>
      </c>
      <c r="PY28" s="235">
        <f t="shared" ca="1" si="379"/>
        <v>0</v>
      </c>
      <c r="PZ28" s="235">
        <f t="shared" ca="1" si="380"/>
        <v>0</v>
      </c>
      <c r="QA28" s="242">
        <f t="shared" ca="1" si="381"/>
        <v>0</v>
      </c>
      <c r="QB28" s="241">
        <f t="shared" ca="1" si="331"/>
        <v>1</v>
      </c>
      <c r="QC28" s="220">
        <f t="shared" ca="1" si="382"/>
        <v>0</v>
      </c>
      <c r="QD28" s="220">
        <f t="shared" ca="1" si="383"/>
        <v>0</v>
      </c>
      <c r="QE28" s="235">
        <f t="shared" ca="1" si="384"/>
        <v>0</v>
      </c>
      <c r="QF28" s="235">
        <f t="shared" ca="1" si="385"/>
        <v>0</v>
      </c>
      <c r="QG28" s="242">
        <f t="shared" ca="1" si="386"/>
        <v>0</v>
      </c>
      <c r="QH28" s="241">
        <f t="shared" ca="1" si="387"/>
        <v>1</v>
      </c>
      <c r="QI28" s="220">
        <f t="shared" ca="1" si="388"/>
        <v>0</v>
      </c>
      <c r="QJ28" s="220">
        <f t="shared" ca="1" si="389"/>
        <v>0</v>
      </c>
      <c r="QK28" s="235">
        <f t="shared" ca="1" si="390"/>
        <v>0</v>
      </c>
      <c r="QL28" s="235">
        <f t="shared" ca="1" si="391"/>
        <v>0</v>
      </c>
      <c r="QM28" s="242">
        <f t="shared" ca="1" si="392"/>
        <v>0</v>
      </c>
      <c r="QN28" s="241">
        <f t="shared" ca="1" si="387"/>
        <v>1</v>
      </c>
      <c r="QO28" s="220">
        <f t="shared" ca="1" si="393"/>
        <v>0</v>
      </c>
      <c r="QP28" s="220">
        <f t="shared" ca="1" si="394"/>
        <v>0</v>
      </c>
      <c r="QQ28" s="235">
        <f t="shared" ca="1" si="395"/>
        <v>0</v>
      </c>
      <c r="QR28" s="235">
        <f t="shared" ca="1" si="396"/>
        <v>0</v>
      </c>
      <c r="QS28" s="242">
        <f t="shared" ca="1" si="397"/>
        <v>0</v>
      </c>
      <c r="QT28" s="241">
        <f t="shared" ca="1" si="387"/>
        <v>1</v>
      </c>
      <c r="QU28" s="220">
        <f t="shared" ca="1" si="398"/>
        <v>0</v>
      </c>
      <c r="QV28" s="220">
        <f t="shared" ca="1" si="399"/>
        <v>0</v>
      </c>
      <c r="QW28" s="235">
        <f t="shared" ca="1" si="400"/>
        <v>0</v>
      </c>
      <c r="QX28" s="235">
        <f t="shared" ca="1" si="401"/>
        <v>0</v>
      </c>
      <c r="QY28" s="242">
        <f t="shared" ca="1" si="402"/>
        <v>0</v>
      </c>
      <c r="QZ28" s="241">
        <f t="shared" ca="1" si="387"/>
        <v>1</v>
      </c>
      <c r="RA28" s="220">
        <f t="shared" ca="1" si="403"/>
        <v>0</v>
      </c>
      <c r="RB28" s="220">
        <f t="shared" ca="1" si="404"/>
        <v>0</v>
      </c>
      <c r="RC28" s="235">
        <f t="shared" ca="1" si="405"/>
        <v>0</v>
      </c>
      <c r="RD28" s="235">
        <f t="shared" ca="1" si="406"/>
        <v>0</v>
      </c>
      <c r="RE28" s="242">
        <f t="shared" ca="1" si="407"/>
        <v>0</v>
      </c>
      <c r="RF28" s="241">
        <f t="shared" ca="1" si="387"/>
        <v>1</v>
      </c>
      <c r="RG28" s="220">
        <f t="shared" ca="1" si="408"/>
        <v>0</v>
      </c>
      <c r="RH28" s="220">
        <f t="shared" ca="1" si="409"/>
        <v>0</v>
      </c>
      <c r="RI28" s="235">
        <f t="shared" ca="1" si="410"/>
        <v>0</v>
      </c>
      <c r="RJ28" s="235">
        <f t="shared" ca="1" si="411"/>
        <v>0</v>
      </c>
      <c r="RK28" s="242">
        <f t="shared" ca="1" si="412"/>
        <v>0</v>
      </c>
      <c r="RL28" s="241">
        <f t="shared" ca="1" si="387"/>
        <v>1</v>
      </c>
      <c r="RM28" s="220">
        <f t="shared" ca="1" si="413"/>
        <v>0</v>
      </c>
      <c r="RN28" s="220">
        <f t="shared" ca="1" si="414"/>
        <v>0</v>
      </c>
      <c r="RO28" s="235">
        <f t="shared" ca="1" si="415"/>
        <v>0</v>
      </c>
      <c r="RP28" s="235">
        <f t="shared" ca="1" si="416"/>
        <v>0</v>
      </c>
      <c r="RQ28" s="242">
        <f t="shared" ca="1" si="417"/>
        <v>0</v>
      </c>
      <c r="RR28" s="241">
        <f t="shared" ca="1" si="387"/>
        <v>1</v>
      </c>
      <c r="RS28" s="220">
        <f t="shared" ca="1" si="418"/>
        <v>0</v>
      </c>
      <c r="RT28" s="220">
        <f t="shared" ca="1" si="419"/>
        <v>0</v>
      </c>
      <c r="RU28" s="235">
        <f t="shared" ca="1" si="420"/>
        <v>0</v>
      </c>
      <c r="RV28" s="235">
        <f t="shared" ca="1" si="421"/>
        <v>0</v>
      </c>
      <c r="RW28" s="242">
        <f t="shared" ca="1" si="422"/>
        <v>0</v>
      </c>
      <c r="RX28" s="241">
        <f t="shared" ca="1" si="387"/>
        <v>1</v>
      </c>
      <c r="RY28" s="220">
        <f t="shared" ca="1" si="423"/>
        <v>0</v>
      </c>
      <c r="RZ28" s="220">
        <f t="shared" ca="1" si="424"/>
        <v>0</v>
      </c>
      <c r="SA28" s="235">
        <f t="shared" ca="1" si="425"/>
        <v>0</v>
      </c>
      <c r="SB28" s="235">
        <f t="shared" ca="1" si="426"/>
        <v>0</v>
      </c>
      <c r="SC28" s="242">
        <f t="shared" ca="1" si="427"/>
        <v>0</v>
      </c>
      <c r="SD28" s="241">
        <f t="shared" ca="1" si="387"/>
        <v>1</v>
      </c>
      <c r="SE28" s="220">
        <f t="shared" ca="1" si="428"/>
        <v>0</v>
      </c>
      <c r="SF28" s="220">
        <f t="shared" ca="1" si="429"/>
        <v>0</v>
      </c>
      <c r="SG28" s="235">
        <f t="shared" ca="1" si="430"/>
        <v>0</v>
      </c>
      <c r="SH28" s="235">
        <f t="shared" ca="1" si="431"/>
        <v>0</v>
      </c>
      <c r="SI28" s="242">
        <f t="shared" ca="1" si="432"/>
        <v>0</v>
      </c>
      <c r="SJ28" s="241">
        <f t="shared" ca="1" si="387"/>
        <v>1</v>
      </c>
      <c r="SK28" s="220">
        <f t="shared" ca="1" si="433"/>
        <v>0</v>
      </c>
      <c r="SL28" s="220">
        <f t="shared" ca="1" si="434"/>
        <v>0</v>
      </c>
      <c r="SM28" s="235">
        <f t="shared" ca="1" si="435"/>
        <v>0</v>
      </c>
      <c r="SN28" s="235">
        <f t="shared" ca="1" si="436"/>
        <v>0</v>
      </c>
      <c r="SO28" s="242">
        <f t="shared" ca="1" si="437"/>
        <v>0</v>
      </c>
      <c r="SP28" s="241">
        <f t="shared" ca="1" si="387"/>
        <v>1</v>
      </c>
      <c r="SQ28" s="220">
        <f t="shared" ca="1" si="438"/>
        <v>0</v>
      </c>
      <c r="SR28" s="220">
        <f t="shared" ca="1" si="439"/>
        <v>0</v>
      </c>
      <c r="SS28" s="235">
        <f t="shared" ca="1" si="440"/>
        <v>0</v>
      </c>
      <c r="ST28" s="235">
        <f t="shared" ca="1" si="441"/>
        <v>0</v>
      </c>
      <c r="SU28" s="242">
        <f t="shared" ca="1" si="442"/>
        <v>0</v>
      </c>
      <c r="SV28" s="241">
        <f t="shared" ca="1" si="443"/>
        <v>1</v>
      </c>
      <c r="SW28" s="220">
        <f t="shared" ca="1" si="444"/>
        <v>0</v>
      </c>
      <c r="SX28" s="220">
        <f t="shared" ca="1" si="445"/>
        <v>0</v>
      </c>
      <c r="SY28" s="235">
        <f t="shared" ca="1" si="446"/>
        <v>0</v>
      </c>
      <c r="SZ28" s="235">
        <f t="shared" ca="1" si="447"/>
        <v>0</v>
      </c>
      <c r="TA28" s="242">
        <f t="shared" ca="1" si="448"/>
        <v>0</v>
      </c>
      <c r="TB28" s="241">
        <f t="shared" ca="1" si="443"/>
        <v>1</v>
      </c>
      <c r="TC28" s="220">
        <f t="shared" ca="1" si="449"/>
        <v>0</v>
      </c>
      <c r="TD28" s="220">
        <f t="shared" ca="1" si="450"/>
        <v>0</v>
      </c>
      <c r="TE28" s="235">
        <f t="shared" ca="1" si="451"/>
        <v>0</v>
      </c>
      <c r="TF28" s="235">
        <f t="shared" ca="1" si="452"/>
        <v>0</v>
      </c>
      <c r="TG28" s="242">
        <f t="shared" ca="1" si="453"/>
        <v>0</v>
      </c>
      <c r="TH28" s="241">
        <f t="shared" ca="1" si="443"/>
        <v>1</v>
      </c>
      <c r="TI28" s="220">
        <f t="shared" ca="1" si="454"/>
        <v>0</v>
      </c>
      <c r="TJ28" s="220">
        <f t="shared" ca="1" si="455"/>
        <v>0</v>
      </c>
      <c r="TK28" s="235">
        <f t="shared" ca="1" si="456"/>
        <v>0</v>
      </c>
      <c r="TL28" s="235">
        <f t="shared" ca="1" si="457"/>
        <v>0</v>
      </c>
      <c r="TM28" s="242">
        <f t="shared" ca="1" si="458"/>
        <v>0</v>
      </c>
      <c r="TN28" s="241">
        <f t="shared" ca="1" si="443"/>
        <v>1</v>
      </c>
      <c r="TO28" s="220">
        <f t="shared" ca="1" si="459"/>
        <v>0</v>
      </c>
      <c r="TP28" s="220">
        <f t="shared" ca="1" si="460"/>
        <v>0</v>
      </c>
      <c r="TQ28" s="235">
        <f t="shared" ca="1" si="461"/>
        <v>0</v>
      </c>
      <c r="TR28" s="235">
        <f t="shared" ca="1" si="462"/>
        <v>0</v>
      </c>
      <c r="TS28" s="242">
        <f t="shared" ca="1" si="463"/>
        <v>0</v>
      </c>
      <c r="TT28" s="241">
        <f t="shared" ca="1" si="443"/>
        <v>1</v>
      </c>
      <c r="TU28" s="220">
        <f t="shared" ca="1" si="464"/>
        <v>0</v>
      </c>
      <c r="TV28" s="220">
        <f t="shared" ca="1" si="465"/>
        <v>0</v>
      </c>
      <c r="TW28" s="235">
        <f t="shared" ca="1" si="466"/>
        <v>0</v>
      </c>
      <c r="TX28" s="235">
        <f t="shared" ca="1" si="467"/>
        <v>0</v>
      </c>
      <c r="TY28" s="242">
        <f t="shared" ca="1" si="468"/>
        <v>0</v>
      </c>
      <c r="TZ28" s="241">
        <f t="shared" ca="1" si="443"/>
        <v>1</v>
      </c>
      <c r="UA28" s="220">
        <f t="shared" ca="1" si="469"/>
        <v>0</v>
      </c>
      <c r="UB28" s="220">
        <f t="shared" ca="1" si="470"/>
        <v>0</v>
      </c>
      <c r="UC28" s="235">
        <f t="shared" ca="1" si="471"/>
        <v>0</v>
      </c>
      <c r="UD28" s="235">
        <f t="shared" ca="1" si="472"/>
        <v>0</v>
      </c>
      <c r="UE28" s="242">
        <f t="shared" ca="1" si="473"/>
        <v>0</v>
      </c>
      <c r="UF28" s="241">
        <f t="shared" ca="1" si="443"/>
        <v>1</v>
      </c>
      <c r="UG28" s="220">
        <f t="shared" ca="1" si="474"/>
        <v>0</v>
      </c>
      <c r="UH28" s="220">
        <f t="shared" ca="1" si="475"/>
        <v>0</v>
      </c>
      <c r="UI28" s="235">
        <f t="shared" ca="1" si="476"/>
        <v>0</v>
      </c>
      <c r="UJ28" s="235">
        <f t="shared" ca="1" si="477"/>
        <v>0</v>
      </c>
      <c r="UK28" s="242">
        <f t="shared" ca="1" si="478"/>
        <v>0</v>
      </c>
      <c r="UL28" s="241">
        <f t="shared" ca="1" si="443"/>
        <v>1</v>
      </c>
      <c r="UM28" s="220">
        <f t="shared" ca="1" si="479"/>
        <v>0</v>
      </c>
      <c r="UN28" s="220">
        <f t="shared" ca="1" si="480"/>
        <v>0</v>
      </c>
      <c r="UO28" s="235">
        <f t="shared" ca="1" si="481"/>
        <v>0</v>
      </c>
      <c r="UP28" s="235">
        <f t="shared" ca="1" si="482"/>
        <v>0</v>
      </c>
      <c r="UQ28" s="242">
        <f t="shared" ca="1" si="483"/>
        <v>0</v>
      </c>
      <c r="UR28" s="241">
        <f t="shared" ca="1" si="443"/>
        <v>1</v>
      </c>
      <c r="US28" s="220">
        <f t="shared" ca="1" si="484"/>
        <v>0</v>
      </c>
      <c r="UT28" s="220">
        <f t="shared" ca="1" si="485"/>
        <v>0</v>
      </c>
      <c r="UU28" s="235">
        <f t="shared" ca="1" si="486"/>
        <v>0</v>
      </c>
      <c r="UV28" s="235">
        <f t="shared" ca="1" si="487"/>
        <v>0</v>
      </c>
      <c r="UW28" s="242">
        <f t="shared" ca="1" si="488"/>
        <v>0</v>
      </c>
      <c r="UX28" s="241">
        <f t="shared" ca="1" si="443"/>
        <v>1</v>
      </c>
      <c r="UY28" s="220">
        <f t="shared" ca="1" si="489"/>
        <v>0</v>
      </c>
      <c r="UZ28" s="220">
        <f t="shared" ca="1" si="490"/>
        <v>0</v>
      </c>
      <c r="VA28" s="235">
        <f t="shared" ca="1" si="491"/>
        <v>0</v>
      </c>
      <c r="VB28" s="235">
        <f t="shared" ca="1" si="492"/>
        <v>0</v>
      </c>
      <c r="VC28" s="242">
        <f t="shared" ca="1" si="493"/>
        <v>0</v>
      </c>
      <c r="VD28" s="241">
        <f t="shared" ca="1" si="443"/>
        <v>1</v>
      </c>
      <c r="VE28" s="220">
        <f t="shared" ca="1" si="494"/>
        <v>0</v>
      </c>
      <c r="VF28" s="220">
        <f t="shared" ca="1" si="495"/>
        <v>0</v>
      </c>
      <c r="VG28" s="235">
        <f t="shared" ca="1" si="496"/>
        <v>0</v>
      </c>
      <c r="VH28" s="235">
        <f t="shared" ca="1" si="497"/>
        <v>0</v>
      </c>
      <c r="VI28" s="242">
        <f t="shared" ca="1" si="498"/>
        <v>0</v>
      </c>
      <c r="VJ28" s="241">
        <f t="shared" ca="1" si="499"/>
        <v>1</v>
      </c>
      <c r="VK28" s="220">
        <f t="shared" ca="1" si="500"/>
        <v>0</v>
      </c>
      <c r="VL28" s="220">
        <f t="shared" ca="1" si="501"/>
        <v>0</v>
      </c>
      <c r="VM28" s="235">
        <f t="shared" ca="1" si="502"/>
        <v>0</v>
      </c>
      <c r="VN28" s="235">
        <f t="shared" ca="1" si="503"/>
        <v>0</v>
      </c>
      <c r="VO28" s="242">
        <f t="shared" ca="1" si="504"/>
        <v>0</v>
      </c>
      <c r="VP28" s="241">
        <f t="shared" ca="1" si="499"/>
        <v>1</v>
      </c>
      <c r="VQ28" s="220">
        <f t="shared" ca="1" si="505"/>
        <v>0</v>
      </c>
      <c r="VR28" s="220">
        <f t="shared" ca="1" si="506"/>
        <v>0</v>
      </c>
      <c r="VS28" s="235">
        <f t="shared" ca="1" si="507"/>
        <v>0</v>
      </c>
      <c r="VT28" s="235">
        <f t="shared" ca="1" si="508"/>
        <v>0</v>
      </c>
      <c r="VU28" s="242">
        <f t="shared" ca="1" si="509"/>
        <v>0</v>
      </c>
      <c r="VV28" s="241">
        <f t="shared" ca="1" si="499"/>
        <v>1</v>
      </c>
      <c r="VW28" s="220">
        <f t="shared" ca="1" si="510"/>
        <v>0</v>
      </c>
      <c r="VX28" s="220">
        <f t="shared" ca="1" si="511"/>
        <v>0</v>
      </c>
      <c r="VY28" s="235">
        <f t="shared" ca="1" si="512"/>
        <v>0</v>
      </c>
      <c r="VZ28" s="235">
        <f t="shared" ca="1" si="513"/>
        <v>0</v>
      </c>
      <c r="WA28" s="242">
        <f t="shared" ca="1" si="514"/>
        <v>0</v>
      </c>
      <c r="WB28" s="241">
        <f t="shared" ca="1" si="499"/>
        <v>1</v>
      </c>
      <c r="WC28" s="220">
        <f t="shared" ca="1" si="515"/>
        <v>0</v>
      </c>
      <c r="WD28" s="220">
        <f t="shared" ca="1" si="516"/>
        <v>0</v>
      </c>
      <c r="WE28" s="235">
        <f t="shared" ca="1" si="517"/>
        <v>0</v>
      </c>
      <c r="WF28" s="235">
        <f t="shared" ca="1" si="518"/>
        <v>0</v>
      </c>
      <c r="WG28" s="242">
        <f t="shared" ca="1" si="519"/>
        <v>0</v>
      </c>
      <c r="WH28" s="241">
        <f t="shared" ca="1" si="499"/>
        <v>1</v>
      </c>
      <c r="WI28" s="220">
        <f t="shared" ca="1" si="520"/>
        <v>0</v>
      </c>
      <c r="WJ28" s="220">
        <f t="shared" ca="1" si="521"/>
        <v>0</v>
      </c>
      <c r="WK28" s="235">
        <f t="shared" ca="1" si="522"/>
        <v>0</v>
      </c>
      <c r="WL28" s="235">
        <f t="shared" ca="1" si="523"/>
        <v>0</v>
      </c>
      <c r="WM28" s="242">
        <f t="shared" ca="1" si="524"/>
        <v>0</v>
      </c>
      <c r="WN28" s="241">
        <f t="shared" ca="1" si="499"/>
        <v>1</v>
      </c>
      <c r="WO28" s="220">
        <f t="shared" ca="1" si="525"/>
        <v>0</v>
      </c>
      <c r="WP28" s="220">
        <f t="shared" ca="1" si="526"/>
        <v>0</v>
      </c>
      <c r="WQ28" s="235">
        <f t="shared" ca="1" si="527"/>
        <v>0</v>
      </c>
      <c r="WR28" s="235">
        <f t="shared" ca="1" si="528"/>
        <v>0</v>
      </c>
      <c r="WS28" s="242">
        <f t="shared" ca="1" si="529"/>
        <v>0</v>
      </c>
      <c r="WT28" s="241">
        <f t="shared" ca="1" si="499"/>
        <v>1</v>
      </c>
      <c r="WU28" s="220">
        <f t="shared" ca="1" si="530"/>
        <v>0</v>
      </c>
      <c r="WV28" s="220">
        <f t="shared" ca="1" si="531"/>
        <v>0</v>
      </c>
      <c r="WW28" s="235">
        <f t="shared" ca="1" si="532"/>
        <v>0</v>
      </c>
      <c r="WX28" s="235">
        <f t="shared" ca="1" si="533"/>
        <v>0</v>
      </c>
      <c r="WY28" s="242">
        <f t="shared" ca="1" si="534"/>
        <v>0</v>
      </c>
      <c r="WZ28" s="241">
        <f t="shared" ca="1" si="499"/>
        <v>1</v>
      </c>
      <c r="XA28" s="220">
        <f t="shared" ca="1" si="535"/>
        <v>0</v>
      </c>
      <c r="XB28" s="220">
        <f t="shared" ca="1" si="536"/>
        <v>0</v>
      </c>
      <c r="XC28" s="235">
        <f t="shared" ca="1" si="537"/>
        <v>0</v>
      </c>
      <c r="XD28" s="235">
        <f t="shared" ca="1" si="538"/>
        <v>0</v>
      </c>
      <c r="XE28" s="242">
        <f t="shared" ca="1" si="539"/>
        <v>0</v>
      </c>
      <c r="XF28" s="241">
        <f t="shared" ca="1" si="499"/>
        <v>1</v>
      </c>
      <c r="XG28" s="220">
        <f t="shared" ca="1" si="540"/>
        <v>0</v>
      </c>
      <c r="XH28" s="220">
        <f t="shared" ca="1" si="541"/>
        <v>0</v>
      </c>
      <c r="XI28" s="235">
        <f t="shared" ca="1" si="542"/>
        <v>0</v>
      </c>
      <c r="XJ28" s="235">
        <f t="shared" ca="1" si="543"/>
        <v>0</v>
      </c>
      <c r="XK28" s="242">
        <f t="shared" ca="1" si="544"/>
        <v>0</v>
      </c>
    </row>
    <row r="29" spans="2:635" x14ac:dyDescent="0.25">
      <c r="B29" s="65">
        <f t="shared" ca="1" si="14"/>
        <v>2044</v>
      </c>
      <c r="C29" s="65" t="s">
        <v>741</v>
      </c>
      <c r="D29" s="77">
        <f t="shared" si="15"/>
        <v>0</v>
      </c>
      <c r="E29" s="77">
        <f t="shared" si="16"/>
        <v>0</v>
      </c>
      <c r="F29" s="77">
        <f t="shared" si="17"/>
        <v>0</v>
      </c>
      <c r="G29" s="77">
        <f t="shared" si="18"/>
        <v>0</v>
      </c>
      <c r="H29" s="15" t="e">
        <f t="shared" ca="1" si="19"/>
        <v>#REF!</v>
      </c>
      <c r="L29" s="326">
        <f t="shared" ca="1" si="20"/>
        <v>3.5000000000000003E-2</v>
      </c>
      <c r="M29" s="327">
        <f t="shared" ca="1" si="21"/>
        <v>3.5000000000000003E-2</v>
      </c>
      <c r="N29" s="322">
        <f t="shared" ca="1" si="22"/>
        <v>-21</v>
      </c>
      <c r="O29" s="322">
        <f t="shared" ca="1" si="23"/>
        <v>0</v>
      </c>
      <c r="P29" s="328">
        <f t="shared" ca="1" si="545"/>
        <v>0</v>
      </c>
      <c r="Q29" s="328">
        <f t="shared" ca="1" si="546"/>
        <v>0</v>
      </c>
      <c r="R29" s="328">
        <f t="shared" ca="1" si="547"/>
        <v>0</v>
      </c>
      <c r="S29" s="329">
        <f t="shared" ca="1" si="24"/>
        <v>0</v>
      </c>
      <c r="T29" s="329">
        <f t="shared" ca="1" si="25"/>
        <v>0</v>
      </c>
      <c r="U29" s="329">
        <f t="shared" ca="1" si="26"/>
        <v>0</v>
      </c>
      <c r="V29" s="320" t="e">
        <f t="shared" ca="1" si="27"/>
        <v>#REF!</v>
      </c>
      <c r="W29" s="320" t="e">
        <f t="shared" ref="W29:W86" ca="1" si="560">MAX(W28+X28+Y28+IF((V28+X28+Y28+Z28)&gt;0,MAX(AA28*((W28+X28+Y28)/(V28+SUM(X28:Z28))),AA28),0),0)</f>
        <v>#REF!</v>
      </c>
      <c r="X29" s="320" t="e">
        <f t="shared" ca="1" si="29"/>
        <v>#REF!</v>
      </c>
      <c r="Y29" s="320" t="e">
        <f ca="1">INDEX(SC_ZA_HECMLumpSum,ZAIDX)</f>
        <v>#REF!</v>
      </c>
      <c r="Z29" s="320" t="e">
        <f t="shared" ca="1" si="30"/>
        <v>#REF!</v>
      </c>
      <c r="AA29" s="320">
        <f t="shared" ca="1" si="557"/>
        <v>0</v>
      </c>
      <c r="AB29" s="320" t="e">
        <f t="shared" ca="1" si="558"/>
        <v>#REF!</v>
      </c>
      <c r="AC29" s="330" t="e">
        <f t="shared" ca="1" si="559"/>
        <v>#REF!</v>
      </c>
      <c r="AD29" s="236" t="e">
        <f t="shared" ca="1" si="548"/>
        <v>#REF!</v>
      </c>
      <c r="AE29" s="320" t="e">
        <f t="shared" ref="AE29:AE86" ca="1" si="561">-(AA29-IF((V29+SUM(X29:Z29))&gt;0,MAX(AA29*((W29+X29+Y29)/(V29+SUM(X29:Z29))),AA29),0))</f>
        <v>#REF!</v>
      </c>
      <c r="AF29" s="320" t="e">
        <f t="shared" ca="1" si="35"/>
        <v>#REF!</v>
      </c>
      <c r="AG29" s="320" t="e">
        <f t="shared" ca="1" si="549"/>
        <v>#REF!</v>
      </c>
      <c r="AH29" s="284" t="e">
        <f t="shared" ca="1" si="550"/>
        <v>#REF!</v>
      </c>
      <c r="AI29" s="318" t="e">
        <f t="shared" ca="1" si="551"/>
        <v>#REF!</v>
      </c>
      <c r="AJ29" s="331">
        <f t="shared" ca="1" si="552"/>
        <v>1</v>
      </c>
      <c r="AK29" s="220">
        <f t="shared" ca="1" si="553"/>
        <v>0</v>
      </c>
      <c r="AL29" s="220">
        <f t="shared" ca="1" si="37"/>
        <v>0</v>
      </c>
      <c r="AM29" s="235">
        <f t="shared" ca="1" si="554"/>
        <v>0</v>
      </c>
      <c r="AN29" s="235">
        <f t="shared" ca="1" si="555"/>
        <v>0</v>
      </c>
      <c r="AO29" s="242">
        <f t="shared" ca="1" si="556"/>
        <v>0</v>
      </c>
      <c r="AP29" s="241">
        <f t="shared" ca="1" si="552"/>
        <v>1</v>
      </c>
      <c r="AQ29" s="220">
        <f t="shared" ca="1" si="41"/>
        <v>0</v>
      </c>
      <c r="AR29" s="220">
        <f t="shared" ca="1" si="42"/>
        <v>0</v>
      </c>
      <c r="AS29" s="235">
        <f t="shared" ca="1" si="43"/>
        <v>0</v>
      </c>
      <c r="AT29" s="235">
        <f t="shared" ca="1" si="44"/>
        <v>0</v>
      </c>
      <c r="AU29" s="242">
        <f t="shared" ca="1" si="45"/>
        <v>0</v>
      </c>
      <c r="AV29" s="241">
        <f t="shared" ca="1" si="552"/>
        <v>1</v>
      </c>
      <c r="AW29" s="220">
        <f t="shared" ca="1" si="46"/>
        <v>0</v>
      </c>
      <c r="AX29" s="220">
        <f t="shared" ca="1" si="47"/>
        <v>0</v>
      </c>
      <c r="AY29" s="235">
        <f t="shared" ca="1" si="48"/>
        <v>0</v>
      </c>
      <c r="AZ29" s="235">
        <f t="shared" ca="1" si="49"/>
        <v>0</v>
      </c>
      <c r="BA29" s="242">
        <f t="shared" ca="1" si="50"/>
        <v>0</v>
      </c>
      <c r="BB29" s="241">
        <f t="shared" ca="1" si="552"/>
        <v>1</v>
      </c>
      <c r="BC29" s="220">
        <f t="shared" ca="1" si="52"/>
        <v>0</v>
      </c>
      <c r="BD29" s="220">
        <f t="shared" ca="1" si="53"/>
        <v>0</v>
      </c>
      <c r="BE29" s="235">
        <f t="shared" ca="1" si="54"/>
        <v>0</v>
      </c>
      <c r="BF29" s="235">
        <f t="shared" ca="1" si="55"/>
        <v>0</v>
      </c>
      <c r="BG29" s="242">
        <f t="shared" ca="1" si="56"/>
        <v>0</v>
      </c>
      <c r="BH29" s="241">
        <f t="shared" ca="1" si="552"/>
        <v>1</v>
      </c>
      <c r="BI29" s="220">
        <f t="shared" ca="1" si="57"/>
        <v>0</v>
      </c>
      <c r="BJ29" s="220">
        <f t="shared" ca="1" si="58"/>
        <v>0</v>
      </c>
      <c r="BK29" s="235">
        <f t="shared" ca="1" si="59"/>
        <v>0</v>
      </c>
      <c r="BL29" s="235">
        <f t="shared" ca="1" si="60"/>
        <v>0</v>
      </c>
      <c r="BM29" s="242">
        <f t="shared" ca="1" si="61"/>
        <v>0</v>
      </c>
      <c r="BN29" s="241">
        <f t="shared" ca="1" si="552"/>
        <v>1</v>
      </c>
      <c r="BO29" s="220">
        <f t="shared" ca="1" si="62"/>
        <v>0</v>
      </c>
      <c r="BP29" s="220">
        <f t="shared" ca="1" si="63"/>
        <v>0</v>
      </c>
      <c r="BQ29" s="235">
        <f t="shared" ca="1" si="64"/>
        <v>0</v>
      </c>
      <c r="BR29" s="235">
        <f t="shared" ca="1" si="65"/>
        <v>0</v>
      </c>
      <c r="BS29" s="242">
        <f t="shared" ca="1" si="66"/>
        <v>0</v>
      </c>
      <c r="BT29" s="241">
        <f t="shared" ca="1" si="552"/>
        <v>1</v>
      </c>
      <c r="BU29" s="220">
        <f t="shared" ca="1" si="67"/>
        <v>0</v>
      </c>
      <c r="BV29" s="220">
        <f t="shared" ca="1" si="68"/>
        <v>0</v>
      </c>
      <c r="BW29" s="235">
        <f t="shared" ca="1" si="69"/>
        <v>0</v>
      </c>
      <c r="BX29" s="235">
        <f t="shared" ca="1" si="70"/>
        <v>0</v>
      </c>
      <c r="BY29" s="242">
        <f t="shared" ca="1" si="71"/>
        <v>0</v>
      </c>
      <c r="BZ29" s="241">
        <f t="shared" ca="1" si="552"/>
        <v>1</v>
      </c>
      <c r="CA29" s="220">
        <f t="shared" ca="1" si="72"/>
        <v>0</v>
      </c>
      <c r="CB29" s="220">
        <f t="shared" ca="1" si="73"/>
        <v>0</v>
      </c>
      <c r="CC29" s="235">
        <f t="shared" ca="1" si="74"/>
        <v>0</v>
      </c>
      <c r="CD29" s="235">
        <f t="shared" ca="1" si="75"/>
        <v>0</v>
      </c>
      <c r="CE29" s="242">
        <f t="shared" ca="1" si="76"/>
        <v>0</v>
      </c>
      <c r="CF29" s="241">
        <f t="shared" ca="1" si="552"/>
        <v>1</v>
      </c>
      <c r="CG29" s="220">
        <f t="shared" ca="1" si="77"/>
        <v>0</v>
      </c>
      <c r="CH29" s="220">
        <f t="shared" ca="1" si="78"/>
        <v>0</v>
      </c>
      <c r="CI29" s="235">
        <f t="shared" ca="1" si="79"/>
        <v>0</v>
      </c>
      <c r="CJ29" s="235">
        <f t="shared" ca="1" si="80"/>
        <v>0</v>
      </c>
      <c r="CK29" s="242">
        <f t="shared" ca="1" si="81"/>
        <v>0</v>
      </c>
      <c r="CL29" s="241">
        <f t="shared" ca="1" si="552"/>
        <v>1</v>
      </c>
      <c r="CM29" s="220">
        <f t="shared" ca="1" si="82"/>
        <v>0</v>
      </c>
      <c r="CN29" s="220">
        <f t="shared" ca="1" si="83"/>
        <v>0</v>
      </c>
      <c r="CO29" s="235">
        <f t="shared" ca="1" si="84"/>
        <v>0</v>
      </c>
      <c r="CP29" s="235">
        <f t="shared" ca="1" si="85"/>
        <v>0</v>
      </c>
      <c r="CQ29" s="242">
        <f t="shared" ca="1" si="86"/>
        <v>0</v>
      </c>
      <c r="CR29" s="241">
        <f t="shared" ca="1" si="552"/>
        <v>1</v>
      </c>
      <c r="CS29" s="220">
        <f t="shared" ca="1" si="87"/>
        <v>0</v>
      </c>
      <c r="CT29" s="220">
        <f t="shared" ca="1" si="88"/>
        <v>0</v>
      </c>
      <c r="CU29" s="235">
        <f t="shared" ca="1" si="89"/>
        <v>0</v>
      </c>
      <c r="CV29" s="235">
        <f t="shared" ca="1" si="90"/>
        <v>0</v>
      </c>
      <c r="CW29" s="242">
        <f t="shared" ca="1" si="91"/>
        <v>0</v>
      </c>
      <c r="CX29" s="241">
        <f t="shared" ca="1" si="51"/>
        <v>1</v>
      </c>
      <c r="CY29" s="220">
        <f t="shared" ca="1" si="92"/>
        <v>0</v>
      </c>
      <c r="CZ29" s="220">
        <f t="shared" ca="1" si="93"/>
        <v>0</v>
      </c>
      <c r="DA29" s="235">
        <f t="shared" ca="1" si="94"/>
        <v>0</v>
      </c>
      <c r="DB29" s="235">
        <f t="shared" ca="1" si="95"/>
        <v>0</v>
      </c>
      <c r="DC29" s="242">
        <f t="shared" ca="1" si="96"/>
        <v>0</v>
      </c>
      <c r="DD29" s="241">
        <f t="shared" ca="1" si="51"/>
        <v>1</v>
      </c>
      <c r="DE29" s="220">
        <f t="shared" ca="1" si="97"/>
        <v>0</v>
      </c>
      <c r="DF29" s="220">
        <f t="shared" ca="1" si="98"/>
        <v>0</v>
      </c>
      <c r="DG29" s="235">
        <f t="shared" ca="1" si="99"/>
        <v>0</v>
      </c>
      <c r="DH29" s="235">
        <f t="shared" ca="1" si="100"/>
        <v>0</v>
      </c>
      <c r="DI29" s="242">
        <f t="shared" ca="1" si="101"/>
        <v>0</v>
      </c>
      <c r="DJ29" s="241">
        <f t="shared" ca="1" si="51"/>
        <v>1</v>
      </c>
      <c r="DK29" s="220">
        <f t="shared" ca="1" si="102"/>
        <v>0</v>
      </c>
      <c r="DL29" s="220">
        <f t="shared" ca="1" si="103"/>
        <v>0</v>
      </c>
      <c r="DM29" s="235">
        <f t="shared" ca="1" si="104"/>
        <v>0</v>
      </c>
      <c r="DN29" s="235">
        <f t="shared" ca="1" si="105"/>
        <v>0</v>
      </c>
      <c r="DO29" s="242">
        <f t="shared" ca="1" si="106"/>
        <v>0</v>
      </c>
      <c r="DP29" s="241">
        <f t="shared" ca="1" si="107"/>
        <v>1</v>
      </c>
      <c r="DQ29" s="220">
        <f t="shared" ca="1" si="108"/>
        <v>0</v>
      </c>
      <c r="DR29" s="220">
        <f t="shared" ca="1" si="109"/>
        <v>0</v>
      </c>
      <c r="DS29" s="235">
        <f t="shared" ca="1" si="110"/>
        <v>0</v>
      </c>
      <c r="DT29" s="235">
        <f t="shared" ca="1" si="111"/>
        <v>0</v>
      </c>
      <c r="DU29" s="242">
        <f t="shared" ca="1" si="112"/>
        <v>0</v>
      </c>
      <c r="DV29" s="241">
        <f t="shared" ca="1" si="107"/>
        <v>1</v>
      </c>
      <c r="DW29" s="220">
        <f t="shared" ca="1" si="113"/>
        <v>0</v>
      </c>
      <c r="DX29" s="220">
        <f t="shared" ca="1" si="114"/>
        <v>0</v>
      </c>
      <c r="DY29" s="235">
        <f t="shared" ca="1" si="115"/>
        <v>0</v>
      </c>
      <c r="DZ29" s="235">
        <f t="shared" ca="1" si="116"/>
        <v>0</v>
      </c>
      <c r="EA29" s="242">
        <f t="shared" ca="1" si="117"/>
        <v>0</v>
      </c>
      <c r="EB29" s="241">
        <f t="shared" ca="1" si="107"/>
        <v>1</v>
      </c>
      <c r="EC29" s="220">
        <f t="shared" ca="1" si="118"/>
        <v>0</v>
      </c>
      <c r="ED29" s="220">
        <f t="shared" ca="1" si="119"/>
        <v>0</v>
      </c>
      <c r="EE29" s="235">
        <f t="shared" ca="1" si="120"/>
        <v>0</v>
      </c>
      <c r="EF29" s="235">
        <f t="shared" ca="1" si="121"/>
        <v>0</v>
      </c>
      <c r="EG29" s="242">
        <f t="shared" ca="1" si="122"/>
        <v>0</v>
      </c>
      <c r="EH29" s="241">
        <f t="shared" ca="1" si="107"/>
        <v>1</v>
      </c>
      <c r="EI29" s="220">
        <f t="shared" ca="1" si="123"/>
        <v>0</v>
      </c>
      <c r="EJ29" s="220">
        <f t="shared" ca="1" si="124"/>
        <v>0</v>
      </c>
      <c r="EK29" s="235">
        <f t="shared" ca="1" si="125"/>
        <v>0</v>
      </c>
      <c r="EL29" s="235">
        <f t="shared" ca="1" si="126"/>
        <v>0</v>
      </c>
      <c r="EM29" s="242">
        <f t="shared" ca="1" si="127"/>
        <v>0</v>
      </c>
      <c r="EN29" s="241">
        <f t="shared" ca="1" si="107"/>
        <v>1</v>
      </c>
      <c r="EO29" s="220">
        <f t="shared" ca="1" si="128"/>
        <v>0</v>
      </c>
      <c r="EP29" s="220">
        <f t="shared" ca="1" si="129"/>
        <v>0</v>
      </c>
      <c r="EQ29" s="235">
        <f t="shared" ca="1" si="130"/>
        <v>0</v>
      </c>
      <c r="ER29" s="235">
        <f t="shared" ca="1" si="131"/>
        <v>0</v>
      </c>
      <c r="ES29" s="242">
        <f t="shared" ca="1" si="132"/>
        <v>0</v>
      </c>
      <c r="ET29" s="241">
        <f t="shared" ca="1" si="107"/>
        <v>1</v>
      </c>
      <c r="EU29" s="220">
        <f t="shared" ca="1" si="133"/>
        <v>0</v>
      </c>
      <c r="EV29" s="220">
        <f t="shared" ca="1" si="134"/>
        <v>0</v>
      </c>
      <c r="EW29" s="235">
        <f t="shared" ca="1" si="135"/>
        <v>0</v>
      </c>
      <c r="EX29" s="235">
        <f t="shared" ca="1" si="136"/>
        <v>0</v>
      </c>
      <c r="EY29" s="242">
        <f t="shared" ca="1" si="137"/>
        <v>0</v>
      </c>
      <c r="EZ29" s="241">
        <f t="shared" ca="1" si="107"/>
        <v>1</v>
      </c>
      <c r="FA29" s="220">
        <f t="shared" ca="1" si="138"/>
        <v>0</v>
      </c>
      <c r="FB29" s="220">
        <f t="shared" ca="1" si="139"/>
        <v>0</v>
      </c>
      <c r="FC29" s="235">
        <f t="shared" ca="1" si="140"/>
        <v>0</v>
      </c>
      <c r="FD29" s="235">
        <f t="shared" ca="1" si="141"/>
        <v>0</v>
      </c>
      <c r="FE29" s="242">
        <f t="shared" ca="1" si="142"/>
        <v>0</v>
      </c>
      <c r="FF29" s="241">
        <f t="shared" ca="1" si="107"/>
        <v>1</v>
      </c>
      <c r="FG29" s="220">
        <f t="shared" ca="1" si="143"/>
        <v>0</v>
      </c>
      <c r="FH29" s="220">
        <f t="shared" ca="1" si="144"/>
        <v>0</v>
      </c>
      <c r="FI29" s="235">
        <f t="shared" ca="1" si="145"/>
        <v>0</v>
      </c>
      <c r="FJ29" s="235">
        <f t="shared" ca="1" si="146"/>
        <v>0</v>
      </c>
      <c r="FK29" s="242">
        <f t="shared" ca="1" si="147"/>
        <v>0</v>
      </c>
      <c r="FL29" s="241">
        <f t="shared" ca="1" si="107"/>
        <v>1</v>
      </c>
      <c r="FM29" s="220">
        <f t="shared" ca="1" si="148"/>
        <v>0</v>
      </c>
      <c r="FN29" s="220">
        <f t="shared" ca="1" si="149"/>
        <v>0</v>
      </c>
      <c r="FO29" s="235">
        <f t="shared" ca="1" si="150"/>
        <v>0</v>
      </c>
      <c r="FP29" s="235">
        <f t="shared" ca="1" si="151"/>
        <v>0</v>
      </c>
      <c r="FQ29" s="242">
        <f t="shared" ca="1" si="152"/>
        <v>0</v>
      </c>
      <c r="FR29" s="241">
        <f t="shared" ca="1" si="107"/>
        <v>1</v>
      </c>
      <c r="FS29" s="220">
        <f t="shared" ca="1" si="153"/>
        <v>0</v>
      </c>
      <c r="FT29" s="220">
        <f t="shared" ca="1" si="154"/>
        <v>0</v>
      </c>
      <c r="FU29" s="235">
        <f t="shared" ca="1" si="155"/>
        <v>0</v>
      </c>
      <c r="FV29" s="235">
        <f t="shared" ca="1" si="156"/>
        <v>0</v>
      </c>
      <c r="FW29" s="242">
        <f t="shared" ca="1" si="157"/>
        <v>0</v>
      </c>
      <c r="FX29" s="241">
        <f t="shared" ca="1" si="107"/>
        <v>1</v>
      </c>
      <c r="FY29" s="220">
        <f t="shared" ca="1" si="158"/>
        <v>0</v>
      </c>
      <c r="FZ29" s="220">
        <f t="shared" ca="1" si="159"/>
        <v>0</v>
      </c>
      <c r="GA29" s="235">
        <f t="shared" ca="1" si="160"/>
        <v>0</v>
      </c>
      <c r="GB29" s="235">
        <f t="shared" ca="1" si="161"/>
        <v>0</v>
      </c>
      <c r="GC29" s="242">
        <f t="shared" ca="1" si="162"/>
        <v>0</v>
      </c>
      <c r="GD29" s="241">
        <f t="shared" ca="1" si="163"/>
        <v>1</v>
      </c>
      <c r="GE29" s="220">
        <f t="shared" ca="1" si="164"/>
        <v>0</v>
      </c>
      <c r="GF29" s="220">
        <f t="shared" ca="1" si="165"/>
        <v>0</v>
      </c>
      <c r="GG29" s="235">
        <f t="shared" ca="1" si="166"/>
        <v>0</v>
      </c>
      <c r="GH29" s="235">
        <f t="shared" ca="1" si="167"/>
        <v>0</v>
      </c>
      <c r="GI29" s="242">
        <f t="shared" ca="1" si="168"/>
        <v>0</v>
      </c>
      <c r="GJ29" s="241">
        <f t="shared" ca="1" si="163"/>
        <v>1</v>
      </c>
      <c r="GK29" s="220">
        <f t="shared" ca="1" si="169"/>
        <v>0</v>
      </c>
      <c r="GL29" s="220">
        <f t="shared" ca="1" si="170"/>
        <v>0</v>
      </c>
      <c r="GM29" s="235">
        <f t="shared" ca="1" si="171"/>
        <v>0</v>
      </c>
      <c r="GN29" s="235">
        <f t="shared" ca="1" si="172"/>
        <v>0</v>
      </c>
      <c r="GO29" s="242">
        <f t="shared" ca="1" si="173"/>
        <v>0</v>
      </c>
      <c r="GP29" s="241">
        <f t="shared" ca="1" si="163"/>
        <v>1</v>
      </c>
      <c r="GQ29" s="220">
        <f t="shared" ca="1" si="174"/>
        <v>0</v>
      </c>
      <c r="GR29" s="220">
        <f t="shared" ca="1" si="175"/>
        <v>0</v>
      </c>
      <c r="GS29" s="235">
        <f t="shared" ca="1" si="176"/>
        <v>0</v>
      </c>
      <c r="GT29" s="235">
        <f t="shared" ca="1" si="177"/>
        <v>0</v>
      </c>
      <c r="GU29" s="242">
        <f t="shared" ca="1" si="178"/>
        <v>0</v>
      </c>
      <c r="GV29" s="241">
        <f t="shared" ca="1" si="163"/>
        <v>1</v>
      </c>
      <c r="GW29" s="220">
        <f t="shared" ca="1" si="179"/>
        <v>0</v>
      </c>
      <c r="GX29" s="220">
        <f t="shared" ca="1" si="180"/>
        <v>0</v>
      </c>
      <c r="GY29" s="235">
        <f t="shared" ca="1" si="181"/>
        <v>0</v>
      </c>
      <c r="GZ29" s="235">
        <f t="shared" ca="1" si="182"/>
        <v>0</v>
      </c>
      <c r="HA29" s="242">
        <f t="shared" ca="1" si="183"/>
        <v>0</v>
      </c>
      <c r="HB29" s="241">
        <f t="shared" ca="1" si="163"/>
        <v>1</v>
      </c>
      <c r="HC29" s="220">
        <f t="shared" ca="1" si="184"/>
        <v>0</v>
      </c>
      <c r="HD29" s="220">
        <f t="shared" ca="1" si="185"/>
        <v>0</v>
      </c>
      <c r="HE29" s="235">
        <f t="shared" ca="1" si="186"/>
        <v>0</v>
      </c>
      <c r="HF29" s="235">
        <f t="shared" ca="1" si="187"/>
        <v>0</v>
      </c>
      <c r="HG29" s="242">
        <f t="shared" ca="1" si="188"/>
        <v>0</v>
      </c>
      <c r="HH29" s="241">
        <f t="shared" ca="1" si="163"/>
        <v>1</v>
      </c>
      <c r="HI29" s="220">
        <f t="shared" ca="1" si="189"/>
        <v>0</v>
      </c>
      <c r="HJ29" s="220">
        <f t="shared" ca="1" si="190"/>
        <v>0</v>
      </c>
      <c r="HK29" s="235">
        <f t="shared" ca="1" si="191"/>
        <v>0</v>
      </c>
      <c r="HL29" s="235">
        <f t="shared" ca="1" si="192"/>
        <v>0</v>
      </c>
      <c r="HM29" s="242">
        <f t="shared" ca="1" si="193"/>
        <v>0</v>
      </c>
      <c r="HN29" s="241">
        <f t="shared" ca="1" si="163"/>
        <v>1</v>
      </c>
      <c r="HO29" s="220">
        <f t="shared" ca="1" si="194"/>
        <v>0</v>
      </c>
      <c r="HP29" s="220">
        <f t="shared" ca="1" si="195"/>
        <v>0</v>
      </c>
      <c r="HQ29" s="235">
        <f t="shared" ca="1" si="196"/>
        <v>0</v>
      </c>
      <c r="HR29" s="235">
        <f t="shared" ca="1" si="197"/>
        <v>0</v>
      </c>
      <c r="HS29" s="242">
        <f t="shared" ca="1" si="198"/>
        <v>0</v>
      </c>
      <c r="HT29" s="241">
        <f t="shared" ca="1" si="163"/>
        <v>1</v>
      </c>
      <c r="HU29" s="220">
        <f t="shared" ca="1" si="199"/>
        <v>0</v>
      </c>
      <c r="HV29" s="220">
        <f t="shared" ca="1" si="200"/>
        <v>0</v>
      </c>
      <c r="HW29" s="235">
        <f t="shared" ca="1" si="201"/>
        <v>0</v>
      </c>
      <c r="HX29" s="235">
        <f t="shared" ca="1" si="202"/>
        <v>0</v>
      </c>
      <c r="HY29" s="242">
        <f t="shared" ca="1" si="203"/>
        <v>0</v>
      </c>
      <c r="HZ29" s="241">
        <f t="shared" ca="1" si="163"/>
        <v>1</v>
      </c>
      <c r="IA29" s="220">
        <f t="shared" ca="1" si="204"/>
        <v>0</v>
      </c>
      <c r="IB29" s="220">
        <f t="shared" ca="1" si="205"/>
        <v>0</v>
      </c>
      <c r="IC29" s="235">
        <f t="shared" ca="1" si="206"/>
        <v>0</v>
      </c>
      <c r="ID29" s="235">
        <f t="shared" ca="1" si="207"/>
        <v>0</v>
      </c>
      <c r="IE29" s="242">
        <f t="shared" ca="1" si="208"/>
        <v>0</v>
      </c>
      <c r="IF29" s="241">
        <f t="shared" ca="1" si="163"/>
        <v>1</v>
      </c>
      <c r="IG29" s="220">
        <f t="shared" ca="1" si="209"/>
        <v>0</v>
      </c>
      <c r="IH29" s="220">
        <f t="shared" ca="1" si="210"/>
        <v>0</v>
      </c>
      <c r="II29" s="235">
        <f t="shared" ca="1" si="211"/>
        <v>0</v>
      </c>
      <c r="IJ29" s="235">
        <f t="shared" ca="1" si="212"/>
        <v>0</v>
      </c>
      <c r="IK29" s="242">
        <f t="shared" ca="1" si="213"/>
        <v>0</v>
      </c>
      <c r="IL29" s="241">
        <f t="shared" ca="1" si="163"/>
        <v>1</v>
      </c>
      <c r="IM29" s="220">
        <f t="shared" ca="1" si="214"/>
        <v>0</v>
      </c>
      <c r="IN29" s="220">
        <f t="shared" ca="1" si="215"/>
        <v>0</v>
      </c>
      <c r="IO29" s="235">
        <f t="shared" ca="1" si="216"/>
        <v>0</v>
      </c>
      <c r="IP29" s="235">
        <f t="shared" ca="1" si="217"/>
        <v>0</v>
      </c>
      <c r="IQ29" s="242">
        <f t="shared" ca="1" si="218"/>
        <v>0</v>
      </c>
      <c r="IR29" s="241">
        <f t="shared" ca="1" si="219"/>
        <v>1</v>
      </c>
      <c r="IS29" s="220">
        <f t="shared" ca="1" si="220"/>
        <v>0</v>
      </c>
      <c r="IT29" s="220">
        <f t="shared" ca="1" si="221"/>
        <v>0</v>
      </c>
      <c r="IU29" s="235">
        <f t="shared" ca="1" si="222"/>
        <v>0</v>
      </c>
      <c r="IV29" s="235">
        <f t="shared" ca="1" si="223"/>
        <v>0</v>
      </c>
      <c r="IW29" s="242">
        <f t="shared" ca="1" si="224"/>
        <v>0</v>
      </c>
      <c r="IX29" s="241">
        <f t="shared" ca="1" si="219"/>
        <v>1</v>
      </c>
      <c r="IY29" s="220">
        <f t="shared" ca="1" si="225"/>
        <v>0</v>
      </c>
      <c r="IZ29" s="220">
        <f t="shared" ca="1" si="226"/>
        <v>0</v>
      </c>
      <c r="JA29" s="235">
        <f t="shared" ca="1" si="227"/>
        <v>0</v>
      </c>
      <c r="JB29" s="235">
        <f t="shared" ca="1" si="228"/>
        <v>0</v>
      </c>
      <c r="JC29" s="242">
        <f t="shared" ca="1" si="229"/>
        <v>0</v>
      </c>
      <c r="JD29" s="241">
        <f t="shared" ca="1" si="219"/>
        <v>1</v>
      </c>
      <c r="JE29" s="220">
        <f t="shared" ca="1" si="230"/>
        <v>0</v>
      </c>
      <c r="JF29" s="220">
        <f t="shared" ca="1" si="231"/>
        <v>0</v>
      </c>
      <c r="JG29" s="235">
        <f t="shared" ca="1" si="232"/>
        <v>0</v>
      </c>
      <c r="JH29" s="235">
        <f t="shared" ca="1" si="233"/>
        <v>0</v>
      </c>
      <c r="JI29" s="242">
        <f t="shared" ca="1" si="234"/>
        <v>0</v>
      </c>
      <c r="JJ29" s="241">
        <f t="shared" ca="1" si="219"/>
        <v>1</v>
      </c>
      <c r="JK29" s="220">
        <f t="shared" ca="1" si="235"/>
        <v>0</v>
      </c>
      <c r="JL29" s="220">
        <f t="shared" ca="1" si="236"/>
        <v>0</v>
      </c>
      <c r="JM29" s="235">
        <f t="shared" ca="1" si="237"/>
        <v>0</v>
      </c>
      <c r="JN29" s="235">
        <f t="shared" ca="1" si="238"/>
        <v>0</v>
      </c>
      <c r="JO29" s="242">
        <f t="shared" ca="1" si="239"/>
        <v>0</v>
      </c>
      <c r="JP29" s="241">
        <f t="shared" ca="1" si="219"/>
        <v>1</v>
      </c>
      <c r="JQ29" s="220">
        <f t="shared" ca="1" si="240"/>
        <v>0</v>
      </c>
      <c r="JR29" s="220">
        <f t="shared" ca="1" si="241"/>
        <v>0</v>
      </c>
      <c r="JS29" s="235">
        <f t="shared" ca="1" si="242"/>
        <v>0</v>
      </c>
      <c r="JT29" s="235">
        <f t="shared" ca="1" si="243"/>
        <v>0</v>
      </c>
      <c r="JU29" s="242">
        <f t="shared" ca="1" si="244"/>
        <v>0</v>
      </c>
      <c r="JV29" s="241">
        <f t="shared" ca="1" si="219"/>
        <v>1</v>
      </c>
      <c r="JW29" s="220">
        <f t="shared" ca="1" si="245"/>
        <v>0</v>
      </c>
      <c r="JX29" s="220">
        <f t="shared" ca="1" si="246"/>
        <v>0</v>
      </c>
      <c r="JY29" s="235">
        <f t="shared" ca="1" si="247"/>
        <v>0</v>
      </c>
      <c r="JZ29" s="235">
        <f t="shared" ca="1" si="248"/>
        <v>0</v>
      </c>
      <c r="KA29" s="242">
        <f t="shared" ca="1" si="249"/>
        <v>0</v>
      </c>
      <c r="KB29" s="241">
        <f t="shared" ca="1" si="219"/>
        <v>1</v>
      </c>
      <c r="KC29" s="220">
        <f t="shared" ca="1" si="250"/>
        <v>0</v>
      </c>
      <c r="KD29" s="220">
        <f t="shared" ca="1" si="251"/>
        <v>0</v>
      </c>
      <c r="KE29" s="235">
        <f t="shared" ca="1" si="252"/>
        <v>0</v>
      </c>
      <c r="KF29" s="235">
        <f t="shared" ca="1" si="253"/>
        <v>0</v>
      </c>
      <c r="KG29" s="242">
        <f t="shared" ca="1" si="254"/>
        <v>0</v>
      </c>
      <c r="KH29" s="241">
        <f t="shared" ca="1" si="219"/>
        <v>1</v>
      </c>
      <c r="KI29" s="220">
        <f t="shared" ca="1" si="255"/>
        <v>0</v>
      </c>
      <c r="KJ29" s="220">
        <f t="shared" ca="1" si="256"/>
        <v>0</v>
      </c>
      <c r="KK29" s="235">
        <f t="shared" ca="1" si="257"/>
        <v>0</v>
      </c>
      <c r="KL29" s="235">
        <f t="shared" ca="1" si="258"/>
        <v>0</v>
      </c>
      <c r="KM29" s="242">
        <f t="shared" ca="1" si="259"/>
        <v>0</v>
      </c>
      <c r="KN29" s="241">
        <f t="shared" ca="1" si="219"/>
        <v>1</v>
      </c>
      <c r="KO29" s="220">
        <f t="shared" ca="1" si="260"/>
        <v>0</v>
      </c>
      <c r="KP29" s="220">
        <f t="shared" ca="1" si="261"/>
        <v>0</v>
      </c>
      <c r="KQ29" s="235">
        <f t="shared" ca="1" si="262"/>
        <v>0</v>
      </c>
      <c r="KR29" s="235">
        <f t="shared" ca="1" si="263"/>
        <v>0</v>
      </c>
      <c r="KS29" s="242">
        <f t="shared" ca="1" si="264"/>
        <v>0</v>
      </c>
      <c r="KT29" s="241">
        <f t="shared" ca="1" si="219"/>
        <v>1</v>
      </c>
      <c r="KU29" s="220">
        <f t="shared" ca="1" si="265"/>
        <v>0</v>
      </c>
      <c r="KV29" s="220">
        <f t="shared" ca="1" si="266"/>
        <v>0</v>
      </c>
      <c r="KW29" s="235">
        <f t="shared" ca="1" si="267"/>
        <v>0</v>
      </c>
      <c r="KX29" s="235">
        <f t="shared" ca="1" si="268"/>
        <v>0</v>
      </c>
      <c r="KY29" s="242">
        <f t="shared" ca="1" si="269"/>
        <v>0</v>
      </c>
      <c r="KZ29" s="241">
        <f t="shared" ca="1" si="219"/>
        <v>1</v>
      </c>
      <c r="LA29" s="220">
        <f t="shared" ca="1" si="270"/>
        <v>0</v>
      </c>
      <c r="LB29" s="220">
        <f t="shared" ca="1" si="271"/>
        <v>0</v>
      </c>
      <c r="LC29" s="235">
        <f t="shared" ca="1" si="272"/>
        <v>0</v>
      </c>
      <c r="LD29" s="235">
        <f t="shared" ca="1" si="273"/>
        <v>0</v>
      </c>
      <c r="LE29" s="242">
        <f t="shared" ca="1" si="274"/>
        <v>0</v>
      </c>
      <c r="LF29" s="241">
        <f t="shared" ca="1" si="275"/>
        <v>1</v>
      </c>
      <c r="LG29" s="220">
        <f t="shared" ca="1" si="276"/>
        <v>0</v>
      </c>
      <c r="LH29" s="220">
        <f t="shared" ca="1" si="277"/>
        <v>0</v>
      </c>
      <c r="LI29" s="235">
        <f t="shared" ca="1" si="278"/>
        <v>0</v>
      </c>
      <c r="LJ29" s="235">
        <f t="shared" ca="1" si="279"/>
        <v>0</v>
      </c>
      <c r="LK29" s="242">
        <f t="shared" ca="1" si="280"/>
        <v>0</v>
      </c>
      <c r="LL29" s="241">
        <f t="shared" ca="1" si="275"/>
        <v>1</v>
      </c>
      <c r="LM29" s="220">
        <f t="shared" ca="1" si="281"/>
        <v>0</v>
      </c>
      <c r="LN29" s="220">
        <f t="shared" ca="1" si="282"/>
        <v>0</v>
      </c>
      <c r="LO29" s="235">
        <f t="shared" ca="1" si="283"/>
        <v>0</v>
      </c>
      <c r="LP29" s="235">
        <f t="shared" ca="1" si="284"/>
        <v>0</v>
      </c>
      <c r="LQ29" s="242">
        <f t="shared" ca="1" si="285"/>
        <v>0</v>
      </c>
      <c r="LR29" s="241">
        <f t="shared" ca="1" si="275"/>
        <v>1</v>
      </c>
      <c r="LS29" s="220">
        <f t="shared" ca="1" si="286"/>
        <v>0</v>
      </c>
      <c r="LT29" s="220">
        <f t="shared" ca="1" si="287"/>
        <v>0</v>
      </c>
      <c r="LU29" s="235">
        <f t="shared" ca="1" si="288"/>
        <v>0</v>
      </c>
      <c r="LV29" s="235">
        <f t="shared" ca="1" si="289"/>
        <v>0</v>
      </c>
      <c r="LW29" s="242">
        <f t="shared" ca="1" si="290"/>
        <v>0</v>
      </c>
      <c r="LX29" s="241">
        <f t="shared" ca="1" si="275"/>
        <v>1</v>
      </c>
      <c r="LY29" s="220">
        <f t="shared" ca="1" si="291"/>
        <v>0</v>
      </c>
      <c r="LZ29" s="220">
        <f t="shared" ca="1" si="292"/>
        <v>0</v>
      </c>
      <c r="MA29" s="235">
        <f t="shared" ca="1" si="293"/>
        <v>0</v>
      </c>
      <c r="MB29" s="235">
        <f t="shared" ca="1" si="294"/>
        <v>0</v>
      </c>
      <c r="MC29" s="242">
        <f t="shared" ca="1" si="295"/>
        <v>0</v>
      </c>
      <c r="MD29" s="241">
        <f t="shared" ca="1" si="275"/>
        <v>1</v>
      </c>
      <c r="ME29" s="220">
        <f t="shared" ca="1" si="296"/>
        <v>0</v>
      </c>
      <c r="MF29" s="220">
        <f t="shared" ca="1" si="297"/>
        <v>0</v>
      </c>
      <c r="MG29" s="235">
        <f t="shared" ca="1" si="298"/>
        <v>0</v>
      </c>
      <c r="MH29" s="235">
        <f t="shared" ca="1" si="299"/>
        <v>0</v>
      </c>
      <c r="MI29" s="242">
        <f t="shared" ca="1" si="300"/>
        <v>0</v>
      </c>
      <c r="MJ29" s="241">
        <f t="shared" ca="1" si="275"/>
        <v>1</v>
      </c>
      <c r="MK29" s="220">
        <f t="shared" ca="1" si="301"/>
        <v>0</v>
      </c>
      <c r="ML29" s="220">
        <f t="shared" ca="1" si="302"/>
        <v>0</v>
      </c>
      <c r="MM29" s="235">
        <f t="shared" ca="1" si="303"/>
        <v>0</v>
      </c>
      <c r="MN29" s="235">
        <f t="shared" ca="1" si="304"/>
        <v>0</v>
      </c>
      <c r="MO29" s="242">
        <f t="shared" ca="1" si="305"/>
        <v>0</v>
      </c>
      <c r="MP29" s="241">
        <f t="shared" ca="1" si="275"/>
        <v>1</v>
      </c>
      <c r="MQ29" s="220">
        <f t="shared" ca="1" si="306"/>
        <v>0</v>
      </c>
      <c r="MR29" s="220">
        <f t="shared" ca="1" si="307"/>
        <v>0</v>
      </c>
      <c r="MS29" s="235">
        <f t="shared" ca="1" si="308"/>
        <v>0</v>
      </c>
      <c r="MT29" s="235">
        <f t="shared" ca="1" si="309"/>
        <v>0</v>
      </c>
      <c r="MU29" s="242">
        <f t="shared" ca="1" si="310"/>
        <v>0</v>
      </c>
      <c r="MV29" s="241">
        <f t="shared" ca="1" si="275"/>
        <v>1</v>
      </c>
      <c r="MW29" s="220">
        <f t="shared" ca="1" si="311"/>
        <v>0</v>
      </c>
      <c r="MX29" s="220">
        <f t="shared" ca="1" si="312"/>
        <v>0</v>
      </c>
      <c r="MY29" s="235">
        <f t="shared" ca="1" si="313"/>
        <v>0</v>
      </c>
      <c r="MZ29" s="235">
        <f t="shared" ca="1" si="314"/>
        <v>0</v>
      </c>
      <c r="NA29" s="242">
        <f t="shared" ca="1" si="315"/>
        <v>0</v>
      </c>
      <c r="NB29" s="241">
        <f t="shared" ca="1" si="275"/>
        <v>1</v>
      </c>
      <c r="NC29" s="220">
        <f t="shared" ca="1" si="316"/>
        <v>0</v>
      </c>
      <c r="ND29" s="220">
        <f t="shared" ca="1" si="317"/>
        <v>0</v>
      </c>
      <c r="NE29" s="235">
        <f t="shared" ca="1" si="318"/>
        <v>0</v>
      </c>
      <c r="NF29" s="235">
        <f t="shared" ca="1" si="319"/>
        <v>0</v>
      </c>
      <c r="NG29" s="242">
        <f t="shared" ca="1" si="320"/>
        <v>0</v>
      </c>
      <c r="NH29" s="241">
        <f t="shared" ca="1" si="275"/>
        <v>1</v>
      </c>
      <c r="NI29" s="220">
        <f t="shared" ca="1" si="321"/>
        <v>0</v>
      </c>
      <c r="NJ29" s="220">
        <f t="shared" ca="1" si="322"/>
        <v>0</v>
      </c>
      <c r="NK29" s="235">
        <f t="shared" ca="1" si="323"/>
        <v>0</v>
      </c>
      <c r="NL29" s="235">
        <f t="shared" ca="1" si="324"/>
        <v>0</v>
      </c>
      <c r="NM29" s="242">
        <f t="shared" ca="1" si="325"/>
        <v>0</v>
      </c>
      <c r="NN29" s="241">
        <f t="shared" ca="1" si="275"/>
        <v>1</v>
      </c>
      <c r="NO29" s="220">
        <f t="shared" ca="1" si="326"/>
        <v>0</v>
      </c>
      <c r="NP29" s="220">
        <f t="shared" ca="1" si="327"/>
        <v>0</v>
      </c>
      <c r="NQ29" s="235">
        <f t="shared" ca="1" si="328"/>
        <v>0</v>
      </c>
      <c r="NR29" s="235">
        <f t="shared" ca="1" si="329"/>
        <v>0</v>
      </c>
      <c r="NS29" s="242">
        <f t="shared" ca="1" si="330"/>
        <v>0</v>
      </c>
      <c r="NT29" s="241">
        <f t="shared" ca="1" si="331"/>
        <v>1</v>
      </c>
      <c r="NU29" s="220">
        <f t="shared" ca="1" si="332"/>
        <v>0</v>
      </c>
      <c r="NV29" s="220">
        <f t="shared" ca="1" si="333"/>
        <v>0</v>
      </c>
      <c r="NW29" s="235">
        <f t="shared" ca="1" si="334"/>
        <v>0</v>
      </c>
      <c r="NX29" s="235">
        <f t="shared" ca="1" si="335"/>
        <v>0</v>
      </c>
      <c r="NY29" s="242">
        <f t="shared" ca="1" si="336"/>
        <v>0</v>
      </c>
      <c r="NZ29" s="241">
        <f t="shared" ca="1" si="331"/>
        <v>1</v>
      </c>
      <c r="OA29" s="220">
        <f t="shared" ca="1" si="337"/>
        <v>0</v>
      </c>
      <c r="OB29" s="220">
        <f t="shared" ca="1" si="338"/>
        <v>0</v>
      </c>
      <c r="OC29" s="235">
        <f t="shared" ca="1" si="339"/>
        <v>0</v>
      </c>
      <c r="OD29" s="235">
        <f t="shared" ca="1" si="340"/>
        <v>0</v>
      </c>
      <c r="OE29" s="242">
        <f t="shared" ca="1" si="341"/>
        <v>0</v>
      </c>
      <c r="OF29" s="241">
        <f t="shared" ca="1" si="331"/>
        <v>1</v>
      </c>
      <c r="OG29" s="220">
        <f t="shared" ca="1" si="342"/>
        <v>0</v>
      </c>
      <c r="OH29" s="220">
        <f t="shared" ca="1" si="343"/>
        <v>0</v>
      </c>
      <c r="OI29" s="235">
        <f t="shared" ca="1" si="344"/>
        <v>0</v>
      </c>
      <c r="OJ29" s="235">
        <f t="shared" ca="1" si="345"/>
        <v>0</v>
      </c>
      <c r="OK29" s="242">
        <f t="shared" ca="1" si="346"/>
        <v>0</v>
      </c>
      <c r="OL29" s="241">
        <f t="shared" ca="1" si="331"/>
        <v>1</v>
      </c>
      <c r="OM29" s="220">
        <f t="shared" ca="1" si="347"/>
        <v>0</v>
      </c>
      <c r="ON29" s="220">
        <f t="shared" ca="1" si="348"/>
        <v>0</v>
      </c>
      <c r="OO29" s="235">
        <f t="shared" ca="1" si="349"/>
        <v>0</v>
      </c>
      <c r="OP29" s="235">
        <f t="shared" ca="1" si="350"/>
        <v>0</v>
      </c>
      <c r="OQ29" s="242">
        <f t="shared" ca="1" si="351"/>
        <v>0</v>
      </c>
      <c r="OR29" s="241">
        <f t="shared" ca="1" si="331"/>
        <v>1</v>
      </c>
      <c r="OS29" s="220">
        <f t="shared" ca="1" si="352"/>
        <v>0</v>
      </c>
      <c r="OT29" s="220">
        <f t="shared" ca="1" si="353"/>
        <v>0</v>
      </c>
      <c r="OU29" s="235">
        <f t="shared" ca="1" si="354"/>
        <v>0</v>
      </c>
      <c r="OV29" s="235">
        <f t="shared" ca="1" si="355"/>
        <v>0</v>
      </c>
      <c r="OW29" s="242">
        <f t="shared" ca="1" si="356"/>
        <v>0</v>
      </c>
      <c r="OX29" s="241">
        <f t="shared" ca="1" si="331"/>
        <v>1</v>
      </c>
      <c r="OY29" s="220">
        <f t="shared" ca="1" si="357"/>
        <v>0</v>
      </c>
      <c r="OZ29" s="220">
        <f t="shared" ca="1" si="358"/>
        <v>0</v>
      </c>
      <c r="PA29" s="235">
        <f t="shared" ca="1" si="359"/>
        <v>0</v>
      </c>
      <c r="PB29" s="235">
        <f t="shared" ca="1" si="360"/>
        <v>0</v>
      </c>
      <c r="PC29" s="242">
        <f t="shared" ca="1" si="361"/>
        <v>0</v>
      </c>
      <c r="PD29" s="241">
        <f t="shared" ca="1" si="331"/>
        <v>1</v>
      </c>
      <c r="PE29" s="220">
        <f t="shared" ca="1" si="362"/>
        <v>0</v>
      </c>
      <c r="PF29" s="220">
        <f t="shared" ca="1" si="363"/>
        <v>0</v>
      </c>
      <c r="PG29" s="235">
        <f t="shared" ca="1" si="364"/>
        <v>0</v>
      </c>
      <c r="PH29" s="235">
        <f t="shared" ca="1" si="365"/>
        <v>0</v>
      </c>
      <c r="PI29" s="242">
        <f t="shared" ca="1" si="366"/>
        <v>0</v>
      </c>
      <c r="PJ29" s="241">
        <f t="shared" ca="1" si="331"/>
        <v>1</v>
      </c>
      <c r="PK29" s="220">
        <f t="shared" ca="1" si="367"/>
        <v>0</v>
      </c>
      <c r="PL29" s="220">
        <f t="shared" ca="1" si="368"/>
        <v>0</v>
      </c>
      <c r="PM29" s="235">
        <f t="shared" ca="1" si="369"/>
        <v>0</v>
      </c>
      <c r="PN29" s="235">
        <f t="shared" ca="1" si="370"/>
        <v>0</v>
      </c>
      <c r="PO29" s="242">
        <f t="shared" ca="1" si="371"/>
        <v>0</v>
      </c>
      <c r="PP29" s="241">
        <f t="shared" ca="1" si="331"/>
        <v>1</v>
      </c>
      <c r="PQ29" s="220">
        <f t="shared" ca="1" si="372"/>
        <v>0</v>
      </c>
      <c r="PR29" s="220">
        <f t="shared" ca="1" si="373"/>
        <v>0</v>
      </c>
      <c r="PS29" s="235">
        <f t="shared" ca="1" si="374"/>
        <v>0</v>
      </c>
      <c r="PT29" s="235">
        <f t="shared" ca="1" si="375"/>
        <v>0</v>
      </c>
      <c r="PU29" s="242">
        <f t="shared" ca="1" si="376"/>
        <v>0</v>
      </c>
      <c r="PV29" s="241">
        <f t="shared" ca="1" si="331"/>
        <v>1</v>
      </c>
      <c r="PW29" s="220">
        <f t="shared" ca="1" si="377"/>
        <v>0</v>
      </c>
      <c r="PX29" s="220">
        <f t="shared" ca="1" si="378"/>
        <v>0</v>
      </c>
      <c r="PY29" s="235">
        <f t="shared" ca="1" si="379"/>
        <v>0</v>
      </c>
      <c r="PZ29" s="235">
        <f t="shared" ca="1" si="380"/>
        <v>0</v>
      </c>
      <c r="QA29" s="242">
        <f t="shared" ca="1" si="381"/>
        <v>0</v>
      </c>
      <c r="QB29" s="241">
        <f t="shared" ca="1" si="331"/>
        <v>1</v>
      </c>
      <c r="QC29" s="220">
        <f t="shared" ca="1" si="382"/>
        <v>0</v>
      </c>
      <c r="QD29" s="220">
        <f t="shared" ca="1" si="383"/>
        <v>0</v>
      </c>
      <c r="QE29" s="235">
        <f t="shared" ca="1" si="384"/>
        <v>0</v>
      </c>
      <c r="QF29" s="235">
        <f t="shared" ca="1" si="385"/>
        <v>0</v>
      </c>
      <c r="QG29" s="242">
        <f t="shared" ca="1" si="386"/>
        <v>0</v>
      </c>
      <c r="QH29" s="241">
        <f t="shared" ca="1" si="387"/>
        <v>1</v>
      </c>
      <c r="QI29" s="220">
        <f t="shared" ca="1" si="388"/>
        <v>0</v>
      </c>
      <c r="QJ29" s="220">
        <f t="shared" ca="1" si="389"/>
        <v>0</v>
      </c>
      <c r="QK29" s="235">
        <f t="shared" ca="1" si="390"/>
        <v>0</v>
      </c>
      <c r="QL29" s="235">
        <f t="shared" ca="1" si="391"/>
        <v>0</v>
      </c>
      <c r="QM29" s="242">
        <f t="shared" ca="1" si="392"/>
        <v>0</v>
      </c>
      <c r="QN29" s="241">
        <f t="shared" ca="1" si="387"/>
        <v>1</v>
      </c>
      <c r="QO29" s="220">
        <f t="shared" ca="1" si="393"/>
        <v>0</v>
      </c>
      <c r="QP29" s="220">
        <f t="shared" ca="1" si="394"/>
        <v>0</v>
      </c>
      <c r="QQ29" s="235">
        <f t="shared" ca="1" si="395"/>
        <v>0</v>
      </c>
      <c r="QR29" s="235">
        <f t="shared" ca="1" si="396"/>
        <v>0</v>
      </c>
      <c r="QS29" s="242">
        <f t="shared" ca="1" si="397"/>
        <v>0</v>
      </c>
      <c r="QT29" s="241">
        <f t="shared" ca="1" si="387"/>
        <v>1</v>
      </c>
      <c r="QU29" s="220">
        <f t="shared" ca="1" si="398"/>
        <v>0</v>
      </c>
      <c r="QV29" s="220">
        <f t="shared" ca="1" si="399"/>
        <v>0</v>
      </c>
      <c r="QW29" s="235">
        <f t="shared" ca="1" si="400"/>
        <v>0</v>
      </c>
      <c r="QX29" s="235">
        <f t="shared" ca="1" si="401"/>
        <v>0</v>
      </c>
      <c r="QY29" s="242">
        <f t="shared" ca="1" si="402"/>
        <v>0</v>
      </c>
      <c r="QZ29" s="241">
        <f t="shared" ca="1" si="387"/>
        <v>1</v>
      </c>
      <c r="RA29" s="220">
        <f t="shared" ca="1" si="403"/>
        <v>0</v>
      </c>
      <c r="RB29" s="220">
        <f t="shared" ca="1" si="404"/>
        <v>0</v>
      </c>
      <c r="RC29" s="235">
        <f t="shared" ca="1" si="405"/>
        <v>0</v>
      </c>
      <c r="RD29" s="235">
        <f t="shared" ca="1" si="406"/>
        <v>0</v>
      </c>
      <c r="RE29" s="242">
        <f t="shared" ca="1" si="407"/>
        <v>0</v>
      </c>
      <c r="RF29" s="241">
        <f t="shared" ca="1" si="387"/>
        <v>1</v>
      </c>
      <c r="RG29" s="220">
        <f t="shared" ca="1" si="408"/>
        <v>0</v>
      </c>
      <c r="RH29" s="220">
        <f t="shared" ca="1" si="409"/>
        <v>0</v>
      </c>
      <c r="RI29" s="235">
        <f t="shared" ca="1" si="410"/>
        <v>0</v>
      </c>
      <c r="RJ29" s="235">
        <f t="shared" ca="1" si="411"/>
        <v>0</v>
      </c>
      <c r="RK29" s="242">
        <f t="shared" ca="1" si="412"/>
        <v>0</v>
      </c>
      <c r="RL29" s="241">
        <f t="shared" ca="1" si="387"/>
        <v>1</v>
      </c>
      <c r="RM29" s="220">
        <f t="shared" ca="1" si="413"/>
        <v>0</v>
      </c>
      <c r="RN29" s="220">
        <f t="shared" ca="1" si="414"/>
        <v>0</v>
      </c>
      <c r="RO29" s="235">
        <f t="shared" ca="1" si="415"/>
        <v>0</v>
      </c>
      <c r="RP29" s="235">
        <f t="shared" ca="1" si="416"/>
        <v>0</v>
      </c>
      <c r="RQ29" s="242">
        <f t="shared" ca="1" si="417"/>
        <v>0</v>
      </c>
      <c r="RR29" s="241">
        <f t="shared" ca="1" si="387"/>
        <v>1</v>
      </c>
      <c r="RS29" s="220">
        <f t="shared" ca="1" si="418"/>
        <v>0</v>
      </c>
      <c r="RT29" s="220">
        <f t="shared" ca="1" si="419"/>
        <v>0</v>
      </c>
      <c r="RU29" s="235">
        <f t="shared" ca="1" si="420"/>
        <v>0</v>
      </c>
      <c r="RV29" s="235">
        <f t="shared" ca="1" si="421"/>
        <v>0</v>
      </c>
      <c r="RW29" s="242">
        <f t="shared" ca="1" si="422"/>
        <v>0</v>
      </c>
      <c r="RX29" s="241">
        <f t="shared" ca="1" si="387"/>
        <v>1</v>
      </c>
      <c r="RY29" s="220">
        <f t="shared" ca="1" si="423"/>
        <v>0</v>
      </c>
      <c r="RZ29" s="220">
        <f t="shared" ca="1" si="424"/>
        <v>0</v>
      </c>
      <c r="SA29" s="235">
        <f t="shared" ca="1" si="425"/>
        <v>0</v>
      </c>
      <c r="SB29" s="235">
        <f t="shared" ca="1" si="426"/>
        <v>0</v>
      </c>
      <c r="SC29" s="242">
        <f t="shared" ca="1" si="427"/>
        <v>0</v>
      </c>
      <c r="SD29" s="241">
        <f t="shared" ca="1" si="387"/>
        <v>1</v>
      </c>
      <c r="SE29" s="220">
        <f t="shared" ca="1" si="428"/>
        <v>0</v>
      </c>
      <c r="SF29" s="220">
        <f t="shared" ca="1" si="429"/>
        <v>0</v>
      </c>
      <c r="SG29" s="235">
        <f t="shared" ca="1" si="430"/>
        <v>0</v>
      </c>
      <c r="SH29" s="235">
        <f t="shared" ca="1" si="431"/>
        <v>0</v>
      </c>
      <c r="SI29" s="242">
        <f t="shared" ca="1" si="432"/>
        <v>0</v>
      </c>
      <c r="SJ29" s="241">
        <f t="shared" ca="1" si="387"/>
        <v>1</v>
      </c>
      <c r="SK29" s="220">
        <f t="shared" ca="1" si="433"/>
        <v>0</v>
      </c>
      <c r="SL29" s="220">
        <f t="shared" ca="1" si="434"/>
        <v>0</v>
      </c>
      <c r="SM29" s="235">
        <f t="shared" ca="1" si="435"/>
        <v>0</v>
      </c>
      <c r="SN29" s="235">
        <f t="shared" ca="1" si="436"/>
        <v>0</v>
      </c>
      <c r="SO29" s="242">
        <f t="shared" ca="1" si="437"/>
        <v>0</v>
      </c>
      <c r="SP29" s="241">
        <f t="shared" ca="1" si="387"/>
        <v>1</v>
      </c>
      <c r="SQ29" s="220">
        <f t="shared" ca="1" si="438"/>
        <v>0</v>
      </c>
      <c r="SR29" s="220">
        <f t="shared" ca="1" si="439"/>
        <v>0</v>
      </c>
      <c r="SS29" s="235">
        <f t="shared" ca="1" si="440"/>
        <v>0</v>
      </c>
      <c r="ST29" s="235">
        <f t="shared" ca="1" si="441"/>
        <v>0</v>
      </c>
      <c r="SU29" s="242">
        <f t="shared" ca="1" si="442"/>
        <v>0</v>
      </c>
      <c r="SV29" s="241">
        <f t="shared" ca="1" si="443"/>
        <v>1</v>
      </c>
      <c r="SW29" s="220">
        <f t="shared" ca="1" si="444"/>
        <v>0</v>
      </c>
      <c r="SX29" s="220">
        <f t="shared" ca="1" si="445"/>
        <v>0</v>
      </c>
      <c r="SY29" s="235">
        <f t="shared" ca="1" si="446"/>
        <v>0</v>
      </c>
      <c r="SZ29" s="235">
        <f t="shared" ca="1" si="447"/>
        <v>0</v>
      </c>
      <c r="TA29" s="242">
        <f t="shared" ca="1" si="448"/>
        <v>0</v>
      </c>
      <c r="TB29" s="241">
        <f t="shared" ca="1" si="443"/>
        <v>1</v>
      </c>
      <c r="TC29" s="220">
        <f t="shared" ca="1" si="449"/>
        <v>0</v>
      </c>
      <c r="TD29" s="220">
        <f t="shared" ca="1" si="450"/>
        <v>0</v>
      </c>
      <c r="TE29" s="235">
        <f t="shared" ca="1" si="451"/>
        <v>0</v>
      </c>
      <c r="TF29" s="235">
        <f t="shared" ca="1" si="452"/>
        <v>0</v>
      </c>
      <c r="TG29" s="242">
        <f t="shared" ca="1" si="453"/>
        <v>0</v>
      </c>
      <c r="TH29" s="241">
        <f t="shared" ca="1" si="443"/>
        <v>1</v>
      </c>
      <c r="TI29" s="220">
        <f t="shared" ca="1" si="454"/>
        <v>0</v>
      </c>
      <c r="TJ29" s="220">
        <f t="shared" ca="1" si="455"/>
        <v>0</v>
      </c>
      <c r="TK29" s="235">
        <f t="shared" ca="1" si="456"/>
        <v>0</v>
      </c>
      <c r="TL29" s="235">
        <f t="shared" ca="1" si="457"/>
        <v>0</v>
      </c>
      <c r="TM29" s="242">
        <f t="shared" ca="1" si="458"/>
        <v>0</v>
      </c>
      <c r="TN29" s="241">
        <f t="shared" ca="1" si="443"/>
        <v>1</v>
      </c>
      <c r="TO29" s="220">
        <f t="shared" ca="1" si="459"/>
        <v>0</v>
      </c>
      <c r="TP29" s="220">
        <f t="shared" ca="1" si="460"/>
        <v>0</v>
      </c>
      <c r="TQ29" s="235">
        <f t="shared" ca="1" si="461"/>
        <v>0</v>
      </c>
      <c r="TR29" s="235">
        <f t="shared" ca="1" si="462"/>
        <v>0</v>
      </c>
      <c r="TS29" s="242">
        <f t="shared" ca="1" si="463"/>
        <v>0</v>
      </c>
      <c r="TT29" s="241">
        <f t="shared" ca="1" si="443"/>
        <v>1</v>
      </c>
      <c r="TU29" s="220">
        <f t="shared" ca="1" si="464"/>
        <v>0</v>
      </c>
      <c r="TV29" s="220">
        <f t="shared" ca="1" si="465"/>
        <v>0</v>
      </c>
      <c r="TW29" s="235">
        <f t="shared" ca="1" si="466"/>
        <v>0</v>
      </c>
      <c r="TX29" s="235">
        <f t="shared" ca="1" si="467"/>
        <v>0</v>
      </c>
      <c r="TY29" s="242">
        <f t="shared" ca="1" si="468"/>
        <v>0</v>
      </c>
      <c r="TZ29" s="241">
        <f t="shared" ca="1" si="443"/>
        <v>1</v>
      </c>
      <c r="UA29" s="220">
        <f t="shared" ca="1" si="469"/>
        <v>0</v>
      </c>
      <c r="UB29" s="220">
        <f t="shared" ca="1" si="470"/>
        <v>0</v>
      </c>
      <c r="UC29" s="235">
        <f t="shared" ca="1" si="471"/>
        <v>0</v>
      </c>
      <c r="UD29" s="235">
        <f t="shared" ca="1" si="472"/>
        <v>0</v>
      </c>
      <c r="UE29" s="242">
        <f t="shared" ca="1" si="473"/>
        <v>0</v>
      </c>
      <c r="UF29" s="241">
        <f t="shared" ca="1" si="443"/>
        <v>1</v>
      </c>
      <c r="UG29" s="220">
        <f t="shared" ca="1" si="474"/>
        <v>0</v>
      </c>
      <c r="UH29" s="220">
        <f t="shared" ca="1" si="475"/>
        <v>0</v>
      </c>
      <c r="UI29" s="235">
        <f t="shared" ca="1" si="476"/>
        <v>0</v>
      </c>
      <c r="UJ29" s="235">
        <f t="shared" ca="1" si="477"/>
        <v>0</v>
      </c>
      <c r="UK29" s="242">
        <f t="shared" ca="1" si="478"/>
        <v>0</v>
      </c>
      <c r="UL29" s="241">
        <f t="shared" ca="1" si="443"/>
        <v>1</v>
      </c>
      <c r="UM29" s="220">
        <f t="shared" ca="1" si="479"/>
        <v>0</v>
      </c>
      <c r="UN29" s="220">
        <f t="shared" ca="1" si="480"/>
        <v>0</v>
      </c>
      <c r="UO29" s="235">
        <f t="shared" ca="1" si="481"/>
        <v>0</v>
      </c>
      <c r="UP29" s="235">
        <f t="shared" ca="1" si="482"/>
        <v>0</v>
      </c>
      <c r="UQ29" s="242">
        <f t="shared" ca="1" si="483"/>
        <v>0</v>
      </c>
      <c r="UR29" s="241">
        <f t="shared" ca="1" si="443"/>
        <v>1</v>
      </c>
      <c r="US29" s="220">
        <f t="shared" ca="1" si="484"/>
        <v>0</v>
      </c>
      <c r="UT29" s="220">
        <f t="shared" ca="1" si="485"/>
        <v>0</v>
      </c>
      <c r="UU29" s="235">
        <f t="shared" ca="1" si="486"/>
        <v>0</v>
      </c>
      <c r="UV29" s="235">
        <f t="shared" ca="1" si="487"/>
        <v>0</v>
      </c>
      <c r="UW29" s="242">
        <f t="shared" ca="1" si="488"/>
        <v>0</v>
      </c>
      <c r="UX29" s="241">
        <f t="shared" ca="1" si="443"/>
        <v>1</v>
      </c>
      <c r="UY29" s="220">
        <f t="shared" ca="1" si="489"/>
        <v>0</v>
      </c>
      <c r="UZ29" s="220">
        <f t="shared" ca="1" si="490"/>
        <v>0</v>
      </c>
      <c r="VA29" s="235">
        <f t="shared" ca="1" si="491"/>
        <v>0</v>
      </c>
      <c r="VB29" s="235">
        <f t="shared" ca="1" si="492"/>
        <v>0</v>
      </c>
      <c r="VC29" s="242">
        <f t="shared" ca="1" si="493"/>
        <v>0</v>
      </c>
      <c r="VD29" s="241">
        <f t="shared" ca="1" si="443"/>
        <v>1</v>
      </c>
      <c r="VE29" s="220">
        <f t="shared" ca="1" si="494"/>
        <v>0</v>
      </c>
      <c r="VF29" s="220">
        <f t="shared" ca="1" si="495"/>
        <v>0</v>
      </c>
      <c r="VG29" s="235">
        <f t="shared" ca="1" si="496"/>
        <v>0</v>
      </c>
      <c r="VH29" s="235">
        <f t="shared" ca="1" si="497"/>
        <v>0</v>
      </c>
      <c r="VI29" s="242">
        <f t="shared" ca="1" si="498"/>
        <v>0</v>
      </c>
      <c r="VJ29" s="241">
        <f t="shared" ca="1" si="499"/>
        <v>1</v>
      </c>
      <c r="VK29" s="220">
        <f t="shared" ca="1" si="500"/>
        <v>0</v>
      </c>
      <c r="VL29" s="220">
        <f t="shared" ca="1" si="501"/>
        <v>0</v>
      </c>
      <c r="VM29" s="235">
        <f t="shared" ca="1" si="502"/>
        <v>0</v>
      </c>
      <c r="VN29" s="235">
        <f t="shared" ca="1" si="503"/>
        <v>0</v>
      </c>
      <c r="VO29" s="242">
        <f t="shared" ca="1" si="504"/>
        <v>0</v>
      </c>
      <c r="VP29" s="241">
        <f t="shared" ca="1" si="499"/>
        <v>1</v>
      </c>
      <c r="VQ29" s="220">
        <f t="shared" ca="1" si="505"/>
        <v>0</v>
      </c>
      <c r="VR29" s="220">
        <f t="shared" ca="1" si="506"/>
        <v>0</v>
      </c>
      <c r="VS29" s="235">
        <f t="shared" ca="1" si="507"/>
        <v>0</v>
      </c>
      <c r="VT29" s="235">
        <f t="shared" ca="1" si="508"/>
        <v>0</v>
      </c>
      <c r="VU29" s="242">
        <f t="shared" ca="1" si="509"/>
        <v>0</v>
      </c>
      <c r="VV29" s="241">
        <f t="shared" ca="1" si="499"/>
        <v>1</v>
      </c>
      <c r="VW29" s="220">
        <f t="shared" ca="1" si="510"/>
        <v>0</v>
      </c>
      <c r="VX29" s="220">
        <f t="shared" ca="1" si="511"/>
        <v>0</v>
      </c>
      <c r="VY29" s="235">
        <f t="shared" ca="1" si="512"/>
        <v>0</v>
      </c>
      <c r="VZ29" s="235">
        <f t="shared" ca="1" si="513"/>
        <v>0</v>
      </c>
      <c r="WA29" s="242">
        <f t="shared" ca="1" si="514"/>
        <v>0</v>
      </c>
      <c r="WB29" s="241">
        <f t="shared" ca="1" si="499"/>
        <v>1</v>
      </c>
      <c r="WC29" s="220">
        <f t="shared" ca="1" si="515"/>
        <v>0</v>
      </c>
      <c r="WD29" s="220">
        <f t="shared" ca="1" si="516"/>
        <v>0</v>
      </c>
      <c r="WE29" s="235">
        <f t="shared" ca="1" si="517"/>
        <v>0</v>
      </c>
      <c r="WF29" s="235">
        <f t="shared" ca="1" si="518"/>
        <v>0</v>
      </c>
      <c r="WG29" s="242">
        <f t="shared" ca="1" si="519"/>
        <v>0</v>
      </c>
      <c r="WH29" s="241">
        <f t="shared" ca="1" si="499"/>
        <v>1</v>
      </c>
      <c r="WI29" s="220">
        <f t="shared" ca="1" si="520"/>
        <v>0</v>
      </c>
      <c r="WJ29" s="220">
        <f t="shared" ca="1" si="521"/>
        <v>0</v>
      </c>
      <c r="WK29" s="235">
        <f t="shared" ca="1" si="522"/>
        <v>0</v>
      </c>
      <c r="WL29" s="235">
        <f t="shared" ca="1" si="523"/>
        <v>0</v>
      </c>
      <c r="WM29" s="242">
        <f t="shared" ca="1" si="524"/>
        <v>0</v>
      </c>
      <c r="WN29" s="241">
        <f t="shared" ca="1" si="499"/>
        <v>1</v>
      </c>
      <c r="WO29" s="220">
        <f t="shared" ca="1" si="525"/>
        <v>0</v>
      </c>
      <c r="WP29" s="220">
        <f t="shared" ca="1" si="526"/>
        <v>0</v>
      </c>
      <c r="WQ29" s="235">
        <f t="shared" ca="1" si="527"/>
        <v>0</v>
      </c>
      <c r="WR29" s="235">
        <f t="shared" ca="1" si="528"/>
        <v>0</v>
      </c>
      <c r="WS29" s="242">
        <f t="shared" ca="1" si="529"/>
        <v>0</v>
      </c>
      <c r="WT29" s="241">
        <f t="shared" ca="1" si="499"/>
        <v>1</v>
      </c>
      <c r="WU29" s="220">
        <f t="shared" ca="1" si="530"/>
        <v>0</v>
      </c>
      <c r="WV29" s="220">
        <f t="shared" ca="1" si="531"/>
        <v>0</v>
      </c>
      <c r="WW29" s="235">
        <f t="shared" ca="1" si="532"/>
        <v>0</v>
      </c>
      <c r="WX29" s="235">
        <f t="shared" ca="1" si="533"/>
        <v>0</v>
      </c>
      <c r="WY29" s="242">
        <f t="shared" ca="1" si="534"/>
        <v>0</v>
      </c>
      <c r="WZ29" s="241">
        <f t="shared" ca="1" si="499"/>
        <v>1</v>
      </c>
      <c r="XA29" s="220">
        <f t="shared" ca="1" si="535"/>
        <v>0</v>
      </c>
      <c r="XB29" s="220">
        <f t="shared" ca="1" si="536"/>
        <v>0</v>
      </c>
      <c r="XC29" s="235">
        <f t="shared" ca="1" si="537"/>
        <v>0</v>
      </c>
      <c r="XD29" s="235">
        <f t="shared" ca="1" si="538"/>
        <v>0</v>
      </c>
      <c r="XE29" s="242">
        <f t="shared" ca="1" si="539"/>
        <v>0</v>
      </c>
      <c r="XF29" s="241">
        <f t="shared" ca="1" si="499"/>
        <v>1</v>
      </c>
      <c r="XG29" s="220">
        <f t="shared" ca="1" si="540"/>
        <v>0</v>
      </c>
      <c r="XH29" s="220">
        <f t="shared" ca="1" si="541"/>
        <v>0</v>
      </c>
      <c r="XI29" s="235">
        <f t="shared" ca="1" si="542"/>
        <v>0</v>
      </c>
      <c r="XJ29" s="235">
        <f t="shared" ca="1" si="543"/>
        <v>0</v>
      </c>
      <c r="XK29" s="242">
        <f t="shared" ca="1" si="544"/>
        <v>0</v>
      </c>
    </row>
    <row r="30" spans="2:635" x14ac:dyDescent="0.25">
      <c r="B30" s="65">
        <f t="shared" ca="1" si="14"/>
        <v>2045</v>
      </c>
      <c r="C30" s="65" t="s">
        <v>741</v>
      </c>
      <c r="D30" s="77">
        <f t="shared" si="15"/>
        <v>0</v>
      </c>
      <c r="E30" s="77">
        <f t="shared" si="16"/>
        <v>0</v>
      </c>
      <c r="F30" s="77">
        <f t="shared" si="17"/>
        <v>0</v>
      </c>
      <c r="G30" s="77">
        <f t="shared" si="18"/>
        <v>0</v>
      </c>
      <c r="H30" s="15" t="e">
        <f t="shared" ca="1" si="19"/>
        <v>#REF!</v>
      </c>
      <c r="L30" s="326">
        <f t="shared" ca="1" si="20"/>
        <v>3.5000000000000003E-2</v>
      </c>
      <c r="M30" s="327">
        <f t="shared" ca="1" si="21"/>
        <v>3.5000000000000003E-2</v>
      </c>
      <c r="N30" s="322">
        <f t="shared" ca="1" si="22"/>
        <v>-22</v>
      </c>
      <c r="O30" s="322">
        <f t="shared" ca="1" si="23"/>
        <v>0</v>
      </c>
      <c r="P30" s="328">
        <f t="shared" ca="1" si="545"/>
        <v>0</v>
      </c>
      <c r="Q30" s="328">
        <f t="shared" ca="1" si="546"/>
        <v>0</v>
      </c>
      <c r="R30" s="328">
        <f t="shared" ca="1" si="547"/>
        <v>0</v>
      </c>
      <c r="S30" s="329">
        <f t="shared" ca="1" si="24"/>
        <v>0</v>
      </c>
      <c r="T30" s="329">
        <f t="shared" ca="1" si="25"/>
        <v>0</v>
      </c>
      <c r="U30" s="329">
        <f t="shared" ca="1" si="26"/>
        <v>0</v>
      </c>
      <c r="V30" s="320" t="e">
        <f t="shared" ca="1" si="27"/>
        <v>#REF!</v>
      </c>
      <c r="W30" s="320" t="e">
        <f t="shared" ca="1" si="560"/>
        <v>#REF!</v>
      </c>
      <c r="X30" s="320" t="e">
        <f t="shared" ca="1" si="29"/>
        <v>#REF!</v>
      </c>
      <c r="Y30" s="320" t="e">
        <f ca="1">INDEX(SC_ZA_HECMLumpSum,ZAIDX)</f>
        <v>#REF!</v>
      </c>
      <c r="Z30" s="320" t="e">
        <f t="shared" ca="1" si="30"/>
        <v>#REF!</v>
      </c>
      <c r="AA30" s="320">
        <f t="shared" ca="1" si="557"/>
        <v>0</v>
      </c>
      <c r="AB30" s="320" t="e">
        <f t="shared" ca="1" si="558"/>
        <v>#REF!</v>
      </c>
      <c r="AC30" s="330" t="e">
        <f t="shared" ca="1" si="559"/>
        <v>#REF!</v>
      </c>
      <c r="AD30" s="236" t="e">
        <f t="shared" ca="1" si="548"/>
        <v>#REF!</v>
      </c>
      <c r="AE30" s="320" t="e">
        <f t="shared" ca="1" si="561"/>
        <v>#REF!</v>
      </c>
      <c r="AF30" s="320" t="e">
        <f t="shared" ca="1" si="35"/>
        <v>#REF!</v>
      </c>
      <c r="AG30" s="320" t="e">
        <f t="shared" ca="1" si="549"/>
        <v>#REF!</v>
      </c>
      <c r="AH30" s="284" t="e">
        <f t="shared" ca="1" si="550"/>
        <v>#REF!</v>
      </c>
      <c r="AI30" s="318" t="e">
        <f t="shared" ca="1" si="551"/>
        <v>#REF!</v>
      </c>
      <c r="AJ30" s="331">
        <f t="shared" ca="1" si="552"/>
        <v>1</v>
      </c>
      <c r="AK30" s="220">
        <f t="shared" ca="1" si="553"/>
        <v>0</v>
      </c>
      <c r="AL30" s="220">
        <f t="shared" ca="1" si="37"/>
        <v>0</v>
      </c>
      <c r="AM30" s="235">
        <f t="shared" ca="1" si="554"/>
        <v>0</v>
      </c>
      <c r="AN30" s="235">
        <f t="shared" ca="1" si="555"/>
        <v>0</v>
      </c>
      <c r="AO30" s="242">
        <f t="shared" ca="1" si="556"/>
        <v>0</v>
      </c>
      <c r="AP30" s="241">
        <f t="shared" ca="1" si="552"/>
        <v>1</v>
      </c>
      <c r="AQ30" s="220">
        <f t="shared" ca="1" si="41"/>
        <v>0</v>
      </c>
      <c r="AR30" s="220">
        <f t="shared" ca="1" si="42"/>
        <v>0</v>
      </c>
      <c r="AS30" s="235">
        <f t="shared" ca="1" si="43"/>
        <v>0</v>
      </c>
      <c r="AT30" s="235">
        <f t="shared" ca="1" si="44"/>
        <v>0</v>
      </c>
      <c r="AU30" s="242">
        <f t="shared" ca="1" si="45"/>
        <v>0</v>
      </c>
      <c r="AV30" s="241">
        <f t="shared" ca="1" si="552"/>
        <v>1</v>
      </c>
      <c r="AW30" s="220">
        <f t="shared" ca="1" si="46"/>
        <v>0</v>
      </c>
      <c r="AX30" s="220">
        <f t="shared" ca="1" si="47"/>
        <v>0</v>
      </c>
      <c r="AY30" s="235">
        <f t="shared" ca="1" si="48"/>
        <v>0</v>
      </c>
      <c r="AZ30" s="235">
        <f t="shared" ca="1" si="49"/>
        <v>0</v>
      </c>
      <c r="BA30" s="242">
        <f t="shared" ca="1" si="50"/>
        <v>0</v>
      </c>
      <c r="BB30" s="241">
        <f t="shared" ca="1" si="552"/>
        <v>1</v>
      </c>
      <c r="BC30" s="220">
        <f t="shared" ca="1" si="52"/>
        <v>0</v>
      </c>
      <c r="BD30" s="220">
        <f t="shared" ca="1" si="53"/>
        <v>0</v>
      </c>
      <c r="BE30" s="235">
        <f t="shared" ca="1" si="54"/>
        <v>0</v>
      </c>
      <c r="BF30" s="235">
        <f t="shared" ca="1" si="55"/>
        <v>0</v>
      </c>
      <c r="BG30" s="242">
        <f t="shared" ca="1" si="56"/>
        <v>0</v>
      </c>
      <c r="BH30" s="241">
        <f t="shared" ca="1" si="552"/>
        <v>1</v>
      </c>
      <c r="BI30" s="220">
        <f t="shared" ca="1" si="57"/>
        <v>0</v>
      </c>
      <c r="BJ30" s="220">
        <f t="shared" ca="1" si="58"/>
        <v>0</v>
      </c>
      <c r="BK30" s="235">
        <f t="shared" ca="1" si="59"/>
        <v>0</v>
      </c>
      <c r="BL30" s="235">
        <f t="shared" ca="1" si="60"/>
        <v>0</v>
      </c>
      <c r="BM30" s="242">
        <f t="shared" ca="1" si="61"/>
        <v>0</v>
      </c>
      <c r="BN30" s="241">
        <f t="shared" ca="1" si="552"/>
        <v>1</v>
      </c>
      <c r="BO30" s="220">
        <f t="shared" ca="1" si="62"/>
        <v>0</v>
      </c>
      <c r="BP30" s="220">
        <f t="shared" ca="1" si="63"/>
        <v>0</v>
      </c>
      <c r="BQ30" s="235">
        <f t="shared" ca="1" si="64"/>
        <v>0</v>
      </c>
      <c r="BR30" s="235">
        <f t="shared" ca="1" si="65"/>
        <v>0</v>
      </c>
      <c r="BS30" s="242">
        <f t="shared" ca="1" si="66"/>
        <v>0</v>
      </c>
      <c r="BT30" s="241">
        <f t="shared" ca="1" si="552"/>
        <v>1</v>
      </c>
      <c r="BU30" s="220">
        <f t="shared" ca="1" si="67"/>
        <v>0</v>
      </c>
      <c r="BV30" s="220">
        <f t="shared" ca="1" si="68"/>
        <v>0</v>
      </c>
      <c r="BW30" s="235">
        <f t="shared" ca="1" si="69"/>
        <v>0</v>
      </c>
      <c r="BX30" s="235">
        <f t="shared" ca="1" si="70"/>
        <v>0</v>
      </c>
      <c r="BY30" s="242">
        <f t="shared" ca="1" si="71"/>
        <v>0</v>
      </c>
      <c r="BZ30" s="241">
        <f t="shared" ca="1" si="552"/>
        <v>1</v>
      </c>
      <c r="CA30" s="220">
        <f t="shared" ca="1" si="72"/>
        <v>0</v>
      </c>
      <c r="CB30" s="220">
        <f t="shared" ca="1" si="73"/>
        <v>0</v>
      </c>
      <c r="CC30" s="235">
        <f t="shared" ca="1" si="74"/>
        <v>0</v>
      </c>
      <c r="CD30" s="235">
        <f t="shared" ca="1" si="75"/>
        <v>0</v>
      </c>
      <c r="CE30" s="242">
        <f t="shared" ca="1" si="76"/>
        <v>0</v>
      </c>
      <c r="CF30" s="241">
        <f t="shared" ca="1" si="552"/>
        <v>1</v>
      </c>
      <c r="CG30" s="220">
        <f t="shared" ca="1" si="77"/>
        <v>0</v>
      </c>
      <c r="CH30" s="220">
        <f t="shared" ca="1" si="78"/>
        <v>0</v>
      </c>
      <c r="CI30" s="235">
        <f t="shared" ca="1" si="79"/>
        <v>0</v>
      </c>
      <c r="CJ30" s="235">
        <f t="shared" ca="1" si="80"/>
        <v>0</v>
      </c>
      <c r="CK30" s="242">
        <f t="shared" ca="1" si="81"/>
        <v>0</v>
      </c>
      <c r="CL30" s="241">
        <f t="shared" ca="1" si="552"/>
        <v>1</v>
      </c>
      <c r="CM30" s="220">
        <f t="shared" ca="1" si="82"/>
        <v>0</v>
      </c>
      <c r="CN30" s="220">
        <f t="shared" ca="1" si="83"/>
        <v>0</v>
      </c>
      <c r="CO30" s="235">
        <f t="shared" ca="1" si="84"/>
        <v>0</v>
      </c>
      <c r="CP30" s="235">
        <f t="shared" ca="1" si="85"/>
        <v>0</v>
      </c>
      <c r="CQ30" s="242">
        <f t="shared" ca="1" si="86"/>
        <v>0</v>
      </c>
      <c r="CR30" s="241">
        <f t="shared" ca="1" si="552"/>
        <v>1</v>
      </c>
      <c r="CS30" s="220">
        <f t="shared" ca="1" si="87"/>
        <v>0</v>
      </c>
      <c r="CT30" s="220">
        <f t="shared" ca="1" si="88"/>
        <v>0</v>
      </c>
      <c r="CU30" s="235">
        <f t="shared" ca="1" si="89"/>
        <v>0</v>
      </c>
      <c r="CV30" s="235">
        <f t="shared" ca="1" si="90"/>
        <v>0</v>
      </c>
      <c r="CW30" s="242">
        <f t="shared" ca="1" si="91"/>
        <v>0</v>
      </c>
      <c r="CX30" s="241">
        <f t="shared" ca="1" si="51"/>
        <v>1</v>
      </c>
      <c r="CY30" s="220">
        <f t="shared" ca="1" si="92"/>
        <v>0</v>
      </c>
      <c r="CZ30" s="220">
        <f t="shared" ca="1" si="93"/>
        <v>0</v>
      </c>
      <c r="DA30" s="235">
        <f t="shared" ca="1" si="94"/>
        <v>0</v>
      </c>
      <c r="DB30" s="235">
        <f t="shared" ca="1" si="95"/>
        <v>0</v>
      </c>
      <c r="DC30" s="242">
        <f t="shared" ca="1" si="96"/>
        <v>0</v>
      </c>
      <c r="DD30" s="241">
        <f t="shared" ca="1" si="51"/>
        <v>1</v>
      </c>
      <c r="DE30" s="220">
        <f t="shared" ca="1" si="97"/>
        <v>0</v>
      </c>
      <c r="DF30" s="220">
        <f t="shared" ca="1" si="98"/>
        <v>0</v>
      </c>
      <c r="DG30" s="235">
        <f t="shared" ca="1" si="99"/>
        <v>0</v>
      </c>
      <c r="DH30" s="235">
        <f t="shared" ca="1" si="100"/>
        <v>0</v>
      </c>
      <c r="DI30" s="242">
        <f t="shared" ca="1" si="101"/>
        <v>0</v>
      </c>
      <c r="DJ30" s="241">
        <f t="shared" ca="1" si="51"/>
        <v>1</v>
      </c>
      <c r="DK30" s="220">
        <f t="shared" ca="1" si="102"/>
        <v>0</v>
      </c>
      <c r="DL30" s="220">
        <f t="shared" ca="1" si="103"/>
        <v>0</v>
      </c>
      <c r="DM30" s="235">
        <f t="shared" ca="1" si="104"/>
        <v>0</v>
      </c>
      <c r="DN30" s="235">
        <f t="shared" ca="1" si="105"/>
        <v>0</v>
      </c>
      <c r="DO30" s="242">
        <f t="shared" ca="1" si="106"/>
        <v>0</v>
      </c>
      <c r="DP30" s="241">
        <f t="shared" ca="1" si="107"/>
        <v>1</v>
      </c>
      <c r="DQ30" s="220">
        <f t="shared" ca="1" si="108"/>
        <v>0</v>
      </c>
      <c r="DR30" s="220">
        <f t="shared" ca="1" si="109"/>
        <v>0</v>
      </c>
      <c r="DS30" s="235">
        <f t="shared" ca="1" si="110"/>
        <v>0</v>
      </c>
      <c r="DT30" s="235">
        <f t="shared" ca="1" si="111"/>
        <v>0</v>
      </c>
      <c r="DU30" s="242">
        <f t="shared" ca="1" si="112"/>
        <v>0</v>
      </c>
      <c r="DV30" s="241">
        <f t="shared" ca="1" si="107"/>
        <v>1</v>
      </c>
      <c r="DW30" s="220">
        <f t="shared" ca="1" si="113"/>
        <v>0</v>
      </c>
      <c r="DX30" s="220">
        <f t="shared" ca="1" si="114"/>
        <v>0</v>
      </c>
      <c r="DY30" s="235">
        <f t="shared" ca="1" si="115"/>
        <v>0</v>
      </c>
      <c r="DZ30" s="235">
        <f t="shared" ca="1" si="116"/>
        <v>0</v>
      </c>
      <c r="EA30" s="242">
        <f t="shared" ca="1" si="117"/>
        <v>0</v>
      </c>
      <c r="EB30" s="241">
        <f t="shared" ref="EB30:GJ53" ca="1" si="562">IF(($B30+EB$2)&lt;SC_TargetRY,0,IF(($B30+EB$2)=SC_TargetRY,SC_AnnyPmntPr,IF(SP_AnnyTerms="Life",1,IF(($B30+EB$2)=(SC_TargetRY+SP_AnnyPeriod),SC_AnnyPmntPr-1,IF(($B30+EB$2)&gt;(SC_TargetRY+SP_AnnyPeriod),0,1)))))</f>
        <v>1</v>
      </c>
      <c r="EC30" s="220">
        <f t="shared" ca="1" si="118"/>
        <v>0</v>
      </c>
      <c r="ED30" s="220">
        <f t="shared" ca="1" si="119"/>
        <v>0</v>
      </c>
      <c r="EE30" s="235">
        <f t="shared" ca="1" si="120"/>
        <v>0</v>
      </c>
      <c r="EF30" s="235">
        <f t="shared" ca="1" si="121"/>
        <v>0</v>
      </c>
      <c r="EG30" s="242">
        <f t="shared" ca="1" si="122"/>
        <v>0</v>
      </c>
      <c r="EH30" s="241">
        <f t="shared" ca="1" si="562"/>
        <v>1</v>
      </c>
      <c r="EI30" s="220">
        <f t="shared" ca="1" si="123"/>
        <v>0</v>
      </c>
      <c r="EJ30" s="220">
        <f t="shared" ca="1" si="124"/>
        <v>0</v>
      </c>
      <c r="EK30" s="235">
        <f t="shared" ca="1" si="125"/>
        <v>0</v>
      </c>
      <c r="EL30" s="235">
        <f t="shared" ca="1" si="126"/>
        <v>0</v>
      </c>
      <c r="EM30" s="242">
        <f t="shared" ca="1" si="127"/>
        <v>0</v>
      </c>
      <c r="EN30" s="241">
        <f t="shared" ca="1" si="562"/>
        <v>1</v>
      </c>
      <c r="EO30" s="220">
        <f t="shared" ca="1" si="128"/>
        <v>0</v>
      </c>
      <c r="EP30" s="220">
        <f t="shared" ca="1" si="129"/>
        <v>0</v>
      </c>
      <c r="EQ30" s="235">
        <f t="shared" ca="1" si="130"/>
        <v>0</v>
      </c>
      <c r="ER30" s="235">
        <f t="shared" ca="1" si="131"/>
        <v>0</v>
      </c>
      <c r="ES30" s="242">
        <f t="shared" ca="1" si="132"/>
        <v>0</v>
      </c>
      <c r="ET30" s="241">
        <f t="shared" ca="1" si="562"/>
        <v>1</v>
      </c>
      <c r="EU30" s="220">
        <f t="shared" ca="1" si="133"/>
        <v>0</v>
      </c>
      <c r="EV30" s="220">
        <f t="shared" ca="1" si="134"/>
        <v>0</v>
      </c>
      <c r="EW30" s="235">
        <f t="shared" ca="1" si="135"/>
        <v>0</v>
      </c>
      <c r="EX30" s="235">
        <f t="shared" ca="1" si="136"/>
        <v>0</v>
      </c>
      <c r="EY30" s="242">
        <f t="shared" ca="1" si="137"/>
        <v>0</v>
      </c>
      <c r="EZ30" s="241">
        <f t="shared" ca="1" si="562"/>
        <v>1</v>
      </c>
      <c r="FA30" s="220">
        <f t="shared" ca="1" si="138"/>
        <v>0</v>
      </c>
      <c r="FB30" s="220">
        <f t="shared" ca="1" si="139"/>
        <v>0</v>
      </c>
      <c r="FC30" s="235">
        <f t="shared" ca="1" si="140"/>
        <v>0</v>
      </c>
      <c r="FD30" s="235">
        <f t="shared" ca="1" si="141"/>
        <v>0</v>
      </c>
      <c r="FE30" s="242">
        <f t="shared" ca="1" si="142"/>
        <v>0</v>
      </c>
      <c r="FF30" s="241">
        <f t="shared" ca="1" si="562"/>
        <v>1</v>
      </c>
      <c r="FG30" s="220">
        <f t="shared" ca="1" si="143"/>
        <v>0</v>
      </c>
      <c r="FH30" s="220">
        <f t="shared" ca="1" si="144"/>
        <v>0</v>
      </c>
      <c r="FI30" s="235">
        <f t="shared" ca="1" si="145"/>
        <v>0</v>
      </c>
      <c r="FJ30" s="235">
        <f t="shared" ca="1" si="146"/>
        <v>0</v>
      </c>
      <c r="FK30" s="242">
        <f t="shared" ca="1" si="147"/>
        <v>0</v>
      </c>
      <c r="FL30" s="241">
        <f t="shared" ca="1" si="562"/>
        <v>1</v>
      </c>
      <c r="FM30" s="220">
        <f t="shared" ca="1" si="148"/>
        <v>0</v>
      </c>
      <c r="FN30" s="220">
        <f t="shared" ca="1" si="149"/>
        <v>0</v>
      </c>
      <c r="FO30" s="235">
        <f t="shared" ca="1" si="150"/>
        <v>0</v>
      </c>
      <c r="FP30" s="235">
        <f t="shared" ca="1" si="151"/>
        <v>0</v>
      </c>
      <c r="FQ30" s="242">
        <f t="shared" ca="1" si="152"/>
        <v>0</v>
      </c>
      <c r="FR30" s="241">
        <f t="shared" ca="1" si="562"/>
        <v>1</v>
      </c>
      <c r="FS30" s="220">
        <f t="shared" ca="1" si="153"/>
        <v>0</v>
      </c>
      <c r="FT30" s="220">
        <f t="shared" ca="1" si="154"/>
        <v>0</v>
      </c>
      <c r="FU30" s="235">
        <f t="shared" ca="1" si="155"/>
        <v>0</v>
      </c>
      <c r="FV30" s="235">
        <f t="shared" ca="1" si="156"/>
        <v>0</v>
      </c>
      <c r="FW30" s="242">
        <f t="shared" ca="1" si="157"/>
        <v>0</v>
      </c>
      <c r="FX30" s="241">
        <f t="shared" ca="1" si="562"/>
        <v>1</v>
      </c>
      <c r="FY30" s="220">
        <f t="shared" ca="1" si="158"/>
        <v>0</v>
      </c>
      <c r="FZ30" s="220">
        <f t="shared" ca="1" si="159"/>
        <v>0</v>
      </c>
      <c r="GA30" s="235">
        <f t="shared" ca="1" si="160"/>
        <v>0</v>
      </c>
      <c r="GB30" s="235">
        <f t="shared" ca="1" si="161"/>
        <v>0</v>
      </c>
      <c r="GC30" s="242">
        <f t="shared" ca="1" si="162"/>
        <v>0</v>
      </c>
      <c r="GD30" s="241">
        <f t="shared" ca="1" si="562"/>
        <v>1</v>
      </c>
      <c r="GE30" s="220">
        <f t="shared" ca="1" si="164"/>
        <v>0</v>
      </c>
      <c r="GF30" s="220">
        <f t="shared" ca="1" si="165"/>
        <v>0</v>
      </c>
      <c r="GG30" s="235">
        <f t="shared" ca="1" si="166"/>
        <v>0</v>
      </c>
      <c r="GH30" s="235">
        <f t="shared" ca="1" si="167"/>
        <v>0</v>
      </c>
      <c r="GI30" s="242">
        <f t="shared" ca="1" si="168"/>
        <v>0</v>
      </c>
      <c r="GJ30" s="241">
        <f t="shared" ca="1" si="562"/>
        <v>1</v>
      </c>
      <c r="GK30" s="220">
        <f t="shared" ca="1" si="169"/>
        <v>0</v>
      </c>
      <c r="GL30" s="220">
        <f t="shared" ca="1" si="170"/>
        <v>0</v>
      </c>
      <c r="GM30" s="235">
        <f t="shared" ca="1" si="171"/>
        <v>0</v>
      </c>
      <c r="GN30" s="235">
        <f t="shared" ca="1" si="172"/>
        <v>0</v>
      </c>
      <c r="GO30" s="242">
        <f t="shared" ca="1" si="173"/>
        <v>0</v>
      </c>
      <c r="GP30" s="241">
        <f t="shared" ca="1" si="163"/>
        <v>1</v>
      </c>
      <c r="GQ30" s="220">
        <f t="shared" ca="1" si="174"/>
        <v>0</v>
      </c>
      <c r="GR30" s="220">
        <f t="shared" ca="1" si="175"/>
        <v>0</v>
      </c>
      <c r="GS30" s="235">
        <f t="shared" ca="1" si="176"/>
        <v>0</v>
      </c>
      <c r="GT30" s="235">
        <f t="shared" ca="1" si="177"/>
        <v>0</v>
      </c>
      <c r="GU30" s="242">
        <f t="shared" ca="1" si="178"/>
        <v>0</v>
      </c>
      <c r="GV30" s="241">
        <f t="shared" ca="1" si="163"/>
        <v>1</v>
      </c>
      <c r="GW30" s="220">
        <f t="shared" ca="1" si="179"/>
        <v>0</v>
      </c>
      <c r="GX30" s="220">
        <f t="shared" ca="1" si="180"/>
        <v>0</v>
      </c>
      <c r="GY30" s="235">
        <f t="shared" ca="1" si="181"/>
        <v>0</v>
      </c>
      <c r="GZ30" s="235">
        <f t="shared" ca="1" si="182"/>
        <v>0</v>
      </c>
      <c r="HA30" s="242">
        <f t="shared" ca="1" si="183"/>
        <v>0</v>
      </c>
      <c r="HB30" s="241">
        <f t="shared" ref="HB30:JJ53" ca="1" si="563">IF(($B30+HB$2)&lt;SC_TargetRY,0,IF(($B30+HB$2)=SC_TargetRY,SC_AnnyPmntPr,IF(SP_AnnyTerms="Life",1,IF(($B30+HB$2)=(SC_TargetRY+SP_AnnyPeriod),SC_AnnyPmntPr-1,IF(($B30+HB$2)&gt;(SC_TargetRY+SP_AnnyPeriod),0,1)))))</f>
        <v>1</v>
      </c>
      <c r="HC30" s="220">
        <f t="shared" ca="1" si="184"/>
        <v>0</v>
      </c>
      <c r="HD30" s="220">
        <f t="shared" ca="1" si="185"/>
        <v>0</v>
      </c>
      <c r="HE30" s="235">
        <f t="shared" ca="1" si="186"/>
        <v>0</v>
      </c>
      <c r="HF30" s="235">
        <f t="shared" ca="1" si="187"/>
        <v>0</v>
      </c>
      <c r="HG30" s="242">
        <f t="shared" ca="1" si="188"/>
        <v>0</v>
      </c>
      <c r="HH30" s="241">
        <f t="shared" ca="1" si="563"/>
        <v>1</v>
      </c>
      <c r="HI30" s="220">
        <f t="shared" ca="1" si="189"/>
        <v>0</v>
      </c>
      <c r="HJ30" s="220">
        <f t="shared" ca="1" si="190"/>
        <v>0</v>
      </c>
      <c r="HK30" s="235">
        <f t="shared" ca="1" si="191"/>
        <v>0</v>
      </c>
      <c r="HL30" s="235">
        <f t="shared" ca="1" si="192"/>
        <v>0</v>
      </c>
      <c r="HM30" s="242">
        <f t="shared" ca="1" si="193"/>
        <v>0</v>
      </c>
      <c r="HN30" s="241">
        <f t="shared" ca="1" si="563"/>
        <v>1</v>
      </c>
      <c r="HO30" s="220">
        <f t="shared" ca="1" si="194"/>
        <v>0</v>
      </c>
      <c r="HP30" s="220">
        <f t="shared" ca="1" si="195"/>
        <v>0</v>
      </c>
      <c r="HQ30" s="235">
        <f t="shared" ca="1" si="196"/>
        <v>0</v>
      </c>
      <c r="HR30" s="235">
        <f t="shared" ca="1" si="197"/>
        <v>0</v>
      </c>
      <c r="HS30" s="242">
        <f t="shared" ca="1" si="198"/>
        <v>0</v>
      </c>
      <c r="HT30" s="241">
        <f t="shared" ca="1" si="563"/>
        <v>1</v>
      </c>
      <c r="HU30" s="220">
        <f t="shared" ca="1" si="199"/>
        <v>0</v>
      </c>
      <c r="HV30" s="220">
        <f t="shared" ca="1" si="200"/>
        <v>0</v>
      </c>
      <c r="HW30" s="235">
        <f t="shared" ca="1" si="201"/>
        <v>0</v>
      </c>
      <c r="HX30" s="235">
        <f t="shared" ca="1" si="202"/>
        <v>0</v>
      </c>
      <c r="HY30" s="242">
        <f t="shared" ca="1" si="203"/>
        <v>0</v>
      </c>
      <c r="HZ30" s="241">
        <f t="shared" ca="1" si="563"/>
        <v>1</v>
      </c>
      <c r="IA30" s="220">
        <f t="shared" ca="1" si="204"/>
        <v>0</v>
      </c>
      <c r="IB30" s="220">
        <f t="shared" ca="1" si="205"/>
        <v>0</v>
      </c>
      <c r="IC30" s="235">
        <f t="shared" ca="1" si="206"/>
        <v>0</v>
      </c>
      <c r="ID30" s="235">
        <f t="shared" ca="1" si="207"/>
        <v>0</v>
      </c>
      <c r="IE30" s="242">
        <f t="shared" ca="1" si="208"/>
        <v>0</v>
      </c>
      <c r="IF30" s="241">
        <f t="shared" ca="1" si="563"/>
        <v>1</v>
      </c>
      <c r="IG30" s="220">
        <f t="shared" ca="1" si="209"/>
        <v>0</v>
      </c>
      <c r="IH30" s="220">
        <f t="shared" ca="1" si="210"/>
        <v>0</v>
      </c>
      <c r="II30" s="235">
        <f t="shared" ca="1" si="211"/>
        <v>0</v>
      </c>
      <c r="IJ30" s="235">
        <f t="shared" ca="1" si="212"/>
        <v>0</v>
      </c>
      <c r="IK30" s="242">
        <f t="shared" ca="1" si="213"/>
        <v>0</v>
      </c>
      <c r="IL30" s="241">
        <f t="shared" ca="1" si="563"/>
        <v>1</v>
      </c>
      <c r="IM30" s="220">
        <f t="shared" ca="1" si="214"/>
        <v>0</v>
      </c>
      <c r="IN30" s="220">
        <f t="shared" ca="1" si="215"/>
        <v>0</v>
      </c>
      <c r="IO30" s="235">
        <f t="shared" ca="1" si="216"/>
        <v>0</v>
      </c>
      <c r="IP30" s="235">
        <f t="shared" ca="1" si="217"/>
        <v>0</v>
      </c>
      <c r="IQ30" s="242">
        <f t="shared" ca="1" si="218"/>
        <v>0</v>
      </c>
      <c r="IR30" s="241">
        <f t="shared" ca="1" si="563"/>
        <v>1</v>
      </c>
      <c r="IS30" s="220">
        <f t="shared" ca="1" si="220"/>
        <v>0</v>
      </c>
      <c r="IT30" s="220">
        <f t="shared" ca="1" si="221"/>
        <v>0</v>
      </c>
      <c r="IU30" s="235">
        <f t="shared" ca="1" si="222"/>
        <v>0</v>
      </c>
      <c r="IV30" s="235">
        <f t="shared" ca="1" si="223"/>
        <v>0</v>
      </c>
      <c r="IW30" s="242">
        <f t="shared" ca="1" si="224"/>
        <v>0</v>
      </c>
      <c r="IX30" s="241">
        <f t="shared" ca="1" si="563"/>
        <v>1</v>
      </c>
      <c r="IY30" s="220">
        <f t="shared" ca="1" si="225"/>
        <v>0</v>
      </c>
      <c r="IZ30" s="220">
        <f t="shared" ca="1" si="226"/>
        <v>0</v>
      </c>
      <c r="JA30" s="235">
        <f t="shared" ca="1" si="227"/>
        <v>0</v>
      </c>
      <c r="JB30" s="235">
        <f t="shared" ca="1" si="228"/>
        <v>0</v>
      </c>
      <c r="JC30" s="242">
        <f t="shared" ca="1" si="229"/>
        <v>0</v>
      </c>
      <c r="JD30" s="241">
        <f t="shared" ca="1" si="563"/>
        <v>1</v>
      </c>
      <c r="JE30" s="220">
        <f t="shared" ca="1" si="230"/>
        <v>0</v>
      </c>
      <c r="JF30" s="220">
        <f t="shared" ca="1" si="231"/>
        <v>0</v>
      </c>
      <c r="JG30" s="235">
        <f t="shared" ca="1" si="232"/>
        <v>0</v>
      </c>
      <c r="JH30" s="235">
        <f t="shared" ca="1" si="233"/>
        <v>0</v>
      </c>
      <c r="JI30" s="242">
        <f t="shared" ca="1" si="234"/>
        <v>0</v>
      </c>
      <c r="JJ30" s="241">
        <f t="shared" ca="1" si="563"/>
        <v>1</v>
      </c>
      <c r="JK30" s="220">
        <f t="shared" ca="1" si="235"/>
        <v>0</v>
      </c>
      <c r="JL30" s="220">
        <f t="shared" ca="1" si="236"/>
        <v>0</v>
      </c>
      <c r="JM30" s="235">
        <f t="shared" ca="1" si="237"/>
        <v>0</v>
      </c>
      <c r="JN30" s="235">
        <f t="shared" ca="1" si="238"/>
        <v>0</v>
      </c>
      <c r="JO30" s="242">
        <f t="shared" ca="1" si="239"/>
        <v>0</v>
      </c>
      <c r="JP30" s="241">
        <f t="shared" ca="1" si="219"/>
        <v>1</v>
      </c>
      <c r="JQ30" s="220">
        <f t="shared" ca="1" si="240"/>
        <v>0</v>
      </c>
      <c r="JR30" s="220">
        <f t="shared" ca="1" si="241"/>
        <v>0</v>
      </c>
      <c r="JS30" s="235">
        <f t="shared" ca="1" si="242"/>
        <v>0</v>
      </c>
      <c r="JT30" s="235">
        <f t="shared" ca="1" si="243"/>
        <v>0</v>
      </c>
      <c r="JU30" s="242">
        <f t="shared" ca="1" si="244"/>
        <v>0</v>
      </c>
      <c r="JV30" s="241">
        <f t="shared" ca="1" si="219"/>
        <v>1</v>
      </c>
      <c r="JW30" s="220">
        <f t="shared" ca="1" si="245"/>
        <v>0</v>
      </c>
      <c r="JX30" s="220">
        <f t="shared" ca="1" si="246"/>
        <v>0</v>
      </c>
      <c r="JY30" s="235">
        <f t="shared" ca="1" si="247"/>
        <v>0</v>
      </c>
      <c r="JZ30" s="235">
        <f t="shared" ca="1" si="248"/>
        <v>0</v>
      </c>
      <c r="KA30" s="242">
        <f t="shared" ca="1" si="249"/>
        <v>0</v>
      </c>
      <c r="KB30" s="241">
        <f t="shared" ref="KB30:MJ53" ca="1" si="564">IF(($B30+KB$2)&lt;SC_TargetRY,0,IF(($B30+KB$2)=SC_TargetRY,SC_AnnyPmntPr,IF(SP_AnnyTerms="Life",1,IF(($B30+KB$2)=(SC_TargetRY+SP_AnnyPeriod),SC_AnnyPmntPr-1,IF(($B30+KB$2)&gt;(SC_TargetRY+SP_AnnyPeriod),0,1)))))</f>
        <v>1</v>
      </c>
      <c r="KC30" s="220">
        <f t="shared" ca="1" si="250"/>
        <v>0</v>
      </c>
      <c r="KD30" s="220">
        <f t="shared" ca="1" si="251"/>
        <v>0</v>
      </c>
      <c r="KE30" s="235">
        <f t="shared" ca="1" si="252"/>
        <v>0</v>
      </c>
      <c r="KF30" s="235">
        <f t="shared" ca="1" si="253"/>
        <v>0</v>
      </c>
      <c r="KG30" s="242">
        <f t="shared" ca="1" si="254"/>
        <v>0</v>
      </c>
      <c r="KH30" s="241">
        <f t="shared" ca="1" si="564"/>
        <v>1</v>
      </c>
      <c r="KI30" s="220">
        <f t="shared" ca="1" si="255"/>
        <v>0</v>
      </c>
      <c r="KJ30" s="220">
        <f t="shared" ca="1" si="256"/>
        <v>0</v>
      </c>
      <c r="KK30" s="235">
        <f t="shared" ca="1" si="257"/>
        <v>0</v>
      </c>
      <c r="KL30" s="235">
        <f t="shared" ca="1" si="258"/>
        <v>0</v>
      </c>
      <c r="KM30" s="242">
        <f t="shared" ca="1" si="259"/>
        <v>0</v>
      </c>
      <c r="KN30" s="241">
        <f t="shared" ca="1" si="564"/>
        <v>1</v>
      </c>
      <c r="KO30" s="220">
        <f t="shared" ca="1" si="260"/>
        <v>0</v>
      </c>
      <c r="KP30" s="220">
        <f t="shared" ca="1" si="261"/>
        <v>0</v>
      </c>
      <c r="KQ30" s="235">
        <f t="shared" ca="1" si="262"/>
        <v>0</v>
      </c>
      <c r="KR30" s="235">
        <f t="shared" ca="1" si="263"/>
        <v>0</v>
      </c>
      <c r="KS30" s="242">
        <f t="shared" ca="1" si="264"/>
        <v>0</v>
      </c>
      <c r="KT30" s="241">
        <f t="shared" ca="1" si="564"/>
        <v>1</v>
      </c>
      <c r="KU30" s="220">
        <f t="shared" ca="1" si="265"/>
        <v>0</v>
      </c>
      <c r="KV30" s="220">
        <f t="shared" ca="1" si="266"/>
        <v>0</v>
      </c>
      <c r="KW30" s="235">
        <f t="shared" ca="1" si="267"/>
        <v>0</v>
      </c>
      <c r="KX30" s="235">
        <f t="shared" ca="1" si="268"/>
        <v>0</v>
      </c>
      <c r="KY30" s="242">
        <f t="shared" ca="1" si="269"/>
        <v>0</v>
      </c>
      <c r="KZ30" s="241">
        <f t="shared" ca="1" si="564"/>
        <v>1</v>
      </c>
      <c r="LA30" s="220">
        <f t="shared" ca="1" si="270"/>
        <v>0</v>
      </c>
      <c r="LB30" s="220">
        <f t="shared" ca="1" si="271"/>
        <v>0</v>
      </c>
      <c r="LC30" s="235">
        <f t="shared" ca="1" si="272"/>
        <v>0</v>
      </c>
      <c r="LD30" s="235">
        <f t="shared" ca="1" si="273"/>
        <v>0</v>
      </c>
      <c r="LE30" s="242">
        <f t="shared" ca="1" si="274"/>
        <v>0</v>
      </c>
      <c r="LF30" s="241">
        <f t="shared" ca="1" si="564"/>
        <v>1</v>
      </c>
      <c r="LG30" s="220">
        <f t="shared" ca="1" si="276"/>
        <v>0</v>
      </c>
      <c r="LH30" s="220">
        <f t="shared" ca="1" si="277"/>
        <v>0</v>
      </c>
      <c r="LI30" s="235">
        <f t="shared" ca="1" si="278"/>
        <v>0</v>
      </c>
      <c r="LJ30" s="235">
        <f t="shared" ca="1" si="279"/>
        <v>0</v>
      </c>
      <c r="LK30" s="242">
        <f t="shared" ca="1" si="280"/>
        <v>0</v>
      </c>
      <c r="LL30" s="241">
        <f t="shared" ca="1" si="564"/>
        <v>1</v>
      </c>
      <c r="LM30" s="220">
        <f t="shared" ca="1" si="281"/>
        <v>0</v>
      </c>
      <c r="LN30" s="220">
        <f t="shared" ca="1" si="282"/>
        <v>0</v>
      </c>
      <c r="LO30" s="235">
        <f t="shared" ca="1" si="283"/>
        <v>0</v>
      </c>
      <c r="LP30" s="235">
        <f t="shared" ca="1" si="284"/>
        <v>0</v>
      </c>
      <c r="LQ30" s="242">
        <f t="shared" ca="1" si="285"/>
        <v>0</v>
      </c>
      <c r="LR30" s="241">
        <f t="shared" ca="1" si="564"/>
        <v>1</v>
      </c>
      <c r="LS30" s="220">
        <f t="shared" ca="1" si="286"/>
        <v>0</v>
      </c>
      <c r="LT30" s="220">
        <f t="shared" ca="1" si="287"/>
        <v>0</v>
      </c>
      <c r="LU30" s="235">
        <f t="shared" ca="1" si="288"/>
        <v>0</v>
      </c>
      <c r="LV30" s="235">
        <f t="shared" ca="1" si="289"/>
        <v>0</v>
      </c>
      <c r="LW30" s="242">
        <f t="shared" ca="1" si="290"/>
        <v>0</v>
      </c>
      <c r="LX30" s="241">
        <f t="shared" ca="1" si="564"/>
        <v>1</v>
      </c>
      <c r="LY30" s="220">
        <f t="shared" ca="1" si="291"/>
        <v>0</v>
      </c>
      <c r="LZ30" s="220">
        <f t="shared" ca="1" si="292"/>
        <v>0</v>
      </c>
      <c r="MA30" s="235">
        <f t="shared" ca="1" si="293"/>
        <v>0</v>
      </c>
      <c r="MB30" s="235">
        <f t="shared" ca="1" si="294"/>
        <v>0</v>
      </c>
      <c r="MC30" s="242">
        <f t="shared" ca="1" si="295"/>
        <v>0</v>
      </c>
      <c r="MD30" s="241">
        <f t="shared" ca="1" si="564"/>
        <v>1</v>
      </c>
      <c r="ME30" s="220">
        <f t="shared" ca="1" si="296"/>
        <v>0</v>
      </c>
      <c r="MF30" s="220">
        <f t="shared" ca="1" si="297"/>
        <v>0</v>
      </c>
      <c r="MG30" s="235">
        <f t="shared" ca="1" si="298"/>
        <v>0</v>
      </c>
      <c r="MH30" s="235">
        <f t="shared" ca="1" si="299"/>
        <v>0</v>
      </c>
      <c r="MI30" s="242">
        <f t="shared" ca="1" si="300"/>
        <v>0</v>
      </c>
      <c r="MJ30" s="241">
        <f t="shared" ca="1" si="564"/>
        <v>1</v>
      </c>
      <c r="MK30" s="220">
        <f t="shared" ca="1" si="301"/>
        <v>0</v>
      </c>
      <c r="ML30" s="220">
        <f t="shared" ca="1" si="302"/>
        <v>0</v>
      </c>
      <c r="MM30" s="235">
        <f t="shared" ca="1" si="303"/>
        <v>0</v>
      </c>
      <c r="MN30" s="235">
        <f t="shared" ca="1" si="304"/>
        <v>0</v>
      </c>
      <c r="MO30" s="242">
        <f t="shared" ca="1" si="305"/>
        <v>0</v>
      </c>
      <c r="MP30" s="241">
        <f t="shared" ca="1" si="275"/>
        <v>1</v>
      </c>
      <c r="MQ30" s="220">
        <f t="shared" ca="1" si="306"/>
        <v>0</v>
      </c>
      <c r="MR30" s="220">
        <f t="shared" ca="1" si="307"/>
        <v>0</v>
      </c>
      <c r="MS30" s="235">
        <f t="shared" ca="1" si="308"/>
        <v>0</v>
      </c>
      <c r="MT30" s="235">
        <f t="shared" ca="1" si="309"/>
        <v>0</v>
      </c>
      <c r="MU30" s="242">
        <f t="shared" ca="1" si="310"/>
        <v>0</v>
      </c>
      <c r="MV30" s="241">
        <f t="shared" ca="1" si="275"/>
        <v>1</v>
      </c>
      <c r="MW30" s="220">
        <f t="shared" ca="1" si="311"/>
        <v>0</v>
      </c>
      <c r="MX30" s="220">
        <f t="shared" ca="1" si="312"/>
        <v>0</v>
      </c>
      <c r="MY30" s="235">
        <f t="shared" ca="1" si="313"/>
        <v>0</v>
      </c>
      <c r="MZ30" s="235">
        <f t="shared" ca="1" si="314"/>
        <v>0</v>
      </c>
      <c r="NA30" s="242">
        <f t="shared" ca="1" si="315"/>
        <v>0</v>
      </c>
      <c r="NB30" s="241">
        <f t="shared" ref="NB30:PJ53" ca="1" si="565">IF(($B30+NB$2)&lt;SC_TargetRY,0,IF(($B30+NB$2)=SC_TargetRY,SC_AnnyPmntPr,IF(SP_AnnyTerms="Life",1,IF(($B30+NB$2)=(SC_TargetRY+SP_AnnyPeriod),SC_AnnyPmntPr-1,IF(($B30+NB$2)&gt;(SC_TargetRY+SP_AnnyPeriod),0,1)))))</f>
        <v>1</v>
      </c>
      <c r="NC30" s="220">
        <f t="shared" ca="1" si="316"/>
        <v>0</v>
      </c>
      <c r="ND30" s="220">
        <f t="shared" ca="1" si="317"/>
        <v>0</v>
      </c>
      <c r="NE30" s="235">
        <f t="shared" ca="1" si="318"/>
        <v>0</v>
      </c>
      <c r="NF30" s="235">
        <f t="shared" ca="1" si="319"/>
        <v>0</v>
      </c>
      <c r="NG30" s="242">
        <f t="shared" ca="1" si="320"/>
        <v>0</v>
      </c>
      <c r="NH30" s="241">
        <f t="shared" ca="1" si="565"/>
        <v>1</v>
      </c>
      <c r="NI30" s="220">
        <f t="shared" ca="1" si="321"/>
        <v>0</v>
      </c>
      <c r="NJ30" s="220">
        <f t="shared" ca="1" si="322"/>
        <v>0</v>
      </c>
      <c r="NK30" s="235">
        <f t="shared" ca="1" si="323"/>
        <v>0</v>
      </c>
      <c r="NL30" s="235">
        <f t="shared" ca="1" si="324"/>
        <v>0</v>
      </c>
      <c r="NM30" s="242">
        <f t="shared" ca="1" si="325"/>
        <v>0</v>
      </c>
      <c r="NN30" s="241">
        <f t="shared" ca="1" si="565"/>
        <v>1</v>
      </c>
      <c r="NO30" s="220">
        <f t="shared" ca="1" si="326"/>
        <v>0</v>
      </c>
      <c r="NP30" s="220">
        <f t="shared" ca="1" si="327"/>
        <v>0</v>
      </c>
      <c r="NQ30" s="235">
        <f t="shared" ca="1" si="328"/>
        <v>0</v>
      </c>
      <c r="NR30" s="235">
        <f t="shared" ca="1" si="329"/>
        <v>0</v>
      </c>
      <c r="NS30" s="242">
        <f t="shared" ca="1" si="330"/>
        <v>0</v>
      </c>
      <c r="NT30" s="241">
        <f t="shared" ca="1" si="565"/>
        <v>1</v>
      </c>
      <c r="NU30" s="220">
        <f t="shared" ca="1" si="332"/>
        <v>0</v>
      </c>
      <c r="NV30" s="220">
        <f t="shared" ca="1" si="333"/>
        <v>0</v>
      </c>
      <c r="NW30" s="235">
        <f t="shared" ca="1" si="334"/>
        <v>0</v>
      </c>
      <c r="NX30" s="235">
        <f t="shared" ca="1" si="335"/>
        <v>0</v>
      </c>
      <c r="NY30" s="242">
        <f t="shared" ca="1" si="336"/>
        <v>0</v>
      </c>
      <c r="NZ30" s="241">
        <f t="shared" ca="1" si="565"/>
        <v>1</v>
      </c>
      <c r="OA30" s="220">
        <f t="shared" ca="1" si="337"/>
        <v>0</v>
      </c>
      <c r="OB30" s="220">
        <f t="shared" ca="1" si="338"/>
        <v>0</v>
      </c>
      <c r="OC30" s="235">
        <f t="shared" ca="1" si="339"/>
        <v>0</v>
      </c>
      <c r="OD30" s="235">
        <f t="shared" ca="1" si="340"/>
        <v>0</v>
      </c>
      <c r="OE30" s="242">
        <f t="shared" ca="1" si="341"/>
        <v>0</v>
      </c>
      <c r="OF30" s="241">
        <f t="shared" ca="1" si="565"/>
        <v>1</v>
      </c>
      <c r="OG30" s="220">
        <f t="shared" ca="1" si="342"/>
        <v>0</v>
      </c>
      <c r="OH30" s="220">
        <f t="shared" ca="1" si="343"/>
        <v>0</v>
      </c>
      <c r="OI30" s="235">
        <f t="shared" ca="1" si="344"/>
        <v>0</v>
      </c>
      <c r="OJ30" s="235">
        <f t="shared" ca="1" si="345"/>
        <v>0</v>
      </c>
      <c r="OK30" s="242">
        <f t="shared" ca="1" si="346"/>
        <v>0</v>
      </c>
      <c r="OL30" s="241">
        <f t="shared" ca="1" si="565"/>
        <v>1</v>
      </c>
      <c r="OM30" s="220">
        <f t="shared" ca="1" si="347"/>
        <v>0</v>
      </c>
      <c r="ON30" s="220">
        <f t="shared" ca="1" si="348"/>
        <v>0</v>
      </c>
      <c r="OO30" s="235">
        <f t="shared" ca="1" si="349"/>
        <v>0</v>
      </c>
      <c r="OP30" s="235">
        <f t="shared" ca="1" si="350"/>
        <v>0</v>
      </c>
      <c r="OQ30" s="242">
        <f t="shared" ca="1" si="351"/>
        <v>0</v>
      </c>
      <c r="OR30" s="241">
        <f t="shared" ca="1" si="565"/>
        <v>1</v>
      </c>
      <c r="OS30" s="220">
        <f t="shared" ca="1" si="352"/>
        <v>0</v>
      </c>
      <c r="OT30" s="220">
        <f t="shared" ca="1" si="353"/>
        <v>0</v>
      </c>
      <c r="OU30" s="235">
        <f t="shared" ca="1" si="354"/>
        <v>0</v>
      </c>
      <c r="OV30" s="235">
        <f t="shared" ca="1" si="355"/>
        <v>0</v>
      </c>
      <c r="OW30" s="242">
        <f t="shared" ca="1" si="356"/>
        <v>0</v>
      </c>
      <c r="OX30" s="241">
        <f t="shared" ca="1" si="565"/>
        <v>1</v>
      </c>
      <c r="OY30" s="220">
        <f t="shared" ca="1" si="357"/>
        <v>0</v>
      </c>
      <c r="OZ30" s="220">
        <f t="shared" ca="1" si="358"/>
        <v>0</v>
      </c>
      <c r="PA30" s="235">
        <f t="shared" ca="1" si="359"/>
        <v>0</v>
      </c>
      <c r="PB30" s="235">
        <f t="shared" ca="1" si="360"/>
        <v>0</v>
      </c>
      <c r="PC30" s="242">
        <f t="shared" ca="1" si="361"/>
        <v>0</v>
      </c>
      <c r="PD30" s="241">
        <f t="shared" ca="1" si="565"/>
        <v>1</v>
      </c>
      <c r="PE30" s="220">
        <f t="shared" ca="1" si="362"/>
        <v>0</v>
      </c>
      <c r="PF30" s="220">
        <f t="shared" ca="1" si="363"/>
        <v>0</v>
      </c>
      <c r="PG30" s="235">
        <f t="shared" ca="1" si="364"/>
        <v>0</v>
      </c>
      <c r="PH30" s="235">
        <f t="shared" ca="1" si="365"/>
        <v>0</v>
      </c>
      <c r="PI30" s="242">
        <f t="shared" ca="1" si="366"/>
        <v>0</v>
      </c>
      <c r="PJ30" s="241">
        <f t="shared" ca="1" si="565"/>
        <v>1</v>
      </c>
      <c r="PK30" s="220">
        <f t="shared" ca="1" si="367"/>
        <v>0</v>
      </c>
      <c r="PL30" s="220">
        <f t="shared" ca="1" si="368"/>
        <v>0</v>
      </c>
      <c r="PM30" s="235">
        <f t="shared" ca="1" si="369"/>
        <v>0</v>
      </c>
      <c r="PN30" s="235">
        <f t="shared" ca="1" si="370"/>
        <v>0</v>
      </c>
      <c r="PO30" s="242">
        <f t="shared" ca="1" si="371"/>
        <v>0</v>
      </c>
      <c r="PP30" s="241">
        <f t="shared" ca="1" si="331"/>
        <v>1</v>
      </c>
      <c r="PQ30" s="220">
        <f t="shared" ca="1" si="372"/>
        <v>0</v>
      </c>
      <c r="PR30" s="220">
        <f t="shared" ca="1" si="373"/>
        <v>0</v>
      </c>
      <c r="PS30" s="235">
        <f t="shared" ca="1" si="374"/>
        <v>0</v>
      </c>
      <c r="PT30" s="235">
        <f t="shared" ca="1" si="375"/>
        <v>0</v>
      </c>
      <c r="PU30" s="242">
        <f t="shared" ca="1" si="376"/>
        <v>0</v>
      </c>
      <c r="PV30" s="241">
        <f t="shared" ca="1" si="331"/>
        <v>1</v>
      </c>
      <c r="PW30" s="220">
        <f t="shared" ca="1" si="377"/>
        <v>0</v>
      </c>
      <c r="PX30" s="220">
        <f t="shared" ca="1" si="378"/>
        <v>0</v>
      </c>
      <c r="PY30" s="235">
        <f t="shared" ca="1" si="379"/>
        <v>0</v>
      </c>
      <c r="PZ30" s="235">
        <f t="shared" ca="1" si="380"/>
        <v>0</v>
      </c>
      <c r="QA30" s="242">
        <f t="shared" ca="1" si="381"/>
        <v>0</v>
      </c>
      <c r="QB30" s="241">
        <f t="shared" ref="QB30:SJ53" ca="1" si="566">IF(($B30+QB$2)&lt;SC_TargetRY,0,IF(($B30+QB$2)=SC_TargetRY,SC_AnnyPmntPr,IF(SP_AnnyTerms="Life",1,IF(($B30+QB$2)=(SC_TargetRY+SP_AnnyPeriod),SC_AnnyPmntPr-1,IF(($B30+QB$2)&gt;(SC_TargetRY+SP_AnnyPeriod),0,1)))))</f>
        <v>1</v>
      </c>
      <c r="QC30" s="220">
        <f t="shared" ca="1" si="382"/>
        <v>0</v>
      </c>
      <c r="QD30" s="220">
        <f t="shared" ca="1" si="383"/>
        <v>0</v>
      </c>
      <c r="QE30" s="235">
        <f t="shared" ca="1" si="384"/>
        <v>0</v>
      </c>
      <c r="QF30" s="235">
        <f t="shared" ca="1" si="385"/>
        <v>0</v>
      </c>
      <c r="QG30" s="242">
        <f t="shared" ca="1" si="386"/>
        <v>0</v>
      </c>
      <c r="QH30" s="241">
        <f t="shared" ca="1" si="566"/>
        <v>1</v>
      </c>
      <c r="QI30" s="220">
        <f t="shared" ca="1" si="388"/>
        <v>0</v>
      </c>
      <c r="QJ30" s="220">
        <f t="shared" ca="1" si="389"/>
        <v>0</v>
      </c>
      <c r="QK30" s="235">
        <f t="shared" ca="1" si="390"/>
        <v>0</v>
      </c>
      <c r="QL30" s="235">
        <f t="shared" ca="1" si="391"/>
        <v>0</v>
      </c>
      <c r="QM30" s="242">
        <f t="shared" ca="1" si="392"/>
        <v>0</v>
      </c>
      <c r="QN30" s="241">
        <f t="shared" ca="1" si="566"/>
        <v>1</v>
      </c>
      <c r="QO30" s="220">
        <f t="shared" ca="1" si="393"/>
        <v>0</v>
      </c>
      <c r="QP30" s="220">
        <f t="shared" ca="1" si="394"/>
        <v>0</v>
      </c>
      <c r="QQ30" s="235">
        <f t="shared" ca="1" si="395"/>
        <v>0</v>
      </c>
      <c r="QR30" s="235">
        <f t="shared" ca="1" si="396"/>
        <v>0</v>
      </c>
      <c r="QS30" s="242">
        <f t="shared" ca="1" si="397"/>
        <v>0</v>
      </c>
      <c r="QT30" s="241">
        <f t="shared" ca="1" si="566"/>
        <v>1</v>
      </c>
      <c r="QU30" s="220">
        <f t="shared" ca="1" si="398"/>
        <v>0</v>
      </c>
      <c r="QV30" s="220">
        <f t="shared" ca="1" si="399"/>
        <v>0</v>
      </c>
      <c r="QW30" s="235">
        <f t="shared" ca="1" si="400"/>
        <v>0</v>
      </c>
      <c r="QX30" s="235">
        <f t="shared" ca="1" si="401"/>
        <v>0</v>
      </c>
      <c r="QY30" s="242">
        <f t="shared" ca="1" si="402"/>
        <v>0</v>
      </c>
      <c r="QZ30" s="241">
        <f t="shared" ca="1" si="566"/>
        <v>1</v>
      </c>
      <c r="RA30" s="220">
        <f t="shared" ca="1" si="403"/>
        <v>0</v>
      </c>
      <c r="RB30" s="220">
        <f t="shared" ca="1" si="404"/>
        <v>0</v>
      </c>
      <c r="RC30" s="235">
        <f t="shared" ca="1" si="405"/>
        <v>0</v>
      </c>
      <c r="RD30" s="235">
        <f t="shared" ca="1" si="406"/>
        <v>0</v>
      </c>
      <c r="RE30" s="242">
        <f t="shared" ca="1" si="407"/>
        <v>0</v>
      </c>
      <c r="RF30" s="241">
        <f t="shared" ca="1" si="566"/>
        <v>1</v>
      </c>
      <c r="RG30" s="220">
        <f t="shared" ca="1" si="408"/>
        <v>0</v>
      </c>
      <c r="RH30" s="220">
        <f t="shared" ca="1" si="409"/>
        <v>0</v>
      </c>
      <c r="RI30" s="235">
        <f t="shared" ca="1" si="410"/>
        <v>0</v>
      </c>
      <c r="RJ30" s="235">
        <f t="shared" ca="1" si="411"/>
        <v>0</v>
      </c>
      <c r="RK30" s="242">
        <f t="shared" ca="1" si="412"/>
        <v>0</v>
      </c>
      <c r="RL30" s="241">
        <f t="shared" ca="1" si="566"/>
        <v>1</v>
      </c>
      <c r="RM30" s="220">
        <f t="shared" ca="1" si="413"/>
        <v>0</v>
      </c>
      <c r="RN30" s="220">
        <f t="shared" ca="1" si="414"/>
        <v>0</v>
      </c>
      <c r="RO30" s="235">
        <f t="shared" ca="1" si="415"/>
        <v>0</v>
      </c>
      <c r="RP30" s="235">
        <f t="shared" ca="1" si="416"/>
        <v>0</v>
      </c>
      <c r="RQ30" s="242">
        <f t="shared" ca="1" si="417"/>
        <v>0</v>
      </c>
      <c r="RR30" s="241">
        <f t="shared" ca="1" si="566"/>
        <v>1</v>
      </c>
      <c r="RS30" s="220">
        <f t="shared" ca="1" si="418"/>
        <v>0</v>
      </c>
      <c r="RT30" s="220">
        <f t="shared" ca="1" si="419"/>
        <v>0</v>
      </c>
      <c r="RU30" s="235">
        <f t="shared" ca="1" si="420"/>
        <v>0</v>
      </c>
      <c r="RV30" s="235">
        <f t="shared" ca="1" si="421"/>
        <v>0</v>
      </c>
      <c r="RW30" s="242">
        <f t="shared" ca="1" si="422"/>
        <v>0</v>
      </c>
      <c r="RX30" s="241">
        <f t="shared" ca="1" si="566"/>
        <v>1</v>
      </c>
      <c r="RY30" s="220">
        <f t="shared" ca="1" si="423"/>
        <v>0</v>
      </c>
      <c r="RZ30" s="220">
        <f t="shared" ca="1" si="424"/>
        <v>0</v>
      </c>
      <c r="SA30" s="235">
        <f t="shared" ca="1" si="425"/>
        <v>0</v>
      </c>
      <c r="SB30" s="235">
        <f t="shared" ca="1" si="426"/>
        <v>0</v>
      </c>
      <c r="SC30" s="242">
        <f t="shared" ca="1" si="427"/>
        <v>0</v>
      </c>
      <c r="SD30" s="241">
        <f t="shared" ca="1" si="566"/>
        <v>1</v>
      </c>
      <c r="SE30" s="220">
        <f t="shared" ca="1" si="428"/>
        <v>0</v>
      </c>
      <c r="SF30" s="220">
        <f t="shared" ca="1" si="429"/>
        <v>0</v>
      </c>
      <c r="SG30" s="235">
        <f t="shared" ca="1" si="430"/>
        <v>0</v>
      </c>
      <c r="SH30" s="235">
        <f t="shared" ca="1" si="431"/>
        <v>0</v>
      </c>
      <c r="SI30" s="242">
        <f t="shared" ca="1" si="432"/>
        <v>0</v>
      </c>
      <c r="SJ30" s="241">
        <f t="shared" ca="1" si="566"/>
        <v>1</v>
      </c>
      <c r="SK30" s="220">
        <f t="shared" ca="1" si="433"/>
        <v>0</v>
      </c>
      <c r="SL30" s="220">
        <f t="shared" ca="1" si="434"/>
        <v>0</v>
      </c>
      <c r="SM30" s="235">
        <f t="shared" ca="1" si="435"/>
        <v>0</v>
      </c>
      <c r="SN30" s="235">
        <f t="shared" ca="1" si="436"/>
        <v>0</v>
      </c>
      <c r="SO30" s="242">
        <f t="shared" ca="1" si="437"/>
        <v>0</v>
      </c>
      <c r="SP30" s="241">
        <f t="shared" ca="1" si="387"/>
        <v>1</v>
      </c>
      <c r="SQ30" s="220">
        <f t="shared" ca="1" si="438"/>
        <v>0</v>
      </c>
      <c r="SR30" s="220">
        <f t="shared" ca="1" si="439"/>
        <v>0</v>
      </c>
      <c r="SS30" s="235">
        <f t="shared" ca="1" si="440"/>
        <v>0</v>
      </c>
      <c r="ST30" s="235">
        <f t="shared" ca="1" si="441"/>
        <v>0</v>
      </c>
      <c r="SU30" s="242">
        <f t="shared" ca="1" si="442"/>
        <v>0</v>
      </c>
      <c r="SV30" s="241">
        <f t="shared" ca="1" si="443"/>
        <v>1</v>
      </c>
      <c r="SW30" s="220">
        <f t="shared" ca="1" si="444"/>
        <v>0</v>
      </c>
      <c r="SX30" s="220">
        <f t="shared" ca="1" si="445"/>
        <v>0</v>
      </c>
      <c r="SY30" s="235">
        <f t="shared" ca="1" si="446"/>
        <v>0</v>
      </c>
      <c r="SZ30" s="235">
        <f t="shared" ca="1" si="447"/>
        <v>0</v>
      </c>
      <c r="TA30" s="242">
        <f t="shared" ca="1" si="448"/>
        <v>0</v>
      </c>
      <c r="TB30" s="241">
        <f t="shared" ca="1" si="443"/>
        <v>1</v>
      </c>
      <c r="TC30" s="220">
        <f t="shared" ca="1" si="449"/>
        <v>0</v>
      </c>
      <c r="TD30" s="220">
        <f t="shared" ca="1" si="450"/>
        <v>0</v>
      </c>
      <c r="TE30" s="235">
        <f t="shared" ca="1" si="451"/>
        <v>0</v>
      </c>
      <c r="TF30" s="235">
        <f t="shared" ca="1" si="452"/>
        <v>0</v>
      </c>
      <c r="TG30" s="242">
        <f t="shared" ca="1" si="453"/>
        <v>0</v>
      </c>
      <c r="TH30" s="241">
        <f t="shared" ref="TH30:VP86" ca="1" si="567">IF(($B30+TH$2)&lt;SC_TargetRY,0,IF(($B30+TH$2)=SC_TargetRY,SC_AnnyPmntPr,IF(SP_AnnyTerms="Life",1,IF(($B30+TH$2)=(SC_TargetRY+SP_AnnyPeriod),SC_AnnyPmntPr-1,IF(($B30+TH$2)&gt;(SC_TargetRY+SP_AnnyPeriod),0,1)))))</f>
        <v>1</v>
      </c>
      <c r="TI30" s="220">
        <f t="shared" ca="1" si="454"/>
        <v>0</v>
      </c>
      <c r="TJ30" s="220">
        <f t="shared" ca="1" si="455"/>
        <v>0</v>
      </c>
      <c r="TK30" s="235">
        <f t="shared" ca="1" si="456"/>
        <v>0</v>
      </c>
      <c r="TL30" s="235">
        <f t="shared" ca="1" si="457"/>
        <v>0</v>
      </c>
      <c r="TM30" s="242">
        <f t="shared" ca="1" si="458"/>
        <v>0</v>
      </c>
      <c r="TN30" s="241">
        <f t="shared" ca="1" si="567"/>
        <v>1</v>
      </c>
      <c r="TO30" s="220">
        <f t="shared" ca="1" si="459"/>
        <v>0</v>
      </c>
      <c r="TP30" s="220">
        <f t="shared" ca="1" si="460"/>
        <v>0</v>
      </c>
      <c r="TQ30" s="235">
        <f t="shared" ca="1" si="461"/>
        <v>0</v>
      </c>
      <c r="TR30" s="235">
        <f t="shared" ca="1" si="462"/>
        <v>0</v>
      </c>
      <c r="TS30" s="242">
        <f t="shared" ca="1" si="463"/>
        <v>0</v>
      </c>
      <c r="TT30" s="241">
        <f t="shared" ca="1" si="567"/>
        <v>1</v>
      </c>
      <c r="TU30" s="220">
        <f t="shared" ca="1" si="464"/>
        <v>0</v>
      </c>
      <c r="TV30" s="220">
        <f t="shared" ca="1" si="465"/>
        <v>0</v>
      </c>
      <c r="TW30" s="235">
        <f t="shared" ca="1" si="466"/>
        <v>0</v>
      </c>
      <c r="TX30" s="235">
        <f t="shared" ca="1" si="467"/>
        <v>0</v>
      </c>
      <c r="TY30" s="242">
        <f t="shared" ca="1" si="468"/>
        <v>0</v>
      </c>
      <c r="TZ30" s="241">
        <f t="shared" ca="1" si="567"/>
        <v>1</v>
      </c>
      <c r="UA30" s="220">
        <f t="shared" ca="1" si="469"/>
        <v>0</v>
      </c>
      <c r="UB30" s="220">
        <f t="shared" ca="1" si="470"/>
        <v>0</v>
      </c>
      <c r="UC30" s="235">
        <f t="shared" ca="1" si="471"/>
        <v>0</v>
      </c>
      <c r="UD30" s="235">
        <f t="shared" ca="1" si="472"/>
        <v>0</v>
      </c>
      <c r="UE30" s="242">
        <f t="shared" ca="1" si="473"/>
        <v>0</v>
      </c>
      <c r="UF30" s="241">
        <f t="shared" ca="1" si="567"/>
        <v>1</v>
      </c>
      <c r="UG30" s="220">
        <f t="shared" ca="1" si="474"/>
        <v>0</v>
      </c>
      <c r="UH30" s="220">
        <f t="shared" ca="1" si="475"/>
        <v>0</v>
      </c>
      <c r="UI30" s="235">
        <f t="shared" ca="1" si="476"/>
        <v>0</v>
      </c>
      <c r="UJ30" s="235">
        <f t="shared" ca="1" si="477"/>
        <v>0</v>
      </c>
      <c r="UK30" s="242">
        <f t="shared" ca="1" si="478"/>
        <v>0</v>
      </c>
      <c r="UL30" s="241">
        <f t="shared" ca="1" si="567"/>
        <v>1</v>
      </c>
      <c r="UM30" s="220">
        <f t="shared" ca="1" si="479"/>
        <v>0</v>
      </c>
      <c r="UN30" s="220">
        <f t="shared" ca="1" si="480"/>
        <v>0</v>
      </c>
      <c r="UO30" s="235">
        <f t="shared" ca="1" si="481"/>
        <v>0</v>
      </c>
      <c r="UP30" s="235">
        <f t="shared" ca="1" si="482"/>
        <v>0</v>
      </c>
      <c r="UQ30" s="242">
        <f t="shared" ca="1" si="483"/>
        <v>0</v>
      </c>
      <c r="UR30" s="241">
        <f t="shared" ca="1" si="567"/>
        <v>1</v>
      </c>
      <c r="US30" s="220">
        <f t="shared" ca="1" si="484"/>
        <v>0</v>
      </c>
      <c r="UT30" s="220">
        <f t="shared" ca="1" si="485"/>
        <v>0</v>
      </c>
      <c r="UU30" s="235">
        <f t="shared" ca="1" si="486"/>
        <v>0</v>
      </c>
      <c r="UV30" s="235">
        <f t="shared" ca="1" si="487"/>
        <v>0</v>
      </c>
      <c r="UW30" s="242">
        <f t="shared" ca="1" si="488"/>
        <v>0</v>
      </c>
      <c r="UX30" s="241">
        <f t="shared" ca="1" si="567"/>
        <v>1</v>
      </c>
      <c r="UY30" s="220">
        <f t="shared" ca="1" si="489"/>
        <v>0</v>
      </c>
      <c r="UZ30" s="220">
        <f t="shared" ca="1" si="490"/>
        <v>0</v>
      </c>
      <c r="VA30" s="235">
        <f t="shared" ca="1" si="491"/>
        <v>0</v>
      </c>
      <c r="VB30" s="235">
        <f t="shared" ca="1" si="492"/>
        <v>0</v>
      </c>
      <c r="VC30" s="242">
        <f t="shared" ca="1" si="493"/>
        <v>0</v>
      </c>
      <c r="VD30" s="241">
        <f t="shared" ca="1" si="567"/>
        <v>1</v>
      </c>
      <c r="VE30" s="220">
        <f t="shared" ca="1" si="494"/>
        <v>0</v>
      </c>
      <c r="VF30" s="220">
        <f t="shared" ca="1" si="495"/>
        <v>0</v>
      </c>
      <c r="VG30" s="235">
        <f t="shared" ca="1" si="496"/>
        <v>0</v>
      </c>
      <c r="VH30" s="235">
        <f t="shared" ca="1" si="497"/>
        <v>0</v>
      </c>
      <c r="VI30" s="242">
        <f t="shared" ca="1" si="498"/>
        <v>0</v>
      </c>
      <c r="VJ30" s="241">
        <f t="shared" ca="1" si="567"/>
        <v>1</v>
      </c>
      <c r="VK30" s="220">
        <f t="shared" ca="1" si="500"/>
        <v>0</v>
      </c>
      <c r="VL30" s="220">
        <f t="shared" ca="1" si="501"/>
        <v>0</v>
      </c>
      <c r="VM30" s="235">
        <f t="shared" ca="1" si="502"/>
        <v>0</v>
      </c>
      <c r="VN30" s="235">
        <f t="shared" ca="1" si="503"/>
        <v>0</v>
      </c>
      <c r="VO30" s="242">
        <f t="shared" ca="1" si="504"/>
        <v>0</v>
      </c>
      <c r="VP30" s="241">
        <f t="shared" ca="1" si="567"/>
        <v>1</v>
      </c>
      <c r="VQ30" s="220">
        <f t="shared" ca="1" si="505"/>
        <v>0</v>
      </c>
      <c r="VR30" s="220">
        <f t="shared" ca="1" si="506"/>
        <v>0</v>
      </c>
      <c r="VS30" s="235">
        <f t="shared" ca="1" si="507"/>
        <v>0</v>
      </c>
      <c r="VT30" s="235">
        <f t="shared" ca="1" si="508"/>
        <v>0</v>
      </c>
      <c r="VU30" s="242">
        <f t="shared" ca="1" si="509"/>
        <v>0</v>
      </c>
      <c r="VV30" s="241">
        <f t="shared" ca="1" si="499"/>
        <v>1</v>
      </c>
      <c r="VW30" s="220">
        <f t="shared" ca="1" si="510"/>
        <v>0</v>
      </c>
      <c r="VX30" s="220">
        <f t="shared" ca="1" si="511"/>
        <v>0</v>
      </c>
      <c r="VY30" s="235">
        <f t="shared" ca="1" si="512"/>
        <v>0</v>
      </c>
      <c r="VZ30" s="235">
        <f t="shared" ca="1" si="513"/>
        <v>0</v>
      </c>
      <c r="WA30" s="242">
        <f t="shared" ca="1" si="514"/>
        <v>0</v>
      </c>
      <c r="WB30" s="241">
        <f t="shared" ca="1" si="499"/>
        <v>1</v>
      </c>
      <c r="WC30" s="220">
        <f t="shared" ca="1" si="515"/>
        <v>0</v>
      </c>
      <c r="WD30" s="220">
        <f t="shared" ca="1" si="516"/>
        <v>0</v>
      </c>
      <c r="WE30" s="235">
        <f t="shared" ca="1" si="517"/>
        <v>0</v>
      </c>
      <c r="WF30" s="235">
        <f t="shared" ca="1" si="518"/>
        <v>0</v>
      </c>
      <c r="WG30" s="242">
        <f t="shared" ca="1" si="519"/>
        <v>0</v>
      </c>
      <c r="WH30" s="241">
        <f t="shared" ca="1" si="499"/>
        <v>1</v>
      </c>
      <c r="WI30" s="220">
        <f t="shared" ca="1" si="520"/>
        <v>0</v>
      </c>
      <c r="WJ30" s="220">
        <f t="shared" ca="1" si="521"/>
        <v>0</v>
      </c>
      <c r="WK30" s="235">
        <f t="shared" ca="1" si="522"/>
        <v>0</v>
      </c>
      <c r="WL30" s="235">
        <f t="shared" ca="1" si="523"/>
        <v>0</v>
      </c>
      <c r="WM30" s="242">
        <f t="shared" ca="1" si="524"/>
        <v>0</v>
      </c>
      <c r="WN30" s="241">
        <f t="shared" ca="1" si="499"/>
        <v>1</v>
      </c>
      <c r="WO30" s="220">
        <f t="shared" ca="1" si="525"/>
        <v>0</v>
      </c>
      <c r="WP30" s="220">
        <f t="shared" ca="1" si="526"/>
        <v>0</v>
      </c>
      <c r="WQ30" s="235">
        <f t="shared" ca="1" si="527"/>
        <v>0</v>
      </c>
      <c r="WR30" s="235">
        <f t="shared" ca="1" si="528"/>
        <v>0</v>
      </c>
      <c r="WS30" s="242">
        <f t="shared" ca="1" si="529"/>
        <v>0</v>
      </c>
      <c r="WT30" s="241">
        <f t="shared" ca="1" si="499"/>
        <v>1</v>
      </c>
      <c r="WU30" s="220">
        <f t="shared" ca="1" si="530"/>
        <v>0</v>
      </c>
      <c r="WV30" s="220">
        <f t="shared" ca="1" si="531"/>
        <v>0</v>
      </c>
      <c r="WW30" s="235">
        <f t="shared" ca="1" si="532"/>
        <v>0</v>
      </c>
      <c r="WX30" s="235">
        <f t="shared" ca="1" si="533"/>
        <v>0</v>
      </c>
      <c r="WY30" s="242">
        <f t="shared" ca="1" si="534"/>
        <v>0</v>
      </c>
      <c r="WZ30" s="241">
        <f t="shared" ca="1" si="499"/>
        <v>1</v>
      </c>
      <c r="XA30" s="220">
        <f t="shared" ca="1" si="535"/>
        <v>0</v>
      </c>
      <c r="XB30" s="220">
        <f t="shared" ca="1" si="536"/>
        <v>0</v>
      </c>
      <c r="XC30" s="235">
        <f t="shared" ca="1" si="537"/>
        <v>0</v>
      </c>
      <c r="XD30" s="235">
        <f t="shared" ca="1" si="538"/>
        <v>0</v>
      </c>
      <c r="XE30" s="242">
        <f t="shared" ca="1" si="539"/>
        <v>0</v>
      </c>
      <c r="XF30" s="241">
        <f t="shared" ca="1" si="499"/>
        <v>1</v>
      </c>
      <c r="XG30" s="220">
        <f t="shared" ca="1" si="540"/>
        <v>0</v>
      </c>
      <c r="XH30" s="220">
        <f t="shared" ca="1" si="541"/>
        <v>0</v>
      </c>
      <c r="XI30" s="235">
        <f t="shared" ca="1" si="542"/>
        <v>0</v>
      </c>
      <c r="XJ30" s="235">
        <f t="shared" ca="1" si="543"/>
        <v>0</v>
      </c>
      <c r="XK30" s="242">
        <f t="shared" ca="1" si="544"/>
        <v>0</v>
      </c>
    </row>
    <row r="31" spans="2:635" x14ac:dyDescent="0.25">
      <c r="B31" s="65">
        <f t="shared" ca="1" si="14"/>
        <v>2046</v>
      </c>
      <c r="C31" s="65" t="s">
        <v>741</v>
      </c>
      <c r="D31" s="77">
        <f t="shared" si="15"/>
        <v>0</v>
      </c>
      <c r="E31" s="77">
        <f t="shared" si="16"/>
        <v>0</v>
      </c>
      <c r="F31" s="77">
        <f t="shared" si="17"/>
        <v>0</v>
      </c>
      <c r="G31" s="77">
        <f t="shared" si="18"/>
        <v>0</v>
      </c>
      <c r="H31" s="15" t="e">
        <f t="shared" ca="1" si="19"/>
        <v>#REF!</v>
      </c>
      <c r="L31" s="326">
        <f t="shared" ca="1" si="20"/>
        <v>3.5000000000000003E-2</v>
      </c>
      <c r="M31" s="327">
        <f t="shared" ca="1" si="21"/>
        <v>3.5000000000000003E-2</v>
      </c>
      <c r="N31" s="322">
        <f t="shared" ca="1" si="22"/>
        <v>-23</v>
      </c>
      <c r="O31" s="322">
        <f t="shared" ca="1" si="23"/>
        <v>0</v>
      </c>
      <c r="P31" s="328">
        <f t="shared" ca="1" si="545"/>
        <v>0</v>
      </c>
      <c r="Q31" s="328">
        <f t="shared" ca="1" si="546"/>
        <v>0</v>
      </c>
      <c r="R31" s="328">
        <f t="shared" ca="1" si="547"/>
        <v>0</v>
      </c>
      <c r="S31" s="329">
        <f t="shared" ca="1" si="24"/>
        <v>0</v>
      </c>
      <c r="T31" s="329">
        <f t="shared" ca="1" si="25"/>
        <v>0</v>
      </c>
      <c r="U31" s="329">
        <f t="shared" ca="1" si="26"/>
        <v>0</v>
      </c>
      <c r="V31" s="320" t="e">
        <f t="shared" ca="1" si="27"/>
        <v>#REF!</v>
      </c>
      <c r="W31" s="320" t="e">
        <f t="shared" ca="1" si="560"/>
        <v>#REF!</v>
      </c>
      <c r="X31" s="320" t="e">
        <f t="shared" ca="1" si="29"/>
        <v>#REF!</v>
      </c>
      <c r="Y31" s="320" t="e">
        <f ca="1">INDEX(SC_ZA_HECMLumpSum,ZAIDX)</f>
        <v>#REF!</v>
      </c>
      <c r="Z31" s="320" t="e">
        <f t="shared" ca="1" si="30"/>
        <v>#REF!</v>
      </c>
      <c r="AA31" s="320">
        <f t="shared" ca="1" si="557"/>
        <v>0</v>
      </c>
      <c r="AB31" s="320" t="e">
        <f t="shared" ca="1" si="558"/>
        <v>#REF!</v>
      </c>
      <c r="AC31" s="330" t="e">
        <f t="shared" ca="1" si="559"/>
        <v>#REF!</v>
      </c>
      <c r="AD31" s="236" t="e">
        <f t="shared" ca="1" si="548"/>
        <v>#REF!</v>
      </c>
      <c r="AE31" s="320" t="e">
        <f t="shared" ca="1" si="561"/>
        <v>#REF!</v>
      </c>
      <c r="AF31" s="320" t="e">
        <f t="shared" ca="1" si="35"/>
        <v>#REF!</v>
      </c>
      <c r="AG31" s="320" t="e">
        <f t="shared" ca="1" si="549"/>
        <v>#REF!</v>
      </c>
      <c r="AH31" s="284" t="e">
        <f t="shared" ca="1" si="550"/>
        <v>#REF!</v>
      </c>
      <c r="AI31" s="318" t="e">
        <f t="shared" ca="1" si="551"/>
        <v>#REF!</v>
      </c>
      <c r="AJ31" s="331">
        <f t="shared" ca="1" si="552"/>
        <v>1</v>
      </c>
      <c r="AK31" s="220">
        <f t="shared" ca="1" si="553"/>
        <v>0</v>
      </c>
      <c r="AL31" s="220">
        <f t="shared" ca="1" si="37"/>
        <v>0</v>
      </c>
      <c r="AM31" s="235">
        <f t="shared" ca="1" si="554"/>
        <v>0</v>
      </c>
      <c r="AN31" s="235">
        <f t="shared" ca="1" si="555"/>
        <v>0</v>
      </c>
      <c r="AO31" s="242">
        <f t="shared" ca="1" si="556"/>
        <v>0</v>
      </c>
      <c r="AP31" s="241">
        <f t="shared" ca="1" si="552"/>
        <v>1</v>
      </c>
      <c r="AQ31" s="220">
        <f t="shared" ca="1" si="41"/>
        <v>0</v>
      </c>
      <c r="AR31" s="220">
        <f t="shared" ca="1" si="42"/>
        <v>0</v>
      </c>
      <c r="AS31" s="235">
        <f t="shared" ca="1" si="43"/>
        <v>0</v>
      </c>
      <c r="AT31" s="235">
        <f t="shared" ca="1" si="44"/>
        <v>0</v>
      </c>
      <c r="AU31" s="242">
        <f t="shared" ca="1" si="45"/>
        <v>0</v>
      </c>
      <c r="AV31" s="241">
        <f t="shared" ref="AV31:DD54" ca="1" si="568">IF(($B31+AV$2)&lt;SC_TargetRY,0,IF(($B31+AV$2)=SC_TargetRY,SC_AnnyPmntPr,IF(SP_AnnyTerms="Life",1,IF(($B31+AV$2)=(SC_TargetRY+SP_AnnyPeriod),SC_AnnyPmntPr-1,IF(($B31+AV$2)&gt;(SC_TargetRY+SP_AnnyPeriod),0,1)))))</f>
        <v>1</v>
      </c>
      <c r="AW31" s="220">
        <f t="shared" ca="1" si="46"/>
        <v>0</v>
      </c>
      <c r="AX31" s="220">
        <f t="shared" ca="1" si="47"/>
        <v>0</v>
      </c>
      <c r="AY31" s="235">
        <f t="shared" ca="1" si="48"/>
        <v>0</v>
      </c>
      <c r="AZ31" s="235">
        <f t="shared" ca="1" si="49"/>
        <v>0</v>
      </c>
      <c r="BA31" s="242">
        <f t="shared" ca="1" si="50"/>
        <v>0</v>
      </c>
      <c r="BB31" s="241">
        <f t="shared" ca="1" si="568"/>
        <v>1</v>
      </c>
      <c r="BC31" s="220">
        <f t="shared" ca="1" si="52"/>
        <v>0</v>
      </c>
      <c r="BD31" s="220">
        <f t="shared" ca="1" si="53"/>
        <v>0</v>
      </c>
      <c r="BE31" s="235">
        <f t="shared" ca="1" si="54"/>
        <v>0</v>
      </c>
      <c r="BF31" s="235">
        <f t="shared" ca="1" si="55"/>
        <v>0</v>
      </c>
      <c r="BG31" s="242">
        <f t="shared" ca="1" si="56"/>
        <v>0</v>
      </c>
      <c r="BH31" s="241">
        <f t="shared" ca="1" si="568"/>
        <v>1</v>
      </c>
      <c r="BI31" s="220">
        <f t="shared" ca="1" si="57"/>
        <v>0</v>
      </c>
      <c r="BJ31" s="220">
        <f t="shared" ca="1" si="58"/>
        <v>0</v>
      </c>
      <c r="BK31" s="235">
        <f t="shared" ca="1" si="59"/>
        <v>0</v>
      </c>
      <c r="BL31" s="235">
        <f t="shared" ca="1" si="60"/>
        <v>0</v>
      </c>
      <c r="BM31" s="242">
        <f t="shared" ca="1" si="61"/>
        <v>0</v>
      </c>
      <c r="BN31" s="241">
        <f t="shared" ca="1" si="568"/>
        <v>1</v>
      </c>
      <c r="BO31" s="220">
        <f t="shared" ca="1" si="62"/>
        <v>0</v>
      </c>
      <c r="BP31" s="220">
        <f t="shared" ca="1" si="63"/>
        <v>0</v>
      </c>
      <c r="BQ31" s="235">
        <f t="shared" ca="1" si="64"/>
        <v>0</v>
      </c>
      <c r="BR31" s="235">
        <f t="shared" ca="1" si="65"/>
        <v>0</v>
      </c>
      <c r="BS31" s="242">
        <f t="shared" ca="1" si="66"/>
        <v>0</v>
      </c>
      <c r="BT31" s="241">
        <f t="shared" ca="1" si="568"/>
        <v>1</v>
      </c>
      <c r="BU31" s="220">
        <f t="shared" ca="1" si="67"/>
        <v>0</v>
      </c>
      <c r="BV31" s="220">
        <f t="shared" ca="1" si="68"/>
        <v>0</v>
      </c>
      <c r="BW31" s="235">
        <f t="shared" ca="1" si="69"/>
        <v>0</v>
      </c>
      <c r="BX31" s="235">
        <f t="shared" ca="1" si="70"/>
        <v>0</v>
      </c>
      <c r="BY31" s="242">
        <f t="shared" ca="1" si="71"/>
        <v>0</v>
      </c>
      <c r="BZ31" s="241">
        <f t="shared" ca="1" si="568"/>
        <v>1</v>
      </c>
      <c r="CA31" s="220">
        <f t="shared" ca="1" si="72"/>
        <v>0</v>
      </c>
      <c r="CB31" s="220">
        <f t="shared" ca="1" si="73"/>
        <v>0</v>
      </c>
      <c r="CC31" s="235">
        <f t="shared" ca="1" si="74"/>
        <v>0</v>
      </c>
      <c r="CD31" s="235">
        <f t="shared" ca="1" si="75"/>
        <v>0</v>
      </c>
      <c r="CE31" s="242">
        <f t="shared" ca="1" si="76"/>
        <v>0</v>
      </c>
      <c r="CF31" s="241">
        <f t="shared" ca="1" si="568"/>
        <v>1</v>
      </c>
      <c r="CG31" s="220">
        <f t="shared" ca="1" si="77"/>
        <v>0</v>
      </c>
      <c r="CH31" s="220">
        <f t="shared" ca="1" si="78"/>
        <v>0</v>
      </c>
      <c r="CI31" s="235">
        <f t="shared" ca="1" si="79"/>
        <v>0</v>
      </c>
      <c r="CJ31" s="235">
        <f t="shared" ca="1" si="80"/>
        <v>0</v>
      </c>
      <c r="CK31" s="242">
        <f t="shared" ca="1" si="81"/>
        <v>0</v>
      </c>
      <c r="CL31" s="241">
        <f t="shared" ca="1" si="568"/>
        <v>1</v>
      </c>
      <c r="CM31" s="220">
        <f t="shared" ca="1" si="82"/>
        <v>0</v>
      </c>
      <c r="CN31" s="220">
        <f t="shared" ca="1" si="83"/>
        <v>0</v>
      </c>
      <c r="CO31" s="235">
        <f t="shared" ca="1" si="84"/>
        <v>0</v>
      </c>
      <c r="CP31" s="235">
        <f t="shared" ca="1" si="85"/>
        <v>0</v>
      </c>
      <c r="CQ31" s="242">
        <f t="shared" ca="1" si="86"/>
        <v>0</v>
      </c>
      <c r="CR31" s="241">
        <f t="shared" ca="1" si="568"/>
        <v>1</v>
      </c>
      <c r="CS31" s="220">
        <f t="shared" ca="1" si="87"/>
        <v>0</v>
      </c>
      <c r="CT31" s="220">
        <f t="shared" ca="1" si="88"/>
        <v>0</v>
      </c>
      <c r="CU31" s="235">
        <f t="shared" ca="1" si="89"/>
        <v>0</v>
      </c>
      <c r="CV31" s="235">
        <f t="shared" ca="1" si="90"/>
        <v>0</v>
      </c>
      <c r="CW31" s="242">
        <f t="shared" ca="1" si="91"/>
        <v>0</v>
      </c>
      <c r="CX31" s="241">
        <f t="shared" ca="1" si="568"/>
        <v>1</v>
      </c>
      <c r="CY31" s="220">
        <f t="shared" ca="1" si="92"/>
        <v>0</v>
      </c>
      <c r="CZ31" s="220">
        <f t="shared" ca="1" si="93"/>
        <v>0</v>
      </c>
      <c r="DA31" s="235">
        <f t="shared" ca="1" si="94"/>
        <v>0</v>
      </c>
      <c r="DB31" s="235">
        <f t="shared" ca="1" si="95"/>
        <v>0</v>
      </c>
      <c r="DC31" s="242">
        <f t="shared" ca="1" si="96"/>
        <v>0</v>
      </c>
      <c r="DD31" s="241">
        <f t="shared" ca="1" si="568"/>
        <v>1</v>
      </c>
      <c r="DE31" s="220">
        <f t="shared" ca="1" si="97"/>
        <v>0</v>
      </c>
      <c r="DF31" s="220">
        <f t="shared" ca="1" si="98"/>
        <v>0</v>
      </c>
      <c r="DG31" s="235">
        <f t="shared" ca="1" si="99"/>
        <v>0</v>
      </c>
      <c r="DH31" s="235">
        <f t="shared" ca="1" si="100"/>
        <v>0</v>
      </c>
      <c r="DI31" s="242">
        <f t="shared" ca="1" si="101"/>
        <v>0</v>
      </c>
      <c r="DJ31" s="241">
        <f t="shared" ca="1" si="51"/>
        <v>1</v>
      </c>
      <c r="DK31" s="220">
        <f t="shared" ca="1" si="102"/>
        <v>0</v>
      </c>
      <c r="DL31" s="220">
        <f t="shared" ca="1" si="103"/>
        <v>0</v>
      </c>
      <c r="DM31" s="235">
        <f t="shared" ca="1" si="104"/>
        <v>0</v>
      </c>
      <c r="DN31" s="235">
        <f t="shared" ca="1" si="105"/>
        <v>0</v>
      </c>
      <c r="DO31" s="242">
        <f t="shared" ca="1" si="106"/>
        <v>0</v>
      </c>
      <c r="DP31" s="241">
        <f t="shared" ref="DP31:FX54" ca="1" si="569">IF(($B31+DP$2)&lt;SC_TargetRY,0,IF(($B31+DP$2)=SC_TargetRY,SC_AnnyPmntPr,IF(SP_AnnyTerms="Life",1,IF(($B31+DP$2)=(SC_TargetRY+SP_AnnyPeriod),SC_AnnyPmntPr-1,IF(($B31+DP$2)&gt;(SC_TargetRY+SP_AnnyPeriod),0,1)))))</f>
        <v>1</v>
      </c>
      <c r="DQ31" s="220">
        <f t="shared" ca="1" si="108"/>
        <v>0</v>
      </c>
      <c r="DR31" s="220">
        <f t="shared" ca="1" si="109"/>
        <v>0</v>
      </c>
      <c r="DS31" s="235">
        <f t="shared" ca="1" si="110"/>
        <v>0</v>
      </c>
      <c r="DT31" s="235">
        <f t="shared" ca="1" si="111"/>
        <v>0</v>
      </c>
      <c r="DU31" s="242">
        <f t="shared" ca="1" si="112"/>
        <v>0</v>
      </c>
      <c r="DV31" s="241">
        <f t="shared" ca="1" si="569"/>
        <v>1</v>
      </c>
      <c r="DW31" s="220">
        <f t="shared" ca="1" si="113"/>
        <v>0</v>
      </c>
      <c r="DX31" s="220">
        <f t="shared" ca="1" si="114"/>
        <v>0</v>
      </c>
      <c r="DY31" s="235">
        <f t="shared" ca="1" si="115"/>
        <v>0</v>
      </c>
      <c r="DZ31" s="235">
        <f t="shared" ca="1" si="116"/>
        <v>0</v>
      </c>
      <c r="EA31" s="242">
        <f t="shared" ca="1" si="117"/>
        <v>0</v>
      </c>
      <c r="EB31" s="241">
        <f t="shared" ca="1" si="569"/>
        <v>1</v>
      </c>
      <c r="EC31" s="220">
        <f t="shared" ca="1" si="118"/>
        <v>0</v>
      </c>
      <c r="ED31" s="220">
        <f t="shared" ca="1" si="119"/>
        <v>0</v>
      </c>
      <c r="EE31" s="235">
        <f t="shared" ca="1" si="120"/>
        <v>0</v>
      </c>
      <c r="EF31" s="235">
        <f t="shared" ca="1" si="121"/>
        <v>0</v>
      </c>
      <c r="EG31" s="242">
        <f t="shared" ca="1" si="122"/>
        <v>0</v>
      </c>
      <c r="EH31" s="241">
        <f t="shared" ca="1" si="569"/>
        <v>1</v>
      </c>
      <c r="EI31" s="220">
        <f t="shared" ca="1" si="123"/>
        <v>0</v>
      </c>
      <c r="EJ31" s="220">
        <f t="shared" ca="1" si="124"/>
        <v>0</v>
      </c>
      <c r="EK31" s="235">
        <f t="shared" ca="1" si="125"/>
        <v>0</v>
      </c>
      <c r="EL31" s="235">
        <f t="shared" ca="1" si="126"/>
        <v>0</v>
      </c>
      <c r="EM31" s="242">
        <f t="shared" ca="1" si="127"/>
        <v>0</v>
      </c>
      <c r="EN31" s="241">
        <f t="shared" ca="1" si="569"/>
        <v>1</v>
      </c>
      <c r="EO31" s="220">
        <f t="shared" ca="1" si="128"/>
        <v>0</v>
      </c>
      <c r="EP31" s="220">
        <f t="shared" ca="1" si="129"/>
        <v>0</v>
      </c>
      <c r="EQ31" s="235">
        <f t="shared" ca="1" si="130"/>
        <v>0</v>
      </c>
      <c r="ER31" s="235">
        <f t="shared" ca="1" si="131"/>
        <v>0</v>
      </c>
      <c r="ES31" s="242">
        <f t="shared" ca="1" si="132"/>
        <v>0</v>
      </c>
      <c r="ET31" s="241">
        <f t="shared" ca="1" si="569"/>
        <v>1</v>
      </c>
      <c r="EU31" s="220">
        <f t="shared" ca="1" si="133"/>
        <v>0</v>
      </c>
      <c r="EV31" s="220">
        <f t="shared" ca="1" si="134"/>
        <v>0</v>
      </c>
      <c r="EW31" s="235">
        <f t="shared" ca="1" si="135"/>
        <v>0</v>
      </c>
      <c r="EX31" s="235">
        <f t="shared" ca="1" si="136"/>
        <v>0</v>
      </c>
      <c r="EY31" s="242">
        <f t="shared" ca="1" si="137"/>
        <v>0</v>
      </c>
      <c r="EZ31" s="241">
        <f t="shared" ca="1" si="569"/>
        <v>1</v>
      </c>
      <c r="FA31" s="220">
        <f t="shared" ca="1" si="138"/>
        <v>0</v>
      </c>
      <c r="FB31" s="220">
        <f t="shared" ca="1" si="139"/>
        <v>0</v>
      </c>
      <c r="FC31" s="235">
        <f t="shared" ca="1" si="140"/>
        <v>0</v>
      </c>
      <c r="FD31" s="235">
        <f t="shared" ca="1" si="141"/>
        <v>0</v>
      </c>
      <c r="FE31" s="242">
        <f t="shared" ca="1" si="142"/>
        <v>0</v>
      </c>
      <c r="FF31" s="241">
        <f t="shared" ca="1" si="569"/>
        <v>1</v>
      </c>
      <c r="FG31" s="220">
        <f t="shared" ca="1" si="143"/>
        <v>0</v>
      </c>
      <c r="FH31" s="220">
        <f t="shared" ca="1" si="144"/>
        <v>0</v>
      </c>
      <c r="FI31" s="235">
        <f t="shared" ca="1" si="145"/>
        <v>0</v>
      </c>
      <c r="FJ31" s="235">
        <f t="shared" ca="1" si="146"/>
        <v>0</v>
      </c>
      <c r="FK31" s="242">
        <f t="shared" ca="1" si="147"/>
        <v>0</v>
      </c>
      <c r="FL31" s="241">
        <f t="shared" ca="1" si="569"/>
        <v>1</v>
      </c>
      <c r="FM31" s="220">
        <f t="shared" ca="1" si="148"/>
        <v>0</v>
      </c>
      <c r="FN31" s="220">
        <f t="shared" ca="1" si="149"/>
        <v>0</v>
      </c>
      <c r="FO31" s="235">
        <f t="shared" ca="1" si="150"/>
        <v>0</v>
      </c>
      <c r="FP31" s="235">
        <f t="shared" ca="1" si="151"/>
        <v>0</v>
      </c>
      <c r="FQ31" s="242">
        <f t="shared" ca="1" si="152"/>
        <v>0</v>
      </c>
      <c r="FR31" s="241">
        <f t="shared" ca="1" si="569"/>
        <v>1</v>
      </c>
      <c r="FS31" s="220">
        <f t="shared" ca="1" si="153"/>
        <v>0</v>
      </c>
      <c r="FT31" s="220">
        <f t="shared" ca="1" si="154"/>
        <v>0</v>
      </c>
      <c r="FU31" s="235">
        <f t="shared" ca="1" si="155"/>
        <v>0</v>
      </c>
      <c r="FV31" s="235">
        <f t="shared" ca="1" si="156"/>
        <v>0</v>
      </c>
      <c r="FW31" s="242">
        <f t="shared" ca="1" si="157"/>
        <v>0</v>
      </c>
      <c r="FX31" s="241">
        <f t="shared" ca="1" si="569"/>
        <v>1</v>
      </c>
      <c r="FY31" s="220">
        <f t="shared" ca="1" si="158"/>
        <v>0</v>
      </c>
      <c r="FZ31" s="220">
        <f t="shared" ca="1" si="159"/>
        <v>0</v>
      </c>
      <c r="GA31" s="235">
        <f t="shared" ca="1" si="160"/>
        <v>0</v>
      </c>
      <c r="GB31" s="235">
        <f t="shared" ca="1" si="161"/>
        <v>0</v>
      </c>
      <c r="GC31" s="242">
        <f t="shared" ca="1" si="162"/>
        <v>0</v>
      </c>
      <c r="GD31" s="241">
        <f t="shared" ca="1" si="562"/>
        <v>1</v>
      </c>
      <c r="GE31" s="220">
        <f t="shared" ca="1" si="164"/>
        <v>0</v>
      </c>
      <c r="GF31" s="220">
        <f t="shared" ca="1" si="165"/>
        <v>0</v>
      </c>
      <c r="GG31" s="235">
        <f t="shared" ca="1" si="166"/>
        <v>0</v>
      </c>
      <c r="GH31" s="235">
        <f t="shared" ca="1" si="167"/>
        <v>0</v>
      </c>
      <c r="GI31" s="242">
        <f t="shared" ca="1" si="168"/>
        <v>0</v>
      </c>
      <c r="GJ31" s="241">
        <f t="shared" ca="1" si="562"/>
        <v>1</v>
      </c>
      <c r="GK31" s="220">
        <f t="shared" ca="1" si="169"/>
        <v>0</v>
      </c>
      <c r="GL31" s="220">
        <f t="shared" ca="1" si="170"/>
        <v>0</v>
      </c>
      <c r="GM31" s="235">
        <f t="shared" ca="1" si="171"/>
        <v>0</v>
      </c>
      <c r="GN31" s="235">
        <f t="shared" ca="1" si="172"/>
        <v>0</v>
      </c>
      <c r="GO31" s="242">
        <f t="shared" ca="1" si="173"/>
        <v>0</v>
      </c>
      <c r="GP31" s="241">
        <f t="shared" ref="GP31:IX54" ca="1" si="570">IF(($B31+GP$2)&lt;SC_TargetRY,0,IF(($B31+GP$2)=SC_TargetRY,SC_AnnyPmntPr,IF(SP_AnnyTerms="Life",1,IF(($B31+GP$2)=(SC_TargetRY+SP_AnnyPeriod),SC_AnnyPmntPr-1,IF(($B31+GP$2)&gt;(SC_TargetRY+SP_AnnyPeriod),0,1)))))</f>
        <v>1</v>
      </c>
      <c r="GQ31" s="220">
        <f t="shared" ca="1" si="174"/>
        <v>0</v>
      </c>
      <c r="GR31" s="220">
        <f t="shared" ca="1" si="175"/>
        <v>0</v>
      </c>
      <c r="GS31" s="235">
        <f t="shared" ca="1" si="176"/>
        <v>0</v>
      </c>
      <c r="GT31" s="235">
        <f t="shared" ca="1" si="177"/>
        <v>0</v>
      </c>
      <c r="GU31" s="242">
        <f t="shared" ca="1" si="178"/>
        <v>0</v>
      </c>
      <c r="GV31" s="241">
        <f t="shared" ca="1" si="570"/>
        <v>1</v>
      </c>
      <c r="GW31" s="220">
        <f t="shared" ca="1" si="179"/>
        <v>0</v>
      </c>
      <c r="GX31" s="220">
        <f t="shared" ca="1" si="180"/>
        <v>0</v>
      </c>
      <c r="GY31" s="235">
        <f t="shared" ca="1" si="181"/>
        <v>0</v>
      </c>
      <c r="GZ31" s="235">
        <f t="shared" ca="1" si="182"/>
        <v>0</v>
      </c>
      <c r="HA31" s="242">
        <f t="shared" ca="1" si="183"/>
        <v>0</v>
      </c>
      <c r="HB31" s="241">
        <f t="shared" ca="1" si="570"/>
        <v>1</v>
      </c>
      <c r="HC31" s="220">
        <f t="shared" ca="1" si="184"/>
        <v>0</v>
      </c>
      <c r="HD31" s="220">
        <f t="shared" ca="1" si="185"/>
        <v>0</v>
      </c>
      <c r="HE31" s="235">
        <f t="shared" ca="1" si="186"/>
        <v>0</v>
      </c>
      <c r="HF31" s="235">
        <f t="shared" ca="1" si="187"/>
        <v>0</v>
      </c>
      <c r="HG31" s="242">
        <f t="shared" ca="1" si="188"/>
        <v>0</v>
      </c>
      <c r="HH31" s="241">
        <f t="shared" ca="1" si="570"/>
        <v>1</v>
      </c>
      <c r="HI31" s="220">
        <f t="shared" ca="1" si="189"/>
        <v>0</v>
      </c>
      <c r="HJ31" s="220">
        <f t="shared" ca="1" si="190"/>
        <v>0</v>
      </c>
      <c r="HK31" s="235">
        <f t="shared" ca="1" si="191"/>
        <v>0</v>
      </c>
      <c r="HL31" s="235">
        <f t="shared" ca="1" si="192"/>
        <v>0</v>
      </c>
      <c r="HM31" s="242">
        <f t="shared" ca="1" si="193"/>
        <v>0</v>
      </c>
      <c r="HN31" s="241">
        <f t="shared" ca="1" si="570"/>
        <v>1</v>
      </c>
      <c r="HO31" s="220">
        <f t="shared" ca="1" si="194"/>
        <v>0</v>
      </c>
      <c r="HP31" s="220">
        <f t="shared" ca="1" si="195"/>
        <v>0</v>
      </c>
      <c r="HQ31" s="235">
        <f t="shared" ca="1" si="196"/>
        <v>0</v>
      </c>
      <c r="HR31" s="235">
        <f t="shared" ca="1" si="197"/>
        <v>0</v>
      </c>
      <c r="HS31" s="242">
        <f t="shared" ca="1" si="198"/>
        <v>0</v>
      </c>
      <c r="HT31" s="241">
        <f t="shared" ca="1" si="570"/>
        <v>1</v>
      </c>
      <c r="HU31" s="220">
        <f t="shared" ca="1" si="199"/>
        <v>0</v>
      </c>
      <c r="HV31" s="220">
        <f t="shared" ca="1" si="200"/>
        <v>0</v>
      </c>
      <c r="HW31" s="235">
        <f t="shared" ca="1" si="201"/>
        <v>0</v>
      </c>
      <c r="HX31" s="235">
        <f t="shared" ca="1" si="202"/>
        <v>0</v>
      </c>
      <c r="HY31" s="242">
        <f t="shared" ca="1" si="203"/>
        <v>0</v>
      </c>
      <c r="HZ31" s="241">
        <f t="shared" ca="1" si="570"/>
        <v>1</v>
      </c>
      <c r="IA31" s="220">
        <f t="shared" ca="1" si="204"/>
        <v>0</v>
      </c>
      <c r="IB31" s="220">
        <f t="shared" ca="1" si="205"/>
        <v>0</v>
      </c>
      <c r="IC31" s="235">
        <f t="shared" ca="1" si="206"/>
        <v>0</v>
      </c>
      <c r="ID31" s="235">
        <f t="shared" ca="1" si="207"/>
        <v>0</v>
      </c>
      <c r="IE31" s="242">
        <f t="shared" ca="1" si="208"/>
        <v>0</v>
      </c>
      <c r="IF31" s="241">
        <f t="shared" ca="1" si="570"/>
        <v>1</v>
      </c>
      <c r="IG31" s="220">
        <f t="shared" ca="1" si="209"/>
        <v>0</v>
      </c>
      <c r="IH31" s="220">
        <f t="shared" ca="1" si="210"/>
        <v>0</v>
      </c>
      <c r="II31" s="235">
        <f t="shared" ca="1" si="211"/>
        <v>0</v>
      </c>
      <c r="IJ31" s="235">
        <f t="shared" ca="1" si="212"/>
        <v>0</v>
      </c>
      <c r="IK31" s="242">
        <f t="shared" ca="1" si="213"/>
        <v>0</v>
      </c>
      <c r="IL31" s="241">
        <f t="shared" ca="1" si="570"/>
        <v>1</v>
      </c>
      <c r="IM31" s="220">
        <f t="shared" ca="1" si="214"/>
        <v>0</v>
      </c>
      <c r="IN31" s="220">
        <f t="shared" ca="1" si="215"/>
        <v>0</v>
      </c>
      <c r="IO31" s="235">
        <f t="shared" ca="1" si="216"/>
        <v>0</v>
      </c>
      <c r="IP31" s="235">
        <f t="shared" ca="1" si="217"/>
        <v>0</v>
      </c>
      <c r="IQ31" s="242">
        <f t="shared" ca="1" si="218"/>
        <v>0</v>
      </c>
      <c r="IR31" s="241">
        <f t="shared" ca="1" si="570"/>
        <v>1</v>
      </c>
      <c r="IS31" s="220">
        <f t="shared" ca="1" si="220"/>
        <v>0</v>
      </c>
      <c r="IT31" s="220">
        <f t="shared" ca="1" si="221"/>
        <v>0</v>
      </c>
      <c r="IU31" s="235">
        <f t="shared" ca="1" si="222"/>
        <v>0</v>
      </c>
      <c r="IV31" s="235">
        <f t="shared" ca="1" si="223"/>
        <v>0</v>
      </c>
      <c r="IW31" s="242">
        <f t="shared" ca="1" si="224"/>
        <v>0</v>
      </c>
      <c r="IX31" s="241">
        <f t="shared" ca="1" si="570"/>
        <v>1</v>
      </c>
      <c r="IY31" s="220">
        <f t="shared" ca="1" si="225"/>
        <v>0</v>
      </c>
      <c r="IZ31" s="220">
        <f t="shared" ca="1" si="226"/>
        <v>0</v>
      </c>
      <c r="JA31" s="235">
        <f t="shared" ca="1" si="227"/>
        <v>0</v>
      </c>
      <c r="JB31" s="235">
        <f t="shared" ca="1" si="228"/>
        <v>0</v>
      </c>
      <c r="JC31" s="242">
        <f t="shared" ca="1" si="229"/>
        <v>0</v>
      </c>
      <c r="JD31" s="241">
        <f t="shared" ca="1" si="563"/>
        <v>1</v>
      </c>
      <c r="JE31" s="220">
        <f t="shared" ca="1" si="230"/>
        <v>0</v>
      </c>
      <c r="JF31" s="220">
        <f t="shared" ca="1" si="231"/>
        <v>0</v>
      </c>
      <c r="JG31" s="235">
        <f t="shared" ca="1" si="232"/>
        <v>0</v>
      </c>
      <c r="JH31" s="235">
        <f t="shared" ca="1" si="233"/>
        <v>0</v>
      </c>
      <c r="JI31" s="242">
        <f t="shared" ca="1" si="234"/>
        <v>0</v>
      </c>
      <c r="JJ31" s="241">
        <f t="shared" ca="1" si="563"/>
        <v>1</v>
      </c>
      <c r="JK31" s="220">
        <f t="shared" ca="1" si="235"/>
        <v>0</v>
      </c>
      <c r="JL31" s="220">
        <f t="shared" ca="1" si="236"/>
        <v>0</v>
      </c>
      <c r="JM31" s="235">
        <f t="shared" ca="1" si="237"/>
        <v>0</v>
      </c>
      <c r="JN31" s="235">
        <f t="shared" ca="1" si="238"/>
        <v>0</v>
      </c>
      <c r="JO31" s="242">
        <f t="shared" ca="1" si="239"/>
        <v>0</v>
      </c>
      <c r="JP31" s="241">
        <f t="shared" ref="JP31:LX54" ca="1" si="571">IF(($B31+JP$2)&lt;SC_TargetRY,0,IF(($B31+JP$2)=SC_TargetRY,SC_AnnyPmntPr,IF(SP_AnnyTerms="Life",1,IF(($B31+JP$2)=(SC_TargetRY+SP_AnnyPeriod),SC_AnnyPmntPr-1,IF(($B31+JP$2)&gt;(SC_TargetRY+SP_AnnyPeriod),0,1)))))</f>
        <v>1</v>
      </c>
      <c r="JQ31" s="220">
        <f t="shared" ca="1" si="240"/>
        <v>0</v>
      </c>
      <c r="JR31" s="220">
        <f t="shared" ca="1" si="241"/>
        <v>0</v>
      </c>
      <c r="JS31" s="235">
        <f t="shared" ca="1" si="242"/>
        <v>0</v>
      </c>
      <c r="JT31" s="235">
        <f t="shared" ca="1" si="243"/>
        <v>0</v>
      </c>
      <c r="JU31" s="242">
        <f t="shared" ca="1" si="244"/>
        <v>0</v>
      </c>
      <c r="JV31" s="241">
        <f t="shared" ca="1" si="571"/>
        <v>1</v>
      </c>
      <c r="JW31" s="220">
        <f t="shared" ca="1" si="245"/>
        <v>0</v>
      </c>
      <c r="JX31" s="220">
        <f t="shared" ca="1" si="246"/>
        <v>0</v>
      </c>
      <c r="JY31" s="235">
        <f t="shared" ca="1" si="247"/>
        <v>0</v>
      </c>
      <c r="JZ31" s="235">
        <f t="shared" ca="1" si="248"/>
        <v>0</v>
      </c>
      <c r="KA31" s="242">
        <f t="shared" ca="1" si="249"/>
        <v>0</v>
      </c>
      <c r="KB31" s="241">
        <f t="shared" ca="1" si="571"/>
        <v>1</v>
      </c>
      <c r="KC31" s="220">
        <f t="shared" ca="1" si="250"/>
        <v>0</v>
      </c>
      <c r="KD31" s="220">
        <f t="shared" ca="1" si="251"/>
        <v>0</v>
      </c>
      <c r="KE31" s="235">
        <f t="shared" ca="1" si="252"/>
        <v>0</v>
      </c>
      <c r="KF31" s="235">
        <f t="shared" ca="1" si="253"/>
        <v>0</v>
      </c>
      <c r="KG31" s="242">
        <f t="shared" ca="1" si="254"/>
        <v>0</v>
      </c>
      <c r="KH31" s="241">
        <f t="shared" ca="1" si="571"/>
        <v>1</v>
      </c>
      <c r="KI31" s="220">
        <f t="shared" ca="1" si="255"/>
        <v>0</v>
      </c>
      <c r="KJ31" s="220">
        <f t="shared" ca="1" si="256"/>
        <v>0</v>
      </c>
      <c r="KK31" s="235">
        <f t="shared" ca="1" si="257"/>
        <v>0</v>
      </c>
      <c r="KL31" s="235">
        <f t="shared" ca="1" si="258"/>
        <v>0</v>
      </c>
      <c r="KM31" s="242">
        <f t="shared" ca="1" si="259"/>
        <v>0</v>
      </c>
      <c r="KN31" s="241">
        <f t="shared" ca="1" si="571"/>
        <v>1</v>
      </c>
      <c r="KO31" s="220">
        <f t="shared" ca="1" si="260"/>
        <v>0</v>
      </c>
      <c r="KP31" s="220">
        <f t="shared" ca="1" si="261"/>
        <v>0</v>
      </c>
      <c r="KQ31" s="235">
        <f t="shared" ca="1" si="262"/>
        <v>0</v>
      </c>
      <c r="KR31" s="235">
        <f t="shared" ca="1" si="263"/>
        <v>0</v>
      </c>
      <c r="KS31" s="242">
        <f t="shared" ca="1" si="264"/>
        <v>0</v>
      </c>
      <c r="KT31" s="241">
        <f t="shared" ca="1" si="571"/>
        <v>1</v>
      </c>
      <c r="KU31" s="220">
        <f t="shared" ca="1" si="265"/>
        <v>0</v>
      </c>
      <c r="KV31" s="220">
        <f t="shared" ca="1" si="266"/>
        <v>0</v>
      </c>
      <c r="KW31" s="235">
        <f t="shared" ca="1" si="267"/>
        <v>0</v>
      </c>
      <c r="KX31" s="235">
        <f t="shared" ca="1" si="268"/>
        <v>0</v>
      </c>
      <c r="KY31" s="242">
        <f t="shared" ca="1" si="269"/>
        <v>0</v>
      </c>
      <c r="KZ31" s="241">
        <f t="shared" ca="1" si="571"/>
        <v>1</v>
      </c>
      <c r="LA31" s="220">
        <f t="shared" ca="1" si="270"/>
        <v>0</v>
      </c>
      <c r="LB31" s="220">
        <f t="shared" ca="1" si="271"/>
        <v>0</v>
      </c>
      <c r="LC31" s="235">
        <f t="shared" ca="1" si="272"/>
        <v>0</v>
      </c>
      <c r="LD31" s="235">
        <f t="shared" ca="1" si="273"/>
        <v>0</v>
      </c>
      <c r="LE31" s="242">
        <f t="shared" ca="1" si="274"/>
        <v>0</v>
      </c>
      <c r="LF31" s="241">
        <f t="shared" ca="1" si="571"/>
        <v>1</v>
      </c>
      <c r="LG31" s="220">
        <f t="shared" ca="1" si="276"/>
        <v>0</v>
      </c>
      <c r="LH31" s="220">
        <f t="shared" ca="1" si="277"/>
        <v>0</v>
      </c>
      <c r="LI31" s="235">
        <f t="shared" ca="1" si="278"/>
        <v>0</v>
      </c>
      <c r="LJ31" s="235">
        <f t="shared" ca="1" si="279"/>
        <v>0</v>
      </c>
      <c r="LK31" s="242">
        <f t="shared" ca="1" si="280"/>
        <v>0</v>
      </c>
      <c r="LL31" s="241">
        <f t="shared" ca="1" si="571"/>
        <v>1</v>
      </c>
      <c r="LM31" s="220">
        <f t="shared" ca="1" si="281"/>
        <v>0</v>
      </c>
      <c r="LN31" s="220">
        <f t="shared" ca="1" si="282"/>
        <v>0</v>
      </c>
      <c r="LO31" s="235">
        <f t="shared" ca="1" si="283"/>
        <v>0</v>
      </c>
      <c r="LP31" s="235">
        <f t="shared" ca="1" si="284"/>
        <v>0</v>
      </c>
      <c r="LQ31" s="242">
        <f t="shared" ca="1" si="285"/>
        <v>0</v>
      </c>
      <c r="LR31" s="241">
        <f t="shared" ca="1" si="571"/>
        <v>1</v>
      </c>
      <c r="LS31" s="220">
        <f t="shared" ca="1" si="286"/>
        <v>0</v>
      </c>
      <c r="LT31" s="220">
        <f t="shared" ca="1" si="287"/>
        <v>0</v>
      </c>
      <c r="LU31" s="235">
        <f t="shared" ca="1" si="288"/>
        <v>0</v>
      </c>
      <c r="LV31" s="235">
        <f t="shared" ca="1" si="289"/>
        <v>0</v>
      </c>
      <c r="LW31" s="242">
        <f t="shared" ca="1" si="290"/>
        <v>0</v>
      </c>
      <c r="LX31" s="241">
        <f t="shared" ca="1" si="571"/>
        <v>1</v>
      </c>
      <c r="LY31" s="220">
        <f t="shared" ca="1" si="291"/>
        <v>0</v>
      </c>
      <c r="LZ31" s="220">
        <f t="shared" ca="1" si="292"/>
        <v>0</v>
      </c>
      <c r="MA31" s="235">
        <f t="shared" ca="1" si="293"/>
        <v>0</v>
      </c>
      <c r="MB31" s="235">
        <f t="shared" ca="1" si="294"/>
        <v>0</v>
      </c>
      <c r="MC31" s="242">
        <f t="shared" ca="1" si="295"/>
        <v>0</v>
      </c>
      <c r="MD31" s="241">
        <f t="shared" ca="1" si="564"/>
        <v>1</v>
      </c>
      <c r="ME31" s="220">
        <f t="shared" ca="1" si="296"/>
        <v>0</v>
      </c>
      <c r="MF31" s="220">
        <f t="shared" ca="1" si="297"/>
        <v>0</v>
      </c>
      <c r="MG31" s="235">
        <f t="shared" ca="1" si="298"/>
        <v>0</v>
      </c>
      <c r="MH31" s="235">
        <f t="shared" ca="1" si="299"/>
        <v>0</v>
      </c>
      <c r="MI31" s="242">
        <f t="shared" ca="1" si="300"/>
        <v>0</v>
      </c>
      <c r="MJ31" s="241">
        <f t="shared" ca="1" si="564"/>
        <v>1</v>
      </c>
      <c r="MK31" s="220">
        <f t="shared" ca="1" si="301"/>
        <v>0</v>
      </c>
      <c r="ML31" s="220">
        <f t="shared" ca="1" si="302"/>
        <v>0</v>
      </c>
      <c r="MM31" s="235">
        <f t="shared" ca="1" si="303"/>
        <v>0</v>
      </c>
      <c r="MN31" s="235">
        <f t="shared" ca="1" si="304"/>
        <v>0</v>
      </c>
      <c r="MO31" s="242">
        <f t="shared" ca="1" si="305"/>
        <v>0</v>
      </c>
      <c r="MP31" s="241">
        <f t="shared" ref="MP31:OX54" ca="1" si="572">IF(($B31+MP$2)&lt;SC_TargetRY,0,IF(($B31+MP$2)=SC_TargetRY,SC_AnnyPmntPr,IF(SP_AnnyTerms="Life",1,IF(($B31+MP$2)=(SC_TargetRY+SP_AnnyPeriod),SC_AnnyPmntPr-1,IF(($B31+MP$2)&gt;(SC_TargetRY+SP_AnnyPeriod),0,1)))))</f>
        <v>1</v>
      </c>
      <c r="MQ31" s="220">
        <f t="shared" ca="1" si="306"/>
        <v>0</v>
      </c>
      <c r="MR31" s="220">
        <f t="shared" ca="1" si="307"/>
        <v>0</v>
      </c>
      <c r="MS31" s="235">
        <f t="shared" ca="1" si="308"/>
        <v>0</v>
      </c>
      <c r="MT31" s="235">
        <f t="shared" ca="1" si="309"/>
        <v>0</v>
      </c>
      <c r="MU31" s="242">
        <f t="shared" ca="1" si="310"/>
        <v>0</v>
      </c>
      <c r="MV31" s="241">
        <f t="shared" ca="1" si="572"/>
        <v>1</v>
      </c>
      <c r="MW31" s="220">
        <f t="shared" ca="1" si="311"/>
        <v>0</v>
      </c>
      <c r="MX31" s="220">
        <f t="shared" ca="1" si="312"/>
        <v>0</v>
      </c>
      <c r="MY31" s="235">
        <f t="shared" ca="1" si="313"/>
        <v>0</v>
      </c>
      <c r="MZ31" s="235">
        <f t="shared" ca="1" si="314"/>
        <v>0</v>
      </c>
      <c r="NA31" s="242">
        <f t="shared" ca="1" si="315"/>
        <v>0</v>
      </c>
      <c r="NB31" s="241">
        <f t="shared" ca="1" si="572"/>
        <v>1</v>
      </c>
      <c r="NC31" s="220">
        <f t="shared" ca="1" si="316"/>
        <v>0</v>
      </c>
      <c r="ND31" s="220">
        <f t="shared" ca="1" si="317"/>
        <v>0</v>
      </c>
      <c r="NE31" s="235">
        <f t="shared" ca="1" si="318"/>
        <v>0</v>
      </c>
      <c r="NF31" s="235">
        <f t="shared" ca="1" si="319"/>
        <v>0</v>
      </c>
      <c r="NG31" s="242">
        <f t="shared" ca="1" si="320"/>
        <v>0</v>
      </c>
      <c r="NH31" s="241">
        <f t="shared" ca="1" si="572"/>
        <v>1</v>
      </c>
      <c r="NI31" s="220">
        <f t="shared" ca="1" si="321"/>
        <v>0</v>
      </c>
      <c r="NJ31" s="220">
        <f t="shared" ca="1" si="322"/>
        <v>0</v>
      </c>
      <c r="NK31" s="235">
        <f t="shared" ca="1" si="323"/>
        <v>0</v>
      </c>
      <c r="NL31" s="235">
        <f t="shared" ca="1" si="324"/>
        <v>0</v>
      </c>
      <c r="NM31" s="242">
        <f t="shared" ca="1" si="325"/>
        <v>0</v>
      </c>
      <c r="NN31" s="241">
        <f t="shared" ca="1" si="572"/>
        <v>1</v>
      </c>
      <c r="NO31" s="220">
        <f t="shared" ca="1" si="326"/>
        <v>0</v>
      </c>
      <c r="NP31" s="220">
        <f t="shared" ca="1" si="327"/>
        <v>0</v>
      </c>
      <c r="NQ31" s="235">
        <f t="shared" ca="1" si="328"/>
        <v>0</v>
      </c>
      <c r="NR31" s="235">
        <f t="shared" ca="1" si="329"/>
        <v>0</v>
      </c>
      <c r="NS31" s="242">
        <f t="shared" ca="1" si="330"/>
        <v>0</v>
      </c>
      <c r="NT31" s="241">
        <f t="shared" ca="1" si="572"/>
        <v>1</v>
      </c>
      <c r="NU31" s="220">
        <f t="shared" ca="1" si="332"/>
        <v>0</v>
      </c>
      <c r="NV31" s="220">
        <f t="shared" ca="1" si="333"/>
        <v>0</v>
      </c>
      <c r="NW31" s="235">
        <f t="shared" ca="1" si="334"/>
        <v>0</v>
      </c>
      <c r="NX31" s="235">
        <f t="shared" ca="1" si="335"/>
        <v>0</v>
      </c>
      <c r="NY31" s="242">
        <f t="shared" ca="1" si="336"/>
        <v>0</v>
      </c>
      <c r="NZ31" s="241">
        <f t="shared" ca="1" si="572"/>
        <v>1</v>
      </c>
      <c r="OA31" s="220">
        <f t="shared" ca="1" si="337"/>
        <v>0</v>
      </c>
      <c r="OB31" s="220">
        <f t="shared" ca="1" si="338"/>
        <v>0</v>
      </c>
      <c r="OC31" s="235">
        <f t="shared" ca="1" si="339"/>
        <v>0</v>
      </c>
      <c r="OD31" s="235">
        <f t="shared" ca="1" si="340"/>
        <v>0</v>
      </c>
      <c r="OE31" s="242">
        <f t="shared" ca="1" si="341"/>
        <v>0</v>
      </c>
      <c r="OF31" s="241">
        <f t="shared" ca="1" si="572"/>
        <v>1</v>
      </c>
      <c r="OG31" s="220">
        <f t="shared" ca="1" si="342"/>
        <v>0</v>
      </c>
      <c r="OH31" s="220">
        <f t="shared" ca="1" si="343"/>
        <v>0</v>
      </c>
      <c r="OI31" s="235">
        <f t="shared" ca="1" si="344"/>
        <v>0</v>
      </c>
      <c r="OJ31" s="235">
        <f t="shared" ca="1" si="345"/>
        <v>0</v>
      </c>
      <c r="OK31" s="242">
        <f t="shared" ca="1" si="346"/>
        <v>0</v>
      </c>
      <c r="OL31" s="241">
        <f t="shared" ca="1" si="572"/>
        <v>1</v>
      </c>
      <c r="OM31" s="220">
        <f t="shared" ca="1" si="347"/>
        <v>0</v>
      </c>
      <c r="ON31" s="220">
        <f t="shared" ca="1" si="348"/>
        <v>0</v>
      </c>
      <c r="OO31" s="235">
        <f t="shared" ca="1" si="349"/>
        <v>0</v>
      </c>
      <c r="OP31" s="235">
        <f t="shared" ca="1" si="350"/>
        <v>0</v>
      </c>
      <c r="OQ31" s="242">
        <f t="shared" ca="1" si="351"/>
        <v>0</v>
      </c>
      <c r="OR31" s="241">
        <f t="shared" ca="1" si="572"/>
        <v>1</v>
      </c>
      <c r="OS31" s="220">
        <f t="shared" ca="1" si="352"/>
        <v>0</v>
      </c>
      <c r="OT31" s="220">
        <f t="shared" ca="1" si="353"/>
        <v>0</v>
      </c>
      <c r="OU31" s="235">
        <f t="shared" ca="1" si="354"/>
        <v>0</v>
      </c>
      <c r="OV31" s="235">
        <f t="shared" ca="1" si="355"/>
        <v>0</v>
      </c>
      <c r="OW31" s="242">
        <f t="shared" ca="1" si="356"/>
        <v>0</v>
      </c>
      <c r="OX31" s="241">
        <f t="shared" ca="1" si="572"/>
        <v>1</v>
      </c>
      <c r="OY31" s="220">
        <f t="shared" ca="1" si="357"/>
        <v>0</v>
      </c>
      <c r="OZ31" s="220">
        <f t="shared" ca="1" si="358"/>
        <v>0</v>
      </c>
      <c r="PA31" s="235">
        <f t="shared" ca="1" si="359"/>
        <v>0</v>
      </c>
      <c r="PB31" s="235">
        <f t="shared" ca="1" si="360"/>
        <v>0</v>
      </c>
      <c r="PC31" s="242">
        <f t="shared" ca="1" si="361"/>
        <v>0</v>
      </c>
      <c r="PD31" s="241">
        <f t="shared" ca="1" si="565"/>
        <v>1</v>
      </c>
      <c r="PE31" s="220">
        <f t="shared" ca="1" si="362"/>
        <v>0</v>
      </c>
      <c r="PF31" s="220">
        <f t="shared" ca="1" si="363"/>
        <v>0</v>
      </c>
      <c r="PG31" s="235">
        <f t="shared" ca="1" si="364"/>
        <v>0</v>
      </c>
      <c r="PH31" s="235">
        <f t="shared" ca="1" si="365"/>
        <v>0</v>
      </c>
      <c r="PI31" s="242">
        <f t="shared" ca="1" si="366"/>
        <v>0</v>
      </c>
      <c r="PJ31" s="241">
        <f t="shared" ca="1" si="565"/>
        <v>1</v>
      </c>
      <c r="PK31" s="220">
        <f t="shared" ca="1" si="367"/>
        <v>0</v>
      </c>
      <c r="PL31" s="220">
        <f t="shared" ca="1" si="368"/>
        <v>0</v>
      </c>
      <c r="PM31" s="235">
        <f t="shared" ca="1" si="369"/>
        <v>0</v>
      </c>
      <c r="PN31" s="235">
        <f t="shared" ca="1" si="370"/>
        <v>0</v>
      </c>
      <c r="PO31" s="242">
        <f t="shared" ca="1" si="371"/>
        <v>0</v>
      </c>
      <c r="PP31" s="241">
        <f t="shared" ref="PP31:RX54" ca="1" si="573">IF(($B31+PP$2)&lt;SC_TargetRY,0,IF(($B31+PP$2)=SC_TargetRY,SC_AnnyPmntPr,IF(SP_AnnyTerms="Life",1,IF(($B31+PP$2)=(SC_TargetRY+SP_AnnyPeriod),SC_AnnyPmntPr-1,IF(($B31+PP$2)&gt;(SC_TargetRY+SP_AnnyPeriod),0,1)))))</f>
        <v>1</v>
      </c>
      <c r="PQ31" s="220">
        <f t="shared" ca="1" si="372"/>
        <v>0</v>
      </c>
      <c r="PR31" s="220">
        <f t="shared" ca="1" si="373"/>
        <v>0</v>
      </c>
      <c r="PS31" s="235">
        <f t="shared" ca="1" si="374"/>
        <v>0</v>
      </c>
      <c r="PT31" s="235">
        <f t="shared" ca="1" si="375"/>
        <v>0</v>
      </c>
      <c r="PU31" s="242">
        <f t="shared" ca="1" si="376"/>
        <v>0</v>
      </c>
      <c r="PV31" s="241">
        <f t="shared" ca="1" si="573"/>
        <v>1</v>
      </c>
      <c r="PW31" s="220">
        <f t="shared" ca="1" si="377"/>
        <v>0</v>
      </c>
      <c r="PX31" s="220">
        <f t="shared" ca="1" si="378"/>
        <v>0</v>
      </c>
      <c r="PY31" s="235">
        <f t="shared" ca="1" si="379"/>
        <v>0</v>
      </c>
      <c r="PZ31" s="235">
        <f t="shared" ca="1" si="380"/>
        <v>0</v>
      </c>
      <c r="QA31" s="242">
        <f t="shared" ca="1" si="381"/>
        <v>0</v>
      </c>
      <c r="QB31" s="241">
        <f t="shared" ca="1" si="573"/>
        <v>1</v>
      </c>
      <c r="QC31" s="220">
        <f t="shared" ca="1" si="382"/>
        <v>0</v>
      </c>
      <c r="QD31" s="220">
        <f t="shared" ca="1" si="383"/>
        <v>0</v>
      </c>
      <c r="QE31" s="235">
        <f t="shared" ca="1" si="384"/>
        <v>0</v>
      </c>
      <c r="QF31" s="235">
        <f t="shared" ca="1" si="385"/>
        <v>0</v>
      </c>
      <c r="QG31" s="242">
        <f t="shared" ca="1" si="386"/>
        <v>0</v>
      </c>
      <c r="QH31" s="241">
        <f t="shared" ca="1" si="573"/>
        <v>1</v>
      </c>
      <c r="QI31" s="220">
        <f t="shared" ca="1" si="388"/>
        <v>0</v>
      </c>
      <c r="QJ31" s="220">
        <f t="shared" ca="1" si="389"/>
        <v>0</v>
      </c>
      <c r="QK31" s="235">
        <f t="shared" ca="1" si="390"/>
        <v>0</v>
      </c>
      <c r="QL31" s="235">
        <f t="shared" ca="1" si="391"/>
        <v>0</v>
      </c>
      <c r="QM31" s="242">
        <f t="shared" ca="1" si="392"/>
        <v>0</v>
      </c>
      <c r="QN31" s="241">
        <f t="shared" ca="1" si="573"/>
        <v>1</v>
      </c>
      <c r="QO31" s="220">
        <f t="shared" ca="1" si="393"/>
        <v>0</v>
      </c>
      <c r="QP31" s="220">
        <f t="shared" ca="1" si="394"/>
        <v>0</v>
      </c>
      <c r="QQ31" s="235">
        <f t="shared" ca="1" si="395"/>
        <v>0</v>
      </c>
      <c r="QR31" s="235">
        <f t="shared" ca="1" si="396"/>
        <v>0</v>
      </c>
      <c r="QS31" s="242">
        <f t="shared" ca="1" si="397"/>
        <v>0</v>
      </c>
      <c r="QT31" s="241">
        <f t="shared" ca="1" si="573"/>
        <v>1</v>
      </c>
      <c r="QU31" s="220">
        <f t="shared" ca="1" si="398"/>
        <v>0</v>
      </c>
      <c r="QV31" s="220">
        <f t="shared" ca="1" si="399"/>
        <v>0</v>
      </c>
      <c r="QW31" s="235">
        <f t="shared" ca="1" si="400"/>
        <v>0</v>
      </c>
      <c r="QX31" s="235">
        <f t="shared" ca="1" si="401"/>
        <v>0</v>
      </c>
      <c r="QY31" s="242">
        <f t="shared" ca="1" si="402"/>
        <v>0</v>
      </c>
      <c r="QZ31" s="241">
        <f t="shared" ca="1" si="573"/>
        <v>1</v>
      </c>
      <c r="RA31" s="220">
        <f t="shared" ca="1" si="403"/>
        <v>0</v>
      </c>
      <c r="RB31" s="220">
        <f t="shared" ca="1" si="404"/>
        <v>0</v>
      </c>
      <c r="RC31" s="235">
        <f t="shared" ca="1" si="405"/>
        <v>0</v>
      </c>
      <c r="RD31" s="235">
        <f t="shared" ca="1" si="406"/>
        <v>0</v>
      </c>
      <c r="RE31" s="242">
        <f t="shared" ca="1" si="407"/>
        <v>0</v>
      </c>
      <c r="RF31" s="241">
        <f t="shared" ca="1" si="573"/>
        <v>1</v>
      </c>
      <c r="RG31" s="220">
        <f t="shared" ca="1" si="408"/>
        <v>0</v>
      </c>
      <c r="RH31" s="220">
        <f t="shared" ca="1" si="409"/>
        <v>0</v>
      </c>
      <c r="RI31" s="235">
        <f t="shared" ca="1" si="410"/>
        <v>0</v>
      </c>
      <c r="RJ31" s="235">
        <f t="shared" ca="1" si="411"/>
        <v>0</v>
      </c>
      <c r="RK31" s="242">
        <f t="shared" ca="1" si="412"/>
        <v>0</v>
      </c>
      <c r="RL31" s="241">
        <f t="shared" ca="1" si="573"/>
        <v>1</v>
      </c>
      <c r="RM31" s="220">
        <f t="shared" ca="1" si="413"/>
        <v>0</v>
      </c>
      <c r="RN31" s="220">
        <f t="shared" ca="1" si="414"/>
        <v>0</v>
      </c>
      <c r="RO31" s="235">
        <f t="shared" ca="1" si="415"/>
        <v>0</v>
      </c>
      <c r="RP31" s="235">
        <f t="shared" ca="1" si="416"/>
        <v>0</v>
      </c>
      <c r="RQ31" s="242">
        <f t="shared" ca="1" si="417"/>
        <v>0</v>
      </c>
      <c r="RR31" s="241">
        <f t="shared" ca="1" si="573"/>
        <v>1</v>
      </c>
      <c r="RS31" s="220">
        <f t="shared" ca="1" si="418"/>
        <v>0</v>
      </c>
      <c r="RT31" s="220">
        <f t="shared" ca="1" si="419"/>
        <v>0</v>
      </c>
      <c r="RU31" s="235">
        <f t="shared" ca="1" si="420"/>
        <v>0</v>
      </c>
      <c r="RV31" s="235">
        <f t="shared" ca="1" si="421"/>
        <v>0</v>
      </c>
      <c r="RW31" s="242">
        <f t="shared" ca="1" si="422"/>
        <v>0</v>
      </c>
      <c r="RX31" s="241">
        <f t="shared" ca="1" si="573"/>
        <v>1</v>
      </c>
      <c r="RY31" s="220">
        <f t="shared" ca="1" si="423"/>
        <v>0</v>
      </c>
      <c r="RZ31" s="220">
        <f t="shared" ca="1" si="424"/>
        <v>0</v>
      </c>
      <c r="SA31" s="235">
        <f t="shared" ca="1" si="425"/>
        <v>0</v>
      </c>
      <c r="SB31" s="235">
        <f t="shared" ca="1" si="426"/>
        <v>0</v>
      </c>
      <c r="SC31" s="242">
        <f t="shared" ca="1" si="427"/>
        <v>0</v>
      </c>
      <c r="SD31" s="241">
        <f t="shared" ca="1" si="566"/>
        <v>1</v>
      </c>
      <c r="SE31" s="220">
        <f t="shared" ca="1" si="428"/>
        <v>0</v>
      </c>
      <c r="SF31" s="220">
        <f t="shared" ca="1" si="429"/>
        <v>0</v>
      </c>
      <c r="SG31" s="235">
        <f t="shared" ca="1" si="430"/>
        <v>0</v>
      </c>
      <c r="SH31" s="235">
        <f t="shared" ca="1" si="431"/>
        <v>0</v>
      </c>
      <c r="SI31" s="242">
        <f t="shared" ca="1" si="432"/>
        <v>0</v>
      </c>
      <c r="SJ31" s="241">
        <f t="shared" ca="1" si="566"/>
        <v>1</v>
      </c>
      <c r="SK31" s="220">
        <f t="shared" ca="1" si="433"/>
        <v>0</v>
      </c>
      <c r="SL31" s="220">
        <f t="shared" ca="1" si="434"/>
        <v>0</v>
      </c>
      <c r="SM31" s="235">
        <f t="shared" ca="1" si="435"/>
        <v>0</v>
      </c>
      <c r="SN31" s="235">
        <f t="shared" ca="1" si="436"/>
        <v>0</v>
      </c>
      <c r="SO31" s="242">
        <f t="shared" ca="1" si="437"/>
        <v>0</v>
      </c>
      <c r="SP31" s="241">
        <f t="shared" ca="1" si="387"/>
        <v>1</v>
      </c>
      <c r="SQ31" s="220">
        <f t="shared" ca="1" si="438"/>
        <v>0</v>
      </c>
      <c r="SR31" s="220">
        <f t="shared" ca="1" si="439"/>
        <v>0</v>
      </c>
      <c r="SS31" s="235">
        <f t="shared" ca="1" si="440"/>
        <v>0</v>
      </c>
      <c r="ST31" s="235">
        <f t="shared" ca="1" si="441"/>
        <v>0</v>
      </c>
      <c r="SU31" s="242">
        <f t="shared" ca="1" si="442"/>
        <v>0</v>
      </c>
      <c r="SV31" s="241">
        <f t="shared" ref="SV31:VD54" ca="1" si="574">IF(($B31+SV$2)&lt;SC_TargetRY,0,IF(($B31+SV$2)=SC_TargetRY,SC_AnnyPmntPr,IF(SP_AnnyTerms="Life",1,IF(($B31+SV$2)=(SC_TargetRY+SP_AnnyPeriod),SC_AnnyPmntPr-1,IF(($B31+SV$2)&gt;(SC_TargetRY+SP_AnnyPeriod),0,1)))))</f>
        <v>1</v>
      </c>
      <c r="SW31" s="220">
        <f t="shared" ca="1" si="444"/>
        <v>0</v>
      </c>
      <c r="SX31" s="220">
        <f t="shared" ca="1" si="445"/>
        <v>0</v>
      </c>
      <c r="SY31" s="235">
        <f t="shared" ca="1" si="446"/>
        <v>0</v>
      </c>
      <c r="SZ31" s="235">
        <f t="shared" ca="1" si="447"/>
        <v>0</v>
      </c>
      <c r="TA31" s="242">
        <f t="shared" ca="1" si="448"/>
        <v>0</v>
      </c>
      <c r="TB31" s="241">
        <f t="shared" ca="1" si="574"/>
        <v>1</v>
      </c>
      <c r="TC31" s="220">
        <f t="shared" ca="1" si="449"/>
        <v>0</v>
      </c>
      <c r="TD31" s="220">
        <f t="shared" ca="1" si="450"/>
        <v>0</v>
      </c>
      <c r="TE31" s="235">
        <f t="shared" ca="1" si="451"/>
        <v>0</v>
      </c>
      <c r="TF31" s="235">
        <f t="shared" ca="1" si="452"/>
        <v>0</v>
      </c>
      <c r="TG31" s="242">
        <f t="shared" ca="1" si="453"/>
        <v>0</v>
      </c>
      <c r="TH31" s="241">
        <f t="shared" ca="1" si="574"/>
        <v>1</v>
      </c>
      <c r="TI31" s="220">
        <f t="shared" ca="1" si="454"/>
        <v>0</v>
      </c>
      <c r="TJ31" s="220">
        <f t="shared" ca="1" si="455"/>
        <v>0</v>
      </c>
      <c r="TK31" s="235">
        <f t="shared" ca="1" si="456"/>
        <v>0</v>
      </c>
      <c r="TL31" s="235">
        <f t="shared" ca="1" si="457"/>
        <v>0</v>
      </c>
      <c r="TM31" s="242">
        <f t="shared" ca="1" si="458"/>
        <v>0</v>
      </c>
      <c r="TN31" s="241">
        <f t="shared" ca="1" si="574"/>
        <v>1</v>
      </c>
      <c r="TO31" s="220">
        <f t="shared" ca="1" si="459"/>
        <v>0</v>
      </c>
      <c r="TP31" s="220">
        <f t="shared" ca="1" si="460"/>
        <v>0</v>
      </c>
      <c r="TQ31" s="235">
        <f t="shared" ca="1" si="461"/>
        <v>0</v>
      </c>
      <c r="TR31" s="235">
        <f t="shared" ca="1" si="462"/>
        <v>0</v>
      </c>
      <c r="TS31" s="242">
        <f t="shared" ca="1" si="463"/>
        <v>0</v>
      </c>
      <c r="TT31" s="241">
        <f t="shared" ca="1" si="574"/>
        <v>1</v>
      </c>
      <c r="TU31" s="220">
        <f t="shared" ca="1" si="464"/>
        <v>0</v>
      </c>
      <c r="TV31" s="220">
        <f t="shared" ca="1" si="465"/>
        <v>0</v>
      </c>
      <c r="TW31" s="235">
        <f t="shared" ca="1" si="466"/>
        <v>0</v>
      </c>
      <c r="TX31" s="235">
        <f t="shared" ca="1" si="467"/>
        <v>0</v>
      </c>
      <c r="TY31" s="242">
        <f t="shared" ca="1" si="468"/>
        <v>0</v>
      </c>
      <c r="TZ31" s="241">
        <f t="shared" ca="1" si="574"/>
        <v>1</v>
      </c>
      <c r="UA31" s="220">
        <f t="shared" ca="1" si="469"/>
        <v>0</v>
      </c>
      <c r="UB31" s="220">
        <f t="shared" ca="1" si="470"/>
        <v>0</v>
      </c>
      <c r="UC31" s="235">
        <f t="shared" ca="1" si="471"/>
        <v>0</v>
      </c>
      <c r="UD31" s="235">
        <f t="shared" ca="1" si="472"/>
        <v>0</v>
      </c>
      <c r="UE31" s="242">
        <f t="shared" ca="1" si="473"/>
        <v>0</v>
      </c>
      <c r="UF31" s="241">
        <f t="shared" ca="1" si="574"/>
        <v>1</v>
      </c>
      <c r="UG31" s="220">
        <f t="shared" ca="1" si="474"/>
        <v>0</v>
      </c>
      <c r="UH31" s="220">
        <f t="shared" ca="1" si="475"/>
        <v>0</v>
      </c>
      <c r="UI31" s="235">
        <f t="shared" ca="1" si="476"/>
        <v>0</v>
      </c>
      <c r="UJ31" s="235">
        <f t="shared" ca="1" si="477"/>
        <v>0</v>
      </c>
      <c r="UK31" s="242">
        <f t="shared" ca="1" si="478"/>
        <v>0</v>
      </c>
      <c r="UL31" s="241">
        <f t="shared" ca="1" si="574"/>
        <v>1</v>
      </c>
      <c r="UM31" s="220">
        <f t="shared" ca="1" si="479"/>
        <v>0</v>
      </c>
      <c r="UN31" s="220">
        <f t="shared" ca="1" si="480"/>
        <v>0</v>
      </c>
      <c r="UO31" s="235">
        <f t="shared" ca="1" si="481"/>
        <v>0</v>
      </c>
      <c r="UP31" s="235">
        <f t="shared" ca="1" si="482"/>
        <v>0</v>
      </c>
      <c r="UQ31" s="242">
        <f t="shared" ca="1" si="483"/>
        <v>0</v>
      </c>
      <c r="UR31" s="241">
        <f t="shared" ca="1" si="574"/>
        <v>1</v>
      </c>
      <c r="US31" s="220">
        <f t="shared" ca="1" si="484"/>
        <v>0</v>
      </c>
      <c r="UT31" s="220">
        <f t="shared" ca="1" si="485"/>
        <v>0</v>
      </c>
      <c r="UU31" s="235">
        <f t="shared" ca="1" si="486"/>
        <v>0</v>
      </c>
      <c r="UV31" s="235">
        <f t="shared" ca="1" si="487"/>
        <v>0</v>
      </c>
      <c r="UW31" s="242">
        <f t="shared" ca="1" si="488"/>
        <v>0</v>
      </c>
      <c r="UX31" s="241">
        <f t="shared" ca="1" si="574"/>
        <v>1</v>
      </c>
      <c r="UY31" s="220">
        <f t="shared" ca="1" si="489"/>
        <v>0</v>
      </c>
      <c r="UZ31" s="220">
        <f t="shared" ca="1" si="490"/>
        <v>0</v>
      </c>
      <c r="VA31" s="235">
        <f t="shared" ca="1" si="491"/>
        <v>0</v>
      </c>
      <c r="VB31" s="235">
        <f t="shared" ca="1" si="492"/>
        <v>0</v>
      </c>
      <c r="VC31" s="242">
        <f t="shared" ca="1" si="493"/>
        <v>0</v>
      </c>
      <c r="VD31" s="241">
        <f t="shared" ca="1" si="574"/>
        <v>1</v>
      </c>
      <c r="VE31" s="220">
        <f t="shared" ca="1" si="494"/>
        <v>0</v>
      </c>
      <c r="VF31" s="220">
        <f t="shared" ca="1" si="495"/>
        <v>0</v>
      </c>
      <c r="VG31" s="235">
        <f t="shared" ca="1" si="496"/>
        <v>0</v>
      </c>
      <c r="VH31" s="235">
        <f t="shared" ca="1" si="497"/>
        <v>0</v>
      </c>
      <c r="VI31" s="242">
        <f t="shared" ca="1" si="498"/>
        <v>0</v>
      </c>
      <c r="VJ31" s="241">
        <f t="shared" ca="1" si="567"/>
        <v>1</v>
      </c>
      <c r="VK31" s="220">
        <f t="shared" ca="1" si="500"/>
        <v>0</v>
      </c>
      <c r="VL31" s="220">
        <f t="shared" ca="1" si="501"/>
        <v>0</v>
      </c>
      <c r="VM31" s="235">
        <f t="shared" ca="1" si="502"/>
        <v>0</v>
      </c>
      <c r="VN31" s="235">
        <f t="shared" ca="1" si="503"/>
        <v>0</v>
      </c>
      <c r="VO31" s="242">
        <f t="shared" ca="1" si="504"/>
        <v>0</v>
      </c>
      <c r="VP31" s="241">
        <f t="shared" ca="1" si="567"/>
        <v>1</v>
      </c>
      <c r="VQ31" s="220">
        <f t="shared" ca="1" si="505"/>
        <v>0</v>
      </c>
      <c r="VR31" s="220">
        <f t="shared" ca="1" si="506"/>
        <v>0</v>
      </c>
      <c r="VS31" s="235">
        <f t="shared" ca="1" si="507"/>
        <v>0</v>
      </c>
      <c r="VT31" s="235">
        <f t="shared" ca="1" si="508"/>
        <v>0</v>
      </c>
      <c r="VU31" s="242">
        <f t="shared" ca="1" si="509"/>
        <v>0</v>
      </c>
      <c r="VV31" s="241">
        <f t="shared" ca="1" si="499"/>
        <v>1</v>
      </c>
      <c r="VW31" s="220">
        <f t="shared" ca="1" si="510"/>
        <v>0</v>
      </c>
      <c r="VX31" s="220">
        <f t="shared" ca="1" si="511"/>
        <v>0</v>
      </c>
      <c r="VY31" s="235">
        <f t="shared" ca="1" si="512"/>
        <v>0</v>
      </c>
      <c r="VZ31" s="235">
        <f t="shared" ca="1" si="513"/>
        <v>0</v>
      </c>
      <c r="WA31" s="242">
        <f t="shared" ca="1" si="514"/>
        <v>0</v>
      </c>
      <c r="WB31" s="241">
        <f t="shared" ca="1" si="499"/>
        <v>1</v>
      </c>
      <c r="WC31" s="220">
        <f t="shared" ca="1" si="515"/>
        <v>0</v>
      </c>
      <c r="WD31" s="220">
        <f t="shared" ca="1" si="516"/>
        <v>0</v>
      </c>
      <c r="WE31" s="235">
        <f t="shared" ca="1" si="517"/>
        <v>0</v>
      </c>
      <c r="WF31" s="235">
        <f t="shared" ca="1" si="518"/>
        <v>0</v>
      </c>
      <c r="WG31" s="242">
        <f t="shared" ca="1" si="519"/>
        <v>0</v>
      </c>
      <c r="WH31" s="241">
        <f t="shared" ca="1" si="499"/>
        <v>1</v>
      </c>
      <c r="WI31" s="220">
        <f t="shared" ca="1" si="520"/>
        <v>0</v>
      </c>
      <c r="WJ31" s="220">
        <f t="shared" ca="1" si="521"/>
        <v>0</v>
      </c>
      <c r="WK31" s="235">
        <f t="shared" ca="1" si="522"/>
        <v>0</v>
      </c>
      <c r="WL31" s="235">
        <f t="shared" ca="1" si="523"/>
        <v>0</v>
      </c>
      <c r="WM31" s="242">
        <f t="shared" ca="1" si="524"/>
        <v>0</v>
      </c>
      <c r="WN31" s="241">
        <f t="shared" ca="1" si="499"/>
        <v>1</v>
      </c>
      <c r="WO31" s="220">
        <f t="shared" ca="1" si="525"/>
        <v>0</v>
      </c>
      <c r="WP31" s="220">
        <f t="shared" ca="1" si="526"/>
        <v>0</v>
      </c>
      <c r="WQ31" s="235">
        <f t="shared" ca="1" si="527"/>
        <v>0</v>
      </c>
      <c r="WR31" s="235">
        <f t="shared" ca="1" si="528"/>
        <v>0</v>
      </c>
      <c r="WS31" s="242">
        <f t="shared" ca="1" si="529"/>
        <v>0</v>
      </c>
      <c r="WT31" s="241">
        <f t="shared" ca="1" si="499"/>
        <v>1</v>
      </c>
      <c r="WU31" s="220">
        <f t="shared" ca="1" si="530"/>
        <v>0</v>
      </c>
      <c r="WV31" s="220">
        <f t="shared" ca="1" si="531"/>
        <v>0</v>
      </c>
      <c r="WW31" s="235">
        <f t="shared" ca="1" si="532"/>
        <v>0</v>
      </c>
      <c r="WX31" s="235">
        <f t="shared" ca="1" si="533"/>
        <v>0</v>
      </c>
      <c r="WY31" s="242">
        <f t="shared" ca="1" si="534"/>
        <v>0</v>
      </c>
      <c r="WZ31" s="241">
        <f t="shared" ca="1" si="499"/>
        <v>1</v>
      </c>
      <c r="XA31" s="220">
        <f t="shared" ca="1" si="535"/>
        <v>0</v>
      </c>
      <c r="XB31" s="220">
        <f t="shared" ca="1" si="536"/>
        <v>0</v>
      </c>
      <c r="XC31" s="235">
        <f t="shared" ca="1" si="537"/>
        <v>0</v>
      </c>
      <c r="XD31" s="235">
        <f t="shared" ca="1" si="538"/>
        <v>0</v>
      </c>
      <c r="XE31" s="242">
        <f t="shared" ca="1" si="539"/>
        <v>0</v>
      </c>
      <c r="XF31" s="241">
        <f t="shared" ca="1" si="499"/>
        <v>1</v>
      </c>
      <c r="XG31" s="220">
        <f t="shared" ca="1" si="540"/>
        <v>0</v>
      </c>
      <c r="XH31" s="220">
        <f t="shared" ca="1" si="541"/>
        <v>0</v>
      </c>
      <c r="XI31" s="235">
        <f t="shared" ca="1" si="542"/>
        <v>0</v>
      </c>
      <c r="XJ31" s="235">
        <f t="shared" ca="1" si="543"/>
        <v>0</v>
      </c>
      <c r="XK31" s="242">
        <f t="shared" ca="1" si="544"/>
        <v>0</v>
      </c>
    </row>
    <row r="32" spans="2:635" x14ac:dyDescent="0.25">
      <c r="B32" s="65">
        <f t="shared" ca="1" si="14"/>
        <v>2047</v>
      </c>
      <c r="C32" s="65" t="s">
        <v>741</v>
      </c>
      <c r="D32" s="77">
        <f t="shared" si="15"/>
        <v>0</v>
      </c>
      <c r="E32" s="77">
        <f t="shared" si="16"/>
        <v>0</v>
      </c>
      <c r="F32" s="77">
        <f t="shared" si="17"/>
        <v>0</v>
      </c>
      <c r="G32" s="77">
        <f t="shared" si="18"/>
        <v>0</v>
      </c>
      <c r="H32" s="15" t="e">
        <f t="shared" ca="1" si="19"/>
        <v>#REF!</v>
      </c>
      <c r="L32" s="326">
        <f t="shared" ca="1" si="20"/>
        <v>3.5000000000000003E-2</v>
      </c>
      <c r="M32" s="327">
        <f t="shared" ca="1" si="21"/>
        <v>3.5000000000000003E-2</v>
      </c>
      <c r="N32" s="322">
        <f t="shared" ca="1" si="22"/>
        <v>-24</v>
      </c>
      <c r="O32" s="322">
        <f t="shared" ca="1" si="23"/>
        <v>0</v>
      </c>
      <c r="P32" s="328">
        <f t="shared" ca="1" si="545"/>
        <v>0</v>
      </c>
      <c r="Q32" s="328">
        <f t="shared" ca="1" si="546"/>
        <v>0</v>
      </c>
      <c r="R32" s="328">
        <f t="shared" ca="1" si="547"/>
        <v>0</v>
      </c>
      <c r="S32" s="329">
        <f t="shared" ca="1" si="24"/>
        <v>0</v>
      </c>
      <c r="T32" s="329">
        <f t="shared" ca="1" si="25"/>
        <v>0</v>
      </c>
      <c r="U32" s="329">
        <f t="shared" ca="1" si="26"/>
        <v>0</v>
      </c>
      <c r="V32" s="320" t="e">
        <f t="shared" ca="1" si="27"/>
        <v>#REF!</v>
      </c>
      <c r="W32" s="320" t="e">
        <f t="shared" ca="1" si="560"/>
        <v>#REF!</v>
      </c>
      <c r="X32" s="320" t="e">
        <f t="shared" ca="1" si="29"/>
        <v>#REF!</v>
      </c>
      <c r="Y32" s="320" t="e">
        <f ca="1">INDEX(SC_ZA_HECMLumpSum,ZAIDX)</f>
        <v>#REF!</v>
      </c>
      <c r="Z32" s="320" t="e">
        <f t="shared" ca="1" si="30"/>
        <v>#REF!</v>
      </c>
      <c r="AA32" s="320">
        <f t="shared" ca="1" si="557"/>
        <v>0</v>
      </c>
      <c r="AB32" s="320" t="e">
        <f t="shared" ca="1" si="558"/>
        <v>#REF!</v>
      </c>
      <c r="AC32" s="330" t="e">
        <f t="shared" ca="1" si="559"/>
        <v>#REF!</v>
      </c>
      <c r="AD32" s="236" t="e">
        <f t="shared" ca="1" si="548"/>
        <v>#REF!</v>
      </c>
      <c r="AE32" s="320" t="e">
        <f t="shared" ca="1" si="561"/>
        <v>#REF!</v>
      </c>
      <c r="AF32" s="320" t="e">
        <f t="shared" ca="1" si="35"/>
        <v>#REF!</v>
      </c>
      <c r="AG32" s="320" t="e">
        <f t="shared" ca="1" si="549"/>
        <v>#REF!</v>
      </c>
      <c r="AH32" s="284" t="e">
        <f t="shared" ca="1" si="550"/>
        <v>#REF!</v>
      </c>
      <c r="AI32" s="318" t="e">
        <f t="shared" ca="1" si="551"/>
        <v>#REF!</v>
      </c>
      <c r="AJ32" s="331">
        <f t="shared" ref="AJ32:CR55" ca="1" si="575">IF(($B32+AJ$2)&lt;SC_TargetRY,0,IF(($B32+AJ$2)=SC_TargetRY,SC_AnnyPmntPr,IF(SP_AnnyTerms="Life",1,IF(($B32+AJ$2)=(SC_TargetRY+SP_AnnyPeriod),SC_AnnyPmntPr-1,IF(($B32+AJ$2)&gt;(SC_TargetRY+SP_AnnyPeriod),0,1)))))</f>
        <v>1</v>
      </c>
      <c r="AK32" s="220">
        <f t="shared" ca="1" si="553"/>
        <v>0</v>
      </c>
      <c r="AL32" s="220">
        <f t="shared" ca="1" si="37"/>
        <v>0</v>
      </c>
      <c r="AM32" s="235">
        <f t="shared" ca="1" si="554"/>
        <v>0</v>
      </c>
      <c r="AN32" s="235">
        <f t="shared" ca="1" si="555"/>
        <v>0</v>
      </c>
      <c r="AO32" s="242">
        <f t="shared" ca="1" si="556"/>
        <v>0</v>
      </c>
      <c r="AP32" s="241">
        <f t="shared" ca="1" si="575"/>
        <v>1</v>
      </c>
      <c r="AQ32" s="220">
        <f t="shared" ca="1" si="41"/>
        <v>0</v>
      </c>
      <c r="AR32" s="220">
        <f t="shared" ca="1" si="42"/>
        <v>0</v>
      </c>
      <c r="AS32" s="235">
        <f t="shared" ca="1" si="43"/>
        <v>0</v>
      </c>
      <c r="AT32" s="235">
        <f t="shared" ca="1" si="44"/>
        <v>0</v>
      </c>
      <c r="AU32" s="242">
        <f t="shared" ca="1" si="45"/>
        <v>0</v>
      </c>
      <c r="AV32" s="241">
        <f t="shared" ca="1" si="575"/>
        <v>1</v>
      </c>
      <c r="AW32" s="220">
        <f t="shared" ca="1" si="46"/>
        <v>0</v>
      </c>
      <c r="AX32" s="220">
        <f t="shared" ca="1" si="47"/>
        <v>0</v>
      </c>
      <c r="AY32" s="235">
        <f t="shared" ca="1" si="48"/>
        <v>0</v>
      </c>
      <c r="AZ32" s="235">
        <f t="shared" ca="1" si="49"/>
        <v>0</v>
      </c>
      <c r="BA32" s="242">
        <f t="shared" ca="1" si="50"/>
        <v>0</v>
      </c>
      <c r="BB32" s="241">
        <f t="shared" ca="1" si="575"/>
        <v>1</v>
      </c>
      <c r="BC32" s="220">
        <f t="shared" ca="1" si="52"/>
        <v>0</v>
      </c>
      <c r="BD32" s="220">
        <f t="shared" ca="1" si="53"/>
        <v>0</v>
      </c>
      <c r="BE32" s="235">
        <f t="shared" ca="1" si="54"/>
        <v>0</v>
      </c>
      <c r="BF32" s="235">
        <f t="shared" ca="1" si="55"/>
        <v>0</v>
      </c>
      <c r="BG32" s="242">
        <f t="shared" ca="1" si="56"/>
        <v>0</v>
      </c>
      <c r="BH32" s="241">
        <f t="shared" ca="1" si="575"/>
        <v>1</v>
      </c>
      <c r="BI32" s="220">
        <f t="shared" ca="1" si="57"/>
        <v>0</v>
      </c>
      <c r="BJ32" s="220">
        <f t="shared" ca="1" si="58"/>
        <v>0</v>
      </c>
      <c r="BK32" s="235">
        <f t="shared" ca="1" si="59"/>
        <v>0</v>
      </c>
      <c r="BL32" s="235">
        <f t="shared" ca="1" si="60"/>
        <v>0</v>
      </c>
      <c r="BM32" s="242">
        <f t="shared" ca="1" si="61"/>
        <v>0</v>
      </c>
      <c r="BN32" s="241">
        <f t="shared" ca="1" si="575"/>
        <v>1</v>
      </c>
      <c r="BO32" s="220">
        <f t="shared" ca="1" si="62"/>
        <v>0</v>
      </c>
      <c r="BP32" s="220">
        <f t="shared" ca="1" si="63"/>
        <v>0</v>
      </c>
      <c r="BQ32" s="235">
        <f t="shared" ca="1" si="64"/>
        <v>0</v>
      </c>
      <c r="BR32" s="235">
        <f t="shared" ca="1" si="65"/>
        <v>0</v>
      </c>
      <c r="BS32" s="242">
        <f t="shared" ca="1" si="66"/>
        <v>0</v>
      </c>
      <c r="BT32" s="241">
        <f t="shared" ca="1" si="575"/>
        <v>1</v>
      </c>
      <c r="BU32" s="220">
        <f t="shared" ca="1" si="67"/>
        <v>0</v>
      </c>
      <c r="BV32" s="220">
        <f t="shared" ca="1" si="68"/>
        <v>0</v>
      </c>
      <c r="BW32" s="235">
        <f t="shared" ca="1" si="69"/>
        <v>0</v>
      </c>
      <c r="BX32" s="235">
        <f t="shared" ca="1" si="70"/>
        <v>0</v>
      </c>
      <c r="BY32" s="242">
        <f t="shared" ca="1" si="71"/>
        <v>0</v>
      </c>
      <c r="BZ32" s="241">
        <f t="shared" ca="1" si="575"/>
        <v>1</v>
      </c>
      <c r="CA32" s="220">
        <f t="shared" ca="1" si="72"/>
        <v>0</v>
      </c>
      <c r="CB32" s="220">
        <f t="shared" ca="1" si="73"/>
        <v>0</v>
      </c>
      <c r="CC32" s="235">
        <f t="shared" ca="1" si="74"/>
        <v>0</v>
      </c>
      <c r="CD32" s="235">
        <f t="shared" ca="1" si="75"/>
        <v>0</v>
      </c>
      <c r="CE32" s="242">
        <f t="shared" ca="1" si="76"/>
        <v>0</v>
      </c>
      <c r="CF32" s="241">
        <f t="shared" ca="1" si="575"/>
        <v>1</v>
      </c>
      <c r="CG32" s="220">
        <f t="shared" ca="1" si="77"/>
        <v>0</v>
      </c>
      <c r="CH32" s="220">
        <f t="shared" ca="1" si="78"/>
        <v>0</v>
      </c>
      <c r="CI32" s="235">
        <f t="shared" ca="1" si="79"/>
        <v>0</v>
      </c>
      <c r="CJ32" s="235">
        <f t="shared" ca="1" si="80"/>
        <v>0</v>
      </c>
      <c r="CK32" s="242">
        <f t="shared" ca="1" si="81"/>
        <v>0</v>
      </c>
      <c r="CL32" s="241">
        <f t="shared" ca="1" si="575"/>
        <v>1</v>
      </c>
      <c r="CM32" s="220">
        <f t="shared" ca="1" si="82"/>
        <v>0</v>
      </c>
      <c r="CN32" s="220">
        <f t="shared" ca="1" si="83"/>
        <v>0</v>
      </c>
      <c r="CO32" s="235">
        <f t="shared" ca="1" si="84"/>
        <v>0</v>
      </c>
      <c r="CP32" s="235">
        <f t="shared" ca="1" si="85"/>
        <v>0</v>
      </c>
      <c r="CQ32" s="242">
        <f t="shared" ca="1" si="86"/>
        <v>0</v>
      </c>
      <c r="CR32" s="241">
        <f t="shared" ca="1" si="575"/>
        <v>1</v>
      </c>
      <c r="CS32" s="220">
        <f t="shared" ca="1" si="87"/>
        <v>0</v>
      </c>
      <c r="CT32" s="220">
        <f t="shared" ca="1" si="88"/>
        <v>0</v>
      </c>
      <c r="CU32" s="235">
        <f t="shared" ca="1" si="89"/>
        <v>0</v>
      </c>
      <c r="CV32" s="235">
        <f t="shared" ca="1" si="90"/>
        <v>0</v>
      </c>
      <c r="CW32" s="242">
        <f t="shared" ca="1" si="91"/>
        <v>0</v>
      </c>
      <c r="CX32" s="241">
        <f t="shared" ca="1" si="568"/>
        <v>1</v>
      </c>
      <c r="CY32" s="220">
        <f t="shared" ca="1" si="92"/>
        <v>0</v>
      </c>
      <c r="CZ32" s="220">
        <f t="shared" ca="1" si="93"/>
        <v>0</v>
      </c>
      <c r="DA32" s="235">
        <f t="shared" ca="1" si="94"/>
        <v>0</v>
      </c>
      <c r="DB32" s="235">
        <f t="shared" ca="1" si="95"/>
        <v>0</v>
      </c>
      <c r="DC32" s="242">
        <f t="shared" ca="1" si="96"/>
        <v>0</v>
      </c>
      <c r="DD32" s="241">
        <f t="shared" ca="1" si="568"/>
        <v>1</v>
      </c>
      <c r="DE32" s="220">
        <f t="shared" ca="1" si="97"/>
        <v>0</v>
      </c>
      <c r="DF32" s="220">
        <f t="shared" ca="1" si="98"/>
        <v>0</v>
      </c>
      <c r="DG32" s="235">
        <f t="shared" ca="1" si="99"/>
        <v>0</v>
      </c>
      <c r="DH32" s="235">
        <f t="shared" ca="1" si="100"/>
        <v>0</v>
      </c>
      <c r="DI32" s="242">
        <f t="shared" ca="1" si="101"/>
        <v>0</v>
      </c>
      <c r="DJ32" s="241">
        <f t="shared" ca="1" si="51"/>
        <v>1</v>
      </c>
      <c r="DK32" s="220">
        <f t="shared" ca="1" si="102"/>
        <v>0</v>
      </c>
      <c r="DL32" s="220">
        <f t="shared" ca="1" si="103"/>
        <v>0</v>
      </c>
      <c r="DM32" s="235">
        <f t="shared" ca="1" si="104"/>
        <v>0</v>
      </c>
      <c r="DN32" s="235">
        <f t="shared" ca="1" si="105"/>
        <v>0</v>
      </c>
      <c r="DO32" s="242">
        <f t="shared" ca="1" si="106"/>
        <v>0</v>
      </c>
      <c r="DP32" s="241">
        <f t="shared" ca="1" si="569"/>
        <v>1</v>
      </c>
      <c r="DQ32" s="220">
        <f t="shared" ca="1" si="108"/>
        <v>0</v>
      </c>
      <c r="DR32" s="220">
        <f t="shared" ca="1" si="109"/>
        <v>0</v>
      </c>
      <c r="DS32" s="235">
        <f t="shared" ca="1" si="110"/>
        <v>0</v>
      </c>
      <c r="DT32" s="235">
        <f t="shared" ca="1" si="111"/>
        <v>0</v>
      </c>
      <c r="DU32" s="242">
        <f t="shared" ca="1" si="112"/>
        <v>0</v>
      </c>
      <c r="DV32" s="241">
        <f t="shared" ca="1" si="569"/>
        <v>1</v>
      </c>
      <c r="DW32" s="220">
        <f t="shared" ca="1" si="113"/>
        <v>0</v>
      </c>
      <c r="DX32" s="220">
        <f t="shared" ca="1" si="114"/>
        <v>0</v>
      </c>
      <c r="DY32" s="235">
        <f t="shared" ca="1" si="115"/>
        <v>0</v>
      </c>
      <c r="DZ32" s="235">
        <f t="shared" ca="1" si="116"/>
        <v>0</v>
      </c>
      <c r="EA32" s="242">
        <f t="shared" ca="1" si="117"/>
        <v>0</v>
      </c>
      <c r="EB32" s="241">
        <f t="shared" ca="1" si="569"/>
        <v>1</v>
      </c>
      <c r="EC32" s="220">
        <f t="shared" ca="1" si="118"/>
        <v>0</v>
      </c>
      <c r="ED32" s="220">
        <f t="shared" ca="1" si="119"/>
        <v>0</v>
      </c>
      <c r="EE32" s="235">
        <f t="shared" ca="1" si="120"/>
        <v>0</v>
      </c>
      <c r="EF32" s="235">
        <f t="shared" ca="1" si="121"/>
        <v>0</v>
      </c>
      <c r="EG32" s="242">
        <f t="shared" ca="1" si="122"/>
        <v>0</v>
      </c>
      <c r="EH32" s="241">
        <f t="shared" ca="1" si="569"/>
        <v>1</v>
      </c>
      <c r="EI32" s="220">
        <f t="shared" ca="1" si="123"/>
        <v>0</v>
      </c>
      <c r="EJ32" s="220">
        <f t="shared" ca="1" si="124"/>
        <v>0</v>
      </c>
      <c r="EK32" s="235">
        <f t="shared" ca="1" si="125"/>
        <v>0</v>
      </c>
      <c r="EL32" s="235">
        <f t="shared" ca="1" si="126"/>
        <v>0</v>
      </c>
      <c r="EM32" s="242">
        <f t="shared" ca="1" si="127"/>
        <v>0</v>
      </c>
      <c r="EN32" s="241">
        <f t="shared" ca="1" si="569"/>
        <v>1</v>
      </c>
      <c r="EO32" s="220">
        <f t="shared" ca="1" si="128"/>
        <v>0</v>
      </c>
      <c r="EP32" s="220">
        <f t="shared" ca="1" si="129"/>
        <v>0</v>
      </c>
      <c r="EQ32" s="235">
        <f t="shared" ca="1" si="130"/>
        <v>0</v>
      </c>
      <c r="ER32" s="235">
        <f t="shared" ca="1" si="131"/>
        <v>0</v>
      </c>
      <c r="ES32" s="242">
        <f t="shared" ca="1" si="132"/>
        <v>0</v>
      </c>
      <c r="ET32" s="241">
        <f t="shared" ca="1" si="569"/>
        <v>1</v>
      </c>
      <c r="EU32" s="220">
        <f t="shared" ca="1" si="133"/>
        <v>0</v>
      </c>
      <c r="EV32" s="220">
        <f t="shared" ca="1" si="134"/>
        <v>0</v>
      </c>
      <c r="EW32" s="235">
        <f t="shared" ca="1" si="135"/>
        <v>0</v>
      </c>
      <c r="EX32" s="235">
        <f t="shared" ca="1" si="136"/>
        <v>0</v>
      </c>
      <c r="EY32" s="242">
        <f t="shared" ca="1" si="137"/>
        <v>0</v>
      </c>
      <c r="EZ32" s="241">
        <f t="shared" ca="1" si="569"/>
        <v>1</v>
      </c>
      <c r="FA32" s="220">
        <f t="shared" ca="1" si="138"/>
        <v>0</v>
      </c>
      <c r="FB32" s="220">
        <f t="shared" ca="1" si="139"/>
        <v>0</v>
      </c>
      <c r="FC32" s="235">
        <f t="shared" ca="1" si="140"/>
        <v>0</v>
      </c>
      <c r="FD32" s="235">
        <f t="shared" ca="1" si="141"/>
        <v>0</v>
      </c>
      <c r="FE32" s="242">
        <f t="shared" ca="1" si="142"/>
        <v>0</v>
      </c>
      <c r="FF32" s="241">
        <f t="shared" ca="1" si="569"/>
        <v>1</v>
      </c>
      <c r="FG32" s="220">
        <f t="shared" ca="1" si="143"/>
        <v>0</v>
      </c>
      <c r="FH32" s="220">
        <f t="shared" ca="1" si="144"/>
        <v>0</v>
      </c>
      <c r="FI32" s="235">
        <f t="shared" ca="1" si="145"/>
        <v>0</v>
      </c>
      <c r="FJ32" s="235">
        <f t="shared" ca="1" si="146"/>
        <v>0</v>
      </c>
      <c r="FK32" s="242">
        <f t="shared" ca="1" si="147"/>
        <v>0</v>
      </c>
      <c r="FL32" s="241">
        <f t="shared" ca="1" si="569"/>
        <v>1</v>
      </c>
      <c r="FM32" s="220">
        <f t="shared" ca="1" si="148"/>
        <v>0</v>
      </c>
      <c r="FN32" s="220">
        <f t="shared" ca="1" si="149"/>
        <v>0</v>
      </c>
      <c r="FO32" s="235">
        <f t="shared" ca="1" si="150"/>
        <v>0</v>
      </c>
      <c r="FP32" s="235">
        <f t="shared" ca="1" si="151"/>
        <v>0</v>
      </c>
      <c r="FQ32" s="242">
        <f t="shared" ca="1" si="152"/>
        <v>0</v>
      </c>
      <c r="FR32" s="241">
        <f t="shared" ca="1" si="569"/>
        <v>1</v>
      </c>
      <c r="FS32" s="220">
        <f t="shared" ca="1" si="153"/>
        <v>0</v>
      </c>
      <c r="FT32" s="220">
        <f t="shared" ca="1" si="154"/>
        <v>0</v>
      </c>
      <c r="FU32" s="235">
        <f t="shared" ca="1" si="155"/>
        <v>0</v>
      </c>
      <c r="FV32" s="235">
        <f t="shared" ca="1" si="156"/>
        <v>0</v>
      </c>
      <c r="FW32" s="242">
        <f t="shared" ca="1" si="157"/>
        <v>0</v>
      </c>
      <c r="FX32" s="241">
        <f t="shared" ca="1" si="569"/>
        <v>1</v>
      </c>
      <c r="FY32" s="220">
        <f t="shared" ca="1" si="158"/>
        <v>0</v>
      </c>
      <c r="FZ32" s="220">
        <f t="shared" ca="1" si="159"/>
        <v>0</v>
      </c>
      <c r="GA32" s="235">
        <f t="shared" ca="1" si="160"/>
        <v>0</v>
      </c>
      <c r="GB32" s="235">
        <f t="shared" ca="1" si="161"/>
        <v>0</v>
      </c>
      <c r="GC32" s="242">
        <f t="shared" ca="1" si="162"/>
        <v>0</v>
      </c>
      <c r="GD32" s="241">
        <f t="shared" ca="1" si="562"/>
        <v>1</v>
      </c>
      <c r="GE32" s="220">
        <f t="shared" ca="1" si="164"/>
        <v>0</v>
      </c>
      <c r="GF32" s="220">
        <f t="shared" ca="1" si="165"/>
        <v>0</v>
      </c>
      <c r="GG32" s="235">
        <f t="shared" ca="1" si="166"/>
        <v>0</v>
      </c>
      <c r="GH32" s="235">
        <f t="shared" ca="1" si="167"/>
        <v>0</v>
      </c>
      <c r="GI32" s="242">
        <f t="shared" ca="1" si="168"/>
        <v>0</v>
      </c>
      <c r="GJ32" s="241">
        <f t="shared" ca="1" si="562"/>
        <v>1</v>
      </c>
      <c r="GK32" s="220">
        <f t="shared" ca="1" si="169"/>
        <v>0</v>
      </c>
      <c r="GL32" s="220">
        <f t="shared" ca="1" si="170"/>
        <v>0</v>
      </c>
      <c r="GM32" s="235">
        <f t="shared" ca="1" si="171"/>
        <v>0</v>
      </c>
      <c r="GN32" s="235">
        <f t="shared" ca="1" si="172"/>
        <v>0</v>
      </c>
      <c r="GO32" s="242">
        <f t="shared" ca="1" si="173"/>
        <v>0</v>
      </c>
      <c r="GP32" s="241">
        <f t="shared" ca="1" si="570"/>
        <v>1</v>
      </c>
      <c r="GQ32" s="220">
        <f t="shared" ca="1" si="174"/>
        <v>0</v>
      </c>
      <c r="GR32" s="220">
        <f t="shared" ca="1" si="175"/>
        <v>0</v>
      </c>
      <c r="GS32" s="235">
        <f t="shared" ca="1" si="176"/>
        <v>0</v>
      </c>
      <c r="GT32" s="235">
        <f t="shared" ca="1" si="177"/>
        <v>0</v>
      </c>
      <c r="GU32" s="242">
        <f t="shared" ca="1" si="178"/>
        <v>0</v>
      </c>
      <c r="GV32" s="241">
        <f t="shared" ca="1" si="570"/>
        <v>1</v>
      </c>
      <c r="GW32" s="220">
        <f t="shared" ca="1" si="179"/>
        <v>0</v>
      </c>
      <c r="GX32" s="220">
        <f t="shared" ca="1" si="180"/>
        <v>0</v>
      </c>
      <c r="GY32" s="235">
        <f t="shared" ca="1" si="181"/>
        <v>0</v>
      </c>
      <c r="GZ32" s="235">
        <f t="shared" ca="1" si="182"/>
        <v>0</v>
      </c>
      <c r="HA32" s="242">
        <f t="shared" ca="1" si="183"/>
        <v>0</v>
      </c>
      <c r="HB32" s="241">
        <f t="shared" ca="1" si="570"/>
        <v>1</v>
      </c>
      <c r="HC32" s="220">
        <f t="shared" ca="1" si="184"/>
        <v>0</v>
      </c>
      <c r="HD32" s="220">
        <f t="shared" ca="1" si="185"/>
        <v>0</v>
      </c>
      <c r="HE32" s="235">
        <f t="shared" ca="1" si="186"/>
        <v>0</v>
      </c>
      <c r="HF32" s="235">
        <f t="shared" ca="1" si="187"/>
        <v>0</v>
      </c>
      <c r="HG32" s="242">
        <f t="shared" ca="1" si="188"/>
        <v>0</v>
      </c>
      <c r="HH32" s="241">
        <f t="shared" ca="1" si="570"/>
        <v>1</v>
      </c>
      <c r="HI32" s="220">
        <f t="shared" ca="1" si="189"/>
        <v>0</v>
      </c>
      <c r="HJ32" s="220">
        <f t="shared" ca="1" si="190"/>
        <v>0</v>
      </c>
      <c r="HK32" s="235">
        <f t="shared" ca="1" si="191"/>
        <v>0</v>
      </c>
      <c r="HL32" s="235">
        <f t="shared" ca="1" si="192"/>
        <v>0</v>
      </c>
      <c r="HM32" s="242">
        <f t="shared" ca="1" si="193"/>
        <v>0</v>
      </c>
      <c r="HN32" s="241">
        <f t="shared" ca="1" si="570"/>
        <v>1</v>
      </c>
      <c r="HO32" s="220">
        <f t="shared" ca="1" si="194"/>
        <v>0</v>
      </c>
      <c r="HP32" s="220">
        <f t="shared" ca="1" si="195"/>
        <v>0</v>
      </c>
      <c r="HQ32" s="235">
        <f t="shared" ca="1" si="196"/>
        <v>0</v>
      </c>
      <c r="HR32" s="235">
        <f t="shared" ca="1" si="197"/>
        <v>0</v>
      </c>
      <c r="HS32" s="242">
        <f t="shared" ca="1" si="198"/>
        <v>0</v>
      </c>
      <c r="HT32" s="241">
        <f t="shared" ca="1" si="570"/>
        <v>1</v>
      </c>
      <c r="HU32" s="220">
        <f t="shared" ca="1" si="199"/>
        <v>0</v>
      </c>
      <c r="HV32" s="220">
        <f t="shared" ca="1" si="200"/>
        <v>0</v>
      </c>
      <c r="HW32" s="235">
        <f t="shared" ca="1" si="201"/>
        <v>0</v>
      </c>
      <c r="HX32" s="235">
        <f t="shared" ca="1" si="202"/>
        <v>0</v>
      </c>
      <c r="HY32" s="242">
        <f t="shared" ca="1" si="203"/>
        <v>0</v>
      </c>
      <c r="HZ32" s="241">
        <f t="shared" ca="1" si="570"/>
        <v>1</v>
      </c>
      <c r="IA32" s="220">
        <f t="shared" ca="1" si="204"/>
        <v>0</v>
      </c>
      <c r="IB32" s="220">
        <f t="shared" ca="1" si="205"/>
        <v>0</v>
      </c>
      <c r="IC32" s="235">
        <f t="shared" ca="1" si="206"/>
        <v>0</v>
      </c>
      <c r="ID32" s="235">
        <f t="shared" ca="1" si="207"/>
        <v>0</v>
      </c>
      <c r="IE32" s="242">
        <f t="shared" ca="1" si="208"/>
        <v>0</v>
      </c>
      <c r="IF32" s="241">
        <f t="shared" ca="1" si="570"/>
        <v>1</v>
      </c>
      <c r="IG32" s="220">
        <f t="shared" ca="1" si="209"/>
        <v>0</v>
      </c>
      <c r="IH32" s="220">
        <f t="shared" ca="1" si="210"/>
        <v>0</v>
      </c>
      <c r="II32" s="235">
        <f t="shared" ca="1" si="211"/>
        <v>0</v>
      </c>
      <c r="IJ32" s="235">
        <f t="shared" ca="1" si="212"/>
        <v>0</v>
      </c>
      <c r="IK32" s="242">
        <f t="shared" ca="1" si="213"/>
        <v>0</v>
      </c>
      <c r="IL32" s="241">
        <f t="shared" ca="1" si="570"/>
        <v>1</v>
      </c>
      <c r="IM32" s="220">
        <f t="shared" ca="1" si="214"/>
        <v>0</v>
      </c>
      <c r="IN32" s="220">
        <f t="shared" ca="1" si="215"/>
        <v>0</v>
      </c>
      <c r="IO32" s="235">
        <f t="shared" ca="1" si="216"/>
        <v>0</v>
      </c>
      <c r="IP32" s="235">
        <f t="shared" ca="1" si="217"/>
        <v>0</v>
      </c>
      <c r="IQ32" s="242">
        <f t="shared" ca="1" si="218"/>
        <v>0</v>
      </c>
      <c r="IR32" s="241">
        <f t="shared" ca="1" si="570"/>
        <v>1</v>
      </c>
      <c r="IS32" s="220">
        <f t="shared" ca="1" si="220"/>
        <v>0</v>
      </c>
      <c r="IT32" s="220">
        <f t="shared" ca="1" si="221"/>
        <v>0</v>
      </c>
      <c r="IU32" s="235">
        <f t="shared" ca="1" si="222"/>
        <v>0</v>
      </c>
      <c r="IV32" s="235">
        <f t="shared" ca="1" si="223"/>
        <v>0</v>
      </c>
      <c r="IW32" s="242">
        <f t="shared" ca="1" si="224"/>
        <v>0</v>
      </c>
      <c r="IX32" s="241">
        <f t="shared" ca="1" si="570"/>
        <v>1</v>
      </c>
      <c r="IY32" s="220">
        <f t="shared" ca="1" si="225"/>
        <v>0</v>
      </c>
      <c r="IZ32" s="220">
        <f t="shared" ca="1" si="226"/>
        <v>0</v>
      </c>
      <c r="JA32" s="235">
        <f t="shared" ca="1" si="227"/>
        <v>0</v>
      </c>
      <c r="JB32" s="235">
        <f t="shared" ca="1" si="228"/>
        <v>0</v>
      </c>
      <c r="JC32" s="242">
        <f t="shared" ca="1" si="229"/>
        <v>0</v>
      </c>
      <c r="JD32" s="241">
        <f t="shared" ca="1" si="563"/>
        <v>1</v>
      </c>
      <c r="JE32" s="220">
        <f t="shared" ca="1" si="230"/>
        <v>0</v>
      </c>
      <c r="JF32" s="220">
        <f t="shared" ca="1" si="231"/>
        <v>0</v>
      </c>
      <c r="JG32" s="235">
        <f t="shared" ca="1" si="232"/>
        <v>0</v>
      </c>
      <c r="JH32" s="235">
        <f t="shared" ca="1" si="233"/>
        <v>0</v>
      </c>
      <c r="JI32" s="242">
        <f t="shared" ca="1" si="234"/>
        <v>0</v>
      </c>
      <c r="JJ32" s="241">
        <f t="shared" ca="1" si="563"/>
        <v>1</v>
      </c>
      <c r="JK32" s="220">
        <f t="shared" ca="1" si="235"/>
        <v>0</v>
      </c>
      <c r="JL32" s="220">
        <f t="shared" ca="1" si="236"/>
        <v>0</v>
      </c>
      <c r="JM32" s="235">
        <f t="shared" ca="1" si="237"/>
        <v>0</v>
      </c>
      <c r="JN32" s="235">
        <f t="shared" ca="1" si="238"/>
        <v>0</v>
      </c>
      <c r="JO32" s="242">
        <f t="shared" ca="1" si="239"/>
        <v>0</v>
      </c>
      <c r="JP32" s="241">
        <f t="shared" ca="1" si="571"/>
        <v>1</v>
      </c>
      <c r="JQ32" s="220">
        <f t="shared" ca="1" si="240"/>
        <v>0</v>
      </c>
      <c r="JR32" s="220">
        <f t="shared" ca="1" si="241"/>
        <v>0</v>
      </c>
      <c r="JS32" s="235">
        <f t="shared" ca="1" si="242"/>
        <v>0</v>
      </c>
      <c r="JT32" s="235">
        <f t="shared" ca="1" si="243"/>
        <v>0</v>
      </c>
      <c r="JU32" s="242">
        <f t="shared" ca="1" si="244"/>
        <v>0</v>
      </c>
      <c r="JV32" s="241">
        <f t="shared" ca="1" si="571"/>
        <v>1</v>
      </c>
      <c r="JW32" s="220">
        <f t="shared" ca="1" si="245"/>
        <v>0</v>
      </c>
      <c r="JX32" s="220">
        <f t="shared" ca="1" si="246"/>
        <v>0</v>
      </c>
      <c r="JY32" s="235">
        <f t="shared" ca="1" si="247"/>
        <v>0</v>
      </c>
      <c r="JZ32" s="235">
        <f t="shared" ca="1" si="248"/>
        <v>0</v>
      </c>
      <c r="KA32" s="242">
        <f t="shared" ca="1" si="249"/>
        <v>0</v>
      </c>
      <c r="KB32" s="241">
        <f t="shared" ca="1" si="571"/>
        <v>1</v>
      </c>
      <c r="KC32" s="220">
        <f t="shared" ca="1" si="250"/>
        <v>0</v>
      </c>
      <c r="KD32" s="220">
        <f t="shared" ca="1" si="251"/>
        <v>0</v>
      </c>
      <c r="KE32" s="235">
        <f t="shared" ca="1" si="252"/>
        <v>0</v>
      </c>
      <c r="KF32" s="235">
        <f t="shared" ca="1" si="253"/>
        <v>0</v>
      </c>
      <c r="KG32" s="242">
        <f t="shared" ca="1" si="254"/>
        <v>0</v>
      </c>
      <c r="KH32" s="241">
        <f t="shared" ca="1" si="571"/>
        <v>1</v>
      </c>
      <c r="KI32" s="220">
        <f t="shared" ca="1" si="255"/>
        <v>0</v>
      </c>
      <c r="KJ32" s="220">
        <f t="shared" ca="1" si="256"/>
        <v>0</v>
      </c>
      <c r="KK32" s="235">
        <f t="shared" ca="1" si="257"/>
        <v>0</v>
      </c>
      <c r="KL32" s="235">
        <f t="shared" ca="1" si="258"/>
        <v>0</v>
      </c>
      <c r="KM32" s="242">
        <f t="shared" ca="1" si="259"/>
        <v>0</v>
      </c>
      <c r="KN32" s="241">
        <f t="shared" ca="1" si="571"/>
        <v>1</v>
      </c>
      <c r="KO32" s="220">
        <f t="shared" ca="1" si="260"/>
        <v>0</v>
      </c>
      <c r="KP32" s="220">
        <f t="shared" ca="1" si="261"/>
        <v>0</v>
      </c>
      <c r="KQ32" s="235">
        <f t="shared" ca="1" si="262"/>
        <v>0</v>
      </c>
      <c r="KR32" s="235">
        <f t="shared" ca="1" si="263"/>
        <v>0</v>
      </c>
      <c r="KS32" s="242">
        <f t="shared" ca="1" si="264"/>
        <v>0</v>
      </c>
      <c r="KT32" s="241">
        <f t="shared" ca="1" si="571"/>
        <v>1</v>
      </c>
      <c r="KU32" s="220">
        <f t="shared" ca="1" si="265"/>
        <v>0</v>
      </c>
      <c r="KV32" s="220">
        <f t="shared" ca="1" si="266"/>
        <v>0</v>
      </c>
      <c r="KW32" s="235">
        <f t="shared" ca="1" si="267"/>
        <v>0</v>
      </c>
      <c r="KX32" s="235">
        <f t="shared" ca="1" si="268"/>
        <v>0</v>
      </c>
      <c r="KY32" s="242">
        <f t="shared" ca="1" si="269"/>
        <v>0</v>
      </c>
      <c r="KZ32" s="241">
        <f t="shared" ca="1" si="571"/>
        <v>1</v>
      </c>
      <c r="LA32" s="220">
        <f t="shared" ca="1" si="270"/>
        <v>0</v>
      </c>
      <c r="LB32" s="220">
        <f t="shared" ca="1" si="271"/>
        <v>0</v>
      </c>
      <c r="LC32" s="235">
        <f t="shared" ca="1" si="272"/>
        <v>0</v>
      </c>
      <c r="LD32" s="235">
        <f t="shared" ca="1" si="273"/>
        <v>0</v>
      </c>
      <c r="LE32" s="242">
        <f t="shared" ca="1" si="274"/>
        <v>0</v>
      </c>
      <c r="LF32" s="241">
        <f t="shared" ca="1" si="571"/>
        <v>1</v>
      </c>
      <c r="LG32" s="220">
        <f t="shared" ca="1" si="276"/>
        <v>0</v>
      </c>
      <c r="LH32" s="220">
        <f t="shared" ca="1" si="277"/>
        <v>0</v>
      </c>
      <c r="LI32" s="235">
        <f t="shared" ca="1" si="278"/>
        <v>0</v>
      </c>
      <c r="LJ32" s="235">
        <f t="shared" ca="1" si="279"/>
        <v>0</v>
      </c>
      <c r="LK32" s="242">
        <f t="shared" ca="1" si="280"/>
        <v>0</v>
      </c>
      <c r="LL32" s="241">
        <f t="shared" ca="1" si="571"/>
        <v>1</v>
      </c>
      <c r="LM32" s="220">
        <f t="shared" ca="1" si="281"/>
        <v>0</v>
      </c>
      <c r="LN32" s="220">
        <f t="shared" ca="1" si="282"/>
        <v>0</v>
      </c>
      <c r="LO32" s="235">
        <f t="shared" ca="1" si="283"/>
        <v>0</v>
      </c>
      <c r="LP32" s="235">
        <f t="shared" ca="1" si="284"/>
        <v>0</v>
      </c>
      <c r="LQ32" s="242">
        <f t="shared" ca="1" si="285"/>
        <v>0</v>
      </c>
      <c r="LR32" s="241">
        <f t="shared" ca="1" si="571"/>
        <v>1</v>
      </c>
      <c r="LS32" s="220">
        <f t="shared" ca="1" si="286"/>
        <v>0</v>
      </c>
      <c r="LT32" s="220">
        <f t="shared" ca="1" si="287"/>
        <v>0</v>
      </c>
      <c r="LU32" s="235">
        <f t="shared" ca="1" si="288"/>
        <v>0</v>
      </c>
      <c r="LV32" s="235">
        <f t="shared" ca="1" si="289"/>
        <v>0</v>
      </c>
      <c r="LW32" s="242">
        <f t="shared" ca="1" si="290"/>
        <v>0</v>
      </c>
      <c r="LX32" s="241">
        <f t="shared" ca="1" si="571"/>
        <v>1</v>
      </c>
      <c r="LY32" s="220">
        <f t="shared" ca="1" si="291"/>
        <v>0</v>
      </c>
      <c r="LZ32" s="220">
        <f t="shared" ca="1" si="292"/>
        <v>0</v>
      </c>
      <c r="MA32" s="235">
        <f t="shared" ca="1" si="293"/>
        <v>0</v>
      </c>
      <c r="MB32" s="235">
        <f t="shared" ca="1" si="294"/>
        <v>0</v>
      </c>
      <c r="MC32" s="242">
        <f t="shared" ca="1" si="295"/>
        <v>0</v>
      </c>
      <c r="MD32" s="241">
        <f t="shared" ca="1" si="564"/>
        <v>1</v>
      </c>
      <c r="ME32" s="220">
        <f t="shared" ca="1" si="296"/>
        <v>0</v>
      </c>
      <c r="MF32" s="220">
        <f t="shared" ca="1" si="297"/>
        <v>0</v>
      </c>
      <c r="MG32" s="235">
        <f t="shared" ca="1" si="298"/>
        <v>0</v>
      </c>
      <c r="MH32" s="235">
        <f t="shared" ca="1" si="299"/>
        <v>0</v>
      </c>
      <c r="MI32" s="242">
        <f t="shared" ca="1" si="300"/>
        <v>0</v>
      </c>
      <c r="MJ32" s="241">
        <f t="shared" ca="1" si="564"/>
        <v>1</v>
      </c>
      <c r="MK32" s="220">
        <f t="shared" ca="1" si="301"/>
        <v>0</v>
      </c>
      <c r="ML32" s="220">
        <f t="shared" ca="1" si="302"/>
        <v>0</v>
      </c>
      <c r="MM32" s="235">
        <f t="shared" ca="1" si="303"/>
        <v>0</v>
      </c>
      <c r="MN32" s="235">
        <f t="shared" ca="1" si="304"/>
        <v>0</v>
      </c>
      <c r="MO32" s="242">
        <f t="shared" ca="1" si="305"/>
        <v>0</v>
      </c>
      <c r="MP32" s="241">
        <f t="shared" ca="1" si="572"/>
        <v>1</v>
      </c>
      <c r="MQ32" s="220">
        <f t="shared" ca="1" si="306"/>
        <v>0</v>
      </c>
      <c r="MR32" s="220">
        <f t="shared" ca="1" si="307"/>
        <v>0</v>
      </c>
      <c r="MS32" s="235">
        <f t="shared" ca="1" si="308"/>
        <v>0</v>
      </c>
      <c r="MT32" s="235">
        <f t="shared" ca="1" si="309"/>
        <v>0</v>
      </c>
      <c r="MU32" s="242">
        <f t="shared" ca="1" si="310"/>
        <v>0</v>
      </c>
      <c r="MV32" s="241">
        <f t="shared" ca="1" si="572"/>
        <v>1</v>
      </c>
      <c r="MW32" s="220">
        <f t="shared" ca="1" si="311"/>
        <v>0</v>
      </c>
      <c r="MX32" s="220">
        <f t="shared" ca="1" si="312"/>
        <v>0</v>
      </c>
      <c r="MY32" s="235">
        <f t="shared" ca="1" si="313"/>
        <v>0</v>
      </c>
      <c r="MZ32" s="235">
        <f t="shared" ca="1" si="314"/>
        <v>0</v>
      </c>
      <c r="NA32" s="242">
        <f t="shared" ca="1" si="315"/>
        <v>0</v>
      </c>
      <c r="NB32" s="241">
        <f t="shared" ca="1" si="572"/>
        <v>1</v>
      </c>
      <c r="NC32" s="220">
        <f t="shared" ca="1" si="316"/>
        <v>0</v>
      </c>
      <c r="ND32" s="220">
        <f t="shared" ca="1" si="317"/>
        <v>0</v>
      </c>
      <c r="NE32" s="235">
        <f t="shared" ca="1" si="318"/>
        <v>0</v>
      </c>
      <c r="NF32" s="235">
        <f t="shared" ca="1" si="319"/>
        <v>0</v>
      </c>
      <c r="NG32" s="242">
        <f t="shared" ca="1" si="320"/>
        <v>0</v>
      </c>
      <c r="NH32" s="241">
        <f t="shared" ca="1" si="572"/>
        <v>1</v>
      </c>
      <c r="NI32" s="220">
        <f t="shared" ca="1" si="321"/>
        <v>0</v>
      </c>
      <c r="NJ32" s="220">
        <f t="shared" ca="1" si="322"/>
        <v>0</v>
      </c>
      <c r="NK32" s="235">
        <f t="shared" ca="1" si="323"/>
        <v>0</v>
      </c>
      <c r="NL32" s="235">
        <f t="shared" ca="1" si="324"/>
        <v>0</v>
      </c>
      <c r="NM32" s="242">
        <f t="shared" ca="1" si="325"/>
        <v>0</v>
      </c>
      <c r="NN32" s="241">
        <f t="shared" ca="1" si="572"/>
        <v>1</v>
      </c>
      <c r="NO32" s="220">
        <f t="shared" ca="1" si="326"/>
        <v>0</v>
      </c>
      <c r="NP32" s="220">
        <f t="shared" ca="1" si="327"/>
        <v>0</v>
      </c>
      <c r="NQ32" s="235">
        <f t="shared" ca="1" si="328"/>
        <v>0</v>
      </c>
      <c r="NR32" s="235">
        <f t="shared" ca="1" si="329"/>
        <v>0</v>
      </c>
      <c r="NS32" s="242">
        <f t="shared" ca="1" si="330"/>
        <v>0</v>
      </c>
      <c r="NT32" s="241">
        <f t="shared" ca="1" si="572"/>
        <v>1</v>
      </c>
      <c r="NU32" s="220">
        <f t="shared" ca="1" si="332"/>
        <v>0</v>
      </c>
      <c r="NV32" s="220">
        <f t="shared" ca="1" si="333"/>
        <v>0</v>
      </c>
      <c r="NW32" s="235">
        <f t="shared" ca="1" si="334"/>
        <v>0</v>
      </c>
      <c r="NX32" s="235">
        <f t="shared" ca="1" si="335"/>
        <v>0</v>
      </c>
      <c r="NY32" s="242">
        <f t="shared" ca="1" si="336"/>
        <v>0</v>
      </c>
      <c r="NZ32" s="241">
        <f t="shared" ca="1" si="572"/>
        <v>1</v>
      </c>
      <c r="OA32" s="220">
        <f t="shared" ca="1" si="337"/>
        <v>0</v>
      </c>
      <c r="OB32" s="220">
        <f t="shared" ca="1" si="338"/>
        <v>0</v>
      </c>
      <c r="OC32" s="235">
        <f t="shared" ca="1" si="339"/>
        <v>0</v>
      </c>
      <c r="OD32" s="235">
        <f t="shared" ca="1" si="340"/>
        <v>0</v>
      </c>
      <c r="OE32" s="242">
        <f t="shared" ca="1" si="341"/>
        <v>0</v>
      </c>
      <c r="OF32" s="241">
        <f t="shared" ca="1" si="572"/>
        <v>1</v>
      </c>
      <c r="OG32" s="220">
        <f t="shared" ca="1" si="342"/>
        <v>0</v>
      </c>
      <c r="OH32" s="220">
        <f t="shared" ca="1" si="343"/>
        <v>0</v>
      </c>
      <c r="OI32" s="235">
        <f t="shared" ca="1" si="344"/>
        <v>0</v>
      </c>
      <c r="OJ32" s="235">
        <f t="shared" ca="1" si="345"/>
        <v>0</v>
      </c>
      <c r="OK32" s="242">
        <f t="shared" ca="1" si="346"/>
        <v>0</v>
      </c>
      <c r="OL32" s="241">
        <f t="shared" ca="1" si="572"/>
        <v>1</v>
      </c>
      <c r="OM32" s="220">
        <f t="shared" ca="1" si="347"/>
        <v>0</v>
      </c>
      <c r="ON32" s="220">
        <f t="shared" ca="1" si="348"/>
        <v>0</v>
      </c>
      <c r="OO32" s="235">
        <f t="shared" ca="1" si="349"/>
        <v>0</v>
      </c>
      <c r="OP32" s="235">
        <f t="shared" ca="1" si="350"/>
        <v>0</v>
      </c>
      <c r="OQ32" s="242">
        <f t="shared" ca="1" si="351"/>
        <v>0</v>
      </c>
      <c r="OR32" s="241">
        <f t="shared" ca="1" si="572"/>
        <v>1</v>
      </c>
      <c r="OS32" s="220">
        <f t="shared" ca="1" si="352"/>
        <v>0</v>
      </c>
      <c r="OT32" s="220">
        <f t="shared" ca="1" si="353"/>
        <v>0</v>
      </c>
      <c r="OU32" s="235">
        <f t="shared" ca="1" si="354"/>
        <v>0</v>
      </c>
      <c r="OV32" s="235">
        <f t="shared" ca="1" si="355"/>
        <v>0</v>
      </c>
      <c r="OW32" s="242">
        <f t="shared" ca="1" si="356"/>
        <v>0</v>
      </c>
      <c r="OX32" s="241">
        <f t="shared" ca="1" si="572"/>
        <v>1</v>
      </c>
      <c r="OY32" s="220">
        <f t="shared" ca="1" si="357"/>
        <v>0</v>
      </c>
      <c r="OZ32" s="220">
        <f t="shared" ca="1" si="358"/>
        <v>0</v>
      </c>
      <c r="PA32" s="235">
        <f t="shared" ca="1" si="359"/>
        <v>0</v>
      </c>
      <c r="PB32" s="235">
        <f t="shared" ca="1" si="360"/>
        <v>0</v>
      </c>
      <c r="PC32" s="242">
        <f t="shared" ca="1" si="361"/>
        <v>0</v>
      </c>
      <c r="PD32" s="241">
        <f t="shared" ca="1" si="565"/>
        <v>1</v>
      </c>
      <c r="PE32" s="220">
        <f t="shared" ca="1" si="362"/>
        <v>0</v>
      </c>
      <c r="PF32" s="220">
        <f t="shared" ca="1" si="363"/>
        <v>0</v>
      </c>
      <c r="PG32" s="235">
        <f t="shared" ca="1" si="364"/>
        <v>0</v>
      </c>
      <c r="PH32" s="235">
        <f t="shared" ca="1" si="365"/>
        <v>0</v>
      </c>
      <c r="PI32" s="242">
        <f t="shared" ca="1" si="366"/>
        <v>0</v>
      </c>
      <c r="PJ32" s="241">
        <f t="shared" ca="1" si="565"/>
        <v>1</v>
      </c>
      <c r="PK32" s="220">
        <f t="shared" ca="1" si="367"/>
        <v>0</v>
      </c>
      <c r="PL32" s="220">
        <f t="shared" ca="1" si="368"/>
        <v>0</v>
      </c>
      <c r="PM32" s="235">
        <f t="shared" ca="1" si="369"/>
        <v>0</v>
      </c>
      <c r="PN32" s="235">
        <f t="shared" ca="1" si="370"/>
        <v>0</v>
      </c>
      <c r="PO32" s="242">
        <f t="shared" ca="1" si="371"/>
        <v>0</v>
      </c>
      <c r="PP32" s="241">
        <f t="shared" ca="1" si="573"/>
        <v>1</v>
      </c>
      <c r="PQ32" s="220">
        <f t="shared" ca="1" si="372"/>
        <v>0</v>
      </c>
      <c r="PR32" s="220">
        <f t="shared" ca="1" si="373"/>
        <v>0</v>
      </c>
      <c r="PS32" s="235">
        <f t="shared" ca="1" si="374"/>
        <v>0</v>
      </c>
      <c r="PT32" s="235">
        <f t="shared" ca="1" si="375"/>
        <v>0</v>
      </c>
      <c r="PU32" s="242">
        <f t="shared" ca="1" si="376"/>
        <v>0</v>
      </c>
      <c r="PV32" s="241">
        <f t="shared" ca="1" si="573"/>
        <v>1</v>
      </c>
      <c r="PW32" s="220">
        <f t="shared" ca="1" si="377"/>
        <v>0</v>
      </c>
      <c r="PX32" s="220">
        <f t="shared" ca="1" si="378"/>
        <v>0</v>
      </c>
      <c r="PY32" s="235">
        <f t="shared" ca="1" si="379"/>
        <v>0</v>
      </c>
      <c r="PZ32" s="235">
        <f t="shared" ca="1" si="380"/>
        <v>0</v>
      </c>
      <c r="QA32" s="242">
        <f t="shared" ca="1" si="381"/>
        <v>0</v>
      </c>
      <c r="QB32" s="241">
        <f t="shared" ca="1" si="573"/>
        <v>1</v>
      </c>
      <c r="QC32" s="220">
        <f t="shared" ca="1" si="382"/>
        <v>0</v>
      </c>
      <c r="QD32" s="220">
        <f t="shared" ca="1" si="383"/>
        <v>0</v>
      </c>
      <c r="QE32" s="235">
        <f t="shared" ca="1" si="384"/>
        <v>0</v>
      </c>
      <c r="QF32" s="235">
        <f t="shared" ca="1" si="385"/>
        <v>0</v>
      </c>
      <c r="QG32" s="242">
        <f t="shared" ca="1" si="386"/>
        <v>0</v>
      </c>
      <c r="QH32" s="241">
        <f t="shared" ca="1" si="573"/>
        <v>1</v>
      </c>
      <c r="QI32" s="220">
        <f t="shared" ca="1" si="388"/>
        <v>0</v>
      </c>
      <c r="QJ32" s="220">
        <f t="shared" ca="1" si="389"/>
        <v>0</v>
      </c>
      <c r="QK32" s="235">
        <f t="shared" ca="1" si="390"/>
        <v>0</v>
      </c>
      <c r="QL32" s="235">
        <f t="shared" ca="1" si="391"/>
        <v>0</v>
      </c>
      <c r="QM32" s="242">
        <f t="shared" ca="1" si="392"/>
        <v>0</v>
      </c>
      <c r="QN32" s="241">
        <f t="shared" ca="1" si="573"/>
        <v>1</v>
      </c>
      <c r="QO32" s="220">
        <f t="shared" ca="1" si="393"/>
        <v>0</v>
      </c>
      <c r="QP32" s="220">
        <f t="shared" ca="1" si="394"/>
        <v>0</v>
      </c>
      <c r="QQ32" s="235">
        <f t="shared" ca="1" si="395"/>
        <v>0</v>
      </c>
      <c r="QR32" s="235">
        <f t="shared" ca="1" si="396"/>
        <v>0</v>
      </c>
      <c r="QS32" s="242">
        <f t="shared" ca="1" si="397"/>
        <v>0</v>
      </c>
      <c r="QT32" s="241">
        <f t="shared" ca="1" si="573"/>
        <v>1</v>
      </c>
      <c r="QU32" s="220">
        <f t="shared" ca="1" si="398"/>
        <v>0</v>
      </c>
      <c r="QV32" s="220">
        <f t="shared" ca="1" si="399"/>
        <v>0</v>
      </c>
      <c r="QW32" s="235">
        <f t="shared" ca="1" si="400"/>
        <v>0</v>
      </c>
      <c r="QX32" s="235">
        <f t="shared" ca="1" si="401"/>
        <v>0</v>
      </c>
      <c r="QY32" s="242">
        <f t="shared" ca="1" si="402"/>
        <v>0</v>
      </c>
      <c r="QZ32" s="241">
        <f t="shared" ca="1" si="573"/>
        <v>1</v>
      </c>
      <c r="RA32" s="220">
        <f t="shared" ca="1" si="403"/>
        <v>0</v>
      </c>
      <c r="RB32" s="220">
        <f t="shared" ca="1" si="404"/>
        <v>0</v>
      </c>
      <c r="RC32" s="235">
        <f t="shared" ca="1" si="405"/>
        <v>0</v>
      </c>
      <c r="RD32" s="235">
        <f t="shared" ca="1" si="406"/>
        <v>0</v>
      </c>
      <c r="RE32" s="242">
        <f t="shared" ca="1" si="407"/>
        <v>0</v>
      </c>
      <c r="RF32" s="241">
        <f t="shared" ca="1" si="573"/>
        <v>1</v>
      </c>
      <c r="RG32" s="220">
        <f t="shared" ca="1" si="408"/>
        <v>0</v>
      </c>
      <c r="RH32" s="220">
        <f t="shared" ca="1" si="409"/>
        <v>0</v>
      </c>
      <c r="RI32" s="235">
        <f t="shared" ca="1" si="410"/>
        <v>0</v>
      </c>
      <c r="RJ32" s="235">
        <f t="shared" ca="1" si="411"/>
        <v>0</v>
      </c>
      <c r="RK32" s="242">
        <f t="shared" ca="1" si="412"/>
        <v>0</v>
      </c>
      <c r="RL32" s="241">
        <f t="shared" ca="1" si="573"/>
        <v>1</v>
      </c>
      <c r="RM32" s="220">
        <f t="shared" ca="1" si="413"/>
        <v>0</v>
      </c>
      <c r="RN32" s="220">
        <f t="shared" ca="1" si="414"/>
        <v>0</v>
      </c>
      <c r="RO32" s="235">
        <f t="shared" ca="1" si="415"/>
        <v>0</v>
      </c>
      <c r="RP32" s="235">
        <f t="shared" ca="1" si="416"/>
        <v>0</v>
      </c>
      <c r="RQ32" s="242">
        <f t="shared" ca="1" si="417"/>
        <v>0</v>
      </c>
      <c r="RR32" s="241">
        <f t="shared" ca="1" si="573"/>
        <v>1</v>
      </c>
      <c r="RS32" s="220">
        <f t="shared" ca="1" si="418"/>
        <v>0</v>
      </c>
      <c r="RT32" s="220">
        <f t="shared" ca="1" si="419"/>
        <v>0</v>
      </c>
      <c r="RU32" s="235">
        <f t="shared" ca="1" si="420"/>
        <v>0</v>
      </c>
      <c r="RV32" s="235">
        <f t="shared" ca="1" si="421"/>
        <v>0</v>
      </c>
      <c r="RW32" s="242">
        <f t="shared" ca="1" si="422"/>
        <v>0</v>
      </c>
      <c r="RX32" s="241">
        <f t="shared" ca="1" si="573"/>
        <v>1</v>
      </c>
      <c r="RY32" s="220">
        <f t="shared" ca="1" si="423"/>
        <v>0</v>
      </c>
      <c r="RZ32" s="220">
        <f t="shared" ca="1" si="424"/>
        <v>0</v>
      </c>
      <c r="SA32" s="235">
        <f t="shared" ca="1" si="425"/>
        <v>0</v>
      </c>
      <c r="SB32" s="235">
        <f t="shared" ca="1" si="426"/>
        <v>0</v>
      </c>
      <c r="SC32" s="242">
        <f t="shared" ca="1" si="427"/>
        <v>0</v>
      </c>
      <c r="SD32" s="241">
        <f t="shared" ca="1" si="566"/>
        <v>1</v>
      </c>
      <c r="SE32" s="220">
        <f t="shared" ca="1" si="428"/>
        <v>0</v>
      </c>
      <c r="SF32" s="220">
        <f t="shared" ca="1" si="429"/>
        <v>0</v>
      </c>
      <c r="SG32" s="235">
        <f t="shared" ca="1" si="430"/>
        <v>0</v>
      </c>
      <c r="SH32" s="235">
        <f t="shared" ca="1" si="431"/>
        <v>0</v>
      </c>
      <c r="SI32" s="242">
        <f t="shared" ca="1" si="432"/>
        <v>0</v>
      </c>
      <c r="SJ32" s="241">
        <f t="shared" ca="1" si="566"/>
        <v>1</v>
      </c>
      <c r="SK32" s="220">
        <f t="shared" ca="1" si="433"/>
        <v>0</v>
      </c>
      <c r="SL32" s="220">
        <f t="shared" ca="1" si="434"/>
        <v>0</v>
      </c>
      <c r="SM32" s="235">
        <f t="shared" ca="1" si="435"/>
        <v>0</v>
      </c>
      <c r="SN32" s="235">
        <f t="shared" ca="1" si="436"/>
        <v>0</v>
      </c>
      <c r="SO32" s="242">
        <f t="shared" ca="1" si="437"/>
        <v>0</v>
      </c>
      <c r="SP32" s="241">
        <f t="shared" ref="SP32:UX55" ca="1" si="576">IF(($B32+SP$2)&lt;SC_TargetRY,0,IF(($B32+SP$2)=SC_TargetRY,SC_AnnyPmntPr,IF(SP_AnnyTerms="Life",1,IF(($B32+SP$2)=(SC_TargetRY+SP_AnnyPeriod),SC_AnnyPmntPr-1,IF(($B32+SP$2)&gt;(SC_TargetRY+SP_AnnyPeriod),0,1)))))</f>
        <v>1</v>
      </c>
      <c r="SQ32" s="220">
        <f t="shared" ca="1" si="438"/>
        <v>0</v>
      </c>
      <c r="SR32" s="220">
        <f t="shared" ca="1" si="439"/>
        <v>0</v>
      </c>
      <c r="SS32" s="235">
        <f t="shared" ca="1" si="440"/>
        <v>0</v>
      </c>
      <c r="ST32" s="235">
        <f t="shared" ca="1" si="441"/>
        <v>0</v>
      </c>
      <c r="SU32" s="242">
        <f t="shared" ca="1" si="442"/>
        <v>0</v>
      </c>
      <c r="SV32" s="241">
        <f t="shared" ca="1" si="576"/>
        <v>1</v>
      </c>
      <c r="SW32" s="220">
        <f t="shared" ca="1" si="444"/>
        <v>0</v>
      </c>
      <c r="SX32" s="220">
        <f t="shared" ca="1" si="445"/>
        <v>0</v>
      </c>
      <c r="SY32" s="235">
        <f t="shared" ca="1" si="446"/>
        <v>0</v>
      </c>
      <c r="SZ32" s="235">
        <f t="shared" ca="1" si="447"/>
        <v>0</v>
      </c>
      <c r="TA32" s="242">
        <f t="shared" ca="1" si="448"/>
        <v>0</v>
      </c>
      <c r="TB32" s="241">
        <f t="shared" ca="1" si="576"/>
        <v>1</v>
      </c>
      <c r="TC32" s="220">
        <f t="shared" ca="1" si="449"/>
        <v>0</v>
      </c>
      <c r="TD32" s="220">
        <f t="shared" ca="1" si="450"/>
        <v>0</v>
      </c>
      <c r="TE32" s="235">
        <f t="shared" ca="1" si="451"/>
        <v>0</v>
      </c>
      <c r="TF32" s="235">
        <f t="shared" ca="1" si="452"/>
        <v>0</v>
      </c>
      <c r="TG32" s="242">
        <f t="shared" ca="1" si="453"/>
        <v>0</v>
      </c>
      <c r="TH32" s="241">
        <f t="shared" ca="1" si="576"/>
        <v>1</v>
      </c>
      <c r="TI32" s="220">
        <f t="shared" ca="1" si="454"/>
        <v>0</v>
      </c>
      <c r="TJ32" s="220">
        <f t="shared" ca="1" si="455"/>
        <v>0</v>
      </c>
      <c r="TK32" s="235">
        <f t="shared" ca="1" si="456"/>
        <v>0</v>
      </c>
      <c r="TL32" s="235">
        <f t="shared" ca="1" si="457"/>
        <v>0</v>
      </c>
      <c r="TM32" s="242">
        <f t="shared" ca="1" si="458"/>
        <v>0</v>
      </c>
      <c r="TN32" s="241">
        <f t="shared" ca="1" si="576"/>
        <v>1</v>
      </c>
      <c r="TO32" s="220">
        <f t="shared" ca="1" si="459"/>
        <v>0</v>
      </c>
      <c r="TP32" s="220">
        <f t="shared" ca="1" si="460"/>
        <v>0</v>
      </c>
      <c r="TQ32" s="235">
        <f t="shared" ca="1" si="461"/>
        <v>0</v>
      </c>
      <c r="TR32" s="235">
        <f t="shared" ca="1" si="462"/>
        <v>0</v>
      </c>
      <c r="TS32" s="242">
        <f t="shared" ca="1" si="463"/>
        <v>0</v>
      </c>
      <c r="TT32" s="241">
        <f t="shared" ca="1" si="576"/>
        <v>1</v>
      </c>
      <c r="TU32" s="220">
        <f t="shared" ca="1" si="464"/>
        <v>0</v>
      </c>
      <c r="TV32" s="220">
        <f t="shared" ca="1" si="465"/>
        <v>0</v>
      </c>
      <c r="TW32" s="235">
        <f t="shared" ca="1" si="466"/>
        <v>0</v>
      </c>
      <c r="TX32" s="235">
        <f t="shared" ca="1" si="467"/>
        <v>0</v>
      </c>
      <c r="TY32" s="242">
        <f t="shared" ca="1" si="468"/>
        <v>0</v>
      </c>
      <c r="TZ32" s="241">
        <f t="shared" ca="1" si="576"/>
        <v>1</v>
      </c>
      <c r="UA32" s="220">
        <f t="shared" ca="1" si="469"/>
        <v>0</v>
      </c>
      <c r="UB32" s="220">
        <f t="shared" ca="1" si="470"/>
        <v>0</v>
      </c>
      <c r="UC32" s="235">
        <f t="shared" ca="1" si="471"/>
        <v>0</v>
      </c>
      <c r="UD32" s="235">
        <f t="shared" ca="1" si="472"/>
        <v>0</v>
      </c>
      <c r="UE32" s="242">
        <f t="shared" ca="1" si="473"/>
        <v>0</v>
      </c>
      <c r="UF32" s="241">
        <f t="shared" ca="1" si="576"/>
        <v>1</v>
      </c>
      <c r="UG32" s="220">
        <f t="shared" ca="1" si="474"/>
        <v>0</v>
      </c>
      <c r="UH32" s="220">
        <f t="shared" ca="1" si="475"/>
        <v>0</v>
      </c>
      <c r="UI32" s="235">
        <f t="shared" ca="1" si="476"/>
        <v>0</v>
      </c>
      <c r="UJ32" s="235">
        <f t="shared" ca="1" si="477"/>
        <v>0</v>
      </c>
      <c r="UK32" s="242">
        <f t="shared" ca="1" si="478"/>
        <v>0</v>
      </c>
      <c r="UL32" s="241">
        <f t="shared" ca="1" si="576"/>
        <v>1</v>
      </c>
      <c r="UM32" s="220">
        <f t="shared" ca="1" si="479"/>
        <v>0</v>
      </c>
      <c r="UN32" s="220">
        <f t="shared" ca="1" si="480"/>
        <v>0</v>
      </c>
      <c r="UO32" s="235">
        <f t="shared" ca="1" si="481"/>
        <v>0</v>
      </c>
      <c r="UP32" s="235">
        <f t="shared" ca="1" si="482"/>
        <v>0</v>
      </c>
      <c r="UQ32" s="242">
        <f t="shared" ca="1" si="483"/>
        <v>0</v>
      </c>
      <c r="UR32" s="241">
        <f t="shared" ca="1" si="576"/>
        <v>1</v>
      </c>
      <c r="US32" s="220">
        <f t="shared" ca="1" si="484"/>
        <v>0</v>
      </c>
      <c r="UT32" s="220">
        <f t="shared" ca="1" si="485"/>
        <v>0</v>
      </c>
      <c r="UU32" s="235">
        <f t="shared" ca="1" si="486"/>
        <v>0</v>
      </c>
      <c r="UV32" s="235">
        <f t="shared" ca="1" si="487"/>
        <v>0</v>
      </c>
      <c r="UW32" s="242">
        <f t="shared" ca="1" si="488"/>
        <v>0</v>
      </c>
      <c r="UX32" s="241">
        <f t="shared" ca="1" si="576"/>
        <v>1</v>
      </c>
      <c r="UY32" s="220">
        <f t="shared" ca="1" si="489"/>
        <v>0</v>
      </c>
      <c r="UZ32" s="220">
        <f t="shared" ca="1" si="490"/>
        <v>0</v>
      </c>
      <c r="VA32" s="235">
        <f t="shared" ca="1" si="491"/>
        <v>0</v>
      </c>
      <c r="VB32" s="235">
        <f t="shared" ca="1" si="492"/>
        <v>0</v>
      </c>
      <c r="VC32" s="242">
        <f t="shared" ca="1" si="493"/>
        <v>0</v>
      </c>
      <c r="VD32" s="241">
        <f t="shared" ca="1" si="574"/>
        <v>1</v>
      </c>
      <c r="VE32" s="220">
        <f t="shared" ca="1" si="494"/>
        <v>0</v>
      </c>
      <c r="VF32" s="220">
        <f t="shared" ca="1" si="495"/>
        <v>0</v>
      </c>
      <c r="VG32" s="235">
        <f t="shared" ca="1" si="496"/>
        <v>0</v>
      </c>
      <c r="VH32" s="235">
        <f t="shared" ca="1" si="497"/>
        <v>0</v>
      </c>
      <c r="VI32" s="242">
        <f t="shared" ca="1" si="498"/>
        <v>0</v>
      </c>
      <c r="VJ32" s="241">
        <f t="shared" ca="1" si="567"/>
        <v>1</v>
      </c>
      <c r="VK32" s="220">
        <f t="shared" ca="1" si="500"/>
        <v>0</v>
      </c>
      <c r="VL32" s="220">
        <f t="shared" ca="1" si="501"/>
        <v>0</v>
      </c>
      <c r="VM32" s="235">
        <f t="shared" ca="1" si="502"/>
        <v>0</v>
      </c>
      <c r="VN32" s="235">
        <f t="shared" ca="1" si="503"/>
        <v>0</v>
      </c>
      <c r="VO32" s="242">
        <f t="shared" ca="1" si="504"/>
        <v>0</v>
      </c>
      <c r="VP32" s="241">
        <f t="shared" ca="1" si="567"/>
        <v>1</v>
      </c>
      <c r="VQ32" s="220">
        <f t="shared" ca="1" si="505"/>
        <v>0</v>
      </c>
      <c r="VR32" s="220">
        <f t="shared" ca="1" si="506"/>
        <v>0</v>
      </c>
      <c r="VS32" s="235">
        <f t="shared" ca="1" si="507"/>
        <v>0</v>
      </c>
      <c r="VT32" s="235">
        <f t="shared" ca="1" si="508"/>
        <v>0</v>
      </c>
      <c r="VU32" s="242">
        <f t="shared" ca="1" si="509"/>
        <v>0</v>
      </c>
      <c r="VV32" s="241">
        <f t="shared" ca="1" si="499"/>
        <v>1</v>
      </c>
      <c r="VW32" s="220">
        <f t="shared" ca="1" si="510"/>
        <v>0</v>
      </c>
      <c r="VX32" s="220">
        <f t="shared" ca="1" si="511"/>
        <v>0</v>
      </c>
      <c r="VY32" s="235">
        <f t="shared" ca="1" si="512"/>
        <v>0</v>
      </c>
      <c r="VZ32" s="235">
        <f t="shared" ca="1" si="513"/>
        <v>0</v>
      </c>
      <c r="WA32" s="242">
        <f t="shared" ca="1" si="514"/>
        <v>0</v>
      </c>
      <c r="WB32" s="241">
        <f t="shared" ca="1" si="499"/>
        <v>1</v>
      </c>
      <c r="WC32" s="220">
        <f t="shared" ca="1" si="515"/>
        <v>0</v>
      </c>
      <c r="WD32" s="220">
        <f t="shared" ca="1" si="516"/>
        <v>0</v>
      </c>
      <c r="WE32" s="235">
        <f t="shared" ca="1" si="517"/>
        <v>0</v>
      </c>
      <c r="WF32" s="235">
        <f t="shared" ca="1" si="518"/>
        <v>0</v>
      </c>
      <c r="WG32" s="242">
        <f t="shared" ca="1" si="519"/>
        <v>0</v>
      </c>
      <c r="WH32" s="241">
        <f t="shared" ca="1" si="499"/>
        <v>1</v>
      </c>
      <c r="WI32" s="220">
        <f t="shared" ca="1" si="520"/>
        <v>0</v>
      </c>
      <c r="WJ32" s="220">
        <f t="shared" ca="1" si="521"/>
        <v>0</v>
      </c>
      <c r="WK32" s="235">
        <f t="shared" ca="1" si="522"/>
        <v>0</v>
      </c>
      <c r="WL32" s="235">
        <f t="shared" ca="1" si="523"/>
        <v>0</v>
      </c>
      <c r="WM32" s="242">
        <f t="shared" ca="1" si="524"/>
        <v>0</v>
      </c>
      <c r="WN32" s="241">
        <f t="shared" ca="1" si="499"/>
        <v>1</v>
      </c>
      <c r="WO32" s="220">
        <f t="shared" ca="1" si="525"/>
        <v>0</v>
      </c>
      <c r="WP32" s="220">
        <f t="shared" ca="1" si="526"/>
        <v>0</v>
      </c>
      <c r="WQ32" s="235">
        <f t="shared" ca="1" si="527"/>
        <v>0</v>
      </c>
      <c r="WR32" s="235">
        <f t="shared" ca="1" si="528"/>
        <v>0</v>
      </c>
      <c r="WS32" s="242">
        <f t="shared" ca="1" si="529"/>
        <v>0</v>
      </c>
      <c r="WT32" s="241">
        <f t="shared" ca="1" si="499"/>
        <v>1</v>
      </c>
      <c r="WU32" s="220">
        <f t="shared" ca="1" si="530"/>
        <v>0</v>
      </c>
      <c r="WV32" s="220">
        <f t="shared" ca="1" si="531"/>
        <v>0</v>
      </c>
      <c r="WW32" s="235">
        <f t="shared" ca="1" si="532"/>
        <v>0</v>
      </c>
      <c r="WX32" s="235">
        <f t="shared" ca="1" si="533"/>
        <v>0</v>
      </c>
      <c r="WY32" s="242">
        <f t="shared" ca="1" si="534"/>
        <v>0</v>
      </c>
      <c r="WZ32" s="241">
        <f t="shared" ca="1" si="499"/>
        <v>1</v>
      </c>
      <c r="XA32" s="220">
        <f t="shared" ca="1" si="535"/>
        <v>0</v>
      </c>
      <c r="XB32" s="220">
        <f t="shared" ca="1" si="536"/>
        <v>0</v>
      </c>
      <c r="XC32" s="235">
        <f t="shared" ca="1" si="537"/>
        <v>0</v>
      </c>
      <c r="XD32" s="235">
        <f t="shared" ca="1" si="538"/>
        <v>0</v>
      </c>
      <c r="XE32" s="242">
        <f t="shared" ca="1" si="539"/>
        <v>0</v>
      </c>
      <c r="XF32" s="241">
        <f t="shared" ca="1" si="499"/>
        <v>1</v>
      </c>
      <c r="XG32" s="220">
        <f t="shared" ca="1" si="540"/>
        <v>0</v>
      </c>
      <c r="XH32" s="220">
        <f t="shared" ca="1" si="541"/>
        <v>0</v>
      </c>
      <c r="XI32" s="235">
        <f t="shared" ca="1" si="542"/>
        <v>0</v>
      </c>
      <c r="XJ32" s="235">
        <f t="shared" ca="1" si="543"/>
        <v>0</v>
      </c>
      <c r="XK32" s="242">
        <f t="shared" ca="1" si="544"/>
        <v>0</v>
      </c>
    </row>
    <row r="33" spans="2:635" x14ac:dyDescent="0.25">
      <c r="B33" s="65">
        <f t="shared" ca="1" si="14"/>
        <v>2048</v>
      </c>
      <c r="C33" s="65" t="s">
        <v>741</v>
      </c>
      <c r="D33" s="77">
        <f t="shared" si="15"/>
        <v>0</v>
      </c>
      <c r="E33" s="77">
        <f t="shared" si="16"/>
        <v>0</v>
      </c>
      <c r="F33" s="77">
        <f t="shared" si="17"/>
        <v>0</v>
      </c>
      <c r="G33" s="77">
        <f t="shared" si="18"/>
        <v>0</v>
      </c>
      <c r="H33" s="15" t="e">
        <f t="shared" ca="1" si="19"/>
        <v>#REF!</v>
      </c>
      <c r="L33" s="326">
        <f t="shared" ca="1" si="20"/>
        <v>3.5000000000000003E-2</v>
      </c>
      <c r="M33" s="327">
        <f t="shared" ca="1" si="21"/>
        <v>3.5000000000000003E-2</v>
      </c>
      <c r="N33" s="322">
        <f t="shared" ca="1" si="22"/>
        <v>-25</v>
      </c>
      <c r="O33" s="322">
        <f t="shared" ca="1" si="23"/>
        <v>0</v>
      </c>
      <c r="P33" s="328">
        <f t="shared" ca="1" si="545"/>
        <v>0</v>
      </c>
      <c r="Q33" s="328">
        <f t="shared" ca="1" si="546"/>
        <v>0</v>
      </c>
      <c r="R33" s="328">
        <f t="shared" ca="1" si="547"/>
        <v>0</v>
      </c>
      <c r="S33" s="329">
        <f t="shared" ca="1" si="24"/>
        <v>0</v>
      </c>
      <c r="T33" s="329">
        <f t="shared" ca="1" si="25"/>
        <v>0</v>
      </c>
      <c r="U33" s="329">
        <f t="shared" ca="1" si="26"/>
        <v>0</v>
      </c>
      <c r="V33" s="320" t="e">
        <f t="shared" ca="1" si="27"/>
        <v>#REF!</v>
      </c>
      <c r="W33" s="320" t="e">
        <f t="shared" ca="1" si="560"/>
        <v>#REF!</v>
      </c>
      <c r="X33" s="320" t="e">
        <f t="shared" ca="1" si="29"/>
        <v>#REF!</v>
      </c>
      <c r="Y33" s="320" t="e">
        <f ca="1">INDEX(SC_ZA_HECMLumpSum,ZAIDX)</f>
        <v>#REF!</v>
      </c>
      <c r="Z33" s="320" t="e">
        <f t="shared" ca="1" si="30"/>
        <v>#REF!</v>
      </c>
      <c r="AA33" s="320">
        <f t="shared" ca="1" si="557"/>
        <v>0</v>
      </c>
      <c r="AB33" s="320" t="e">
        <f t="shared" ca="1" si="558"/>
        <v>#REF!</v>
      </c>
      <c r="AC33" s="330" t="e">
        <f t="shared" ca="1" si="559"/>
        <v>#REF!</v>
      </c>
      <c r="AD33" s="236" t="e">
        <f t="shared" ca="1" si="548"/>
        <v>#REF!</v>
      </c>
      <c r="AE33" s="320" t="e">
        <f t="shared" ca="1" si="561"/>
        <v>#REF!</v>
      </c>
      <c r="AF33" s="320" t="e">
        <f t="shared" ca="1" si="35"/>
        <v>#REF!</v>
      </c>
      <c r="AG33" s="320" t="e">
        <f t="shared" ca="1" si="549"/>
        <v>#REF!</v>
      </c>
      <c r="AH33" s="284" t="e">
        <f t="shared" ca="1" si="550"/>
        <v>#REF!</v>
      </c>
      <c r="AI33" s="318" t="e">
        <f t="shared" ca="1" si="551"/>
        <v>#REF!</v>
      </c>
      <c r="AJ33" s="331">
        <f t="shared" ca="1" si="575"/>
        <v>1</v>
      </c>
      <c r="AK33" s="220">
        <f t="shared" ca="1" si="553"/>
        <v>0</v>
      </c>
      <c r="AL33" s="220">
        <f t="shared" ca="1" si="37"/>
        <v>0</v>
      </c>
      <c r="AM33" s="235">
        <f t="shared" ca="1" si="554"/>
        <v>0</v>
      </c>
      <c r="AN33" s="235">
        <f t="shared" ca="1" si="555"/>
        <v>0</v>
      </c>
      <c r="AO33" s="242">
        <f t="shared" ca="1" si="556"/>
        <v>0</v>
      </c>
      <c r="AP33" s="241">
        <f t="shared" ca="1" si="575"/>
        <v>1</v>
      </c>
      <c r="AQ33" s="220">
        <f t="shared" ca="1" si="41"/>
        <v>0</v>
      </c>
      <c r="AR33" s="220">
        <f t="shared" ca="1" si="42"/>
        <v>0</v>
      </c>
      <c r="AS33" s="235">
        <f t="shared" ca="1" si="43"/>
        <v>0</v>
      </c>
      <c r="AT33" s="235">
        <f t="shared" ca="1" si="44"/>
        <v>0</v>
      </c>
      <c r="AU33" s="242">
        <f t="shared" ca="1" si="45"/>
        <v>0</v>
      </c>
      <c r="AV33" s="241">
        <f t="shared" ca="1" si="575"/>
        <v>1</v>
      </c>
      <c r="AW33" s="220">
        <f t="shared" ca="1" si="46"/>
        <v>0</v>
      </c>
      <c r="AX33" s="220">
        <f t="shared" ca="1" si="47"/>
        <v>0</v>
      </c>
      <c r="AY33" s="235">
        <f t="shared" ca="1" si="48"/>
        <v>0</v>
      </c>
      <c r="AZ33" s="235">
        <f t="shared" ca="1" si="49"/>
        <v>0</v>
      </c>
      <c r="BA33" s="242">
        <f t="shared" ca="1" si="50"/>
        <v>0</v>
      </c>
      <c r="BB33" s="241">
        <f t="shared" ca="1" si="575"/>
        <v>1</v>
      </c>
      <c r="BC33" s="220">
        <f t="shared" ca="1" si="52"/>
        <v>0</v>
      </c>
      <c r="BD33" s="220">
        <f t="shared" ca="1" si="53"/>
        <v>0</v>
      </c>
      <c r="BE33" s="235">
        <f t="shared" ca="1" si="54"/>
        <v>0</v>
      </c>
      <c r="BF33" s="235">
        <f t="shared" ca="1" si="55"/>
        <v>0</v>
      </c>
      <c r="BG33" s="242">
        <f t="shared" ca="1" si="56"/>
        <v>0</v>
      </c>
      <c r="BH33" s="241">
        <f t="shared" ca="1" si="575"/>
        <v>1</v>
      </c>
      <c r="BI33" s="220">
        <f t="shared" ca="1" si="57"/>
        <v>0</v>
      </c>
      <c r="BJ33" s="220">
        <f t="shared" ca="1" si="58"/>
        <v>0</v>
      </c>
      <c r="BK33" s="235">
        <f t="shared" ca="1" si="59"/>
        <v>0</v>
      </c>
      <c r="BL33" s="235">
        <f t="shared" ca="1" si="60"/>
        <v>0</v>
      </c>
      <c r="BM33" s="242">
        <f t="shared" ca="1" si="61"/>
        <v>0</v>
      </c>
      <c r="BN33" s="241">
        <f t="shared" ca="1" si="575"/>
        <v>1</v>
      </c>
      <c r="BO33" s="220">
        <f t="shared" ca="1" si="62"/>
        <v>0</v>
      </c>
      <c r="BP33" s="220">
        <f t="shared" ca="1" si="63"/>
        <v>0</v>
      </c>
      <c r="BQ33" s="235">
        <f t="shared" ca="1" si="64"/>
        <v>0</v>
      </c>
      <c r="BR33" s="235">
        <f t="shared" ca="1" si="65"/>
        <v>0</v>
      </c>
      <c r="BS33" s="242">
        <f t="shared" ca="1" si="66"/>
        <v>0</v>
      </c>
      <c r="BT33" s="241">
        <f t="shared" ca="1" si="575"/>
        <v>1</v>
      </c>
      <c r="BU33" s="220">
        <f t="shared" ca="1" si="67"/>
        <v>0</v>
      </c>
      <c r="BV33" s="220">
        <f t="shared" ca="1" si="68"/>
        <v>0</v>
      </c>
      <c r="BW33" s="235">
        <f t="shared" ca="1" si="69"/>
        <v>0</v>
      </c>
      <c r="BX33" s="235">
        <f t="shared" ca="1" si="70"/>
        <v>0</v>
      </c>
      <c r="BY33" s="242">
        <f t="shared" ca="1" si="71"/>
        <v>0</v>
      </c>
      <c r="BZ33" s="241">
        <f t="shared" ca="1" si="575"/>
        <v>1</v>
      </c>
      <c r="CA33" s="220">
        <f t="shared" ca="1" si="72"/>
        <v>0</v>
      </c>
      <c r="CB33" s="220">
        <f t="shared" ca="1" si="73"/>
        <v>0</v>
      </c>
      <c r="CC33" s="235">
        <f t="shared" ca="1" si="74"/>
        <v>0</v>
      </c>
      <c r="CD33" s="235">
        <f t="shared" ca="1" si="75"/>
        <v>0</v>
      </c>
      <c r="CE33" s="242">
        <f t="shared" ca="1" si="76"/>
        <v>0</v>
      </c>
      <c r="CF33" s="241">
        <f t="shared" ca="1" si="575"/>
        <v>1</v>
      </c>
      <c r="CG33" s="220">
        <f t="shared" ca="1" si="77"/>
        <v>0</v>
      </c>
      <c r="CH33" s="220">
        <f t="shared" ca="1" si="78"/>
        <v>0</v>
      </c>
      <c r="CI33" s="235">
        <f t="shared" ca="1" si="79"/>
        <v>0</v>
      </c>
      <c r="CJ33" s="235">
        <f t="shared" ca="1" si="80"/>
        <v>0</v>
      </c>
      <c r="CK33" s="242">
        <f t="shared" ca="1" si="81"/>
        <v>0</v>
      </c>
      <c r="CL33" s="241">
        <f t="shared" ca="1" si="575"/>
        <v>1</v>
      </c>
      <c r="CM33" s="220">
        <f t="shared" ca="1" si="82"/>
        <v>0</v>
      </c>
      <c r="CN33" s="220">
        <f t="shared" ca="1" si="83"/>
        <v>0</v>
      </c>
      <c r="CO33" s="235">
        <f t="shared" ca="1" si="84"/>
        <v>0</v>
      </c>
      <c r="CP33" s="235">
        <f t="shared" ca="1" si="85"/>
        <v>0</v>
      </c>
      <c r="CQ33" s="242">
        <f t="shared" ca="1" si="86"/>
        <v>0</v>
      </c>
      <c r="CR33" s="241">
        <f t="shared" ca="1" si="575"/>
        <v>1</v>
      </c>
      <c r="CS33" s="220">
        <f t="shared" ca="1" si="87"/>
        <v>0</v>
      </c>
      <c r="CT33" s="220">
        <f t="shared" ca="1" si="88"/>
        <v>0</v>
      </c>
      <c r="CU33" s="235">
        <f t="shared" ca="1" si="89"/>
        <v>0</v>
      </c>
      <c r="CV33" s="235">
        <f t="shared" ca="1" si="90"/>
        <v>0</v>
      </c>
      <c r="CW33" s="242">
        <f t="shared" ca="1" si="91"/>
        <v>0</v>
      </c>
      <c r="CX33" s="241">
        <f t="shared" ca="1" si="568"/>
        <v>1</v>
      </c>
      <c r="CY33" s="220">
        <f t="shared" ca="1" si="92"/>
        <v>0</v>
      </c>
      <c r="CZ33" s="220">
        <f t="shared" ca="1" si="93"/>
        <v>0</v>
      </c>
      <c r="DA33" s="235">
        <f t="shared" ca="1" si="94"/>
        <v>0</v>
      </c>
      <c r="DB33" s="235">
        <f t="shared" ca="1" si="95"/>
        <v>0</v>
      </c>
      <c r="DC33" s="242">
        <f t="shared" ca="1" si="96"/>
        <v>0</v>
      </c>
      <c r="DD33" s="241">
        <f t="shared" ca="1" si="568"/>
        <v>1</v>
      </c>
      <c r="DE33" s="220">
        <f t="shared" ca="1" si="97"/>
        <v>0</v>
      </c>
      <c r="DF33" s="220">
        <f t="shared" ca="1" si="98"/>
        <v>0</v>
      </c>
      <c r="DG33" s="235">
        <f t="shared" ca="1" si="99"/>
        <v>0</v>
      </c>
      <c r="DH33" s="235">
        <f t="shared" ca="1" si="100"/>
        <v>0</v>
      </c>
      <c r="DI33" s="242">
        <f t="shared" ca="1" si="101"/>
        <v>0</v>
      </c>
      <c r="DJ33" s="241">
        <f t="shared" ca="1" si="51"/>
        <v>1</v>
      </c>
      <c r="DK33" s="220">
        <f t="shared" ca="1" si="102"/>
        <v>0</v>
      </c>
      <c r="DL33" s="220">
        <f t="shared" ca="1" si="103"/>
        <v>0</v>
      </c>
      <c r="DM33" s="235">
        <f t="shared" ca="1" si="104"/>
        <v>0</v>
      </c>
      <c r="DN33" s="235">
        <f t="shared" ca="1" si="105"/>
        <v>0</v>
      </c>
      <c r="DO33" s="242">
        <f t="shared" ca="1" si="106"/>
        <v>0</v>
      </c>
      <c r="DP33" s="241">
        <f t="shared" ca="1" si="569"/>
        <v>1</v>
      </c>
      <c r="DQ33" s="220">
        <f t="shared" ca="1" si="108"/>
        <v>0</v>
      </c>
      <c r="DR33" s="220">
        <f t="shared" ca="1" si="109"/>
        <v>0</v>
      </c>
      <c r="DS33" s="235">
        <f t="shared" ca="1" si="110"/>
        <v>0</v>
      </c>
      <c r="DT33" s="235">
        <f t="shared" ca="1" si="111"/>
        <v>0</v>
      </c>
      <c r="DU33" s="242">
        <f t="shared" ca="1" si="112"/>
        <v>0</v>
      </c>
      <c r="DV33" s="241">
        <f t="shared" ca="1" si="569"/>
        <v>1</v>
      </c>
      <c r="DW33" s="220">
        <f t="shared" ca="1" si="113"/>
        <v>0</v>
      </c>
      <c r="DX33" s="220">
        <f t="shared" ca="1" si="114"/>
        <v>0</v>
      </c>
      <c r="DY33" s="235">
        <f t="shared" ca="1" si="115"/>
        <v>0</v>
      </c>
      <c r="DZ33" s="235">
        <f t="shared" ca="1" si="116"/>
        <v>0</v>
      </c>
      <c r="EA33" s="242">
        <f t="shared" ca="1" si="117"/>
        <v>0</v>
      </c>
      <c r="EB33" s="241">
        <f t="shared" ca="1" si="569"/>
        <v>1</v>
      </c>
      <c r="EC33" s="220">
        <f t="shared" ca="1" si="118"/>
        <v>0</v>
      </c>
      <c r="ED33" s="220">
        <f t="shared" ca="1" si="119"/>
        <v>0</v>
      </c>
      <c r="EE33" s="235">
        <f t="shared" ca="1" si="120"/>
        <v>0</v>
      </c>
      <c r="EF33" s="235">
        <f t="shared" ca="1" si="121"/>
        <v>0</v>
      </c>
      <c r="EG33" s="242">
        <f t="shared" ca="1" si="122"/>
        <v>0</v>
      </c>
      <c r="EH33" s="241">
        <f t="shared" ca="1" si="569"/>
        <v>1</v>
      </c>
      <c r="EI33" s="220">
        <f t="shared" ca="1" si="123"/>
        <v>0</v>
      </c>
      <c r="EJ33" s="220">
        <f t="shared" ca="1" si="124"/>
        <v>0</v>
      </c>
      <c r="EK33" s="235">
        <f t="shared" ca="1" si="125"/>
        <v>0</v>
      </c>
      <c r="EL33" s="235">
        <f t="shared" ca="1" si="126"/>
        <v>0</v>
      </c>
      <c r="EM33" s="242">
        <f t="shared" ca="1" si="127"/>
        <v>0</v>
      </c>
      <c r="EN33" s="241">
        <f t="shared" ca="1" si="569"/>
        <v>1</v>
      </c>
      <c r="EO33" s="220">
        <f t="shared" ca="1" si="128"/>
        <v>0</v>
      </c>
      <c r="EP33" s="220">
        <f t="shared" ca="1" si="129"/>
        <v>0</v>
      </c>
      <c r="EQ33" s="235">
        <f t="shared" ca="1" si="130"/>
        <v>0</v>
      </c>
      <c r="ER33" s="235">
        <f t="shared" ca="1" si="131"/>
        <v>0</v>
      </c>
      <c r="ES33" s="242">
        <f t="shared" ca="1" si="132"/>
        <v>0</v>
      </c>
      <c r="ET33" s="241">
        <f t="shared" ca="1" si="569"/>
        <v>1</v>
      </c>
      <c r="EU33" s="220">
        <f t="shared" ca="1" si="133"/>
        <v>0</v>
      </c>
      <c r="EV33" s="220">
        <f t="shared" ca="1" si="134"/>
        <v>0</v>
      </c>
      <c r="EW33" s="235">
        <f t="shared" ca="1" si="135"/>
        <v>0</v>
      </c>
      <c r="EX33" s="235">
        <f t="shared" ca="1" si="136"/>
        <v>0</v>
      </c>
      <c r="EY33" s="242">
        <f t="shared" ca="1" si="137"/>
        <v>0</v>
      </c>
      <c r="EZ33" s="241">
        <f t="shared" ca="1" si="569"/>
        <v>1</v>
      </c>
      <c r="FA33" s="220">
        <f t="shared" ca="1" si="138"/>
        <v>0</v>
      </c>
      <c r="FB33" s="220">
        <f t="shared" ca="1" si="139"/>
        <v>0</v>
      </c>
      <c r="FC33" s="235">
        <f t="shared" ca="1" si="140"/>
        <v>0</v>
      </c>
      <c r="FD33" s="235">
        <f t="shared" ca="1" si="141"/>
        <v>0</v>
      </c>
      <c r="FE33" s="242">
        <f t="shared" ca="1" si="142"/>
        <v>0</v>
      </c>
      <c r="FF33" s="241">
        <f t="shared" ca="1" si="569"/>
        <v>1</v>
      </c>
      <c r="FG33" s="220">
        <f t="shared" ca="1" si="143"/>
        <v>0</v>
      </c>
      <c r="FH33" s="220">
        <f t="shared" ca="1" si="144"/>
        <v>0</v>
      </c>
      <c r="FI33" s="235">
        <f t="shared" ca="1" si="145"/>
        <v>0</v>
      </c>
      <c r="FJ33" s="235">
        <f t="shared" ca="1" si="146"/>
        <v>0</v>
      </c>
      <c r="FK33" s="242">
        <f t="shared" ca="1" si="147"/>
        <v>0</v>
      </c>
      <c r="FL33" s="241">
        <f t="shared" ca="1" si="569"/>
        <v>1</v>
      </c>
      <c r="FM33" s="220">
        <f t="shared" ca="1" si="148"/>
        <v>0</v>
      </c>
      <c r="FN33" s="220">
        <f t="shared" ca="1" si="149"/>
        <v>0</v>
      </c>
      <c r="FO33" s="235">
        <f t="shared" ca="1" si="150"/>
        <v>0</v>
      </c>
      <c r="FP33" s="235">
        <f t="shared" ca="1" si="151"/>
        <v>0</v>
      </c>
      <c r="FQ33" s="242">
        <f t="shared" ca="1" si="152"/>
        <v>0</v>
      </c>
      <c r="FR33" s="241">
        <f t="shared" ca="1" si="569"/>
        <v>1</v>
      </c>
      <c r="FS33" s="220">
        <f t="shared" ca="1" si="153"/>
        <v>0</v>
      </c>
      <c r="FT33" s="220">
        <f t="shared" ca="1" si="154"/>
        <v>0</v>
      </c>
      <c r="FU33" s="235">
        <f t="shared" ca="1" si="155"/>
        <v>0</v>
      </c>
      <c r="FV33" s="235">
        <f t="shared" ca="1" si="156"/>
        <v>0</v>
      </c>
      <c r="FW33" s="242">
        <f t="shared" ca="1" si="157"/>
        <v>0</v>
      </c>
      <c r="FX33" s="241">
        <f t="shared" ca="1" si="569"/>
        <v>1</v>
      </c>
      <c r="FY33" s="220">
        <f t="shared" ca="1" si="158"/>
        <v>0</v>
      </c>
      <c r="FZ33" s="220">
        <f t="shared" ca="1" si="159"/>
        <v>0</v>
      </c>
      <c r="GA33" s="235">
        <f t="shared" ca="1" si="160"/>
        <v>0</v>
      </c>
      <c r="GB33" s="235">
        <f t="shared" ca="1" si="161"/>
        <v>0</v>
      </c>
      <c r="GC33" s="242">
        <f t="shared" ca="1" si="162"/>
        <v>0</v>
      </c>
      <c r="GD33" s="241">
        <f t="shared" ca="1" si="562"/>
        <v>1</v>
      </c>
      <c r="GE33" s="220">
        <f t="shared" ca="1" si="164"/>
        <v>0</v>
      </c>
      <c r="GF33" s="220">
        <f t="shared" ca="1" si="165"/>
        <v>0</v>
      </c>
      <c r="GG33" s="235">
        <f t="shared" ca="1" si="166"/>
        <v>0</v>
      </c>
      <c r="GH33" s="235">
        <f t="shared" ca="1" si="167"/>
        <v>0</v>
      </c>
      <c r="GI33" s="242">
        <f t="shared" ca="1" si="168"/>
        <v>0</v>
      </c>
      <c r="GJ33" s="241">
        <f t="shared" ca="1" si="562"/>
        <v>1</v>
      </c>
      <c r="GK33" s="220">
        <f t="shared" ca="1" si="169"/>
        <v>0</v>
      </c>
      <c r="GL33" s="220">
        <f t="shared" ca="1" si="170"/>
        <v>0</v>
      </c>
      <c r="GM33" s="235">
        <f t="shared" ca="1" si="171"/>
        <v>0</v>
      </c>
      <c r="GN33" s="235">
        <f t="shared" ca="1" si="172"/>
        <v>0</v>
      </c>
      <c r="GO33" s="242">
        <f t="shared" ca="1" si="173"/>
        <v>0</v>
      </c>
      <c r="GP33" s="241">
        <f t="shared" ca="1" si="570"/>
        <v>1</v>
      </c>
      <c r="GQ33" s="220">
        <f t="shared" ca="1" si="174"/>
        <v>0</v>
      </c>
      <c r="GR33" s="220">
        <f t="shared" ca="1" si="175"/>
        <v>0</v>
      </c>
      <c r="GS33" s="235">
        <f t="shared" ca="1" si="176"/>
        <v>0</v>
      </c>
      <c r="GT33" s="235">
        <f t="shared" ca="1" si="177"/>
        <v>0</v>
      </c>
      <c r="GU33" s="242">
        <f t="shared" ca="1" si="178"/>
        <v>0</v>
      </c>
      <c r="GV33" s="241">
        <f t="shared" ca="1" si="570"/>
        <v>1</v>
      </c>
      <c r="GW33" s="220">
        <f t="shared" ca="1" si="179"/>
        <v>0</v>
      </c>
      <c r="GX33" s="220">
        <f t="shared" ca="1" si="180"/>
        <v>0</v>
      </c>
      <c r="GY33" s="235">
        <f t="shared" ca="1" si="181"/>
        <v>0</v>
      </c>
      <c r="GZ33" s="235">
        <f t="shared" ca="1" si="182"/>
        <v>0</v>
      </c>
      <c r="HA33" s="242">
        <f t="shared" ca="1" si="183"/>
        <v>0</v>
      </c>
      <c r="HB33" s="241">
        <f t="shared" ca="1" si="570"/>
        <v>1</v>
      </c>
      <c r="HC33" s="220">
        <f t="shared" ca="1" si="184"/>
        <v>0</v>
      </c>
      <c r="HD33" s="220">
        <f t="shared" ca="1" si="185"/>
        <v>0</v>
      </c>
      <c r="HE33" s="235">
        <f t="shared" ca="1" si="186"/>
        <v>0</v>
      </c>
      <c r="HF33" s="235">
        <f t="shared" ca="1" si="187"/>
        <v>0</v>
      </c>
      <c r="HG33" s="242">
        <f t="shared" ca="1" si="188"/>
        <v>0</v>
      </c>
      <c r="HH33" s="241">
        <f t="shared" ca="1" si="570"/>
        <v>1</v>
      </c>
      <c r="HI33" s="220">
        <f t="shared" ca="1" si="189"/>
        <v>0</v>
      </c>
      <c r="HJ33" s="220">
        <f t="shared" ca="1" si="190"/>
        <v>0</v>
      </c>
      <c r="HK33" s="235">
        <f t="shared" ca="1" si="191"/>
        <v>0</v>
      </c>
      <c r="HL33" s="235">
        <f t="shared" ca="1" si="192"/>
        <v>0</v>
      </c>
      <c r="HM33" s="242">
        <f t="shared" ca="1" si="193"/>
        <v>0</v>
      </c>
      <c r="HN33" s="241">
        <f t="shared" ca="1" si="570"/>
        <v>1</v>
      </c>
      <c r="HO33" s="220">
        <f t="shared" ca="1" si="194"/>
        <v>0</v>
      </c>
      <c r="HP33" s="220">
        <f t="shared" ca="1" si="195"/>
        <v>0</v>
      </c>
      <c r="HQ33" s="235">
        <f t="shared" ca="1" si="196"/>
        <v>0</v>
      </c>
      <c r="HR33" s="235">
        <f t="shared" ca="1" si="197"/>
        <v>0</v>
      </c>
      <c r="HS33" s="242">
        <f t="shared" ca="1" si="198"/>
        <v>0</v>
      </c>
      <c r="HT33" s="241">
        <f t="shared" ca="1" si="570"/>
        <v>1</v>
      </c>
      <c r="HU33" s="220">
        <f t="shared" ca="1" si="199"/>
        <v>0</v>
      </c>
      <c r="HV33" s="220">
        <f t="shared" ca="1" si="200"/>
        <v>0</v>
      </c>
      <c r="HW33" s="235">
        <f t="shared" ca="1" si="201"/>
        <v>0</v>
      </c>
      <c r="HX33" s="235">
        <f t="shared" ca="1" si="202"/>
        <v>0</v>
      </c>
      <c r="HY33" s="242">
        <f t="shared" ca="1" si="203"/>
        <v>0</v>
      </c>
      <c r="HZ33" s="241">
        <f t="shared" ca="1" si="570"/>
        <v>1</v>
      </c>
      <c r="IA33" s="220">
        <f t="shared" ca="1" si="204"/>
        <v>0</v>
      </c>
      <c r="IB33" s="220">
        <f t="shared" ca="1" si="205"/>
        <v>0</v>
      </c>
      <c r="IC33" s="235">
        <f t="shared" ca="1" si="206"/>
        <v>0</v>
      </c>
      <c r="ID33" s="235">
        <f t="shared" ca="1" si="207"/>
        <v>0</v>
      </c>
      <c r="IE33" s="242">
        <f t="shared" ca="1" si="208"/>
        <v>0</v>
      </c>
      <c r="IF33" s="241">
        <f t="shared" ca="1" si="570"/>
        <v>1</v>
      </c>
      <c r="IG33" s="220">
        <f t="shared" ca="1" si="209"/>
        <v>0</v>
      </c>
      <c r="IH33" s="220">
        <f t="shared" ca="1" si="210"/>
        <v>0</v>
      </c>
      <c r="II33" s="235">
        <f t="shared" ca="1" si="211"/>
        <v>0</v>
      </c>
      <c r="IJ33" s="235">
        <f t="shared" ca="1" si="212"/>
        <v>0</v>
      </c>
      <c r="IK33" s="242">
        <f t="shared" ca="1" si="213"/>
        <v>0</v>
      </c>
      <c r="IL33" s="241">
        <f t="shared" ca="1" si="570"/>
        <v>1</v>
      </c>
      <c r="IM33" s="220">
        <f t="shared" ca="1" si="214"/>
        <v>0</v>
      </c>
      <c r="IN33" s="220">
        <f t="shared" ca="1" si="215"/>
        <v>0</v>
      </c>
      <c r="IO33" s="235">
        <f t="shared" ca="1" si="216"/>
        <v>0</v>
      </c>
      <c r="IP33" s="235">
        <f t="shared" ca="1" si="217"/>
        <v>0</v>
      </c>
      <c r="IQ33" s="242">
        <f t="shared" ca="1" si="218"/>
        <v>0</v>
      </c>
      <c r="IR33" s="241">
        <f t="shared" ca="1" si="570"/>
        <v>1</v>
      </c>
      <c r="IS33" s="220">
        <f t="shared" ca="1" si="220"/>
        <v>0</v>
      </c>
      <c r="IT33" s="220">
        <f t="shared" ca="1" si="221"/>
        <v>0</v>
      </c>
      <c r="IU33" s="235">
        <f t="shared" ca="1" si="222"/>
        <v>0</v>
      </c>
      <c r="IV33" s="235">
        <f t="shared" ca="1" si="223"/>
        <v>0</v>
      </c>
      <c r="IW33" s="242">
        <f t="shared" ca="1" si="224"/>
        <v>0</v>
      </c>
      <c r="IX33" s="241">
        <f t="shared" ca="1" si="570"/>
        <v>1</v>
      </c>
      <c r="IY33" s="220">
        <f t="shared" ca="1" si="225"/>
        <v>0</v>
      </c>
      <c r="IZ33" s="220">
        <f t="shared" ca="1" si="226"/>
        <v>0</v>
      </c>
      <c r="JA33" s="235">
        <f t="shared" ca="1" si="227"/>
        <v>0</v>
      </c>
      <c r="JB33" s="235">
        <f t="shared" ca="1" si="228"/>
        <v>0</v>
      </c>
      <c r="JC33" s="242">
        <f t="shared" ca="1" si="229"/>
        <v>0</v>
      </c>
      <c r="JD33" s="241">
        <f t="shared" ca="1" si="563"/>
        <v>1</v>
      </c>
      <c r="JE33" s="220">
        <f t="shared" ca="1" si="230"/>
        <v>0</v>
      </c>
      <c r="JF33" s="220">
        <f t="shared" ca="1" si="231"/>
        <v>0</v>
      </c>
      <c r="JG33" s="235">
        <f t="shared" ca="1" si="232"/>
        <v>0</v>
      </c>
      <c r="JH33" s="235">
        <f t="shared" ca="1" si="233"/>
        <v>0</v>
      </c>
      <c r="JI33" s="242">
        <f t="shared" ca="1" si="234"/>
        <v>0</v>
      </c>
      <c r="JJ33" s="241">
        <f t="shared" ca="1" si="563"/>
        <v>1</v>
      </c>
      <c r="JK33" s="220">
        <f t="shared" ca="1" si="235"/>
        <v>0</v>
      </c>
      <c r="JL33" s="220">
        <f t="shared" ca="1" si="236"/>
        <v>0</v>
      </c>
      <c r="JM33" s="235">
        <f t="shared" ca="1" si="237"/>
        <v>0</v>
      </c>
      <c r="JN33" s="235">
        <f t="shared" ca="1" si="238"/>
        <v>0</v>
      </c>
      <c r="JO33" s="242">
        <f t="shared" ca="1" si="239"/>
        <v>0</v>
      </c>
      <c r="JP33" s="241">
        <f t="shared" ca="1" si="571"/>
        <v>1</v>
      </c>
      <c r="JQ33" s="220">
        <f t="shared" ca="1" si="240"/>
        <v>0</v>
      </c>
      <c r="JR33" s="220">
        <f t="shared" ca="1" si="241"/>
        <v>0</v>
      </c>
      <c r="JS33" s="235">
        <f t="shared" ca="1" si="242"/>
        <v>0</v>
      </c>
      <c r="JT33" s="235">
        <f t="shared" ca="1" si="243"/>
        <v>0</v>
      </c>
      <c r="JU33" s="242">
        <f t="shared" ca="1" si="244"/>
        <v>0</v>
      </c>
      <c r="JV33" s="241">
        <f t="shared" ca="1" si="571"/>
        <v>1</v>
      </c>
      <c r="JW33" s="220">
        <f t="shared" ca="1" si="245"/>
        <v>0</v>
      </c>
      <c r="JX33" s="220">
        <f t="shared" ca="1" si="246"/>
        <v>0</v>
      </c>
      <c r="JY33" s="235">
        <f t="shared" ca="1" si="247"/>
        <v>0</v>
      </c>
      <c r="JZ33" s="235">
        <f t="shared" ca="1" si="248"/>
        <v>0</v>
      </c>
      <c r="KA33" s="242">
        <f t="shared" ca="1" si="249"/>
        <v>0</v>
      </c>
      <c r="KB33" s="241">
        <f t="shared" ca="1" si="571"/>
        <v>1</v>
      </c>
      <c r="KC33" s="220">
        <f t="shared" ca="1" si="250"/>
        <v>0</v>
      </c>
      <c r="KD33" s="220">
        <f t="shared" ca="1" si="251"/>
        <v>0</v>
      </c>
      <c r="KE33" s="235">
        <f t="shared" ca="1" si="252"/>
        <v>0</v>
      </c>
      <c r="KF33" s="235">
        <f t="shared" ca="1" si="253"/>
        <v>0</v>
      </c>
      <c r="KG33" s="242">
        <f t="shared" ca="1" si="254"/>
        <v>0</v>
      </c>
      <c r="KH33" s="241">
        <f t="shared" ca="1" si="571"/>
        <v>1</v>
      </c>
      <c r="KI33" s="220">
        <f t="shared" ca="1" si="255"/>
        <v>0</v>
      </c>
      <c r="KJ33" s="220">
        <f t="shared" ca="1" si="256"/>
        <v>0</v>
      </c>
      <c r="KK33" s="235">
        <f t="shared" ca="1" si="257"/>
        <v>0</v>
      </c>
      <c r="KL33" s="235">
        <f t="shared" ca="1" si="258"/>
        <v>0</v>
      </c>
      <c r="KM33" s="242">
        <f t="shared" ca="1" si="259"/>
        <v>0</v>
      </c>
      <c r="KN33" s="241">
        <f t="shared" ca="1" si="571"/>
        <v>1</v>
      </c>
      <c r="KO33" s="220">
        <f t="shared" ca="1" si="260"/>
        <v>0</v>
      </c>
      <c r="KP33" s="220">
        <f t="shared" ca="1" si="261"/>
        <v>0</v>
      </c>
      <c r="KQ33" s="235">
        <f t="shared" ca="1" si="262"/>
        <v>0</v>
      </c>
      <c r="KR33" s="235">
        <f t="shared" ca="1" si="263"/>
        <v>0</v>
      </c>
      <c r="KS33" s="242">
        <f t="shared" ca="1" si="264"/>
        <v>0</v>
      </c>
      <c r="KT33" s="241">
        <f t="shared" ca="1" si="571"/>
        <v>1</v>
      </c>
      <c r="KU33" s="220">
        <f t="shared" ca="1" si="265"/>
        <v>0</v>
      </c>
      <c r="KV33" s="220">
        <f t="shared" ca="1" si="266"/>
        <v>0</v>
      </c>
      <c r="KW33" s="235">
        <f t="shared" ca="1" si="267"/>
        <v>0</v>
      </c>
      <c r="KX33" s="235">
        <f t="shared" ca="1" si="268"/>
        <v>0</v>
      </c>
      <c r="KY33" s="242">
        <f t="shared" ca="1" si="269"/>
        <v>0</v>
      </c>
      <c r="KZ33" s="241">
        <f t="shared" ca="1" si="571"/>
        <v>1</v>
      </c>
      <c r="LA33" s="220">
        <f t="shared" ca="1" si="270"/>
        <v>0</v>
      </c>
      <c r="LB33" s="220">
        <f t="shared" ca="1" si="271"/>
        <v>0</v>
      </c>
      <c r="LC33" s="235">
        <f t="shared" ca="1" si="272"/>
        <v>0</v>
      </c>
      <c r="LD33" s="235">
        <f t="shared" ca="1" si="273"/>
        <v>0</v>
      </c>
      <c r="LE33" s="242">
        <f t="shared" ca="1" si="274"/>
        <v>0</v>
      </c>
      <c r="LF33" s="241">
        <f t="shared" ca="1" si="571"/>
        <v>1</v>
      </c>
      <c r="LG33" s="220">
        <f t="shared" ca="1" si="276"/>
        <v>0</v>
      </c>
      <c r="LH33" s="220">
        <f t="shared" ca="1" si="277"/>
        <v>0</v>
      </c>
      <c r="LI33" s="235">
        <f t="shared" ca="1" si="278"/>
        <v>0</v>
      </c>
      <c r="LJ33" s="235">
        <f t="shared" ca="1" si="279"/>
        <v>0</v>
      </c>
      <c r="LK33" s="242">
        <f t="shared" ca="1" si="280"/>
        <v>0</v>
      </c>
      <c r="LL33" s="241">
        <f t="shared" ca="1" si="571"/>
        <v>1</v>
      </c>
      <c r="LM33" s="220">
        <f t="shared" ca="1" si="281"/>
        <v>0</v>
      </c>
      <c r="LN33" s="220">
        <f t="shared" ca="1" si="282"/>
        <v>0</v>
      </c>
      <c r="LO33" s="235">
        <f t="shared" ca="1" si="283"/>
        <v>0</v>
      </c>
      <c r="LP33" s="235">
        <f t="shared" ca="1" si="284"/>
        <v>0</v>
      </c>
      <c r="LQ33" s="242">
        <f t="shared" ca="1" si="285"/>
        <v>0</v>
      </c>
      <c r="LR33" s="241">
        <f t="shared" ca="1" si="571"/>
        <v>1</v>
      </c>
      <c r="LS33" s="220">
        <f t="shared" ca="1" si="286"/>
        <v>0</v>
      </c>
      <c r="LT33" s="220">
        <f t="shared" ca="1" si="287"/>
        <v>0</v>
      </c>
      <c r="LU33" s="235">
        <f t="shared" ca="1" si="288"/>
        <v>0</v>
      </c>
      <c r="LV33" s="235">
        <f t="shared" ca="1" si="289"/>
        <v>0</v>
      </c>
      <c r="LW33" s="242">
        <f t="shared" ca="1" si="290"/>
        <v>0</v>
      </c>
      <c r="LX33" s="241">
        <f t="shared" ca="1" si="571"/>
        <v>1</v>
      </c>
      <c r="LY33" s="220">
        <f t="shared" ca="1" si="291"/>
        <v>0</v>
      </c>
      <c r="LZ33" s="220">
        <f t="shared" ca="1" si="292"/>
        <v>0</v>
      </c>
      <c r="MA33" s="235">
        <f t="shared" ca="1" si="293"/>
        <v>0</v>
      </c>
      <c r="MB33" s="235">
        <f t="shared" ca="1" si="294"/>
        <v>0</v>
      </c>
      <c r="MC33" s="242">
        <f t="shared" ca="1" si="295"/>
        <v>0</v>
      </c>
      <c r="MD33" s="241">
        <f t="shared" ca="1" si="564"/>
        <v>1</v>
      </c>
      <c r="ME33" s="220">
        <f t="shared" ca="1" si="296"/>
        <v>0</v>
      </c>
      <c r="MF33" s="220">
        <f t="shared" ca="1" si="297"/>
        <v>0</v>
      </c>
      <c r="MG33" s="235">
        <f t="shared" ca="1" si="298"/>
        <v>0</v>
      </c>
      <c r="MH33" s="235">
        <f t="shared" ca="1" si="299"/>
        <v>0</v>
      </c>
      <c r="MI33" s="242">
        <f t="shared" ca="1" si="300"/>
        <v>0</v>
      </c>
      <c r="MJ33" s="241">
        <f t="shared" ca="1" si="564"/>
        <v>1</v>
      </c>
      <c r="MK33" s="220">
        <f t="shared" ca="1" si="301"/>
        <v>0</v>
      </c>
      <c r="ML33" s="220">
        <f t="shared" ca="1" si="302"/>
        <v>0</v>
      </c>
      <c r="MM33" s="235">
        <f t="shared" ca="1" si="303"/>
        <v>0</v>
      </c>
      <c r="MN33" s="235">
        <f t="shared" ca="1" si="304"/>
        <v>0</v>
      </c>
      <c r="MO33" s="242">
        <f t="shared" ca="1" si="305"/>
        <v>0</v>
      </c>
      <c r="MP33" s="241">
        <f t="shared" ca="1" si="572"/>
        <v>1</v>
      </c>
      <c r="MQ33" s="220">
        <f t="shared" ca="1" si="306"/>
        <v>0</v>
      </c>
      <c r="MR33" s="220">
        <f t="shared" ca="1" si="307"/>
        <v>0</v>
      </c>
      <c r="MS33" s="235">
        <f t="shared" ca="1" si="308"/>
        <v>0</v>
      </c>
      <c r="MT33" s="235">
        <f t="shared" ca="1" si="309"/>
        <v>0</v>
      </c>
      <c r="MU33" s="242">
        <f t="shared" ca="1" si="310"/>
        <v>0</v>
      </c>
      <c r="MV33" s="241">
        <f t="shared" ca="1" si="572"/>
        <v>1</v>
      </c>
      <c r="MW33" s="220">
        <f t="shared" ca="1" si="311"/>
        <v>0</v>
      </c>
      <c r="MX33" s="220">
        <f t="shared" ca="1" si="312"/>
        <v>0</v>
      </c>
      <c r="MY33" s="235">
        <f t="shared" ca="1" si="313"/>
        <v>0</v>
      </c>
      <c r="MZ33" s="235">
        <f t="shared" ca="1" si="314"/>
        <v>0</v>
      </c>
      <c r="NA33" s="242">
        <f t="shared" ca="1" si="315"/>
        <v>0</v>
      </c>
      <c r="NB33" s="241">
        <f t="shared" ca="1" si="572"/>
        <v>1</v>
      </c>
      <c r="NC33" s="220">
        <f t="shared" ca="1" si="316"/>
        <v>0</v>
      </c>
      <c r="ND33" s="220">
        <f t="shared" ca="1" si="317"/>
        <v>0</v>
      </c>
      <c r="NE33" s="235">
        <f t="shared" ca="1" si="318"/>
        <v>0</v>
      </c>
      <c r="NF33" s="235">
        <f t="shared" ca="1" si="319"/>
        <v>0</v>
      </c>
      <c r="NG33" s="242">
        <f t="shared" ca="1" si="320"/>
        <v>0</v>
      </c>
      <c r="NH33" s="241">
        <f t="shared" ca="1" si="572"/>
        <v>1</v>
      </c>
      <c r="NI33" s="220">
        <f t="shared" ca="1" si="321"/>
        <v>0</v>
      </c>
      <c r="NJ33" s="220">
        <f t="shared" ca="1" si="322"/>
        <v>0</v>
      </c>
      <c r="NK33" s="235">
        <f t="shared" ca="1" si="323"/>
        <v>0</v>
      </c>
      <c r="NL33" s="235">
        <f t="shared" ca="1" si="324"/>
        <v>0</v>
      </c>
      <c r="NM33" s="242">
        <f t="shared" ca="1" si="325"/>
        <v>0</v>
      </c>
      <c r="NN33" s="241">
        <f t="shared" ca="1" si="572"/>
        <v>1</v>
      </c>
      <c r="NO33" s="220">
        <f t="shared" ca="1" si="326"/>
        <v>0</v>
      </c>
      <c r="NP33" s="220">
        <f t="shared" ca="1" si="327"/>
        <v>0</v>
      </c>
      <c r="NQ33" s="235">
        <f t="shared" ca="1" si="328"/>
        <v>0</v>
      </c>
      <c r="NR33" s="235">
        <f t="shared" ca="1" si="329"/>
        <v>0</v>
      </c>
      <c r="NS33" s="242">
        <f t="shared" ca="1" si="330"/>
        <v>0</v>
      </c>
      <c r="NT33" s="241">
        <f t="shared" ca="1" si="572"/>
        <v>1</v>
      </c>
      <c r="NU33" s="220">
        <f t="shared" ca="1" si="332"/>
        <v>0</v>
      </c>
      <c r="NV33" s="220">
        <f t="shared" ca="1" si="333"/>
        <v>0</v>
      </c>
      <c r="NW33" s="235">
        <f t="shared" ca="1" si="334"/>
        <v>0</v>
      </c>
      <c r="NX33" s="235">
        <f t="shared" ca="1" si="335"/>
        <v>0</v>
      </c>
      <c r="NY33" s="242">
        <f t="shared" ca="1" si="336"/>
        <v>0</v>
      </c>
      <c r="NZ33" s="241">
        <f t="shared" ca="1" si="572"/>
        <v>1</v>
      </c>
      <c r="OA33" s="220">
        <f t="shared" ca="1" si="337"/>
        <v>0</v>
      </c>
      <c r="OB33" s="220">
        <f t="shared" ca="1" si="338"/>
        <v>0</v>
      </c>
      <c r="OC33" s="235">
        <f t="shared" ca="1" si="339"/>
        <v>0</v>
      </c>
      <c r="OD33" s="235">
        <f t="shared" ca="1" si="340"/>
        <v>0</v>
      </c>
      <c r="OE33" s="242">
        <f t="shared" ca="1" si="341"/>
        <v>0</v>
      </c>
      <c r="OF33" s="241">
        <f t="shared" ca="1" si="572"/>
        <v>1</v>
      </c>
      <c r="OG33" s="220">
        <f t="shared" ca="1" si="342"/>
        <v>0</v>
      </c>
      <c r="OH33" s="220">
        <f t="shared" ca="1" si="343"/>
        <v>0</v>
      </c>
      <c r="OI33" s="235">
        <f t="shared" ca="1" si="344"/>
        <v>0</v>
      </c>
      <c r="OJ33" s="235">
        <f t="shared" ca="1" si="345"/>
        <v>0</v>
      </c>
      <c r="OK33" s="242">
        <f t="shared" ca="1" si="346"/>
        <v>0</v>
      </c>
      <c r="OL33" s="241">
        <f t="shared" ca="1" si="572"/>
        <v>1</v>
      </c>
      <c r="OM33" s="220">
        <f t="shared" ca="1" si="347"/>
        <v>0</v>
      </c>
      <c r="ON33" s="220">
        <f t="shared" ca="1" si="348"/>
        <v>0</v>
      </c>
      <c r="OO33" s="235">
        <f t="shared" ca="1" si="349"/>
        <v>0</v>
      </c>
      <c r="OP33" s="235">
        <f t="shared" ca="1" si="350"/>
        <v>0</v>
      </c>
      <c r="OQ33" s="242">
        <f t="shared" ca="1" si="351"/>
        <v>0</v>
      </c>
      <c r="OR33" s="241">
        <f t="shared" ca="1" si="572"/>
        <v>1</v>
      </c>
      <c r="OS33" s="220">
        <f t="shared" ca="1" si="352"/>
        <v>0</v>
      </c>
      <c r="OT33" s="220">
        <f t="shared" ca="1" si="353"/>
        <v>0</v>
      </c>
      <c r="OU33" s="235">
        <f t="shared" ca="1" si="354"/>
        <v>0</v>
      </c>
      <c r="OV33" s="235">
        <f t="shared" ca="1" si="355"/>
        <v>0</v>
      </c>
      <c r="OW33" s="242">
        <f t="shared" ca="1" si="356"/>
        <v>0</v>
      </c>
      <c r="OX33" s="241">
        <f t="shared" ca="1" si="572"/>
        <v>1</v>
      </c>
      <c r="OY33" s="220">
        <f t="shared" ca="1" si="357"/>
        <v>0</v>
      </c>
      <c r="OZ33" s="220">
        <f t="shared" ca="1" si="358"/>
        <v>0</v>
      </c>
      <c r="PA33" s="235">
        <f t="shared" ca="1" si="359"/>
        <v>0</v>
      </c>
      <c r="PB33" s="235">
        <f t="shared" ca="1" si="360"/>
        <v>0</v>
      </c>
      <c r="PC33" s="242">
        <f t="shared" ca="1" si="361"/>
        <v>0</v>
      </c>
      <c r="PD33" s="241">
        <f t="shared" ca="1" si="565"/>
        <v>1</v>
      </c>
      <c r="PE33" s="220">
        <f t="shared" ca="1" si="362"/>
        <v>0</v>
      </c>
      <c r="PF33" s="220">
        <f t="shared" ca="1" si="363"/>
        <v>0</v>
      </c>
      <c r="PG33" s="235">
        <f t="shared" ca="1" si="364"/>
        <v>0</v>
      </c>
      <c r="PH33" s="235">
        <f t="shared" ca="1" si="365"/>
        <v>0</v>
      </c>
      <c r="PI33" s="242">
        <f t="shared" ca="1" si="366"/>
        <v>0</v>
      </c>
      <c r="PJ33" s="241">
        <f t="shared" ca="1" si="565"/>
        <v>1</v>
      </c>
      <c r="PK33" s="220">
        <f t="shared" ca="1" si="367"/>
        <v>0</v>
      </c>
      <c r="PL33" s="220">
        <f t="shared" ca="1" si="368"/>
        <v>0</v>
      </c>
      <c r="PM33" s="235">
        <f t="shared" ca="1" si="369"/>
        <v>0</v>
      </c>
      <c r="PN33" s="235">
        <f t="shared" ca="1" si="370"/>
        <v>0</v>
      </c>
      <c r="PO33" s="242">
        <f t="shared" ca="1" si="371"/>
        <v>0</v>
      </c>
      <c r="PP33" s="241">
        <f t="shared" ca="1" si="573"/>
        <v>1</v>
      </c>
      <c r="PQ33" s="220">
        <f t="shared" ca="1" si="372"/>
        <v>0</v>
      </c>
      <c r="PR33" s="220">
        <f t="shared" ca="1" si="373"/>
        <v>0</v>
      </c>
      <c r="PS33" s="235">
        <f t="shared" ca="1" si="374"/>
        <v>0</v>
      </c>
      <c r="PT33" s="235">
        <f t="shared" ca="1" si="375"/>
        <v>0</v>
      </c>
      <c r="PU33" s="242">
        <f t="shared" ca="1" si="376"/>
        <v>0</v>
      </c>
      <c r="PV33" s="241">
        <f t="shared" ca="1" si="573"/>
        <v>1</v>
      </c>
      <c r="PW33" s="220">
        <f t="shared" ca="1" si="377"/>
        <v>0</v>
      </c>
      <c r="PX33" s="220">
        <f t="shared" ca="1" si="378"/>
        <v>0</v>
      </c>
      <c r="PY33" s="235">
        <f t="shared" ca="1" si="379"/>
        <v>0</v>
      </c>
      <c r="PZ33" s="235">
        <f t="shared" ca="1" si="380"/>
        <v>0</v>
      </c>
      <c r="QA33" s="242">
        <f t="shared" ca="1" si="381"/>
        <v>0</v>
      </c>
      <c r="QB33" s="241">
        <f t="shared" ca="1" si="573"/>
        <v>1</v>
      </c>
      <c r="QC33" s="220">
        <f t="shared" ca="1" si="382"/>
        <v>0</v>
      </c>
      <c r="QD33" s="220">
        <f t="shared" ca="1" si="383"/>
        <v>0</v>
      </c>
      <c r="QE33" s="235">
        <f t="shared" ca="1" si="384"/>
        <v>0</v>
      </c>
      <c r="QF33" s="235">
        <f t="shared" ca="1" si="385"/>
        <v>0</v>
      </c>
      <c r="QG33" s="242">
        <f t="shared" ca="1" si="386"/>
        <v>0</v>
      </c>
      <c r="QH33" s="241">
        <f t="shared" ca="1" si="573"/>
        <v>1</v>
      </c>
      <c r="QI33" s="220">
        <f t="shared" ca="1" si="388"/>
        <v>0</v>
      </c>
      <c r="QJ33" s="220">
        <f t="shared" ca="1" si="389"/>
        <v>0</v>
      </c>
      <c r="QK33" s="235">
        <f t="shared" ca="1" si="390"/>
        <v>0</v>
      </c>
      <c r="QL33" s="235">
        <f t="shared" ca="1" si="391"/>
        <v>0</v>
      </c>
      <c r="QM33" s="242">
        <f t="shared" ca="1" si="392"/>
        <v>0</v>
      </c>
      <c r="QN33" s="241">
        <f t="shared" ca="1" si="573"/>
        <v>1</v>
      </c>
      <c r="QO33" s="220">
        <f t="shared" ca="1" si="393"/>
        <v>0</v>
      </c>
      <c r="QP33" s="220">
        <f t="shared" ca="1" si="394"/>
        <v>0</v>
      </c>
      <c r="QQ33" s="235">
        <f t="shared" ca="1" si="395"/>
        <v>0</v>
      </c>
      <c r="QR33" s="235">
        <f t="shared" ca="1" si="396"/>
        <v>0</v>
      </c>
      <c r="QS33" s="242">
        <f t="shared" ca="1" si="397"/>
        <v>0</v>
      </c>
      <c r="QT33" s="241">
        <f t="shared" ca="1" si="573"/>
        <v>1</v>
      </c>
      <c r="QU33" s="220">
        <f t="shared" ca="1" si="398"/>
        <v>0</v>
      </c>
      <c r="QV33" s="220">
        <f t="shared" ca="1" si="399"/>
        <v>0</v>
      </c>
      <c r="QW33" s="235">
        <f t="shared" ca="1" si="400"/>
        <v>0</v>
      </c>
      <c r="QX33" s="235">
        <f t="shared" ca="1" si="401"/>
        <v>0</v>
      </c>
      <c r="QY33" s="242">
        <f t="shared" ca="1" si="402"/>
        <v>0</v>
      </c>
      <c r="QZ33" s="241">
        <f t="shared" ca="1" si="573"/>
        <v>1</v>
      </c>
      <c r="RA33" s="220">
        <f t="shared" ca="1" si="403"/>
        <v>0</v>
      </c>
      <c r="RB33" s="220">
        <f t="shared" ca="1" si="404"/>
        <v>0</v>
      </c>
      <c r="RC33" s="235">
        <f t="shared" ca="1" si="405"/>
        <v>0</v>
      </c>
      <c r="RD33" s="235">
        <f t="shared" ca="1" si="406"/>
        <v>0</v>
      </c>
      <c r="RE33" s="242">
        <f t="shared" ca="1" si="407"/>
        <v>0</v>
      </c>
      <c r="RF33" s="241">
        <f t="shared" ca="1" si="573"/>
        <v>1</v>
      </c>
      <c r="RG33" s="220">
        <f t="shared" ca="1" si="408"/>
        <v>0</v>
      </c>
      <c r="RH33" s="220">
        <f t="shared" ca="1" si="409"/>
        <v>0</v>
      </c>
      <c r="RI33" s="235">
        <f t="shared" ca="1" si="410"/>
        <v>0</v>
      </c>
      <c r="RJ33" s="235">
        <f t="shared" ca="1" si="411"/>
        <v>0</v>
      </c>
      <c r="RK33" s="242">
        <f t="shared" ca="1" si="412"/>
        <v>0</v>
      </c>
      <c r="RL33" s="241">
        <f t="shared" ca="1" si="573"/>
        <v>1</v>
      </c>
      <c r="RM33" s="220">
        <f t="shared" ca="1" si="413"/>
        <v>0</v>
      </c>
      <c r="RN33" s="220">
        <f t="shared" ca="1" si="414"/>
        <v>0</v>
      </c>
      <c r="RO33" s="235">
        <f t="shared" ca="1" si="415"/>
        <v>0</v>
      </c>
      <c r="RP33" s="235">
        <f t="shared" ca="1" si="416"/>
        <v>0</v>
      </c>
      <c r="RQ33" s="242">
        <f t="shared" ca="1" si="417"/>
        <v>0</v>
      </c>
      <c r="RR33" s="241">
        <f t="shared" ca="1" si="573"/>
        <v>1</v>
      </c>
      <c r="RS33" s="220">
        <f t="shared" ca="1" si="418"/>
        <v>0</v>
      </c>
      <c r="RT33" s="220">
        <f t="shared" ca="1" si="419"/>
        <v>0</v>
      </c>
      <c r="RU33" s="235">
        <f t="shared" ca="1" si="420"/>
        <v>0</v>
      </c>
      <c r="RV33" s="235">
        <f t="shared" ca="1" si="421"/>
        <v>0</v>
      </c>
      <c r="RW33" s="242">
        <f t="shared" ca="1" si="422"/>
        <v>0</v>
      </c>
      <c r="RX33" s="241">
        <f t="shared" ca="1" si="573"/>
        <v>1</v>
      </c>
      <c r="RY33" s="220">
        <f t="shared" ca="1" si="423"/>
        <v>0</v>
      </c>
      <c r="RZ33" s="220">
        <f t="shared" ca="1" si="424"/>
        <v>0</v>
      </c>
      <c r="SA33" s="235">
        <f t="shared" ca="1" si="425"/>
        <v>0</v>
      </c>
      <c r="SB33" s="235">
        <f t="shared" ca="1" si="426"/>
        <v>0</v>
      </c>
      <c r="SC33" s="242">
        <f t="shared" ca="1" si="427"/>
        <v>0</v>
      </c>
      <c r="SD33" s="241">
        <f t="shared" ca="1" si="566"/>
        <v>1</v>
      </c>
      <c r="SE33" s="220">
        <f t="shared" ca="1" si="428"/>
        <v>0</v>
      </c>
      <c r="SF33" s="220">
        <f t="shared" ca="1" si="429"/>
        <v>0</v>
      </c>
      <c r="SG33" s="235">
        <f t="shared" ca="1" si="430"/>
        <v>0</v>
      </c>
      <c r="SH33" s="235">
        <f t="shared" ca="1" si="431"/>
        <v>0</v>
      </c>
      <c r="SI33" s="242">
        <f t="shared" ca="1" si="432"/>
        <v>0</v>
      </c>
      <c r="SJ33" s="241">
        <f t="shared" ca="1" si="566"/>
        <v>1</v>
      </c>
      <c r="SK33" s="220">
        <f t="shared" ca="1" si="433"/>
        <v>0</v>
      </c>
      <c r="SL33" s="220">
        <f t="shared" ca="1" si="434"/>
        <v>0</v>
      </c>
      <c r="SM33" s="235">
        <f t="shared" ca="1" si="435"/>
        <v>0</v>
      </c>
      <c r="SN33" s="235">
        <f t="shared" ca="1" si="436"/>
        <v>0</v>
      </c>
      <c r="SO33" s="242">
        <f t="shared" ca="1" si="437"/>
        <v>0</v>
      </c>
      <c r="SP33" s="241">
        <f t="shared" ca="1" si="576"/>
        <v>1</v>
      </c>
      <c r="SQ33" s="220">
        <f t="shared" ca="1" si="438"/>
        <v>0</v>
      </c>
      <c r="SR33" s="220">
        <f t="shared" ca="1" si="439"/>
        <v>0</v>
      </c>
      <c r="SS33" s="235">
        <f t="shared" ca="1" si="440"/>
        <v>0</v>
      </c>
      <c r="ST33" s="235">
        <f t="shared" ca="1" si="441"/>
        <v>0</v>
      </c>
      <c r="SU33" s="242">
        <f t="shared" ca="1" si="442"/>
        <v>0</v>
      </c>
      <c r="SV33" s="241">
        <f t="shared" ca="1" si="576"/>
        <v>1</v>
      </c>
      <c r="SW33" s="220">
        <f t="shared" ca="1" si="444"/>
        <v>0</v>
      </c>
      <c r="SX33" s="220">
        <f t="shared" ca="1" si="445"/>
        <v>0</v>
      </c>
      <c r="SY33" s="235">
        <f t="shared" ca="1" si="446"/>
        <v>0</v>
      </c>
      <c r="SZ33" s="235">
        <f t="shared" ca="1" si="447"/>
        <v>0</v>
      </c>
      <c r="TA33" s="242">
        <f t="shared" ca="1" si="448"/>
        <v>0</v>
      </c>
      <c r="TB33" s="241">
        <f t="shared" ca="1" si="576"/>
        <v>1</v>
      </c>
      <c r="TC33" s="220">
        <f t="shared" ca="1" si="449"/>
        <v>0</v>
      </c>
      <c r="TD33" s="220">
        <f t="shared" ca="1" si="450"/>
        <v>0</v>
      </c>
      <c r="TE33" s="235">
        <f t="shared" ca="1" si="451"/>
        <v>0</v>
      </c>
      <c r="TF33" s="235">
        <f t="shared" ca="1" si="452"/>
        <v>0</v>
      </c>
      <c r="TG33" s="242">
        <f t="shared" ca="1" si="453"/>
        <v>0</v>
      </c>
      <c r="TH33" s="241">
        <f t="shared" ca="1" si="576"/>
        <v>1</v>
      </c>
      <c r="TI33" s="220">
        <f t="shared" ca="1" si="454"/>
        <v>0</v>
      </c>
      <c r="TJ33" s="220">
        <f t="shared" ca="1" si="455"/>
        <v>0</v>
      </c>
      <c r="TK33" s="235">
        <f t="shared" ca="1" si="456"/>
        <v>0</v>
      </c>
      <c r="TL33" s="235">
        <f t="shared" ca="1" si="457"/>
        <v>0</v>
      </c>
      <c r="TM33" s="242">
        <f t="shared" ca="1" si="458"/>
        <v>0</v>
      </c>
      <c r="TN33" s="241">
        <f t="shared" ca="1" si="576"/>
        <v>1</v>
      </c>
      <c r="TO33" s="220">
        <f t="shared" ca="1" si="459"/>
        <v>0</v>
      </c>
      <c r="TP33" s="220">
        <f t="shared" ca="1" si="460"/>
        <v>0</v>
      </c>
      <c r="TQ33" s="235">
        <f t="shared" ca="1" si="461"/>
        <v>0</v>
      </c>
      <c r="TR33" s="235">
        <f t="shared" ca="1" si="462"/>
        <v>0</v>
      </c>
      <c r="TS33" s="242">
        <f t="shared" ca="1" si="463"/>
        <v>0</v>
      </c>
      <c r="TT33" s="241">
        <f t="shared" ca="1" si="576"/>
        <v>1</v>
      </c>
      <c r="TU33" s="220">
        <f t="shared" ca="1" si="464"/>
        <v>0</v>
      </c>
      <c r="TV33" s="220">
        <f t="shared" ca="1" si="465"/>
        <v>0</v>
      </c>
      <c r="TW33" s="235">
        <f t="shared" ca="1" si="466"/>
        <v>0</v>
      </c>
      <c r="TX33" s="235">
        <f t="shared" ca="1" si="467"/>
        <v>0</v>
      </c>
      <c r="TY33" s="242">
        <f t="shared" ca="1" si="468"/>
        <v>0</v>
      </c>
      <c r="TZ33" s="241">
        <f t="shared" ca="1" si="576"/>
        <v>1</v>
      </c>
      <c r="UA33" s="220">
        <f t="shared" ca="1" si="469"/>
        <v>0</v>
      </c>
      <c r="UB33" s="220">
        <f t="shared" ca="1" si="470"/>
        <v>0</v>
      </c>
      <c r="UC33" s="235">
        <f t="shared" ca="1" si="471"/>
        <v>0</v>
      </c>
      <c r="UD33" s="235">
        <f t="shared" ca="1" si="472"/>
        <v>0</v>
      </c>
      <c r="UE33" s="242">
        <f t="shared" ca="1" si="473"/>
        <v>0</v>
      </c>
      <c r="UF33" s="241">
        <f t="shared" ca="1" si="576"/>
        <v>1</v>
      </c>
      <c r="UG33" s="220">
        <f t="shared" ca="1" si="474"/>
        <v>0</v>
      </c>
      <c r="UH33" s="220">
        <f t="shared" ca="1" si="475"/>
        <v>0</v>
      </c>
      <c r="UI33" s="235">
        <f t="shared" ca="1" si="476"/>
        <v>0</v>
      </c>
      <c r="UJ33" s="235">
        <f t="shared" ca="1" si="477"/>
        <v>0</v>
      </c>
      <c r="UK33" s="242">
        <f t="shared" ca="1" si="478"/>
        <v>0</v>
      </c>
      <c r="UL33" s="241">
        <f t="shared" ca="1" si="576"/>
        <v>1</v>
      </c>
      <c r="UM33" s="220">
        <f t="shared" ca="1" si="479"/>
        <v>0</v>
      </c>
      <c r="UN33" s="220">
        <f t="shared" ca="1" si="480"/>
        <v>0</v>
      </c>
      <c r="UO33" s="235">
        <f t="shared" ca="1" si="481"/>
        <v>0</v>
      </c>
      <c r="UP33" s="235">
        <f t="shared" ca="1" si="482"/>
        <v>0</v>
      </c>
      <c r="UQ33" s="242">
        <f t="shared" ca="1" si="483"/>
        <v>0</v>
      </c>
      <c r="UR33" s="241">
        <f t="shared" ca="1" si="576"/>
        <v>1</v>
      </c>
      <c r="US33" s="220">
        <f t="shared" ca="1" si="484"/>
        <v>0</v>
      </c>
      <c r="UT33" s="220">
        <f t="shared" ca="1" si="485"/>
        <v>0</v>
      </c>
      <c r="UU33" s="235">
        <f t="shared" ca="1" si="486"/>
        <v>0</v>
      </c>
      <c r="UV33" s="235">
        <f t="shared" ca="1" si="487"/>
        <v>0</v>
      </c>
      <c r="UW33" s="242">
        <f t="shared" ca="1" si="488"/>
        <v>0</v>
      </c>
      <c r="UX33" s="241">
        <f t="shared" ca="1" si="576"/>
        <v>1</v>
      </c>
      <c r="UY33" s="220">
        <f t="shared" ca="1" si="489"/>
        <v>0</v>
      </c>
      <c r="UZ33" s="220">
        <f t="shared" ca="1" si="490"/>
        <v>0</v>
      </c>
      <c r="VA33" s="235">
        <f t="shared" ca="1" si="491"/>
        <v>0</v>
      </c>
      <c r="VB33" s="235">
        <f t="shared" ca="1" si="492"/>
        <v>0</v>
      </c>
      <c r="VC33" s="242">
        <f t="shared" ca="1" si="493"/>
        <v>0</v>
      </c>
      <c r="VD33" s="241">
        <f t="shared" ca="1" si="574"/>
        <v>1</v>
      </c>
      <c r="VE33" s="220">
        <f t="shared" ca="1" si="494"/>
        <v>0</v>
      </c>
      <c r="VF33" s="220">
        <f t="shared" ca="1" si="495"/>
        <v>0</v>
      </c>
      <c r="VG33" s="235">
        <f t="shared" ca="1" si="496"/>
        <v>0</v>
      </c>
      <c r="VH33" s="235">
        <f t="shared" ca="1" si="497"/>
        <v>0</v>
      </c>
      <c r="VI33" s="242">
        <f t="shared" ca="1" si="498"/>
        <v>0</v>
      </c>
      <c r="VJ33" s="241">
        <f t="shared" ca="1" si="567"/>
        <v>1</v>
      </c>
      <c r="VK33" s="220">
        <f t="shared" ca="1" si="500"/>
        <v>0</v>
      </c>
      <c r="VL33" s="220">
        <f t="shared" ca="1" si="501"/>
        <v>0</v>
      </c>
      <c r="VM33" s="235">
        <f t="shared" ca="1" si="502"/>
        <v>0</v>
      </c>
      <c r="VN33" s="235">
        <f t="shared" ca="1" si="503"/>
        <v>0</v>
      </c>
      <c r="VO33" s="242">
        <f t="shared" ca="1" si="504"/>
        <v>0</v>
      </c>
      <c r="VP33" s="241">
        <f t="shared" ca="1" si="567"/>
        <v>1</v>
      </c>
      <c r="VQ33" s="220">
        <f t="shared" ca="1" si="505"/>
        <v>0</v>
      </c>
      <c r="VR33" s="220">
        <f t="shared" ca="1" si="506"/>
        <v>0</v>
      </c>
      <c r="VS33" s="235">
        <f t="shared" ca="1" si="507"/>
        <v>0</v>
      </c>
      <c r="VT33" s="235">
        <f t="shared" ca="1" si="508"/>
        <v>0</v>
      </c>
      <c r="VU33" s="242">
        <f t="shared" ca="1" si="509"/>
        <v>0</v>
      </c>
      <c r="VV33" s="241">
        <f t="shared" ca="1" si="499"/>
        <v>1</v>
      </c>
      <c r="VW33" s="220">
        <f t="shared" ca="1" si="510"/>
        <v>0</v>
      </c>
      <c r="VX33" s="220">
        <f t="shared" ca="1" si="511"/>
        <v>0</v>
      </c>
      <c r="VY33" s="235">
        <f t="shared" ca="1" si="512"/>
        <v>0</v>
      </c>
      <c r="VZ33" s="235">
        <f t="shared" ca="1" si="513"/>
        <v>0</v>
      </c>
      <c r="WA33" s="242">
        <f t="shared" ca="1" si="514"/>
        <v>0</v>
      </c>
      <c r="WB33" s="241">
        <f t="shared" ca="1" si="499"/>
        <v>1</v>
      </c>
      <c r="WC33" s="220">
        <f t="shared" ca="1" si="515"/>
        <v>0</v>
      </c>
      <c r="WD33" s="220">
        <f t="shared" ca="1" si="516"/>
        <v>0</v>
      </c>
      <c r="WE33" s="235">
        <f t="shared" ca="1" si="517"/>
        <v>0</v>
      </c>
      <c r="WF33" s="235">
        <f t="shared" ca="1" si="518"/>
        <v>0</v>
      </c>
      <c r="WG33" s="242">
        <f t="shared" ca="1" si="519"/>
        <v>0</v>
      </c>
      <c r="WH33" s="241">
        <f t="shared" ca="1" si="499"/>
        <v>1</v>
      </c>
      <c r="WI33" s="220">
        <f t="shared" ca="1" si="520"/>
        <v>0</v>
      </c>
      <c r="WJ33" s="220">
        <f t="shared" ca="1" si="521"/>
        <v>0</v>
      </c>
      <c r="WK33" s="235">
        <f t="shared" ca="1" si="522"/>
        <v>0</v>
      </c>
      <c r="WL33" s="235">
        <f t="shared" ca="1" si="523"/>
        <v>0</v>
      </c>
      <c r="WM33" s="242">
        <f t="shared" ca="1" si="524"/>
        <v>0</v>
      </c>
      <c r="WN33" s="241">
        <f t="shared" ca="1" si="499"/>
        <v>1</v>
      </c>
      <c r="WO33" s="220">
        <f t="shared" ca="1" si="525"/>
        <v>0</v>
      </c>
      <c r="WP33" s="220">
        <f t="shared" ca="1" si="526"/>
        <v>0</v>
      </c>
      <c r="WQ33" s="235">
        <f t="shared" ca="1" si="527"/>
        <v>0</v>
      </c>
      <c r="WR33" s="235">
        <f t="shared" ca="1" si="528"/>
        <v>0</v>
      </c>
      <c r="WS33" s="242">
        <f t="shared" ca="1" si="529"/>
        <v>0</v>
      </c>
      <c r="WT33" s="241">
        <f t="shared" ca="1" si="499"/>
        <v>1</v>
      </c>
      <c r="WU33" s="220">
        <f t="shared" ca="1" si="530"/>
        <v>0</v>
      </c>
      <c r="WV33" s="220">
        <f t="shared" ca="1" si="531"/>
        <v>0</v>
      </c>
      <c r="WW33" s="235">
        <f t="shared" ca="1" si="532"/>
        <v>0</v>
      </c>
      <c r="WX33" s="235">
        <f t="shared" ca="1" si="533"/>
        <v>0</v>
      </c>
      <c r="WY33" s="242">
        <f t="shared" ca="1" si="534"/>
        <v>0</v>
      </c>
      <c r="WZ33" s="241">
        <f t="shared" ca="1" si="499"/>
        <v>1</v>
      </c>
      <c r="XA33" s="220">
        <f t="shared" ca="1" si="535"/>
        <v>0</v>
      </c>
      <c r="XB33" s="220">
        <f t="shared" ca="1" si="536"/>
        <v>0</v>
      </c>
      <c r="XC33" s="235">
        <f t="shared" ca="1" si="537"/>
        <v>0</v>
      </c>
      <c r="XD33" s="235">
        <f t="shared" ca="1" si="538"/>
        <v>0</v>
      </c>
      <c r="XE33" s="242">
        <f t="shared" ca="1" si="539"/>
        <v>0</v>
      </c>
      <c r="XF33" s="241">
        <f t="shared" ca="1" si="499"/>
        <v>1</v>
      </c>
      <c r="XG33" s="220">
        <f t="shared" ca="1" si="540"/>
        <v>0</v>
      </c>
      <c r="XH33" s="220">
        <f t="shared" ca="1" si="541"/>
        <v>0</v>
      </c>
      <c r="XI33" s="235">
        <f t="shared" ca="1" si="542"/>
        <v>0</v>
      </c>
      <c r="XJ33" s="235">
        <f t="shared" ca="1" si="543"/>
        <v>0</v>
      </c>
      <c r="XK33" s="242">
        <f t="shared" ca="1" si="544"/>
        <v>0</v>
      </c>
    </row>
    <row r="34" spans="2:635" x14ac:dyDescent="0.25">
      <c r="B34" s="65">
        <f t="shared" ca="1" si="14"/>
        <v>2049</v>
      </c>
      <c r="C34" s="65" t="s">
        <v>741</v>
      </c>
      <c r="D34" s="77">
        <f t="shared" si="15"/>
        <v>0</v>
      </c>
      <c r="E34" s="77">
        <f t="shared" si="16"/>
        <v>0</v>
      </c>
      <c r="F34" s="77">
        <f t="shared" si="17"/>
        <v>0</v>
      </c>
      <c r="G34" s="77">
        <f t="shared" si="18"/>
        <v>0</v>
      </c>
      <c r="H34" s="15" t="e">
        <f t="shared" ca="1" si="19"/>
        <v>#REF!</v>
      </c>
      <c r="L34" s="326">
        <f t="shared" ca="1" si="20"/>
        <v>3.5000000000000003E-2</v>
      </c>
      <c r="M34" s="327">
        <f t="shared" ca="1" si="21"/>
        <v>3.5000000000000003E-2</v>
      </c>
      <c r="N34" s="322">
        <f t="shared" ca="1" si="22"/>
        <v>-26</v>
      </c>
      <c r="O34" s="322">
        <f t="shared" ca="1" si="23"/>
        <v>0</v>
      </c>
      <c r="P34" s="328">
        <f t="shared" ca="1" si="545"/>
        <v>0</v>
      </c>
      <c r="Q34" s="328">
        <f t="shared" ca="1" si="546"/>
        <v>0</v>
      </c>
      <c r="R34" s="328">
        <f t="shared" ca="1" si="547"/>
        <v>0</v>
      </c>
      <c r="S34" s="329">
        <f t="shared" ca="1" si="24"/>
        <v>0</v>
      </c>
      <c r="T34" s="329">
        <f t="shared" ca="1" si="25"/>
        <v>0</v>
      </c>
      <c r="U34" s="329">
        <f t="shared" ca="1" si="26"/>
        <v>0</v>
      </c>
      <c r="V34" s="320" t="e">
        <f t="shared" ca="1" si="27"/>
        <v>#REF!</v>
      </c>
      <c r="W34" s="320" t="e">
        <f t="shared" ca="1" si="560"/>
        <v>#REF!</v>
      </c>
      <c r="X34" s="320" t="e">
        <f t="shared" ca="1" si="29"/>
        <v>#REF!</v>
      </c>
      <c r="Y34" s="320" t="e">
        <f ca="1">INDEX(SC_ZA_HECMLumpSum,ZAIDX)</f>
        <v>#REF!</v>
      </c>
      <c r="Z34" s="320" t="e">
        <f t="shared" ca="1" si="30"/>
        <v>#REF!</v>
      </c>
      <c r="AA34" s="320">
        <f t="shared" ca="1" si="557"/>
        <v>0</v>
      </c>
      <c r="AB34" s="320" t="e">
        <f t="shared" ca="1" si="558"/>
        <v>#REF!</v>
      </c>
      <c r="AC34" s="330" t="e">
        <f t="shared" ca="1" si="559"/>
        <v>#REF!</v>
      </c>
      <c r="AD34" s="236" t="e">
        <f t="shared" ca="1" si="548"/>
        <v>#REF!</v>
      </c>
      <c r="AE34" s="320" t="e">
        <f t="shared" ca="1" si="561"/>
        <v>#REF!</v>
      </c>
      <c r="AF34" s="320" t="e">
        <f t="shared" ca="1" si="35"/>
        <v>#REF!</v>
      </c>
      <c r="AG34" s="320" t="e">
        <f t="shared" ca="1" si="549"/>
        <v>#REF!</v>
      </c>
      <c r="AH34" s="284" t="e">
        <f t="shared" ca="1" si="550"/>
        <v>#REF!</v>
      </c>
      <c r="AI34" s="318" t="e">
        <f t="shared" ca="1" si="551"/>
        <v>#REF!</v>
      </c>
      <c r="AJ34" s="331">
        <f t="shared" ca="1" si="575"/>
        <v>1</v>
      </c>
      <c r="AK34" s="220">
        <f t="shared" ca="1" si="553"/>
        <v>0</v>
      </c>
      <c r="AL34" s="220">
        <f t="shared" ca="1" si="37"/>
        <v>0</v>
      </c>
      <c r="AM34" s="235">
        <f t="shared" ca="1" si="554"/>
        <v>0</v>
      </c>
      <c r="AN34" s="235">
        <f t="shared" ca="1" si="555"/>
        <v>0</v>
      </c>
      <c r="AO34" s="242">
        <f t="shared" ca="1" si="556"/>
        <v>0</v>
      </c>
      <c r="AP34" s="241">
        <f t="shared" ca="1" si="575"/>
        <v>1</v>
      </c>
      <c r="AQ34" s="220">
        <f t="shared" ca="1" si="41"/>
        <v>0</v>
      </c>
      <c r="AR34" s="220">
        <f t="shared" ca="1" si="42"/>
        <v>0</v>
      </c>
      <c r="AS34" s="235">
        <f t="shared" ca="1" si="43"/>
        <v>0</v>
      </c>
      <c r="AT34" s="235">
        <f t="shared" ca="1" si="44"/>
        <v>0</v>
      </c>
      <c r="AU34" s="242">
        <f t="shared" ca="1" si="45"/>
        <v>0</v>
      </c>
      <c r="AV34" s="241">
        <f t="shared" ca="1" si="575"/>
        <v>1</v>
      </c>
      <c r="AW34" s="220">
        <f t="shared" ca="1" si="46"/>
        <v>0</v>
      </c>
      <c r="AX34" s="220">
        <f t="shared" ca="1" si="47"/>
        <v>0</v>
      </c>
      <c r="AY34" s="235">
        <f t="shared" ca="1" si="48"/>
        <v>0</v>
      </c>
      <c r="AZ34" s="235">
        <f t="shared" ca="1" si="49"/>
        <v>0</v>
      </c>
      <c r="BA34" s="242">
        <f t="shared" ca="1" si="50"/>
        <v>0</v>
      </c>
      <c r="BB34" s="241">
        <f t="shared" ca="1" si="575"/>
        <v>1</v>
      </c>
      <c r="BC34" s="220">
        <f t="shared" ca="1" si="52"/>
        <v>0</v>
      </c>
      <c r="BD34" s="220">
        <f t="shared" ca="1" si="53"/>
        <v>0</v>
      </c>
      <c r="BE34" s="235">
        <f t="shared" ca="1" si="54"/>
        <v>0</v>
      </c>
      <c r="BF34" s="235">
        <f t="shared" ca="1" si="55"/>
        <v>0</v>
      </c>
      <c r="BG34" s="242">
        <f t="shared" ca="1" si="56"/>
        <v>0</v>
      </c>
      <c r="BH34" s="241">
        <f t="shared" ca="1" si="575"/>
        <v>1</v>
      </c>
      <c r="BI34" s="220">
        <f t="shared" ca="1" si="57"/>
        <v>0</v>
      </c>
      <c r="BJ34" s="220">
        <f t="shared" ca="1" si="58"/>
        <v>0</v>
      </c>
      <c r="BK34" s="235">
        <f t="shared" ca="1" si="59"/>
        <v>0</v>
      </c>
      <c r="BL34" s="235">
        <f t="shared" ca="1" si="60"/>
        <v>0</v>
      </c>
      <c r="BM34" s="242">
        <f t="shared" ca="1" si="61"/>
        <v>0</v>
      </c>
      <c r="BN34" s="241">
        <f t="shared" ca="1" si="575"/>
        <v>1</v>
      </c>
      <c r="BO34" s="220">
        <f t="shared" ca="1" si="62"/>
        <v>0</v>
      </c>
      <c r="BP34" s="220">
        <f t="shared" ca="1" si="63"/>
        <v>0</v>
      </c>
      <c r="BQ34" s="235">
        <f t="shared" ca="1" si="64"/>
        <v>0</v>
      </c>
      <c r="BR34" s="235">
        <f t="shared" ca="1" si="65"/>
        <v>0</v>
      </c>
      <c r="BS34" s="242">
        <f t="shared" ca="1" si="66"/>
        <v>0</v>
      </c>
      <c r="BT34" s="241">
        <f t="shared" ca="1" si="575"/>
        <v>1</v>
      </c>
      <c r="BU34" s="220">
        <f t="shared" ca="1" si="67"/>
        <v>0</v>
      </c>
      <c r="BV34" s="220">
        <f t="shared" ca="1" si="68"/>
        <v>0</v>
      </c>
      <c r="BW34" s="235">
        <f t="shared" ca="1" si="69"/>
        <v>0</v>
      </c>
      <c r="BX34" s="235">
        <f t="shared" ca="1" si="70"/>
        <v>0</v>
      </c>
      <c r="BY34" s="242">
        <f t="shared" ca="1" si="71"/>
        <v>0</v>
      </c>
      <c r="BZ34" s="241">
        <f t="shared" ca="1" si="575"/>
        <v>1</v>
      </c>
      <c r="CA34" s="220">
        <f t="shared" ca="1" si="72"/>
        <v>0</v>
      </c>
      <c r="CB34" s="220">
        <f t="shared" ca="1" si="73"/>
        <v>0</v>
      </c>
      <c r="CC34" s="235">
        <f t="shared" ca="1" si="74"/>
        <v>0</v>
      </c>
      <c r="CD34" s="235">
        <f t="shared" ca="1" si="75"/>
        <v>0</v>
      </c>
      <c r="CE34" s="242">
        <f t="shared" ca="1" si="76"/>
        <v>0</v>
      </c>
      <c r="CF34" s="241">
        <f t="shared" ca="1" si="575"/>
        <v>1</v>
      </c>
      <c r="CG34" s="220">
        <f t="shared" ca="1" si="77"/>
        <v>0</v>
      </c>
      <c r="CH34" s="220">
        <f t="shared" ca="1" si="78"/>
        <v>0</v>
      </c>
      <c r="CI34" s="235">
        <f t="shared" ca="1" si="79"/>
        <v>0</v>
      </c>
      <c r="CJ34" s="235">
        <f t="shared" ca="1" si="80"/>
        <v>0</v>
      </c>
      <c r="CK34" s="242">
        <f t="shared" ca="1" si="81"/>
        <v>0</v>
      </c>
      <c r="CL34" s="241">
        <f t="shared" ca="1" si="575"/>
        <v>1</v>
      </c>
      <c r="CM34" s="220">
        <f t="shared" ca="1" si="82"/>
        <v>0</v>
      </c>
      <c r="CN34" s="220">
        <f t="shared" ca="1" si="83"/>
        <v>0</v>
      </c>
      <c r="CO34" s="235">
        <f t="shared" ca="1" si="84"/>
        <v>0</v>
      </c>
      <c r="CP34" s="235">
        <f t="shared" ca="1" si="85"/>
        <v>0</v>
      </c>
      <c r="CQ34" s="242">
        <f t="shared" ca="1" si="86"/>
        <v>0</v>
      </c>
      <c r="CR34" s="241">
        <f t="shared" ca="1" si="575"/>
        <v>1</v>
      </c>
      <c r="CS34" s="220">
        <f t="shared" ca="1" si="87"/>
        <v>0</v>
      </c>
      <c r="CT34" s="220">
        <f t="shared" ca="1" si="88"/>
        <v>0</v>
      </c>
      <c r="CU34" s="235">
        <f t="shared" ca="1" si="89"/>
        <v>0</v>
      </c>
      <c r="CV34" s="235">
        <f t="shared" ca="1" si="90"/>
        <v>0</v>
      </c>
      <c r="CW34" s="242">
        <f t="shared" ca="1" si="91"/>
        <v>0</v>
      </c>
      <c r="CX34" s="241">
        <f t="shared" ca="1" si="568"/>
        <v>1</v>
      </c>
      <c r="CY34" s="220">
        <f t="shared" ca="1" si="92"/>
        <v>0</v>
      </c>
      <c r="CZ34" s="220">
        <f t="shared" ca="1" si="93"/>
        <v>0</v>
      </c>
      <c r="DA34" s="235">
        <f t="shared" ca="1" si="94"/>
        <v>0</v>
      </c>
      <c r="DB34" s="235">
        <f t="shared" ca="1" si="95"/>
        <v>0</v>
      </c>
      <c r="DC34" s="242">
        <f t="shared" ca="1" si="96"/>
        <v>0</v>
      </c>
      <c r="DD34" s="241">
        <f t="shared" ca="1" si="568"/>
        <v>1</v>
      </c>
      <c r="DE34" s="220">
        <f t="shared" ca="1" si="97"/>
        <v>0</v>
      </c>
      <c r="DF34" s="220">
        <f t="shared" ca="1" si="98"/>
        <v>0</v>
      </c>
      <c r="DG34" s="235">
        <f t="shared" ca="1" si="99"/>
        <v>0</v>
      </c>
      <c r="DH34" s="235">
        <f t="shared" ca="1" si="100"/>
        <v>0</v>
      </c>
      <c r="DI34" s="242">
        <f t="shared" ca="1" si="101"/>
        <v>0</v>
      </c>
      <c r="DJ34" s="241">
        <f t="shared" ca="1" si="51"/>
        <v>1</v>
      </c>
      <c r="DK34" s="220">
        <f t="shared" ca="1" si="102"/>
        <v>0</v>
      </c>
      <c r="DL34" s="220">
        <f t="shared" ca="1" si="103"/>
        <v>0</v>
      </c>
      <c r="DM34" s="235">
        <f t="shared" ca="1" si="104"/>
        <v>0</v>
      </c>
      <c r="DN34" s="235">
        <f t="shared" ca="1" si="105"/>
        <v>0</v>
      </c>
      <c r="DO34" s="242">
        <f t="shared" ca="1" si="106"/>
        <v>0</v>
      </c>
      <c r="DP34" s="241">
        <f t="shared" ca="1" si="569"/>
        <v>1</v>
      </c>
      <c r="DQ34" s="220">
        <f t="shared" ca="1" si="108"/>
        <v>0</v>
      </c>
      <c r="DR34" s="220">
        <f t="shared" ca="1" si="109"/>
        <v>0</v>
      </c>
      <c r="DS34" s="235">
        <f t="shared" ca="1" si="110"/>
        <v>0</v>
      </c>
      <c r="DT34" s="235">
        <f t="shared" ca="1" si="111"/>
        <v>0</v>
      </c>
      <c r="DU34" s="242">
        <f t="shared" ca="1" si="112"/>
        <v>0</v>
      </c>
      <c r="DV34" s="241">
        <f t="shared" ca="1" si="569"/>
        <v>1</v>
      </c>
      <c r="DW34" s="220">
        <f t="shared" ca="1" si="113"/>
        <v>0</v>
      </c>
      <c r="DX34" s="220">
        <f t="shared" ca="1" si="114"/>
        <v>0</v>
      </c>
      <c r="DY34" s="235">
        <f t="shared" ca="1" si="115"/>
        <v>0</v>
      </c>
      <c r="DZ34" s="235">
        <f t="shared" ca="1" si="116"/>
        <v>0</v>
      </c>
      <c r="EA34" s="242">
        <f t="shared" ca="1" si="117"/>
        <v>0</v>
      </c>
      <c r="EB34" s="241">
        <f t="shared" ca="1" si="569"/>
        <v>1</v>
      </c>
      <c r="EC34" s="220">
        <f t="shared" ca="1" si="118"/>
        <v>0</v>
      </c>
      <c r="ED34" s="220">
        <f t="shared" ca="1" si="119"/>
        <v>0</v>
      </c>
      <c r="EE34" s="235">
        <f t="shared" ca="1" si="120"/>
        <v>0</v>
      </c>
      <c r="EF34" s="235">
        <f t="shared" ca="1" si="121"/>
        <v>0</v>
      </c>
      <c r="EG34" s="242">
        <f t="shared" ca="1" si="122"/>
        <v>0</v>
      </c>
      <c r="EH34" s="241">
        <f t="shared" ca="1" si="569"/>
        <v>1</v>
      </c>
      <c r="EI34" s="220">
        <f t="shared" ca="1" si="123"/>
        <v>0</v>
      </c>
      <c r="EJ34" s="220">
        <f t="shared" ca="1" si="124"/>
        <v>0</v>
      </c>
      <c r="EK34" s="235">
        <f t="shared" ca="1" si="125"/>
        <v>0</v>
      </c>
      <c r="EL34" s="235">
        <f t="shared" ca="1" si="126"/>
        <v>0</v>
      </c>
      <c r="EM34" s="242">
        <f t="shared" ca="1" si="127"/>
        <v>0</v>
      </c>
      <c r="EN34" s="241">
        <f t="shared" ca="1" si="569"/>
        <v>1</v>
      </c>
      <c r="EO34" s="220">
        <f t="shared" ca="1" si="128"/>
        <v>0</v>
      </c>
      <c r="EP34" s="220">
        <f t="shared" ca="1" si="129"/>
        <v>0</v>
      </c>
      <c r="EQ34" s="235">
        <f t="shared" ca="1" si="130"/>
        <v>0</v>
      </c>
      <c r="ER34" s="235">
        <f t="shared" ca="1" si="131"/>
        <v>0</v>
      </c>
      <c r="ES34" s="242">
        <f t="shared" ca="1" si="132"/>
        <v>0</v>
      </c>
      <c r="ET34" s="241">
        <f t="shared" ca="1" si="569"/>
        <v>1</v>
      </c>
      <c r="EU34" s="220">
        <f t="shared" ca="1" si="133"/>
        <v>0</v>
      </c>
      <c r="EV34" s="220">
        <f t="shared" ca="1" si="134"/>
        <v>0</v>
      </c>
      <c r="EW34" s="235">
        <f t="shared" ca="1" si="135"/>
        <v>0</v>
      </c>
      <c r="EX34" s="235">
        <f t="shared" ca="1" si="136"/>
        <v>0</v>
      </c>
      <c r="EY34" s="242">
        <f t="shared" ca="1" si="137"/>
        <v>0</v>
      </c>
      <c r="EZ34" s="241">
        <f t="shared" ca="1" si="569"/>
        <v>1</v>
      </c>
      <c r="FA34" s="220">
        <f t="shared" ca="1" si="138"/>
        <v>0</v>
      </c>
      <c r="FB34" s="220">
        <f t="shared" ca="1" si="139"/>
        <v>0</v>
      </c>
      <c r="FC34" s="235">
        <f t="shared" ca="1" si="140"/>
        <v>0</v>
      </c>
      <c r="FD34" s="235">
        <f t="shared" ca="1" si="141"/>
        <v>0</v>
      </c>
      <c r="FE34" s="242">
        <f t="shared" ca="1" si="142"/>
        <v>0</v>
      </c>
      <c r="FF34" s="241">
        <f t="shared" ca="1" si="569"/>
        <v>1</v>
      </c>
      <c r="FG34" s="220">
        <f t="shared" ca="1" si="143"/>
        <v>0</v>
      </c>
      <c r="FH34" s="220">
        <f t="shared" ca="1" si="144"/>
        <v>0</v>
      </c>
      <c r="FI34" s="235">
        <f t="shared" ca="1" si="145"/>
        <v>0</v>
      </c>
      <c r="FJ34" s="235">
        <f t="shared" ca="1" si="146"/>
        <v>0</v>
      </c>
      <c r="FK34" s="242">
        <f t="shared" ca="1" si="147"/>
        <v>0</v>
      </c>
      <c r="FL34" s="241">
        <f t="shared" ca="1" si="569"/>
        <v>1</v>
      </c>
      <c r="FM34" s="220">
        <f t="shared" ca="1" si="148"/>
        <v>0</v>
      </c>
      <c r="FN34" s="220">
        <f t="shared" ca="1" si="149"/>
        <v>0</v>
      </c>
      <c r="FO34" s="235">
        <f t="shared" ca="1" si="150"/>
        <v>0</v>
      </c>
      <c r="FP34" s="235">
        <f t="shared" ca="1" si="151"/>
        <v>0</v>
      </c>
      <c r="FQ34" s="242">
        <f t="shared" ca="1" si="152"/>
        <v>0</v>
      </c>
      <c r="FR34" s="241">
        <f t="shared" ca="1" si="569"/>
        <v>1</v>
      </c>
      <c r="FS34" s="220">
        <f t="shared" ca="1" si="153"/>
        <v>0</v>
      </c>
      <c r="FT34" s="220">
        <f t="shared" ca="1" si="154"/>
        <v>0</v>
      </c>
      <c r="FU34" s="235">
        <f t="shared" ca="1" si="155"/>
        <v>0</v>
      </c>
      <c r="FV34" s="235">
        <f t="shared" ca="1" si="156"/>
        <v>0</v>
      </c>
      <c r="FW34" s="242">
        <f t="shared" ca="1" si="157"/>
        <v>0</v>
      </c>
      <c r="FX34" s="241">
        <f t="shared" ca="1" si="569"/>
        <v>1</v>
      </c>
      <c r="FY34" s="220">
        <f t="shared" ca="1" si="158"/>
        <v>0</v>
      </c>
      <c r="FZ34" s="220">
        <f t="shared" ca="1" si="159"/>
        <v>0</v>
      </c>
      <c r="GA34" s="235">
        <f t="shared" ca="1" si="160"/>
        <v>0</v>
      </c>
      <c r="GB34" s="235">
        <f t="shared" ca="1" si="161"/>
        <v>0</v>
      </c>
      <c r="GC34" s="242">
        <f t="shared" ca="1" si="162"/>
        <v>0</v>
      </c>
      <c r="GD34" s="241">
        <f t="shared" ca="1" si="562"/>
        <v>1</v>
      </c>
      <c r="GE34" s="220">
        <f t="shared" ca="1" si="164"/>
        <v>0</v>
      </c>
      <c r="GF34" s="220">
        <f t="shared" ca="1" si="165"/>
        <v>0</v>
      </c>
      <c r="GG34" s="235">
        <f t="shared" ca="1" si="166"/>
        <v>0</v>
      </c>
      <c r="GH34" s="235">
        <f t="shared" ca="1" si="167"/>
        <v>0</v>
      </c>
      <c r="GI34" s="242">
        <f t="shared" ca="1" si="168"/>
        <v>0</v>
      </c>
      <c r="GJ34" s="241">
        <f t="shared" ca="1" si="562"/>
        <v>1</v>
      </c>
      <c r="GK34" s="220">
        <f t="shared" ca="1" si="169"/>
        <v>0</v>
      </c>
      <c r="GL34" s="220">
        <f t="shared" ca="1" si="170"/>
        <v>0</v>
      </c>
      <c r="GM34" s="235">
        <f t="shared" ca="1" si="171"/>
        <v>0</v>
      </c>
      <c r="GN34" s="235">
        <f t="shared" ca="1" si="172"/>
        <v>0</v>
      </c>
      <c r="GO34" s="242">
        <f t="shared" ca="1" si="173"/>
        <v>0</v>
      </c>
      <c r="GP34" s="241">
        <f t="shared" ca="1" si="570"/>
        <v>1</v>
      </c>
      <c r="GQ34" s="220">
        <f t="shared" ca="1" si="174"/>
        <v>0</v>
      </c>
      <c r="GR34" s="220">
        <f t="shared" ca="1" si="175"/>
        <v>0</v>
      </c>
      <c r="GS34" s="235">
        <f t="shared" ca="1" si="176"/>
        <v>0</v>
      </c>
      <c r="GT34" s="235">
        <f t="shared" ca="1" si="177"/>
        <v>0</v>
      </c>
      <c r="GU34" s="242">
        <f t="shared" ca="1" si="178"/>
        <v>0</v>
      </c>
      <c r="GV34" s="241">
        <f t="shared" ca="1" si="570"/>
        <v>1</v>
      </c>
      <c r="GW34" s="220">
        <f t="shared" ca="1" si="179"/>
        <v>0</v>
      </c>
      <c r="GX34" s="220">
        <f t="shared" ca="1" si="180"/>
        <v>0</v>
      </c>
      <c r="GY34" s="235">
        <f t="shared" ca="1" si="181"/>
        <v>0</v>
      </c>
      <c r="GZ34" s="235">
        <f t="shared" ca="1" si="182"/>
        <v>0</v>
      </c>
      <c r="HA34" s="242">
        <f t="shared" ca="1" si="183"/>
        <v>0</v>
      </c>
      <c r="HB34" s="241">
        <f t="shared" ca="1" si="570"/>
        <v>1</v>
      </c>
      <c r="HC34" s="220">
        <f t="shared" ca="1" si="184"/>
        <v>0</v>
      </c>
      <c r="HD34" s="220">
        <f t="shared" ca="1" si="185"/>
        <v>0</v>
      </c>
      <c r="HE34" s="235">
        <f t="shared" ca="1" si="186"/>
        <v>0</v>
      </c>
      <c r="HF34" s="235">
        <f t="shared" ca="1" si="187"/>
        <v>0</v>
      </c>
      <c r="HG34" s="242">
        <f t="shared" ca="1" si="188"/>
        <v>0</v>
      </c>
      <c r="HH34" s="241">
        <f t="shared" ca="1" si="570"/>
        <v>1</v>
      </c>
      <c r="HI34" s="220">
        <f t="shared" ca="1" si="189"/>
        <v>0</v>
      </c>
      <c r="HJ34" s="220">
        <f t="shared" ca="1" si="190"/>
        <v>0</v>
      </c>
      <c r="HK34" s="235">
        <f t="shared" ca="1" si="191"/>
        <v>0</v>
      </c>
      <c r="HL34" s="235">
        <f t="shared" ca="1" si="192"/>
        <v>0</v>
      </c>
      <c r="HM34" s="242">
        <f t="shared" ca="1" si="193"/>
        <v>0</v>
      </c>
      <c r="HN34" s="241">
        <f t="shared" ca="1" si="570"/>
        <v>1</v>
      </c>
      <c r="HO34" s="220">
        <f t="shared" ca="1" si="194"/>
        <v>0</v>
      </c>
      <c r="HP34" s="220">
        <f t="shared" ca="1" si="195"/>
        <v>0</v>
      </c>
      <c r="HQ34" s="235">
        <f t="shared" ca="1" si="196"/>
        <v>0</v>
      </c>
      <c r="HR34" s="235">
        <f t="shared" ca="1" si="197"/>
        <v>0</v>
      </c>
      <c r="HS34" s="242">
        <f t="shared" ca="1" si="198"/>
        <v>0</v>
      </c>
      <c r="HT34" s="241">
        <f t="shared" ca="1" si="570"/>
        <v>1</v>
      </c>
      <c r="HU34" s="220">
        <f t="shared" ca="1" si="199"/>
        <v>0</v>
      </c>
      <c r="HV34" s="220">
        <f t="shared" ca="1" si="200"/>
        <v>0</v>
      </c>
      <c r="HW34" s="235">
        <f t="shared" ca="1" si="201"/>
        <v>0</v>
      </c>
      <c r="HX34" s="235">
        <f t="shared" ca="1" si="202"/>
        <v>0</v>
      </c>
      <c r="HY34" s="242">
        <f t="shared" ca="1" si="203"/>
        <v>0</v>
      </c>
      <c r="HZ34" s="241">
        <f t="shared" ca="1" si="570"/>
        <v>1</v>
      </c>
      <c r="IA34" s="220">
        <f t="shared" ca="1" si="204"/>
        <v>0</v>
      </c>
      <c r="IB34" s="220">
        <f t="shared" ca="1" si="205"/>
        <v>0</v>
      </c>
      <c r="IC34" s="235">
        <f t="shared" ca="1" si="206"/>
        <v>0</v>
      </c>
      <c r="ID34" s="235">
        <f t="shared" ca="1" si="207"/>
        <v>0</v>
      </c>
      <c r="IE34" s="242">
        <f t="shared" ca="1" si="208"/>
        <v>0</v>
      </c>
      <c r="IF34" s="241">
        <f t="shared" ca="1" si="570"/>
        <v>1</v>
      </c>
      <c r="IG34" s="220">
        <f t="shared" ca="1" si="209"/>
        <v>0</v>
      </c>
      <c r="IH34" s="220">
        <f t="shared" ca="1" si="210"/>
        <v>0</v>
      </c>
      <c r="II34" s="235">
        <f t="shared" ca="1" si="211"/>
        <v>0</v>
      </c>
      <c r="IJ34" s="235">
        <f t="shared" ca="1" si="212"/>
        <v>0</v>
      </c>
      <c r="IK34" s="242">
        <f t="shared" ca="1" si="213"/>
        <v>0</v>
      </c>
      <c r="IL34" s="241">
        <f t="shared" ca="1" si="570"/>
        <v>1</v>
      </c>
      <c r="IM34" s="220">
        <f t="shared" ca="1" si="214"/>
        <v>0</v>
      </c>
      <c r="IN34" s="220">
        <f t="shared" ca="1" si="215"/>
        <v>0</v>
      </c>
      <c r="IO34" s="235">
        <f t="shared" ca="1" si="216"/>
        <v>0</v>
      </c>
      <c r="IP34" s="235">
        <f t="shared" ca="1" si="217"/>
        <v>0</v>
      </c>
      <c r="IQ34" s="242">
        <f t="shared" ca="1" si="218"/>
        <v>0</v>
      </c>
      <c r="IR34" s="241">
        <f t="shared" ca="1" si="570"/>
        <v>1</v>
      </c>
      <c r="IS34" s="220">
        <f t="shared" ca="1" si="220"/>
        <v>0</v>
      </c>
      <c r="IT34" s="220">
        <f t="shared" ca="1" si="221"/>
        <v>0</v>
      </c>
      <c r="IU34" s="235">
        <f t="shared" ca="1" si="222"/>
        <v>0</v>
      </c>
      <c r="IV34" s="235">
        <f t="shared" ca="1" si="223"/>
        <v>0</v>
      </c>
      <c r="IW34" s="242">
        <f t="shared" ca="1" si="224"/>
        <v>0</v>
      </c>
      <c r="IX34" s="241">
        <f t="shared" ca="1" si="570"/>
        <v>1</v>
      </c>
      <c r="IY34" s="220">
        <f t="shared" ca="1" si="225"/>
        <v>0</v>
      </c>
      <c r="IZ34" s="220">
        <f t="shared" ca="1" si="226"/>
        <v>0</v>
      </c>
      <c r="JA34" s="235">
        <f t="shared" ca="1" si="227"/>
        <v>0</v>
      </c>
      <c r="JB34" s="235">
        <f t="shared" ca="1" si="228"/>
        <v>0</v>
      </c>
      <c r="JC34" s="242">
        <f t="shared" ca="1" si="229"/>
        <v>0</v>
      </c>
      <c r="JD34" s="241">
        <f t="shared" ca="1" si="563"/>
        <v>1</v>
      </c>
      <c r="JE34" s="220">
        <f t="shared" ca="1" si="230"/>
        <v>0</v>
      </c>
      <c r="JF34" s="220">
        <f t="shared" ca="1" si="231"/>
        <v>0</v>
      </c>
      <c r="JG34" s="235">
        <f t="shared" ca="1" si="232"/>
        <v>0</v>
      </c>
      <c r="JH34" s="235">
        <f t="shared" ca="1" si="233"/>
        <v>0</v>
      </c>
      <c r="JI34" s="242">
        <f t="shared" ca="1" si="234"/>
        <v>0</v>
      </c>
      <c r="JJ34" s="241">
        <f t="shared" ca="1" si="563"/>
        <v>1</v>
      </c>
      <c r="JK34" s="220">
        <f t="shared" ca="1" si="235"/>
        <v>0</v>
      </c>
      <c r="JL34" s="220">
        <f t="shared" ca="1" si="236"/>
        <v>0</v>
      </c>
      <c r="JM34" s="235">
        <f t="shared" ca="1" si="237"/>
        <v>0</v>
      </c>
      <c r="JN34" s="235">
        <f t="shared" ca="1" si="238"/>
        <v>0</v>
      </c>
      <c r="JO34" s="242">
        <f t="shared" ca="1" si="239"/>
        <v>0</v>
      </c>
      <c r="JP34" s="241">
        <f t="shared" ca="1" si="571"/>
        <v>1</v>
      </c>
      <c r="JQ34" s="220">
        <f t="shared" ca="1" si="240"/>
        <v>0</v>
      </c>
      <c r="JR34" s="220">
        <f t="shared" ca="1" si="241"/>
        <v>0</v>
      </c>
      <c r="JS34" s="235">
        <f t="shared" ca="1" si="242"/>
        <v>0</v>
      </c>
      <c r="JT34" s="235">
        <f t="shared" ca="1" si="243"/>
        <v>0</v>
      </c>
      <c r="JU34" s="242">
        <f t="shared" ca="1" si="244"/>
        <v>0</v>
      </c>
      <c r="JV34" s="241">
        <f t="shared" ca="1" si="571"/>
        <v>1</v>
      </c>
      <c r="JW34" s="220">
        <f t="shared" ca="1" si="245"/>
        <v>0</v>
      </c>
      <c r="JX34" s="220">
        <f t="shared" ca="1" si="246"/>
        <v>0</v>
      </c>
      <c r="JY34" s="235">
        <f t="shared" ca="1" si="247"/>
        <v>0</v>
      </c>
      <c r="JZ34" s="235">
        <f t="shared" ca="1" si="248"/>
        <v>0</v>
      </c>
      <c r="KA34" s="242">
        <f t="shared" ca="1" si="249"/>
        <v>0</v>
      </c>
      <c r="KB34" s="241">
        <f t="shared" ca="1" si="571"/>
        <v>1</v>
      </c>
      <c r="KC34" s="220">
        <f t="shared" ca="1" si="250"/>
        <v>0</v>
      </c>
      <c r="KD34" s="220">
        <f t="shared" ca="1" si="251"/>
        <v>0</v>
      </c>
      <c r="KE34" s="235">
        <f t="shared" ca="1" si="252"/>
        <v>0</v>
      </c>
      <c r="KF34" s="235">
        <f t="shared" ca="1" si="253"/>
        <v>0</v>
      </c>
      <c r="KG34" s="242">
        <f t="shared" ca="1" si="254"/>
        <v>0</v>
      </c>
      <c r="KH34" s="241">
        <f t="shared" ca="1" si="571"/>
        <v>1</v>
      </c>
      <c r="KI34" s="220">
        <f t="shared" ca="1" si="255"/>
        <v>0</v>
      </c>
      <c r="KJ34" s="220">
        <f t="shared" ca="1" si="256"/>
        <v>0</v>
      </c>
      <c r="KK34" s="235">
        <f t="shared" ca="1" si="257"/>
        <v>0</v>
      </c>
      <c r="KL34" s="235">
        <f t="shared" ca="1" si="258"/>
        <v>0</v>
      </c>
      <c r="KM34" s="242">
        <f t="shared" ca="1" si="259"/>
        <v>0</v>
      </c>
      <c r="KN34" s="241">
        <f t="shared" ca="1" si="571"/>
        <v>1</v>
      </c>
      <c r="KO34" s="220">
        <f t="shared" ca="1" si="260"/>
        <v>0</v>
      </c>
      <c r="KP34" s="220">
        <f t="shared" ca="1" si="261"/>
        <v>0</v>
      </c>
      <c r="KQ34" s="235">
        <f t="shared" ca="1" si="262"/>
        <v>0</v>
      </c>
      <c r="KR34" s="235">
        <f t="shared" ca="1" si="263"/>
        <v>0</v>
      </c>
      <c r="KS34" s="242">
        <f t="shared" ca="1" si="264"/>
        <v>0</v>
      </c>
      <c r="KT34" s="241">
        <f t="shared" ca="1" si="571"/>
        <v>1</v>
      </c>
      <c r="KU34" s="220">
        <f t="shared" ca="1" si="265"/>
        <v>0</v>
      </c>
      <c r="KV34" s="220">
        <f t="shared" ca="1" si="266"/>
        <v>0</v>
      </c>
      <c r="KW34" s="235">
        <f t="shared" ca="1" si="267"/>
        <v>0</v>
      </c>
      <c r="KX34" s="235">
        <f t="shared" ca="1" si="268"/>
        <v>0</v>
      </c>
      <c r="KY34" s="242">
        <f t="shared" ca="1" si="269"/>
        <v>0</v>
      </c>
      <c r="KZ34" s="241">
        <f t="shared" ca="1" si="571"/>
        <v>1</v>
      </c>
      <c r="LA34" s="220">
        <f t="shared" ca="1" si="270"/>
        <v>0</v>
      </c>
      <c r="LB34" s="220">
        <f t="shared" ca="1" si="271"/>
        <v>0</v>
      </c>
      <c r="LC34" s="235">
        <f t="shared" ca="1" si="272"/>
        <v>0</v>
      </c>
      <c r="LD34" s="235">
        <f t="shared" ca="1" si="273"/>
        <v>0</v>
      </c>
      <c r="LE34" s="242">
        <f t="shared" ca="1" si="274"/>
        <v>0</v>
      </c>
      <c r="LF34" s="241">
        <f t="shared" ca="1" si="571"/>
        <v>1</v>
      </c>
      <c r="LG34" s="220">
        <f t="shared" ca="1" si="276"/>
        <v>0</v>
      </c>
      <c r="LH34" s="220">
        <f t="shared" ca="1" si="277"/>
        <v>0</v>
      </c>
      <c r="LI34" s="235">
        <f t="shared" ca="1" si="278"/>
        <v>0</v>
      </c>
      <c r="LJ34" s="235">
        <f t="shared" ca="1" si="279"/>
        <v>0</v>
      </c>
      <c r="LK34" s="242">
        <f t="shared" ca="1" si="280"/>
        <v>0</v>
      </c>
      <c r="LL34" s="241">
        <f t="shared" ca="1" si="571"/>
        <v>1</v>
      </c>
      <c r="LM34" s="220">
        <f t="shared" ca="1" si="281"/>
        <v>0</v>
      </c>
      <c r="LN34" s="220">
        <f t="shared" ca="1" si="282"/>
        <v>0</v>
      </c>
      <c r="LO34" s="235">
        <f t="shared" ca="1" si="283"/>
        <v>0</v>
      </c>
      <c r="LP34" s="235">
        <f t="shared" ca="1" si="284"/>
        <v>0</v>
      </c>
      <c r="LQ34" s="242">
        <f t="shared" ca="1" si="285"/>
        <v>0</v>
      </c>
      <c r="LR34" s="241">
        <f t="shared" ca="1" si="571"/>
        <v>1</v>
      </c>
      <c r="LS34" s="220">
        <f t="shared" ca="1" si="286"/>
        <v>0</v>
      </c>
      <c r="LT34" s="220">
        <f t="shared" ca="1" si="287"/>
        <v>0</v>
      </c>
      <c r="LU34" s="235">
        <f t="shared" ca="1" si="288"/>
        <v>0</v>
      </c>
      <c r="LV34" s="235">
        <f t="shared" ca="1" si="289"/>
        <v>0</v>
      </c>
      <c r="LW34" s="242">
        <f t="shared" ca="1" si="290"/>
        <v>0</v>
      </c>
      <c r="LX34" s="241">
        <f t="shared" ca="1" si="571"/>
        <v>1</v>
      </c>
      <c r="LY34" s="220">
        <f t="shared" ca="1" si="291"/>
        <v>0</v>
      </c>
      <c r="LZ34" s="220">
        <f t="shared" ca="1" si="292"/>
        <v>0</v>
      </c>
      <c r="MA34" s="235">
        <f t="shared" ca="1" si="293"/>
        <v>0</v>
      </c>
      <c r="MB34" s="235">
        <f t="shared" ca="1" si="294"/>
        <v>0</v>
      </c>
      <c r="MC34" s="242">
        <f t="shared" ca="1" si="295"/>
        <v>0</v>
      </c>
      <c r="MD34" s="241">
        <f t="shared" ca="1" si="564"/>
        <v>1</v>
      </c>
      <c r="ME34" s="220">
        <f t="shared" ca="1" si="296"/>
        <v>0</v>
      </c>
      <c r="MF34" s="220">
        <f t="shared" ca="1" si="297"/>
        <v>0</v>
      </c>
      <c r="MG34" s="235">
        <f t="shared" ca="1" si="298"/>
        <v>0</v>
      </c>
      <c r="MH34" s="235">
        <f t="shared" ca="1" si="299"/>
        <v>0</v>
      </c>
      <c r="MI34" s="242">
        <f t="shared" ca="1" si="300"/>
        <v>0</v>
      </c>
      <c r="MJ34" s="241">
        <f t="shared" ca="1" si="564"/>
        <v>1</v>
      </c>
      <c r="MK34" s="220">
        <f t="shared" ca="1" si="301"/>
        <v>0</v>
      </c>
      <c r="ML34" s="220">
        <f t="shared" ca="1" si="302"/>
        <v>0</v>
      </c>
      <c r="MM34" s="235">
        <f t="shared" ca="1" si="303"/>
        <v>0</v>
      </c>
      <c r="MN34" s="235">
        <f t="shared" ca="1" si="304"/>
        <v>0</v>
      </c>
      <c r="MO34" s="242">
        <f t="shared" ca="1" si="305"/>
        <v>0</v>
      </c>
      <c r="MP34" s="241">
        <f t="shared" ca="1" si="572"/>
        <v>1</v>
      </c>
      <c r="MQ34" s="220">
        <f t="shared" ca="1" si="306"/>
        <v>0</v>
      </c>
      <c r="MR34" s="220">
        <f t="shared" ca="1" si="307"/>
        <v>0</v>
      </c>
      <c r="MS34" s="235">
        <f t="shared" ca="1" si="308"/>
        <v>0</v>
      </c>
      <c r="MT34" s="235">
        <f t="shared" ca="1" si="309"/>
        <v>0</v>
      </c>
      <c r="MU34" s="242">
        <f t="shared" ca="1" si="310"/>
        <v>0</v>
      </c>
      <c r="MV34" s="241">
        <f t="shared" ca="1" si="572"/>
        <v>1</v>
      </c>
      <c r="MW34" s="220">
        <f t="shared" ca="1" si="311"/>
        <v>0</v>
      </c>
      <c r="MX34" s="220">
        <f t="shared" ca="1" si="312"/>
        <v>0</v>
      </c>
      <c r="MY34" s="235">
        <f t="shared" ca="1" si="313"/>
        <v>0</v>
      </c>
      <c r="MZ34" s="235">
        <f t="shared" ca="1" si="314"/>
        <v>0</v>
      </c>
      <c r="NA34" s="242">
        <f t="shared" ca="1" si="315"/>
        <v>0</v>
      </c>
      <c r="NB34" s="241">
        <f t="shared" ca="1" si="572"/>
        <v>1</v>
      </c>
      <c r="NC34" s="220">
        <f t="shared" ca="1" si="316"/>
        <v>0</v>
      </c>
      <c r="ND34" s="220">
        <f t="shared" ca="1" si="317"/>
        <v>0</v>
      </c>
      <c r="NE34" s="235">
        <f t="shared" ca="1" si="318"/>
        <v>0</v>
      </c>
      <c r="NF34" s="235">
        <f t="shared" ca="1" si="319"/>
        <v>0</v>
      </c>
      <c r="NG34" s="242">
        <f t="shared" ca="1" si="320"/>
        <v>0</v>
      </c>
      <c r="NH34" s="241">
        <f t="shared" ca="1" si="572"/>
        <v>1</v>
      </c>
      <c r="NI34" s="220">
        <f t="shared" ca="1" si="321"/>
        <v>0</v>
      </c>
      <c r="NJ34" s="220">
        <f t="shared" ca="1" si="322"/>
        <v>0</v>
      </c>
      <c r="NK34" s="235">
        <f t="shared" ca="1" si="323"/>
        <v>0</v>
      </c>
      <c r="NL34" s="235">
        <f t="shared" ca="1" si="324"/>
        <v>0</v>
      </c>
      <c r="NM34" s="242">
        <f t="shared" ca="1" si="325"/>
        <v>0</v>
      </c>
      <c r="NN34" s="241">
        <f t="shared" ca="1" si="572"/>
        <v>1</v>
      </c>
      <c r="NO34" s="220">
        <f t="shared" ca="1" si="326"/>
        <v>0</v>
      </c>
      <c r="NP34" s="220">
        <f t="shared" ca="1" si="327"/>
        <v>0</v>
      </c>
      <c r="NQ34" s="235">
        <f t="shared" ca="1" si="328"/>
        <v>0</v>
      </c>
      <c r="NR34" s="235">
        <f t="shared" ca="1" si="329"/>
        <v>0</v>
      </c>
      <c r="NS34" s="242">
        <f t="shared" ca="1" si="330"/>
        <v>0</v>
      </c>
      <c r="NT34" s="241">
        <f t="shared" ca="1" si="572"/>
        <v>1</v>
      </c>
      <c r="NU34" s="220">
        <f t="shared" ca="1" si="332"/>
        <v>0</v>
      </c>
      <c r="NV34" s="220">
        <f t="shared" ca="1" si="333"/>
        <v>0</v>
      </c>
      <c r="NW34" s="235">
        <f t="shared" ca="1" si="334"/>
        <v>0</v>
      </c>
      <c r="NX34" s="235">
        <f t="shared" ca="1" si="335"/>
        <v>0</v>
      </c>
      <c r="NY34" s="242">
        <f t="shared" ca="1" si="336"/>
        <v>0</v>
      </c>
      <c r="NZ34" s="241">
        <f t="shared" ca="1" si="572"/>
        <v>1</v>
      </c>
      <c r="OA34" s="220">
        <f t="shared" ca="1" si="337"/>
        <v>0</v>
      </c>
      <c r="OB34" s="220">
        <f t="shared" ca="1" si="338"/>
        <v>0</v>
      </c>
      <c r="OC34" s="235">
        <f t="shared" ca="1" si="339"/>
        <v>0</v>
      </c>
      <c r="OD34" s="235">
        <f t="shared" ca="1" si="340"/>
        <v>0</v>
      </c>
      <c r="OE34" s="242">
        <f t="shared" ca="1" si="341"/>
        <v>0</v>
      </c>
      <c r="OF34" s="241">
        <f t="shared" ca="1" si="572"/>
        <v>1</v>
      </c>
      <c r="OG34" s="220">
        <f t="shared" ca="1" si="342"/>
        <v>0</v>
      </c>
      <c r="OH34" s="220">
        <f t="shared" ca="1" si="343"/>
        <v>0</v>
      </c>
      <c r="OI34" s="235">
        <f t="shared" ca="1" si="344"/>
        <v>0</v>
      </c>
      <c r="OJ34" s="235">
        <f t="shared" ca="1" si="345"/>
        <v>0</v>
      </c>
      <c r="OK34" s="242">
        <f t="shared" ca="1" si="346"/>
        <v>0</v>
      </c>
      <c r="OL34" s="241">
        <f t="shared" ca="1" si="572"/>
        <v>1</v>
      </c>
      <c r="OM34" s="220">
        <f t="shared" ca="1" si="347"/>
        <v>0</v>
      </c>
      <c r="ON34" s="220">
        <f t="shared" ca="1" si="348"/>
        <v>0</v>
      </c>
      <c r="OO34" s="235">
        <f t="shared" ca="1" si="349"/>
        <v>0</v>
      </c>
      <c r="OP34" s="235">
        <f t="shared" ca="1" si="350"/>
        <v>0</v>
      </c>
      <c r="OQ34" s="242">
        <f t="shared" ca="1" si="351"/>
        <v>0</v>
      </c>
      <c r="OR34" s="241">
        <f t="shared" ca="1" si="572"/>
        <v>1</v>
      </c>
      <c r="OS34" s="220">
        <f t="shared" ca="1" si="352"/>
        <v>0</v>
      </c>
      <c r="OT34" s="220">
        <f t="shared" ca="1" si="353"/>
        <v>0</v>
      </c>
      <c r="OU34" s="235">
        <f t="shared" ca="1" si="354"/>
        <v>0</v>
      </c>
      <c r="OV34" s="235">
        <f t="shared" ca="1" si="355"/>
        <v>0</v>
      </c>
      <c r="OW34" s="242">
        <f t="shared" ca="1" si="356"/>
        <v>0</v>
      </c>
      <c r="OX34" s="241">
        <f t="shared" ca="1" si="572"/>
        <v>1</v>
      </c>
      <c r="OY34" s="220">
        <f t="shared" ca="1" si="357"/>
        <v>0</v>
      </c>
      <c r="OZ34" s="220">
        <f t="shared" ca="1" si="358"/>
        <v>0</v>
      </c>
      <c r="PA34" s="235">
        <f t="shared" ca="1" si="359"/>
        <v>0</v>
      </c>
      <c r="PB34" s="235">
        <f t="shared" ca="1" si="360"/>
        <v>0</v>
      </c>
      <c r="PC34" s="242">
        <f t="shared" ca="1" si="361"/>
        <v>0</v>
      </c>
      <c r="PD34" s="241">
        <f t="shared" ca="1" si="565"/>
        <v>1</v>
      </c>
      <c r="PE34" s="220">
        <f t="shared" ca="1" si="362"/>
        <v>0</v>
      </c>
      <c r="PF34" s="220">
        <f t="shared" ca="1" si="363"/>
        <v>0</v>
      </c>
      <c r="PG34" s="235">
        <f t="shared" ca="1" si="364"/>
        <v>0</v>
      </c>
      <c r="PH34" s="235">
        <f t="shared" ca="1" si="365"/>
        <v>0</v>
      </c>
      <c r="PI34" s="242">
        <f t="shared" ca="1" si="366"/>
        <v>0</v>
      </c>
      <c r="PJ34" s="241">
        <f t="shared" ca="1" si="565"/>
        <v>1</v>
      </c>
      <c r="PK34" s="220">
        <f t="shared" ca="1" si="367"/>
        <v>0</v>
      </c>
      <c r="PL34" s="220">
        <f t="shared" ca="1" si="368"/>
        <v>0</v>
      </c>
      <c r="PM34" s="235">
        <f t="shared" ca="1" si="369"/>
        <v>0</v>
      </c>
      <c r="PN34" s="235">
        <f t="shared" ca="1" si="370"/>
        <v>0</v>
      </c>
      <c r="PO34" s="242">
        <f t="shared" ca="1" si="371"/>
        <v>0</v>
      </c>
      <c r="PP34" s="241">
        <f t="shared" ca="1" si="573"/>
        <v>1</v>
      </c>
      <c r="PQ34" s="220">
        <f t="shared" ca="1" si="372"/>
        <v>0</v>
      </c>
      <c r="PR34" s="220">
        <f t="shared" ca="1" si="373"/>
        <v>0</v>
      </c>
      <c r="PS34" s="235">
        <f t="shared" ca="1" si="374"/>
        <v>0</v>
      </c>
      <c r="PT34" s="235">
        <f t="shared" ca="1" si="375"/>
        <v>0</v>
      </c>
      <c r="PU34" s="242">
        <f t="shared" ca="1" si="376"/>
        <v>0</v>
      </c>
      <c r="PV34" s="241">
        <f t="shared" ca="1" si="573"/>
        <v>1</v>
      </c>
      <c r="PW34" s="220">
        <f t="shared" ca="1" si="377"/>
        <v>0</v>
      </c>
      <c r="PX34" s="220">
        <f t="shared" ca="1" si="378"/>
        <v>0</v>
      </c>
      <c r="PY34" s="235">
        <f t="shared" ca="1" si="379"/>
        <v>0</v>
      </c>
      <c r="PZ34" s="235">
        <f t="shared" ca="1" si="380"/>
        <v>0</v>
      </c>
      <c r="QA34" s="242">
        <f t="shared" ca="1" si="381"/>
        <v>0</v>
      </c>
      <c r="QB34" s="241">
        <f t="shared" ca="1" si="573"/>
        <v>1</v>
      </c>
      <c r="QC34" s="220">
        <f t="shared" ca="1" si="382"/>
        <v>0</v>
      </c>
      <c r="QD34" s="220">
        <f t="shared" ca="1" si="383"/>
        <v>0</v>
      </c>
      <c r="QE34" s="235">
        <f t="shared" ca="1" si="384"/>
        <v>0</v>
      </c>
      <c r="QF34" s="235">
        <f t="shared" ca="1" si="385"/>
        <v>0</v>
      </c>
      <c r="QG34" s="242">
        <f t="shared" ca="1" si="386"/>
        <v>0</v>
      </c>
      <c r="QH34" s="241">
        <f t="shared" ca="1" si="573"/>
        <v>1</v>
      </c>
      <c r="QI34" s="220">
        <f t="shared" ca="1" si="388"/>
        <v>0</v>
      </c>
      <c r="QJ34" s="220">
        <f t="shared" ca="1" si="389"/>
        <v>0</v>
      </c>
      <c r="QK34" s="235">
        <f t="shared" ca="1" si="390"/>
        <v>0</v>
      </c>
      <c r="QL34" s="235">
        <f t="shared" ca="1" si="391"/>
        <v>0</v>
      </c>
      <c r="QM34" s="242">
        <f t="shared" ca="1" si="392"/>
        <v>0</v>
      </c>
      <c r="QN34" s="241">
        <f t="shared" ca="1" si="573"/>
        <v>1</v>
      </c>
      <c r="QO34" s="220">
        <f t="shared" ca="1" si="393"/>
        <v>0</v>
      </c>
      <c r="QP34" s="220">
        <f t="shared" ca="1" si="394"/>
        <v>0</v>
      </c>
      <c r="QQ34" s="235">
        <f t="shared" ca="1" si="395"/>
        <v>0</v>
      </c>
      <c r="QR34" s="235">
        <f t="shared" ca="1" si="396"/>
        <v>0</v>
      </c>
      <c r="QS34" s="242">
        <f t="shared" ca="1" si="397"/>
        <v>0</v>
      </c>
      <c r="QT34" s="241">
        <f t="shared" ca="1" si="573"/>
        <v>1</v>
      </c>
      <c r="QU34" s="220">
        <f t="shared" ca="1" si="398"/>
        <v>0</v>
      </c>
      <c r="QV34" s="220">
        <f t="shared" ca="1" si="399"/>
        <v>0</v>
      </c>
      <c r="QW34" s="235">
        <f t="shared" ca="1" si="400"/>
        <v>0</v>
      </c>
      <c r="QX34" s="235">
        <f t="shared" ca="1" si="401"/>
        <v>0</v>
      </c>
      <c r="QY34" s="242">
        <f t="shared" ca="1" si="402"/>
        <v>0</v>
      </c>
      <c r="QZ34" s="241">
        <f t="shared" ca="1" si="573"/>
        <v>1</v>
      </c>
      <c r="RA34" s="220">
        <f t="shared" ca="1" si="403"/>
        <v>0</v>
      </c>
      <c r="RB34" s="220">
        <f t="shared" ca="1" si="404"/>
        <v>0</v>
      </c>
      <c r="RC34" s="235">
        <f t="shared" ca="1" si="405"/>
        <v>0</v>
      </c>
      <c r="RD34" s="235">
        <f t="shared" ca="1" si="406"/>
        <v>0</v>
      </c>
      <c r="RE34" s="242">
        <f t="shared" ca="1" si="407"/>
        <v>0</v>
      </c>
      <c r="RF34" s="241">
        <f t="shared" ca="1" si="573"/>
        <v>1</v>
      </c>
      <c r="RG34" s="220">
        <f t="shared" ca="1" si="408"/>
        <v>0</v>
      </c>
      <c r="RH34" s="220">
        <f t="shared" ca="1" si="409"/>
        <v>0</v>
      </c>
      <c r="RI34" s="235">
        <f t="shared" ca="1" si="410"/>
        <v>0</v>
      </c>
      <c r="RJ34" s="235">
        <f t="shared" ca="1" si="411"/>
        <v>0</v>
      </c>
      <c r="RK34" s="242">
        <f t="shared" ca="1" si="412"/>
        <v>0</v>
      </c>
      <c r="RL34" s="241">
        <f t="shared" ca="1" si="573"/>
        <v>1</v>
      </c>
      <c r="RM34" s="220">
        <f t="shared" ca="1" si="413"/>
        <v>0</v>
      </c>
      <c r="RN34" s="220">
        <f t="shared" ca="1" si="414"/>
        <v>0</v>
      </c>
      <c r="RO34" s="235">
        <f t="shared" ca="1" si="415"/>
        <v>0</v>
      </c>
      <c r="RP34" s="235">
        <f t="shared" ca="1" si="416"/>
        <v>0</v>
      </c>
      <c r="RQ34" s="242">
        <f t="shared" ca="1" si="417"/>
        <v>0</v>
      </c>
      <c r="RR34" s="241">
        <f t="shared" ca="1" si="573"/>
        <v>1</v>
      </c>
      <c r="RS34" s="220">
        <f t="shared" ca="1" si="418"/>
        <v>0</v>
      </c>
      <c r="RT34" s="220">
        <f t="shared" ca="1" si="419"/>
        <v>0</v>
      </c>
      <c r="RU34" s="235">
        <f t="shared" ca="1" si="420"/>
        <v>0</v>
      </c>
      <c r="RV34" s="235">
        <f t="shared" ca="1" si="421"/>
        <v>0</v>
      </c>
      <c r="RW34" s="242">
        <f t="shared" ca="1" si="422"/>
        <v>0</v>
      </c>
      <c r="RX34" s="241">
        <f t="shared" ca="1" si="573"/>
        <v>1</v>
      </c>
      <c r="RY34" s="220">
        <f t="shared" ca="1" si="423"/>
        <v>0</v>
      </c>
      <c r="RZ34" s="220">
        <f t="shared" ca="1" si="424"/>
        <v>0</v>
      </c>
      <c r="SA34" s="235">
        <f t="shared" ca="1" si="425"/>
        <v>0</v>
      </c>
      <c r="SB34" s="235">
        <f t="shared" ca="1" si="426"/>
        <v>0</v>
      </c>
      <c r="SC34" s="242">
        <f t="shared" ca="1" si="427"/>
        <v>0</v>
      </c>
      <c r="SD34" s="241">
        <f t="shared" ca="1" si="566"/>
        <v>1</v>
      </c>
      <c r="SE34" s="220">
        <f t="shared" ca="1" si="428"/>
        <v>0</v>
      </c>
      <c r="SF34" s="220">
        <f t="shared" ca="1" si="429"/>
        <v>0</v>
      </c>
      <c r="SG34" s="235">
        <f t="shared" ca="1" si="430"/>
        <v>0</v>
      </c>
      <c r="SH34" s="235">
        <f t="shared" ca="1" si="431"/>
        <v>0</v>
      </c>
      <c r="SI34" s="242">
        <f t="shared" ca="1" si="432"/>
        <v>0</v>
      </c>
      <c r="SJ34" s="241">
        <f t="shared" ca="1" si="566"/>
        <v>1</v>
      </c>
      <c r="SK34" s="220">
        <f t="shared" ca="1" si="433"/>
        <v>0</v>
      </c>
      <c r="SL34" s="220">
        <f t="shared" ca="1" si="434"/>
        <v>0</v>
      </c>
      <c r="SM34" s="235">
        <f t="shared" ca="1" si="435"/>
        <v>0</v>
      </c>
      <c r="SN34" s="235">
        <f t="shared" ca="1" si="436"/>
        <v>0</v>
      </c>
      <c r="SO34" s="242">
        <f t="shared" ca="1" si="437"/>
        <v>0</v>
      </c>
      <c r="SP34" s="241">
        <f t="shared" ca="1" si="576"/>
        <v>1</v>
      </c>
      <c r="SQ34" s="220">
        <f t="shared" ca="1" si="438"/>
        <v>0</v>
      </c>
      <c r="SR34" s="220">
        <f t="shared" ca="1" si="439"/>
        <v>0</v>
      </c>
      <c r="SS34" s="235">
        <f t="shared" ca="1" si="440"/>
        <v>0</v>
      </c>
      <c r="ST34" s="235">
        <f t="shared" ca="1" si="441"/>
        <v>0</v>
      </c>
      <c r="SU34" s="242">
        <f t="shared" ca="1" si="442"/>
        <v>0</v>
      </c>
      <c r="SV34" s="241">
        <f t="shared" ca="1" si="576"/>
        <v>1</v>
      </c>
      <c r="SW34" s="220">
        <f t="shared" ca="1" si="444"/>
        <v>0</v>
      </c>
      <c r="SX34" s="220">
        <f t="shared" ca="1" si="445"/>
        <v>0</v>
      </c>
      <c r="SY34" s="235">
        <f t="shared" ca="1" si="446"/>
        <v>0</v>
      </c>
      <c r="SZ34" s="235">
        <f t="shared" ca="1" si="447"/>
        <v>0</v>
      </c>
      <c r="TA34" s="242">
        <f t="shared" ca="1" si="448"/>
        <v>0</v>
      </c>
      <c r="TB34" s="241">
        <f t="shared" ca="1" si="576"/>
        <v>1</v>
      </c>
      <c r="TC34" s="220">
        <f t="shared" ca="1" si="449"/>
        <v>0</v>
      </c>
      <c r="TD34" s="220">
        <f t="shared" ca="1" si="450"/>
        <v>0</v>
      </c>
      <c r="TE34" s="235">
        <f t="shared" ca="1" si="451"/>
        <v>0</v>
      </c>
      <c r="TF34" s="235">
        <f t="shared" ca="1" si="452"/>
        <v>0</v>
      </c>
      <c r="TG34" s="242">
        <f t="shared" ca="1" si="453"/>
        <v>0</v>
      </c>
      <c r="TH34" s="241">
        <f t="shared" ca="1" si="576"/>
        <v>1</v>
      </c>
      <c r="TI34" s="220">
        <f t="shared" ca="1" si="454"/>
        <v>0</v>
      </c>
      <c r="TJ34" s="220">
        <f t="shared" ca="1" si="455"/>
        <v>0</v>
      </c>
      <c r="TK34" s="235">
        <f t="shared" ca="1" si="456"/>
        <v>0</v>
      </c>
      <c r="TL34" s="235">
        <f t="shared" ca="1" si="457"/>
        <v>0</v>
      </c>
      <c r="TM34" s="242">
        <f t="shared" ca="1" si="458"/>
        <v>0</v>
      </c>
      <c r="TN34" s="241">
        <f t="shared" ca="1" si="576"/>
        <v>1</v>
      </c>
      <c r="TO34" s="220">
        <f t="shared" ca="1" si="459"/>
        <v>0</v>
      </c>
      <c r="TP34" s="220">
        <f t="shared" ca="1" si="460"/>
        <v>0</v>
      </c>
      <c r="TQ34" s="235">
        <f t="shared" ca="1" si="461"/>
        <v>0</v>
      </c>
      <c r="TR34" s="235">
        <f t="shared" ca="1" si="462"/>
        <v>0</v>
      </c>
      <c r="TS34" s="242">
        <f t="shared" ca="1" si="463"/>
        <v>0</v>
      </c>
      <c r="TT34" s="241">
        <f t="shared" ca="1" si="576"/>
        <v>1</v>
      </c>
      <c r="TU34" s="220">
        <f t="shared" ca="1" si="464"/>
        <v>0</v>
      </c>
      <c r="TV34" s="220">
        <f t="shared" ca="1" si="465"/>
        <v>0</v>
      </c>
      <c r="TW34" s="235">
        <f t="shared" ca="1" si="466"/>
        <v>0</v>
      </c>
      <c r="TX34" s="235">
        <f t="shared" ca="1" si="467"/>
        <v>0</v>
      </c>
      <c r="TY34" s="242">
        <f t="shared" ca="1" si="468"/>
        <v>0</v>
      </c>
      <c r="TZ34" s="241">
        <f t="shared" ca="1" si="576"/>
        <v>1</v>
      </c>
      <c r="UA34" s="220">
        <f t="shared" ca="1" si="469"/>
        <v>0</v>
      </c>
      <c r="UB34" s="220">
        <f t="shared" ca="1" si="470"/>
        <v>0</v>
      </c>
      <c r="UC34" s="235">
        <f t="shared" ca="1" si="471"/>
        <v>0</v>
      </c>
      <c r="UD34" s="235">
        <f t="shared" ca="1" si="472"/>
        <v>0</v>
      </c>
      <c r="UE34" s="242">
        <f t="shared" ca="1" si="473"/>
        <v>0</v>
      </c>
      <c r="UF34" s="241">
        <f t="shared" ca="1" si="576"/>
        <v>1</v>
      </c>
      <c r="UG34" s="220">
        <f t="shared" ca="1" si="474"/>
        <v>0</v>
      </c>
      <c r="UH34" s="220">
        <f t="shared" ca="1" si="475"/>
        <v>0</v>
      </c>
      <c r="UI34" s="235">
        <f t="shared" ca="1" si="476"/>
        <v>0</v>
      </c>
      <c r="UJ34" s="235">
        <f t="shared" ca="1" si="477"/>
        <v>0</v>
      </c>
      <c r="UK34" s="242">
        <f t="shared" ca="1" si="478"/>
        <v>0</v>
      </c>
      <c r="UL34" s="241">
        <f t="shared" ca="1" si="576"/>
        <v>1</v>
      </c>
      <c r="UM34" s="220">
        <f t="shared" ca="1" si="479"/>
        <v>0</v>
      </c>
      <c r="UN34" s="220">
        <f t="shared" ca="1" si="480"/>
        <v>0</v>
      </c>
      <c r="UO34" s="235">
        <f t="shared" ca="1" si="481"/>
        <v>0</v>
      </c>
      <c r="UP34" s="235">
        <f t="shared" ca="1" si="482"/>
        <v>0</v>
      </c>
      <c r="UQ34" s="242">
        <f t="shared" ca="1" si="483"/>
        <v>0</v>
      </c>
      <c r="UR34" s="241">
        <f t="shared" ca="1" si="576"/>
        <v>1</v>
      </c>
      <c r="US34" s="220">
        <f t="shared" ca="1" si="484"/>
        <v>0</v>
      </c>
      <c r="UT34" s="220">
        <f t="shared" ca="1" si="485"/>
        <v>0</v>
      </c>
      <c r="UU34" s="235">
        <f t="shared" ca="1" si="486"/>
        <v>0</v>
      </c>
      <c r="UV34" s="235">
        <f t="shared" ca="1" si="487"/>
        <v>0</v>
      </c>
      <c r="UW34" s="242">
        <f t="shared" ca="1" si="488"/>
        <v>0</v>
      </c>
      <c r="UX34" s="241">
        <f t="shared" ca="1" si="576"/>
        <v>1</v>
      </c>
      <c r="UY34" s="220">
        <f t="shared" ca="1" si="489"/>
        <v>0</v>
      </c>
      <c r="UZ34" s="220">
        <f t="shared" ca="1" si="490"/>
        <v>0</v>
      </c>
      <c r="VA34" s="235">
        <f t="shared" ca="1" si="491"/>
        <v>0</v>
      </c>
      <c r="VB34" s="235">
        <f t="shared" ca="1" si="492"/>
        <v>0</v>
      </c>
      <c r="VC34" s="242">
        <f t="shared" ca="1" si="493"/>
        <v>0</v>
      </c>
      <c r="VD34" s="241">
        <f t="shared" ca="1" si="574"/>
        <v>1</v>
      </c>
      <c r="VE34" s="220">
        <f t="shared" ca="1" si="494"/>
        <v>0</v>
      </c>
      <c r="VF34" s="220">
        <f t="shared" ca="1" si="495"/>
        <v>0</v>
      </c>
      <c r="VG34" s="235">
        <f t="shared" ca="1" si="496"/>
        <v>0</v>
      </c>
      <c r="VH34" s="235">
        <f t="shared" ca="1" si="497"/>
        <v>0</v>
      </c>
      <c r="VI34" s="242">
        <f t="shared" ca="1" si="498"/>
        <v>0</v>
      </c>
      <c r="VJ34" s="241">
        <f t="shared" ca="1" si="567"/>
        <v>1</v>
      </c>
      <c r="VK34" s="220">
        <f t="shared" ca="1" si="500"/>
        <v>0</v>
      </c>
      <c r="VL34" s="220">
        <f t="shared" ca="1" si="501"/>
        <v>0</v>
      </c>
      <c r="VM34" s="235">
        <f t="shared" ca="1" si="502"/>
        <v>0</v>
      </c>
      <c r="VN34" s="235">
        <f t="shared" ca="1" si="503"/>
        <v>0</v>
      </c>
      <c r="VO34" s="242">
        <f t="shared" ca="1" si="504"/>
        <v>0</v>
      </c>
      <c r="VP34" s="241">
        <f t="shared" ca="1" si="567"/>
        <v>1</v>
      </c>
      <c r="VQ34" s="220">
        <f t="shared" ca="1" si="505"/>
        <v>0</v>
      </c>
      <c r="VR34" s="220">
        <f t="shared" ca="1" si="506"/>
        <v>0</v>
      </c>
      <c r="VS34" s="235">
        <f t="shared" ca="1" si="507"/>
        <v>0</v>
      </c>
      <c r="VT34" s="235">
        <f t="shared" ca="1" si="508"/>
        <v>0</v>
      </c>
      <c r="VU34" s="242">
        <f t="shared" ca="1" si="509"/>
        <v>0</v>
      </c>
      <c r="VV34" s="241">
        <f t="shared" ca="1" si="499"/>
        <v>1</v>
      </c>
      <c r="VW34" s="220">
        <f t="shared" ca="1" si="510"/>
        <v>0</v>
      </c>
      <c r="VX34" s="220">
        <f t="shared" ca="1" si="511"/>
        <v>0</v>
      </c>
      <c r="VY34" s="235">
        <f t="shared" ca="1" si="512"/>
        <v>0</v>
      </c>
      <c r="VZ34" s="235">
        <f t="shared" ca="1" si="513"/>
        <v>0</v>
      </c>
      <c r="WA34" s="242">
        <f t="shared" ca="1" si="514"/>
        <v>0</v>
      </c>
      <c r="WB34" s="241">
        <f t="shared" ca="1" si="499"/>
        <v>1</v>
      </c>
      <c r="WC34" s="220">
        <f t="shared" ca="1" si="515"/>
        <v>0</v>
      </c>
      <c r="WD34" s="220">
        <f t="shared" ca="1" si="516"/>
        <v>0</v>
      </c>
      <c r="WE34" s="235">
        <f t="shared" ca="1" si="517"/>
        <v>0</v>
      </c>
      <c r="WF34" s="235">
        <f t="shared" ca="1" si="518"/>
        <v>0</v>
      </c>
      <c r="WG34" s="242">
        <f t="shared" ca="1" si="519"/>
        <v>0</v>
      </c>
      <c r="WH34" s="241">
        <f t="shared" ca="1" si="499"/>
        <v>1</v>
      </c>
      <c r="WI34" s="220">
        <f t="shared" ca="1" si="520"/>
        <v>0</v>
      </c>
      <c r="WJ34" s="220">
        <f t="shared" ca="1" si="521"/>
        <v>0</v>
      </c>
      <c r="WK34" s="235">
        <f t="shared" ca="1" si="522"/>
        <v>0</v>
      </c>
      <c r="WL34" s="235">
        <f t="shared" ca="1" si="523"/>
        <v>0</v>
      </c>
      <c r="WM34" s="242">
        <f t="shared" ca="1" si="524"/>
        <v>0</v>
      </c>
      <c r="WN34" s="241">
        <f t="shared" ca="1" si="499"/>
        <v>1</v>
      </c>
      <c r="WO34" s="220">
        <f t="shared" ca="1" si="525"/>
        <v>0</v>
      </c>
      <c r="WP34" s="220">
        <f t="shared" ca="1" si="526"/>
        <v>0</v>
      </c>
      <c r="WQ34" s="235">
        <f t="shared" ca="1" si="527"/>
        <v>0</v>
      </c>
      <c r="WR34" s="235">
        <f t="shared" ca="1" si="528"/>
        <v>0</v>
      </c>
      <c r="WS34" s="242">
        <f t="shared" ca="1" si="529"/>
        <v>0</v>
      </c>
      <c r="WT34" s="241">
        <f t="shared" ca="1" si="499"/>
        <v>1</v>
      </c>
      <c r="WU34" s="220">
        <f t="shared" ca="1" si="530"/>
        <v>0</v>
      </c>
      <c r="WV34" s="220">
        <f t="shared" ca="1" si="531"/>
        <v>0</v>
      </c>
      <c r="WW34" s="235">
        <f t="shared" ca="1" si="532"/>
        <v>0</v>
      </c>
      <c r="WX34" s="235">
        <f t="shared" ca="1" si="533"/>
        <v>0</v>
      </c>
      <c r="WY34" s="242">
        <f t="shared" ca="1" si="534"/>
        <v>0</v>
      </c>
      <c r="WZ34" s="241">
        <f t="shared" ca="1" si="499"/>
        <v>1</v>
      </c>
      <c r="XA34" s="220">
        <f t="shared" ca="1" si="535"/>
        <v>0</v>
      </c>
      <c r="XB34" s="220">
        <f t="shared" ca="1" si="536"/>
        <v>0</v>
      </c>
      <c r="XC34" s="235">
        <f t="shared" ca="1" si="537"/>
        <v>0</v>
      </c>
      <c r="XD34" s="235">
        <f t="shared" ca="1" si="538"/>
        <v>0</v>
      </c>
      <c r="XE34" s="242">
        <f t="shared" ca="1" si="539"/>
        <v>0</v>
      </c>
      <c r="XF34" s="241">
        <f t="shared" ca="1" si="499"/>
        <v>1</v>
      </c>
      <c r="XG34" s="220">
        <f t="shared" ca="1" si="540"/>
        <v>0</v>
      </c>
      <c r="XH34" s="220">
        <f t="shared" ca="1" si="541"/>
        <v>0</v>
      </c>
      <c r="XI34" s="235">
        <f t="shared" ca="1" si="542"/>
        <v>0</v>
      </c>
      <c r="XJ34" s="235">
        <f t="shared" ca="1" si="543"/>
        <v>0</v>
      </c>
      <c r="XK34" s="242">
        <f t="shared" ca="1" si="544"/>
        <v>0</v>
      </c>
    </row>
    <row r="35" spans="2:635" x14ac:dyDescent="0.25">
      <c r="B35" s="65">
        <f t="shared" ca="1" si="14"/>
        <v>2050</v>
      </c>
      <c r="C35" s="65" t="s">
        <v>741</v>
      </c>
      <c r="D35" s="77">
        <f t="shared" si="15"/>
        <v>0</v>
      </c>
      <c r="E35" s="77">
        <f t="shared" si="16"/>
        <v>0</v>
      </c>
      <c r="F35" s="77">
        <f t="shared" si="17"/>
        <v>0</v>
      </c>
      <c r="G35" s="77">
        <f t="shared" si="18"/>
        <v>0</v>
      </c>
      <c r="H35" s="15" t="e">
        <f t="shared" ca="1" si="19"/>
        <v>#REF!</v>
      </c>
      <c r="L35" s="326">
        <f t="shared" ca="1" si="20"/>
        <v>3.5000000000000003E-2</v>
      </c>
      <c r="M35" s="327">
        <f t="shared" ca="1" si="21"/>
        <v>3.5000000000000003E-2</v>
      </c>
      <c r="N35" s="322">
        <f t="shared" ca="1" si="22"/>
        <v>-27</v>
      </c>
      <c r="O35" s="322">
        <f t="shared" ca="1" si="23"/>
        <v>0</v>
      </c>
      <c r="P35" s="328">
        <f t="shared" ca="1" si="545"/>
        <v>0</v>
      </c>
      <c r="Q35" s="328">
        <f t="shared" ca="1" si="546"/>
        <v>0</v>
      </c>
      <c r="R35" s="328">
        <f t="shared" ca="1" si="547"/>
        <v>0</v>
      </c>
      <c r="S35" s="329">
        <f t="shared" ca="1" si="24"/>
        <v>0</v>
      </c>
      <c r="T35" s="329">
        <f t="shared" ca="1" si="25"/>
        <v>0</v>
      </c>
      <c r="U35" s="329">
        <f t="shared" ca="1" si="26"/>
        <v>0</v>
      </c>
      <c r="V35" s="320" t="e">
        <f t="shared" ca="1" si="27"/>
        <v>#REF!</v>
      </c>
      <c r="W35" s="320" t="e">
        <f t="shared" ca="1" si="560"/>
        <v>#REF!</v>
      </c>
      <c r="X35" s="320" t="e">
        <f t="shared" ca="1" si="29"/>
        <v>#REF!</v>
      </c>
      <c r="Y35" s="320" t="e">
        <f ca="1">INDEX(SC_ZA_HECMLumpSum,ZAIDX)</f>
        <v>#REF!</v>
      </c>
      <c r="Z35" s="320" t="e">
        <f t="shared" ca="1" si="30"/>
        <v>#REF!</v>
      </c>
      <c r="AA35" s="320">
        <f t="shared" ca="1" si="557"/>
        <v>0</v>
      </c>
      <c r="AB35" s="320" t="e">
        <f t="shared" ca="1" si="558"/>
        <v>#REF!</v>
      </c>
      <c r="AC35" s="330" t="e">
        <f t="shared" ca="1" si="559"/>
        <v>#REF!</v>
      </c>
      <c r="AD35" s="236" t="e">
        <f t="shared" ca="1" si="548"/>
        <v>#REF!</v>
      </c>
      <c r="AE35" s="320" t="e">
        <f t="shared" ca="1" si="561"/>
        <v>#REF!</v>
      </c>
      <c r="AF35" s="320" t="e">
        <f t="shared" ca="1" si="35"/>
        <v>#REF!</v>
      </c>
      <c r="AG35" s="320" t="e">
        <f t="shared" ca="1" si="549"/>
        <v>#REF!</v>
      </c>
      <c r="AH35" s="284" t="e">
        <f t="shared" ca="1" si="550"/>
        <v>#REF!</v>
      </c>
      <c r="AI35" s="318" t="e">
        <f t="shared" ca="1" si="551"/>
        <v>#REF!</v>
      </c>
      <c r="AJ35" s="331">
        <f t="shared" ca="1" si="575"/>
        <v>1</v>
      </c>
      <c r="AK35" s="220">
        <f t="shared" ca="1" si="553"/>
        <v>0</v>
      </c>
      <c r="AL35" s="220">
        <f t="shared" ca="1" si="37"/>
        <v>0</v>
      </c>
      <c r="AM35" s="235">
        <f t="shared" ca="1" si="554"/>
        <v>0</v>
      </c>
      <c r="AN35" s="235">
        <f t="shared" ca="1" si="555"/>
        <v>0</v>
      </c>
      <c r="AO35" s="242">
        <f t="shared" ca="1" si="556"/>
        <v>0</v>
      </c>
      <c r="AP35" s="241">
        <f t="shared" ca="1" si="575"/>
        <v>1</v>
      </c>
      <c r="AQ35" s="220">
        <f t="shared" ca="1" si="41"/>
        <v>0</v>
      </c>
      <c r="AR35" s="220">
        <f t="shared" ca="1" si="42"/>
        <v>0</v>
      </c>
      <c r="AS35" s="235">
        <f t="shared" ca="1" si="43"/>
        <v>0</v>
      </c>
      <c r="AT35" s="235">
        <f t="shared" ca="1" si="44"/>
        <v>0</v>
      </c>
      <c r="AU35" s="242">
        <f t="shared" ca="1" si="45"/>
        <v>0</v>
      </c>
      <c r="AV35" s="241">
        <f t="shared" ca="1" si="575"/>
        <v>1</v>
      </c>
      <c r="AW35" s="220">
        <f t="shared" ca="1" si="46"/>
        <v>0</v>
      </c>
      <c r="AX35" s="220">
        <f t="shared" ca="1" si="47"/>
        <v>0</v>
      </c>
      <c r="AY35" s="235">
        <f t="shared" ca="1" si="48"/>
        <v>0</v>
      </c>
      <c r="AZ35" s="235">
        <f t="shared" ca="1" si="49"/>
        <v>0</v>
      </c>
      <c r="BA35" s="242">
        <f t="shared" ca="1" si="50"/>
        <v>0</v>
      </c>
      <c r="BB35" s="241">
        <f t="shared" ca="1" si="575"/>
        <v>1</v>
      </c>
      <c r="BC35" s="220">
        <f t="shared" ca="1" si="52"/>
        <v>0</v>
      </c>
      <c r="BD35" s="220">
        <f t="shared" ca="1" si="53"/>
        <v>0</v>
      </c>
      <c r="BE35" s="235">
        <f t="shared" ca="1" si="54"/>
        <v>0</v>
      </c>
      <c r="BF35" s="235">
        <f t="shared" ca="1" si="55"/>
        <v>0</v>
      </c>
      <c r="BG35" s="242">
        <f t="shared" ca="1" si="56"/>
        <v>0</v>
      </c>
      <c r="BH35" s="241">
        <f t="shared" ca="1" si="575"/>
        <v>1</v>
      </c>
      <c r="BI35" s="220">
        <f t="shared" ca="1" si="57"/>
        <v>0</v>
      </c>
      <c r="BJ35" s="220">
        <f t="shared" ca="1" si="58"/>
        <v>0</v>
      </c>
      <c r="BK35" s="235">
        <f t="shared" ca="1" si="59"/>
        <v>0</v>
      </c>
      <c r="BL35" s="235">
        <f t="shared" ca="1" si="60"/>
        <v>0</v>
      </c>
      <c r="BM35" s="242">
        <f t="shared" ca="1" si="61"/>
        <v>0</v>
      </c>
      <c r="BN35" s="241">
        <f t="shared" ca="1" si="575"/>
        <v>1</v>
      </c>
      <c r="BO35" s="220">
        <f t="shared" ca="1" si="62"/>
        <v>0</v>
      </c>
      <c r="BP35" s="220">
        <f t="shared" ca="1" si="63"/>
        <v>0</v>
      </c>
      <c r="BQ35" s="235">
        <f t="shared" ca="1" si="64"/>
        <v>0</v>
      </c>
      <c r="BR35" s="235">
        <f t="shared" ca="1" si="65"/>
        <v>0</v>
      </c>
      <c r="BS35" s="242">
        <f t="shared" ca="1" si="66"/>
        <v>0</v>
      </c>
      <c r="BT35" s="241">
        <f t="shared" ca="1" si="575"/>
        <v>1</v>
      </c>
      <c r="BU35" s="220">
        <f t="shared" ca="1" si="67"/>
        <v>0</v>
      </c>
      <c r="BV35" s="220">
        <f t="shared" ca="1" si="68"/>
        <v>0</v>
      </c>
      <c r="BW35" s="235">
        <f t="shared" ca="1" si="69"/>
        <v>0</v>
      </c>
      <c r="BX35" s="235">
        <f t="shared" ca="1" si="70"/>
        <v>0</v>
      </c>
      <c r="BY35" s="242">
        <f t="shared" ca="1" si="71"/>
        <v>0</v>
      </c>
      <c r="BZ35" s="241">
        <f t="shared" ca="1" si="575"/>
        <v>1</v>
      </c>
      <c r="CA35" s="220">
        <f t="shared" ca="1" si="72"/>
        <v>0</v>
      </c>
      <c r="CB35" s="220">
        <f t="shared" ca="1" si="73"/>
        <v>0</v>
      </c>
      <c r="CC35" s="235">
        <f t="shared" ca="1" si="74"/>
        <v>0</v>
      </c>
      <c r="CD35" s="235">
        <f t="shared" ca="1" si="75"/>
        <v>0</v>
      </c>
      <c r="CE35" s="242">
        <f t="shared" ca="1" si="76"/>
        <v>0</v>
      </c>
      <c r="CF35" s="241">
        <f t="shared" ca="1" si="575"/>
        <v>1</v>
      </c>
      <c r="CG35" s="220">
        <f t="shared" ca="1" si="77"/>
        <v>0</v>
      </c>
      <c r="CH35" s="220">
        <f t="shared" ca="1" si="78"/>
        <v>0</v>
      </c>
      <c r="CI35" s="235">
        <f t="shared" ca="1" si="79"/>
        <v>0</v>
      </c>
      <c r="CJ35" s="235">
        <f t="shared" ca="1" si="80"/>
        <v>0</v>
      </c>
      <c r="CK35" s="242">
        <f t="shared" ca="1" si="81"/>
        <v>0</v>
      </c>
      <c r="CL35" s="241">
        <f t="shared" ca="1" si="575"/>
        <v>1</v>
      </c>
      <c r="CM35" s="220">
        <f t="shared" ca="1" si="82"/>
        <v>0</v>
      </c>
      <c r="CN35" s="220">
        <f t="shared" ca="1" si="83"/>
        <v>0</v>
      </c>
      <c r="CO35" s="235">
        <f t="shared" ca="1" si="84"/>
        <v>0</v>
      </c>
      <c r="CP35" s="235">
        <f t="shared" ca="1" si="85"/>
        <v>0</v>
      </c>
      <c r="CQ35" s="242">
        <f t="shared" ca="1" si="86"/>
        <v>0</v>
      </c>
      <c r="CR35" s="241">
        <f t="shared" ca="1" si="575"/>
        <v>1</v>
      </c>
      <c r="CS35" s="220">
        <f t="shared" ca="1" si="87"/>
        <v>0</v>
      </c>
      <c r="CT35" s="220">
        <f t="shared" ca="1" si="88"/>
        <v>0</v>
      </c>
      <c r="CU35" s="235">
        <f t="shared" ca="1" si="89"/>
        <v>0</v>
      </c>
      <c r="CV35" s="235">
        <f t="shared" ca="1" si="90"/>
        <v>0</v>
      </c>
      <c r="CW35" s="242">
        <f t="shared" ca="1" si="91"/>
        <v>0</v>
      </c>
      <c r="CX35" s="241">
        <f t="shared" ca="1" si="568"/>
        <v>1</v>
      </c>
      <c r="CY35" s="220">
        <f t="shared" ca="1" si="92"/>
        <v>0</v>
      </c>
      <c r="CZ35" s="220">
        <f t="shared" ca="1" si="93"/>
        <v>0</v>
      </c>
      <c r="DA35" s="235">
        <f t="shared" ca="1" si="94"/>
        <v>0</v>
      </c>
      <c r="DB35" s="235">
        <f t="shared" ca="1" si="95"/>
        <v>0</v>
      </c>
      <c r="DC35" s="242">
        <f t="shared" ca="1" si="96"/>
        <v>0</v>
      </c>
      <c r="DD35" s="241">
        <f t="shared" ca="1" si="568"/>
        <v>1</v>
      </c>
      <c r="DE35" s="220">
        <f t="shared" ca="1" si="97"/>
        <v>0</v>
      </c>
      <c r="DF35" s="220">
        <f t="shared" ca="1" si="98"/>
        <v>0</v>
      </c>
      <c r="DG35" s="235">
        <f t="shared" ca="1" si="99"/>
        <v>0</v>
      </c>
      <c r="DH35" s="235">
        <f t="shared" ca="1" si="100"/>
        <v>0</v>
      </c>
      <c r="DI35" s="242">
        <f t="shared" ca="1" si="101"/>
        <v>0</v>
      </c>
      <c r="DJ35" s="241">
        <f t="shared" ca="1" si="51"/>
        <v>1</v>
      </c>
      <c r="DK35" s="220">
        <f t="shared" ca="1" si="102"/>
        <v>0</v>
      </c>
      <c r="DL35" s="220">
        <f t="shared" ca="1" si="103"/>
        <v>0</v>
      </c>
      <c r="DM35" s="235">
        <f t="shared" ca="1" si="104"/>
        <v>0</v>
      </c>
      <c r="DN35" s="235">
        <f t="shared" ca="1" si="105"/>
        <v>0</v>
      </c>
      <c r="DO35" s="242">
        <f t="shared" ca="1" si="106"/>
        <v>0</v>
      </c>
      <c r="DP35" s="241">
        <f t="shared" ca="1" si="569"/>
        <v>1</v>
      </c>
      <c r="DQ35" s="220">
        <f t="shared" ca="1" si="108"/>
        <v>0</v>
      </c>
      <c r="DR35" s="220">
        <f t="shared" ca="1" si="109"/>
        <v>0</v>
      </c>
      <c r="DS35" s="235">
        <f t="shared" ca="1" si="110"/>
        <v>0</v>
      </c>
      <c r="DT35" s="235">
        <f t="shared" ca="1" si="111"/>
        <v>0</v>
      </c>
      <c r="DU35" s="242">
        <f t="shared" ca="1" si="112"/>
        <v>0</v>
      </c>
      <c r="DV35" s="241">
        <f t="shared" ca="1" si="569"/>
        <v>1</v>
      </c>
      <c r="DW35" s="220">
        <f t="shared" ca="1" si="113"/>
        <v>0</v>
      </c>
      <c r="DX35" s="220">
        <f t="shared" ca="1" si="114"/>
        <v>0</v>
      </c>
      <c r="DY35" s="235">
        <f t="shared" ca="1" si="115"/>
        <v>0</v>
      </c>
      <c r="DZ35" s="235">
        <f t="shared" ca="1" si="116"/>
        <v>0</v>
      </c>
      <c r="EA35" s="242">
        <f t="shared" ca="1" si="117"/>
        <v>0</v>
      </c>
      <c r="EB35" s="241">
        <f t="shared" ca="1" si="569"/>
        <v>1</v>
      </c>
      <c r="EC35" s="220">
        <f t="shared" ca="1" si="118"/>
        <v>0</v>
      </c>
      <c r="ED35" s="220">
        <f t="shared" ca="1" si="119"/>
        <v>0</v>
      </c>
      <c r="EE35" s="235">
        <f t="shared" ca="1" si="120"/>
        <v>0</v>
      </c>
      <c r="EF35" s="235">
        <f t="shared" ca="1" si="121"/>
        <v>0</v>
      </c>
      <c r="EG35" s="242">
        <f t="shared" ca="1" si="122"/>
        <v>0</v>
      </c>
      <c r="EH35" s="241">
        <f t="shared" ca="1" si="569"/>
        <v>1</v>
      </c>
      <c r="EI35" s="220">
        <f t="shared" ca="1" si="123"/>
        <v>0</v>
      </c>
      <c r="EJ35" s="220">
        <f t="shared" ca="1" si="124"/>
        <v>0</v>
      </c>
      <c r="EK35" s="235">
        <f t="shared" ca="1" si="125"/>
        <v>0</v>
      </c>
      <c r="EL35" s="235">
        <f t="shared" ca="1" si="126"/>
        <v>0</v>
      </c>
      <c r="EM35" s="242">
        <f t="shared" ca="1" si="127"/>
        <v>0</v>
      </c>
      <c r="EN35" s="241">
        <f t="shared" ca="1" si="569"/>
        <v>1</v>
      </c>
      <c r="EO35" s="220">
        <f t="shared" ca="1" si="128"/>
        <v>0</v>
      </c>
      <c r="EP35" s="220">
        <f t="shared" ca="1" si="129"/>
        <v>0</v>
      </c>
      <c r="EQ35" s="235">
        <f t="shared" ca="1" si="130"/>
        <v>0</v>
      </c>
      <c r="ER35" s="235">
        <f t="shared" ca="1" si="131"/>
        <v>0</v>
      </c>
      <c r="ES35" s="242">
        <f t="shared" ca="1" si="132"/>
        <v>0</v>
      </c>
      <c r="ET35" s="241">
        <f t="shared" ca="1" si="569"/>
        <v>1</v>
      </c>
      <c r="EU35" s="220">
        <f t="shared" ca="1" si="133"/>
        <v>0</v>
      </c>
      <c r="EV35" s="220">
        <f t="shared" ca="1" si="134"/>
        <v>0</v>
      </c>
      <c r="EW35" s="235">
        <f t="shared" ca="1" si="135"/>
        <v>0</v>
      </c>
      <c r="EX35" s="235">
        <f t="shared" ca="1" si="136"/>
        <v>0</v>
      </c>
      <c r="EY35" s="242">
        <f t="shared" ca="1" si="137"/>
        <v>0</v>
      </c>
      <c r="EZ35" s="241">
        <f t="shared" ca="1" si="569"/>
        <v>1</v>
      </c>
      <c r="FA35" s="220">
        <f t="shared" ca="1" si="138"/>
        <v>0</v>
      </c>
      <c r="FB35" s="220">
        <f t="shared" ca="1" si="139"/>
        <v>0</v>
      </c>
      <c r="FC35" s="235">
        <f t="shared" ca="1" si="140"/>
        <v>0</v>
      </c>
      <c r="FD35" s="235">
        <f t="shared" ca="1" si="141"/>
        <v>0</v>
      </c>
      <c r="FE35" s="242">
        <f t="shared" ca="1" si="142"/>
        <v>0</v>
      </c>
      <c r="FF35" s="241">
        <f t="shared" ca="1" si="569"/>
        <v>1</v>
      </c>
      <c r="FG35" s="220">
        <f t="shared" ca="1" si="143"/>
        <v>0</v>
      </c>
      <c r="FH35" s="220">
        <f t="shared" ca="1" si="144"/>
        <v>0</v>
      </c>
      <c r="FI35" s="235">
        <f t="shared" ca="1" si="145"/>
        <v>0</v>
      </c>
      <c r="FJ35" s="235">
        <f t="shared" ca="1" si="146"/>
        <v>0</v>
      </c>
      <c r="FK35" s="242">
        <f t="shared" ca="1" si="147"/>
        <v>0</v>
      </c>
      <c r="FL35" s="241">
        <f t="shared" ca="1" si="569"/>
        <v>1</v>
      </c>
      <c r="FM35" s="220">
        <f t="shared" ca="1" si="148"/>
        <v>0</v>
      </c>
      <c r="FN35" s="220">
        <f t="shared" ca="1" si="149"/>
        <v>0</v>
      </c>
      <c r="FO35" s="235">
        <f t="shared" ca="1" si="150"/>
        <v>0</v>
      </c>
      <c r="FP35" s="235">
        <f t="shared" ca="1" si="151"/>
        <v>0</v>
      </c>
      <c r="FQ35" s="242">
        <f t="shared" ca="1" si="152"/>
        <v>0</v>
      </c>
      <c r="FR35" s="241">
        <f t="shared" ca="1" si="569"/>
        <v>1</v>
      </c>
      <c r="FS35" s="220">
        <f t="shared" ca="1" si="153"/>
        <v>0</v>
      </c>
      <c r="FT35" s="220">
        <f t="shared" ca="1" si="154"/>
        <v>0</v>
      </c>
      <c r="FU35" s="235">
        <f t="shared" ca="1" si="155"/>
        <v>0</v>
      </c>
      <c r="FV35" s="235">
        <f t="shared" ca="1" si="156"/>
        <v>0</v>
      </c>
      <c r="FW35" s="242">
        <f t="shared" ca="1" si="157"/>
        <v>0</v>
      </c>
      <c r="FX35" s="241">
        <f t="shared" ca="1" si="569"/>
        <v>1</v>
      </c>
      <c r="FY35" s="220">
        <f t="shared" ca="1" si="158"/>
        <v>0</v>
      </c>
      <c r="FZ35" s="220">
        <f t="shared" ca="1" si="159"/>
        <v>0</v>
      </c>
      <c r="GA35" s="235">
        <f t="shared" ca="1" si="160"/>
        <v>0</v>
      </c>
      <c r="GB35" s="235">
        <f t="shared" ca="1" si="161"/>
        <v>0</v>
      </c>
      <c r="GC35" s="242">
        <f t="shared" ca="1" si="162"/>
        <v>0</v>
      </c>
      <c r="GD35" s="241">
        <f t="shared" ca="1" si="562"/>
        <v>1</v>
      </c>
      <c r="GE35" s="220">
        <f t="shared" ca="1" si="164"/>
        <v>0</v>
      </c>
      <c r="GF35" s="220">
        <f t="shared" ca="1" si="165"/>
        <v>0</v>
      </c>
      <c r="GG35" s="235">
        <f t="shared" ca="1" si="166"/>
        <v>0</v>
      </c>
      <c r="GH35" s="235">
        <f t="shared" ca="1" si="167"/>
        <v>0</v>
      </c>
      <c r="GI35" s="242">
        <f t="shared" ca="1" si="168"/>
        <v>0</v>
      </c>
      <c r="GJ35" s="241">
        <f t="shared" ca="1" si="562"/>
        <v>1</v>
      </c>
      <c r="GK35" s="220">
        <f t="shared" ca="1" si="169"/>
        <v>0</v>
      </c>
      <c r="GL35" s="220">
        <f t="shared" ca="1" si="170"/>
        <v>0</v>
      </c>
      <c r="GM35" s="235">
        <f t="shared" ca="1" si="171"/>
        <v>0</v>
      </c>
      <c r="GN35" s="235">
        <f t="shared" ca="1" si="172"/>
        <v>0</v>
      </c>
      <c r="GO35" s="242">
        <f t="shared" ca="1" si="173"/>
        <v>0</v>
      </c>
      <c r="GP35" s="241">
        <f t="shared" ca="1" si="570"/>
        <v>1</v>
      </c>
      <c r="GQ35" s="220">
        <f t="shared" ca="1" si="174"/>
        <v>0</v>
      </c>
      <c r="GR35" s="220">
        <f t="shared" ca="1" si="175"/>
        <v>0</v>
      </c>
      <c r="GS35" s="235">
        <f t="shared" ca="1" si="176"/>
        <v>0</v>
      </c>
      <c r="GT35" s="235">
        <f t="shared" ca="1" si="177"/>
        <v>0</v>
      </c>
      <c r="GU35" s="242">
        <f t="shared" ca="1" si="178"/>
        <v>0</v>
      </c>
      <c r="GV35" s="241">
        <f t="shared" ca="1" si="570"/>
        <v>1</v>
      </c>
      <c r="GW35" s="220">
        <f t="shared" ca="1" si="179"/>
        <v>0</v>
      </c>
      <c r="GX35" s="220">
        <f t="shared" ca="1" si="180"/>
        <v>0</v>
      </c>
      <c r="GY35" s="235">
        <f t="shared" ca="1" si="181"/>
        <v>0</v>
      </c>
      <c r="GZ35" s="235">
        <f t="shared" ca="1" si="182"/>
        <v>0</v>
      </c>
      <c r="HA35" s="242">
        <f t="shared" ca="1" si="183"/>
        <v>0</v>
      </c>
      <c r="HB35" s="241">
        <f t="shared" ca="1" si="570"/>
        <v>1</v>
      </c>
      <c r="HC35" s="220">
        <f t="shared" ca="1" si="184"/>
        <v>0</v>
      </c>
      <c r="HD35" s="220">
        <f t="shared" ca="1" si="185"/>
        <v>0</v>
      </c>
      <c r="HE35" s="235">
        <f t="shared" ca="1" si="186"/>
        <v>0</v>
      </c>
      <c r="HF35" s="235">
        <f t="shared" ca="1" si="187"/>
        <v>0</v>
      </c>
      <c r="HG35" s="242">
        <f t="shared" ca="1" si="188"/>
        <v>0</v>
      </c>
      <c r="HH35" s="241">
        <f t="shared" ca="1" si="570"/>
        <v>1</v>
      </c>
      <c r="HI35" s="220">
        <f t="shared" ca="1" si="189"/>
        <v>0</v>
      </c>
      <c r="HJ35" s="220">
        <f t="shared" ca="1" si="190"/>
        <v>0</v>
      </c>
      <c r="HK35" s="235">
        <f t="shared" ca="1" si="191"/>
        <v>0</v>
      </c>
      <c r="HL35" s="235">
        <f t="shared" ca="1" si="192"/>
        <v>0</v>
      </c>
      <c r="HM35" s="242">
        <f t="shared" ca="1" si="193"/>
        <v>0</v>
      </c>
      <c r="HN35" s="241">
        <f t="shared" ca="1" si="570"/>
        <v>1</v>
      </c>
      <c r="HO35" s="220">
        <f t="shared" ca="1" si="194"/>
        <v>0</v>
      </c>
      <c r="HP35" s="220">
        <f t="shared" ca="1" si="195"/>
        <v>0</v>
      </c>
      <c r="HQ35" s="235">
        <f t="shared" ca="1" si="196"/>
        <v>0</v>
      </c>
      <c r="HR35" s="235">
        <f t="shared" ca="1" si="197"/>
        <v>0</v>
      </c>
      <c r="HS35" s="242">
        <f t="shared" ca="1" si="198"/>
        <v>0</v>
      </c>
      <c r="HT35" s="241">
        <f t="shared" ca="1" si="570"/>
        <v>1</v>
      </c>
      <c r="HU35" s="220">
        <f t="shared" ca="1" si="199"/>
        <v>0</v>
      </c>
      <c r="HV35" s="220">
        <f t="shared" ca="1" si="200"/>
        <v>0</v>
      </c>
      <c r="HW35" s="235">
        <f t="shared" ca="1" si="201"/>
        <v>0</v>
      </c>
      <c r="HX35" s="235">
        <f t="shared" ca="1" si="202"/>
        <v>0</v>
      </c>
      <c r="HY35" s="242">
        <f t="shared" ca="1" si="203"/>
        <v>0</v>
      </c>
      <c r="HZ35" s="241">
        <f t="shared" ca="1" si="570"/>
        <v>1</v>
      </c>
      <c r="IA35" s="220">
        <f t="shared" ca="1" si="204"/>
        <v>0</v>
      </c>
      <c r="IB35" s="220">
        <f t="shared" ca="1" si="205"/>
        <v>0</v>
      </c>
      <c r="IC35" s="235">
        <f t="shared" ca="1" si="206"/>
        <v>0</v>
      </c>
      <c r="ID35" s="235">
        <f t="shared" ca="1" si="207"/>
        <v>0</v>
      </c>
      <c r="IE35" s="242">
        <f t="shared" ca="1" si="208"/>
        <v>0</v>
      </c>
      <c r="IF35" s="241">
        <f t="shared" ca="1" si="570"/>
        <v>1</v>
      </c>
      <c r="IG35" s="220">
        <f t="shared" ca="1" si="209"/>
        <v>0</v>
      </c>
      <c r="IH35" s="220">
        <f t="shared" ca="1" si="210"/>
        <v>0</v>
      </c>
      <c r="II35" s="235">
        <f t="shared" ca="1" si="211"/>
        <v>0</v>
      </c>
      <c r="IJ35" s="235">
        <f t="shared" ca="1" si="212"/>
        <v>0</v>
      </c>
      <c r="IK35" s="242">
        <f t="shared" ca="1" si="213"/>
        <v>0</v>
      </c>
      <c r="IL35" s="241">
        <f t="shared" ca="1" si="570"/>
        <v>1</v>
      </c>
      <c r="IM35" s="220">
        <f t="shared" ca="1" si="214"/>
        <v>0</v>
      </c>
      <c r="IN35" s="220">
        <f t="shared" ca="1" si="215"/>
        <v>0</v>
      </c>
      <c r="IO35" s="235">
        <f t="shared" ca="1" si="216"/>
        <v>0</v>
      </c>
      <c r="IP35" s="235">
        <f t="shared" ca="1" si="217"/>
        <v>0</v>
      </c>
      <c r="IQ35" s="242">
        <f t="shared" ca="1" si="218"/>
        <v>0</v>
      </c>
      <c r="IR35" s="241">
        <f t="shared" ca="1" si="570"/>
        <v>1</v>
      </c>
      <c r="IS35" s="220">
        <f t="shared" ca="1" si="220"/>
        <v>0</v>
      </c>
      <c r="IT35" s="220">
        <f t="shared" ca="1" si="221"/>
        <v>0</v>
      </c>
      <c r="IU35" s="235">
        <f t="shared" ca="1" si="222"/>
        <v>0</v>
      </c>
      <c r="IV35" s="235">
        <f t="shared" ca="1" si="223"/>
        <v>0</v>
      </c>
      <c r="IW35" s="242">
        <f t="shared" ca="1" si="224"/>
        <v>0</v>
      </c>
      <c r="IX35" s="241">
        <f t="shared" ca="1" si="570"/>
        <v>1</v>
      </c>
      <c r="IY35" s="220">
        <f t="shared" ca="1" si="225"/>
        <v>0</v>
      </c>
      <c r="IZ35" s="220">
        <f t="shared" ca="1" si="226"/>
        <v>0</v>
      </c>
      <c r="JA35" s="235">
        <f t="shared" ca="1" si="227"/>
        <v>0</v>
      </c>
      <c r="JB35" s="235">
        <f t="shared" ca="1" si="228"/>
        <v>0</v>
      </c>
      <c r="JC35" s="242">
        <f t="shared" ca="1" si="229"/>
        <v>0</v>
      </c>
      <c r="JD35" s="241">
        <f t="shared" ca="1" si="563"/>
        <v>1</v>
      </c>
      <c r="JE35" s="220">
        <f t="shared" ca="1" si="230"/>
        <v>0</v>
      </c>
      <c r="JF35" s="220">
        <f t="shared" ca="1" si="231"/>
        <v>0</v>
      </c>
      <c r="JG35" s="235">
        <f t="shared" ca="1" si="232"/>
        <v>0</v>
      </c>
      <c r="JH35" s="235">
        <f t="shared" ca="1" si="233"/>
        <v>0</v>
      </c>
      <c r="JI35" s="242">
        <f t="shared" ca="1" si="234"/>
        <v>0</v>
      </c>
      <c r="JJ35" s="241">
        <f t="shared" ca="1" si="563"/>
        <v>1</v>
      </c>
      <c r="JK35" s="220">
        <f t="shared" ca="1" si="235"/>
        <v>0</v>
      </c>
      <c r="JL35" s="220">
        <f t="shared" ca="1" si="236"/>
        <v>0</v>
      </c>
      <c r="JM35" s="235">
        <f t="shared" ca="1" si="237"/>
        <v>0</v>
      </c>
      <c r="JN35" s="235">
        <f t="shared" ca="1" si="238"/>
        <v>0</v>
      </c>
      <c r="JO35" s="242">
        <f t="shared" ca="1" si="239"/>
        <v>0</v>
      </c>
      <c r="JP35" s="241">
        <f t="shared" ca="1" si="571"/>
        <v>1</v>
      </c>
      <c r="JQ35" s="220">
        <f t="shared" ca="1" si="240"/>
        <v>0</v>
      </c>
      <c r="JR35" s="220">
        <f t="shared" ca="1" si="241"/>
        <v>0</v>
      </c>
      <c r="JS35" s="235">
        <f t="shared" ca="1" si="242"/>
        <v>0</v>
      </c>
      <c r="JT35" s="235">
        <f t="shared" ca="1" si="243"/>
        <v>0</v>
      </c>
      <c r="JU35" s="242">
        <f t="shared" ca="1" si="244"/>
        <v>0</v>
      </c>
      <c r="JV35" s="241">
        <f t="shared" ca="1" si="571"/>
        <v>1</v>
      </c>
      <c r="JW35" s="220">
        <f t="shared" ca="1" si="245"/>
        <v>0</v>
      </c>
      <c r="JX35" s="220">
        <f t="shared" ca="1" si="246"/>
        <v>0</v>
      </c>
      <c r="JY35" s="235">
        <f t="shared" ca="1" si="247"/>
        <v>0</v>
      </c>
      <c r="JZ35" s="235">
        <f t="shared" ca="1" si="248"/>
        <v>0</v>
      </c>
      <c r="KA35" s="242">
        <f t="shared" ca="1" si="249"/>
        <v>0</v>
      </c>
      <c r="KB35" s="241">
        <f t="shared" ca="1" si="571"/>
        <v>1</v>
      </c>
      <c r="KC35" s="220">
        <f t="shared" ca="1" si="250"/>
        <v>0</v>
      </c>
      <c r="KD35" s="220">
        <f t="shared" ca="1" si="251"/>
        <v>0</v>
      </c>
      <c r="KE35" s="235">
        <f t="shared" ca="1" si="252"/>
        <v>0</v>
      </c>
      <c r="KF35" s="235">
        <f t="shared" ca="1" si="253"/>
        <v>0</v>
      </c>
      <c r="KG35" s="242">
        <f t="shared" ca="1" si="254"/>
        <v>0</v>
      </c>
      <c r="KH35" s="241">
        <f t="shared" ca="1" si="571"/>
        <v>1</v>
      </c>
      <c r="KI35" s="220">
        <f t="shared" ca="1" si="255"/>
        <v>0</v>
      </c>
      <c r="KJ35" s="220">
        <f t="shared" ca="1" si="256"/>
        <v>0</v>
      </c>
      <c r="KK35" s="235">
        <f t="shared" ca="1" si="257"/>
        <v>0</v>
      </c>
      <c r="KL35" s="235">
        <f t="shared" ca="1" si="258"/>
        <v>0</v>
      </c>
      <c r="KM35" s="242">
        <f t="shared" ca="1" si="259"/>
        <v>0</v>
      </c>
      <c r="KN35" s="241">
        <f t="shared" ca="1" si="571"/>
        <v>1</v>
      </c>
      <c r="KO35" s="220">
        <f t="shared" ca="1" si="260"/>
        <v>0</v>
      </c>
      <c r="KP35" s="220">
        <f t="shared" ca="1" si="261"/>
        <v>0</v>
      </c>
      <c r="KQ35" s="235">
        <f t="shared" ca="1" si="262"/>
        <v>0</v>
      </c>
      <c r="KR35" s="235">
        <f t="shared" ca="1" si="263"/>
        <v>0</v>
      </c>
      <c r="KS35" s="242">
        <f t="shared" ca="1" si="264"/>
        <v>0</v>
      </c>
      <c r="KT35" s="241">
        <f t="shared" ca="1" si="571"/>
        <v>1</v>
      </c>
      <c r="KU35" s="220">
        <f t="shared" ca="1" si="265"/>
        <v>0</v>
      </c>
      <c r="KV35" s="220">
        <f t="shared" ca="1" si="266"/>
        <v>0</v>
      </c>
      <c r="KW35" s="235">
        <f t="shared" ca="1" si="267"/>
        <v>0</v>
      </c>
      <c r="KX35" s="235">
        <f t="shared" ca="1" si="268"/>
        <v>0</v>
      </c>
      <c r="KY35" s="242">
        <f t="shared" ca="1" si="269"/>
        <v>0</v>
      </c>
      <c r="KZ35" s="241">
        <f t="shared" ca="1" si="571"/>
        <v>1</v>
      </c>
      <c r="LA35" s="220">
        <f t="shared" ca="1" si="270"/>
        <v>0</v>
      </c>
      <c r="LB35" s="220">
        <f t="shared" ca="1" si="271"/>
        <v>0</v>
      </c>
      <c r="LC35" s="235">
        <f t="shared" ca="1" si="272"/>
        <v>0</v>
      </c>
      <c r="LD35" s="235">
        <f t="shared" ca="1" si="273"/>
        <v>0</v>
      </c>
      <c r="LE35" s="242">
        <f t="shared" ca="1" si="274"/>
        <v>0</v>
      </c>
      <c r="LF35" s="241">
        <f t="shared" ca="1" si="571"/>
        <v>1</v>
      </c>
      <c r="LG35" s="220">
        <f t="shared" ca="1" si="276"/>
        <v>0</v>
      </c>
      <c r="LH35" s="220">
        <f t="shared" ca="1" si="277"/>
        <v>0</v>
      </c>
      <c r="LI35" s="235">
        <f t="shared" ca="1" si="278"/>
        <v>0</v>
      </c>
      <c r="LJ35" s="235">
        <f t="shared" ca="1" si="279"/>
        <v>0</v>
      </c>
      <c r="LK35" s="242">
        <f t="shared" ca="1" si="280"/>
        <v>0</v>
      </c>
      <c r="LL35" s="241">
        <f t="shared" ca="1" si="571"/>
        <v>1</v>
      </c>
      <c r="LM35" s="220">
        <f t="shared" ca="1" si="281"/>
        <v>0</v>
      </c>
      <c r="LN35" s="220">
        <f t="shared" ca="1" si="282"/>
        <v>0</v>
      </c>
      <c r="LO35" s="235">
        <f t="shared" ca="1" si="283"/>
        <v>0</v>
      </c>
      <c r="LP35" s="235">
        <f t="shared" ca="1" si="284"/>
        <v>0</v>
      </c>
      <c r="LQ35" s="242">
        <f t="shared" ca="1" si="285"/>
        <v>0</v>
      </c>
      <c r="LR35" s="241">
        <f t="shared" ca="1" si="571"/>
        <v>1</v>
      </c>
      <c r="LS35" s="220">
        <f t="shared" ca="1" si="286"/>
        <v>0</v>
      </c>
      <c r="LT35" s="220">
        <f t="shared" ca="1" si="287"/>
        <v>0</v>
      </c>
      <c r="LU35" s="235">
        <f t="shared" ca="1" si="288"/>
        <v>0</v>
      </c>
      <c r="LV35" s="235">
        <f t="shared" ca="1" si="289"/>
        <v>0</v>
      </c>
      <c r="LW35" s="242">
        <f t="shared" ca="1" si="290"/>
        <v>0</v>
      </c>
      <c r="LX35" s="241">
        <f t="shared" ca="1" si="571"/>
        <v>1</v>
      </c>
      <c r="LY35" s="220">
        <f t="shared" ca="1" si="291"/>
        <v>0</v>
      </c>
      <c r="LZ35" s="220">
        <f t="shared" ca="1" si="292"/>
        <v>0</v>
      </c>
      <c r="MA35" s="235">
        <f t="shared" ca="1" si="293"/>
        <v>0</v>
      </c>
      <c r="MB35" s="235">
        <f t="shared" ca="1" si="294"/>
        <v>0</v>
      </c>
      <c r="MC35" s="242">
        <f t="shared" ca="1" si="295"/>
        <v>0</v>
      </c>
      <c r="MD35" s="241">
        <f t="shared" ca="1" si="564"/>
        <v>1</v>
      </c>
      <c r="ME35" s="220">
        <f t="shared" ca="1" si="296"/>
        <v>0</v>
      </c>
      <c r="MF35" s="220">
        <f t="shared" ca="1" si="297"/>
        <v>0</v>
      </c>
      <c r="MG35" s="235">
        <f t="shared" ca="1" si="298"/>
        <v>0</v>
      </c>
      <c r="MH35" s="235">
        <f t="shared" ca="1" si="299"/>
        <v>0</v>
      </c>
      <c r="MI35" s="242">
        <f t="shared" ca="1" si="300"/>
        <v>0</v>
      </c>
      <c r="MJ35" s="241">
        <f t="shared" ca="1" si="564"/>
        <v>1</v>
      </c>
      <c r="MK35" s="220">
        <f t="shared" ca="1" si="301"/>
        <v>0</v>
      </c>
      <c r="ML35" s="220">
        <f t="shared" ca="1" si="302"/>
        <v>0</v>
      </c>
      <c r="MM35" s="235">
        <f t="shared" ca="1" si="303"/>
        <v>0</v>
      </c>
      <c r="MN35" s="235">
        <f t="shared" ca="1" si="304"/>
        <v>0</v>
      </c>
      <c r="MO35" s="242">
        <f t="shared" ca="1" si="305"/>
        <v>0</v>
      </c>
      <c r="MP35" s="241">
        <f t="shared" ca="1" si="572"/>
        <v>1</v>
      </c>
      <c r="MQ35" s="220">
        <f t="shared" ca="1" si="306"/>
        <v>0</v>
      </c>
      <c r="MR35" s="220">
        <f t="shared" ca="1" si="307"/>
        <v>0</v>
      </c>
      <c r="MS35" s="235">
        <f t="shared" ca="1" si="308"/>
        <v>0</v>
      </c>
      <c r="MT35" s="235">
        <f t="shared" ca="1" si="309"/>
        <v>0</v>
      </c>
      <c r="MU35" s="242">
        <f t="shared" ca="1" si="310"/>
        <v>0</v>
      </c>
      <c r="MV35" s="241">
        <f t="shared" ca="1" si="572"/>
        <v>1</v>
      </c>
      <c r="MW35" s="220">
        <f t="shared" ca="1" si="311"/>
        <v>0</v>
      </c>
      <c r="MX35" s="220">
        <f t="shared" ca="1" si="312"/>
        <v>0</v>
      </c>
      <c r="MY35" s="235">
        <f t="shared" ca="1" si="313"/>
        <v>0</v>
      </c>
      <c r="MZ35" s="235">
        <f t="shared" ca="1" si="314"/>
        <v>0</v>
      </c>
      <c r="NA35" s="242">
        <f t="shared" ca="1" si="315"/>
        <v>0</v>
      </c>
      <c r="NB35" s="241">
        <f t="shared" ca="1" si="572"/>
        <v>1</v>
      </c>
      <c r="NC35" s="220">
        <f t="shared" ca="1" si="316"/>
        <v>0</v>
      </c>
      <c r="ND35" s="220">
        <f t="shared" ca="1" si="317"/>
        <v>0</v>
      </c>
      <c r="NE35" s="235">
        <f t="shared" ca="1" si="318"/>
        <v>0</v>
      </c>
      <c r="NF35" s="235">
        <f t="shared" ca="1" si="319"/>
        <v>0</v>
      </c>
      <c r="NG35" s="242">
        <f t="shared" ca="1" si="320"/>
        <v>0</v>
      </c>
      <c r="NH35" s="241">
        <f t="shared" ca="1" si="572"/>
        <v>1</v>
      </c>
      <c r="NI35" s="220">
        <f t="shared" ca="1" si="321"/>
        <v>0</v>
      </c>
      <c r="NJ35" s="220">
        <f t="shared" ca="1" si="322"/>
        <v>0</v>
      </c>
      <c r="NK35" s="235">
        <f t="shared" ca="1" si="323"/>
        <v>0</v>
      </c>
      <c r="NL35" s="235">
        <f t="shared" ca="1" si="324"/>
        <v>0</v>
      </c>
      <c r="NM35" s="242">
        <f t="shared" ca="1" si="325"/>
        <v>0</v>
      </c>
      <c r="NN35" s="241">
        <f t="shared" ca="1" si="572"/>
        <v>1</v>
      </c>
      <c r="NO35" s="220">
        <f t="shared" ca="1" si="326"/>
        <v>0</v>
      </c>
      <c r="NP35" s="220">
        <f t="shared" ca="1" si="327"/>
        <v>0</v>
      </c>
      <c r="NQ35" s="235">
        <f t="shared" ca="1" si="328"/>
        <v>0</v>
      </c>
      <c r="NR35" s="235">
        <f t="shared" ca="1" si="329"/>
        <v>0</v>
      </c>
      <c r="NS35" s="242">
        <f t="shared" ca="1" si="330"/>
        <v>0</v>
      </c>
      <c r="NT35" s="241">
        <f t="shared" ca="1" si="572"/>
        <v>1</v>
      </c>
      <c r="NU35" s="220">
        <f t="shared" ca="1" si="332"/>
        <v>0</v>
      </c>
      <c r="NV35" s="220">
        <f t="shared" ca="1" si="333"/>
        <v>0</v>
      </c>
      <c r="NW35" s="235">
        <f t="shared" ca="1" si="334"/>
        <v>0</v>
      </c>
      <c r="NX35" s="235">
        <f t="shared" ca="1" si="335"/>
        <v>0</v>
      </c>
      <c r="NY35" s="242">
        <f t="shared" ca="1" si="336"/>
        <v>0</v>
      </c>
      <c r="NZ35" s="241">
        <f t="shared" ca="1" si="572"/>
        <v>1</v>
      </c>
      <c r="OA35" s="220">
        <f t="shared" ca="1" si="337"/>
        <v>0</v>
      </c>
      <c r="OB35" s="220">
        <f t="shared" ca="1" si="338"/>
        <v>0</v>
      </c>
      <c r="OC35" s="235">
        <f t="shared" ca="1" si="339"/>
        <v>0</v>
      </c>
      <c r="OD35" s="235">
        <f t="shared" ca="1" si="340"/>
        <v>0</v>
      </c>
      <c r="OE35" s="242">
        <f t="shared" ca="1" si="341"/>
        <v>0</v>
      </c>
      <c r="OF35" s="241">
        <f t="shared" ca="1" si="572"/>
        <v>1</v>
      </c>
      <c r="OG35" s="220">
        <f t="shared" ca="1" si="342"/>
        <v>0</v>
      </c>
      <c r="OH35" s="220">
        <f t="shared" ca="1" si="343"/>
        <v>0</v>
      </c>
      <c r="OI35" s="235">
        <f t="shared" ca="1" si="344"/>
        <v>0</v>
      </c>
      <c r="OJ35" s="235">
        <f t="shared" ca="1" si="345"/>
        <v>0</v>
      </c>
      <c r="OK35" s="242">
        <f t="shared" ca="1" si="346"/>
        <v>0</v>
      </c>
      <c r="OL35" s="241">
        <f t="shared" ca="1" si="572"/>
        <v>1</v>
      </c>
      <c r="OM35" s="220">
        <f t="shared" ca="1" si="347"/>
        <v>0</v>
      </c>
      <c r="ON35" s="220">
        <f t="shared" ca="1" si="348"/>
        <v>0</v>
      </c>
      <c r="OO35" s="235">
        <f t="shared" ca="1" si="349"/>
        <v>0</v>
      </c>
      <c r="OP35" s="235">
        <f t="shared" ca="1" si="350"/>
        <v>0</v>
      </c>
      <c r="OQ35" s="242">
        <f t="shared" ca="1" si="351"/>
        <v>0</v>
      </c>
      <c r="OR35" s="241">
        <f t="shared" ca="1" si="572"/>
        <v>1</v>
      </c>
      <c r="OS35" s="220">
        <f t="shared" ca="1" si="352"/>
        <v>0</v>
      </c>
      <c r="OT35" s="220">
        <f t="shared" ca="1" si="353"/>
        <v>0</v>
      </c>
      <c r="OU35" s="235">
        <f t="shared" ca="1" si="354"/>
        <v>0</v>
      </c>
      <c r="OV35" s="235">
        <f t="shared" ca="1" si="355"/>
        <v>0</v>
      </c>
      <c r="OW35" s="242">
        <f t="shared" ca="1" si="356"/>
        <v>0</v>
      </c>
      <c r="OX35" s="241">
        <f t="shared" ca="1" si="572"/>
        <v>1</v>
      </c>
      <c r="OY35" s="220">
        <f t="shared" ca="1" si="357"/>
        <v>0</v>
      </c>
      <c r="OZ35" s="220">
        <f t="shared" ca="1" si="358"/>
        <v>0</v>
      </c>
      <c r="PA35" s="235">
        <f t="shared" ca="1" si="359"/>
        <v>0</v>
      </c>
      <c r="PB35" s="235">
        <f t="shared" ca="1" si="360"/>
        <v>0</v>
      </c>
      <c r="PC35" s="242">
        <f t="shared" ca="1" si="361"/>
        <v>0</v>
      </c>
      <c r="PD35" s="241">
        <f t="shared" ca="1" si="565"/>
        <v>1</v>
      </c>
      <c r="PE35" s="220">
        <f t="shared" ca="1" si="362"/>
        <v>0</v>
      </c>
      <c r="PF35" s="220">
        <f t="shared" ca="1" si="363"/>
        <v>0</v>
      </c>
      <c r="PG35" s="235">
        <f t="shared" ca="1" si="364"/>
        <v>0</v>
      </c>
      <c r="PH35" s="235">
        <f t="shared" ca="1" si="365"/>
        <v>0</v>
      </c>
      <c r="PI35" s="242">
        <f t="shared" ca="1" si="366"/>
        <v>0</v>
      </c>
      <c r="PJ35" s="241">
        <f t="shared" ca="1" si="565"/>
        <v>1</v>
      </c>
      <c r="PK35" s="220">
        <f t="shared" ca="1" si="367"/>
        <v>0</v>
      </c>
      <c r="PL35" s="220">
        <f t="shared" ca="1" si="368"/>
        <v>0</v>
      </c>
      <c r="PM35" s="235">
        <f t="shared" ca="1" si="369"/>
        <v>0</v>
      </c>
      <c r="PN35" s="235">
        <f t="shared" ca="1" si="370"/>
        <v>0</v>
      </c>
      <c r="PO35" s="242">
        <f t="shared" ca="1" si="371"/>
        <v>0</v>
      </c>
      <c r="PP35" s="241">
        <f t="shared" ca="1" si="573"/>
        <v>1</v>
      </c>
      <c r="PQ35" s="220">
        <f t="shared" ca="1" si="372"/>
        <v>0</v>
      </c>
      <c r="PR35" s="220">
        <f t="shared" ca="1" si="373"/>
        <v>0</v>
      </c>
      <c r="PS35" s="235">
        <f t="shared" ca="1" si="374"/>
        <v>0</v>
      </c>
      <c r="PT35" s="235">
        <f t="shared" ca="1" si="375"/>
        <v>0</v>
      </c>
      <c r="PU35" s="242">
        <f t="shared" ca="1" si="376"/>
        <v>0</v>
      </c>
      <c r="PV35" s="241">
        <f t="shared" ca="1" si="573"/>
        <v>1</v>
      </c>
      <c r="PW35" s="220">
        <f t="shared" ca="1" si="377"/>
        <v>0</v>
      </c>
      <c r="PX35" s="220">
        <f t="shared" ca="1" si="378"/>
        <v>0</v>
      </c>
      <c r="PY35" s="235">
        <f t="shared" ca="1" si="379"/>
        <v>0</v>
      </c>
      <c r="PZ35" s="235">
        <f t="shared" ca="1" si="380"/>
        <v>0</v>
      </c>
      <c r="QA35" s="242">
        <f t="shared" ca="1" si="381"/>
        <v>0</v>
      </c>
      <c r="QB35" s="241">
        <f t="shared" ca="1" si="573"/>
        <v>1</v>
      </c>
      <c r="QC35" s="220">
        <f t="shared" ca="1" si="382"/>
        <v>0</v>
      </c>
      <c r="QD35" s="220">
        <f t="shared" ca="1" si="383"/>
        <v>0</v>
      </c>
      <c r="QE35" s="235">
        <f t="shared" ca="1" si="384"/>
        <v>0</v>
      </c>
      <c r="QF35" s="235">
        <f t="shared" ca="1" si="385"/>
        <v>0</v>
      </c>
      <c r="QG35" s="242">
        <f t="shared" ca="1" si="386"/>
        <v>0</v>
      </c>
      <c r="QH35" s="241">
        <f t="shared" ca="1" si="573"/>
        <v>1</v>
      </c>
      <c r="QI35" s="220">
        <f t="shared" ca="1" si="388"/>
        <v>0</v>
      </c>
      <c r="QJ35" s="220">
        <f t="shared" ca="1" si="389"/>
        <v>0</v>
      </c>
      <c r="QK35" s="235">
        <f t="shared" ca="1" si="390"/>
        <v>0</v>
      </c>
      <c r="QL35" s="235">
        <f t="shared" ca="1" si="391"/>
        <v>0</v>
      </c>
      <c r="QM35" s="242">
        <f t="shared" ca="1" si="392"/>
        <v>0</v>
      </c>
      <c r="QN35" s="241">
        <f t="shared" ca="1" si="573"/>
        <v>1</v>
      </c>
      <c r="QO35" s="220">
        <f t="shared" ca="1" si="393"/>
        <v>0</v>
      </c>
      <c r="QP35" s="220">
        <f t="shared" ca="1" si="394"/>
        <v>0</v>
      </c>
      <c r="QQ35" s="235">
        <f t="shared" ca="1" si="395"/>
        <v>0</v>
      </c>
      <c r="QR35" s="235">
        <f t="shared" ca="1" si="396"/>
        <v>0</v>
      </c>
      <c r="QS35" s="242">
        <f t="shared" ca="1" si="397"/>
        <v>0</v>
      </c>
      <c r="QT35" s="241">
        <f t="shared" ca="1" si="573"/>
        <v>1</v>
      </c>
      <c r="QU35" s="220">
        <f t="shared" ca="1" si="398"/>
        <v>0</v>
      </c>
      <c r="QV35" s="220">
        <f t="shared" ca="1" si="399"/>
        <v>0</v>
      </c>
      <c r="QW35" s="235">
        <f t="shared" ca="1" si="400"/>
        <v>0</v>
      </c>
      <c r="QX35" s="235">
        <f t="shared" ca="1" si="401"/>
        <v>0</v>
      </c>
      <c r="QY35" s="242">
        <f t="shared" ca="1" si="402"/>
        <v>0</v>
      </c>
      <c r="QZ35" s="241">
        <f t="shared" ca="1" si="573"/>
        <v>1</v>
      </c>
      <c r="RA35" s="220">
        <f t="shared" ca="1" si="403"/>
        <v>0</v>
      </c>
      <c r="RB35" s="220">
        <f t="shared" ca="1" si="404"/>
        <v>0</v>
      </c>
      <c r="RC35" s="235">
        <f t="shared" ca="1" si="405"/>
        <v>0</v>
      </c>
      <c r="RD35" s="235">
        <f t="shared" ca="1" si="406"/>
        <v>0</v>
      </c>
      <c r="RE35" s="242">
        <f t="shared" ca="1" si="407"/>
        <v>0</v>
      </c>
      <c r="RF35" s="241">
        <f t="shared" ca="1" si="573"/>
        <v>1</v>
      </c>
      <c r="RG35" s="220">
        <f t="shared" ca="1" si="408"/>
        <v>0</v>
      </c>
      <c r="RH35" s="220">
        <f t="shared" ca="1" si="409"/>
        <v>0</v>
      </c>
      <c r="RI35" s="235">
        <f t="shared" ca="1" si="410"/>
        <v>0</v>
      </c>
      <c r="RJ35" s="235">
        <f t="shared" ca="1" si="411"/>
        <v>0</v>
      </c>
      <c r="RK35" s="242">
        <f t="shared" ca="1" si="412"/>
        <v>0</v>
      </c>
      <c r="RL35" s="241">
        <f t="shared" ca="1" si="573"/>
        <v>1</v>
      </c>
      <c r="RM35" s="220">
        <f t="shared" ca="1" si="413"/>
        <v>0</v>
      </c>
      <c r="RN35" s="220">
        <f t="shared" ca="1" si="414"/>
        <v>0</v>
      </c>
      <c r="RO35" s="235">
        <f t="shared" ca="1" si="415"/>
        <v>0</v>
      </c>
      <c r="RP35" s="235">
        <f t="shared" ca="1" si="416"/>
        <v>0</v>
      </c>
      <c r="RQ35" s="242">
        <f t="shared" ca="1" si="417"/>
        <v>0</v>
      </c>
      <c r="RR35" s="241">
        <f t="shared" ca="1" si="573"/>
        <v>1</v>
      </c>
      <c r="RS35" s="220">
        <f t="shared" ca="1" si="418"/>
        <v>0</v>
      </c>
      <c r="RT35" s="220">
        <f t="shared" ca="1" si="419"/>
        <v>0</v>
      </c>
      <c r="RU35" s="235">
        <f t="shared" ca="1" si="420"/>
        <v>0</v>
      </c>
      <c r="RV35" s="235">
        <f t="shared" ca="1" si="421"/>
        <v>0</v>
      </c>
      <c r="RW35" s="242">
        <f t="shared" ca="1" si="422"/>
        <v>0</v>
      </c>
      <c r="RX35" s="241">
        <f t="shared" ca="1" si="573"/>
        <v>1</v>
      </c>
      <c r="RY35" s="220">
        <f t="shared" ca="1" si="423"/>
        <v>0</v>
      </c>
      <c r="RZ35" s="220">
        <f t="shared" ca="1" si="424"/>
        <v>0</v>
      </c>
      <c r="SA35" s="235">
        <f t="shared" ca="1" si="425"/>
        <v>0</v>
      </c>
      <c r="SB35" s="235">
        <f t="shared" ca="1" si="426"/>
        <v>0</v>
      </c>
      <c r="SC35" s="242">
        <f t="shared" ca="1" si="427"/>
        <v>0</v>
      </c>
      <c r="SD35" s="241">
        <f t="shared" ca="1" si="566"/>
        <v>1</v>
      </c>
      <c r="SE35" s="220">
        <f t="shared" ca="1" si="428"/>
        <v>0</v>
      </c>
      <c r="SF35" s="220">
        <f t="shared" ca="1" si="429"/>
        <v>0</v>
      </c>
      <c r="SG35" s="235">
        <f t="shared" ca="1" si="430"/>
        <v>0</v>
      </c>
      <c r="SH35" s="235">
        <f t="shared" ca="1" si="431"/>
        <v>0</v>
      </c>
      <c r="SI35" s="242">
        <f t="shared" ca="1" si="432"/>
        <v>0</v>
      </c>
      <c r="SJ35" s="241">
        <f t="shared" ca="1" si="566"/>
        <v>1</v>
      </c>
      <c r="SK35" s="220">
        <f t="shared" ca="1" si="433"/>
        <v>0</v>
      </c>
      <c r="SL35" s="220">
        <f t="shared" ca="1" si="434"/>
        <v>0</v>
      </c>
      <c r="SM35" s="235">
        <f t="shared" ca="1" si="435"/>
        <v>0</v>
      </c>
      <c r="SN35" s="235">
        <f t="shared" ca="1" si="436"/>
        <v>0</v>
      </c>
      <c r="SO35" s="242">
        <f t="shared" ca="1" si="437"/>
        <v>0</v>
      </c>
      <c r="SP35" s="241">
        <f t="shared" ca="1" si="576"/>
        <v>1</v>
      </c>
      <c r="SQ35" s="220">
        <f t="shared" ca="1" si="438"/>
        <v>0</v>
      </c>
      <c r="SR35" s="220">
        <f t="shared" ca="1" si="439"/>
        <v>0</v>
      </c>
      <c r="SS35" s="235">
        <f t="shared" ca="1" si="440"/>
        <v>0</v>
      </c>
      <c r="ST35" s="235">
        <f t="shared" ca="1" si="441"/>
        <v>0</v>
      </c>
      <c r="SU35" s="242">
        <f t="shared" ca="1" si="442"/>
        <v>0</v>
      </c>
      <c r="SV35" s="241">
        <f t="shared" ca="1" si="576"/>
        <v>1</v>
      </c>
      <c r="SW35" s="220">
        <f t="shared" ca="1" si="444"/>
        <v>0</v>
      </c>
      <c r="SX35" s="220">
        <f t="shared" ca="1" si="445"/>
        <v>0</v>
      </c>
      <c r="SY35" s="235">
        <f t="shared" ca="1" si="446"/>
        <v>0</v>
      </c>
      <c r="SZ35" s="235">
        <f t="shared" ca="1" si="447"/>
        <v>0</v>
      </c>
      <c r="TA35" s="242">
        <f t="shared" ca="1" si="448"/>
        <v>0</v>
      </c>
      <c r="TB35" s="241">
        <f t="shared" ca="1" si="576"/>
        <v>1</v>
      </c>
      <c r="TC35" s="220">
        <f t="shared" ca="1" si="449"/>
        <v>0</v>
      </c>
      <c r="TD35" s="220">
        <f t="shared" ca="1" si="450"/>
        <v>0</v>
      </c>
      <c r="TE35" s="235">
        <f t="shared" ca="1" si="451"/>
        <v>0</v>
      </c>
      <c r="TF35" s="235">
        <f t="shared" ca="1" si="452"/>
        <v>0</v>
      </c>
      <c r="TG35" s="242">
        <f t="shared" ca="1" si="453"/>
        <v>0</v>
      </c>
      <c r="TH35" s="241">
        <f t="shared" ca="1" si="576"/>
        <v>1</v>
      </c>
      <c r="TI35" s="220">
        <f t="shared" ca="1" si="454"/>
        <v>0</v>
      </c>
      <c r="TJ35" s="220">
        <f t="shared" ca="1" si="455"/>
        <v>0</v>
      </c>
      <c r="TK35" s="235">
        <f t="shared" ca="1" si="456"/>
        <v>0</v>
      </c>
      <c r="TL35" s="235">
        <f t="shared" ca="1" si="457"/>
        <v>0</v>
      </c>
      <c r="TM35" s="242">
        <f t="shared" ca="1" si="458"/>
        <v>0</v>
      </c>
      <c r="TN35" s="241">
        <f t="shared" ca="1" si="576"/>
        <v>1</v>
      </c>
      <c r="TO35" s="220">
        <f t="shared" ca="1" si="459"/>
        <v>0</v>
      </c>
      <c r="TP35" s="220">
        <f t="shared" ca="1" si="460"/>
        <v>0</v>
      </c>
      <c r="TQ35" s="235">
        <f t="shared" ca="1" si="461"/>
        <v>0</v>
      </c>
      <c r="TR35" s="235">
        <f t="shared" ca="1" si="462"/>
        <v>0</v>
      </c>
      <c r="TS35" s="242">
        <f t="shared" ca="1" si="463"/>
        <v>0</v>
      </c>
      <c r="TT35" s="241">
        <f t="shared" ca="1" si="576"/>
        <v>1</v>
      </c>
      <c r="TU35" s="220">
        <f t="shared" ca="1" si="464"/>
        <v>0</v>
      </c>
      <c r="TV35" s="220">
        <f t="shared" ca="1" si="465"/>
        <v>0</v>
      </c>
      <c r="TW35" s="235">
        <f t="shared" ca="1" si="466"/>
        <v>0</v>
      </c>
      <c r="TX35" s="235">
        <f t="shared" ca="1" si="467"/>
        <v>0</v>
      </c>
      <c r="TY35" s="242">
        <f t="shared" ca="1" si="468"/>
        <v>0</v>
      </c>
      <c r="TZ35" s="241">
        <f t="shared" ca="1" si="576"/>
        <v>1</v>
      </c>
      <c r="UA35" s="220">
        <f t="shared" ca="1" si="469"/>
        <v>0</v>
      </c>
      <c r="UB35" s="220">
        <f t="shared" ca="1" si="470"/>
        <v>0</v>
      </c>
      <c r="UC35" s="235">
        <f t="shared" ca="1" si="471"/>
        <v>0</v>
      </c>
      <c r="UD35" s="235">
        <f t="shared" ca="1" si="472"/>
        <v>0</v>
      </c>
      <c r="UE35" s="242">
        <f t="shared" ca="1" si="473"/>
        <v>0</v>
      </c>
      <c r="UF35" s="241">
        <f t="shared" ca="1" si="576"/>
        <v>1</v>
      </c>
      <c r="UG35" s="220">
        <f t="shared" ca="1" si="474"/>
        <v>0</v>
      </c>
      <c r="UH35" s="220">
        <f t="shared" ca="1" si="475"/>
        <v>0</v>
      </c>
      <c r="UI35" s="235">
        <f t="shared" ca="1" si="476"/>
        <v>0</v>
      </c>
      <c r="UJ35" s="235">
        <f t="shared" ca="1" si="477"/>
        <v>0</v>
      </c>
      <c r="UK35" s="242">
        <f t="shared" ca="1" si="478"/>
        <v>0</v>
      </c>
      <c r="UL35" s="241">
        <f t="shared" ca="1" si="576"/>
        <v>1</v>
      </c>
      <c r="UM35" s="220">
        <f t="shared" ca="1" si="479"/>
        <v>0</v>
      </c>
      <c r="UN35" s="220">
        <f t="shared" ca="1" si="480"/>
        <v>0</v>
      </c>
      <c r="UO35" s="235">
        <f t="shared" ca="1" si="481"/>
        <v>0</v>
      </c>
      <c r="UP35" s="235">
        <f t="shared" ca="1" si="482"/>
        <v>0</v>
      </c>
      <c r="UQ35" s="242">
        <f t="shared" ca="1" si="483"/>
        <v>0</v>
      </c>
      <c r="UR35" s="241">
        <f t="shared" ca="1" si="576"/>
        <v>1</v>
      </c>
      <c r="US35" s="220">
        <f t="shared" ca="1" si="484"/>
        <v>0</v>
      </c>
      <c r="UT35" s="220">
        <f t="shared" ca="1" si="485"/>
        <v>0</v>
      </c>
      <c r="UU35" s="235">
        <f t="shared" ca="1" si="486"/>
        <v>0</v>
      </c>
      <c r="UV35" s="235">
        <f t="shared" ca="1" si="487"/>
        <v>0</v>
      </c>
      <c r="UW35" s="242">
        <f t="shared" ca="1" si="488"/>
        <v>0</v>
      </c>
      <c r="UX35" s="241">
        <f t="shared" ca="1" si="576"/>
        <v>1</v>
      </c>
      <c r="UY35" s="220">
        <f t="shared" ca="1" si="489"/>
        <v>0</v>
      </c>
      <c r="UZ35" s="220">
        <f t="shared" ca="1" si="490"/>
        <v>0</v>
      </c>
      <c r="VA35" s="235">
        <f t="shared" ca="1" si="491"/>
        <v>0</v>
      </c>
      <c r="VB35" s="235">
        <f t="shared" ca="1" si="492"/>
        <v>0</v>
      </c>
      <c r="VC35" s="242">
        <f t="shared" ca="1" si="493"/>
        <v>0</v>
      </c>
      <c r="VD35" s="241">
        <f t="shared" ca="1" si="574"/>
        <v>1</v>
      </c>
      <c r="VE35" s="220">
        <f t="shared" ca="1" si="494"/>
        <v>0</v>
      </c>
      <c r="VF35" s="220">
        <f t="shared" ca="1" si="495"/>
        <v>0</v>
      </c>
      <c r="VG35" s="235">
        <f t="shared" ca="1" si="496"/>
        <v>0</v>
      </c>
      <c r="VH35" s="235">
        <f t="shared" ca="1" si="497"/>
        <v>0</v>
      </c>
      <c r="VI35" s="242">
        <f t="shared" ca="1" si="498"/>
        <v>0</v>
      </c>
      <c r="VJ35" s="241">
        <f t="shared" ca="1" si="567"/>
        <v>1</v>
      </c>
      <c r="VK35" s="220">
        <f t="shared" ca="1" si="500"/>
        <v>0</v>
      </c>
      <c r="VL35" s="220">
        <f t="shared" ca="1" si="501"/>
        <v>0</v>
      </c>
      <c r="VM35" s="235">
        <f t="shared" ca="1" si="502"/>
        <v>0</v>
      </c>
      <c r="VN35" s="235">
        <f t="shared" ca="1" si="503"/>
        <v>0</v>
      </c>
      <c r="VO35" s="242">
        <f t="shared" ca="1" si="504"/>
        <v>0</v>
      </c>
      <c r="VP35" s="241">
        <f t="shared" ca="1" si="567"/>
        <v>1</v>
      </c>
      <c r="VQ35" s="220">
        <f t="shared" ca="1" si="505"/>
        <v>0</v>
      </c>
      <c r="VR35" s="220">
        <f t="shared" ca="1" si="506"/>
        <v>0</v>
      </c>
      <c r="VS35" s="235">
        <f t="shared" ca="1" si="507"/>
        <v>0</v>
      </c>
      <c r="VT35" s="235">
        <f t="shared" ca="1" si="508"/>
        <v>0</v>
      </c>
      <c r="VU35" s="242">
        <f t="shared" ca="1" si="509"/>
        <v>0</v>
      </c>
      <c r="VV35" s="241">
        <f t="shared" ca="1" si="499"/>
        <v>1</v>
      </c>
      <c r="VW35" s="220">
        <f t="shared" ca="1" si="510"/>
        <v>0</v>
      </c>
      <c r="VX35" s="220">
        <f t="shared" ca="1" si="511"/>
        <v>0</v>
      </c>
      <c r="VY35" s="235">
        <f t="shared" ca="1" si="512"/>
        <v>0</v>
      </c>
      <c r="VZ35" s="235">
        <f t="shared" ca="1" si="513"/>
        <v>0</v>
      </c>
      <c r="WA35" s="242">
        <f t="shared" ca="1" si="514"/>
        <v>0</v>
      </c>
      <c r="WB35" s="241">
        <f t="shared" ca="1" si="499"/>
        <v>1</v>
      </c>
      <c r="WC35" s="220">
        <f t="shared" ca="1" si="515"/>
        <v>0</v>
      </c>
      <c r="WD35" s="220">
        <f t="shared" ca="1" si="516"/>
        <v>0</v>
      </c>
      <c r="WE35" s="235">
        <f t="shared" ca="1" si="517"/>
        <v>0</v>
      </c>
      <c r="WF35" s="235">
        <f t="shared" ca="1" si="518"/>
        <v>0</v>
      </c>
      <c r="WG35" s="242">
        <f t="shared" ca="1" si="519"/>
        <v>0</v>
      </c>
      <c r="WH35" s="241">
        <f t="shared" ca="1" si="499"/>
        <v>1</v>
      </c>
      <c r="WI35" s="220">
        <f t="shared" ca="1" si="520"/>
        <v>0</v>
      </c>
      <c r="WJ35" s="220">
        <f t="shared" ca="1" si="521"/>
        <v>0</v>
      </c>
      <c r="WK35" s="235">
        <f t="shared" ca="1" si="522"/>
        <v>0</v>
      </c>
      <c r="WL35" s="235">
        <f t="shared" ca="1" si="523"/>
        <v>0</v>
      </c>
      <c r="WM35" s="242">
        <f t="shared" ca="1" si="524"/>
        <v>0</v>
      </c>
      <c r="WN35" s="241">
        <f t="shared" ca="1" si="499"/>
        <v>1</v>
      </c>
      <c r="WO35" s="220">
        <f t="shared" ca="1" si="525"/>
        <v>0</v>
      </c>
      <c r="WP35" s="220">
        <f t="shared" ca="1" si="526"/>
        <v>0</v>
      </c>
      <c r="WQ35" s="235">
        <f t="shared" ca="1" si="527"/>
        <v>0</v>
      </c>
      <c r="WR35" s="235">
        <f t="shared" ca="1" si="528"/>
        <v>0</v>
      </c>
      <c r="WS35" s="242">
        <f t="shared" ca="1" si="529"/>
        <v>0</v>
      </c>
      <c r="WT35" s="241">
        <f t="shared" ca="1" si="499"/>
        <v>1</v>
      </c>
      <c r="WU35" s="220">
        <f t="shared" ca="1" si="530"/>
        <v>0</v>
      </c>
      <c r="WV35" s="220">
        <f t="shared" ca="1" si="531"/>
        <v>0</v>
      </c>
      <c r="WW35" s="235">
        <f t="shared" ca="1" si="532"/>
        <v>0</v>
      </c>
      <c r="WX35" s="235">
        <f t="shared" ca="1" si="533"/>
        <v>0</v>
      </c>
      <c r="WY35" s="242">
        <f t="shared" ca="1" si="534"/>
        <v>0</v>
      </c>
      <c r="WZ35" s="241">
        <f t="shared" ca="1" si="499"/>
        <v>1</v>
      </c>
      <c r="XA35" s="220">
        <f t="shared" ca="1" si="535"/>
        <v>0</v>
      </c>
      <c r="XB35" s="220">
        <f t="shared" ca="1" si="536"/>
        <v>0</v>
      </c>
      <c r="XC35" s="235">
        <f t="shared" ca="1" si="537"/>
        <v>0</v>
      </c>
      <c r="XD35" s="235">
        <f t="shared" ca="1" si="538"/>
        <v>0</v>
      </c>
      <c r="XE35" s="242">
        <f t="shared" ca="1" si="539"/>
        <v>0</v>
      </c>
      <c r="XF35" s="241">
        <f t="shared" ca="1" si="499"/>
        <v>1</v>
      </c>
      <c r="XG35" s="220">
        <f t="shared" ca="1" si="540"/>
        <v>0</v>
      </c>
      <c r="XH35" s="220">
        <f t="shared" ca="1" si="541"/>
        <v>0</v>
      </c>
      <c r="XI35" s="235">
        <f t="shared" ca="1" si="542"/>
        <v>0</v>
      </c>
      <c r="XJ35" s="235">
        <f t="shared" ca="1" si="543"/>
        <v>0</v>
      </c>
      <c r="XK35" s="242">
        <f t="shared" ca="1" si="544"/>
        <v>0</v>
      </c>
    </row>
    <row r="36" spans="2:635" x14ac:dyDescent="0.25">
      <c r="B36" s="65">
        <f t="shared" ca="1" si="14"/>
        <v>2051</v>
      </c>
      <c r="C36" s="65" t="s">
        <v>741</v>
      </c>
      <c r="D36" s="77">
        <f t="shared" si="15"/>
        <v>0</v>
      </c>
      <c r="E36" s="77">
        <f t="shared" si="16"/>
        <v>0</v>
      </c>
      <c r="F36" s="77">
        <f t="shared" si="17"/>
        <v>0</v>
      </c>
      <c r="G36" s="77">
        <f t="shared" si="18"/>
        <v>0</v>
      </c>
      <c r="H36" s="15" t="e">
        <f t="shared" ca="1" si="19"/>
        <v>#REF!</v>
      </c>
      <c r="L36" s="326">
        <f t="shared" ca="1" si="20"/>
        <v>3.5000000000000003E-2</v>
      </c>
      <c r="M36" s="327">
        <f t="shared" ca="1" si="21"/>
        <v>3.5000000000000003E-2</v>
      </c>
      <c r="N36" s="322">
        <f t="shared" ca="1" si="22"/>
        <v>-28</v>
      </c>
      <c r="O36" s="322">
        <f t="shared" ca="1" si="23"/>
        <v>0</v>
      </c>
      <c r="P36" s="328">
        <f t="shared" ca="1" si="545"/>
        <v>0</v>
      </c>
      <c r="Q36" s="328">
        <f t="shared" ca="1" si="546"/>
        <v>0</v>
      </c>
      <c r="R36" s="328">
        <f t="shared" ca="1" si="547"/>
        <v>0</v>
      </c>
      <c r="S36" s="329">
        <f t="shared" ca="1" si="24"/>
        <v>0</v>
      </c>
      <c r="T36" s="329">
        <f t="shared" ca="1" si="25"/>
        <v>0</v>
      </c>
      <c r="U36" s="329">
        <f t="shared" ca="1" si="26"/>
        <v>0</v>
      </c>
      <c r="V36" s="320" t="e">
        <f t="shared" ca="1" si="27"/>
        <v>#REF!</v>
      </c>
      <c r="W36" s="320" t="e">
        <f t="shared" ca="1" si="560"/>
        <v>#REF!</v>
      </c>
      <c r="X36" s="320" t="e">
        <f t="shared" ca="1" si="29"/>
        <v>#REF!</v>
      </c>
      <c r="Y36" s="320" t="e">
        <f ca="1">INDEX(SC_ZA_HECMLumpSum,ZAIDX)</f>
        <v>#REF!</v>
      </c>
      <c r="Z36" s="320" t="e">
        <f t="shared" ca="1" si="30"/>
        <v>#REF!</v>
      </c>
      <c r="AA36" s="320">
        <f t="shared" ca="1" si="557"/>
        <v>0</v>
      </c>
      <c r="AB36" s="320" t="e">
        <f t="shared" ca="1" si="558"/>
        <v>#REF!</v>
      </c>
      <c r="AC36" s="330" t="e">
        <f t="shared" ca="1" si="559"/>
        <v>#REF!</v>
      </c>
      <c r="AD36" s="236" t="e">
        <f t="shared" ca="1" si="548"/>
        <v>#REF!</v>
      </c>
      <c r="AE36" s="320" t="e">
        <f t="shared" ca="1" si="561"/>
        <v>#REF!</v>
      </c>
      <c r="AF36" s="320" t="e">
        <f t="shared" ca="1" si="35"/>
        <v>#REF!</v>
      </c>
      <c r="AG36" s="320" t="e">
        <f t="shared" ca="1" si="549"/>
        <v>#REF!</v>
      </c>
      <c r="AH36" s="284" t="e">
        <f t="shared" ca="1" si="550"/>
        <v>#REF!</v>
      </c>
      <c r="AI36" s="318" t="e">
        <f t="shared" ca="1" si="551"/>
        <v>#REF!</v>
      </c>
      <c r="AJ36" s="331">
        <f t="shared" ca="1" si="575"/>
        <v>1</v>
      </c>
      <c r="AK36" s="220">
        <f t="shared" ca="1" si="553"/>
        <v>0</v>
      </c>
      <c r="AL36" s="220">
        <f t="shared" ca="1" si="37"/>
        <v>0</v>
      </c>
      <c r="AM36" s="235">
        <f t="shared" ca="1" si="554"/>
        <v>0</v>
      </c>
      <c r="AN36" s="235">
        <f t="shared" ca="1" si="555"/>
        <v>0</v>
      </c>
      <c r="AO36" s="242">
        <f t="shared" ca="1" si="556"/>
        <v>0</v>
      </c>
      <c r="AP36" s="241">
        <f t="shared" ca="1" si="575"/>
        <v>1</v>
      </c>
      <c r="AQ36" s="220">
        <f t="shared" ca="1" si="41"/>
        <v>0</v>
      </c>
      <c r="AR36" s="220">
        <f t="shared" ca="1" si="42"/>
        <v>0</v>
      </c>
      <c r="AS36" s="235">
        <f t="shared" ca="1" si="43"/>
        <v>0</v>
      </c>
      <c r="AT36" s="235">
        <f t="shared" ca="1" si="44"/>
        <v>0</v>
      </c>
      <c r="AU36" s="242">
        <f t="shared" ca="1" si="45"/>
        <v>0</v>
      </c>
      <c r="AV36" s="241">
        <f t="shared" ca="1" si="575"/>
        <v>1</v>
      </c>
      <c r="AW36" s="220">
        <f t="shared" ca="1" si="46"/>
        <v>0</v>
      </c>
      <c r="AX36" s="220">
        <f t="shared" ca="1" si="47"/>
        <v>0</v>
      </c>
      <c r="AY36" s="235">
        <f t="shared" ca="1" si="48"/>
        <v>0</v>
      </c>
      <c r="AZ36" s="235">
        <f t="shared" ca="1" si="49"/>
        <v>0</v>
      </c>
      <c r="BA36" s="242">
        <f t="shared" ca="1" si="50"/>
        <v>0</v>
      </c>
      <c r="BB36" s="241">
        <f t="shared" ca="1" si="575"/>
        <v>1</v>
      </c>
      <c r="BC36" s="220">
        <f t="shared" ca="1" si="52"/>
        <v>0</v>
      </c>
      <c r="BD36" s="220">
        <f t="shared" ca="1" si="53"/>
        <v>0</v>
      </c>
      <c r="BE36" s="235">
        <f t="shared" ca="1" si="54"/>
        <v>0</v>
      </c>
      <c r="BF36" s="235">
        <f t="shared" ca="1" si="55"/>
        <v>0</v>
      </c>
      <c r="BG36" s="242">
        <f t="shared" ca="1" si="56"/>
        <v>0</v>
      </c>
      <c r="BH36" s="241">
        <f t="shared" ca="1" si="575"/>
        <v>1</v>
      </c>
      <c r="BI36" s="220">
        <f t="shared" ca="1" si="57"/>
        <v>0</v>
      </c>
      <c r="BJ36" s="220">
        <f t="shared" ca="1" si="58"/>
        <v>0</v>
      </c>
      <c r="BK36" s="235">
        <f t="shared" ca="1" si="59"/>
        <v>0</v>
      </c>
      <c r="BL36" s="235">
        <f t="shared" ca="1" si="60"/>
        <v>0</v>
      </c>
      <c r="BM36" s="242">
        <f t="shared" ca="1" si="61"/>
        <v>0</v>
      </c>
      <c r="BN36" s="241">
        <f t="shared" ca="1" si="575"/>
        <v>1</v>
      </c>
      <c r="BO36" s="220">
        <f t="shared" ca="1" si="62"/>
        <v>0</v>
      </c>
      <c r="BP36" s="220">
        <f t="shared" ca="1" si="63"/>
        <v>0</v>
      </c>
      <c r="BQ36" s="235">
        <f t="shared" ca="1" si="64"/>
        <v>0</v>
      </c>
      <c r="BR36" s="235">
        <f t="shared" ca="1" si="65"/>
        <v>0</v>
      </c>
      <c r="BS36" s="242">
        <f t="shared" ca="1" si="66"/>
        <v>0</v>
      </c>
      <c r="BT36" s="241">
        <f t="shared" ca="1" si="575"/>
        <v>1</v>
      </c>
      <c r="BU36" s="220">
        <f t="shared" ca="1" si="67"/>
        <v>0</v>
      </c>
      <c r="BV36" s="220">
        <f t="shared" ca="1" si="68"/>
        <v>0</v>
      </c>
      <c r="BW36" s="235">
        <f t="shared" ca="1" si="69"/>
        <v>0</v>
      </c>
      <c r="BX36" s="235">
        <f t="shared" ca="1" si="70"/>
        <v>0</v>
      </c>
      <c r="BY36" s="242">
        <f t="shared" ca="1" si="71"/>
        <v>0</v>
      </c>
      <c r="BZ36" s="241">
        <f t="shared" ca="1" si="575"/>
        <v>1</v>
      </c>
      <c r="CA36" s="220">
        <f t="shared" ca="1" si="72"/>
        <v>0</v>
      </c>
      <c r="CB36" s="220">
        <f t="shared" ca="1" si="73"/>
        <v>0</v>
      </c>
      <c r="CC36" s="235">
        <f t="shared" ca="1" si="74"/>
        <v>0</v>
      </c>
      <c r="CD36" s="235">
        <f t="shared" ca="1" si="75"/>
        <v>0</v>
      </c>
      <c r="CE36" s="242">
        <f t="shared" ca="1" si="76"/>
        <v>0</v>
      </c>
      <c r="CF36" s="241">
        <f t="shared" ca="1" si="575"/>
        <v>1</v>
      </c>
      <c r="CG36" s="220">
        <f t="shared" ca="1" si="77"/>
        <v>0</v>
      </c>
      <c r="CH36" s="220">
        <f t="shared" ca="1" si="78"/>
        <v>0</v>
      </c>
      <c r="CI36" s="235">
        <f t="shared" ca="1" si="79"/>
        <v>0</v>
      </c>
      <c r="CJ36" s="235">
        <f t="shared" ca="1" si="80"/>
        <v>0</v>
      </c>
      <c r="CK36" s="242">
        <f t="shared" ca="1" si="81"/>
        <v>0</v>
      </c>
      <c r="CL36" s="241">
        <f t="shared" ca="1" si="575"/>
        <v>1</v>
      </c>
      <c r="CM36" s="220">
        <f t="shared" ca="1" si="82"/>
        <v>0</v>
      </c>
      <c r="CN36" s="220">
        <f t="shared" ca="1" si="83"/>
        <v>0</v>
      </c>
      <c r="CO36" s="235">
        <f t="shared" ca="1" si="84"/>
        <v>0</v>
      </c>
      <c r="CP36" s="235">
        <f t="shared" ca="1" si="85"/>
        <v>0</v>
      </c>
      <c r="CQ36" s="242">
        <f t="shared" ca="1" si="86"/>
        <v>0</v>
      </c>
      <c r="CR36" s="241">
        <f t="shared" ca="1" si="575"/>
        <v>1</v>
      </c>
      <c r="CS36" s="220">
        <f t="shared" ca="1" si="87"/>
        <v>0</v>
      </c>
      <c r="CT36" s="220">
        <f t="shared" ca="1" si="88"/>
        <v>0</v>
      </c>
      <c r="CU36" s="235">
        <f t="shared" ca="1" si="89"/>
        <v>0</v>
      </c>
      <c r="CV36" s="235">
        <f t="shared" ca="1" si="90"/>
        <v>0</v>
      </c>
      <c r="CW36" s="242">
        <f t="shared" ca="1" si="91"/>
        <v>0</v>
      </c>
      <c r="CX36" s="241">
        <f t="shared" ca="1" si="568"/>
        <v>1</v>
      </c>
      <c r="CY36" s="220">
        <f t="shared" ca="1" si="92"/>
        <v>0</v>
      </c>
      <c r="CZ36" s="220">
        <f t="shared" ca="1" si="93"/>
        <v>0</v>
      </c>
      <c r="DA36" s="235">
        <f t="shared" ca="1" si="94"/>
        <v>0</v>
      </c>
      <c r="DB36" s="235">
        <f t="shared" ca="1" si="95"/>
        <v>0</v>
      </c>
      <c r="DC36" s="242">
        <f t="shared" ca="1" si="96"/>
        <v>0</v>
      </c>
      <c r="DD36" s="241">
        <f t="shared" ca="1" si="568"/>
        <v>1</v>
      </c>
      <c r="DE36" s="220">
        <f t="shared" ca="1" si="97"/>
        <v>0</v>
      </c>
      <c r="DF36" s="220">
        <f t="shared" ca="1" si="98"/>
        <v>0</v>
      </c>
      <c r="DG36" s="235">
        <f t="shared" ca="1" si="99"/>
        <v>0</v>
      </c>
      <c r="DH36" s="235">
        <f t="shared" ca="1" si="100"/>
        <v>0</v>
      </c>
      <c r="DI36" s="242">
        <f t="shared" ca="1" si="101"/>
        <v>0</v>
      </c>
      <c r="DJ36" s="241">
        <f t="shared" ca="1" si="51"/>
        <v>1</v>
      </c>
      <c r="DK36" s="220">
        <f t="shared" ca="1" si="102"/>
        <v>0</v>
      </c>
      <c r="DL36" s="220">
        <f t="shared" ca="1" si="103"/>
        <v>0</v>
      </c>
      <c r="DM36" s="235">
        <f t="shared" ca="1" si="104"/>
        <v>0</v>
      </c>
      <c r="DN36" s="235">
        <f t="shared" ca="1" si="105"/>
        <v>0</v>
      </c>
      <c r="DO36" s="242">
        <f t="shared" ca="1" si="106"/>
        <v>0</v>
      </c>
      <c r="DP36" s="241">
        <f t="shared" ca="1" si="569"/>
        <v>1</v>
      </c>
      <c r="DQ36" s="220">
        <f t="shared" ca="1" si="108"/>
        <v>0</v>
      </c>
      <c r="DR36" s="220">
        <f t="shared" ca="1" si="109"/>
        <v>0</v>
      </c>
      <c r="DS36" s="235">
        <f t="shared" ca="1" si="110"/>
        <v>0</v>
      </c>
      <c r="DT36" s="235">
        <f t="shared" ca="1" si="111"/>
        <v>0</v>
      </c>
      <c r="DU36" s="242">
        <f t="shared" ca="1" si="112"/>
        <v>0</v>
      </c>
      <c r="DV36" s="241">
        <f t="shared" ca="1" si="569"/>
        <v>1</v>
      </c>
      <c r="DW36" s="220">
        <f t="shared" ca="1" si="113"/>
        <v>0</v>
      </c>
      <c r="DX36" s="220">
        <f t="shared" ca="1" si="114"/>
        <v>0</v>
      </c>
      <c r="DY36" s="235">
        <f t="shared" ca="1" si="115"/>
        <v>0</v>
      </c>
      <c r="DZ36" s="235">
        <f t="shared" ca="1" si="116"/>
        <v>0</v>
      </c>
      <c r="EA36" s="242">
        <f t="shared" ca="1" si="117"/>
        <v>0</v>
      </c>
      <c r="EB36" s="241">
        <f t="shared" ca="1" si="569"/>
        <v>1</v>
      </c>
      <c r="EC36" s="220">
        <f t="shared" ca="1" si="118"/>
        <v>0</v>
      </c>
      <c r="ED36" s="220">
        <f t="shared" ca="1" si="119"/>
        <v>0</v>
      </c>
      <c r="EE36" s="235">
        <f t="shared" ca="1" si="120"/>
        <v>0</v>
      </c>
      <c r="EF36" s="235">
        <f t="shared" ca="1" si="121"/>
        <v>0</v>
      </c>
      <c r="EG36" s="242">
        <f t="shared" ca="1" si="122"/>
        <v>0</v>
      </c>
      <c r="EH36" s="241">
        <f t="shared" ca="1" si="569"/>
        <v>1</v>
      </c>
      <c r="EI36" s="220">
        <f t="shared" ca="1" si="123"/>
        <v>0</v>
      </c>
      <c r="EJ36" s="220">
        <f t="shared" ca="1" si="124"/>
        <v>0</v>
      </c>
      <c r="EK36" s="235">
        <f t="shared" ca="1" si="125"/>
        <v>0</v>
      </c>
      <c r="EL36" s="235">
        <f t="shared" ca="1" si="126"/>
        <v>0</v>
      </c>
      <c r="EM36" s="242">
        <f t="shared" ca="1" si="127"/>
        <v>0</v>
      </c>
      <c r="EN36" s="241">
        <f t="shared" ca="1" si="569"/>
        <v>1</v>
      </c>
      <c r="EO36" s="220">
        <f t="shared" ca="1" si="128"/>
        <v>0</v>
      </c>
      <c r="EP36" s="220">
        <f t="shared" ca="1" si="129"/>
        <v>0</v>
      </c>
      <c r="EQ36" s="235">
        <f t="shared" ca="1" si="130"/>
        <v>0</v>
      </c>
      <c r="ER36" s="235">
        <f t="shared" ca="1" si="131"/>
        <v>0</v>
      </c>
      <c r="ES36" s="242">
        <f t="shared" ca="1" si="132"/>
        <v>0</v>
      </c>
      <c r="ET36" s="241">
        <f t="shared" ca="1" si="569"/>
        <v>1</v>
      </c>
      <c r="EU36" s="220">
        <f t="shared" ca="1" si="133"/>
        <v>0</v>
      </c>
      <c r="EV36" s="220">
        <f t="shared" ca="1" si="134"/>
        <v>0</v>
      </c>
      <c r="EW36" s="235">
        <f t="shared" ca="1" si="135"/>
        <v>0</v>
      </c>
      <c r="EX36" s="235">
        <f t="shared" ca="1" si="136"/>
        <v>0</v>
      </c>
      <c r="EY36" s="242">
        <f t="shared" ca="1" si="137"/>
        <v>0</v>
      </c>
      <c r="EZ36" s="241">
        <f t="shared" ca="1" si="569"/>
        <v>1</v>
      </c>
      <c r="FA36" s="220">
        <f t="shared" ca="1" si="138"/>
        <v>0</v>
      </c>
      <c r="FB36" s="220">
        <f t="shared" ca="1" si="139"/>
        <v>0</v>
      </c>
      <c r="FC36" s="235">
        <f t="shared" ca="1" si="140"/>
        <v>0</v>
      </c>
      <c r="FD36" s="235">
        <f t="shared" ca="1" si="141"/>
        <v>0</v>
      </c>
      <c r="FE36" s="242">
        <f t="shared" ca="1" si="142"/>
        <v>0</v>
      </c>
      <c r="FF36" s="241">
        <f t="shared" ca="1" si="569"/>
        <v>1</v>
      </c>
      <c r="FG36" s="220">
        <f t="shared" ca="1" si="143"/>
        <v>0</v>
      </c>
      <c r="FH36" s="220">
        <f t="shared" ca="1" si="144"/>
        <v>0</v>
      </c>
      <c r="FI36" s="235">
        <f t="shared" ca="1" si="145"/>
        <v>0</v>
      </c>
      <c r="FJ36" s="235">
        <f t="shared" ca="1" si="146"/>
        <v>0</v>
      </c>
      <c r="FK36" s="242">
        <f t="shared" ca="1" si="147"/>
        <v>0</v>
      </c>
      <c r="FL36" s="241">
        <f t="shared" ca="1" si="569"/>
        <v>1</v>
      </c>
      <c r="FM36" s="220">
        <f t="shared" ca="1" si="148"/>
        <v>0</v>
      </c>
      <c r="FN36" s="220">
        <f t="shared" ca="1" si="149"/>
        <v>0</v>
      </c>
      <c r="FO36" s="235">
        <f t="shared" ca="1" si="150"/>
        <v>0</v>
      </c>
      <c r="FP36" s="235">
        <f t="shared" ca="1" si="151"/>
        <v>0</v>
      </c>
      <c r="FQ36" s="242">
        <f t="shared" ca="1" si="152"/>
        <v>0</v>
      </c>
      <c r="FR36" s="241">
        <f t="shared" ca="1" si="569"/>
        <v>1</v>
      </c>
      <c r="FS36" s="220">
        <f t="shared" ca="1" si="153"/>
        <v>0</v>
      </c>
      <c r="FT36" s="220">
        <f t="shared" ca="1" si="154"/>
        <v>0</v>
      </c>
      <c r="FU36" s="235">
        <f t="shared" ca="1" si="155"/>
        <v>0</v>
      </c>
      <c r="FV36" s="235">
        <f t="shared" ca="1" si="156"/>
        <v>0</v>
      </c>
      <c r="FW36" s="242">
        <f t="shared" ca="1" si="157"/>
        <v>0</v>
      </c>
      <c r="FX36" s="241">
        <f t="shared" ca="1" si="569"/>
        <v>1</v>
      </c>
      <c r="FY36" s="220">
        <f t="shared" ca="1" si="158"/>
        <v>0</v>
      </c>
      <c r="FZ36" s="220">
        <f t="shared" ca="1" si="159"/>
        <v>0</v>
      </c>
      <c r="GA36" s="235">
        <f t="shared" ca="1" si="160"/>
        <v>0</v>
      </c>
      <c r="GB36" s="235">
        <f t="shared" ca="1" si="161"/>
        <v>0</v>
      </c>
      <c r="GC36" s="242">
        <f t="shared" ca="1" si="162"/>
        <v>0</v>
      </c>
      <c r="GD36" s="241">
        <f t="shared" ca="1" si="562"/>
        <v>1</v>
      </c>
      <c r="GE36" s="220">
        <f t="shared" ca="1" si="164"/>
        <v>0</v>
      </c>
      <c r="GF36" s="220">
        <f t="shared" ca="1" si="165"/>
        <v>0</v>
      </c>
      <c r="GG36" s="235">
        <f t="shared" ca="1" si="166"/>
        <v>0</v>
      </c>
      <c r="GH36" s="235">
        <f t="shared" ca="1" si="167"/>
        <v>0</v>
      </c>
      <c r="GI36" s="242">
        <f t="shared" ca="1" si="168"/>
        <v>0</v>
      </c>
      <c r="GJ36" s="241">
        <f t="shared" ca="1" si="562"/>
        <v>1</v>
      </c>
      <c r="GK36" s="220">
        <f t="shared" ca="1" si="169"/>
        <v>0</v>
      </c>
      <c r="GL36" s="220">
        <f t="shared" ca="1" si="170"/>
        <v>0</v>
      </c>
      <c r="GM36" s="235">
        <f t="shared" ca="1" si="171"/>
        <v>0</v>
      </c>
      <c r="GN36" s="235">
        <f t="shared" ca="1" si="172"/>
        <v>0</v>
      </c>
      <c r="GO36" s="242">
        <f t="shared" ca="1" si="173"/>
        <v>0</v>
      </c>
      <c r="GP36" s="241">
        <f t="shared" ca="1" si="570"/>
        <v>1</v>
      </c>
      <c r="GQ36" s="220">
        <f t="shared" ca="1" si="174"/>
        <v>0</v>
      </c>
      <c r="GR36" s="220">
        <f t="shared" ca="1" si="175"/>
        <v>0</v>
      </c>
      <c r="GS36" s="235">
        <f t="shared" ca="1" si="176"/>
        <v>0</v>
      </c>
      <c r="GT36" s="235">
        <f t="shared" ca="1" si="177"/>
        <v>0</v>
      </c>
      <c r="GU36" s="242">
        <f t="shared" ca="1" si="178"/>
        <v>0</v>
      </c>
      <c r="GV36" s="241">
        <f t="shared" ca="1" si="570"/>
        <v>1</v>
      </c>
      <c r="GW36" s="220">
        <f t="shared" ca="1" si="179"/>
        <v>0</v>
      </c>
      <c r="GX36" s="220">
        <f t="shared" ca="1" si="180"/>
        <v>0</v>
      </c>
      <c r="GY36" s="235">
        <f t="shared" ca="1" si="181"/>
        <v>0</v>
      </c>
      <c r="GZ36" s="235">
        <f t="shared" ca="1" si="182"/>
        <v>0</v>
      </c>
      <c r="HA36" s="242">
        <f t="shared" ca="1" si="183"/>
        <v>0</v>
      </c>
      <c r="HB36" s="241">
        <f t="shared" ca="1" si="570"/>
        <v>1</v>
      </c>
      <c r="HC36" s="220">
        <f t="shared" ca="1" si="184"/>
        <v>0</v>
      </c>
      <c r="HD36" s="220">
        <f t="shared" ca="1" si="185"/>
        <v>0</v>
      </c>
      <c r="HE36" s="235">
        <f t="shared" ca="1" si="186"/>
        <v>0</v>
      </c>
      <c r="HF36" s="235">
        <f t="shared" ca="1" si="187"/>
        <v>0</v>
      </c>
      <c r="HG36" s="242">
        <f t="shared" ca="1" si="188"/>
        <v>0</v>
      </c>
      <c r="HH36" s="241">
        <f t="shared" ca="1" si="570"/>
        <v>1</v>
      </c>
      <c r="HI36" s="220">
        <f t="shared" ca="1" si="189"/>
        <v>0</v>
      </c>
      <c r="HJ36" s="220">
        <f t="shared" ca="1" si="190"/>
        <v>0</v>
      </c>
      <c r="HK36" s="235">
        <f t="shared" ca="1" si="191"/>
        <v>0</v>
      </c>
      <c r="HL36" s="235">
        <f t="shared" ca="1" si="192"/>
        <v>0</v>
      </c>
      <c r="HM36" s="242">
        <f t="shared" ca="1" si="193"/>
        <v>0</v>
      </c>
      <c r="HN36" s="241">
        <f t="shared" ca="1" si="570"/>
        <v>1</v>
      </c>
      <c r="HO36" s="220">
        <f t="shared" ca="1" si="194"/>
        <v>0</v>
      </c>
      <c r="HP36" s="220">
        <f t="shared" ca="1" si="195"/>
        <v>0</v>
      </c>
      <c r="HQ36" s="235">
        <f t="shared" ca="1" si="196"/>
        <v>0</v>
      </c>
      <c r="HR36" s="235">
        <f t="shared" ca="1" si="197"/>
        <v>0</v>
      </c>
      <c r="HS36" s="242">
        <f t="shared" ca="1" si="198"/>
        <v>0</v>
      </c>
      <c r="HT36" s="241">
        <f t="shared" ca="1" si="570"/>
        <v>1</v>
      </c>
      <c r="HU36" s="220">
        <f t="shared" ca="1" si="199"/>
        <v>0</v>
      </c>
      <c r="HV36" s="220">
        <f t="shared" ca="1" si="200"/>
        <v>0</v>
      </c>
      <c r="HW36" s="235">
        <f t="shared" ca="1" si="201"/>
        <v>0</v>
      </c>
      <c r="HX36" s="235">
        <f t="shared" ca="1" si="202"/>
        <v>0</v>
      </c>
      <c r="HY36" s="242">
        <f t="shared" ca="1" si="203"/>
        <v>0</v>
      </c>
      <c r="HZ36" s="241">
        <f t="shared" ca="1" si="570"/>
        <v>1</v>
      </c>
      <c r="IA36" s="220">
        <f t="shared" ca="1" si="204"/>
        <v>0</v>
      </c>
      <c r="IB36" s="220">
        <f t="shared" ca="1" si="205"/>
        <v>0</v>
      </c>
      <c r="IC36" s="235">
        <f t="shared" ca="1" si="206"/>
        <v>0</v>
      </c>
      <c r="ID36" s="235">
        <f t="shared" ca="1" si="207"/>
        <v>0</v>
      </c>
      <c r="IE36" s="242">
        <f t="shared" ca="1" si="208"/>
        <v>0</v>
      </c>
      <c r="IF36" s="241">
        <f t="shared" ca="1" si="570"/>
        <v>1</v>
      </c>
      <c r="IG36" s="220">
        <f t="shared" ca="1" si="209"/>
        <v>0</v>
      </c>
      <c r="IH36" s="220">
        <f t="shared" ca="1" si="210"/>
        <v>0</v>
      </c>
      <c r="II36" s="235">
        <f t="shared" ca="1" si="211"/>
        <v>0</v>
      </c>
      <c r="IJ36" s="235">
        <f t="shared" ca="1" si="212"/>
        <v>0</v>
      </c>
      <c r="IK36" s="242">
        <f t="shared" ca="1" si="213"/>
        <v>0</v>
      </c>
      <c r="IL36" s="241">
        <f t="shared" ca="1" si="570"/>
        <v>1</v>
      </c>
      <c r="IM36" s="220">
        <f t="shared" ca="1" si="214"/>
        <v>0</v>
      </c>
      <c r="IN36" s="220">
        <f t="shared" ca="1" si="215"/>
        <v>0</v>
      </c>
      <c r="IO36" s="235">
        <f t="shared" ca="1" si="216"/>
        <v>0</v>
      </c>
      <c r="IP36" s="235">
        <f t="shared" ca="1" si="217"/>
        <v>0</v>
      </c>
      <c r="IQ36" s="242">
        <f t="shared" ca="1" si="218"/>
        <v>0</v>
      </c>
      <c r="IR36" s="241">
        <f t="shared" ca="1" si="570"/>
        <v>1</v>
      </c>
      <c r="IS36" s="220">
        <f t="shared" ca="1" si="220"/>
        <v>0</v>
      </c>
      <c r="IT36" s="220">
        <f t="shared" ca="1" si="221"/>
        <v>0</v>
      </c>
      <c r="IU36" s="235">
        <f t="shared" ca="1" si="222"/>
        <v>0</v>
      </c>
      <c r="IV36" s="235">
        <f t="shared" ca="1" si="223"/>
        <v>0</v>
      </c>
      <c r="IW36" s="242">
        <f t="shared" ca="1" si="224"/>
        <v>0</v>
      </c>
      <c r="IX36" s="241">
        <f t="shared" ca="1" si="570"/>
        <v>1</v>
      </c>
      <c r="IY36" s="220">
        <f t="shared" ca="1" si="225"/>
        <v>0</v>
      </c>
      <c r="IZ36" s="220">
        <f t="shared" ca="1" si="226"/>
        <v>0</v>
      </c>
      <c r="JA36" s="235">
        <f t="shared" ca="1" si="227"/>
        <v>0</v>
      </c>
      <c r="JB36" s="235">
        <f t="shared" ca="1" si="228"/>
        <v>0</v>
      </c>
      <c r="JC36" s="242">
        <f t="shared" ca="1" si="229"/>
        <v>0</v>
      </c>
      <c r="JD36" s="241">
        <f t="shared" ca="1" si="563"/>
        <v>1</v>
      </c>
      <c r="JE36" s="220">
        <f t="shared" ca="1" si="230"/>
        <v>0</v>
      </c>
      <c r="JF36" s="220">
        <f t="shared" ca="1" si="231"/>
        <v>0</v>
      </c>
      <c r="JG36" s="235">
        <f t="shared" ca="1" si="232"/>
        <v>0</v>
      </c>
      <c r="JH36" s="235">
        <f t="shared" ca="1" si="233"/>
        <v>0</v>
      </c>
      <c r="JI36" s="242">
        <f t="shared" ca="1" si="234"/>
        <v>0</v>
      </c>
      <c r="JJ36" s="241">
        <f t="shared" ca="1" si="563"/>
        <v>1</v>
      </c>
      <c r="JK36" s="220">
        <f t="shared" ca="1" si="235"/>
        <v>0</v>
      </c>
      <c r="JL36" s="220">
        <f t="shared" ca="1" si="236"/>
        <v>0</v>
      </c>
      <c r="JM36" s="235">
        <f t="shared" ca="1" si="237"/>
        <v>0</v>
      </c>
      <c r="JN36" s="235">
        <f t="shared" ca="1" si="238"/>
        <v>0</v>
      </c>
      <c r="JO36" s="242">
        <f t="shared" ca="1" si="239"/>
        <v>0</v>
      </c>
      <c r="JP36" s="241">
        <f t="shared" ca="1" si="571"/>
        <v>1</v>
      </c>
      <c r="JQ36" s="220">
        <f t="shared" ca="1" si="240"/>
        <v>0</v>
      </c>
      <c r="JR36" s="220">
        <f t="shared" ca="1" si="241"/>
        <v>0</v>
      </c>
      <c r="JS36" s="235">
        <f t="shared" ca="1" si="242"/>
        <v>0</v>
      </c>
      <c r="JT36" s="235">
        <f t="shared" ca="1" si="243"/>
        <v>0</v>
      </c>
      <c r="JU36" s="242">
        <f t="shared" ca="1" si="244"/>
        <v>0</v>
      </c>
      <c r="JV36" s="241">
        <f t="shared" ca="1" si="571"/>
        <v>1</v>
      </c>
      <c r="JW36" s="220">
        <f t="shared" ca="1" si="245"/>
        <v>0</v>
      </c>
      <c r="JX36" s="220">
        <f t="shared" ca="1" si="246"/>
        <v>0</v>
      </c>
      <c r="JY36" s="235">
        <f t="shared" ca="1" si="247"/>
        <v>0</v>
      </c>
      <c r="JZ36" s="235">
        <f t="shared" ca="1" si="248"/>
        <v>0</v>
      </c>
      <c r="KA36" s="242">
        <f t="shared" ca="1" si="249"/>
        <v>0</v>
      </c>
      <c r="KB36" s="241">
        <f t="shared" ca="1" si="571"/>
        <v>1</v>
      </c>
      <c r="KC36" s="220">
        <f t="shared" ca="1" si="250"/>
        <v>0</v>
      </c>
      <c r="KD36" s="220">
        <f t="shared" ca="1" si="251"/>
        <v>0</v>
      </c>
      <c r="KE36" s="235">
        <f t="shared" ca="1" si="252"/>
        <v>0</v>
      </c>
      <c r="KF36" s="235">
        <f t="shared" ca="1" si="253"/>
        <v>0</v>
      </c>
      <c r="KG36" s="242">
        <f t="shared" ca="1" si="254"/>
        <v>0</v>
      </c>
      <c r="KH36" s="241">
        <f t="shared" ca="1" si="571"/>
        <v>1</v>
      </c>
      <c r="KI36" s="220">
        <f t="shared" ca="1" si="255"/>
        <v>0</v>
      </c>
      <c r="KJ36" s="220">
        <f t="shared" ca="1" si="256"/>
        <v>0</v>
      </c>
      <c r="KK36" s="235">
        <f t="shared" ca="1" si="257"/>
        <v>0</v>
      </c>
      <c r="KL36" s="235">
        <f t="shared" ca="1" si="258"/>
        <v>0</v>
      </c>
      <c r="KM36" s="242">
        <f t="shared" ca="1" si="259"/>
        <v>0</v>
      </c>
      <c r="KN36" s="241">
        <f t="shared" ca="1" si="571"/>
        <v>1</v>
      </c>
      <c r="KO36" s="220">
        <f t="shared" ca="1" si="260"/>
        <v>0</v>
      </c>
      <c r="KP36" s="220">
        <f t="shared" ca="1" si="261"/>
        <v>0</v>
      </c>
      <c r="KQ36" s="235">
        <f t="shared" ca="1" si="262"/>
        <v>0</v>
      </c>
      <c r="KR36" s="235">
        <f t="shared" ca="1" si="263"/>
        <v>0</v>
      </c>
      <c r="KS36" s="242">
        <f t="shared" ca="1" si="264"/>
        <v>0</v>
      </c>
      <c r="KT36" s="241">
        <f t="shared" ca="1" si="571"/>
        <v>1</v>
      </c>
      <c r="KU36" s="220">
        <f t="shared" ca="1" si="265"/>
        <v>0</v>
      </c>
      <c r="KV36" s="220">
        <f t="shared" ca="1" si="266"/>
        <v>0</v>
      </c>
      <c r="KW36" s="235">
        <f t="shared" ca="1" si="267"/>
        <v>0</v>
      </c>
      <c r="KX36" s="235">
        <f t="shared" ca="1" si="268"/>
        <v>0</v>
      </c>
      <c r="KY36" s="242">
        <f t="shared" ca="1" si="269"/>
        <v>0</v>
      </c>
      <c r="KZ36" s="241">
        <f t="shared" ca="1" si="571"/>
        <v>1</v>
      </c>
      <c r="LA36" s="220">
        <f t="shared" ca="1" si="270"/>
        <v>0</v>
      </c>
      <c r="LB36" s="220">
        <f t="shared" ca="1" si="271"/>
        <v>0</v>
      </c>
      <c r="LC36" s="235">
        <f t="shared" ca="1" si="272"/>
        <v>0</v>
      </c>
      <c r="LD36" s="235">
        <f t="shared" ca="1" si="273"/>
        <v>0</v>
      </c>
      <c r="LE36" s="242">
        <f t="shared" ca="1" si="274"/>
        <v>0</v>
      </c>
      <c r="LF36" s="241">
        <f t="shared" ca="1" si="571"/>
        <v>1</v>
      </c>
      <c r="LG36" s="220">
        <f t="shared" ca="1" si="276"/>
        <v>0</v>
      </c>
      <c r="LH36" s="220">
        <f t="shared" ca="1" si="277"/>
        <v>0</v>
      </c>
      <c r="LI36" s="235">
        <f t="shared" ca="1" si="278"/>
        <v>0</v>
      </c>
      <c r="LJ36" s="235">
        <f t="shared" ca="1" si="279"/>
        <v>0</v>
      </c>
      <c r="LK36" s="242">
        <f t="shared" ca="1" si="280"/>
        <v>0</v>
      </c>
      <c r="LL36" s="241">
        <f t="shared" ca="1" si="571"/>
        <v>1</v>
      </c>
      <c r="LM36" s="220">
        <f t="shared" ca="1" si="281"/>
        <v>0</v>
      </c>
      <c r="LN36" s="220">
        <f t="shared" ca="1" si="282"/>
        <v>0</v>
      </c>
      <c r="LO36" s="235">
        <f t="shared" ca="1" si="283"/>
        <v>0</v>
      </c>
      <c r="LP36" s="235">
        <f t="shared" ca="1" si="284"/>
        <v>0</v>
      </c>
      <c r="LQ36" s="242">
        <f t="shared" ca="1" si="285"/>
        <v>0</v>
      </c>
      <c r="LR36" s="241">
        <f t="shared" ca="1" si="571"/>
        <v>1</v>
      </c>
      <c r="LS36" s="220">
        <f t="shared" ca="1" si="286"/>
        <v>0</v>
      </c>
      <c r="LT36" s="220">
        <f t="shared" ca="1" si="287"/>
        <v>0</v>
      </c>
      <c r="LU36" s="235">
        <f t="shared" ca="1" si="288"/>
        <v>0</v>
      </c>
      <c r="LV36" s="235">
        <f t="shared" ca="1" si="289"/>
        <v>0</v>
      </c>
      <c r="LW36" s="242">
        <f t="shared" ca="1" si="290"/>
        <v>0</v>
      </c>
      <c r="LX36" s="241">
        <f t="shared" ca="1" si="571"/>
        <v>1</v>
      </c>
      <c r="LY36" s="220">
        <f t="shared" ca="1" si="291"/>
        <v>0</v>
      </c>
      <c r="LZ36" s="220">
        <f t="shared" ca="1" si="292"/>
        <v>0</v>
      </c>
      <c r="MA36" s="235">
        <f t="shared" ca="1" si="293"/>
        <v>0</v>
      </c>
      <c r="MB36" s="235">
        <f t="shared" ca="1" si="294"/>
        <v>0</v>
      </c>
      <c r="MC36" s="242">
        <f t="shared" ca="1" si="295"/>
        <v>0</v>
      </c>
      <c r="MD36" s="241">
        <f t="shared" ca="1" si="564"/>
        <v>1</v>
      </c>
      <c r="ME36" s="220">
        <f t="shared" ca="1" si="296"/>
        <v>0</v>
      </c>
      <c r="MF36" s="220">
        <f t="shared" ca="1" si="297"/>
        <v>0</v>
      </c>
      <c r="MG36" s="235">
        <f t="shared" ca="1" si="298"/>
        <v>0</v>
      </c>
      <c r="MH36" s="235">
        <f t="shared" ca="1" si="299"/>
        <v>0</v>
      </c>
      <c r="MI36" s="242">
        <f t="shared" ca="1" si="300"/>
        <v>0</v>
      </c>
      <c r="MJ36" s="241">
        <f t="shared" ca="1" si="564"/>
        <v>1</v>
      </c>
      <c r="MK36" s="220">
        <f t="shared" ca="1" si="301"/>
        <v>0</v>
      </c>
      <c r="ML36" s="220">
        <f t="shared" ca="1" si="302"/>
        <v>0</v>
      </c>
      <c r="MM36" s="235">
        <f t="shared" ca="1" si="303"/>
        <v>0</v>
      </c>
      <c r="MN36" s="235">
        <f t="shared" ca="1" si="304"/>
        <v>0</v>
      </c>
      <c r="MO36" s="242">
        <f t="shared" ca="1" si="305"/>
        <v>0</v>
      </c>
      <c r="MP36" s="241">
        <f t="shared" ca="1" si="572"/>
        <v>1</v>
      </c>
      <c r="MQ36" s="220">
        <f t="shared" ca="1" si="306"/>
        <v>0</v>
      </c>
      <c r="MR36" s="220">
        <f t="shared" ca="1" si="307"/>
        <v>0</v>
      </c>
      <c r="MS36" s="235">
        <f t="shared" ca="1" si="308"/>
        <v>0</v>
      </c>
      <c r="MT36" s="235">
        <f t="shared" ca="1" si="309"/>
        <v>0</v>
      </c>
      <c r="MU36" s="242">
        <f t="shared" ca="1" si="310"/>
        <v>0</v>
      </c>
      <c r="MV36" s="241">
        <f t="shared" ca="1" si="572"/>
        <v>1</v>
      </c>
      <c r="MW36" s="220">
        <f t="shared" ca="1" si="311"/>
        <v>0</v>
      </c>
      <c r="MX36" s="220">
        <f t="shared" ca="1" si="312"/>
        <v>0</v>
      </c>
      <c r="MY36" s="235">
        <f t="shared" ca="1" si="313"/>
        <v>0</v>
      </c>
      <c r="MZ36" s="235">
        <f t="shared" ca="1" si="314"/>
        <v>0</v>
      </c>
      <c r="NA36" s="242">
        <f t="shared" ca="1" si="315"/>
        <v>0</v>
      </c>
      <c r="NB36" s="241">
        <f t="shared" ca="1" si="572"/>
        <v>1</v>
      </c>
      <c r="NC36" s="220">
        <f t="shared" ca="1" si="316"/>
        <v>0</v>
      </c>
      <c r="ND36" s="220">
        <f t="shared" ca="1" si="317"/>
        <v>0</v>
      </c>
      <c r="NE36" s="235">
        <f t="shared" ca="1" si="318"/>
        <v>0</v>
      </c>
      <c r="NF36" s="235">
        <f t="shared" ca="1" si="319"/>
        <v>0</v>
      </c>
      <c r="NG36" s="242">
        <f t="shared" ca="1" si="320"/>
        <v>0</v>
      </c>
      <c r="NH36" s="241">
        <f t="shared" ca="1" si="572"/>
        <v>1</v>
      </c>
      <c r="NI36" s="220">
        <f t="shared" ca="1" si="321"/>
        <v>0</v>
      </c>
      <c r="NJ36" s="220">
        <f t="shared" ca="1" si="322"/>
        <v>0</v>
      </c>
      <c r="NK36" s="235">
        <f t="shared" ca="1" si="323"/>
        <v>0</v>
      </c>
      <c r="NL36" s="235">
        <f t="shared" ca="1" si="324"/>
        <v>0</v>
      </c>
      <c r="NM36" s="242">
        <f t="shared" ca="1" si="325"/>
        <v>0</v>
      </c>
      <c r="NN36" s="241">
        <f t="shared" ca="1" si="572"/>
        <v>1</v>
      </c>
      <c r="NO36" s="220">
        <f t="shared" ca="1" si="326"/>
        <v>0</v>
      </c>
      <c r="NP36" s="220">
        <f t="shared" ca="1" si="327"/>
        <v>0</v>
      </c>
      <c r="NQ36" s="235">
        <f t="shared" ca="1" si="328"/>
        <v>0</v>
      </c>
      <c r="NR36" s="235">
        <f t="shared" ca="1" si="329"/>
        <v>0</v>
      </c>
      <c r="NS36" s="242">
        <f t="shared" ca="1" si="330"/>
        <v>0</v>
      </c>
      <c r="NT36" s="241">
        <f t="shared" ca="1" si="572"/>
        <v>1</v>
      </c>
      <c r="NU36" s="220">
        <f t="shared" ca="1" si="332"/>
        <v>0</v>
      </c>
      <c r="NV36" s="220">
        <f t="shared" ca="1" si="333"/>
        <v>0</v>
      </c>
      <c r="NW36" s="235">
        <f t="shared" ca="1" si="334"/>
        <v>0</v>
      </c>
      <c r="NX36" s="235">
        <f t="shared" ca="1" si="335"/>
        <v>0</v>
      </c>
      <c r="NY36" s="242">
        <f t="shared" ca="1" si="336"/>
        <v>0</v>
      </c>
      <c r="NZ36" s="241">
        <f t="shared" ca="1" si="572"/>
        <v>1</v>
      </c>
      <c r="OA36" s="220">
        <f t="shared" ca="1" si="337"/>
        <v>0</v>
      </c>
      <c r="OB36" s="220">
        <f t="shared" ca="1" si="338"/>
        <v>0</v>
      </c>
      <c r="OC36" s="235">
        <f t="shared" ca="1" si="339"/>
        <v>0</v>
      </c>
      <c r="OD36" s="235">
        <f t="shared" ca="1" si="340"/>
        <v>0</v>
      </c>
      <c r="OE36" s="242">
        <f t="shared" ca="1" si="341"/>
        <v>0</v>
      </c>
      <c r="OF36" s="241">
        <f t="shared" ca="1" si="572"/>
        <v>1</v>
      </c>
      <c r="OG36" s="220">
        <f t="shared" ca="1" si="342"/>
        <v>0</v>
      </c>
      <c r="OH36" s="220">
        <f t="shared" ca="1" si="343"/>
        <v>0</v>
      </c>
      <c r="OI36" s="235">
        <f t="shared" ca="1" si="344"/>
        <v>0</v>
      </c>
      <c r="OJ36" s="235">
        <f t="shared" ca="1" si="345"/>
        <v>0</v>
      </c>
      <c r="OK36" s="242">
        <f t="shared" ca="1" si="346"/>
        <v>0</v>
      </c>
      <c r="OL36" s="241">
        <f t="shared" ca="1" si="572"/>
        <v>1</v>
      </c>
      <c r="OM36" s="220">
        <f t="shared" ca="1" si="347"/>
        <v>0</v>
      </c>
      <c r="ON36" s="220">
        <f t="shared" ca="1" si="348"/>
        <v>0</v>
      </c>
      <c r="OO36" s="235">
        <f t="shared" ca="1" si="349"/>
        <v>0</v>
      </c>
      <c r="OP36" s="235">
        <f t="shared" ca="1" si="350"/>
        <v>0</v>
      </c>
      <c r="OQ36" s="242">
        <f t="shared" ca="1" si="351"/>
        <v>0</v>
      </c>
      <c r="OR36" s="241">
        <f t="shared" ca="1" si="572"/>
        <v>1</v>
      </c>
      <c r="OS36" s="220">
        <f t="shared" ca="1" si="352"/>
        <v>0</v>
      </c>
      <c r="OT36" s="220">
        <f t="shared" ca="1" si="353"/>
        <v>0</v>
      </c>
      <c r="OU36" s="235">
        <f t="shared" ca="1" si="354"/>
        <v>0</v>
      </c>
      <c r="OV36" s="235">
        <f t="shared" ca="1" si="355"/>
        <v>0</v>
      </c>
      <c r="OW36" s="242">
        <f t="shared" ca="1" si="356"/>
        <v>0</v>
      </c>
      <c r="OX36" s="241">
        <f t="shared" ca="1" si="572"/>
        <v>1</v>
      </c>
      <c r="OY36" s="220">
        <f t="shared" ca="1" si="357"/>
        <v>0</v>
      </c>
      <c r="OZ36" s="220">
        <f t="shared" ca="1" si="358"/>
        <v>0</v>
      </c>
      <c r="PA36" s="235">
        <f t="shared" ca="1" si="359"/>
        <v>0</v>
      </c>
      <c r="PB36" s="235">
        <f t="shared" ca="1" si="360"/>
        <v>0</v>
      </c>
      <c r="PC36" s="242">
        <f t="shared" ca="1" si="361"/>
        <v>0</v>
      </c>
      <c r="PD36" s="241">
        <f t="shared" ca="1" si="565"/>
        <v>1</v>
      </c>
      <c r="PE36" s="220">
        <f t="shared" ca="1" si="362"/>
        <v>0</v>
      </c>
      <c r="PF36" s="220">
        <f t="shared" ca="1" si="363"/>
        <v>0</v>
      </c>
      <c r="PG36" s="235">
        <f t="shared" ca="1" si="364"/>
        <v>0</v>
      </c>
      <c r="PH36" s="235">
        <f t="shared" ca="1" si="365"/>
        <v>0</v>
      </c>
      <c r="PI36" s="242">
        <f t="shared" ca="1" si="366"/>
        <v>0</v>
      </c>
      <c r="PJ36" s="241">
        <f t="shared" ca="1" si="565"/>
        <v>1</v>
      </c>
      <c r="PK36" s="220">
        <f t="shared" ca="1" si="367"/>
        <v>0</v>
      </c>
      <c r="PL36" s="220">
        <f t="shared" ca="1" si="368"/>
        <v>0</v>
      </c>
      <c r="PM36" s="235">
        <f t="shared" ca="1" si="369"/>
        <v>0</v>
      </c>
      <c r="PN36" s="235">
        <f t="shared" ca="1" si="370"/>
        <v>0</v>
      </c>
      <c r="PO36" s="242">
        <f t="shared" ca="1" si="371"/>
        <v>0</v>
      </c>
      <c r="PP36" s="241">
        <f t="shared" ca="1" si="573"/>
        <v>1</v>
      </c>
      <c r="PQ36" s="220">
        <f t="shared" ca="1" si="372"/>
        <v>0</v>
      </c>
      <c r="PR36" s="220">
        <f t="shared" ca="1" si="373"/>
        <v>0</v>
      </c>
      <c r="PS36" s="235">
        <f t="shared" ca="1" si="374"/>
        <v>0</v>
      </c>
      <c r="PT36" s="235">
        <f t="shared" ca="1" si="375"/>
        <v>0</v>
      </c>
      <c r="PU36" s="242">
        <f t="shared" ca="1" si="376"/>
        <v>0</v>
      </c>
      <c r="PV36" s="241">
        <f t="shared" ca="1" si="573"/>
        <v>1</v>
      </c>
      <c r="PW36" s="220">
        <f t="shared" ca="1" si="377"/>
        <v>0</v>
      </c>
      <c r="PX36" s="220">
        <f t="shared" ca="1" si="378"/>
        <v>0</v>
      </c>
      <c r="PY36" s="235">
        <f t="shared" ca="1" si="379"/>
        <v>0</v>
      </c>
      <c r="PZ36" s="235">
        <f t="shared" ca="1" si="380"/>
        <v>0</v>
      </c>
      <c r="QA36" s="242">
        <f t="shared" ca="1" si="381"/>
        <v>0</v>
      </c>
      <c r="QB36" s="241">
        <f t="shared" ca="1" si="573"/>
        <v>1</v>
      </c>
      <c r="QC36" s="220">
        <f t="shared" ca="1" si="382"/>
        <v>0</v>
      </c>
      <c r="QD36" s="220">
        <f t="shared" ca="1" si="383"/>
        <v>0</v>
      </c>
      <c r="QE36" s="235">
        <f t="shared" ca="1" si="384"/>
        <v>0</v>
      </c>
      <c r="QF36" s="235">
        <f t="shared" ca="1" si="385"/>
        <v>0</v>
      </c>
      <c r="QG36" s="242">
        <f t="shared" ca="1" si="386"/>
        <v>0</v>
      </c>
      <c r="QH36" s="241">
        <f t="shared" ca="1" si="573"/>
        <v>1</v>
      </c>
      <c r="QI36" s="220">
        <f t="shared" ca="1" si="388"/>
        <v>0</v>
      </c>
      <c r="QJ36" s="220">
        <f t="shared" ca="1" si="389"/>
        <v>0</v>
      </c>
      <c r="QK36" s="235">
        <f t="shared" ca="1" si="390"/>
        <v>0</v>
      </c>
      <c r="QL36" s="235">
        <f t="shared" ca="1" si="391"/>
        <v>0</v>
      </c>
      <c r="QM36" s="242">
        <f t="shared" ca="1" si="392"/>
        <v>0</v>
      </c>
      <c r="QN36" s="241">
        <f t="shared" ca="1" si="573"/>
        <v>1</v>
      </c>
      <c r="QO36" s="220">
        <f t="shared" ca="1" si="393"/>
        <v>0</v>
      </c>
      <c r="QP36" s="220">
        <f t="shared" ca="1" si="394"/>
        <v>0</v>
      </c>
      <c r="QQ36" s="235">
        <f t="shared" ca="1" si="395"/>
        <v>0</v>
      </c>
      <c r="QR36" s="235">
        <f t="shared" ca="1" si="396"/>
        <v>0</v>
      </c>
      <c r="QS36" s="242">
        <f t="shared" ca="1" si="397"/>
        <v>0</v>
      </c>
      <c r="QT36" s="241">
        <f t="shared" ca="1" si="573"/>
        <v>1</v>
      </c>
      <c r="QU36" s="220">
        <f t="shared" ca="1" si="398"/>
        <v>0</v>
      </c>
      <c r="QV36" s="220">
        <f t="shared" ca="1" si="399"/>
        <v>0</v>
      </c>
      <c r="QW36" s="235">
        <f t="shared" ca="1" si="400"/>
        <v>0</v>
      </c>
      <c r="QX36" s="235">
        <f t="shared" ca="1" si="401"/>
        <v>0</v>
      </c>
      <c r="QY36" s="242">
        <f t="shared" ca="1" si="402"/>
        <v>0</v>
      </c>
      <c r="QZ36" s="241">
        <f t="shared" ca="1" si="573"/>
        <v>1</v>
      </c>
      <c r="RA36" s="220">
        <f t="shared" ca="1" si="403"/>
        <v>0</v>
      </c>
      <c r="RB36" s="220">
        <f t="shared" ca="1" si="404"/>
        <v>0</v>
      </c>
      <c r="RC36" s="235">
        <f t="shared" ca="1" si="405"/>
        <v>0</v>
      </c>
      <c r="RD36" s="235">
        <f t="shared" ca="1" si="406"/>
        <v>0</v>
      </c>
      <c r="RE36" s="242">
        <f t="shared" ca="1" si="407"/>
        <v>0</v>
      </c>
      <c r="RF36" s="241">
        <f t="shared" ca="1" si="573"/>
        <v>1</v>
      </c>
      <c r="RG36" s="220">
        <f t="shared" ca="1" si="408"/>
        <v>0</v>
      </c>
      <c r="RH36" s="220">
        <f t="shared" ca="1" si="409"/>
        <v>0</v>
      </c>
      <c r="RI36" s="235">
        <f t="shared" ca="1" si="410"/>
        <v>0</v>
      </c>
      <c r="RJ36" s="235">
        <f t="shared" ca="1" si="411"/>
        <v>0</v>
      </c>
      <c r="RK36" s="242">
        <f t="shared" ca="1" si="412"/>
        <v>0</v>
      </c>
      <c r="RL36" s="241">
        <f t="shared" ca="1" si="573"/>
        <v>1</v>
      </c>
      <c r="RM36" s="220">
        <f t="shared" ca="1" si="413"/>
        <v>0</v>
      </c>
      <c r="RN36" s="220">
        <f t="shared" ca="1" si="414"/>
        <v>0</v>
      </c>
      <c r="RO36" s="235">
        <f t="shared" ca="1" si="415"/>
        <v>0</v>
      </c>
      <c r="RP36" s="235">
        <f t="shared" ca="1" si="416"/>
        <v>0</v>
      </c>
      <c r="RQ36" s="242">
        <f t="shared" ca="1" si="417"/>
        <v>0</v>
      </c>
      <c r="RR36" s="241">
        <f t="shared" ca="1" si="573"/>
        <v>1</v>
      </c>
      <c r="RS36" s="220">
        <f t="shared" ca="1" si="418"/>
        <v>0</v>
      </c>
      <c r="RT36" s="220">
        <f t="shared" ca="1" si="419"/>
        <v>0</v>
      </c>
      <c r="RU36" s="235">
        <f t="shared" ca="1" si="420"/>
        <v>0</v>
      </c>
      <c r="RV36" s="235">
        <f t="shared" ca="1" si="421"/>
        <v>0</v>
      </c>
      <c r="RW36" s="242">
        <f t="shared" ca="1" si="422"/>
        <v>0</v>
      </c>
      <c r="RX36" s="241">
        <f t="shared" ca="1" si="573"/>
        <v>1</v>
      </c>
      <c r="RY36" s="220">
        <f t="shared" ca="1" si="423"/>
        <v>0</v>
      </c>
      <c r="RZ36" s="220">
        <f t="shared" ca="1" si="424"/>
        <v>0</v>
      </c>
      <c r="SA36" s="235">
        <f t="shared" ca="1" si="425"/>
        <v>0</v>
      </c>
      <c r="SB36" s="235">
        <f t="shared" ca="1" si="426"/>
        <v>0</v>
      </c>
      <c r="SC36" s="242">
        <f t="shared" ca="1" si="427"/>
        <v>0</v>
      </c>
      <c r="SD36" s="241">
        <f t="shared" ca="1" si="566"/>
        <v>1</v>
      </c>
      <c r="SE36" s="220">
        <f t="shared" ca="1" si="428"/>
        <v>0</v>
      </c>
      <c r="SF36" s="220">
        <f t="shared" ca="1" si="429"/>
        <v>0</v>
      </c>
      <c r="SG36" s="235">
        <f t="shared" ca="1" si="430"/>
        <v>0</v>
      </c>
      <c r="SH36" s="235">
        <f t="shared" ca="1" si="431"/>
        <v>0</v>
      </c>
      <c r="SI36" s="242">
        <f t="shared" ca="1" si="432"/>
        <v>0</v>
      </c>
      <c r="SJ36" s="241">
        <f t="shared" ca="1" si="566"/>
        <v>1</v>
      </c>
      <c r="SK36" s="220">
        <f t="shared" ca="1" si="433"/>
        <v>0</v>
      </c>
      <c r="SL36" s="220">
        <f t="shared" ca="1" si="434"/>
        <v>0</v>
      </c>
      <c r="SM36" s="235">
        <f t="shared" ca="1" si="435"/>
        <v>0</v>
      </c>
      <c r="SN36" s="235">
        <f t="shared" ca="1" si="436"/>
        <v>0</v>
      </c>
      <c r="SO36" s="242">
        <f t="shared" ca="1" si="437"/>
        <v>0</v>
      </c>
      <c r="SP36" s="241">
        <f t="shared" ca="1" si="576"/>
        <v>1</v>
      </c>
      <c r="SQ36" s="220">
        <f t="shared" ca="1" si="438"/>
        <v>0</v>
      </c>
      <c r="SR36" s="220">
        <f t="shared" ca="1" si="439"/>
        <v>0</v>
      </c>
      <c r="SS36" s="235">
        <f t="shared" ca="1" si="440"/>
        <v>0</v>
      </c>
      <c r="ST36" s="235">
        <f t="shared" ca="1" si="441"/>
        <v>0</v>
      </c>
      <c r="SU36" s="242">
        <f t="shared" ca="1" si="442"/>
        <v>0</v>
      </c>
      <c r="SV36" s="241">
        <f t="shared" ca="1" si="576"/>
        <v>1</v>
      </c>
      <c r="SW36" s="220">
        <f t="shared" ca="1" si="444"/>
        <v>0</v>
      </c>
      <c r="SX36" s="220">
        <f t="shared" ca="1" si="445"/>
        <v>0</v>
      </c>
      <c r="SY36" s="235">
        <f t="shared" ca="1" si="446"/>
        <v>0</v>
      </c>
      <c r="SZ36" s="235">
        <f t="shared" ca="1" si="447"/>
        <v>0</v>
      </c>
      <c r="TA36" s="242">
        <f t="shared" ca="1" si="448"/>
        <v>0</v>
      </c>
      <c r="TB36" s="241">
        <f t="shared" ca="1" si="576"/>
        <v>1</v>
      </c>
      <c r="TC36" s="220">
        <f t="shared" ca="1" si="449"/>
        <v>0</v>
      </c>
      <c r="TD36" s="220">
        <f t="shared" ca="1" si="450"/>
        <v>0</v>
      </c>
      <c r="TE36" s="235">
        <f t="shared" ca="1" si="451"/>
        <v>0</v>
      </c>
      <c r="TF36" s="235">
        <f t="shared" ca="1" si="452"/>
        <v>0</v>
      </c>
      <c r="TG36" s="242">
        <f t="shared" ca="1" si="453"/>
        <v>0</v>
      </c>
      <c r="TH36" s="241">
        <f t="shared" ca="1" si="576"/>
        <v>1</v>
      </c>
      <c r="TI36" s="220">
        <f t="shared" ca="1" si="454"/>
        <v>0</v>
      </c>
      <c r="TJ36" s="220">
        <f t="shared" ca="1" si="455"/>
        <v>0</v>
      </c>
      <c r="TK36" s="235">
        <f t="shared" ca="1" si="456"/>
        <v>0</v>
      </c>
      <c r="TL36" s="235">
        <f t="shared" ca="1" si="457"/>
        <v>0</v>
      </c>
      <c r="TM36" s="242">
        <f t="shared" ca="1" si="458"/>
        <v>0</v>
      </c>
      <c r="TN36" s="241">
        <f t="shared" ca="1" si="576"/>
        <v>1</v>
      </c>
      <c r="TO36" s="220">
        <f t="shared" ca="1" si="459"/>
        <v>0</v>
      </c>
      <c r="TP36" s="220">
        <f t="shared" ca="1" si="460"/>
        <v>0</v>
      </c>
      <c r="TQ36" s="235">
        <f t="shared" ca="1" si="461"/>
        <v>0</v>
      </c>
      <c r="TR36" s="235">
        <f t="shared" ca="1" si="462"/>
        <v>0</v>
      </c>
      <c r="TS36" s="242">
        <f t="shared" ca="1" si="463"/>
        <v>0</v>
      </c>
      <c r="TT36" s="241">
        <f t="shared" ca="1" si="576"/>
        <v>1</v>
      </c>
      <c r="TU36" s="220">
        <f t="shared" ca="1" si="464"/>
        <v>0</v>
      </c>
      <c r="TV36" s="220">
        <f t="shared" ca="1" si="465"/>
        <v>0</v>
      </c>
      <c r="TW36" s="235">
        <f t="shared" ca="1" si="466"/>
        <v>0</v>
      </c>
      <c r="TX36" s="235">
        <f t="shared" ca="1" si="467"/>
        <v>0</v>
      </c>
      <c r="TY36" s="242">
        <f t="shared" ca="1" si="468"/>
        <v>0</v>
      </c>
      <c r="TZ36" s="241">
        <f t="shared" ca="1" si="576"/>
        <v>1</v>
      </c>
      <c r="UA36" s="220">
        <f t="shared" ca="1" si="469"/>
        <v>0</v>
      </c>
      <c r="UB36" s="220">
        <f t="shared" ca="1" si="470"/>
        <v>0</v>
      </c>
      <c r="UC36" s="235">
        <f t="shared" ca="1" si="471"/>
        <v>0</v>
      </c>
      <c r="UD36" s="235">
        <f t="shared" ca="1" si="472"/>
        <v>0</v>
      </c>
      <c r="UE36" s="242">
        <f t="shared" ca="1" si="473"/>
        <v>0</v>
      </c>
      <c r="UF36" s="241">
        <f t="shared" ca="1" si="576"/>
        <v>1</v>
      </c>
      <c r="UG36" s="220">
        <f t="shared" ca="1" si="474"/>
        <v>0</v>
      </c>
      <c r="UH36" s="220">
        <f t="shared" ca="1" si="475"/>
        <v>0</v>
      </c>
      <c r="UI36" s="235">
        <f t="shared" ca="1" si="476"/>
        <v>0</v>
      </c>
      <c r="UJ36" s="235">
        <f t="shared" ca="1" si="477"/>
        <v>0</v>
      </c>
      <c r="UK36" s="242">
        <f t="shared" ca="1" si="478"/>
        <v>0</v>
      </c>
      <c r="UL36" s="241">
        <f t="shared" ca="1" si="576"/>
        <v>1</v>
      </c>
      <c r="UM36" s="220">
        <f t="shared" ca="1" si="479"/>
        <v>0</v>
      </c>
      <c r="UN36" s="220">
        <f t="shared" ca="1" si="480"/>
        <v>0</v>
      </c>
      <c r="UO36" s="235">
        <f t="shared" ca="1" si="481"/>
        <v>0</v>
      </c>
      <c r="UP36" s="235">
        <f t="shared" ca="1" si="482"/>
        <v>0</v>
      </c>
      <c r="UQ36" s="242">
        <f t="shared" ca="1" si="483"/>
        <v>0</v>
      </c>
      <c r="UR36" s="241">
        <f t="shared" ca="1" si="576"/>
        <v>1</v>
      </c>
      <c r="US36" s="220">
        <f t="shared" ca="1" si="484"/>
        <v>0</v>
      </c>
      <c r="UT36" s="220">
        <f t="shared" ca="1" si="485"/>
        <v>0</v>
      </c>
      <c r="UU36" s="235">
        <f t="shared" ca="1" si="486"/>
        <v>0</v>
      </c>
      <c r="UV36" s="235">
        <f t="shared" ca="1" si="487"/>
        <v>0</v>
      </c>
      <c r="UW36" s="242">
        <f t="shared" ca="1" si="488"/>
        <v>0</v>
      </c>
      <c r="UX36" s="241">
        <f t="shared" ca="1" si="576"/>
        <v>1</v>
      </c>
      <c r="UY36" s="220">
        <f t="shared" ca="1" si="489"/>
        <v>0</v>
      </c>
      <c r="UZ36" s="220">
        <f t="shared" ca="1" si="490"/>
        <v>0</v>
      </c>
      <c r="VA36" s="235">
        <f t="shared" ca="1" si="491"/>
        <v>0</v>
      </c>
      <c r="VB36" s="235">
        <f t="shared" ca="1" si="492"/>
        <v>0</v>
      </c>
      <c r="VC36" s="242">
        <f t="shared" ca="1" si="493"/>
        <v>0</v>
      </c>
      <c r="VD36" s="241">
        <f t="shared" ca="1" si="574"/>
        <v>1</v>
      </c>
      <c r="VE36" s="220">
        <f t="shared" ca="1" si="494"/>
        <v>0</v>
      </c>
      <c r="VF36" s="220">
        <f t="shared" ca="1" si="495"/>
        <v>0</v>
      </c>
      <c r="VG36" s="235">
        <f t="shared" ca="1" si="496"/>
        <v>0</v>
      </c>
      <c r="VH36" s="235">
        <f t="shared" ca="1" si="497"/>
        <v>0</v>
      </c>
      <c r="VI36" s="242">
        <f t="shared" ca="1" si="498"/>
        <v>0</v>
      </c>
      <c r="VJ36" s="241">
        <f t="shared" ca="1" si="567"/>
        <v>1</v>
      </c>
      <c r="VK36" s="220">
        <f t="shared" ca="1" si="500"/>
        <v>0</v>
      </c>
      <c r="VL36" s="220">
        <f t="shared" ca="1" si="501"/>
        <v>0</v>
      </c>
      <c r="VM36" s="235">
        <f t="shared" ca="1" si="502"/>
        <v>0</v>
      </c>
      <c r="VN36" s="235">
        <f t="shared" ca="1" si="503"/>
        <v>0</v>
      </c>
      <c r="VO36" s="242">
        <f t="shared" ca="1" si="504"/>
        <v>0</v>
      </c>
      <c r="VP36" s="241">
        <f t="shared" ca="1" si="567"/>
        <v>1</v>
      </c>
      <c r="VQ36" s="220">
        <f t="shared" ca="1" si="505"/>
        <v>0</v>
      </c>
      <c r="VR36" s="220">
        <f t="shared" ca="1" si="506"/>
        <v>0</v>
      </c>
      <c r="VS36" s="235">
        <f t="shared" ca="1" si="507"/>
        <v>0</v>
      </c>
      <c r="VT36" s="235">
        <f t="shared" ca="1" si="508"/>
        <v>0</v>
      </c>
      <c r="VU36" s="242">
        <f t="shared" ca="1" si="509"/>
        <v>0</v>
      </c>
      <c r="VV36" s="241">
        <f t="shared" ca="1" si="499"/>
        <v>1</v>
      </c>
      <c r="VW36" s="220">
        <f t="shared" ca="1" si="510"/>
        <v>0</v>
      </c>
      <c r="VX36" s="220">
        <f t="shared" ca="1" si="511"/>
        <v>0</v>
      </c>
      <c r="VY36" s="235">
        <f t="shared" ca="1" si="512"/>
        <v>0</v>
      </c>
      <c r="VZ36" s="235">
        <f t="shared" ca="1" si="513"/>
        <v>0</v>
      </c>
      <c r="WA36" s="242">
        <f t="shared" ca="1" si="514"/>
        <v>0</v>
      </c>
      <c r="WB36" s="241">
        <f t="shared" ca="1" si="499"/>
        <v>1</v>
      </c>
      <c r="WC36" s="220">
        <f t="shared" ca="1" si="515"/>
        <v>0</v>
      </c>
      <c r="WD36" s="220">
        <f t="shared" ca="1" si="516"/>
        <v>0</v>
      </c>
      <c r="WE36" s="235">
        <f t="shared" ca="1" si="517"/>
        <v>0</v>
      </c>
      <c r="WF36" s="235">
        <f t="shared" ca="1" si="518"/>
        <v>0</v>
      </c>
      <c r="WG36" s="242">
        <f t="shared" ca="1" si="519"/>
        <v>0</v>
      </c>
      <c r="WH36" s="241">
        <f t="shared" ca="1" si="499"/>
        <v>1</v>
      </c>
      <c r="WI36" s="220">
        <f t="shared" ca="1" si="520"/>
        <v>0</v>
      </c>
      <c r="WJ36" s="220">
        <f t="shared" ca="1" si="521"/>
        <v>0</v>
      </c>
      <c r="WK36" s="235">
        <f t="shared" ca="1" si="522"/>
        <v>0</v>
      </c>
      <c r="WL36" s="235">
        <f t="shared" ca="1" si="523"/>
        <v>0</v>
      </c>
      <c r="WM36" s="242">
        <f t="shared" ca="1" si="524"/>
        <v>0</v>
      </c>
      <c r="WN36" s="241">
        <f t="shared" ca="1" si="499"/>
        <v>1</v>
      </c>
      <c r="WO36" s="220">
        <f t="shared" ca="1" si="525"/>
        <v>0</v>
      </c>
      <c r="WP36" s="220">
        <f t="shared" ca="1" si="526"/>
        <v>0</v>
      </c>
      <c r="WQ36" s="235">
        <f t="shared" ca="1" si="527"/>
        <v>0</v>
      </c>
      <c r="WR36" s="235">
        <f t="shared" ca="1" si="528"/>
        <v>0</v>
      </c>
      <c r="WS36" s="242">
        <f t="shared" ca="1" si="529"/>
        <v>0</v>
      </c>
      <c r="WT36" s="241">
        <f t="shared" ca="1" si="499"/>
        <v>1</v>
      </c>
      <c r="WU36" s="220">
        <f t="shared" ca="1" si="530"/>
        <v>0</v>
      </c>
      <c r="WV36" s="220">
        <f t="shared" ca="1" si="531"/>
        <v>0</v>
      </c>
      <c r="WW36" s="235">
        <f t="shared" ca="1" si="532"/>
        <v>0</v>
      </c>
      <c r="WX36" s="235">
        <f t="shared" ca="1" si="533"/>
        <v>0</v>
      </c>
      <c r="WY36" s="242">
        <f t="shared" ca="1" si="534"/>
        <v>0</v>
      </c>
      <c r="WZ36" s="241">
        <f t="shared" ca="1" si="499"/>
        <v>1</v>
      </c>
      <c r="XA36" s="220">
        <f t="shared" ca="1" si="535"/>
        <v>0</v>
      </c>
      <c r="XB36" s="220">
        <f t="shared" ca="1" si="536"/>
        <v>0</v>
      </c>
      <c r="XC36" s="235">
        <f t="shared" ca="1" si="537"/>
        <v>0</v>
      </c>
      <c r="XD36" s="235">
        <f t="shared" ca="1" si="538"/>
        <v>0</v>
      </c>
      <c r="XE36" s="242">
        <f t="shared" ca="1" si="539"/>
        <v>0</v>
      </c>
      <c r="XF36" s="241">
        <f t="shared" ref="XF36" ca="1" si="577">IF(($B36+XF$2)&lt;SC_TargetRY,0,IF(($B36+XF$2)=SC_TargetRY,SC_AnnyPmntPr,IF(SP_AnnyTerms="Life",1,IF(($B36+XF$2)=(SC_TargetRY+SP_AnnyPeriod),SC_AnnyPmntPr-1,IF(($B36+XF$2)&gt;(SC_TargetRY+SP_AnnyPeriod),0,1)))))</f>
        <v>1</v>
      </c>
      <c r="XG36" s="220">
        <f t="shared" ca="1" si="540"/>
        <v>0</v>
      </c>
      <c r="XH36" s="220">
        <f t="shared" ca="1" si="541"/>
        <v>0</v>
      </c>
      <c r="XI36" s="235">
        <f t="shared" ca="1" si="542"/>
        <v>0</v>
      </c>
      <c r="XJ36" s="235">
        <f t="shared" ca="1" si="543"/>
        <v>0</v>
      </c>
      <c r="XK36" s="242">
        <f t="shared" ca="1" si="544"/>
        <v>0</v>
      </c>
    </row>
    <row r="37" spans="2:635" x14ac:dyDescent="0.25">
      <c r="B37" s="65">
        <f t="shared" ca="1" si="14"/>
        <v>2052</v>
      </c>
      <c r="C37" s="65" t="s">
        <v>741</v>
      </c>
      <c r="D37" s="77">
        <f t="shared" si="15"/>
        <v>0</v>
      </c>
      <c r="E37" s="77">
        <f t="shared" si="16"/>
        <v>0</v>
      </c>
      <c r="F37" s="77">
        <f t="shared" si="17"/>
        <v>0</v>
      </c>
      <c r="G37" s="77">
        <f t="shared" si="18"/>
        <v>0</v>
      </c>
      <c r="H37" s="15" t="e">
        <f t="shared" ca="1" si="19"/>
        <v>#REF!</v>
      </c>
      <c r="L37" s="326">
        <f t="shared" ca="1" si="20"/>
        <v>3.5000000000000003E-2</v>
      </c>
      <c r="M37" s="327">
        <f t="shared" ca="1" si="21"/>
        <v>3.5000000000000003E-2</v>
      </c>
      <c r="N37" s="322">
        <f t="shared" ca="1" si="22"/>
        <v>-29</v>
      </c>
      <c r="O37" s="322">
        <f t="shared" ca="1" si="23"/>
        <v>0</v>
      </c>
      <c r="P37" s="328">
        <f t="shared" ca="1" si="545"/>
        <v>0</v>
      </c>
      <c r="Q37" s="328">
        <f t="shared" ca="1" si="546"/>
        <v>0</v>
      </c>
      <c r="R37" s="328">
        <f t="shared" ca="1" si="547"/>
        <v>0</v>
      </c>
      <c r="S37" s="329">
        <f t="shared" ca="1" si="24"/>
        <v>0</v>
      </c>
      <c r="T37" s="329">
        <f t="shared" ca="1" si="25"/>
        <v>0</v>
      </c>
      <c r="U37" s="329">
        <f t="shared" ca="1" si="26"/>
        <v>0</v>
      </c>
      <c r="V37" s="320" t="e">
        <f t="shared" ca="1" si="27"/>
        <v>#REF!</v>
      </c>
      <c r="W37" s="320" t="e">
        <f t="shared" ca="1" si="560"/>
        <v>#REF!</v>
      </c>
      <c r="X37" s="320" t="e">
        <f t="shared" ca="1" si="29"/>
        <v>#REF!</v>
      </c>
      <c r="Y37" s="320" t="e">
        <f ca="1">INDEX(SC_ZA_HECMLumpSum,ZAIDX)</f>
        <v>#REF!</v>
      </c>
      <c r="Z37" s="320" t="e">
        <f t="shared" ca="1" si="30"/>
        <v>#REF!</v>
      </c>
      <c r="AA37" s="320">
        <f t="shared" ca="1" si="557"/>
        <v>0</v>
      </c>
      <c r="AB37" s="320" t="e">
        <f t="shared" ca="1" si="558"/>
        <v>#REF!</v>
      </c>
      <c r="AC37" s="330" t="e">
        <f t="shared" ca="1" si="559"/>
        <v>#REF!</v>
      </c>
      <c r="AD37" s="236" t="e">
        <f t="shared" ca="1" si="548"/>
        <v>#REF!</v>
      </c>
      <c r="AE37" s="320" t="e">
        <f t="shared" ca="1" si="561"/>
        <v>#REF!</v>
      </c>
      <c r="AF37" s="320" t="e">
        <f t="shared" ca="1" si="35"/>
        <v>#REF!</v>
      </c>
      <c r="AG37" s="320" t="e">
        <f t="shared" ca="1" si="549"/>
        <v>#REF!</v>
      </c>
      <c r="AH37" s="284" t="e">
        <f t="shared" ca="1" si="550"/>
        <v>#REF!</v>
      </c>
      <c r="AI37" s="318" t="e">
        <f t="shared" ca="1" si="551"/>
        <v>#REF!</v>
      </c>
      <c r="AJ37" s="331">
        <f t="shared" ca="1" si="575"/>
        <v>1</v>
      </c>
      <c r="AK37" s="220">
        <f t="shared" ca="1" si="553"/>
        <v>0</v>
      </c>
      <c r="AL37" s="220">
        <f t="shared" ca="1" si="37"/>
        <v>0</v>
      </c>
      <c r="AM37" s="235">
        <f t="shared" ca="1" si="554"/>
        <v>0</v>
      </c>
      <c r="AN37" s="235">
        <f t="shared" ca="1" si="555"/>
        <v>0</v>
      </c>
      <c r="AO37" s="242">
        <f t="shared" ca="1" si="556"/>
        <v>0</v>
      </c>
      <c r="AP37" s="241">
        <f t="shared" ca="1" si="575"/>
        <v>1</v>
      </c>
      <c r="AQ37" s="220">
        <f t="shared" ca="1" si="41"/>
        <v>0</v>
      </c>
      <c r="AR37" s="220">
        <f t="shared" ca="1" si="42"/>
        <v>0</v>
      </c>
      <c r="AS37" s="235">
        <f t="shared" ca="1" si="43"/>
        <v>0</v>
      </c>
      <c r="AT37" s="235">
        <f t="shared" ca="1" si="44"/>
        <v>0</v>
      </c>
      <c r="AU37" s="242">
        <f t="shared" ca="1" si="45"/>
        <v>0</v>
      </c>
      <c r="AV37" s="241">
        <f t="shared" ca="1" si="575"/>
        <v>1</v>
      </c>
      <c r="AW37" s="220">
        <f t="shared" ca="1" si="46"/>
        <v>0</v>
      </c>
      <c r="AX37" s="220">
        <f t="shared" ca="1" si="47"/>
        <v>0</v>
      </c>
      <c r="AY37" s="235">
        <f t="shared" ca="1" si="48"/>
        <v>0</v>
      </c>
      <c r="AZ37" s="235">
        <f t="shared" ca="1" si="49"/>
        <v>0</v>
      </c>
      <c r="BA37" s="242">
        <f t="shared" ca="1" si="50"/>
        <v>0</v>
      </c>
      <c r="BB37" s="241">
        <f t="shared" ca="1" si="575"/>
        <v>1</v>
      </c>
      <c r="BC37" s="220">
        <f t="shared" ca="1" si="52"/>
        <v>0</v>
      </c>
      <c r="BD37" s="220">
        <f t="shared" ca="1" si="53"/>
        <v>0</v>
      </c>
      <c r="BE37" s="235">
        <f t="shared" ca="1" si="54"/>
        <v>0</v>
      </c>
      <c r="BF37" s="235">
        <f t="shared" ca="1" si="55"/>
        <v>0</v>
      </c>
      <c r="BG37" s="242">
        <f t="shared" ca="1" si="56"/>
        <v>0</v>
      </c>
      <c r="BH37" s="241">
        <f t="shared" ca="1" si="575"/>
        <v>1</v>
      </c>
      <c r="BI37" s="220">
        <f t="shared" ca="1" si="57"/>
        <v>0</v>
      </c>
      <c r="BJ37" s="220">
        <f t="shared" ca="1" si="58"/>
        <v>0</v>
      </c>
      <c r="BK37" s="235">
        <f t="shared" ca="1" si="59"/>
        <v>0</v>
      </c>
      <c r="BL37" s="235">
        <f t="shared" ca="1" si="60"/>
        <v>0</v>
      </c>
      <c r="BM37" s="242">
        <f t="shared" ca="1" si="61"/>
        <v>0</v>
      </c>
      <c r="BN37" s="241">
        <f t="shared" ca="1" si="575"/>
        <v>1</v>
      </c>
      <c r="BO37" s="220">
        <f t="shared" ca="1" si="62"/>
        <v>0</v>
      </c>
      <c r="BP37" s="220">
        <f t="shared" ca="1" si="63"/>
        <v>0</v>
      </c>
      <c r="BQ37" s="235">
        <f t="shared" ca="1" si="64"/>
        <v>0</v>
      </c>
      <c r="BR37" s="235">
        <f t="shared" ca="1" si="65"/>
        <v>0</v>
      </c>
      <c r="BS37" s="242">
        <f t="shared" ca="1" si="66"/>
        <v>0</v>
      </c>
      <c r="BT37" s="241">
        <f t="shared" ca="1" si="575"/>
        <v>1</v>
      </c>
      <c r="BU37" s="220">
        <f t="shared" ca="1" si="67"/>
        <v>0</v>
      </c>
      <c r="BV37" s="220">
        <f t="shared" ca="1" si="68"/>
        <v>0</v>
      </c>
      <c r="BW37" s="235">
        <f t="shared" ca="1" si="69"/>
        <v>0</v>
      </c>
      <c r="BX37" s="235">
        <f t="shared" ca="1" si="70"/>
        <v>0</v>
      </c>
      <c r="BY37" s="242">
        <f t="shared" ca="1" si="71"/>
        <v>0</v>
      </c>
      <c r="BZ37" s="241">
        <f t="shared" ca="1" si="575"/>
        <v>1</v>
      </c>
      <c r="CA37" s="220">
        <f t="shared" ca="1" si="72"/>
        <v>0</v>
      </c>
      <c r="CB37" s="220">
        <f t="shared" ca="1" si="73"/>
        <v>0</v>
      </c>
      <c r="CC37" s="235">
        <f t="shared" ca="1" si="74"/>
        <v>0</v>
      </c>
      <c r="CD37" s="235">
        <f t="shared" ca="1" si="75"/>
        <v>0</v>
      </c>
      <c r="CE37" s="242">
        <f t="shared" ca="1" si="76"/>
        <v>0</v>
      </c>
      <c r="CF37" s="241">
        <f t="shared" ca="1" si="575"/>
        <v>1</v>
      </c>
      <c r="CG37" s="220">
        <f t="shared" ca="1" si="77"/>
        <v>0</v>
      </c>
      <c r="CH37" s="220">
        <f t="shared" ca="1" si="78"/>
        <v>0</v>
      </c>
      <c r="CI37" s="235">
        <f t="shared" ca="1" si="79"/>
        <v>0</v>
      </c>
      <c r="CJ37" s="235">
        <f t="shared" ca="1" si="80"/>
        <v>0</v>
      </c>
      <c r="CK37" s="242">
        <f t="shared" ca="1" si="81"/>
        <v>0</v>
      </c>
      <c r="CL37" s="241">
        <f t="shared" ca="1" si="575"/>
        <v>1</v>
      </c>
      <c r="CM37" s="220">
        <f t="shared" ca="1" si="82"/>
        <v>0</v>
      </c>
      <c r="CN37" s="220">
        <f t="shared" ca="1" si="83"/>
        <v>0</v>
      </c>
      <c r="CO37" s="235">
        <f t="shared" ca="1" si="84"/>
        <v>0</v>
      </c>
      <c r="CP37" s="235">
        <f t="shared" ca="1" si="85"/>
        <v>0</v>
      </c>
      <c r="CQ37" s="242">
        <f t="shared" ca="1" si="86"/>
        <v>0</v>
      </c>
      <c r="CR37" s="241">
        <f t="shared" ca="1" si="575"/>
        <v>1</v>
      </c>
      <c r="CS37" s="220">
        <f t="shared" ca="1" si="87"/>
        <v>0</v>
      </c>
      <c r="CT37" s="220">
        <f t="shared" ca="1" si="88"/>
        <v>0</v>
      </c>
      <c r="CU37" s="235">
        <f t="shared" ca="1" si="89"/>
        <v>0</v>
      </c>
      <c r="CV37" s="235">
        <f t="shared" ca="1" si="90"/>
        <v>0</v>
      </c>
      <c r="CW37" s="242">
        <f t="shared" ca="1" si="91"/>
        <v>0</v>
      </c>
      <c r="CX37" s="241">
        <f t="shared" ca="1" si="568"/>
        <v>1</v>
      </c>
      <c r="CY37" s="220">
        <f t="shared" ca="1" si="92"/>
        <v>0</v>
      </c>
      <c r="CZ37" s="220">
        <f t="shared" ca="1" si="93"/>
        <v>0</v>
      </c>
      <c r="DA37" s="235">
        <f t="shared" ca="1" si="94"/>
        <v>0</v>
      </c>
      <c r="DB37" s="235">
        <f t="shared" ca="1" si="95"/>
        <v>0</v>
      </c>
      <c r="DC37" s="242">
        <f t="shared" ca="1" si="96"/>
        <v>0</v>
      </c>
      <c r="DD37" s="241">
        <f t="shared" ca="1" si="568"/>
        <v>1</v>
      </c>
      <c r="DE37" s="220">
        <f t="shared" ca="1" si="97"/>
        <v>0</v>
      </c>
      <c r="DF37" s="220">
        <f t="shared" ca="1" si="98"/>
        <v>0</v>
      </c>
      <c r="DG37" s="235">
        <f t="shared" ca="1" si="99"/>
        <v>0</v>
      </c>
      <c r="DH37" s="235">
        <f t="shared" ca="1" si="100"/>
        <v>0</v>
      </c>
      <c r="DI37" s="242">
        <f t="shared" ca="1" si="101"/>
        <v>0</v>
      </c>
      <c r="DJ37" s="241">
        <f t="shared" ca="1" si="51"/>
        <v>1</v>
      </c>
      <c r="DK37" s="220">
        <f t="shared" ca="1" si="102"/>
        <v>0</v>
      </c>
      <c r="DL37" s="220">
        <f t="shared" ca="1" si="103"/>
        <v>0</v>
      </c>
      <c r="DM37" s="235">
        <f t="shared" ca="1" si="104"/>
        <v>0</v>
      </c>
      <c r="DN37" s="235">
        <f t="shared" ca="1" si="105"/>
        <v>0</v>
      </c>
      <c r="DO37" s="242">
        <f t="shared" ca="1" si="106"/>
        <v>0</v>
      </c>
      <c r="DP37" s="241">
        <f t="shared" ca="1" si="569"/>
        <v>1</v>
      </c>
      <c r="DQ37" s="220">
        <f t="shared" ca="1" si="108"/>
        <v>0</v>
      </c>
      <c r="DR37" s="220">
        <f t="shared" ca="1" si="109"/>
        <v>0</v>
      </c>
      <c r="DS37" s="235">
        <f t="shared" ca="1" si="110"/>
        <v>0</v>
      </c>
      <c r="DT37" s="235">
        <f t="shared" ca="1" si="111"/>
        <v>0</v>
      </c>
      <c r="DU37" s="242">
        <f t="shared" ca="1" si="112"/>
        <v>0</v>
      </c>
      <c r="DV37" s="241">
        <f t="shared" ca="1" si="569"/>
        <v>1</v>
      </c>
      <c r="DW37" s="220">
        <f t="shared" ca="1" si="113"/>
        <v>0</v>
      </c>
      <c r="DX37" s="220">
        <f t="shared" ca="1" si="114"/>
        <v>0</v>
      </c>
      <c r="DY37" s="235">
        <f t="shared" ca="1" si="115"/>
        <v>0</v>
      </c>
      <c r="DZ37" s="235">
        <f t="shared" ca="1" si="116"/>
        <v>0</v>
      </c>
      <c r="EA37" s="242">
        <f t="shared" ca="1" si="117"/>
        <v>0</v>
      </c>
      <c r="EB37" s="241">
        <f t="shared" ca="1" si="569"/>
        <v>1</v>
      </c>
      <c r="EC37" s="220">
        <f t="shared" ca="1" si="118"/>
        <v>0</v>
      </c>
      <c r="ED37" s="220">
        <f t="shared" ca="1" si="119"/>
        <v>0</v>
      </c>
      <c r="EE37" s="235">
        <f t="shared" ca="1" si="120"/>
        <v>0</v>
      </c>
      <c r="EF37" s="235">
        <f t="shared" ca="1" si="121"/>
        <v>0</v>
      </c>
      <c r="EG37" s="242">
        <f t="shared" ca="1" si="122"/>
        <v>0</v>
      </c>
      <c r="EH37" s="241">
        <f t="shared" ca="1" si="569"/>
        <v>1</v>
      </c>
      <c r="EI37" s="220">
        <f t="shared" ca="1" si="123"/>
        <v>0</v>
      </c>
      <c r="EJ37" s="220">
        <f t="shared" ca="1" si="124"/>
        <v>0</v>
      </c>
      <c r="EK37" s="235">
        <f t="shared" ca="1" si="125"/>
        <v>0</v>
      </c>
      <c r="EL37" s="235">
        <f t="shared" ca="1" si="126"/>
        <v>0</v>
      </c>
      <c r="EM37" s="242">
        <f t="shared" ca="1" si="127"/>
        <v>0</v>
      </c>
      <c r="EN37" s="241">
        <f t="shared" ca="1" si="569"/>
        <v>1</v>
      </c>
      <c r="EO37" s="220">
        <f t="shared" ca="1" si="128"/>
        <v>0</v>
      </c>
      <c r="EP37" s="220">
        <f t="shared" ca="1" si="129"/>
        <v>0</v>
      </c>
      <c r="EQ37" s="235">
        <f t="shared" ca="1" si="130"/>
        <v>0</v>
      </c>
      <c r="ER37" s="235">
        <f t="shared" ca="1" si="131"/>
        <v>0</v>
      </c>
      <c r="ES37" s="242">
        <f t="shared" ca="1" si="132"/>
        <v>0</v>
      </c>
      <c r="ET37" s="241">
        <f t="shared" ca="1" si="569"/>
        <v>1</v>
      </c>
      <c r="EU37" s="220">
        <f t="shared" ca="1" si="133"/>
        <v>0</v>
      </c>
      <c r="EV37" s="220">
        <f t="shared" ca="1" si="134"/>
        <v>0</v>
      </c>
      <c r="EW37" s="235">
        <f t="shared" ca="1" si="135"/>
        <v>0</v>
      </c>
      <c r="EX37" s="235">
        <f t="shared" ca="1" si="136"/>
        <v>0</v>
      </c>
      <c r="EY37" s="242">
        <f t="shared" ca="1" si="137"/>
        <v>0</v>
      </c>
      <c r="EZ37" s="241">
        <f t="shared" ca="1" si="569"/>
        <v>1</v>
      </c>
      <c r="FA37" s="220">
        <f t="shared" ca="1" si="138"/>
        <v>0</v>
      </c>
      <c r="FB37" s="220">
        <f t="shared" ca="1" si="139"/>
        <v>0</v>
      </c>
      <c r="FC37" s="235">
        <f t="shared" ca="1" si="140"/>
        <v>0</v>
      </c>
      <c r="FD37" s="235">
        <f t="shared" ca="1" si="141"/>
        <v>0</v>
      </c>
      <c r="FE37" s="242">
        <f t="shared" ca="1" si="142"/>
        <v>0</v>
      </c>
      <c r="FF37" s="241">
        <f t="shared" ca="1" si="569"/>
        <v>1</v>
      </c>
      <c r="FG37" s="220">
        <f t="shared" ca="1" si="143"/>
        <v>0</v>
      </c>
      <c r="FH37" s="220">
        <f t="shared" ca="1" si="144"/>
        <v>0</v>
      </c>
      <c r="FI37" s="235">
        <f t="shared" ca="1" si="145"/>
        <v>0</v>
      </c>
      <c r="FJ37" s="235">
        <f t="shared" ca="1" si="146"/>
        <v>0</v>
      </c>
      <c r="FK37" s="242">
        <f t="shared" ca="1" si="147"/>
        <v>0</v>
      </c>
      <c r="FL37" s="241">
        <f t="shared" ca="1" si="569"/>
        <v>1</v>
      </c>
      <c r="FM37" s="220">
        <f t="shared" ca="1" si="148"/>
        <v>0</v>
      </c>
      <c r="FN37" s="220">
        <f t="shared" ca="1" si="149"/>
        <v>0</v>
      </c>
      <c r="FO37" s="235">
        <f t="shared" ca="1" si="150"/>
        <v>0</v>
      </c>
      <c r="FP37" s="235">
        <f t="shared" ca="1" si="151"/>
        <v>0</v>
      </c>
      <c r="FQ37" s="242">
        <f t="shared" ca="1" si="152"/>
        <v>0</v>
      </c>
      <c r="FR37" s="241">
        <f t="shared" ca="1" si="569"/>
        <v>1</v>
      </c>
      <c r="FS37" s="220">
        <f t="shared" ca="1" si="153"/>
        <v>0</v>
      </c>
      <c r="FT37" s="220">
        <f t="shared" ca="1" si="154"/>
        <v>0</v>
      </c>
      <c r="FU37" s="235">
        <f t="shared" ca="1" si="155"/>
        <v>0</v>
      </c>
      <c r="FV37" s="235">
        <f t="shared" ca="1" si="156"/>
        <v>0</v>
      </c>
      <c r="FW37" s="242">
        <f t="shared" ca="1" si="157"/>
        <v>0</v>
      </c>
      <c r="FX37" s="241">
        <f t="shared" ca="1" si="569"/>
        <v>1</v>
      </c>
      <c r="FY37" s="220">
        <f t="shared" ca="1" si="158"/>
        <v>0</v>
      </c>
      <c r="FZ37" s="220">
        <f t="shared" ca="1" si="159"/>
        <v>0</v>
      </c>
      <c r="GA37" s="235">
        <f t="shared" ca="1" si="160"/>
        <v>0</v>
      </c>
      <c r="GB37" s="235">
        <f t="shared" ca="1" si="161"/>
        <v>0</v>
      </c>
      <c r="GC37" s="242">
        <f t="shared" ca="1" si="162"/>
        <v>0</v>
      </c>
      <c r="GD37" s="241">
        <f t="shared" ca="1" si="562"/>
        <v>1</v>
      </c>
      <c r="GE37" s="220">
        <f t="shared" ca="1" si="164"/>
        <v>0</v>
      </c>
      <c r="GF37" s="220">
        <f t="shared" ca="1" si="165"/>
        <v>0</v>
      </c>
      <c r="GG37" s="235">
        <f t="shared" ca="1" si="166"/>
        <v>0</v>
      </c>
      <c r="GH37" s="235">
        <f t="shared" ca="1" si="167"/>
        <v>0</v>
      </c>
      <c r="GI37" s="242">
        <f t="shared" ca="1" si="168"/>
        <v>0</v>
      </c>
      <c r="GJ37" s="241">
        <f t="shared" ca="1" si="562"/>
        <v>1</v>
      </c>
      <c r="GK37" s="220">
        <f t="shared" ca="1" si="169"/>
        <v>0</v>
      </c>
      <c r="GL37" s="220">
        <f t="shared" ca="1" si="170"/>
        <v>0</v>
      </c>
      <c r="GM37" s="235">
        <f t="shared" ca="1" si="171"/>
        <v>0</v>
      </c>
      <c r="GN37" s="235">
        <f t="shared" ca="1" si="172"/>
        <v>0</v>
      </c>
      <c r="GO37" s="242">
        <f t="shared" ca="1" si="173"/>
        <v>0</v>
      </c>
      <c r="GP37" s="241">
        <f t="shared" ca="1" si="570"/>
        <v>1</v>
      </c>
      <c r="GQ37" s="220">
        <f t="shared" ca="1" si="174"/>
        <v>0</v>
      </c>
      <c r="GR37" s="220">
        <f t="shared" ca="1" si="175"/>
        <v>0</v>
      </c>
      <c r="GS37" s="235">
        <f t="shared" ca="1" si="176"/>
        <v>0</v>
      </c>
      <c r="GT37" s="235">
        <f t="shared" ca="1" si="177"/>
        <v>0</v>
      </c>
      <c r="GU37" s="242">
        <f t="shared" ca="1" si="178"/>
        <v>0</v>
      </c>
      <c r="GV37" s="241">
        <f t="shared" ca="1" si="570"/>
        <v>1</v>
      </c>
      <c r="GW37" s="220">
        <f t="shared" ca="1" si="179"/>
        <v>0</v>
      </c>
      <c r="GX37" s="220">
        <f t="shared" ca="1" si="180"/>
        <v>0</v>
      </c>
      <c r="GY37" s="235">
        <f t="shared" ca="1" si="181"/>
        <v>0</v>
      </c>
      <c r="GZ37" s="235">
        <f t="shared" ca="1" si="182"/>
        <v>0</v>
      </c>
      <c r="HA37" s="242">
        <f t="shared" ca="1" si="183"/>
        <v>0</v>
      </c>
      <c r="HB37" s="241">
        <f t="shared" ca="1" si="570"/>
        <v>1</v>
      </c>
      <c r="HC37" s="220">
        <f t="shared" ca="1" si="184"/>
        <v>0</v>
      </c>
      <c r="HD37" s="220">
        <f t="shared" ca="1" si="185"/>
        <v>0</v>
      </c>
      <c r="HE37" s="235">
        <f t="shared" ca="1" si="186"/>
        <v>0</v>
      </c>
      <c r="HF37" s="235">
        <f t="shared" ca="1" si="187"/>
        <v>0</v>
      </c>
      <c r="HG37" s="242">
        <f t="shared" ca="1" si="188"/>
        <v>0</v>
      </c>
      <c r="HH37" s="241">
        <f t="shared" ca="1" si="570"/>
        <v>1</v>
      </c>
      <c r="HI37" s="220">
        <f t="shared" ca="1" si="189"/>
        <v>0</v>
      </c>
      <c r="HJ37" s="220">
        <f t="shared" ca="1" si="190"/>
        <v>0</v>
      </c>
      <c r="HK37" s="235">
        <f t="shared" ca="1" si="191"/>
        <v>0</v>
      </c>
      <c r="HL37" s="235">
        <f t="shared" ca="1" si="192"/>
        <v>0</v>
      </c>
      <c r="HM37" s="242">
        <f t="shared" ca="1" si="193"/>
        <v>0</v>
      </c>
      <c r="HN37" s="241">
        <f t="shared" ca="1" si="570"/>
        <v>1</v>
      </c>
      <c r="HO37" s="220">
        <f t="shared" ca="1" si="194"/>
        <v>0</v>
      </c>
      <c r="HP37" s="220">
        <f t="shared" ca="1" si="195"/>
        <v>0</v>
      </c>
      <c r="HQ37" s="235">
        <f t="shared" ca="1" si="196"/>
        <v>0</v>
      </c>
      <c r="HR37" s="235">
        <f t="shared" ca="1" si="197"/>
        <v>0</v>
      </c>
      <c r="HS37" s="242">
        <f t="shared" ca="1" si="198"/>
        <v>0</v>
      </c>
      <c r="HT37" s="241">
        <f t="shared" ca="1" si="570"/>
        <v>1</v>
      </c>
      <c r="HU37" s="220">
        <f t="shared" ca="1" si="199"/>
        <v>0</v>
      </c>
      <c r="HV37" s="220">
        <f t="shared" ca="1" si="200"/>
        <v>0</v>
      </c>
      <c r="HW37" s="235">
        <f t="shared" ca="1" si="201"/>
        <v>0</v>
      </c>
      <c r="HX37" s="235">
        <f t="shared" ca="1" si="202"/>
        <v>0</v>
      </c>
      <c r="HY37" s="242">
        <f t="shared" ca="1" si="203"/>
        <v>0</v>
      </c>
      <c r="HZ37" s="241">
        <f t="shared" ca="1" si="570"/>
        <v>1</v>
      </c>
      <c r="IA37" s="220">
        <f t="shared" ca="1" si="204"/>
        <v>0</v>
      </c>
      <c r="IB37" s="220">
        <f t="shared" ca="1" si="205"/>
        <v>0</v>
      </c>
      <c r="IC37" s="235">
        <f t="shared" ca="1" si="206"/>
        <v>0</v>
      </c>
      <c r="ID37" s="235">
        <f t="shared" ca="1" si="207"/>
        <v>0</v>
      </c>
      <c r="IE37" s="242">
        <f t="shared" ca="1" si="208"/>
        <v>0</v>
      </c>
      <c r="IF37" s="241">
        <f t="shared" ca="1" si="570"/>
        <v>1</v>
      </c>
      <c r="IG37" s="220">
        <f t="shared" ca="1" si="209"/>
        <v>0</v>
      </c>
      <c r="IH37" s="220">
        <f t="shared" ca="1" si="210"/>
        <v>0</v>
      </c>
      <c r="II37" s="235">
        <f t="shared" ca="1" si="211"/>
        <v>0</v>
      </c>
      <c r="IJ37" s="235">
        <f t="shared" ca="1" si="212"/>
        <v>0</v>
      </c>
      <c r="IK37" s="242">
        <f t="shared" ca="1" si="213"/>
        <v>0</v>
      </c>
      <c r="IL37" s="241">
        <f t="shared" ca="1" si="570"/>
        <v>1</v>
      </c>
      <c r="IM37" s="220">
        <f t="shared" ca="1" si="214"/>
        <v>0</v>
      </c>
      <c r="IN37" s="220">
        <f t="shared" ca="1" si="215"/>
        <v>0</v>
      </c>
      <c r="IO37" s="235">
        <f t="shared" ca="1" si="216"/>
        <v>0</v>
      </c>
      <c r="IP37" s="235">
        <f t="shared" ca="1" si="217"/>
        <v>0</v>
      </c>
      <c r="IQ37" s="242">
        <f t="shared" ca="1" si="218"/>
        <v>0</v>
      </c>
      <c r="IR37" s="241">
        <f t="shared" ca="1" si="570"/>
        <v>1</v>
      </c>
      <c r="IS37" s="220">
        <f t="shared" ca="1" si="220"/>
        <v>0</v>
      </c>
      <c r="IT37" s="220">
        <f t="shared" ca="1" si="221"/>
        <v>0</v>
      </c>
      <c r="IU37" s="235">
        <f t="shared" ca="1" si="222"/>
        <v>0</v>
      </c>
      <c r="IV37" s="235">
        <f t="shared" ca="1" si="223"/>
        <v>0</v>
      </c>
      <c r="IW37" s="242">
        <f t="shared" ca="1" si="224"/>
        <v>0</v>
      </c>
      <c r="IX37" s="241">
        <f t="shared" ca="1" si="570"/>
        <v>1</v>
      </c>
      <c r="IY37" s="220">
        <f t="shared" ca="1" si="225"/>
        <v>0</v>
      </c>
      <c r="IZ37" s="220">
        <f t="shared" ca="1" si="226"/>
        <v>0</v>
      </c>
      <c r="JA37" s="235">
        <f t="shared" ca="1" si="227"/>
        <v>0</v>
      </c>
      <c r="JB37" s="235">
        <f t="shared" ca="1" si="228"/>
        <v>0</v>
      </c>
      <c r="JC37" s="242">
        <f t="shared" ca="1" si="229"/>
        <v>0</v>
      </c>
      <c r="JD37" s="241">
        <f t="shared" ca="1" si="563"/>
        <v>1</v>
      </c>
      <c r="JE37" s="220">
        <f t="shared" ca="1" si="230"/>
        <v>0</v>
      </c>
      <c r="JF37" s="220">
        <f t="shared" ca="1" si="231"/>
        <v>0</v>
      </c>
      <c r="JG37" s="235">
        <f t="shared" ca="1" si="232"/>
        <v>0</v>
      </c>
      <c r="JH37" s="235">
        <f t="shared" ca="1" si="233"/>
        <v>0</v>
      </c>
      <c r="JI37" s="242">
        <f t="shared" ca="1" si="234"/>
        <v>0</v>
      </c>
      <c r="JJ37" s="241">
        <f t="shared" ca="1" si="563"/>
        <v>1</v>
      </c>
      <c r="JK37" s="220">
        <f t="shared" ca="1" si="235"/>
        <v>0</v>
      </c>
      <c r="JL37" s="220">
        <f t="shared" ca="1" si="236"/>
        <v>0</v>
      </c>
      <c r="JM37" s="235">
        <f t="shared" ca="1" si="237"/>
        <v>0</v>
      </c>
      <c r="JN37" s="235">
        <f t="shared" ca="1" si="238"/>
        <v>0</v>
      </c>
      <c r="JO37" s="242">
        <f t="shared" ca="1" si="239"/>
        <v>0</v>
      </c>
      <c r="JP37" s="241">
        <f t="shared" ca="1" si="571"/>
        <v>1</v>
      </c>
      <c r="JQ37" s="220">
        <f t="shared" ca="1" si="240"/>
        <v>0</v>
      </c>
      <c r="JR37" s="220">
        <f t="shared" ca="1" si="241"/>
        <v>0</v>
      </c>
      <c r="JS37" s="235">
        <f t="shared" ca="1" si="242"/>
        <v>0</v>
      </c>
      <c r="JT37" s="235">
        <f t="shared" ca="1" si="243"/>
        <v>0</v>
      </c>
      <c r="JU37" s="242">
        <f t="shared" ca="1" si="244"/>
        <v>0</v>
      </c>
      <c r="JV37" s="241">
        <f t="shared" ca="1" si="571"/>
        <v>1</v>
      </c>
      <c r="JW37" s="220">
        <f t="shared" ca="1" si="245"/>
        <v>0</v>
      </c>
      <c r="JX37" s="220">
        <f t="shared" ca="1" si="246"/>
        <v>0</v>
      </c>
      <c r="JY37" s="235">
        <f t="shared" ca="1" si="247"/>
        <v>0</v>
      </c>
      <c r="JZ37" s="235">
        <f t="shared" ca="1" si="248"/>
        <v>0</v>
      </c>
      <c r="KA37" s="242">
        <f t="shared" ca="1" si="249"/>
        <v>0</v>
      </c>
      <c r="KB37" s="241">
        <f t="shared" ca="1" si="571"/>
        <v>1</v>
      </c>
      <c r="KC37" s="220">
        <f t="shared" ca="1" si="250"/>
        <v>0</v>
      </c>
      <c r="KD37" s="220">
        <f t="shared" ca="1" si="251"/>
        <v>0</v>
      </c>
      <c r="KE37" s="235">
        <f t="shared" ca="1" si="252"/>
        <v>0</v>
      </c>
      <c r="KF37" s="235">
        <f t="shared" ca="1" si="253"/>
        <v>0</v>
      </c>
      <c r="KG37" s="242">
        <f t="shared" ca="1" si="254"/>
        <v>0</v>
      </c>
      <c r="KH37" s="241">
        <f t="shared" ca="1" si="571"/>
        <v>1</v>
      </c>
      <c r="KI37" s="220">
        <f t="shared" ca="1" si="255"/>
        <v>0</v>
      </c>
      <c r="KJ37" s="220">
        <f t="shared" ca="1" si="256"/>
        <v>0</v>
      </c>
      <c r="KK37" s="235">
        <f t="shared" ca="1" si="257"/>
        <v>0</v>
      </c>
      <c r="KL37" s="235">
        <f t="shared" ca="1" si="258"/>
        <v>0</v>
      </c>
      <c r="KM37" s="242">
        <f t="shared" ca="1" si="259"/>
        <v>0</v>
      </c>
      <c r="KN37" s="241">
        <f t="shared" ca="1" si="571"/>
        <v>1</v>
      </c>
      <c r="KO37" s="220">
        <f t="shared" ca="1" si="260"/>
        <v>0</v>
      </c>
      <c r="KP37" s="220">
        <f t="shared" ca="1" si="261"/>
        <v>0</v>
      </c>
      <c r="KQ37" s="235">
        <f t="shared" ca="1" si="262"/>
        <v>0</v>
      </c>
      <c r="KR37" s="235">
        <f t="shared" ca="1" si="263"/>
        <v>0</v>
      </c>
      <c r="KS37" s="242">
        <f t="shared" ca="1" si="264"/>
        <v>0</v>
      </c>
      <c r="KT37" s="241">
        <f t="shared" ca="1" si="571"/>
        <v>1</v>
      </c>
      <c r="KU37" s="220">
        <f t="shared" ca="1" si="265"/>
        <v>0</v>
      </c>
      <c r="KV37" s="220">
        <f t="shared" ca="1" si="266"/>
        <v>0</v>
      </c>
      <c r="KW37" s="235">
        <f t="shared" ca="1" si="267"/>
        <v>0</v>
      </c>
      <c r="KX37" s="235">
        <f t="shared" ca="1" si="268"/>
        <v>0</v>
      </c>
      <c r="KY37" s="242">
        <f t="shared" ca="1" si="269"/>
        <v>0</v>
      </c>
      <c r="KZ37" s="241">
        <f t="shared" ca="1" si="571"/>
        <v>1</v>
      </c>
      <c r="LA37" s="220">
        <f t="shared" ca="1" si="270"/>
        <v>0</v>
      </c>
      <c r="LB37" s="220">
        <f t="shared" ca="1" si="271"/>
        <v>0</v>
      </c>
      <c r="LC37" s="235">
        <f t="shared" ca="1" si="272"/>
        <v>0</v>
      </c>
      <c r="LD37" s="235">
        <f t="shared" ca="1" si="273"/>
        <v>0</v>
      </c>
      <c r="LE37" s="242">
        <f t="shared" ca="1" si="274"/>
        <v>0</v>
      </c>
      <c r="LF37" s="241">
        <f t="shared" ca="1" si="571"/>
        <v>1</v>
      </c>
      <c r="LG37" s="220">
        <f t="shared" ca="1" si="276"/>
        <v>0</v>
      </c>
      <c r="LH37" s="220">
        <f t="shared" ca="1" si="277"/>
        <v>0</v>
      </c>
      <c r="LI37" s="235">
        <f t="shared" ca="1" si="278"/>
        <v>0</v>
      </c>
      <c r="LJ37" s="235">
        <f t="shared" ca="1" si="279"/>
        <v>0</v>
      </c>
      <c r="LK37" s="242">
        <f t="shared" ca="1" si="280"/>
        <v>0</v>
      </c>
      <c r="LL37" s="241">
        <f t="shared" ca="1" si="571"/>
        <v>1</v>
      </c>
      <c r="LM37" s="220">
        <f t="shared" ca="1" si="281"/>
        <v>0</v>
      </c>
      <c r="LN37" s="220">
        <f t="shared" ca="1" si="282"/>
        <v>0</v>
      </c>
      <c r="LO37" s="235">
        <f t="shared" ca="1" si="283"/>
        <v>0</v>
      </c>
      <c r="LP37" s="235">
        <f t="shared" ca="1" si="284"/>
        <v>0</v>
      </c>
      <c r="LQ37" s="242">
        <f t="shared" ca="1" si="285"/>
        <v>0</v>
      </c>
      <c r="LR37" s="241">
        <f t="shared" ca="1" si="571"/>
        <v>1</v>
      </c>
      <c r="LS37" s="220">
        <f t="shared" ca="1" si="286"/>
        <v>0</v>
      </c>
      <c r="LT37" s="220">
        <f t="shared" ca="1" si="287"/>
        <v>0</v>
      </c>
      <c r="LU37" s="235">
        <f t="shared" ca="1" si="288"/>
        <v>0</v>
      </c>
      <c r="LV37" s="235">
        <f t="shared" ca="1" si="289"/>
        <v>0</v>
      </c>
      <c r="LW37" s="242">
        <f t="shared" ca="1" si="290"/>
        <v>0</v>
      </c>
      <c r="LX37" s="241">
        <f t="shared" ca="1" si="571"/>
        <v>1</v>
      </c>
      <c r="LY37" s="220">
        <f t="shared" ca="1" si="291"/>
        <v>0</v>
      </c>
      <c r="LZ37" s="220">
        <f t="shared" ca="1" si="292"/>
        <v>0</v>
      </c>
      <c r="MA37" s="235">
        <f t="shared" ca="1" si="293"/>
        <v>0</v>
      </c>
      <c r="MB37" s="235">
        <f t="shared" ca="1" si="294"/>
        <v>0</v>
      </c>
      <c r="MC37" s="242">
        <f t="shared" ca="1" si="295"/>
        <v>0</v>
      </c>
      <c r="MD37" s="241">
        <f t="shared" ca="1" si="564"/>
        <v>1</v>
      </c>
      <c r="ME37" s="220">
        <f t="shared" ca="1" si="296"/>
        <v>0</v>
      </c>
      <c r="MF37" s="220">
        <f t="shared" ca="1" si="297"/>
        <v>0</v>
      </c>
      <c r="MG37" s="235">
        <f t="shared" ca="1" si="298"/>
        <v>0</v>
      </c>
      <c r="MH37" s="235">
        <f t="shared" ca="1" si="299"/>
        <v>0</v>
      </c>
      <c r="MI37" s="242">
        <f t="shared" ca="1" si="300"/>
        <v>0</v>
      </c>
      <c r="MJ37" s="241">
        <f t="shared" ca="1" si="564"/>
        <v>1</v>
      </c>
      <c r="MK37" s="220">
        <f t="shared" ca="1" si="301"/>
        <v>0</v>
      </c>
      <c r="ML37" s="220">
        <f t="shared" ca="1" si="302"/>
        <v>0</v>
      </c>
      <c r="MM37" s="235">
        <f t="shared" ca="1" si="303"/>
        <v>0</v>
      </c>
      <c r="MN37" s="235">
        <f t="shared" ca="1" si="304"/>
        <v>0</v>
      </c>
      <c r="MO37" s="242">
        <f t="shared" ca="1" si="305"/>
        <v>0</v>
      </c>
      <c r="MP37" s="241">
        <f t="shared" ca="1" si="572"/>
        <v>1</v>
      </c>
      <c r="MQ37" s="220">
        <f t="shared" ca="1" si="306"/>
        <v>0</v>
      </c>
      <c r="MR37" s="220">
        <f t="shared" ca="1" si="307"/>
        <v>0</v>
      </c>
      <c r="MS37" s="235">
        <f t="shared" ca="1" si="308"/>
        <v>0</v>
      </c>
      <c r="MT37" s="235">
        <f t="shared" ca="1" si="309"/>
        <v>0</v>
      </c>
      <c r="MU37" s="242">
        <f t="shared" ca="1" si="310"/>
        <v>0</v>
      </c>
      <c r="MV37" s="241">
        <f t="shared" ca="1" si="572"/>
        <v>1</v>
      </c>
      <c r="MW37" s="220">
        <f t="shared" ca="1" si="311"/>
        <v>0</v>
      </c>
      <c r="MX37" s="220">
        <f t="shared" ca="1" si="312"/>
        <v>0</v>
      </c>
      <c r="MY37" s="235">
        <f t="shared" ca="1" si="313"/>
        <v>0</v>
      </c>
      <c r="MZ37" s="235">
        <f t="shared" ca="1" si="314"/>
        <v>0</v>
      </c>
      <c r="NA37" s="242">
        <f t="shared" ca="1" si="315"/>
        <v>0</v>
      </c>
      <c r="NB37" s="241">
        <f t="shared" ca="1" si="572"/>
        <v>1</v>
      </c>
      <c r="NC37" s="220">
        <f t="shared" ca="1" si="316"/>
        <v>0</v>
      </c>
      <c r="ND37" s="220">
        <f t="shared" ca="1" si="317"/>
        <v>0</v>
      </c>
      <c r="NE37" s="235">
        <f t="shared" ca="1" si="318"/>
        <v>0</v>
      </c>
      <c r="NF37" s="235">
        <f t="shared" ca="1" si="319"/>
        <v>0</v>
      </c>
      <c r="NG37" s="242">
        <f t="shared" ca="1" si="320"/>
        <v>0</v>
      </c>
      <c r="NH37" s="241">
        <f t="shared" ca="1" si="572"/>
        <v>1</v>
      </c>
      <c r="NI37" s="220">
        <f t="shared" ca="1" si="321"/>
        <v>0</v>
      </c>
      <c r="NJ37" s="220">
        <f t="shared" ca="1" si="322"/>
        <v>0</v>
      </c>
      <c r="NK37" s="235">
        <f t="shared" ca="1" si="323"/>
        <v>0</v>
      </c>
      <c r="NL37" s="235">
        <f t="shared" ca="1" si="324"/>
        <v>0</v>
      </c>
      <c r="NM37" s="242">
        <f t="shared" ca="1" si="325"/>
        <v>0</v>
      </c>
      <c r="NN37" s="241">
        <f t="shared" ca="1" si="572"/>
        <v>1</v>
      </c>
      <c r="NO37" s="220">
        <f t="shared" ca="1" si="326"/>
        <v>0</v>
      </c>
      <c r="NP37" s="220">
        <f t="shared" ca="1" si="327"/>
        <v>0</v>
      </c>
      <c r="NQ37" s="235">
        <f t="shared" ca="1" si="328"/>
        <v>0</v>
      </c>
      <c r="NR37" s="235">
        <f t="shared" ca="1" si="329"/>
        <v>0</v>
      </c>
      <c r="NS37" s="242">
        <f t="shared" ca="1" si="330"/>
        <v>0</v>
      </c>
      <c r="NT37" s="241">
        <f t="shared" ca="1" si="572"/>
        <v>1</v>
      </c>
      <c r="NU37" s="220">
        <f t="shared" ca="1" si="332"/>
        <v>0</v>
      </c>
      <c r="NV37" s="220">
        <f t="shared" ca="1" si="333"/>
        <v>0</v>
      </c>
      <c r="NW37" s="235">
        <f t="shared" ca="1" si="334"/>
        <v>0</v>
      </c>
      <c r="NX37" s="235">
        <f t="shared" ca="1" si="335"/>
        <v>0</v>
      </c>
      <c r="NY37" s="242">
        <f t="shared" ca="1" si="336"/>
        <v>0</v>
      </c>
      <c r="NZ37" s="241">
        <f t="shared" ca="1" si="572"/>
        <v>1</v>
      </c>
      <c r="OA37" s="220">
        <f t="shared" ca="1" si="337"/>
        <v>0</v>
      </c>
      <c r="OB37" s="220">
        <f t="shared" ca="1" si="338"/>
        <v>0</v>
      </c>
      <c r="OC37" s="235">
        <f t="shared" ca="1" si="339"/>
        <v>0</v>
      </c>
      <c r="OD37" s="235">
        <f t="shared" ca="1" si="340"/>
        <v>0</v>
      </c>
      <c r="OE37" s="242">
        <f t="shared" ca="1" si="341"/>
        <v>0</v>
      </c>
      <c r="OF37" s="241">
        <f t="shared" ca="1" si="572"/>
        <v>1</v>
      </c>
      <c r="OG37" s="220">
        <f t="shared" ca="1" si="342"/>
        <v>0</v>
      </c>
      <c r="OH37" s="220">
        <f t="shared" ca="1" si="343"/>
        <v>0</v>
      </c>
      <c r="OI37" s="235">
        <f t="shared" ca="1" si="344"/>
        <v>0</v>
      </c>
      <c r="OJ37" s="235">
        <f t="shared" ca="1" si="345"/>
        <v>0</v>
      </c>
      <c r="OK37" s="242">
        <f t="shared" ca="1" si="346"/>
        <v>0</v>
      </c>
      <c r="OL37" s="241">
        <f t="shared" ca="1" si="572"/>
        <v>1</v>
      </c>
      <c r="OM37" s="220">
        <f t="shared" ca="1" si="347"/>
        <v>0</v>
      </c>
      <c r="ON37" s="220">
        <f t="shared" ca="1" si="348"/>
        <v>0</v>
      </c>
      <c r="OO37" s="235">
        <f t="shared" ca="1" si="349"/>
        <v>0</v>
      </c>
      <c r="OP37" s="235">
        <f t="shared" ca="1" si="350"/>
        <v>0</v>
      </c>
      <c r="OQ37" s="242">
        <f t="shared" ca="1" si="351"/>
        <v>0</v>
      </c>
      <c r="OR37" s="241">
        <f t="shared" ca="1" si="572"/>
        <v>1</v>
      </c>
      <c r="OS37" s="220">
        <f t="shared" ca="1" si="352"/>
        <v>0</v>
      </c>
      <c r="OT37" s="220">
        <f t="shared" ca="1" si="353"/>
        <v>0</v>
      </c>
      <c r="OU37" s="235">
        <f t="shared" ca="1" si="354"/>
        <v>0</v>
      </c>
      <c r="OV37" s="235">
        <f t="shared" ca="1" si="355"/>
        <v>0</v>
      </c>
      <c r="OW37" s="242">
        <f t="shared" ca="1" si="356"/>
        <v>0</v>
      </c>
      <c r="OX37" s="241">
        <f t="shared" ca="1" si="572"/>
        <v>1</v>
      </c>
      <c r="OY37" s="220">
        <f t="shared" ca="1" si="357"/>
        <v>0</v>
      </c>
      <c r="OZ37" s="220">
        <f t="shared" ca="1" si="358"/>
        <v>0</v>
      </c>
      <c r="PA37" s="235">
        <f t="shared" ca="1" si="359"/>
        <v>0</v>
      </c>
      <c r="PB37" s="235">
        <f t="shared" ca="1" si="360"/>
        <v>0</v>
      </c>
      <c r="PC37" s="242">
        <f t="shared" ca="1" si="361"/>
        <v>0</v>
      </c>
      <c r="PD37" s="241">
        <f t="shared" ca="1" si="565"/>
        <v>1</v>
      </c>
      <c r="PE37" s="220">
        <f t="shared" ca="1" si="362"/>
        <v>0</v>
      </c>
      <c r="PF37" s="220">
        <f t="shared" ca="1" si="363"/>
        <v>0</v>
      </c>
      <c r="PG37" s="235">
        <f t="shared" ca="1" si="364"/>
        <v>0</v>
      </c>
      <c r="PH37" s="235">
        <f t="shared" ca="1" si="365"/>
        <v>0</v>
      </c>
      <c r="PI37" s="242">
        <f t="shared" ca="1" si="366"/>
        <v>0</v>
      </c>
      <c r="PJ37" s="241">
        <f t="shared" ca="1" si="565"/>
        <v>1</v>
      </c>
      <c r="PK37" s="220">
        <f t="shared" ca="1" si="367"/>
        <v>0</v>
      </c>
      <c r="PL37" s="220">
        <f t="shared" ca="1" si="368"/>
        <v>0</v>
      </c>
      <c r="PM37" s="235">
        <f t="shared" ca="1" si="369"/>
        <v>0</v>
      </c>
      <c r="PN37" s="235">
        <f t="shared" ca="1" si="370"/>
        <v>0</v>
      </c>
      <c r="PO37" s="242">
        <f t="shared" ca="1" si="371"/>
        <v>0</v>
      </c>
      <c r="PP37" s="241">
        <f t="shared" ca="1" si="573"/>
        <v>1</v>
      </c>
      <c r="PQ37" s="220">
        <f t="shared" ca="1" si="372"/>
        <v>0</v>
      </c>
      <c r="PR37" s="220">
        <f t="shared" ca="1" si="373"/>
        <v>0</v>
      </c>
      <c r="PS37" s="235">
        <f t="shared" ca="1" si="374"/>
        <v>0</v>
      </c>
      <c r="PT37" s="235">
        <f t="shared" ca="1" si="375"/>
        <v>0</v>
      </c>
      <c r="PU37" s="242">
        <f t="shared" ca="1" si="376"/>
        <v>0</v>
      </c>
      <c r="PV37" s="241">
        <f t="shared" ca="1" si="573"/>
        <v>1</v>
      </c>
      <c r="PW37" s="220">
        <f t="shared" ca="1" si="377"/>
        <v>0</v>
      </c>
      <c r="PX37" s="220">
        <f t="shared" ca="1" si="378"/>
        <v>0</v>
      </c>
      <c r="PY37" s="235">
        <f t="shared" ca="1" si="379"/>
        <v>0</v>
      </c>
      <c r="PZ37" s="235">
        <f t="shared" ca="1" si="380"/>
        <v>0</v>
      </c>
      <c r="QA37" s="242">
        <f t="shared" ca="1" si="381"/>
        <v>0</v>
      </c>
      <c r="QB37" s="241">
        <f t="shared" ca="1" si="573"/>
        <v>1</v>
      </c>
      <c r="QC37" s="220">
        <f t="shared" ca="1" si="382"/>
        <v>0</v>
      </c>
      <c r="QD37" s="220">
        <f t="shared" ca="1" si="383"/>
        <v>0</v>
      </c>
      <c r="QE37" s="235">
        <f t="shared" ca="1" si="384"/>
        <v>0</v>
      </c>
      <c r="QF37" s="235">
        <f t="shared" ca="1" si="385"/>
        <v>0</v>
      </c>
      <c r="QG37" s="242">
        <f t="shared" ca="1" si="386"/>
        <v>0</v>
      </c>
      <c r="QH37" s="241">
        <f t="shared" ca="1" si="573"/>
        <v>1</v>
      </c>
      <c r="QI37" s="220">
        <f t="shared" ca="1" si="388"/>
        <v>0</v>
      </c>
      <c r="QJ37" s="220">
        <f t="shared" ca="1" si="389"/>
        <v>0</v>
      </c>
      <c r="QK37" s="235">
        <f t="shared" ca="1" si="390"/>
        <v>0</v>
      </c>
      <c r="QL37" s="235">
        <f t="shared" ca="1" si="391"/>
        <v>0</v>
      </c>
      <c r="QM37" s="242">
        <f t="shared" ca="1" si="392"/>
        <v>0</v>
      </c>
      <c r="QN37" s="241">
        <f t="shared" ca="1" si="573"/>
        <v>1</v>
      </c>
      <c r="QO37" s="220">
        <f t="shared" ca="1" si="393"/>
        <v>0</v>
      </c>
      <c r="QP37" s="220">
        <f t="shared" ca="1" si="394"/>
        <v>0</v>
      </c>
      <c r="QQ37" s="235">
        <f t="shared" ca="1" si="395"/>
        <v>0</v>
      </c>
      <c r="QR37" s="235">
        <f t="shared" ca="1" si="396"/>
        <v>0</v>
      </c>
      <c r="QS37" s="242">
        <f t="shared" ca="1" si="397"/>
        <v>0</v>
      </c>
      <c r="QT37" s="241">
        <f t="shared" ca="1" si="573"/>
        <v>1</v>
      </c>
      <c r="QU37" s="220">
        <f t="shared" ca="1" si="398"/>
        <v>0</v>
      </c>
      <c r="QV37" s="220">
        <f t="shared" ca="1" si="399"/>
        <v>0</v>
      </c>
      <c r="QW37" s="235">
        <f t="shared" ca="1" si="400"/>
        <v>0</v>
      </c>
      <c r="QX37" s="235">
        <f t="shared" ca="1" si="401"/>
        <v>0</v>
      </c>
      <c r="QY37" s="242">
        <f t="shared" ca="1" si="402"/>
        <v>0</v>
      </c>
      <c r="QZ37" s="241">
        <f t="shared" ca="1" si="573"/>
        <v>1</v>
      </c>
      <c r="RA37" s="220">
        <f t="shared" ca="1" si="403"/>
        <v>0</v>
      </c>
      <c r="RB37" s="220">
        <f t="shared" ca="1" si="404"/>
        <v>0</v>
      </c>
      <c r="RC37" s="235">
        <f t="shared" ca="1" si="405"/>
        <v>0</v>
      </c>
      <c r="RD37" s="235">
        <f t="shared" ca="1" si="406"/>
        <v>0</v>
      </c>
      <c r="RE37" s="242">
        <f t="shared" ca="1" si="407"/>
        <v>0</v>
      </c>
      <c r="RF37" s="241">
        <f t="shared" ca="1" si="573"/>
        <v>1</v>
      </c>
      <c r="RG37" s="220">
        <f t="shared" ca="1" si="408"/>
        <v>0</v>
      </c>
      <c r="RH37" s="220">
        <f t="shared" ca="1" si="409"/>
        <v>0</v>
      </c>
      <c r="RI37" s="235">
        <f t="shared" ca="1" si="410"/>
        <v>0</v>
      </c>
      <c r="RJ37" s="235">
        <f t="shared" ca="1" si="411"/>
        <v>0</v>
      </c>
      <c r="RK37" s="242">
        <f t="shared" ca="1" si="412"/>
        <v>0</v>
      </c>
      <c r="RL37" s="241">
        <f t="shared" ca="1" si="573"/>
        <v>1</v>
      </c>
      <c r="RM37" s="220">
        <f t="shared" ca="1" si="413"/>
        <v>0</v>
      </c>
      <c r="RN37" s="220">
        <f t="shared" ca="1" si="414"/>
        <v>0</v>
      </c>
      <c r="RO37" s="235">
        <f t="shared" ca="1" si="415"/>
        <v>0</v>
      </c>
      <c r="RP37" s="235">
        <f t="shared" ca="1" si="416"/>
        <v>0</v>
      </c>
      <c r="RQ37" s="242">
        <f t="shared" ca="1" si="417"/>
        <v>0</v>
      </c>
      <c r="RR37" s="241">
        <f t="shared" ca="1" si="573"/>
        <v>1</v>
      </c>
      <c r="RS37" s="220">
        <f t="shared" ca="1" si="418"/>
        <v>0</v>
      </c>
      <c r="RT37" s="220">
        <f t="shared" ca="1" si="419"/>
        <v>0</v>
      </c>
      <c r="RU37" s="235">
        <f t="shared" ca="1" si="420"/>
        <v>0</v>
      </c>
      <c r="RV37" s="235">
        <f t="shared" ca="1" si="421"/>
        <v>0</v>
      </c>
      <c r="RW37" s="242">
        <f t="shared" ca="1" si="422"/>
        <v>0</v>
      </c>
      <c r="RX37" s="241">
        <f t="shared" ca="1" si="573"/>
        <v>1</v>
      </c>
      <c r="RY37" s="220">
        <f t="shared" ca="1" si="423"/>
        <v>0</v>
      </c>
      <c r="RZ37" s="220">
        <f t="shared" ca="1" si="424"/>
        <v>0</v>
      </c>
      <c r="SA37" s="235">
        <f t="shared" ca="1" si="425"/>
        <v>0</v>
      </c>
      <c r="SB37" s="235">
        <f t="shared" ca="1" si="426"/>
        <v>0</v>
      </c>
      <c r="SC37" s="242">
        <f t="shared" ca="1" si="427"/>
        <v>0</v>
      </c>
      <c r="SD37" s="241">
        <f t="shared" ca="1" si="566"/>
        <v>1</v>
      </c>
      <c r="SE37" s="220">
        <f t="shared" ca="1" si="428"/>
        <v>0</v>
      </c>
      <c r="SF37" s="220">
        <f t="shared" ca="1" si="429"/>
        <v>0</v>
      </c>
      <c r="SG37" s="235">
        <f t="shared" ca="1" si="430"/>
        <v>0</v>
      </c>
      <c r="SH37" s="235">
        <f t="shared" ca="1" si="431"/>
        <v>0</v>
      </c>
      <c r="SI37" s="242">
        <f t="shared" ca="1" si="432"/>
        <v>0</v>
      </c>
      <c r="SJ37" s="241">
        <f t="shared" ca="1" si="566"/>
        <v>1</v>
      </c>
      <c r="SK37" s="220">
        <f t="shared" ca="1" si="433"/>
        <v>0</v>
      </c>
      <c r="SL37" s="220">
        <f t="shared" ca="1" si="434"/>
        <v>0</v>
      </c>
      <c r="SM37" s="235">
        <f t="shared" ca="1" si="435"/>
        <v>0</v>
      </c>
      <c r="SN37" s="235">
        <f t="shared" ca="1" si="436"/>
        <v>0</v>
      </c>
      <c r="SO37" s="242">
        <f t="shared" ca="1" si="437"/>
        <v>0</v>
      </c>
      <c r="SP37" s="241">
        <f t="shared" ca="1" si="576"/>
        <v>1</v>
      </c>
      <c r="SQ37" s="220">
        <f t="shared" ca="1" si="438"/>
        <v>0</v>
      </c>
      <c r="SR37" s="220">
        <f t="shared" ca="1" si="439"/>
        <v>0</v>
      </c>
      <c r="SS37" s="235">
        <f t="shared" ca="1" si="440"/>
        <v>0</v>
      </c>
      <c r="ST37" s="235">
        <f t="shared" ca="1" si="441"/>
        <v>0</v>
      </c>
      <c r="SU37" s="242">
        <f t="shared" ca="1" si="442"/>
        <v>0</v>
      </c>
      <c r="SV37" s="241">
        <f t="shared" ca="1" si="576"/>
        <v>1</v>
      </c>
      <c r="SW37" s="220">
        <f t="shared" ca="1" si="444"/>
        <v>0</v>
      </c>
      <c r="SX37" s="220">
        <f t="shared" ca="1" si="445"/>
        <v>0</v>
      </c>
      <c r="SY37" s="235">
        <f t="shared" ca="1" si="446"/>
        <v>0</v>
      </c>
      <c r="SZ37" s="235">
        <f t="shared" ca="1" si="447"/>
        <v>0</v>
      </c>
      <c r="TA37" s="242">
        <f t="shared" ca="1" si="448"/>
        <v>0</v>
      </c>
      <c r="TB37" s="241">
        <f t="shared" ca="1" si="576"/>
        <v>1</v>
      </c>
      <c r="TC37" s="220">
        <f t="shared" ca="1" si="449"/>
        <v>0</v>
      </c>
      <c r="TD37" s="220">
        <f t="shared" ca="1" si="450"/>
        <v>0</v>
      </c>
      <c r="TE37" s="235">
        <f t="shared" ca="1" si="451"/>
        <v>0</v>
      </c>
      <c r="TF37" s="235">
        <f t="shared" ca="1" si="452"/>
        <v>0</v>
      </c>
      <c r="TG37" s="242">
        <f t="shared" ca="1" si="453"/>
        <v>0</v>
      </c>
      <c r="TH37" s="241">
        <f t="shared" ca="1" si="576"/>
        <v>1</v>
      </c>
      <c r="TI37" s="220">
        <f t="shared" ca="1" si="454"/>
        <v>0</v>
      </c>
      <c r="TJ37" s="220">
        <f t="shared" ca="1" si="455"/>
        <v>0</v>
      </c>
      <c r="TK37" s="235">
        <f t="shared" ca="1" si="456"/>
        <v>0</v>
      </c>
      <c r="TL37" s="235">
        <f t="shared" ca="1" si="457"/>
        <v>0</v>
      </c>
      <c r="TM37" s="242">
        <f t="shared" ca="1" si="458"/>
        <v>0</v>
      </c>
      <c r="TN37" s="241">
        <f t="shared" ca="1" si="576"/>
        <v>1</v>
      </c>
      <c r="TO37" s="220">
        <f t="shared" ca="1" si="459"/>
        <v>0</v>
      </c>
      <c r="TP37" s="220">
        <f t="shared" ca="1" si="460"/>
        <v>0</v>
      </c>
      <c r="TQ37" s="235">
        <f t="shared" ca="1" si="461"/>
        <v>0</v>
      </c>
      <c r="TR37" s="235">
        <f t="shared" ca="1" si="462"/>
        <v>0</v>
      </c>
      <c r="TS37" s="242">
        <f t="shared" ca="1" si="463"/>
        <v>0</v>
      </c>
      <c r="TT37" s="241">
        <f t="shared" ca="1" si="576"/>
        <v>1</v>
      </c>
      <c r="TU37" s="220">
        <f t="shared" ca="1" si="464"/>
        <v>0</v>
      </c>
      <c r="TV37" s="220">
        <f t="shared" ca="1" si="465"/>
        <v>0</v>
      </c>
      <c r="TW37" s="235">
        <f t="shared" ca="1" si="466"/>
        <v>0</v>
      </c>
      <c r="TX37" s="235">
        <f t="shared" ca="1" si="467"/>
        <v>0</v>
      </c>
      <c r="TY37" s="242">
        <f t="shared" ca="1" si="468"/>
        <v>0</v>
      </c>
      <c r="TZ37" s="241">
        <f t="shared" ca="1" si="576"/>
        <v>1</v>
      </c>
      <c r="UA37" s="220">
        <f t="shared" ca="1" si="469"/>
        <v>0</v>
      </c>
      <c r="UB37" s="220">
        <f t="shared" ca="1" si="470"/>
        <v>0</v>
      </c>
      <c r="UC37" s="235">
        <f t="shared" ca="1" si="471"/>
        <v>0</v>
      </c>
      <c r="UD37" s="235">
        <f t="shared" ca="1" si="472"/>
        <v>0</v>
      </c>
      <c r="UE37" s="242">
        <f t="shared" ca="1" si="473"/>
        <v>0</v>
      </c>
      <c r="UF37" s="241">
        <f t="shared" ca="1" si="576"/>
        <v>1</v>
      </c>
      <c r="UG37" s="220">
        <f t="shared" ca="1" si="474"/>
        <v>0</v>
      </c>
      <c r="UH37" s="220">
        <f t="shared" ca="1" si="475"/>
        <v>0</v>
      </c>
      <c r="UI37" s="235">
        <f t="shared" ca="1" si="476"/>
        <v>0</v>
      </c>
      <c r="UJ37" s="235">
        <f t="shared" ca="1" si="477"/>
        <v>0</v>
      </c>
      <c r="UK37" s="242">
        <f t="shared" ca="1" si="478"/>
        <v>0</v>
      </c>
      <c r="UL37" s="241">
        <f t="shared" ca="1" si="576"/>
        <v>1</v>
      </c>
      <c r="UM37" s="220">
        <f t="shared" ca="1" si="479"/>
        <v>0</v>
      </c>
      <c r="UN37" s="220">
        <f t="shared" ca="1" si="480"/>
        <v>0</v>
      </c>
      <c r="UO37" s="235">
        <f t="shared" ca="1" si="481"/>
        <v>0</v>
      </c>
      <c r="UP37" s="235">
        <f t="shared" ca="1" si="482"/>
        <v>0</v>
      </c>
      <c r="UQ37" s="242">
        <f t="shared" ca="1" si="483"/>
        <v>0</v>
      </c>
      <c r="UR37" s="241">
        <f t="shared" ca="1" si="576"/>
        <v>1</v>
      </c>
      <c r="US37" s="220">
        <f t="shared" ca="1" si="484"/>
        <v>0</v>
      </c>
      <c r="UT37" s="220">
        <f t="shared" ca="1" si="485"/>
        <v>0</v>
      </c>
      <c r="UU37" s="235">
        <f t="shared" ca="1" si="486"/>
        <v>0</v>
      </c>
      <c r="UV37" s="235">
        <f t="shared" ca="1" si="487"/>
        <v>0</v>
      </c>
      <c r="UW37" s="242">
        <f t="shared" ca="1" si="488"/>
        <v>0</v>
      </c>
      <c r="UX37" s="241">
        <f t="shared" ca="1" si="576"/>
        <v>1</v>
      </c>
      <c r="UY37" s="220">
        <f t="shared" ca="1" si="489"/>
        <v>0</v>
      </c>
      <c r="UZ37" s="220">
        <f t="shared" ca="1" si="490"/>
        <v>0</v>
      </c>
      <c r="VA37" s="235">
        <f t="shared" ca="1" si="491"/>
        <v>0</v>
      </c>
      <c r="VB37" s="235">
        <f t="shared" ca="1" si="492"/>
        <v>0</v>
      </c>
      <c r="VC37" s="242">
        <f t="shared" ca="1" si="493"/>
        <v>0</v>
      </c>
      <c r="VD37" s="241">
        <f t="shared" ca="1" si="574"/>
        <v>1</v>
      </c>
      <c r="VE37" s="220">
        <f t="shared" ca="1" si="494"/>
        <v>0</v>
      </c>
      <c r="VF37" s="220">
        <f t="shared" ca="1" si="495"/>
        <v>0</v>
      </c>
      <c r="VG37" s="235">
        <f t="shared" ca="1" si="496"/>
        <v>0</v>
      </c>
      <c r="VH37" s="235">
        <f t="shared" ca="1" si="497"/>
        <v>0</v>
      </c>
      <c r="VI37" s="242">
        <f t="shared" ca="1" si="498"/>
        <v>0</v>
      </c>
      <c r="VJ37" s="241">
        <f t="shared" ca="1" si="567"/>
        <v>1</v>
      </c>
      <c r="VK37" s="220">
        <f t="shared" ca="1" si="500"/>
        <v>0</v>
      </c>
      <c r="VL37" s="220">
        <f t="shared" ca="1" si="501"/>
        <v>0</v>
      </c>
      <c r="VM37" s="235">
        <f t="shared" ca="1" si="502"/>
        <v>0</v>
      </c>
      <c r="VN37" s="235">
        <f t="shared" ca="1" si="503"/>
        <v>0</v>
      </c>
      <c r="VO37" s="242">
        <f t="shared" ca="1" si="504"/>
        <v>0</v>
      </c>
      <c r="VP37" s="241">
        <f t="shared" ca="1" si="567"/>
        <v>1</v>
      </c>
      <c r="VQ37" s="220">
        <f t="shared" ca="1" si="505"/>
        <v>0</v>
      </c>
      <c r="VR37" s="220">
        <f t="shared" ca="1" si="506"/>
        <v>0</v>
      </c>
      <c r="VS37" s="235">
        <f t="shared" ca="1" si="507"/>
        <v>0</v>
      </c>
      <c r="VT37" s="235">
        <f t="shared" ca="1" si="508"/>
        <v>0</v>
      </c>
      <c r="VU37" s="242">
        <f t="shared" ca="1" si="509"/>
        <v>0</v>
      </c>
      <c r="VV37" s="241">
        <f t="shared" ref="VV37:XF73" ca="1" si="578">IF(($B37+VV$2)&lt;SC_TargetRY,0,IF(($B37+VV$2)=SC_TargetRY,SC_AnnyPmntPr,IF(SP_AnnyTerms="Life",1,IF(($B37+VV$2)=(SC_TargetRY+SP_AnnyPeriod),SC_AnnyPmntPr-1,IF(($B37+VV$2)&gt;(SC_TargetRY+SP_AnnyPeriod),0,1)))))</f>
        <v>1</v>
      </c>
      <c r="VW37" s="220">
        <f t="shared" ca="1" si="510"/>
        <v>0</v>
      </c>
      <c r="VX37" s="220">
        <f t="shared" ca="1" si="511"/>
        <v>0</v>
      </c>
      <c r="VY37" s="235">
        <f t="shared" ca="1" si="512"/>
        <v>0</v>
      </c>
      <c r="VZ37" s="235">
        <f t="shared" ca="1" si="513"/>
        <v>0</v>
      </c>
      <c r="WA37" s="242">
        <f t="shared" ca="1" si="514"/>
        <v>0</v>
      </c>
      <c r="WB37" s="241">
        <f t="shared" ca="1" si="578"/>
        <v>1</v>
      </c>
      <c r="WC37" s="220">
        <f t="shared" ca="1" si="515"/>
        <v>0</v>
      </c>
      <c r="WD37" s="220">
        <f t="shared" ca="1" si="516"/>
        <v>0</v>
      </c>
      <c r="WE37" s="235">
        <f t="shared" ca="1" si="517"/>
        <v>0</v>
      </c>
      <c r="WF37" s="235">
        <f t="shared" ca="1" si="518"/>
        <v>0</v>
      </c>
      <c r="WG37" s="242">
        <f t="shared" ca="1" si="519"/>
        <v>0</v>
      </c>
      <c r="WH37" s="241">
        <f t="shared" ca="1" si="578"/>
        <v>1</v>
      </c>
      <c r="WI37" s="220">
        <f t="shared" ca="1" si="520"/>
        <v>0</v>
      </c>
      <c r="WJ37" s="220">
        <f t="shared" ca="1" si="521"/>
        <v>0</v>
      </c>
      <c r="WK37" s="235">
        <f t="shared" ca="1" si="522"/>
        <v>0</v>
      </c>
      <c r="WL37" s="235">
        <f t="shared" ca="1" si="523"/>
        <v>0</v>
      </c>
      <c r="WM37" s="242">
        <f t="shared" ca="1" si="524"/>
        <v>0</v>
      </c>
      <c r="WN37" s="241">
        <f t="shared" ca="1" si="578"/>
        <v>1</v>
      </c>
      <c r="WO37" s="220">
        <f t="shared" ca="1" si="525"/>
        <v>0</v>
      </c>
      <c r="WP37" s="220">
        <f t="shared" ca="1" si="526"/>
        <v>0</v>
      </c>
      <c r="WQ37" s="235">
        <f t="shared" ca="1" si="527"/>
        <v>0</v>
      </c>
      <c r="WR37" s="235">
        <f t="shared" ca="1" si="528"/>
        <v>0</v>
      </c>
      <c r="WS37" s="242">
        <f t="shared" ca="1" si="529"/>
        <v>0</v>
      </c>
      <c r="WT37" s="241">
        <f t="shared" ca="1" si="578"/>
        <v>1</v>
      </c>
      <c r="WU37" s="220">
        <f t="shared" ca="1" si="530"/>
        <v>0</v>
      </c>
      <c r="WV37" s="220">
        <f t="shared" ca="1" si="531"/>
        <v>0</v>
      </c>
      <c r="WW37" s="235">
        <f t="shared" ca="1" si="532"/>
        <v>0</v>
      </c>
      <c r="WX37" s="235">
        <f t="shared" ca="1" si="533"/>
        <v>0</v>
      </c>
      <c r="WY37" s="242">
        <f t="shared" ca="1" si="534"/>
        <v>0</v>
      </c>
      <c r="WZ37" s="241">
        <f t="shared" ca="1" si="578"/>
        <v>1</v>
      </c>
      <c r="XA37" s="220">
        <f t="shared" ca="1" si="535"/>
        <v>0</v>
      </c>
      <c r="XB37" s="220">
        <f t="shared" ca="1" si="536"/>
        <v>0</v>
      </c>
      <c r="XC37" s="235">
        <f t="shared" ca="1" si="537"/>
        <v>0</v>
      </c>
      <c r="XD37" s="235">
        <f t="shared" ca="1" si="538"/>
        <v>0</v>
      </c>
      <c r="XE37" s="242">
        <f t="shared" ca="1" si="539"/>
        <v>0</v>
      </c>
      <c r="XF37" s="241">
        <f t="shared" ca="1" si="578"/>
        <v>1</v>
      </c>
      <c r="XG37" s="220">
        <f t="shared" ca="1" si="540"/>
        <v>0</v>
      </c>
      <c r="XH37" s="220">
        <f t="shared" ca="1" si="541"/>
        <v>0</v>
      </c>
      <c r="XI37" s="235">
        <f t="shared" ca="1" si="542"/>
        <v>0</v>
      </c>
      <c r="XJ37" s="235">
        <f t="shared" ca="1" si="543"/>
        <v>0</v>
      </c>
      <c r="XK37" s="242">
        <f t="shared" ca="1" si="544"/>
        <v>0</v>
      </c>
    </row>
    <row r="38" spans="2:635" x14ac:dyDescent="0.25">
      <c r="B38" s="65">
        <f t="shared" ca="1" si="14"/>
        <v>2053</v>
      </c>
      <c r="C38" s="65" t="s">
        <v>741</v>
      </c>
      <c r="D38" s="77">
        <f t="shared" si="15"/>
        <v>0</v>
      </c>
      <c r="E38" s="77">
        <f t="shared" si="16"/>
        <v>0</v>
      </c>
      <c r="F38" s="77">
        <f t="shared" si="17"/>
        <v>0</v>
      </c>
      <c r="G38" s="77">
        <f t="shared" si="18"/>
        <v>0</v>
      </c>
      <c r="H38" s="15" t="e">
        <f t="shared" ca="1" si="19"/>
        <v>#REF!</v>
      </c>
      <c r="L38" s="326">
        <f t="shared" ca="1" si="20"/>
        <v>3.5000000000000003E-2</v>
      </c>
      <c r="M38" s="327">
        <f t="shared" ca="1" si="21"/>
        <v>3.5000000000000003E-2</v>
      </c>
      <c r="N38" s="322">
        <f t="shared" ref="N38:N69" ca="1" si="579">YEAR(SP_TargetRD)-$B38</f>
        <v>-30</v>
      </c>
      <c r="O38" s="322">
        <f t="shared" ca="1" si="23"/>
        <v>0</v>
      </c>
      <c r="P38" s="328">
        <f t="shared" ca="1" si="545"/>
        <v>0</v>
      </c>
      <c r="Q38" s="328">
        <f t="shared" ca="1" si="546"/>
        <v>0</v>
      </c>
      <c r="R38" s="328">
        <f t="shared" ca="1" si="547"/>
        <v>0</v>
      </c>
      <c r="S38" s="329">
        <f t="shared" ca="1" si="24"/>
        <v>0</v>
      </c>
      <c r="T38" s="329">
        <f t="shared" ca="1" si="25"/>
        <v>0</v>
      </c>
      <c r="U38" s="329">
        <f t="shared" ca="1" si="26"/>
        <v>0</v>
      </c>
      <c r="V38" s="320" t="e">
        <f t="shared" ca="1" si="27"/>
        <v>#REF!</v>
      </c>
      <c r="W38" s="320" t="e">
        <f t="shared" ca="1" si="560"/>
        <v>#REF!</v>
      </c>
      <c r="X38" s="320" t="e">
        <f t="shared" ca="1" si="29"/>
        <v>#REF!</v>
      </c>
      <c r="Y38" s="320" t="e">
        <f ca="1">INDEX(SC_ZA_HECMLumpSum,ZAIDX)</f>
        <v>#REF!</v>
      </c>
      <c r="Z38" s="320" t="e">
        <f t="shared" ca="1" si="30"/>
        <v>#REF!</v>
      </c>
      <c r="AA38" s="320">
        <f t="shared" ca="1" si="557"/>
        <v>0</v>
      </c>
      <c r="AB38" s="320" t="e">
        <f t="shared" ca="1" si="558"/>
        <v>#REF!</v>
      </c>
      <c r="AC38" s="330" t="e">
        <f t="shared" ca="1" si="559"/>
        <v>#REF!</v>
      </c>
      <c r="AD38" s="236" t="e">
        <f t="shared" ca="1" si="548"/>
        <v>#REF!</v>
      </c>
      <c r="AE38" s="320" t="e">
        <f t="shared" ca="1" si="561"/>
        <v>#REF!</v>
      </c>
      <c r="AF38" s="320" t="e">
        <f t="shared" ca="1" si="35"/>
        <v>#REF!</v>
      </c>
      <c r="AG38" s="320" t="e">
        <f t="shared" ca="1" si="549"/>
        <v>#REF!</v>
      </c>
      <c r="AH38" s="284" t="e">
        <f t="shared" ca="1" si="550"/>
        <v>#REF!</v>
      </c>
      <c r="AI38" s="318" t="e">
        <f t="shared" ca="1" si="551"/>
        <v>#REF!</v>
      </c>
      <c r="AJ38" s="331">
        <f t="shared" ca="1" si="575"/>
        <v>1</v>
      </c>
      <c r="AK38" s="220">
        <f t="shared" ca="1" si="553"/>
        <v>0</v>
      </c>
      <c r="AL38" s="220">
        <f t="shared" ca="1" si="37"/>
        <v>0</v>
      </c>
      <c r="AM38" s="235">
        <f t="shared" ca="1" si="554"/>
        <v>0</v>
      </c>
      <c r="AN38" s="235">
        <f t="shared" ca="1" si="555"/>
        <v>0</v>
      </c>
      <c r="AO38" s="242">
        <f t="shared" ca="1" si="556"/>
        <v>0</v>
      </c>
      <c r="AP38" s="241">
        <f t="shared" ca="1" si="575"/>
        <v>1</v>
      </c>
      <c r="AQ38" s="220">
        <f t="shared" ca="1" si="41"/>
        <v>0</v>
      </c>
      <c r="AR38" s="220">
        <f t="shared" ca="1" si="42"/>
        <v>0</v>
      </c>
      <c r="AS38" s="235">
        <f t="shared" ca="1" si="43"/>
        <v>0</v>
      </c>
      <c r="AT38" s="235">
        <f t="shared" ca="1" si="44"/>
        <v>0</v>
      </c>
      <c r="AU38" s="242">
        <f t="shared" ca="1" si="45"/>
        <v>0</v>
      </c>
      <c r="AV38" s="241">
        <f t="shared" ca="1" si="575"/>
        <v>1</v>
      </c>
      <c r="AW38" s="220">
        <f t="shared" ca="1" si="46"/>
        <v>0</v>
      </c>
      <c r="AX38" s="220">
        <f t="shared" ca="1" si="47"/>
        <v>0</v>
      </c>
      <c r="AY38" s="235">
        <f t="shared" ca="1" si="48"/>
        <v>0</v>
      </c>
      <c r="AZ38" s="235">
        <f t="shared" ca="1" si="49"/>
        <v>0</v>
      </c>
      <c r="BA38" s="242">
        <f t="shared" ca="1" si="50"/>
        <v>0</v>
      </c>
      <c r="BB38" s="241">
        <f t="shared" ca="1" si="575"/>
        <v>1</v>
      </c>
      <c r="BC38" s="220">
        <f t="shared" ca="1" si="52"/>
        <v>0</v>
      </c>
      <c r="BD38" s="220">
        <f t="shared" ca="1" si="53"/>
        <v>0</v>
      </c>
      <c r="BE38" s="235">
        <f t="shared" ca="1" si="54"/>
        <v>0</v>
      </c>
      <c r="BF38" s="235">
        <f t="shared" ca="1" si="55"/>
        <v>0</v>
      </c>
      <c r="BG38" s="242">
        <f t="shared" ca="1" si="56"/>
        <v>0</v>
      </c>
      <c r="BH38" s="241">
        <f t="shared" ca="1" si="575"/>
        <v>1</v>
      </c>
      <c r="BI38" s="220">
        <f t="shared" ca="1" si="57"/>
        <v>0</v>
      </c>
      <c r="BJ38" s="220">
        <f t="shared" ca="1" si="58"/>
        <v>0</v>
      </c>
      <c r="BK38" s="235">
        <f t="shared" ca="1" si="59"/>
        <v>0</v>
      </c>
      <c r="BL38" s="235">
        <f t="shared" ca="1" si="60"/>
        <v>0</v>
      </c>
      <c r="BM38" s="242">
        <f t="shared" ca="1" si="61"/>
        <v>0</v>
      </c>
      <c r="BN38" s="241">
        <f t="shared" ca="1" si="575"/>
        <v>1</v>
      </c>
      <c r="BO38" s="220">
        <f t="shared" ca="1" si="62"/>
        <v>0</v>
      </c>
      <c r="BP38" s="220">
        <f t="shared" ca="1" si="63"/>
        <v>0</v>
      </c>
      <c r="BQ38" s="235">
        <f t="shared" ca="1" si="64"/>
        <v>0</v>
      </c>
      <c r="BR38" s="235">
        <f t="shared" ca="1" si="65"/>
        <v>0</v>
      </c>
      <c r="BS38" s="242">
        <f t="shared" ca="1" si="66"/>
        <v>0</v>
      </c>
      <c r="BT38" s="241">
        <f t="shared" ca="1" si="575"/>
        <v>1</v>
      </c>
      <c r="BU38" s="220">
        <f t="shared" ca="1" si="67"/>
        <v>0</v>
      </c>
      <c r="BV38" s="220">
        <f t="shared" ca="1" si="68"/>
        <v>0</v>
      </c>
      <c r="BW38" s="235">
        <f t="shared" ca="1" si="69"/>
        <v>0</v>
      </c>
      <c r="BX38" s="235">
        <f t="shared" ca="1" si="70"/>
        <v>0</v>
      </c>
      <c r="BY38" s="242">
        <f t="shared" ca="1" si="71"/>
        <v>0</v>
      </c>
      <c r="BZ38" s="241">
        <f t="shared" ca="1" si="575"/>
        <v>1</v>
      </c>
      <c r="CA38" s="220">
        <f t="shared" ca="1" si="72"/>
        <v>0</v>
      </c>
      <c r="CB38" s="220">
        <f t="shared" ca="1" si="73"/>
        <v>0</v>
      </c>
      <c r="CC38" s="235">
        <f t="shared" ca="1" si="74"/>
        <v>0</v>
      </c>
      <c r="CD38" s="235">
        <f t="shared" ca="1" si="75"/>
        <v>0</v>
      </c>
      <c r="CE38" s="242">
        <f t="shared" ca="1" si="76"/>
        <v>0</v>
      </c>
      <c r="CF38" s="241">
        <f t="shared" ca="1" si="575"/>
        <v>1</v>
      </c>
      <c r="CG38" s="220">
        <f t="shared" ca="1" si="77"/>
        <v>0</v>
      </c>
      <c r="CH38" s="220">
        <f t="shared" ca="1" si="78"/>
        <v>0</v>
      </c>
      <c r="CI38" s="235">
        <f t="shared" ca="1" si="79"/>
        <v>0</v>
      </c>
      <c r="CJ38" s="235">
        <f t="shared" ca="1" si="80"/>
        <v>0</v>
      </c>
      <c r="CK38" s="242">
        <f t="shared" ca="1" si="81"/>
        <v>0</v>
      </c>
      <c r="CL38" s="241">
        <f t="shared" ca="1" si="575"/>
        <v>1</v>
      </c>
      <c r="CM38" s="220">
        <f t="shared" ca="1" si="82"/>
        <v>0</v>
      </c>
      <c r="CN38" s="220">
        <f t="shared" ca="1" si="83"/>
        <v>0</v>
      </c>
      <c r="CO38" s="235">
        <f t="shared" ca="1" si="84"/>
        <v>0</v>
      </c>
      <c r="CP38" s="235">
        <f t="shared" ca="1" si="85"/>
        <v>0</v>
      </c>
      <c r="CQ38" s="242">
        <f t="shared" ca="1" si="86"/>
        <v>0</v>
      </c>
      <c r="CR38" s="241">
        <f t="shared" ca="1" si="575"/>
        <v>1</v>
      </c>
      <c r="CS38" s="220">
        <f t="shared" ca="1" si="87"/>
        <v>0</v>
      </c>
      <c r="CT38" s="220">
        <f t="shared" ca="1" si="88"/>
        <v>0</v>
      </c>
      <c r="CU38" s="235">
        <f t="shared" ca="1" si="89"/>
        <v>0</v>
      </c>
      <c r="CV38" s="235">
        <f t="shared" ca="1" si="90"/>
        <v>0</v>
      </c>
      <c r="CW38" s="242">
        <f t="shared" ca="1" si="91"/>
        <v>0</v>
      </c>
      <c r="CX38" s="241">
        <f t="shared" ca="1" si="568"/>
        <v>1</v>
      </c>
      <c r="CY38" s="220">
        <f t="shared" ca="1" si="92"/>
        <v>0</v>
      </c>
      <c r="CZ38" s="220">
        <f t="shared" ca="1" si="93"/>
        <v>0</v>
      </c>
      <c r="DA38" s="235">
        <f t="shared" ca="1" si="94"/>
        <v>0</v>
      </c>
      <c r="DB38" s="235">
        <f t="shared" ca="1" si="95"/>
        <v>0</v>
      </c>
      <c r="DC38" s="242">
        <f t="shared" ca="1" si="96"/>
        <v>0</v>
      </c>
      <c r="DD38" s="241">
        <f t="shared" ca="1" si="568"/>
        <v>1</v>
      </c>
      <c r="DE38" s="220">
        <f t="shared" ca="1" si="97"/>
        <v>0</v>
      </c>
      <c r="DF38" s="220">
        <f t="shared" ca="1" si="98"/>
        <v>0</v>
      </c>
      <c r="DG38" s="235">
        <f t="shared" ca="1" si="99"/>
        <v>0</v>
      </c>
      <c r="DH38" s="235">
        <f t="shared" ca="1" si="100"/>
        <v>0</v>
      </c>
      <c r="DI38" s="242">
        <f t="shared" ca="1" si="101"/>
        <v>0</v>
      </c>
      <c r="DJ38" s="241">
        <f t="shared" ca="1" si="51"/>
        <v>1</v>
      </c>
      <c r="DK38" s="220">
        <f t="shared" ca="1" si="102"/>
        <v>0</v>
      </c>
      <c r="DL38" s="220">
        <f t="shared" ca="1" si="103"/>
        <v>0</v>
      </c>
      <c r="DM38" s="235">
        <f t="shared" ca="1" si="104"/>
        <v>0</v>
      </c>
      <c r="DN38" s="235">
        <f t="shared" ca="1" si="105"/>
        <v>0</v>
      </c>
      <c r="DO38" s="242">
        <f t="shared" ca="1" si="106"/>
        <v>0</v>
      </c>
      <c r="DP38" s="241">
        <f t="shared" ca="1" si="569"/>
        <v>1</v>
      </c>
      <c r="DQ38" s="220">
        <f t="shared" ca="1" si="108"/>
        <v>0</v>
      </c>
      <c r="DR38" s="220">
        <f t="shared" ca="1" si="109"/>
        <v>0</v>
      </c>
      <c r="DS38" s="235">
        <f t="shared" ca="1" si="110"/>
        <v>0</v>
      </c>
      <c r="DT38" s="235">
        <f t="shared" ca="1" si="111"/>
        <v>0</v>
      </c>
      <c r="DU38" s="242">
        <f t="shared" ca="1" si="112"/>
        <v>0</v>
      </c>
      <c r="DV38" s="241">
        <f t="shared" ca="1" si="569"/>
        <v>1</v>
      </c>
      <c r="DW38" s="220">
        <f t="shared" ca="1" si="113"/>
        <v>0</v>
      </c>
      <c r="DX38" s="220">
        <f t="shared" ca="1" si="114"/>
        <v>0</v>
      </c>
      <c r="DY38" s="235">
        <f t="shared" ca="1" si="115"/>
        <v>0</v>
      </c>
      <c r="DZ38" s="235">
        <f t="shared" ca="1" si="116"/>
        <v>0</v>
      </c>
      <c r="EA38" s="242">
        <f t="shared" ca="1" si="117"/>
        <v>0</v>
      </c>
      <c r="EB38" s="241">
        <f t="shared" ca="1" si="569"/>
        <v>1</v>
      </c>
      <c r="EC38" s="220">
        <f t="shared" ca="1" si="118"/>
        <v>0</v>
      </c>
      <c r="ED38" s="220">
        <f t="shared" ca="1" si="119"/>
        <v>0</v>
      </c>
      <c r="EE38" s="235">
        <f t="shared" ca="1" si="120"/>
        <v>0</v>
      </c>
      <c r="EF38" s="235">
        <f t="shared" ca="1" si="121"/>
        <v>0</v>
      </c>
      <c r="EG38" s="242">
        <f t="shared" ca="1" si="122"/>
        <v>0</v>
      </c>
      <c r="EH38" s="241">
        <f t="shared" ca="1" si="569"/>
        <v>1</v>
      </c>
      <c r="EI38" s="220">
        <f t="shared" ca="1" si="123"/>
        <v>0</v>
      </c>
      <c r="EJ38" s="220">
        <f t="shared" ca="1" si="124"/>
        <v>0</v>
      </c>
      <c r="EK38" s="235">
        <f t="shared" ca="1" si="125"/>
        <v>0</v>
      </c>
      <c r="EL38" s="235">
        <f t="shared" ca="1" si="126"/>
        <v>0</v>
      </c>
      <c r="EM38" s="242">
        <f t="shared" ca="1" si="127"/>
        <v>0</v>
      </c>
      <c r="EN38" s="241">
        <f t="shared" ca="1" si="569"/>
        <v>1</v>
      </c>
      <c r="EO38" s="220">
        <f t="shared" ca="1" si="128"/>
        <v>0</v>
      </c>
      <c r="EP38" s="220">
        <f t="shared" ca="1" si="129"/>
        <v>0</v>
      </c>
      <c r="EQ38" s="235">
        <f t="shared" ca="1" si="130"/>
        <v>0</v>
      </c>
      <c r="ER38" s="235">
        <f t="shared" ca="1" si="131"/>
        <v>0</v>
      </c>
      <c r="ES38" s="242">
        <f t="shared" ca="1" si="132"/>
        <v>0</v>
      </c>
      <c r="ET38" s="241">
        <f t="shared" ca="1" si="569"/>
        <v>1</v>
      </c>
      <c r="EU38" s="220">
        <f t="shared" ca="1" si="133"/>
        <v>0</v>
      </c>
      <c r="EV38" s="220">
        <f t="shared" ca="1" si="134"/>
        <v>0</v>
      </c>
      <c r="EW38" s="235">
        <f t="shared" ca="1" si="135"/>
        <v>0</v>
      </c>
      <c r="EX38" s="235">
        <f t="shared" ca="1" si="136"/>
        <v>0</v>
      </c>
      <c r="EY38" s="242">
        <f t="shared" ca="1" si="137"/>
        <v>0</v>
      </c>
      <c r="EZ38" s="241">
        <f t="shared" ca="1" si="569"/>
        <v>1</v>
      </c>
      <c r="FA38" s="220">
        <f t="shared" ca="1" si="138"/>
        <v>0</v>
      </c>
      <c r="FB38" s="220">
        <f t="shared" ca="1" si="139"/>
        <v>0</v>
      </c>
      <c r="FC38" s="235">
        <f t="shared" ca="1" si="140"/>
        <v>0</v>
      </c>
      <c r="FD38" s="235">
        <f t="shared" ca="1" si="141"/>
        <v>0</v>
      </c>
      <c r="FE38" s="242">
        <f t="shared" ca="1" si="142"/>
        <v>0</v>
      </c>
      <c r="FF38" s="241">
        <f t="shared" ca="1" si="569"/>
        <v>1</v>
      </c>
      <c r="FG38" s="220">
        <f t="shared" ca="1" si="143"/>
        <v>0</v>
      </c>
      <c r="FH38" s="220">
        <f t="shared" ca="1" si="144"/>
        <v>0</v>
      </c>
      <c r="FI38" s="235">
        <f t="shared" ca="1" si="145"/>
        <v>0</v>
      </c>
      <c r="FJ38" s="235">
        <f t="shared" ca="1" si="146"/>
        <v>0</v>
      </c>
      <c r="FK38" s="242">
        <f t="shared" ca="1" si="147"/>
        <v>0</v>
      </c>
      <c r="FL38" s="241">
        <f t="shared" ca="1" si="569"/>
        <v>1</v>
      </c>
      <c r="FM38" s="220">
        <f t="shared" ca="1" si="148"/>
        <v>0</v>
      </c>
      <c r="FN38" s="220">
        <f t="shared" ca="1" si="149"/>
        <v>0</v>
      </c>
      <c r="FO38" s="235">
        <f t="shared" ca="1" si="150"/>
        <v>0</v>
      </c>
      <c r="FP38" s="235">
        <f t="shared" ca="1" si="151"/>
        <v>0</v>
      </c>
      <c r="FQ38" s="242">
        <f t="shared" ca="1" si="152"/>
        <v>0</v>
      </c>
      <c r="FR38" s="241">
        <f t="shared" ca="1" si="569"/>
        <v>1</v>
      </c>
      <c r="FS38" s="220">
        <f t="shared" ca="1" si="153"/>
        <v>0</v>
      </c>
      <c r="FT38" s="220">
        <f t="shared" ca="1" si="154"/>
        <v>0</v>
      </c>
      <c r="FU38" s="235">
        <f t="shared" ca="1" si="155"/>
        <v>0</v>
      </c>
      <c r="FV38" s="235">
        <f t="shared" ca="1" si="156"/>
        <v>0</v>
      </c>
      <c r="FW38" s="242">
        <f t="shared" ca="1" si="157"/>
        <v>0</v>
      </c>
      <c r="FX38" s="241">
        <f t="shared" ca="1" si="569"/>
        <v>1</v>
      </c>
      <c r="FY38" s="220">
        <f t="shared" ca="1" si="158"/>
        <v>0</v>
      </c>
      <c r="FZ38" s="220">
        <f t="shared" ca="1" si="159"/>
        <v>0</v>
      </c>
      <c r="GA38" s="235">
        <f t="shared" ca="1" si="160"/>
        <v>0</v>
      </c>
      <c r="GB38" s="235">
        <f t="shared" ca="1" si="161"/>
        <v>0</v>
      </c>
      <c r="GC38" s="242">
        <f t="shared" ca="1" si="162"/>
        <v>0</v>
      </c>
      <c r="GD38" s="241">
        <f t="shared" ca="1" si="562"/>
        <v>1</v>
      </c>
      <c r="GE38" s="220">
        <f t="shared" ca="1" si="164"/>
        <v>0</v>
      </c>
      <c r="GF38" s="220">
        <f t="shared" ca="1" si="165"/>
        <v>0</v>
      </c>
      <c r="GG38" s="235">
        <f t="shared" ca="1" si="166"/>
        <v>0</v>
      </c>
      <c r="GH38" s="235">
        <f t="shared" ca="1" si="167"/>
        <v>0</v>
      </c>
      <c r="GI38" s="242">
        <f t="shared" ca="1" si="168"/>
        <v>0</v>
      </c>
      <c r="GJ38" s="241">
        <f t="shared" ca="1" si="562"/>
        <v>1</v>
      </c>
      <c r="GK38" s="220">
        <f t="shared" ca="1" si="169"/>
        <v>0</v>
      </c>
      <c r="GL38" s="220">
        <f t="shared" ca="1" si="170"/>
        <v>0</v>
      </c>
      <c r="GM38" s="235">
        <f t="shared" ca="1" si="171"/>
        <v>0</v>
      </c>
      <c r="GN38" s="235">
        <f t="shared" ca="1" si="172"/>
        <v>0</v>
      </c>
      <c r="GO38" s="242">
        <f t="shared" ca="1" si="173"/>
        <v>0</v>
      </c>
      <c r="GP38" s="241">
        <f t="shared" ca="1" si="570"/>
        <v>1</v>
      </c>
      <c r="GQ38" s="220">
        <f t="shared" ca="1" si="174"/>
        <v>0</v>
      </c>
      <c r="GR38" s="220">
        <f t="shared" ca="1" si="175"/>
        <v>0</v>
      </c>
      <c r="GS38" s="235">
        <f t="shared" ca="1" si="176"/>
        <v>0</v>
      </c>
      <c r="GT38" s="235">
        <f t="shared" ca="1" si="177"/>
        <v>0</v>
      </c>
      <c r="GU38" s="242">
        <f t="shared" ca="1" si="178"/>
        <v>0</v>
      </c>
      <c r="GV38" s="241">
        <f t="shared" ca="1" si="570"/>
        <v>1</v>
      </c>
      <c r="GW38" s="220">
        <f t="shared" ca="1" si="179"/>
        <v>0</v>
      </c>
      <c r="GX38" s="220">
        <f t="shared" ca="1" si="180"/>
        <v>0</v>
      </c>
      <c r="GY38" s="235">
        <f t="shared" ca="1" si="181"/>
        <v>0</v>
      </c>
      <c r="GZ38" s="235">
        <f t="shared" ca="1" si="182"/>
        <v>0</v>
      </c>
      <c r="HA38" s="242">
        <f t="shared" ca="1" si="183"/>
        <v>0</v>
      </c>
      <c r="HB38" s="241">
        <f t="shared" ca="1" si="570"/>
        <v>1</v>
      </c>
      <c r="HC38" s="220">
        <f t="shared" ca="1" si="184"/>
        <v>0</v>
      </c>
      <c r="HD38" s="220">
        <f t="shared" ca="1" si="185"/>
        <v>0</v>
      </c>
      <c r="HE38" s="235">
        <f t="shared" ca="1" si="186"/>
        <v>0</v>
      </c>
      <c r="HF38" s="235">
        <f t="shared" ca="1" si="187"/>
        <v>0</v>
      </c>
      <c r="HG38" s="242">
        <f t="shared" ca="1" si="188"/>
        <v>0</v>
      </c>
      <c r="HH38" s="241">
        <f t="shared" ca="1" si="570"/>
        <v>1</v>
      </c>
      <c r="HI38" s="220">
        <f t="shared" ca="1" si="189"/>
        <v>0</v>
      </c>
      <c r="HJ38" s="220">
        <f t="shared" ca="1" si="190"/>
        <v>0</v>
      </c>
      <c r="HK38" s="235">
        <f t="shared" ca="1" si="191"/>
        <v>0</v>
      </c>
      <c r="HL38" s="235">
        <f t="shared" ca="1" si="192"/>
        <v>0</v>
      </c>
      <c r="HM38" s="242">
        <f t="shared" ca="1" si="193"/>
        <v>0</v>
      </c>
      <c r="HN38" s="241">
        <f t="shared" ca="1" si="570"/>
        <v>1</v>
      </c>
      <c r="HO38" s="220">
        <f t="shared" ca="1" si="194"/>
        <v>0</v>
      </c>
      <c r="HP38" s="220">
        <f t="shared" ca="1" si="195"/>
        <v>0</v>
      </c>
      <c r="HQ38" s="235">
        <f t="shared" ca="1" si="196"/>
        <v>0</v>
      </c>
      <c r="HR38" s="235">
        <f t="shared" ca="1" si="197"/>
        <v>0</v>
      </c>
      <c r="HS38" s="242">
        <f t="shared" ca="1" si="198"/>
        <v>0</v>
      </c>
      <c r="HT38" s="241">
        <f t="shared" ca="1" si="570"/>
        <v>1</v>
      </c>
      <c r="HU38" s="220">
        <f t="shared" ca="1" si="199"/>
        <v>0</v>
      </c>
      <c r="HV38" s="220">
        <f t="shared" ca="1" si="200"/>
        <v>0</v>
      </c>
      <c r="HW38" s="235">
        <f t="shared" ca="1" si="201"/>
        <v>0</v>
      </c>
      <c r="HX38" s="235">
        <f t="shared" ca="1" si="202"/>
        <v>0</v>
      </c>
      <c r="HY38" s="242">
        <f t="shared" ca="1" si="203"/>
        <v>0</v>
      </c>
      <c r="HZ38" s="241">
        <f t="shared" ca="1" si="570"/>
        <v>1</v>
      </c>
      <c r="IA38" s="220">
        <f t="shared" ca="1" si="204"/>
        <v>0</v>
      </c>
      <c r="IB38" s="220">
        <f t="shared" ca="1" si="205"/>
        <v>0</v>
      </c>
      <c r="IC38" s="235">
        <f t="shared" ca="1" si="206"/>
        <v>0</v>
      </c>
      <c r="ID38" s="235">
        <f t="shared" ca="1" si="207"/>
        <v>0</v>
      </c>
      <c r="IE38" s="242">
        <f t="shared" ca="1" si="208"/>
        <v>0</v>
      </c>
      <c r="IF38" s="241">
        <f t="shared" ca="1" si="570"/>
        <v>1</v>
      </c>
      <c r="IG38" s="220">
        <f t="shared" ca="1" si="209"/>
        <v>0</v>
      </c>
      <c r="IH38" s="220">
        <f t="shared" ca="1" si="210"/>
        <v>0</v>
      </c>
      <c r="II38" s="235">
        <f t="shared" ca="1" si="211"/>
        <v>0</v>
      </c>
      <c r="IJ38" s="235">
        <f t="shared" ca="1" si="212"/>
        <v>0</v>
      </c>
      <c r="IK38" s="242">
        <f t="shared" ca="1" si="213"/>
        <v>0</v>
      </c>
      <c r="IL38" s="241">
        <f t="shared" ca="1" si="570"/>
        <v>1</v>
      </c>
      <c r="IM38" s="220">
        <f t="shared" ca="1" si="214"/>
        <v>0</v>
      </c>
      <c r="IN38" s="220">
        <f t="shared" ca="1" si="215"/>
        <v>0</v>
      </c>
      <c r="IO38" s="235">
        <f t="shared" ca="1" si="216"/>
        <v>0</v>
      </c>
      <c r="IP38" s="235">
        <f t="shared" ca="1" si="217"/>
        <v>0</v>
      </c>
      <c r="IQ38" s="242">
        <f t="shared" ca="1" si="218"/>
        <v>0</v>
      </c>
      <c r="IR38" s="241">
        <f t="shared" ca="1" si="570"/>
        <v>1</v>
      </c>
      <c r="IS38" s="220">
        <f t="shared" ca="1" si="220"/>
        <v>0</v>
      </c>
      <c r="IT38" s="220">
        <f t="shared" ca="1" si="221"/>
        <v>0</v>
      </c>
      <c r="IU38" s="235">
        <f t="shared" ca="1" si="222"/>
        <v>0</v>
      </c>
      <c r="IV38" s="235">
        <f t="shared" ca="1" si="223"/>
        <v>0</v>
      </c>
      <c r="IW38" s="242">
        <f t="shared" ca="1" si="224"/>
        <v>0</v>
      </c>
      <c r="IX38" s="241">
        <f t="shared" ca="1" si="570"/>
        <v>1</v>
      </c>
      <c r="IY38" s="220">
        <f t="shared" ca="1" si="225"/>
        <v>0</v>
      </c>
      <c r="IZ38" s="220">
        <f t="shared" ca="1" si="226"/>
        <v>0</v>
      </c>
      <c r="JA38" s="235">
        <f t="shared" ca="1" si="227"/>
        <v>0</v>
      </c>
      <c r="JB38" s="235">
        <f t="shared" ca="1" si="228"/>
        <v>0</v>
      </c>
      <c r="JC38" s="242">
        <f t="shared" ca="1" si="229"/>
        <v>0</v>
      </c>
      <c r="JD38" s="241">
        <f t="shared" ca="1" si="563"/>
        <v>1</v>
      </c>
      <c r="JE38" s="220">
        <f t="shared" ca="1" si="230"/>
        <v>0</v>
      </c>
      <c r="JF38" s="220">
        <f t="shared" ca="1" si="231"/>
        <v>0</v>
      </c>
      <c r="JG38" s="235">
        <f t="shared" ca="1" si="232"/>
        <v>0</v>
      </c>
      <c r="JH38" s="235">
        <f t="shared" ca="1" si="233"/>
        <v>0</v>
      </c>
      <c r="JI38" s="242">
        <f t="shared" ca="1" si="234"/>
        <v>0</v>
      </c>
      <c r="JJ38" s="241">
        <f t="shared" ca="1" si="563"/>
        <v>1</v>
      </c>
      <c r="JK38" s="220">
        <f t="shared" ca="1" si="235"/>
        <v>0</v>
      </c>
      <c r="JL38" s="220">
        <f t="shared" ca="1" si="236"/>
        <v>0</v>
      </c>
      <c r="JM38" s="235">
        <f t="shared" ca="1" si="237"/>
        <v>0</v>
      </c>
      <c r="JN38" s="235">
        <f t="shared" ca="1" si="238"/>
        <v>0</v>
      </c>
      <c r="JO38" s="242">
        <f t="shared" ca="1" si="239"/>
        <v>0</v>
      </c>
      <c r="JP38" s="241">
        <f t="shared" ca="1" si="571"/>
        <v>1</v>
      </c>
      <c r="JQ38" s="220">
        <f t="shared" ca="1" si="240"/>
        <v>0</v>
      </c>
      <c r="JR38" s="220">
        <f t="shared" ca="1" si="241"/>
        <v>0</v>
      </c>
      <c r="JS38" s="235">
        <f t="shared" ca="1" si="242"/>
        <v>0</v>
      </c>
      <c r="JT38" s="235">
        <f t="shared" ca="1" si="243"/>
        <v>0</v>
      </c>
      <c r="JU38" s="242">
        <f t="shared" ca="1" si="244"/>
        <v>0</v>
      </c>
      <c r="JV38" s="241">
        <f t="shared" ca="1" si="571"/>
        <v>1</v>
      </c>
      <c r="JW38" s="220">
        <f t="shared" ca="1" si="245"/>
        <v>0</v>
      </c>
      <c r="JX38" s="220">
        <f t="shared" ca="1" si="246"/>
        <v>0</v>
      </c>
      <c r="JY38" s="235">
        <f t="shared" ca="1" si="247"/>
        <v>0</v>
      </c>
      <c r="JZ38" s="235">
        <f t="shared" ca="1" si="248"/>
        <v>0</v>
      </c>
      <c r="KA38" s="242">
        <f t="shared" ca="1" si="249"/>
        <v>0</v>
      </c>
      <c r="KB38" s="241">
        <f t="shared" ca="1" si="571"/>
        <v>1</v>
      </c>
      <c r="KC38" s="220">
        <f t="shared" ca="1" si="250"/>
        <v>0</v>
      </c>
      <c r="KD38" s="220">
        <f t="shared" ca="1" si="251"/>
        <v>0</v>
      </c>
      <c r="KE38" s="235">
        <f t="shared" ca="1" si="252"/>
        <v>0</v>
      </c>
      <c r="KF38" s="235">
        <f t="shared" ca="1" si="253"/>
        <v>0</v>
      </c>
      <c r="KG38" s="242">
        <f t="shared" ca="1" si="254"/>
        <v>0</v>
      </c>
      <c r="KH38" s="241">
        <f t="shared" ca="1" si="571"/>
        <v>1</v>
      </c>
      <c r="KI38" s="220">
        <f t="shared" ca="1" si="255"/>
        <v>0</v>
      </c>
      <c r="KJ38" s="220">
        <f t="shared" ca="1" si="256"/>
        <v>0</v>
      </c>
      <c r="KK38" s="235">
        <f t="shared" ca="1" si="257"/>
        <v>0</v>
      </c>
      <c r="KL38" s="235">
        <f t="shared" ca="1" si="258"/>
        <v>0</v>
      </c>
      <c r="KM38" s="242">
        <f t="shared" ca="1" si="259"/>
        <v>0</v>
      </c>
      <c r="KN38" s="241">
        <f t="shared" ca="1" si="571"/>
        <v>1</v>
      </c>
      <c r="KO38" s="220">
        <f t="shared" ca="1" si="260"/>
        <v>0</v>
      </c>
      <c r="KP38" s="220">
        <f t="shared" ca="1" si="261"/>
        <v>0</v>
      </c>
      <c r="KQ38" s="235">
        <f t="shared" ca="1" si="262"/>
        <v>0</v>
      </c>
      <c r="KR38" s="235">
        <f t="shared" ca="1" si="263"/>
        <v>0</v>
      </c>
      <c r="KS38" s="242">
        <f t="shared" ca="1" si="264"/>
        <v>0</v>
      </c>
      <c r="KT38" s="241">
        <f t="shared" ca="1" si="571"/>
        <v>1</v>
      </c>
      <c r="KU38" s="220">
        <f t="shared" ca="1" si="265"/>
        <v>0</v>
      </c>
      <c r="KV38" s="220">
        <f t="shared" ca="1" si="266"/>
        <v>0</v>
      </c>
      <c r="KW38" s="235">
        <f t="shared" ca="1" si="267"/>
        <v>0</v>
      </c>
      <c r="KX38" s="235">
        <f t="shared" ca="1" si="268"/>
        <v>0</v>
      </c>
      <c r="KY38" s="242">
        <f t="shared" ca="1" si="269"/>
        <v>0</v>
      </c>
      <c r="KZ38" s="241">
        <f t="shared" ca="1" si="571"/>
        <v>1</v>
      </c>
      <c r="LA38" s="220">
        <f t="shared" ca="1" si="270"/>
        <v>0</v>
      </c>
      <c r="LB38" s="220">
        <f t="shared" ca="1" si="271"/>
        <v>0</v>
      </c>
      <c r="LC38" s="235">
        <f t="shared" ca="1" si="272"/>
        <v>0</v>
      </c>
      <c r="LD38" s="235">
        <f t="shared" ca="1" si="273"/>
        <v>0</v>
      </c>
      <c r="LE38" s="242">
        <f t="shared" ca="1" si="274"/>
        <v>0</v>
      </c>
      <c r="LF38" s="241">
        <f t="shared" ca="1" si="571"/>
        <v>1</v>
      </c>
      <c r="LG38" s="220">
        <f t="shared" ca="1" si="276"/>
        <v>0</v>
      </c>
      <c r="LH38" s="220">
        <f t="shared" ca="1" si="277"/>
        <v>0</v>
      </c>
      <c r="LI38" s="235">
        <f t="shared" ca="1" si="278"/>
        <v>0</v>
      </c>
      <c r="LJ38" s="235">
        <f t="shared" ca="1" si="279"/>
        <v>0</v>
      </c>
      <c r="LK38" s="242">
        <f t="shared" ca="1" si="280"/>
        <v>0</v>
      </c>
      <c r="LL38" s="241">
        <f t="shared" ca="1" si="571"/>
        <v>1</v>
      </c>
      <c r="LM38" s="220">
        <f t="shared" ca="1" si="281"/>
        <v>0</v>
      </c>
      <c r="LN38" s="220">
        <f t="shared" ca="1" si="282"/>
        <v>0</v>
      </c>
      <c r="LO38" s="235">
        <f t="shared" ca="1" si="283"/>
        <v>0</v>
      </c>
      <c r="LP38" s="235">
        <f t="shared" ca="1" si="284"/>
        <v>0</v>
      </c>
      <c r="LQ38" s="242">
        <f t="shared" ca="1" si="285"/>
        <v>0</v>
      </c>
      <c r="LR38" s="241">
        <f t="shared" ca="1" si="571"/>
        <v>1</v>
      </c>
      <c r="LS38" s="220">
        <f t="shared" ca="1" si="286"/>
        <v>0</v>
      </c>
      <c r="LT38" s="220">
        <f t="shared" ca="1" si="287"/>
        <v>0</v>
      </c>
      <c r="LU38" s="235">
        <f t="shared" ca="1" si="288"/>
        <v>0</v>
      </c>
      <c r="LV38" s="235">
        <f t="shared" ca="1" si="289"/>
        <v>0</v>
      </c>
      <c r="LW38" s="242">
        <f t="shared" ca="1" si="290"/>
        <v>0</v>
      </c>
      <c r="LX38" s="241">
        <f t="shared" ca="1" si="571"/>
        <v>1</v>
      </c>
      <c r="LY38" s="220">
        <f t="shared" ca="1" si="291"/>
        <v>0</v>
      </c>
      <c r="LZ38" s="220">
        <f t="shared" ca="1" si="292"/>
        <v>0</v>
      </c>
      <c r="MA38" s="235">
        <f t="shared" ca="1" si="293"/>
        <v>0</v>
      </c>
      <c r="MB38" s="235">
        <f t="shared" ca="1" si="294"/>
        <v>0</v>
      </c>
      <c r="MC38" s="242">
        <f t="shared" ca="1" si="295"/>
        <v>0</v>
      </c>
      <c r="MD38" s="241">
        <f t="shared" ca="1" si="564"/>
        <v>1</v>
      </c>
      <c r="ME38" s="220">
        <f t="shared" ca="1" si="296"/>
        <v>0</v>
      </c>
      <c r="MF38" s="220">
        <f t="shared" ca="1" si="297"/>
        <v>0</v>
      </c>
      <c r="MG38" s="235">
        <f t="shared" ca="1" si="298"/>
        <v>0</v>
      </c>
      <c r="MH38" s="235">
        <f t="shared" ca="1" si="299"/>
        <v>0</v>
      </c>
      <c r="MI38" s="242">
        <f t="shared" ca="1" si="300"/>
        <v>0</v>
      </c>
      <c r="MJ38" s="241">
        <f t="shared" ca="1" si="564"/>
        <v>1</v>
      </c>
      <c r="MK38" s="220">
        <f t="shared" ca="1" si="301"/>
        <v>0</v>
      </c>
      <c r="ML38" s="220">
        <f t="shared" ca="1" si="302"/>
        <v>0</v>
      </c>
      <c r="MM38" s="235">
        <f t="shared" ca="1" si="303"/>
        <v>0</v>
      </c>
      <c r="MN38" s="235">
        <f t="shared" ca="1" si="304"/>
        <v>0</v>
      </c>
      <c r="MO38" s="242">
        <f t="shared" ca="1" si="305"/>
        <v>0</v>
      </c>
      <c r="MP38" s="241">
        <f t="shared" ca="1" si="572"/>
        <v>1</v>
      </c>
      <c r="MQ38" s="220">
        <f t="shared" ca="1" si="306"/>
        <v>0</v>
      </c>
      <c r="MR38" s="220">
        <f t="shared" ca="1" si="307"/>
        <v>0</v>
      </c>
      <c r="MS38" s="235">
        <f t="shared" ca="1" si="308"/>
        <v>0</v>
      </c>
      <c r="MT38" s="235">
        <f t="shared" ca="1" si="309"/>
        <v>0</v>
      </c>
      <c r="MU38" s="242">
        <f t="shared" ca="1" si="310"/>
        <v>0</v>
      </c>
      <c r="MV38" s="241">
        <f t="shared" ca="1" si="572"/>
        <v>1</v>
      </c>
      <c r="MW38" s="220">
        <f t="shared" ca="1" si="311"/>
        <v>0</v>
      </c>
      <c r="MX38" s="220">
        <f t="shared" ca="1" si="312"/>
        <v>0</v>
      </c>
      <c r="MY38" s="235">
        <f t="shared" ca="1" si="313"/>
        <v>0</v>
      </c>
      <c r="MZ38" s="235">
        <f t="shared" ca="1" si="314"/>
        <v>0</v>
      </c>
      <c r="NA38" s="242">
        <f t="shared" ca="1" si="315"/>
        <v>0</v>
      </c>
      <c r="NB38" s="241">
        <f t="shared" ca="1" si="572"/>
        <v>1</v>
      </c>
      <c r="NC38" s="220">
        <f t="shared" ca="1" si="316"/>
        <v>0</v>
      </c>
      <c r="ND38" s="220">
        <f t="shared" ca="1" si="317"/>
        <v>0</v>
      </c>
      <c r="NE38" s="235">
        <f t="shared" ca="1" si="318"/>
        <v>0</v>
      </c>
      <c r="NF38" s="235">
        <f t="shared" ca="1" si="319"/>
        <v>0</v>
      </c>
      <c r="NG38" s="242">
        <f t="shared" ca="1" si="320"/>
        <v>0</v>
      </c>
      <c r="NH38" s="241">
        <f t="shared" ca="1" si="572"/>
        <v>1</v>
      </c>
      <c r="NI38" s="220">
        <f t="shared" ca="1" si="321"/>
        <v>0</v>
      </c>
      <c r="NJ38" s="220">
        <f t="shared" ca="1" si="322"/>
        <v>0</v>
      </c>
      <c r="NK38" s="235">
        <f t="shared" ca="1" si="323"/>
        <v>0</v>
      </c>
      <c r="NL38" s="235">
        <f t="shared" ca="1" si="324"/>
        <v>0</v>
      </c>
      <c r="NM38" s="242">
        <f t="shared" ca="1" si="325"/>
        <v>0</v>
      </c>
      <c r="NN38" s="241">
        <f t="shared" ca="1" si="572"/>
        <v>1</v>
      </c>
      <c r="NO38" s="220">
        <f t="shared" ca="1" si="326"/>
        <v>0</v>
      </c>
      <c r="NP38" s="220">
        <f t="shared" ca="1" si="327"/>
        <v>0</v>
      </c>
      <c r="NQ38" s="235">
        <f t="shared" ca="1" si="328"/>
        <v>0</v>
      </c>
      <c r="NR38" s="235">
        <f t="shared" ca="1" si="329"/>
        <v>0</v>
      </c>
      <c r="NS38" s="242">
        <f t="shared" ca="1" si="330"/>
        <v>0</v>
      </c>
      <c r="NT38" s="241">
        <f t="shared" ca="1" si="572"/>
        <v>1</v>
      </c>
      <c r="NU38" s="220">
        <f t="shared" ca="1" si="332"/>
        <v>0</v>
      </c>
      <c r="NV38" s="220">
        <f t="shared" ca="1" si="333"/>
        <v>0</v>
      </c>
      <c r="NW38" s="235">
        <f t="shared" ca="1" si="334"/>
        <v>0</v>
      </c>
      <c r="NX38" s="235">
        <f t="shared" ca="1" si="335"/>
        <v>0</v>
      </c>
      <c r="NY38" s="242">
        <f t="shared" ca="1" si="336"/>
        <v>0</v>
      </c>
      <c r="NZ38" s="241">
        <f t="shared" ca="1" si="572"/>
        <v>1</v>
      </c>
      <c r="OA38" s="220">
        <f t="shared" ca="1" si="337"/>
        <v>0</v>
      </c>
      <c r="OB38" s="220">
        <f t="shared" ca="1" si="338"/>
        <v>0</v>
      </c>
      <c r="OC38" s="235">
        <f t="shared" ca="1" si="339"/>
        <v>0</v>
      </c>
      <c r="OD38" s="235">
        <f t="shared" ca="1" si="340"/>
        <v>0</v>
      </c>
      <c r="OE38" s="242">
        <f t="shared" ca="1" si="341"/>
        <v>0</v>
      </c>
      <c r="OF38" s="241">
        <f t="shared" ca="1" si="572"/>
        <v>1</v>
      </c>
      <c r="OG38" s="220">
        <f t="shared" ca="1" si="342"/>
        <v>0</v>
      </c>
      <c r="OH38" s="220">
        <f t="shared" ca="1" si="343"/>
        <v>0</v>
      </c>
      <c r="OI38" s="235">
        <f t="shared" ca="1" si="344"/>
        <v>0</v>
      </c>
      <c r="OJ38" s="235">
        <f t="shared" ca="1" si="345"/>
        <v>0</v>
      </c>
      <c r="OK38" s="242">
        <f t="shared" ca="1" si="346"/>
        <v>0</v>
      </c>
      <c r="OL38" s="241">
        <f t="shared" ca="1" si="572"/>
        <v>1</v>
      </c>
      <c r="OM38" s="220">
        <f t="shared" ca="1" si="347"/>
        <v>0</v>
      </c>
      <c r="ON38" s="220">
        <f t="shared" ca="1" si="348"/>
        <v>0</v>
      </c>
      <c r="OO38" s="235">
        <f t="shared" ca="1" si="349"/>
        <v>0</v>
      </c>
      <c r="OP38" s="235">
        <f t="shared" ca="1" si="350"/>
        <v>0</v>
      </c>
      <c r="OQ38" s="242">
        <f t="shared" ca="1" si="351"/>
        <v>0</v>
      </c>
      <c r="OR38" s="241">
        <f t="shared" ca="1" si="572"/>
        <v>1</v>
      </c>
      <c r="OS38" s="220">
        <f t="shared" ca="1" si="352"/>
        <v>0</v>
      </c>
      <c r="OT38" s="220">
        <f t="shared" ca="1" si="353"/>
        <v>0</v>
      </c>
      <c r="OU38" s="235">
        <f t="shared" ca="1" si="354"/>
        <v>0</v>
      </c>
      <c r="OV38" s="235">
        <f t="shared" ca="1" si="355"/>
        <v>0</v>
      </c>
      <c r="OW38" s="242">
        <f t="shared" ca="1" si="356"/>
        <v>0</v>
      </c>
      <c r="OX38" s="241">
        <f t="shared" ca="1" si="572"/>
        <v>1</v>
      </c>
      <c r="OY38" s="220">
        <f t="shared" ca="1" si="357"/>
        <v>0</v>
      </c>
      <c r="OZ38" s="220">
        <f t="shared" ca="1" si="358"/>
        <v>0</v>
      </c>
      <c r="PA38" s="235">
        <f t="shared" ca="1" si="359"/>
        <v>0</v>
      </c>
      <c r="PB38" s="235">
        <f t="shared" ca="1" si="360"/>
        <v>0</v>
      </c>
      <c r="PC38" s="242">
        <f t="shared" ca="1" si="361"/>
        <v>0</v>
      </c>
      <c r="PD38" s="241">
        <f t="shared" ca="1" si="565"/>
        <v>1</v>
      </c>
      <c r="PE38" s="220">
        <f t="shared" ca="1" si="362"/>
        <v>0</v>
      </c>
      <c r="PF38" s="220">
        <f t="shared" ca="1" si="363"/>
        <v>0</v>
      </c>
      <c r="PG38" s="235">
        <f t="shared" ca="1" si="364"/>
        <v>0</v>
      </c>
      <c r="PH38" s="235">
        <f t="shared" ca="1" si="365"/>
        <v>0</v>
      </c>
      <c r="PI38" s="242">
        <f t="shared" ca="1" si="366"/>
        <v>0</v>
      </c>
      <c r="PJ38" s="241">
        <f t="shared" ca="1" si="565"/>
        <v>1</v>
      </c>
      <c r="PK38" s="220">
        <f t="shared" ca="1" si="367"/>
        <v>0</v>
      </c>
      <c r="PL38" s="220">
        <f t="shared" ca="1" si="368"/>
        <v>0</v>
      </c>
      <c r="PM38" s="235">
        <f t="shared" ca="1" si="369"/>
        <v>0</v>
      </c>
      <c r="PN38" s="235">
        <f t="shared" ca="1" si="370"/>
        <v>0</v>
      </c>
      <c r="PO38" s="242">
        <f t="shared" ca="1" si="371"/>
        <v>0</v>
      </c>
      <c r="PP38" s="241">
        <f t="shared" ca="1" si="573"/>
        <v>1</v>
      </c>
      <c r="PQ38" s="220">
        <f t="shared" ca="1" si="372"/>
        <v>0</v>
      </c>
      <c r="PR38" s="220">
        <f t="shared" ca="1" si="373"/>
        <v>0</v>
      </c>
      <c r="PS38" s="235">
        <f t="shared" ca="1" si="374"/>
        <v>0</v>
      </c>
      <c r="PT38" s="235">
        <f t="shared" ca="1" si="375"/>
        <v>0</v>
      </c>
      <c r="PU38" s="242">
        <f t="shared" ca="1" si="376"/>
        <v>0</v>
      </c>
      <c r="PV38" s="241">
        <f t="shared" ca="1" si="573"/>
        <v>1</v>
      </c>
      <c r="PW38" s="220">
        <f t="shared" ca="1" si="377"/>
        <v>0</v>
      </c>
      <c r="PX38" s="220">
        <f t="shared" ca="1" si="378"/>
        <v>0</v>
      </c>
      <c r="PY38" s="235">
        <f t="shared" ca="1" si="379"/>
        <v>0</v>
      </c>
      <c r="PZ38" s="235">
        <f t="shared" ca="1" si="380"/>
        <v>0</v>
      </c>
      <c r="QA38" s="242">
        <f t="shared" ca="1" si="381"/>
        <v>0</v>
      </c>
      <c r="QB38" s="241">
        <f t="shared" ca="1" si="573"/>
        <v>1</v>
      </c>
      <c r="QC38" s="220">
        <f t="shared" ca="1" si="382"/>
        <v>0</v>
      </c>
      <c r="QD38" s="220">
        <f t="shared" ca="1" si="383"/>
        <v>0</v>
      </c>
      <c r="QE38" s="235">
        <f t="shared" ca="1" si="384"/>
        <v>0</v>
      </c>
      <c r="QF38" s="235">
        <f t="shared" ca="1" si="385"/>
        <v>0</v>
      </c>
      <c r="QG38" s="242">
        <f t="shared" ca="1" si="386"/>
        <v>0</v>
      </c>
      <c r="QH38" s="241">
        <f t="shared" ca="1" si="573"/>
        <v>1</v>
      </c>
      <c r="QI38" s="220">
        <f t="shared" ca="1" si="388"/>
        <v>0</v>
      </c>
      <c r="QJ38" s="220">
        <f t="shared" ca="1" si="389"/>
        <v>0</v>
      </c>
      <c r="QK38" s="235">
        <f t="shared" ca="1" si="390"/>
        <v>0</v>
      </c>
      <c r="QL38" s="235">
        <f t="shared" ca="1" si="391"/>
        <v>0</v>
      </c>
      <c r="QM38" s="242">
        <f t="shared" ca="1" si="392"/>
        <v>0</v>
      </c>
      <c r="QN38" s="241">
        <f t="shared" ca="1" si="573"/>
        <v>1</v>
      </c>
      <c r="QO38" s="220">
        <f t="shared" ca="1" si="393"/>
        <v>0</v>
      </c>
      <c r="QP38" s="220">
        <f t="shared" ca="1" si="394"/>
        <v>0</v>
      </c>
      <c r="QQ38" s="235">
        <f t="shared" ca="1" si="395"/>
        <v>0</v>
      </c>
      <c r="QR38" s="235">
        <f t="shared" ca="1" si="396"/>
        <v>0</v>
      </c>
      <c r="QS38" s="242">
        <f t="shared" ca="1" si="397"/>
        <v>0</v>
      </c>
      <c r="QT38" s="241">
        <f t="shared" ca="1" si="573"/>
        <v>1</v>
      </c>
      <c r="QU38" s="220">
        <f t="shared" ca="1" si="398"/>
        <v>0</v>
      </c>
      <c r="QV38" s="220">
        <f t="shared" ca="1" si="399"/>
        <v>0</v>
      </c>
      <c r="QW38" s="235">
        <f t="shared" ca="1" si="400"/>
        <v>0</v>
      </c>
      <c r="QX38" s="235">
        <f t="shared" ca="1" si="401"/>
        <v>0</v>
      </c>
      <c r="QY38" s="242">
        <f t="shared" ca="1" si="402"/>
        <v>0</v>
      </c>
      <c r="QZ38" s="241">
        <f t="shared" ca="1" si="573"/>
        <v>1</v>
      </c>
      <c r="RA38" s="220">
        <f t="shared" ca="1" si="403"/>
        <v>0</v>
      </c>
      <c r="RB38" s="220">
        <f t="shared" ca="1" si="404"/>
        <v>0</v>
      </c>
      <c r="RC38" s="235">
        <f t="shared" ca="1" si="405"/>
        <v>0</v>
      </c>
      <c r="RD38" s="235">
        <f t="shared" ca="1" si="406"/>
        <v>0</v>
      </c>
      <c r="RE38" s="242">
        <f t="shared" ca="1" si="407"/>
        <v>0</v>
      </c>
      <c r="RF38" s="241">
        <f t="shared" ca="1" si="573"/>
        <v>1</v>
      </c>
      <c r="RG38" s="220">
        <f t="shared" ca="1" si="408"/>
        <v>0</v>
      </c>
      <c r="RH38" s="220">
        <f t="shared" ca="1" si="409"/>
        <v>0</v>
      </c>
      <c r="RI38" s="235">
        <f t="shared" ca="1" si="410"/>
        <v>0</v>
      </c>
      <c r="RJ38" s="235">
        <f t="shared" ca="1" si="411"/>
        <v>0</v>
      </c>
      <c r="RK38" s="242">
        <f t="shared" ca="1" si="412"/>
        <v>0</v>
      </c>
      <c r="RL38" s="241">
        <f t="shared" ca="1" si="573"/>
        <v>1</v>
      </c>
      <c r="RM38" s="220">
        <f t="shared" ca="1" si="413"/>
        <v>0</v>
      </c>
      <c r="RN38" s="220">
        <f t="shared" ca="1" si="414"/>
        <v>0</v>
      </c>
      <c r="RO38" s="235">
        <f t="shared" ca="1" si="415"/>
        <v>0</v>
      </c>
      <c r="RP38" s="235">
        <f t="shared" ca="1" si="416"/>
        <v>0</v>
      </c>
      <c r="RQ38" s="242">
        <f t="shared" ca="1" si="417"/>
        <v>0</v>
      </c>
      <c r="RR38" s="241">
        <f t="shared" ca="1" si="573"/>
        <v>1</v>
      </c>
      <c r="RS38" s="220">
        <f t="shared" ca="1" si="418"/>
        <v>0</v>
      </c>
      <c r="RT38" s="220">
        <f t="shared" ca="1" si="419"/>
        <v>0</v>
      </c>
      <c r="RU38" s="235">
        <f t="shared" ca="1" si="420"/>
        <v>0</v>
      </c>
      <c r="RV38" s="235">
        <f t="shared" ca="1" si="421"/>
        <v>0</v>
      </c>
      <c r="RW38" s="242">
        <f t="shared" ca="1" si="422"/>
        <v>0</v>
      </c>
      <c r="RX38" s="241">
        <f t="shared" ca="1" si="573"/>
        <v>1</v>
      </c>
      <c r="RY38" s="220">
        <f t="shared" ca="1" si="423"/>
        <v>0</v>
      </c>
      <c r="RZ38" s="220">
        <f t="shared" ca="1" si="424"/>
        <v>0</v>
      </c>
      <c r="SA38" s="235">
        <f t="shared" ca="1" si="425"/>
        <v>0</v>
      </c>
      <c r="SB38" s="235">
        <f t="shared" ca="1" si="426"/>
        <v>0</v>
      </c>
      <c r="SC38" s="242">
        <f t="shared" ca="1" si="427"/>
        <v>0</v>
      </c>
      <c r="SD38" s="241">
        <f t="shared" ca="1" si="566"/>
        <v>1</v>
      </c>
      <c r="SE38" s="220">
        <f t="shared" ca="1" si="428"/>
        <v>0</v>
      </c>
      <c r="SF38" s="220">
        <f t="shared" ca="1" si="429"/>
        <v>0</v>
      </c>
      <c r="SG38" s="235">
        <f t="shared" ca="1" si="430"/>
        <v>0</v>
      </c>
      <c r="SH38" s="235">
        <f t="shared" ca="1" si="431"/>
        <v>0</v>
      </c>
      <c r="SI38" s="242">
        <f t="shared" ca="1" si="432"/>
        <v>0</v>
      </c>
      <c r="SJ38" s="241">
        <f t="shared" ca="1" si="566"/>
        <v>1</v>
      </c>
      <c r="SK38" s="220">
        <f t="shared" ca="1" si="433"/>
        <v>0</v>
      </c>
      <c r="SL38" s="220">
        <f t="shared" ca="1" si="434"/>
        <v>0</v>
      </c>
      <c r="SM38" s="235">
        <f t="shared" ca="1" si="435"/>
        <v>0</v>
      </c>
      <c r="SN38" s="235">
        <f t="shared" ca="1" si="436"/>
        <v>0</v>
      </c>
      <c r="SO38" s="242">
        <f t="shared" ca="1" si="437"/>
        <v>0</v>
      </c>
      <c r="SP38" s="241">
        <f t="shared" ca="1" si="576"/>
        <v>1</v>
      </c>
      <c r="SQ38" s="220">
        <f t="shared" ca="1" si="438"/>
        <v>0</v>
      </c>
      <c r="SR38" s="220">
        <f t="shared" ca="1" si="439"/>
        <v>0</v>
      </c>
      <c r="SS38" s="235">
        <f t="shared" ca="1" si="440"/>
        <v>0</v>
      </c>
      <c r="ST38" s="235">
        <f t="shared" ca="1" si="441"/>
        <v>0</v>
      </c>
      <c r="SU38" s="242">
        <f t="shared" ca="1" si="442"/>
        <v>0</v>
      </c>
      <c r="SV38" s="241">
        <f t="shared" ca="1" si="576"/>
        <v>1</v>
      </c>
      <c r="SW38" s="220">
        <f t="shared" ca="1" si="444"/>
        <v>0</v>
      </c>
      <c r="SX38" s="220">
        <f t="shared" ca="1" si="445"/>
        <v>0</v>
      </c>
      <c r="SY38" s="235">
        <f t="shared" ca="1" si="446"/>
        <v>0</v>
      </c>
      <c r="SZ38" s="235">
        <f t="shared" ca="1" si="447"/>
        <v>0</v>
      </c>
      <c r="TA38" s="242">
        <f t="shared" ca="1" si="448"/>
        <v>0</v>
      </c>
      <c r="TB38" s="241">
        <f t="shared" ca="1" si="576"/>
        <v>1</v>
      </c>
      <c r="TC38" s="220">
        <f t="shared" ca="1" si="449"/>
        <v>0</v>
      </c>
      <c r="TD38" s="220">
        <f t="shared" ca="1" si="450"/>
        <v>0</v>
      </c>
      <c r="TE38" s="235">
        <f t="shared" ca="1" si="451"/>
        <v>0</v>
      </c>
      <c r="TF38" s="235">
        <f t="shared" ca="1" si="452"/>
        <v>0</v>
      </c>
      <c r="TG38" s="242">
        <f t="shared" ca="1" si="453"/>
        <v>0</v>
      </c>
      <c r="TH38" s="241">
        <f t="shared" ca="1" si="576"/>
        <v>1</v>
      </c>
      <c r="TI38" s="220">
        <f t="shared" ca="1" si="454"/>
        <v>0</v>
      </c>
      <c r="TJ38" s="220">
        <f t="shared" ca="1" si="455"/>
        <v>0</v>
      </c>
      <c r="TK38" s="235">
        <f t="shared" ca="1" si="456"/>
        <v>0</v>
      </c>
      <c r="TL38" s="235">
        <f t="shared" ca="1" si="457"/>
        <v>0</v>
      </c>
      <c r="TM38" s="242">
        <f t="shared" ca="1" si="458"/>
        <v>0</v>
      </c>
      <c r="TN38" s="241">
        <f t="shared" ca="1" si="576"/>
        <v>1</v>
      </c>
      <c r="TO38" s="220">
        <f t="shared" ca="1" si="459"/>
        <v>0</v>
      </c>
      <c r="TP38" s="220">
        <f t="shared" ca="1" si="460"/>
        <v>0</v>
      </c>
      <c r="TQ38" s="235">
        <f t="shared" ca="1" si="461"/>
        <v>0</v>
      </c>
      <c r="TR38" s="235">
        <f t="shared" ca="1" si="462"/>
        <v>0</v>
      </c>
      <c r="TS38" s="242">
        <f t="shared" ca="1" si="463"/>
        <v>0</v>
      </c>
      <c r="TT38" s="241">
        <f t="shared" ca="1" si="576"/>
        <v>1</v>
      </c>
      <c r="TU38" s="220">
        <f t="shared" ca="1" si="464"/>
        <v>0</v>
      </c>
      <c r="TV38" s="220">
        <f t="shared" ca="1" si="465"/>
        <v>0</v>
      </c>
      <c r="TW38" s="235">
        <f t="shared" ca="1" si="466"/>
        <v>0</v>
      </c>
      <c r="TX38" s="235">
        <f t="shared" ca="1" si="467"/>
        <v>0</v>
      </c>
      <c r="TY38" s="242">
        <f t="shared" ca="1" si="468"/>
        <v>0</v>
      </c>
      <c r="TZ38" s="241">
        <f t="shared" ca="1" si="576"/>
        <v>1</v>
      </c>
      <c r="UA38" s="220">
        <f t="shared" ca="1" si="469"/>
        <v>0</v>
      </c>
      <c r="UB38" s="220">
        <f t="shared" ca="1" si="470"/>
        <v>0</v>
      </c>
      <c r="UC38" s="235">
        <f t="shared" ca="1" si="471"/>
        <v>0</v>
      </c>
      <c r="UD38" s="235">
        <f t="shared" ca="1" si="472"/>
        <v>0</v>
      </c>
      <c r="UE38" s="242">
        <f t="shared" ca="1" si="473"/>
        <v>0</v>
      </c>
      <c r="UF38" s="241">
        <f t="shared" ca="1" si="576"/>
        <v>1</v>
      </c>
      <c r="UG38" s="220">
        <f t="shared" ca="1" si="474"/>
        <v>0</v>
      </c>
      <c r="UH38" s="220">
        <f t="shared" ca="1" si="475"/>
        <v>0</v>
      </c>
      <c r="UI38" s="235">
        <f t="shared" ca="1" si="476"/>
        <v>0</v>
      </c>
      <c r="UJ38" s="235">
        <f t="shared" ca="1" si="477"/>
        <v>0</v>
      </c>
      <c r="UK38" s="242">
        <f t="shared" ca="1" si="478"/>
        <v>0</v>
      </c>
      <c r="UL38" s="241">
        <f t="shared" ca="1" si="576"/>
        <v>1</v>
      </c>
      <c r="UM38" s="220">
        <f t="shared" ca="1" si="479"/>
        <v>0</v>
      </c>
      <c r="UN38" s="220">
        <f t="shared" ca="1" si="480"/>
        <v>0</v>
      </c>
      <c r="UO38" s="235">
        <f t="shared" ca="1" si="481"/>
        <v>0</v>
      </c>
      <c r="UP38" s="235">
        <f t="shared" ca="1" si="482"/>
        <v>0</v>
      </c>
      <c r="UQ38" s="242">
        <f t="shared" ca="1" si="483"/>
        <v>0</v>
      </c>
      <c r="UR38" s="241">
        <f t="shared" ca="1" si="576"/>
        <v>1</v>
      </c>
      <c r="US38" s="220">
        <f t="shared" ca="1" si="484"/>
        <v>0</v>
      </c>
      <c r="UT38" s="220">
        <f t="shared" ca="1" si="485"/>
        <v>0</v>
      </c>
      <c r="UU38" s="235">
        <f t="shared" ca="1" si="486"/>
        <v>0</v>
      </c>
      <c r="UV38" s="235">
        <f t="shared" ca="1" si="487"/>
        <v>0</v>
      </c>
      <c r="UW38" s="242">
        <f t="shared" ca="1" si="488"/>
        <v>0</v>
      </c>
      <c r="UX38" s="241">
        <f t="shared" ca="1" si="576"/>
        <v>1</v>
      </c>
      <c r="UY38" s="220">
        <f t="shared" ca="1" si="489"/>
        <v>0</v>
      </c>
      <c r="UZ38" s="220">
        <f t="shared" ca="1" si="490"/>
        <v>0</v>
      </c>
      <c r="VA38" s="235">
        <f t="shared" ca="1" si="491"/>
        <v>0</v>
      </c>
      <c r="VB38" s="235">
        <f t="shared" ca="1" si="492"/>
        <v>0</v>
      </c>
      <c r="VC38" s="242">
        <f t="shared" ca="1" si="493"/>
        <v>0</v>
      </c>
      <c r="VD38" s="241">
        <f t="shared" ca="1" si="574"/>
        <v>1</v>
      </c>
      <c r="VE38" s="220">
        <f t="shared" ca="1" si="494"/>
        <v>0</v>
      </c>
      <c r="VF38" s="220">
        <f t="shared" ca="1" si="495"/>
        <v>0</v>
      </c>
      <c r="VG38" s="235">
        <f t="shared" ca="1" si="496"/>
        <v>0</v>
      </c>
      <c r="VH38" s="235">
        <f t="shared" ca="1" si="497"/>
        <v>0</v>
      </c>
      <c r="VI38" s="242">
        <f t="shared" ca="1" si="498"/>
        <v>0</v>
      </c>
      <c r="VJ38" s="241">
        <f t="shared" ca="1" si="567"/>
        <v>1</v>
      </c>
      <c r="VK38" s="220">
        <f t="shared" ca="1" si="500"/>
        <v>0</v>
      </c>
      <c r="VL38" s="220">
        <f t="shared" ca="1" si="501"/>
        <v>0</v>
      </c>
      <c r="VM38" s="235">
        <f t="shared" ca="1" si="502"/>
        <v>0</v>
      </c>
      <c r="VN38" s="235">
        <f t="shared" ca="1" si="503"/>
        <v>0</v>
      </c>
      <c r="VO38" s="242">
        <f t="shared" ca="1" si="504"/>
        <v>0</v>
      </c>
      <c r="VP38" s="241">
        <f t="shared" ca="1" si="567"/>
        <v>1</v>
      </c>
      <c r="VQ38" s="220">
        <f t="shared" ca="1" si="505"/>
        <v>0</v>
      </c>
      <c r="VR38" s="220">
        <f t="shared" ca="1" si="506"/>
        <v>0</v>
      </c>
      <c r="VS38" s="235">
        <f t="shared" ca="1" si="507"/>
        <v>0</v>
      </c>
      <c r="VT38" s="235">
        <f t="shared" ca="1" si="508"/>
        <v>0</v>
      </c>
      <c r="VU38" s="242">
        <f t="shared" ca="1" si="509"/>
        <v>0</v>
      </c>
      <c r="VV38" s="241">
        <f t="shared" ca="1" si="578"/>
        <v>1</v>
      </c>
      <c r="VW38" s="220">
        <f t="shared" ca="1" si="510"/>
        <v>0</v>
      </c>
      <c r="VX38" s="220">
        <f t="shared" ca="1" si="511"/>
        <v>0</v>
      </c>
      <c r="VY38" s="235">
        <f t="shared" ca="1" si="512"/>
        <v>0</v>
      </c>
      <c r="VZ38" s="235">
        <f t="shared" ca="1" si="513"/>
        <v>0</v>
      </c>
      <c r="WA38" s="242">
        <f t="shared" ca="1" si="514"/>
        <v>0</v>
      </c>
      <c r="WB38" s="241">
        <f t="shared" ca="1" si="578"/>
        <v>1</v>
      </c>
      <c r="WC38" s="220">
        <f t="shared" ca="1" si="515"/>
        <v>0</v>
      </c>
      <c r="WD38" s="220">
        <f t="shared" ca="1" si="516"/>
        <v>0</v>
      </c>
      <c r="WE38" s="235">
        <f t="shared" ca="1" si="517"/>
        <v>0</v>
      </c>
      <c r="WF38" s="235">
        <f t="shared" ca="1" si="518"/>
        <v>0</v>
      </c>
      <c r="WG38" s="242">
        <f t="shared" ca="1" si="519"/>
        <v>0</v>
      </c>
      <c r="WH38" s="241">
        <f t="shared" ca="1" si="578"/>
        <v>1</v>
      </c>
      <c r="WI38" s="220">
        <f t="shared" ca="1" si="520"/>
        <v>0</v>
      </c>
      <c r="WJ38" s="220">
        <f t="shared" ca="1" si="521"/>
        <v>0</v>
      </c>
      <c r="WK38" s="235">
        <f t="shared" ca="1" si="522"/>
        <v>0</v>
      </c>
      <c r="WL38" s="235">
        <f t="shared" ca="1" si="523"/>
        <v>0</v>
      </c>
      <c r="WM38" s="242">
        <f t="shared" ca="1" si="524"/>
        <v>0</v>
      </c>
      <c r="WN38" s="241">
        <f t="shared" ca="1" si="578"/>
        <v>1</v>
      </c>
      <c r="WO38" s="220">
        <f t="shared" ca="1" si="525"/>
        <v>0</v>
      </c>
      <c r="WP38" s="220">
        <f t="shared" ca="1" si="526"/>
        <v>0</v>
      </c>
      <c r="WQ38" s="235">
        <f t="shared" ca="1" si="527"/>
        <v>0</v>
      </c>
      <c r="WR38" s="235">
        <f t="shared" ca="1" si="528"/>
        <v>0</v>
      </c>
      <c r="WS38" s="242">
        <f t="shared" ca="1" si="529"/>
        <v>0</v>
      </c>
      <c r="WT38" s="241">
        <f t="shared" ca="1" si="578"/>
        <v>1</v>
      </c>
      <c r="WU38" s="220">
        <f t="shared" ca="1" si="530"/>
        <v>0</v>
      </c>
      <c r="WV38" s="220">
        <f t="shared" ca="1" si="531"/>
        <v>0</v>
      </c>
      <c r="WW38" s="235">
        <f t="shared" ca="1" si="532"/>
        <v>0</v>
      </c>
      <c r="WX38" s="235">
        <f t="shared" ca="1" si="533"/>
        <v>0</v>
      </c>
      <c r="WY38" s="242">
        <f t="shared" ca="1" si="534"/>
        <v>0</v>
      </c>
      <c r="WZ38" s="241">
        <f t="shared" ca="1" si="578"/>
        <v>1</v>
      </c>
      <c r="XA38" s="220">
        <f t="shared" ca="1" si="535"/>
        <v>0</v>
      </c>
      <c r="XB38" s="220">
        <f t="shared" ca="1" si="536"/>
        <v>0</v>
      </c>
      <c r="XC38" s="235">
        <f t="shared" ca="1" si="537"/>
        <v>0</v>
      </c>
      <c r="XD38" s="235">
        <f t="shared" ca="1" si="538"/>
        <v>0</v>
      </c>
      <c r="XE38" s="242">
        <f t="shared" ca="1" si="539"/>
        <v>0</v>
      </c>
      <c r="XF38" s="241">
        <f t="shared" ca="1" si="578"/>
        <v>1</v>
      </c>
      <c r="XG38" s="220">
        <f t="shared" ca="1" si="540"/>
        <v>0</v>
      </c>
      <c r="XH38" s="220">
        <f t="shared" ca="1" si="541"/>
        <v>0</v>
      </c>
      <c r="XI38" s="235">
        <f t="shared" ca="1" si="542"/>
        <v>0</v>
      </c>
      <c r="XJ38" s="235">
        <f t="shared" ca="1" si="543"/>
        <v>0</v>
      </c>
      <c r="XK38" s="242">
        <f t="shared" ca="1" si="544"/>
        <v>0</v>
      </c>
    </row>
    <row r="39" spans="2:635" x14ac:dyDescent="0.25">
      <c r="B39" s="65">
        <f t="shared" ca="1" si="14"/>
        <v>2054</v>
      </c>
      <c r="C39" s="65" t="s">
        <v>741</v>
      </c>
      <c r="D39" s="77">
        <f t="shared" ref="D39:D70" si="580">IF(INDEX(SC_ShowRetireatee,1),IF($B39&lt;YEAR(INDEX(SP_BirthDate,1)),0,$B39-YEAR(INDEX(SP_BirthDate,1))),0)</f>
        <v>0</v>
      </c>
      <c r="E39" s="77">
        <f t="shared" ref="E39:E70" si="581">IF(INDEX(SC_ShowRetireatee,2),IF($B39&lt;YEAR(INDEX(SP_BirthDate,2)),0,$B39-YEAR(INDEX(SP_BirthDate,2))),0)</f>
        <v>0</v>
      </c>
      <c r="F39" s="77">
        <f t="shared" si="17"/>
        <v>0</v>
      </c>
      <c r="G39" s="77">
        <f t="shared" si="18"/>
        <v>0</v>
      </c>
      <c r="H39" s="15" t="e">
        <f t="shared" ref="H39:H70" ca="1" si="582">INDEX(SC_EX_APW,EXIDX1)</f>
        <v>#REF!</v>
      </c>
      <c r="L39" s="326">
        <f t="shared" ref="L39:L70" ca="1" si="583">MIN(MAX(IF(SP_AnnyRate="Indexed",INDEX(SP_EA_ARStocks,EAIDX),INDEX(SP_EA_BondYield,EAIDX))*SP_AnnyParticipation-SP_AnnyFees,SP_AnnyFloor),SP_AnnyCeiling)</f>
        <v>3.5000000000000003E-2</v>
      </c>
      <c r="M39" s="327">
        <f t="shared" ref="M39:M70" ca="1" si="584">$L39-IF(SP_AnnyInflation,INDEX(SP_EA_InflationCPRate, EAIDX),0)</f>
        <v>3.5000000000000003E-2</v>
      </c>
      <c r="N39" s="322">
        <f t="shared" ca="1" si="579"/>
        <v>-31</v>
      </c>
      <c r="O39" s="322">
        <f t="shared" ref="O39:O70" ca="1" si="585">MAX(YEAR(SP_TargetRD)-$B39+SP_AnnyPeriod+IF(SC_AnnyPmntPr&gt;0,1,0),0)</f>
        <v>0</v>
      </c>
      <c r="P39" s="328">
        <f t="shared" ca="1" si="545"/>
        <v>0</v>
      </c>
      <c r="Q39" s="328">
        <f t="shared" ca="1" si="546"/>
        <v>0</v>
      </c>
      <c r="R39" s="328">
        <f t="shared" ca="1" si="547"/>
        <v>0</v>
      </c>
      <c r="S39" s="329">
        <f t="shared" ref="S39:S70" ca="1" si="586">IF((P39-AM39)&gt;0,($P40-P39+AM39)/(P39-AM39),0)</f>
        <v>0</v>
      </c>
      <c r="T39" s="329">
        <f t="shared" ref="T39:T70" ca="1" si="587">IF((Q39-AN39)&gt;0,($P40-Q39+AN39)/(Q39-AN39),0)</f>
        <v>0</v>
      </c>
      <c r="U39" s="329">
        <f t="shared" ref="U39:U70" ca="1" si="588">IF(SP_AnnyRate="Variable",$T39,$S39)</f>
        <v>0</v>
      </c>
      <c r="V39" s="320" t="e">
        <f t="shared" ref="V39:V70" ca="1" si="589">MAX(V38+SUM(X38:AB38),0)</f>
        <v>#REF!</v>
      </c>
      <c r="W39" s="320" t="e">
        <f t="shared" ca="1" si="560"/>
        <v>#REF!</v>
      </c>
      <c r="X39" s="320" t="e">
        <f t="shared" ref="X39:X70" ca="1" si="590">MAX(SP_AnnyContrib/INDEX(SC_EA_InflationWageIdx, EAIDX)*ABS($H39),0)</f>
        <v>#REF!</v>
      </c>
      <c r="Y39" s="320" t="e">
        <f ca="1">INDEX(SC_ZA_HECMLumpSum,ZAIDX)</f>
        <v>#REF!</v>
      </c>
      <c r="Z39" s="320" t="e">
        <f t="shared" ref="Z39:Z70" ca="1" si="591">INDEX(SC_EX_RolloverAnny,EXIDX1)</f>
        <v>#REF!</v>
      </c>
      <c r="AA39" s="320">
        <f t="shared" ca="1" si="557"/>
        <v>0</v>
      </c>
      <c r="AB39" s="320" t="e">
        <f t="shared" ca="1" si="558"/>
        <v>#REF!</v>
      </c>
      <c r="AC39" s="330" t="e">
        <f t="shared" ca="1" si="559"/>
        <v>#REF!</v>
      </c>
      <c r="AD39" s="236" t="e">
        <f t="shared" ca="1" si="548"/>
        <v>#REF!</v>
      </c>
      <c r="AE39" s="320" t="e">
        <f t="shared" ca="1" si="561"/>
        <v>#REF!</v>
      </c>
      <c r="AF39" s="320" t="e">
        <f t="shared" ref="AF39:AF70" ca="1" si="592">-$AA39-$AE39</f>
        <v>#REF!</v>
      </c>
      <c r="AG39" s="320" t="e">
        <f t="shared" ca="1" si="549"/>
        <v>#REF!</v>
      </c>
      <c r="AH39" s="284" t="e">
        <f t="shared" ca="1" si="550"/>
        <v>#REF!</v>
      </c>
      <c r="AI39" s="318" t="e">
        <f t="shared" ca="1" si="551"/>
        <v>#REF!</v>
      </c>
      <c r="AJ39" s="331">
        <f t="shared" ca="1" si="575"/>
        <v>1</v>
      </c>
      <c r="AK39" s="220">
        <f t="shared" ref="AK39:AK70" ca="1" si="593">IF($F39&gt;0,IF(AJ$2&gt;0,PRODUCT(OFFSET(LT_AnnuityLifeTable,$F39,2,AJ$2,1)),100%),0)</f>
        <v>0</v>
      </c>
      <c r="AL39" s="220">
        <f t="shared" ref="AL39:AL70" ca="1" si="594">IF(AND($G39&gt;0,SP_AnnySurvivor),IF(AJ$2&gt;0,PRODUCT(OFFSET(LT_AnnuityLifeTable,$G39,5,AJ$2,1)),100%),0)</f>
        <v>0</v>
      </c>
      <c r="AM39" s="235">
        <f t="shared" ca="1" si="554"/>
        <v>0</v>
      </c>
      <c r="AN39" s="235">
        <f t="shared" ca="1" si="555"/>
        <v>0</v>
      </c>
      <c r="AO39" s="242">
        <f t="shared" ca="1" si="556"/>
        <v>0</v>
      </c>
      <c r="AP39" s="241">
        <f t="shared" ca="1" si="575"/>
        <v>1</v>
      </c>
      <c r="AQ39" s="220">
        <f t="shared" ref="AQ39:AQ70" ca="1" si="595">IF($F39&gt;0,IF(AP$2&gt;0,PRODUCT(OFFSET(LT_AnnuityLifeTable,$F39,2,AP$2,1)),100%),0)</f>
        <v>0</v>
      </c>
      <c r="AR39" s="220">
        <f t="shared" ref="AR39:AR70" ca="1" si="596">IF(AND($G39&gt;0,SP_AnnySurvivor),IF(AP$2&gt;0,PRODUCT(OFFSET(LT_AnnuityLifeTable,$G39,5,AP$2,1)),100%),0)</f>
        <v>0</v>
      </c>
      <c r="AS39" s="235">
        <f t="shared" ca="1" si="43"/>
        <v>0</v>
      </c>
      <c r="AT39" s="235">
        <f t="shared" ca="1" si="44"/>
        <v>0</v>
      </c>
      <c r="AU39" s="242">
        <f t="shared" ca="1" si="45"/>
        <v>0</v>
      </c>
      <c r="AV39" s="241">
        <f t="shared" ca="1" si="575"/>
        <v>1</v>
      </c>
      <c r="AW39" s="220">
        <f t="shared" ref="AW39:AW70" ca="1" si="597">IF($F39&gt;0,IF(AV$2&gt;0,PRODUCT(OFFSET(LT_AnnuityLifeTable,$F39,2,AV$2,1)),100%),0)</f>
        <v>0</v>
      </c>
      <c r="AX39" s="220">
        <f t="shared" ref="AX39:AX70" ca="1" si="598">IF(AND($G39&gt;0,SP_AnnySurvivor),IF(AV$2&gt;0,PRODUCT(OFFSET(LT_AnnuityLifeTable,$G39,5,AV$2,1)),100%),0)</f>
        <v>0</v>
      </c>
      <c r="AY39" s="235">
        <f t="shared" ca="1" si="48"/>
        <v>0</v>
      </c>
      <c r="AZ39" s="235">
        <f t="shared" ca="1" si="49"/>
        <v>0</v>
      </c>
      <c r="BA39" s="242">
        <f t="shared" ca="1" si="50"/>
        <v>0</v>
      </c>
      <c r="BB39" s="241">
        <f t="shared" ca="1" si="575"/>
        <v>1</v>
      </c>
      <c r="BC39" s="220">
        <f t="shared" ref="BC39:BC70" ca="1" si="599">IF($F39&gt;0,IF(BB$2&gt;0,PRODUCT(OFFSET(LT_AnnuityLifeTable,$F39,2,BB$2,1)),100%),0)</f>
        <v>0</v>
      </c>
      <c r="BD39" s="220">
        <f t="shared" ref="BD39:BD70" ca="1" si="600">IF(AND($G39&gt;0,SP_AnnySurvivor),IF(BB$2&gt;0,PRODUCT(OFFSET(LT_AnnuityLifeTable,$G39,5,BB$2,1)),100%),0)</f>
        <v>0</v>
      </c>
      <c r="BE39" s="235">
        <f t="shared" ca="1" si="54"/>
        <v>0</v>
      </c>
      <c r="BF39" s="235">
        <f t="shared" ca="1" si="55"/>
        <v>0</v>
      </c>
      <c r="BG39" s="242">
        <f t="shared" ca="1" si="56"/>
        <v>0</v>
      </c>
      <c r="BH39" s="241">
        <f t="shared" ca="1" si="575"/>
        <v>1</v>
      </c>
      <c r="BI39" s="220">
        <f t="shared" ref="BI39:BI70" ca="1" si="601">IF($F39&gt;0,IF(BH$2&gt;0,PRODUCT(OFFSET(LT_AnnuityLifeTable,$F39,2,BH$2,1)),100%),0)</f>
        <v>0</v>
      </c>
      <c r="BJ39" s="220">
        <f t="shared" ref="BJ39:BJ70" ca="1" si="602">IF(AND($G39&gt;0,SP_AnnySurvivor),IF(BH$2&gt;0,PRODUCT(OFFSET(LT_AnnuityLifeTable,$G39,5,BH$2,1)),100%),0)</f>
        <v>0</v>
      </c>
      <c r="BK39" s="235">
        <f t="shared" ca="1" si="59"/>
        <v>0</v>
      </c>
      <c r="BL39" s="235">
        <f t="shared" ca="1" si="60"/>
        <v>0</v>
      </c>
      <c r="BM39" s="242">
        <f t="shared" ca="1" si="61"/>
        <v>0</v>
      </c>
      <c r="BN39" s="241">
        <f t="shared" ca="1" si="575"/>
        <v>1</v>
      </c>
      <c r="BO39" s="220">
        <f t="shared" ref="BO39:BO70" ca="1" si="603">IF($F39&gt;0,IF(BN$2&gt;0,PRODUCT(OFFSET(LT_AnnuityLifeTable,$F39,2,BN$2,1)),100%),0)</f>
        <v>0</v>
      </c>
      <c r="BP39" s="220">
        <f t="shared" ref="BP39:BP70" ca="1" si="604">IF(AND($G39&gt;0,SP_AnnySurvivor),IF(BN$2&gt;0,PRODUCT(OFFSET(LT_AnnuityLifeTable,$G39,5,BN$2,1)),100%),0)</f>
        <v>0</v>
      </c>
      <c r="BQ39" s="235">
        <f t="shared" ca="1" si="64"/>
        <v>0</v>
      </c>
      <c r="BR39" s="235">
        <f t="shared" ca="1" si="65"/>
        <v>0</v>
      </c>
      <c r="BS39" s="242">
        <f t="shared" ca="1" si="66"/>
        <v>0</v>
      </c>
      <c r="BT39" s="241">
        <f t="shared" ca="1" si="575"/>
        <v>1</v>
      </c>
      <c r="BU39" s="220">
        <f t="shared" ref="BU39:BU70" ca="1" si="605">IF($F39&gt;0,IF(BT$2&gt;0,PRODUCT(OFFSET(LT_AnnuityLifeTable,$F39,2,BT$2,1)),100%),0)</f>
        <v>0</v>
      </c>
      <c r="BV39" s="220">
        <f t="shared" ref="BV39:BV70" ca="1" si="606">IF(AND($G39&gt;0,SP_AnnySurvivor),IF(BT$2&gt;0,PRODUCT(OFFSET(LT_AnnuityLifeTable,$G39,5,BT$2,1)),100%),0)</f>
        <v>0</v>
      </c>
      <c r="BW39" s="235">
        <f t="shared" ca="1" si="69"/>
        <v>0</v>
      </c>
      <c r="BX39" s="235">
        <f t="shared" ca="1" si="70"/>
        <v>0</v>
      </c>
      <c r="BY39" s="242">
        <f t="shared" ca="1" si="71"/>
        <v>0</v>
      </c>
      <c r="BZ39" s="241">
        <f t="shared" ca="1" si="575"/>
        <v>1</v>
      </c>
      <c r="CA39" s="220">
        <f t="shared" ref="CA39:CA70" ca="1" si="607">IF($F39&gt;0,IF(BZ$2&gt;0,PRODUCT(OFFSET(LT_AnnuityLifeTable,$F39,2,BZ$2,1)),100%),0)</f>
        <v>0</v>
      </c>
      <c r="CB39" s="220">
        <f t="shared" ref="CB39:CB70" ca="1" si="608">IF(AND($G39&gt;0,SP_AnnySurvivor),IF(BZ$2&gt;0,PRODUCT(OFFSET(LT_AnnuityLifeTable,$G39,5,BZ$2,1)),100%),0)</f>
        <v>0</v>
      </c>
      <c r="CC39" s="235">
        <f t="shared" ca="1" si="74"/>
        <v>0</v>
      </c>
      <c r="CD39" s="235">
        <f t="shared" ca="1" si="75"/>
        <v>0</v>
      </c>
      <c r="CE39" s="242">
        <f t="shared" ca="1" si="76"/>
        <v>0</v>
      </c>
      <c r="CF39" s="241">
        <f t="shared" ca="1" si="575"/>
        <v>1</v>
      </c>
      <c r="CG39" s="220">
        <f t="shared" ref="CG39:CG70" ca="1" si="609">IF($F39&gt;0,IF(CF$2&gt;0,PRODUCT(OFFSET(LT_AnnuityLifeTable,$F39,2,CF$2,1)),100%),0)</f>
        <v>0</v>
      </c>
      <c r="CH39" s="220">
        <f t="shared" ref="CH39:CH70" ca="1" si="610">IF(AND($G39&gt;0,SP_AnnySurvivor),IF(CF$2&gt;0,PRODUCT(OFFSET(LT_AnnuityLifeTable,$G39,5,CF$2,1)),100%),0)</f>
        <v>0</v>
      </c>
      <c r="CI39" s="235">
        <f t="shared" ca="1" si="79"/>
        <v>0</v>
      </c>
      <c r="CJ39" s="235">
        <f t="shared" ca="1" si="80"/>
        <v>0</v>
      </c>
      <c r="CK39" s="242">
        <f t="shared" ca="1" si="81"/>
        <v>0</v>
      </c>
      <c r="CL39" s="241">
        <f t="shared" ca="1" si="575"/>
        <v>1</v>
      </c>
      <c r="CM39" s="220">
        <f t="shared" ref="CM39:CM70" ca="1" si="611">IF($F39&gt;0,IF(CL$2&gt;0,PRODUCT(OFFSET(LT_AnnuityLifeTable,$F39,2,CL$2,1)),100%),0)</f>
        <v>0</v>
      </c>
      <c r="CN39" s="220">
        <f t="shared" ref="CN39:CN70" ca="1" si="612">IF(AND($G39&gt;0,SP_AnnySurvivor),IF(CL$2&gt;0,PRODUCT(OFFSET(LT_AnnuityLifeTable,$G39,5,CL$2,1)),100%),0)</f>
        <v>0</v>
      </c>
      <c r="CO39" s="235">
        <f t="shared" ca="1" si="84"/>
        <v>0</v>
      </c>
      <c r="CP39" s="235">
        <f t="shared" ca="1" si="85"/>
        <v>0</v>
      </c>
      <c r="CQ39" s="242">
        <f t="shared" ca="1" si="86"/>
        <v>0</v>
      </c>
      <c r="CR39" s="241">
        <f t="shared" ca="1" si="575"/>
        <v>1</v>
      </c>
      <c r="CS39" s="220">
        <f t="shared" ref="CS39:CS70" ca="1" si="613">IF($F39&gt;0,IF(CR$2&gt;0,PRODUCT(OFFSET(LT_AnnuityLifeTable,$F39,2,CR$2,1)),100%),0)</f>
        <v>0</v>
      </c>
      <c r="CT39" s="220">
        <f t="shared" ref="CT39:CT70" ca="1" si="614">IF(AND($G39&gt;0,SP_AnnySurvivor),IF(CR$2&gt;0,PRODUCT(OFFSET(LT_AnnuityLifeTable,$G39,5,CR$2,1)),100%),0)</f>
        <v>0</v>
      </c>
      <c r="CU39" s="235">
        <f t="shared" ca="1" si="89"/>
        <v>0</v>
      </c>
      <c r="CV39" s="235">
        <f t="shared" ca="1" si="90"/>
        <v>0</v>
      </c>
      <c r="CW39" s="242">
        <f t="shared" ca="1" si="91"/>
        <v>0</v>
      </c>
      <c r="CX39" s="241">
        <f t="shared" ca="1" si="568"/>
        <v>1</v>
      </c>
      <c r="CY39" s="220">
        <f t="shared" ref="CY39:CY70" ca="1" si="615">IF($F39&gt;0,IF(CX$2&gt;0,PRODUCT(OFFSET(LT_AnnuityLifeTable,$F39,2,CX$2,1)),100%),0)</f>
        <v>0</v>
      </c>
      <c r="CZ39" s="220">
        <f t="shared" ref="CZ39:CZ70" ca="1" si="616">IF(AND($G39&gt;0,SP_AnnySurvivor),IF(CX$2&gt;0,PRODUCT(OFFSET(LT_AnnuityLifeTable,$G39,5,CX$2,1)),100%),0)</f>
        <v>0</v>
      </c>
      <c r="DA39" s="235">
        <f t="shared" ca="1" si="94"/>
        <v>0</v>
      </c>
      <c r="DB39" s="235">
        <f t="shared" ca="1" si="95"/>
        <v>0</v>
      </c>
      <c r="DC39" s="242">
        <f t="shared" ca="1" si="96"/>
        <v>0</v>
      </c>
      <c r="DD39" s="241">
        <f t="shared" ca="1" si="568"/>
        <v>1</v>
      </c>
      <c r="DE39" s="220">
        <f t="shared" ref="DE39:DE70" ca="1" si="617">IF($F39&gt;0,IF(DD$2&gt;0,PRODUCT(OFFSET(LT_AnnuityLifeTable,$F39,2,DD$2,1)),100%),0)</f>
        <v>0</v>
      </c>
      <c r="DF39" s="220">
        <f t="shared" ref="DF39:DF70" ca="1" si="618">IF(AND($G39&gt;0,SP_AnnySurvivor),IF(DD$2&gt;0,PRODUCT(OFFSET(LT_AnnuityLifeTable,$G39,5,DD$2,1)),100%),0)</f>
        <v>0</v>
      </c>
      <c r="DG39" s="235">
        <f t="shared" ca="1" si="99"/>
        <v>0</v>
      </c>
      <c r="DH39" s="235">
        <f t="shared" ca="1" si="100"/>
        <v>0</v>
      </c>
      <c r="DI39" s="242">
        <f t="shared" ca="1" si="101"/>
        <v>0</v>
      </c>
      <c r="DJ39" s="241">
        <f t="shared" ca="1" si="51"/>
        <v>1</v>
      </c>
      <c r="DK39" s="220">
        <f t="shared" ref="DK39:DK70" ca="1" si="619">IF($F39&gt;0,IF(DJ$2&gt;0,PRODUCT(OFFSET(LT_AnnuityLifeTable,$F39,2,DJ$2,1)),100%),0)</f>
        <v>0</v>
      </c>
      <c r="DL39" s="220">
        <f t="shared" ref="DL39:DL70" ca="1" si="620">IF(AND($G39&gt;0,SP_AnnySurvivor),IF(DJ$2&gt;0,PRODUCT(OFFSET(LT_AnnuityLifeTable,$G39,5,DJ$2,1)),100%),0)</f>
        <v>0</v>
      </c>
      <c r="DM39" s="235">
        <f t="shared" ca="1" si="104"/>
        <v>0</v>
      </c>
      <c r="DN39" s="235">
        <f t="shared" ca="1" si="105"/>
        <v>0</v>
      </c>
      <c r="DO39" s="242">
        <f t="shared" ca="1" si="106"/>
        <v>0</v>
      </c>
      <c r="DP39" s="241">
        <f t="shared" ca="1" si="569"/>
        <v>1</v>
      </c>
      <c r="DQ39" s="220">
        <f t="shared" ref="DQ39:DQ70" ca="1" si="621">IF($F39&gt;0,IF(DP$2&gt;0,PRODUCT(OFFSET(LT_AnnuityLifeTable,$F39,2,DP$2,1)),100%),0)</f>
        <v>0</v>
      </c>
      <c r="DR39" s="220">
        <f t="shared" ref="DR39:DR70" ca="1" si="622">IF(AND($G39&gt;0,SP_AnnySurvivor),IF(DP$2&gt;0,PRODUCT(OFFSET(LT_AnnuityLifeTable,$G39,5,DP$2,1)),100%),0)</f>
        <v>0</v>
      </c>
      <c r="DS39" s="235">
        <f t="shared" ca="1" si="110"/>
        <v>0</v>
      </c>
      <c r="DT39" s="235">
        <f t="shared" ca="1" si="111"/>
        <v>0</v>
      </c>
      <c r="DU39" s="242">
        <f t="shared" ca="1" si="112"/>
        <v>0</v>
      </c>
      <c r="DV39" s="241">
        <f t="shared" ca="1" si="569"/>
        <v>1</v>
      </c>
      <c r="DW39" s="220">
        <f t="shared" ref="DW39:DW70" ca="1" si="623">IF($F39&gt;0,IF(DV$2&gt;0,PRODUCT(OFFSET(LT_AnnuityLifeTable,$F39,2,DV$2,1)),100%),0)</f>
        <v>0</v>
      </c>
      <c r="DX39" s="220">
        <f t="shared" ref="DX39:DX70" ca="1" si="624">IF(AND($G39&gt;0,SP_AnnySurvivor),IF(DV$2&gt;0,PRODUCT(OFFSET(LT_AnnuityLifeTable,$G39,5,DV$2,1)),100%),0)</f>
        <v>0</v>
      </c>
      <c r="DY39" s="235">
        <f t="shared" ca="1" si="115"/>
        <v>0</v>
      </c>
      <c r="DZ39" s="235">
        <f t="shared" ca="1" si="116"/>
        <v>0</v>
      </c>
      <c r="EA39" s="242">
        <f t="shared" ca="1" si="117"/>
        <v>0</v>
      </c>
      <c r="EB39" s="241">
        <f t="shared" ca="1" si="569"/>
        <v>1</v>
      </c>
      <c r="EC39" s="220">
        <f t="shared" ref="EC39:EC70" ca="1" si="625">IF($F39&gt;0,IF(EB$2&gt;0,PRODUCT(OFFSET(LT_AnnuityLifeTable,$F39,2,EB$2,1)),100%),0)</f>
        <v>0</v>
      </c>
      <c r="ED39" s="220">
        <f t="shared" ref="ED39:ED70" ca="1" si="626">IF(AND($G39&gt;0,SP_AnnySurvivor),IF(EB$2&gt;0,PRODUCT(OFFSET(LT_AnnuityLifeTable,$G39,5,EB$2,1)),100%),0)</f>
        <v>0</v>
      </c>
      <c r="EE39" s="235">
        <f t="shared" ca="1" si="120"/>
        <v>0</v>
      </c>
      <c r="EF39" s="235">
        <f t="shared" ca="1" si="121"/>
        <v>0</v>
      </c>
      <c r="EG39" s="242">
        <f t="shared" ca="1" si="122"/>
        <v>0</v>
      </c>
      <c r="EH39" s="241">
        <f t="shared" ca="1" si="569"/>
        <v>1</v>
      </c>
      <c r="EI39" s="220">
        <f t="shared" ref="EI39:EI70" ca="1" si="627">IF($F39&gt;0,IF(EH$2&gt;0,PRODUCT(OFFSET(LT_AnnuityLifeTable,$F39,2,EH$2,1)),100%),0)</f>
        <v>0</v>
      </c>
      <c r="EJ39" s="220">
        <f t="shared" ref="EJ39:EJ70" ca="1" si="628">IF(AND($G39&gt;0,SP_AnnySurvivor),IF(EH$2&gt;0,PRODUCT(OFFSET(LT_AnnuityLifeTable,$G39,5,EH$2,1)),100%),0)</f>
        <v>0</v>
      </c>
      <c r="EK39" s="235">
        <f t="shared" ca="1" si="125"/>
        <v>0</v>
      </c>
      <c r="EL39" s="235">
        <f t="shared" ca="1" si="126"/>
        <v>0</v>
      </c>
      <c r="EM39" s="242">
        <f t="shared" ca="1" si="127"/>
        <v>0</v>
      </c>
      <c r="EN39" s="241">
        <f t="shared" ca="1" si="569"/>
        <v>1</v>
      </c>
      <c r="EO39" s="220">
        <f t="shared" ref="EO39:EO70" ca="1" si="629">IF($F39&gt;0,IF(EN$2&gt;0,PRODUCT(OFFSET(LT_AnnuityLifeTable,$F39,2,EN$2,1)),100%),0)</f>
        <v>0</v>
      </c>
      <c r="EP39" s="220">
        <f t="shared" ref="EP39:EP70" ca="1" si="630">IF(AND($G39&gt;0,SP_AnnySurvivor),IF(EN$2&gt;0,PRODUCT(OFFSET(LT_AnnuityLifeTable,$G39,5,EN$2,1)),100%),0)</f>
        <v>0</v>
      </c>
      <c r="EQ39" s="235">
        <f t="shared" ca="1" si="130"/>
        <v>0</v>
      </c>
      <c r="ER39" s="235">
        <f t="shared" ca="1" si="131"/>
        <v>0</v>
      </c>
      <c r="ES39" s="242">
        <f t="shared" ca="1" si="132"/>
        <v>0</v>
      </c>
      <c r="ET39" s="241">
        <f t="shared" ca="1" si="569"/>
        <v>1</v>
      </c>
      <c r="EU39" s="220">
        <f t="shared" ref="EU39:EU70" ca="1" si="631">IF($F39&gt;0,IF(ET$2&gt;0,PRODUCT(OFFSET(LT_AnnuityLifeTable,$F39,2,ET$2,1)),100%),0)</f>
        <v>0</v>
      </c>
      <c r="EV39" s="220">
        <f t="shared" ref="EV39:EV70" ca="1" si="632">IF(AND($G39&gt;0,SP_AnnySurvivor),IF(ET$2&gt;0,PRODUCT(OFFSET(LT_AnnuityLifeTable,$G39,5,ET$2,1)),100%),0)</f>
        <v>0</v>
      </c>
      <c r="EW39" s="235">
        <f t="shared" ca="1" si="135"/>
        <v>0</v>
      </c>
      <c r="EX39" s="235">
        <f t="shared" ca="1" si="136"/>
        <v>0</v>
      </c>
      <c r="EY39" s="242">
        <f t="shared" ca="1" si="137"/>
        <v>0</v>
      </c>
      <c r="EZ39" s="241">
        <f t="shared" ca="1" si="569"/>
        <v>1</v>
      </c>
      <c r="FA39" s="220">
        <f t="shared" ref="FA39:FA70" ca="1" si="633">IF($F39&gt;0,IF(EZ$2&gt;0,PRODUCT(OFFSET(LT_AnnuityLifeTable,$F39,2,EZ$2,1)),100%),0)</f>
        <v>0</v>
      </c>
      <c r="FB39" s="220">
        <f t="shared" ref="FB39:FB70" ca="1" si="634">IF(AND($G39&gt;0,SP_AnnySurvivor),IF(EZ$2&gt;0,PRODUCT(OFFSET(LT_AnnuityLifeTable,$G39,5,EZ$2,1)),100%),0)</f>
        <v>0</v>
      </c>
      <c r="FC39" s="235">
        <f t="shared" ca="1" si="140"/>
        <v>0</v>
      </c>
      <c r="FD39" s="235">
        <f t="shared" ca="1" si="141"/>
        <v>0</v>
      </c>
      <c r="FE39" s="242">
        <f t="shared" ca="1" si="142"/>
        <v>0</v>
      </c>
      <c r="FF39" s="241">
        <f t="shared" ca="1" si="569"/>
        <v>1</v>
      </c>
      <c r="FG39" s="220">
        <f t="shared" ref="FG39:FG70" ca="1" si="635">IF($F39&gt;0,IF(FF$2&gt;0,PRODUCT(OFFSET(LT_AnnuityLifeTable,$F39,2,FF$2,1)),100%),0)</f>
        <v>0</v>
      </c>
      <c r="FH39" s="220">
        <f t="shared" ref="FH39:FH70" ca="1" si="636">IF(AND($G39&gt;0,SP_AnnySurvivor),IF(FF$2&gt;0,PRODUCT(OFFSET(LT_AnnuityLifeTable,$G39,5,FF$2,1)),100%),0)</f>
        <v>0</v>
      </c>
      <c r="FI39" s="235">
        <f t="shared" ca="1" si="145"/>
        <v>0</v>
      </c>
      <c r="FJ39" s="235">
        <f t="shared" ca="1" si="146"/>
        <v>0</v>
      </c>
      <c r="FK39" s="242">
        <f t="shared" ca="1" si="147"/>
        <v>0</v>
      </c>
      <c r="FL39" s="241">
        <f t="shared" ca="1" si="569"/>
        <v>1</v>
      </c>
      <c r="FM39" s="220">
        <f t="shared" ref="FM39:FM70" ca="1" si="637">IF($F39&gt;0,IF(FL$2&gt;0,PRODUCT(OFFSET(LT_AnnuityLifeTable,$F39,2,FL$2,1)),100%),0)</f>
        <v>0</v>
      </c>
      <c r="FN39" s="220">
        <f t="shared" ref="FN39:FN70" ca="1" si="638">IF(AND($G39&gt;0,SP_AnnySurvivor),IF(FL$2&gt;0,PRODUCT(OFFSET(LT_AnnuityLifeTable,$G39,5,FL$2,1)),100%),0)</f>
        <v>0</v>
      </c>
      <c r="FO39" s="235">
        <f t="shared" ca="1" si="150"/>
        <v>0</v>
      </c>
      <c r="FP39" s="235">
        <f t="shared" ca="1" si="151"/>
        <v>0</v>
      </c>
      <c r="FQ39" s="242">
        <f t="shared" ca="1" si="152"/>
        <v>0</v>
      </c>
      <c r="FR39" s="241">
        <f t="shared" ca="1" si="569"/>
        <v>1</v>
      </c>
      <c r="FS39" s="220">
        <f t="shared" ref="FS39:FS70" ca="1" si="639">IF($F39&gt;0,IF(FR$2&gt;0,PRODUCT(OFFSET(LT_AnnuityLifeTable,$F39,2,FR$2,1)),100%),0)</f>
        <v>0</v>
      </c>
      <c r="FT39" s="220">
        <f t="shared" ref="FT39:FT70" ca="1" si="640">IF(AND($G39&gt;0,SP_AnnySurvivor),IF(FR$2&gt;0,PRODUCT(OFFSET(LT_AnnuityLifeTable,$G39,5,FR$2,1)),100%),0)</f>
        <v>0</v>
      </c>
      <c r="FU39" s="235">
        <f t="shared" ca="1" si="155"/>
        <v>0</v>
      </c>
      <c r="FV39" s="235">
        <f t="shared" ca="1" si="156"/>
        <v>0</v>
      </c>
      <c r="FW39" s="242">
        <f t="shared" ca="1" si="157"/>
        <v>0</v>
      </c>
      <c r="FX39" s="241">
        <f t="shared" ca="1" si="569"/>
        <v>1</v>
      </c>
      <c r="FY39" s="220">
        <f t="shared" ref="FY39:FY70" ca="1" si="641">IF($F39&gt;0,IF(FX$2&gt;0,PRODUCT(OFFSET(LT_AnnuityLifeTable,$F39,2,FX$2,1)),100%),0)</f>
        <v>0</v>
      </c>
      <c r="FZ39" s="220">
        <f t="shared" ref="FZ39:FZ70" ca="1" si="642">IF(AND($G39&gt;0,SP_AnnySurvivor),IF(FX$2&gt;0,PRODUCT(OFFSET(LT_AnnuityLifeTable,$G39,5,FX$2,1)),100%),0)</f>
        <v>0</v>
      </c>
      <c r="GA39" s="235">
        <f t="shared" ca="1" si="160"/>
        <v>0</v>
      </c>
      <c r="GB39" s="235">
        <f t="shared" ca="1" si="161"/>
        <v>0</v>
      </c>
      <c r="GC39" s="242">
        <f t="shared" ca="1" si="162"/>
        <v>0</v>
      </c>
      <c r="GD39" s="241">
        <f t="shared" ca="1" si="562"/>
        <v>1</v>
      </c>
      <c r="GE39" s="220">
        <f t="shared" ref="GE39:GE70" ca="1" si="643">IF($F39&gt;0,IF(GD$2&gt;0,PRODUCT(OFFSET(LT_AnnuityLifeTable,$F39,2,GD$2,1)),100%),0)</f>
        <v>0</v>
      </c>
      <c r="GF39" s="220">
        <f t="shared" ref="GF39:GF70" ca="1" si="644">IF(AND($G39&gt;0,SP_AnnySurvivor),IF(GD$2&gt;0,PRODUCT(OFFSET(LT_AnnuityLifeTable,$G39,5,GD$2,1)),100%),0)</f>
        <v>0</v>
      </c>
      <c r="GG39" s="235">
        <f t="shared" ca="1" si="166"/>
        <v>0</v>
      </c>
      <c r="GH39" s="235">
        <f t="shared" ca="1" si="167"/>
        <v>0</v>
      </c>
      <c r="GI39" s="242">
        <f t="shared" ca="1" si="168"/>
        <v>0</v>
      </c>
      <c r="GJ39" s="241">
        <f t="shared" ca="1" si="562"/>
        <v>1</v>
      </c>
      <c r="GK39" s="220">
        <f t="shared" ref="GK39:GK70" ca="1" si="645">IF($F39&gt;0,IF(GJ$2&gt;0,PRODUCT(OFFSET(LT_AnnuityLifeTable,$F39,2,GJ$2,1)),100%),0)</f>
        <v>0</v>
      </c>
      <c r="GL39" s="220">
        <f t="shared" ref="GL39:GL70" ca="1" si="646">IF(AND($G39&gt;0,SP_AnnySurvivor),IF(GJ$2&gt;0,PRODUCT(OFFSET(LT_AnnuityLifeTable,$G39,5,GJ$2,1)),100%),0)</f>
        <v>0</v>
      </c>
      <c r="GM39" s="235">
        <f t="shared" ca="1" si="171"/>
        <v>0</v>
      </c>
      <c r="GN39" s="235">
        <f t="shared" ca="1" si="172"/>
        <v>0</v>
      </c>
      <c r="GO39" s="242">
        <f t="shared" ca="1" si="173"/>
        <v>0</v>
      </c>
      <c r="GP39" s="241">
        <f t="shared" ca="1" si="570"/>
        <v>1</v>
      </c>
      <c r="GQ39" s="220">
        <f t="shared" ref="GQ39:GQ70" ca="1" si="647">IF($F39&gt;0,IF(GP$2&gt;0,PRODUCT(OFFSET(LT_AnnuityLifeTable,$F39,2,GP$2,1)),100%),0)</f>
        <v>0</v>
      </c>
      <c r="GR39" s="220">
        <f t="shared" ref="GR39:GR70" ca="1" si="648">IF(AND($G39&gt;0,SP_AnnySurvivor),IF(GP$2&gt;0,PRODUCT(OFFSET(LT_AnnuityLifeTable,$G39,5,GP$2,1)),100%),0)</f>
        <v>0</v>
      </c>
      <c r="GS39" s="235">
        <f t="shared" ca="1" si="176"/>
        <v>0</v>
      </c>
      <c r="GT39" s="235">
        <f t="shared" ca="1" si="177"/>
        <v>0</v>
      </c>
      <c r="GU39" s="242">
        <f t="shared" ca="1" si="178"/>
        <v>0</v>
      </c>
      <c r="GV39" s="241">
        <f t="shared" ca="1" si="570"/>
        <v>1</v>
      </c>
      <c r="GW39" s="220">
        <f t="shared" ref="GW39:GW70" ca="1" si="649">IF($F39&gt;0,IF(GV$2&gt;0,PRODUCT(OFFSET(LT_AnnuityLifeTable,$F39,2,GV$2,1)),100%),0)</f>
        <v>0</v>
      </c>
      <c r="GX39" s="220">
        <f t="shared" ref="GX39:GX70" ca="1" si="650">IF(AND($G39&gt;0,SP_AnnySurvivor),IF(GV$2&gt;0,PRODUCT(OFFSET(LT_AnnuityLifeTable,$G39,5,GV$2,1)),100%),0)</f>
        <v>0</v>
      </c>
      <c r="GY39" s="235">
        <f t="shared" ca="1" si="181"/>
        <v>0</v>
      </c>
      <c r="GZ39" s="235">
        <f t="shared" ca="1" si="182"/>
        <v>0</v>
      </c>
      <c r="HA39" s="242">
        <f t="shared" ca="1" si="183"/>
        <v>0</v>
      </c>
      <c r="HB39" s="241">
        <f t="shared" ca="1" si="570"/>
        <v>1</v>
      </c>
      <c r="HC39" s="220">
        <f t="shared" ref="HC39:HC70" ca="1" si="651">IF($F39&gt;0,IF(HB$2&gt;0,PRODUCT(OFFSET(LT_AnnuityLifeTable,$F39,2,HB$2,1)),100%),0)</f>
        <v>0</v>
      </c>
      <c r="HD39" s="220">
        <f t="shared" ref="HD39:HD70" ca="1" si="652">IF(AND($G39&gt;0,SP_AnnySurvivor),IF(HB$2&gt;0,PRODUCT(OFFSET(LT_AnnuityLifeTable,$G39,5,HB$2,1)),100%),0)</f>
        <v>0</v>
      </c>
      <c r="HE39" s="235">
        <f t="shared" ca="1" si="186"/>
        <v>0</v>
      </c>
      <c r="HF39" s="235">
        <f t="shared" ca="1" si="187"/>
        <v>0</v>
      </c>
      <c r="HG39" s="242">
        <f t="shared" ca="1" si="188"/>
        <v>0</v>
      </c>
      <c r="HH39" s="241">
        <f t="shared" ca="1" si="570"/>
        <v>1</v>
      </c>
      <c r="HI39" s="220">
        <f t="shared" ref="HI39:HI70" ca="1" si="653">IF($F39&gt;0,IF(HH$2&gt;0,PRODUCT(OFFSET(LT_AnnuityLifeTable,$F39,2,HH$2,1)),100%),0)</f>
        <v>0</v>
      </c>
      <c r="HJ39" s="220">
        <f t="shared" ref="HJ39:HJ70" ca="1" si="654">IF(AND($G39&gt;0,SP_AnnySurvivor),IF(HH$2&gt;0,PRODUCT(OFFSET(LT_AnnuityLifeTable,$G39,5,HH$2,1)),100%),0)</f>
        <v>0</v>
      </c>
      <c r="HK39" s="235">
        <f t="shared" ca="1" si="191"/>
        <v>0</v>
      </c>
      <c r="HL39" s="235">
        <f t="shared" ca="1" si="192"/>
        <v>0</v>
      </c>
      <c r="HM39" s="242">
        <f t="shared" ca="1" si="193"/>
        <v>0</v>
      </c>
      <c r="HN39" s="241">
        <f t="shared" ca="1" si="570"/>
        <v>1</v>
      </c>
      <c r="HO39" s="220">
        <f t="shared" ref="HO39:HO70" ca="1" si="655">IF($F39&gt;0,IF(HN$2&gt;0,PRODUCT(OFFSET(LT_AnnuityLifeTable,$F39,2,HN$2,1)),100%),0)</f>
        <v>0</v>
      </c>
      <c r="HP39" s="220">
        <f t="shared" ref="HP39:HP70" ca="1" si="656">IF(AND($G39&gt;0,SP_AnnySurvivor),IF(HN$2&gt;0,PRODUCT(OFFSET(LT_AnnuityLifeTable,$G39,5,HN$2,1)),100%),0)</f>
        <v>0</v>
      </c>
      <c r="HQ39" s="235">
        <f t="shared" ca="1" si="196"/>
        <v>0</v>
      </c>
      <c r="HR39" s="235">
        <f t="shared" ca="1" si="197"/>
        <v>0</v>
      </c>
      <c r="HS39" s="242">
        <f t="shared" ca="1" si="198"/>
        <v>0</v>
      </c>
      <c r="HT39" s="241">
        <f t="shared" ca="1" si="570"/>
        <v>1</v>
      </c>
      <c r="HU39" s="220">
        <f t="shared" ref="HU39:HU70" ca="1" si="657">IF($F39&gt;0,IF(HT$2&gt;0,PRODUCT(OFFSET(LT_AnnuityLifeTable,$F39,2,HT$2,1)),100%),0)</f>
        <v>0</v>
      </c>
      <c r="HV39" s="220">
        <f t="shared" ref="HV39:HV70" ca="1" si="658">IF(AND($G39&gt;0,SP_AnnySurvivor),IF(HT$2&gt;0,PRODUCT(OFFSET(LT_AnnuityLifeTable,$G39,5,HT$2,1)),100%),0)</f>
        <v>0</v>
      </c>
      <c r="HW39" s="235">
        <f t="shared" ca="1" si="201"/>
        <v>0</v>
      </c>
      <c r="HX39" s="235">
        <f t="shared" ca="1" si="202"/>
        <v>0</v>
      </c>
      <c r="HY39" s="242">
        <f t="shared" ca="1" si="203"/>
        <v>0</v>
      </c>
      <c r="HZ39" s="241">
        <f t="shared" ca="1" si="570"/>
        <v>1</v>
      </c>
      <c r="IA39" s="220">
        <f t="shared" ref="IA39:IA70" ca="1" si="659">IF($F39&gt;0,IF(HZ$2&gt;0,PRODUCT(OFFSET(LT_AnnuityLifeTable,$F39,2,HZ$2,1)),100%),0)</f>
        <v>0</v>
      </c>
      <c r="IB39" s="220">
        <f t="shared" ref="IB39:IB70" ca="1" si="660">IF(AND($G39&gt;0,SP_AnnySurvivor),IF(HZ$2&gt;0,PRODUCT(OFFSET(LT_AnnuityLifeTable,$G39,5,HZ$2,1)),100%),0)</f>
        <v>0</v>
      </c>
      <c r="IC39" s="235">
        <f t="shared" ca="1" si="206"/>
        <v>0</v>
      </c>
      <c r="ID39" s="235">
        <f t="shared" ca="1" si="207"/>
        <v>0</v>
      </c>
      <c r="IE39" s="242">
        <f t="shared" ca="1" si="208"/>
        <v>0</v>
      </c>
      <c r="IF39" s="241">
        <f t="shared" ca="1" si="570"/>
        <v>1</v>
      </c>
      <c r="IG39" s="220">
        <f t="shared" ref="IG39:IG70" ca="1" si="661">IF($F39&gt;0,IF(IF$2&gt;0,PRODUCT(OFFSET(LT_AnnuityLifeTable,$F39,2,IF$2,1)),100%),0)</f>
        <v>0</v>
      </c>
      <c r="IH39" s="220">
        <f t="shared" ref="IH39:IH70" ca="1" si="662">IF(AND($G39&gt;0,SP_AnnySurvivor),IF(IF$2&gt;0,PRODUCT(OFFSET(LT_AnnuityLifeTable,$G39,5,IF$2,1)),100%),0)</f>
        <v>0</v>
      </c>
      <c r="II39" s="235">
        <f t="shared" ca="1" si="211"/>
        <v>0</v>
      </c>
      <c r="IJ39" s="235">
        <f t="shared" ca="1" si="212"/>
        <v>0</v>
      </c>
      <c r="IK39" s="242">
        <f t="shared" ca="1" si="213"/>
        <v>0</v>
      </c>
      <c r="IL39" s="241">
        <f t="shared" ca="1" si="570"/>
        <v>1</v>
      </c>
      <c r="IM39" s="220">
        <f t="shared" ref="IM39:IM70" ca="1" si="663">IF($F39&gt;0,IF(IL$2&gt;0,PRODUCT(OFFSET(LT_AnnuityLifeTable,$F39,2,IL$2,1)),100%),0)</f>
        <v>0</v>
      </c>
      <c r="IN39" s="220">
        <f t="shared" ref="IN39:IN70" ca="1" si="664">IF(AND($G39&gt;0,SP_AnnySurvivor),IF(IL$2&gt;0,PRODUCT(OFFSET(LT_AnnuityLifeTable,$G39,5,IL$2,1)),100%),0)</f>
        <v>0</v>
      </c>
      <c r="IO39" s="235">
        <f t="shared" ca="1" si="216"/>
        <v>0</v>
      </c>
      <c r="IP39" s="235">
        <f t="shared" ca="1" si="217"/>
        <v>0</v>
      </c>
      <c r="IQ39" s="242">
        <f t="shared" ca="1" si="218"/>
        <v>0</v>
      </c>
      <c r="IR39" s="241">
        <f t="shared" ca="1" si="570"/>
        <v>1</v>
      </c>
      <c r="IS39" s="220">
        <f t="shared" ref="IS39:IS70" ca="1" si="665">IF($F39&gt;0,IF(IR$2&gt;0,PRODUCT(OFFSET(LT_AnnuityLifeTable,$F39,2,IR$2,1)),100%),0)</f>
        <v>0</v>
      </c>
      <c r="IT39" s="220">
        <f t="shared" ref="IT39:IT70" ca="1" si="666">IF(AND($G39&gt;0,SP_AnnySurvivor),IF(IR$2&gt;0,PRODUCT(OFFSET(LT_AnnuityLifeTable,$G39,5,IR$2,1)),100%),0)</f>
        <v>0</v>
      </c>
      <c r="IU39" s="235">
        <f t="shared" ca="1" si="222"/>
        <v>0</v>
      </c>
      <c r="IV39" s="235">
        <f t="shared" ca="1" si="223"/>
        <v>0</v>
      </c>
      <c r="IW39" s="242">
        <f t="shared" ca="1" si="224"/>
        <v>0</v>
      </c>
      <c r="IX39" s="241">
        <f t="shared" ca="1" si="570"/>
        <v>1</v>
      </c>
      <c r="IY39" s="220">
        <f t="shared" ref="IY39:IY70" ca="1" si="667">IF($F39&gt;0,IF(IX$2&gt;0,PRODUCT(OFFSET(LT_AnnuityLifeTable,$F39,2,IX$2,1)),100%),0)</f>
        <v>0</v>
      </c>
      <c r="IZ39" s="220">
        <f t="shared" ref="IZ39:IZ70" ca="1" si="668">IF(AND($G39&gt;0,SP_AnnySurvivor),IF(IX$2&gt;0,PRODUCT(OFFSET(LT_AnnuityLifeTable,$G39,5,IX$2,1)),100%),0)</f>
        <v>0</v>
      </c>
      <c r="JA39" s="235">
        <f t="shared" ca="1" si="227"/>
        <v>0</v>
      </c>
      <c r="JB39" s="235">
        <f t="shared" ca="1" si="228"/>
        <v>0</v>
      </c>
      <c r="JC39" s="242">
        <f t="shared" ca="1" si="229"/>
        <v>0</v>
      </c>
      <c r="JD39" s="241">
        <f t="shared" ca="1" si="563"/>
        <v>1</v>
      </c>
      <c r="JE39" s="220">
        <f t="shared" ref="JE39:JE70" ca="1" si="669">IF($F39&gt;0,IF(JD$2&gt;0,PRODUCT(OFFSET(LT_AnnuityLifeTable,$F39,2,JD$2,1)),100%),0)</f>
        <v>0</v>
      </c>
      <c r="JF39" s="220">
        <f t="shared" ref="JF39:JF70" ca="1" si="670">IF(AND($G39&gt;0,SP_AnnySurvivor),IF(JD$2&gt;0,PRODUCT(OFFSET(LT_AnnuityLifeTable,$G39,5,JD$2,1)),100%),0)</f>
        <v>0</v>
      </c>
      <c r="JG39" s="235">
        <f t="shared" ca="1" si="232"/>
        <v>0</v>
      </c>
      <c r="JH39" s="235">
        <f t="shared" ca="1" si="233"/>
        <v>0</v>
      </c>
      <c r="JI39" s="242">
        <f t="shared" ca="1" si="234"/>
        <v>0</v>
      </c>
      <c r="JJ39" s="241">
        <f t="shared" ca="1" si="563"/>
        <v>1</v>
      </c>
      <c r="JK39" s="220">
        <f t="shared" ref="JK39:JK70" ca="1" si="671">IF($F39&gt;0,IF(JJ$2&gt;0,PRODUCT(OFFSET(LT_AnnuityLifeTable,$F39,2,JJ$2,1)),100%),0)</f>
        <v>0</v>
      </c>
      <c r="JL39" s="220">
        <f t="shared" ref="JL39:JL70" ca="1" si="672">IF(AND($G39&gt;0,SP_AnnySurvivor),IF(JJ$2&gt;0,PRODUCT(OFFSET(LT_AnnuityLifeTable,$G39,5,JJ$2,1)),100%),0)</f>
        <v>0</v>
      </c>
      <c r="JM39" s="235">
        <f t="shared" ca="1" si="237"/>
        <v>0</v>
      </c>
      <c r="JN39" s="235">
        <f t="shared" ca="1" si="238"/>
        <v>0</v>
      </c>
      <c r="JO39" s="242">
        <f t="shared" ca="1" si="239"/>
        <v>0</v>
      </c>
      <c r="JP39" s="241">
        <f t="shared" ca="1" si="571"/>
        <v>1</v>
      </c>
      <c r="JQ39" s="220">
        <f t="shared" ref="JQ39:JQ70" ca="1" si="673">IF($F39&gt;0,IF(JP$2&gt;0,PRODUCT(OFFSET(LT_AnnuityLifeTable,$F39,2,JP$2,1)),100%),0)</f>
        <v>0</v>
      </c>
      <c r="JR39" s="220">
        <f t="shared" ref="JR39:JR70" ca="1" si="674">IF(AND($G39&gt;0,SP_AnnySurvivor),IF(JP$2&gt;0,PRODUCT(OFFSET(LT_AnnuityLifeTable,$G39,5,JP$2,1)),100%),0)</f>
        <v>0</v>
      </c>
      <c r="JS39" s="235">
        <f t="shared" ca="1" si="242"/>
        <v>0</v>
      </c>
      <c r="JT39" s="235">
        <f t="shared" ca="1" si="243"/>
        <v>0</v>
      </c>
      <c r="JU39" s="242">
        <f t="shared" ca="1" si="244"/>
        <v>0</v>
      </c>
      <c r="JV39" s="241">
        <f t="shared" ca="1" si="571"/>
        <v>1</v>
      </c>
      <c r="JW39" s="220">
        <f t="shared" ref="JW39:JW70" ca="1" si="675">IF($F39&gt;0,IF(JV$2&gt;0,PRODUCT(OFFSET(LT_AnnuityLifeTable,$F39,2,JV$2,1)),100%),0)</f>
        <v>0</v>
      </c>
      <c r="JX39" s="220">
        <f t="shared" ref="JX39:JX70" ca="1" si="676">IF(AND($G39&gt;0,SP_AnnySurvivor),IF(JV$2&gt;0,PRODUCT(OFFSET(LT_AnnuityLifeTable,$G39,5,JV$2,1)),100%),0)</f>
        <v>0</v>
      </c>
      <c r="JY39" s="235">
        <f t="shared" ca="1" si="247"/>
        <v>0</v>
      </c>
      <c r="JZ39" s="235">
        <f t="shared" ca="1" si="248"/>
        <v>0</v>
      </c>
      <c r="KA39" s="242">
        <f t="shared" ca="1" si="249"/>
        <v>0</v>
      </c>
      <c r="KB39" s="241">
        <f t="shared" ca="1" si="571"/>
        <v>1</v>
      </c>
      <c r="KC39" s="220">
        <f t="shared" ref="KC39:KC70" ca="1" si="677">IF($F39&gt;0,IF(KB$2&gt;0,PRODUCT(OFFSET(LT_AnnuityLifeTable,$F39,2,KB$2,1)),100%),0)</f>
        <v>0</v>
      </c>
      <c r="KD39" s="220">
        <f t="shared" ref="KD39:KD70" ca="1" si="678">IF(AND($G39&gt;0,SP_AnnySurvivor),IF(KB$2&gt;0,PRODUCT(OFFSET(LT_AnnuityLifeTable,$G39,5,KB$2,1)),100%),0)</f>
        <v>0</v>
      </c>
      <c r="KE39" s="235">
        <f t="shared" ca="1" si="252"/>
        <v>0</v>
      </c>
      <c r="KF39" s="235">
        <f t="shared" ca="1" si="253"/>
        <v>0</v>
      </c>
      <c r="KG39" s="242">
        <f t="shared" ca="1" si="254"/>
        <v>0</v>
      </c>
      <c r="KH39" s="241">
        <f t="shared" ca="1" si="571"/>
        <v>1</v>
      </c>
      <c r="KI39" s="220">
        <f t="shared" ref="KI39:KI70" ca="1" si="679">IF($F39&gt;0,IF(KH$2&gt;0,PRODUCT(OFFSET(LT_AnnuityLifeTable,$F39,2,KH$2,1)),100%),0)</f>
        <v>0</v>
      </c>
      <c r="KJ39" s="220">
        <f t="shared" ref="KJ39:KJ70" ca="1" si="680">IF(AND($G39&gt;0,SP_AnnySurvivor),IF(KH$2&gt;0,PRODUCT(OFFSET(LT_AnnuityLifeTable,$G39,5,KH$2,1)),100%),0)</f>
        <v>0</v>
      </c>
      <c r="KK39" s="235">
        <f t="shared" ca="1" si="257"/>
        <v>0</v>
      </c>
      <c r="KL39" s="235">
        <f t="shared" ca="1" si="258"/>
        <v>0</v>
      </c>
      <c r="KM39" s="242">
        <f t="shared" ca="1" si="259"/>
        <v>0</v>
      </c>
      <c r="KN39" s="241">
        <f t="shared" ca="1" si="571"/>
        <v>1</v>
      </c>
      <c r="KO39" s="220">
        <f t="shared" ref="KO39:KO70" ca="1" si="681">IF($F39&gt;0,IF(KN$2&gt;0,PRODUCT(OFFSET(LT_AnnuityLifeTable,$F39,2,KN$2,1)),100%),0)</f>
        <v>0</v>
      </c>
      <c r="KP39" s="220">
        <f t="shared" ref="KP39:KP70" ca="1" si="682">IF(AND($G39&gt;0,SP_AnnySurvivor),IF(KN$2&gt;0,PRODUCT(OFFSET(LT_AnnuityLifeTable,$G39,5,KN$2,1)),100%),0)</f>
        <v>0</v>
      </c>
      <c r="KQ39" s="235">
        <f t="shared" ca="1" si="262"/>
        <v>0</v>
      </c>
      <c r="KR39" s="235">
        <f t="shared" ca="1" si="263"/>
        <v>0</v>
      </c>
      <c r="KS39" s="242">
        <f t="shared" ca="1" si="264"/>
        <v>0</v>
      </c>
      <c r="KT39" s="241">
        <f t="shared" ca="1" si="571"/>
        <v>1</v>
      </c>
      <c r="KU39" s="220">
        <f t="shared" ref="KU39:KU70" ca="1" si="683">IF($F39&gt;0,IF(KT$2&gt;0,PRODUCT(OFFSET(LT_AnnuityLifeTable,$F39,2,KT$2,1)),100%),0)</f>
        <v>0</v>
      </c>
      <c r="KV39" s="220">
        <f t="shared" ref="KV39:KV70" ca="1" si="684">IF(AND($G39&gt;0,SP_AnnySurvivor),IF(KT$2&gt;0,PRODUCT(OFFSET(LT_AnnuityLifeTable,$G39,5,KT$2,1)),100%),0)</f>
        <v>0</v>
      </c>
      <c r="KW39" s="235">
        <f t="shared" ca="1" si="267"/>
        <v>0</v>
      </c>
      <c r="KX39" s="235">
        <f t="shared" ca="1" si="268"/>
        <v>0</v>
      </c>
      <c r="KY39" s="242">
        <f t="shared" ca="1" si="269"/>
        <v>0</v>
      </c>
      <c r="KZ39" s="241">
        <f t="shared" ca="1" si="571"/>
        <v>1</v>
      </c>
      <c r="LA39" s="220">
        <f t="shared" ref="LA39:LA70" ca="1" si="685">IF($F39&gt;0,IF(KZ$2&gt;0,PRODUCT(OFFSET(LT_AnnuityLifeTable,$F39,2,KZ$2,1)),100%),0)</f>
        <v>0</v>
      </c>
      <c r="LB39" s="220">
        <f t="shared" ref="LB39:LB70" ca="1" si="686">IF(AND($G39&gt;0,SP_AnnySurvivor),IF(KZ$2&gt;0,PRODUCT(OFFSET(LT_AnnuityLifeTable,$G39,5,KZ$2,1)),100%),0)</f>
        <v>0</v>
      </c>
      <c r="LC39" s="235">
        <f t="shared" ca="1" si="272"/>
        <v>0</v>
      </c>
      <c r="LD39" s="235">
        <f t="shared" ca="1" si="273"/>
        <v>0</v>
      </c>
      <c r="LE39" s="242">
        <f t="shared" ca="1" si="274"/>
        <v>0</v>
      </c>
      <c r="LF39" s="241">
        <f t="shared" ca="1" si="571"/>
        <v>1</v>
      </c>
      <c r="LG39" s="220">
        <f t="shared" ref="LG39:LG70" ca="1" si="687">IF($F39&gt;0,IF(LF$2&gt;0,PRODUCT(OFFSET(LT_AnnuityLifeTable,$F39,2,LF$2,1)),100%),0)</f>
        <v>0</v>
      </c>
      <c r="LH39" s="220">
        <f t="shared" ref="LH39:LH70" ca="1" si="688">IF(AND($G39&gt;0,SP_AnnySurvivor),IF(LF$2&gt;0,PRODUCT(OFFSET(LT_AnnuityLifeTable,$G39,5,LF$2,1)),100%),0)</f>
        <v>0</v>
      </c>
      <c r="LI39" s="235">
        <f t="shared" ca="1" si="278"/>
        <v>0</v>
      </c>
      <c r="LJ39" s="235">
        <f t="shared" ca="1" si="279"/>
        <v>0</v>
      </c>
      <c r="LK39" s="242">
        <f t="shared" ca="1" si="280"/>
        <v>0</v>
      </c>
      <c r="LL39" s="241">
        <f t="shared" ca="1" si="571"/>
        <v>1</v>
      </c>
      <c r="LM39" s="220">
        <f t="shared" ref="LM39:LM70" ca="1" si="689">IF($F39&gt;0,IF(LL$2&gt;0,PRODUCT(OFFSET(LT_AnnuityLifeTable,$F39,2,LL$2,1)),100%),0)</f>
        <v>0</v>
      </c>
      <c r="LN39" s="220">
        <f t="shared" ref="LN39:LN70" ca="1" si="690">IF(AND($G39&gt;0,SP_AnnySurvivor),IF(LL$2&gt;0,PRODUCT(OFFSET(LT_AnnuityLifeTable,$G39,5,LL$2,1)),100%),0)</f>
        <v>0</v>
      </c>
      <c r="LO39" s="235">
        <f t="shared" ca="1" si="283"/>
        <v>0</v>
      </c>
      <c r="LP39" s="235">
        <f t="shared" ca="1" si="284"/>
        <v>0</v>
      </c>
      <c r="LQ39" s="242">
        <f t="shared" ca="1" si="285"/>
        <v>0</v>
      </c>
      <c r="LR39" s="241">
        <f t="shared" ca="1" si="571"/>
        <v>1</v>
      </c>
      <c r="LS39" s="220">
        <f t="shared" ref="LS39:LS70" ca="1" si="691">IF($F39&gt;0,IF(LR$2&gt;0,PRODUCT(OFFSET(LT_AnnuityLifeTable,$F39,2,LR$2,1)),100%),0)</f>
        <v>0</v>
      </c>
      <c r="LT39" s="220">
        <f t="shared" ref="LT39:LT70" ca="1" si="692">IF(AND($G39&gt;0,SP_AnnySurvivor),IF(LR$2&gt;0,PRODUCT(OFFSET(LT_AnnuityLifeTable,$G39,5,LR$2,1)),100%),0)</f>
        <v>0</v>
      </c>
      <c r="LU39" s="235">
        <f t="shared" ca="1" si="288"/>
        <v>0</v>
      </c>
      <c r="LV39" s="235">
        <f t="shared" ca="1" si="289"/>
        <v>0</v>
      </c>
      <c r="LW39" s="242">
        <f t="shared" ca="1" si="290"/>
        <v>0</v>
      </c>
      <c r="LX39" s="241">
        <f t="shared" ca="1" si="571"/>
        <v>1</v>
      </c>
      <c r="LY39" s="220">
        <f t="shared" ref="LY39:LY70" ca="1" si="693">IF($F39&gt;0,IF(LX$2&gt;0,PRODUCT(OFFSET(LT_AnnuityLifeTable,$F39,2,LX$2,1)),100%),0)</f>
        <v>0</v>
      </c>
      <c r="LZ39" s="220">
        <f t="shared" ref="LZ39:LZ70" ca="1" si="694">IF(AND($G39&gt;0,SP_AnnySurvivor),IF(LX$2&gt;0,PRODUCT(OFFSET(LT_AnnuityLifeTable,$G39,5,LX$2,1)),100%),0)</f>
        <v>0</v>
      </c>
      <c r="MA39" s="235">
        <f t="shared" ca="1" si="293"/>
        <v>0</v>
      </c>
      <c r="MB39" s="235">
        <f t="shared" ca="1" si="294"/>
        <v>0</v>
      </c>
      <c r="MC39" s="242">
        <f t="shared" ca="1" si="295"/>
        <v>0</v>
      </c>
      <c r="MD39" s="241">
        <f t="shared" ca="1" si="564"/>
        <v>1</v>
      </c>
      <c r="ME39" s="220">
        <f t="shared" ref="ME39:ME70" ca="1" si="695">IF($F39&gt;0,IF(MD$2&gt;0,PRODUCT(OFFSET(LT_AnnuityLifeTable,$F39,2,MD$2,1)),100%),0)</f>
        <v>0</v>
      </c>
      <c r="MF39" s="220">
        <f t="shared" ref="MF39:MF70" ca="1" si="696">IF(AND($G39&gt;0,SP_AnnySurvivor),IF(MD$2&gt;0,PRODUCT(OFFSET(LT_AnnuityLifeTable,$G39,5,MD$2,1)),100%),0)</f>
        <v>0</v>
      </c>
      <c r="MG39" s="235">
        <f t="shared" ca="1" si="298"/>
        <v>0</v>
      </c>
      <c r="MH39" s="235">
        <f t="shared" ca="1" si="299"/>
        <v>0</v>
      </c>
      <c r="MI39" s="242">
        <f t="shared" ca="1" si="300"/>
        <v>0</v>
      </c>
      <c r="MJ39" s="241">
        <f t="shared" ca="1" si="564"/>
        <v>1</v>
      </c>
      <c r="MK39" s="220">
        <f t="shared" ref="MK39:MK70" ca="1" si="697">IF($F39&gt;0,IF(MJ$2&gt;0,PRODUCT(OFFSET(LT_AnnuityLifeTable,$F39,2,MJ$2,1)),100%),0)</f>
        <v>0</v>
      </c>
      <c r="ML39" s="220">
        <f t="shared" ref="ML39:ML70" ca="1" si="698">IF(AND($G39&gt;0,SP_AnnySurvivor),IF(MJ$2&gt;0,PRODUCT(OFFSET(LT_AnnuityLifeTable,$G39,5,MJ$2,1)),100%),0)</f>
        <v>0</v>
      </c>
      <c r="MM39" s="235">
        <f t="shared" ca="1" si="303"/>
        <v>0</v>
      </c>
      <c r="MN39" s="235">
        <f t="shared" ca="1" si="304"/>
        <v>0</v>
      </c>
      <c r="MO39" s="242">
        <f t="shared" ca="1" si="305"/>
        <v>0</v>
      </c>
      <c r="MP39" s="241">
        <f t="shared" ca="1" si="572"/>
        <v>1</v>
      </c>
      <c r="MQ39" s="220">
        <f t="shared" ref="MQ39:MQ70" ca="1" si="699">IF($F39&gt;0,IF(MP$2&gt;0,PRODUCT(OFFSET(LT_AnnuityLifeTable,$F39,2,MP$2,1)),100%),0)</f>
        <v>0</v>
      </c>
      <c r="MR39" s="220">
        <f t="shared" ref="MR39:MR70" ca="1" si="700">IF(AND($G39&gt;0,SP_AnnySurvivor),IF(MP$2&gt;0,PRODUCT(OFFSET(LT_AnnuityLifeTable,$G39,5,MP$2,1)),100%),0)</f>
        <v>0</v>
      </c>
      <c r="MS39" s="235">
        <f t="shared" ca="1" si="308"/>
        <v>0</v>
      </c>
      <c r="MT39" s="235">
        <f t="shared" ca="1" si="309"/>
        <v>0</v>
      </c>
      <c r="MU39" s="242">
        <f t="shared" ca="1" si="310"/>
        <v>0</v>
      </c>
      <c r="MV39" s="241">
        <f t="shared" ca="1" si="572"/>
        <v>1</v>
      </c>
      <c r="MW39" s="220">
        <f t="shared" ref="MW39:MW70" ca="1" si="701">IF($F39&gt;0,IF(MV$2&gt;0,PRODUCT(OFFSET(LT_AnnuityLifeTable,$F39,2,MV$2,1)),100%),0)</f>
        <v>0</v>
      </c>
      <c r="MX39" s="220">
        <f t="shared" ref="MX39:MX70" ca="1" si="702">IF(AND($G39&gt;0,SP_AnnySurvivor),IF(MV$2&gt;0,PRODUCT(OFFSET(LT_AnnuityLifeTable,$G39,5,MV$2,1)),100%),0)</f>
        <v>0</v>
      </c>
      <c r="MY39" s="235">
        <f t="shared" ca="1" si="313"/>
        <v>0</v>
      </c>
      <c r="MZ39" s="235">
        <f t="shared" ca="1" si="314"/>
        <v>0</v>
      </c>
      <c r="NA39" s="242">
        <f t="shared" ca="1" si="315"/>
        <v>0</v>
      </c>
      <c r="NB39" s="241">
        <f t="shared" ca="1" si="572"/>
        <v>1</v>
      </c>
      <c r="NC39" s="220">
        <f t="shared" ref="NC39:NC70" ca="1" si="703">IF($F39&gt;0,IF(NB$2&gt;0,PRODUCT(OFFSET(LT_AnnuityLifeTable,$F39,2,NB$2,1)),100%),0)</f>
        <v>0</v>
      </c>
      <c r="ND39" s="220">
        <f t="shared" ref="ND39:ND70" ca="1" si="704">IF(AND($G39&gt;0,SP_AnnySurvivor),IF(NB$2&gt;0,PRODUCT(OFFSET(LT_AnnuityLifeTable,$G39,5,NB$2,1)),100%),0)</f>
        <v>0</v>
      </c>
      <c r="NE39" s="235">
        <f t="shared" ca="1" si="318"/>
        <v>0</v>
      </c>
      <c r="NF39" s="235">
        <f t="shared" ca="1" si="319"/>
        <v>0</v>
      </c>
      <c r="NG39" s="242">
        <f t="shared" ca="1" si="320"/>
        <v>0</v>
      </c>
      <c r="NH39" s="241">
        <f t="shared" ca="1" si="572"/>
        <v>1</v>
      </c>
      <c r="NI39" s="220">
        <f t="shared" ref="NI39:NI70" ca="1" si="705">IF($F39&gt;0,IF(NH$2&gt;0,PRODUCT(OFFSET(LT_AnnuityLifeTable,$F39,2,NH$2,1)),100%),0)</f>
        <v>0</v>
      </c>
      <c r="NJ39" s="220">
        <f t="shared" ref="NJ39:NJ70" ca="1" si="706">IF(AND($G39&gt;0,SP_AnnySurvivor),IF(NH$2&gt;0,PRODUCT(OFFSET(LT_AnnuityLifeTable,$G39,5,NH$2,1)),100%),0)</f>
        <v>0</v>
      </c>
      <c r="NK39" s="235">
        <f t="shared" ca="1" si="323"/>
        <v>0</v>
      </c>
      <c r="NL39" s="235">
        <f t="shared" ca="1" si="324"/>
        <v>0</v>
      </c>
      <c r="NM39" s="242">
        <f t="shared" ca="1" si="325"/>
        <v>0</v>
      </c>
      <c r="NN39" s="241">
        <f t="shared" ca="1" si="572"/>
        <v>1</v>
      </c>
      <c r="NO39" s="220">
        <f t="shared" ref="NO39:NO70" ca="1" si="707">IF($F39&gt;0,IF(NN$2&gt;0,PRODUCT(OFFSET(LT_AnnuityLifeTable,$F39,2,NN$2,1)),100%),0)</f>
        <v>0</v>
      </c>
      <c r="NP39" s="220">
        <f t="shared" ref="NP39:NP70" ca="1" si="708">IF(AND($G39&gt;0,SP_AnnySurvivor),IF(NN$2&gt;0,PRODUCT(OFFSET(LT_AnnuityLifeTable,$G39,5,NN$2,1)),100%),0)</f>
        <v>0</v>
      </c>
      <c r="NQ39" s="235">
        <f t="shared" ca="1" si="328"/>
        <v>0</v>
      </c>
      <c r="NR39" s="235">
        <f t="shared" ca="1" si="329"/>
        <v>0</v>
      </c>
      <c r="NS39" s="242">
        <f t="shared" ca="1" si="330"/>
        <v>0</v>
      </c>
      <c r="NT39" s="241">
        <f t="shared" ca="1" si="572"/>
        <v>1</v>
      </c>
      <c r="NU39" s="220">
        <f t="shared" ref="NU39:NU70" ca="1" si="709">IF($F39&gt;0,IF(NT$2&gt;0,PRODUCT(OFFSET(LT_AnnuityLifeTable,$F39,2,NT$2,1)),100%),0)</f>
        <v>0</v>
      </c>
      <c r="NV39" s="220">
        <f t="shared" ref="NV39:NV70" ca="1" si="710">IF(AND($G39&gt;0,SP_AnnySurvivor),IF(NT$2&gt;0,PRODUCT(OFFSET(LT_AnnuityLifeTable,$G39,5,NT$2,1)),100%),0)</f>
        <v>0</v>
      </c>
      <c r="NW39" s="235">
        <f t="shared" ca="1" si="334"/>
        <v>0</v>
      </c>
      <c r="NX39" s="235">
        <f t="shared" ca="1" si="335"/>
        <v>0</v>
      </c>
      <c r="NY39" s="242">
        <f t="shared" ca="1" si="336"/>
        <v>0</v>
      </c>
      <c r="NZ39" s="241">
        <f t="shared" ca="1" si="572"/>
        <v>1</v>
      </c>
      <c r="OA39" s="220">
        <f t="shared" ref="OA39:OA70" ca="1" si="711">IF($F39&gt;0,IF(NZ$2&gt;0,PRODUCT(OFFSET(LT_AnnuityLifeTable,$F39,2,NZ$2,1)),100%),0)</f>
        <v>0</v>
      </c>
      <c r="OB39" s="220">
        <f t="shared" ref="OB39:OB70" ca="1" si="712">IF(AND($G39&gt;0,SP_AnnySurvivor),IF(NZ$2&gt;0,PRODUCT(OFFSET(LT_AnnuityLifeTable,$G39,5,NZ$2,1)),100%),0)</f>
        <v>0</v>
      </c>
      <c r="OC39" s="235">
        <f t="shared" ca="1" si="339"/>
        <v>0</v>
      </c>
      <c r="OD39" s="235">
        <f t="shared" ca="1" si="340"/>
        <v>0</v>
      </c>
      <c r="OE39" s="242">
        <f t="shared" ca="1" si="341"/>
        <v>0</v>
      </c>
      <c r="OF39" s="241">
        <f t="shared" ca="1" si="572"/>
        <v>1</v>
      </c>
      <c r="OG39" s="220">
        <f t="shared" ref="OG39:OG70" ca="1" si="713">IF($F39&gt;0,IF(OF$2&gt;0,PRODUCT(OFFSET(LT_AnnuityLifeTable,$F39,2,OF$2,1)),100%),0)</f>
        <v>0</v>
      </c>
      <c r="OH39" s="220">
        <f t="shared" ref="OH39:OH70" ca="1" si="714">IF(AND($G39&gt;0,SP_AnnySurvivor),IF(OF$2&gt;0,PRODUCT(OFFSET(LT_AnnuityLifeTable,$G39,5,OF$2,1)),100%),0)</f>
        <v>0</v>
      </c>
      <c r="OI39" s="235">
        <f t="shared" ca="1" si="344"/>
        <v>0</v>
      </c>
      <c r="OJ39" s="235">
        <f t="shared" ca="1" si="345"/>
        <v>0</v>
      </c>
      <c r="OK39" s="242">
        <f t="shared" ca="1" si="346"/>
        <v>0</v>
      </c>
      <c r="OL39" s="241">
        <f t="shared" ca="1" si="572"/>
        <v>1</v>
      </c>
      <c r="OM39" s="220">
        <f t="shared" ref="OM39:OM70" ca="1" si="715">IF($F39&gt;0,IF(OL$2&gt;0,PRODUCT(OFFSET(LT_AnnuityLifeTable,$F39,2,OL$2,1)),100%),0)</f>
        <v>0</v>
      </c>
      <c r="ON39" s="220">
        <f t="shared" ref="ON39:ON70" ca="1" si="716">IF(AND($G39&gt;0,SP_AnnySurvivor),IF(OL$2&gt;0,PRODUCT(OFFSET(LT_AnnuityLifeTable,$G39,5,OL$2,1)),100%),0)</f>
        <v>0</v>
      </c>
      <c r="OO39" s="235">
        <f t="shared" ca="1" si="349"/>
        <v>0</v>
      </c>
      <c r="OP39" s="235">
        <f t="shared" ca="1" si="350"/>
        <v>0</v>
      </c>
      <c r="OQ39" s="242">
        <f t="shared" ca="1" si="351"/>
        <v>0</v>
      </c>
      <c r="OR39" s="241">
        <f t="shared" ca="1" si="572"/>
        <v>1</v>
      </c>
      <c r="OS39" s="220">
        <f t="shared" ref="OS39:OS70" ca="1" si="717">IF($F39&gt;0,IF(OR$2&gt;0,PRODUCT(OFFSET(LT_AnnuityLifeTable,$F39,2,OR$2,1)),100%),0)</f>
        <v>0</v>
      </c>
      <c r="OT39" s="220">
        <f t="shared" ref="OT39:OT70" ca="1" si="718">IF(AND($G39&gt;0,SP_AnnySurvivor),IF(OR$2&gt;0,PRODUCT(OFFSET(LT_AnnuityLifeTable,$G39,5,OR$2,1)),100%),0)</f>
        <v>0</v>
      </c>
      <c r="OU39" s="235">
        <f t="shared" ca="1" si="354"/>
        <v>0</v>
      </c>
      <c r="OV39" s="235">
        <f t="shared" ca="1" si="355"/>
        <v>0</v>
      </c>
      <c r="OW39" s="242">
        <f t="shared" ca="1" si="356"/>
        <v>0</v>
      </c>
      <c r="OX39" s="241">
        <f t="shared" ca="1" si="572"/>
        <v>1</v>
      </c>
      <c r="OY39" s="220">
        <f t="shared" ref="OY39:OY70" ca="1" si="719">IF($F39&gt;0,IF(OX$2&gt;0,PRODUCT(OFFSET(LT_AnnuityLifeTable,$F39,2,OX$2,1)),100%),0)</f>
        <v>0</v>
      </c>
      <c r="OZ39" s="220">
        <f t="shared" ref="OZ39:OZ70" ca="1" si="720">IF(AND($G39&gt;0,SP_AnnySurvivor),IF(OX$2&gt;0,PRODUCT(OFFSET(LT_AnnuityLifeTable,$G39,5,OX$2,1)),100%),0)</f>
        <v>0</v>
      </c>
      <c r="PA39" s="235">
        <f t="shared" ca="1" si="359"/>
        <v>0</v>
      </c>
      <c r="PB39" s="235">
        <f t="shared" ca="1" si="360"/>
        <v>0</v>
      </c>
      <c r="PC39" s="242">
        <f t="shared" ca="1" si="361"/>
        <v>0</v>
      </c>
      <c r="PD39" s="241">
        <f t="shared" ca="1" si="565"/>
        <v>1</v>
      </c>
      <c r="PE39" s="220">
        <f t="shared" ref="PE39:PE70" ca="1" si="721">IF($F39&gt;0,IF(PD$2&gt;0,PRODUCT(OFFSET(LT_AnnuityLifeTable,$F39,2,PD$2,1)),100%),0)</f>
        <v>0</v>
      </c>
      <c r="PF39" s="220">
        <f t="shared" ref="PF39:PF70" ca="1" si="722">IF(AND($G39&gt;0,SP_AnnySurvivor),IF(PD$2&gt;0,PRODUCT(OFFSET(LT_AnnuityLifeTable,$G39,5,PD$2,1)),100%),0)</f>
        <v>0</v>
      </c>
      <c r="PG39" s="235">
        <f t="shared" ca="1" si="364"/>
        <v>0</v>
      </c>
      <c r="PH39" s="235">
        <f t="shared" ca="1" si="365"/>
        <v>0</v>
      </c>
      <c r="PI39" s="242">
        <f t="shared" ca="1" si="366"/>
        <v>0</v>
      </c>
      <c r="PJ39" s="241">
        <f t="shared" ca="1" si="565"/>
        <v>1</v>
      </c>
      <c r="PK39" s="220">
        <f t="shared" ref="PK39:PK70" ca="1" si="723">IF($F39&gt;0,IF(PJ$2&gt;0,PRODUCT(OFFSET(LT_AnnuityLifeTable,$F39,2,PJ$2,1)),100%),0)</f>
        <v>0</v>
      </c>
      <c r="PL39" s="220">
        <f t="shared" ref="PL39:PL70" ca="1" si="724">IF(AND($G39&gt;0,SP_AnnySurvivor),IF(PJ$2&gt;0,PRODUCT(OFFSET(LT_AnnuityLifeTable,$G39,5,PJ$2,1)),100%),0)</f>
        <v>0</v>
      </c>
      <c r="PM39" s="235">
        <f t="shared" ca="1" si="369"/>
        <v>0</v>
      </c>
      <c r="PN39" s="235">
        <f t="shared" ca="1" si="370"/>
        <v>0</v>
      </c>
      <c r="PO39" s="242">
        <f t="shared" ca="1" si="371"/>
        <v>0</v>
      </c>
      <c r="PP39" s="241">
        <f t="shared" ca="1" si="573"/>
        <v>1</v>
      </c>
      <c r="PQ39" s="220">
        <f t="shared" ref="PQ39:PQ70" ca="1" si="725">IF($F39&gt;0,IF(PP$2&gt;0,PRODUCT(OFFSET(LT_AnnuityLifeTable,$F39,2,PP$2,1)),100%),0)</f>
        <v>0</v>
      </c>
      <c r="PR39" s="220">
        <f t="shared" ref="PR39:PR70" ca="1" si="726">IF(AND($G39&gt;0,SP_AnnySurvivor),IF(PP$2&gt;0,PRODUCT(OFFSET(LT_AnnuityLifeTable,$G39,5,PP$2,1)),100%),0)</f>
        <v>0</v>
      </c>
      <c r="PS39" s="235">
        <f t="shared" ca="1" si="374"/>
        <v>0</v>
      </c>
      <c r="PT39" s="235">
        <f t="shared" ca="1" si="375"/>
        <v>0</v>
      </c>
      <c r="PU39" s="242">
        <f t="shared" ca="1" si="376"/>
        <v>0</v>
      </c>
      <c r="PV39" s="241">
        <f t="shared" ca="1" si="573"/>
        <v>1</v>
      </c>
      <c r="PW39" s="220">
        <f t="shared" ref="PW39:PW70" ca="1" si="727">IF($F39&gt;0,IF(PV$2&gt;0,PRODUCT(OFFSET(LT_AnnuityLifeTable,$F39,2,PV$2,1)),100%),0)</f>
        <v>0</v>
      </c>
      <c r="PX39" s="220">
        <f t="shared" ref="PX39:PX70" ca="1" si="728">IF(AND($G39&gt;0,SP_AnnySurvivor),IF(PV$2&gt;0,PRODUCT(OFFSET(LT_AnnuityLifeTable,$G39,5,PV$2,1)),100%),0)</f>
        <v>0</v>
      </c>
      <c r="PY39" s="235">
        <f t="shared" ca="1" si="379"/>
        <v>0</v>
      </c>
      <c r="PZ39" s="235">
        <f t="shared" ca="1" si="380"/>
        <v>0</v>
      </c>
      <c r="QA39" s="242">
        <f t="shared" ca="1" si="381"/>
        <v>0</v>
      </c>
      <c r="QB39" s="241">
        <f t="shared" ca="1" si="573"/>
        <v>1</v>
      </c>
      <c r="QC39" s="220">
        <f t="shared" ref="QC39:QC70" ca="1" si="729">IF($F39&gt;0,IF(QB$2&gt;0,PRODUCT(OFFSET(LT_AnnuityLifeTable,$F39,2,QB$2,1)),100%),0)</f>
        <v>0</v>
      </c>
      <c r="QD39" s="220">
        <f t="shared" ref="QD39:QD70" ca="1" si="730">IF(AND($G39&gt;0,SP_AnnySurvivor),IF(QB$2&gt;0,PRODUCT(OFFSET(LT_AnnuityLifeTable,$G39,5,QB$2,1)),100%),0)</f>
        <v>0</v>
      </c>
      <c r="QE39" s="235">
        <f t="shared" ca="1" si="384"/>
        <v>0</v>
      </c>
      <c r="QF39" s="235">
        <f t="shared" ca="1" si="385"/>
        <v>0</v>
      </c>
      <c r="QG39" s="242">
        <f t="shared" ca="1" si="386"/>
        <v>0</v>
      </c>
      <c r="QH39" s="241">
        <f t="shared" ca="1" si="573"/>
        <v>1</v>
      </c>
      <c r="QI39" s="220">
        <f t="shared" ref="QI39:QI70" ca="1" si="731">IF($F39&gt;0,IF(QH$2&gt;0,PRODUCT(OFFSET(LT_AnnuityLifeTable,$F39,2,QH$2,1)),100%),0)</f>
        <v>0</v>
      </c>
      <c r="QJ39" s="220">
        <f t="shared" ref="QJ39:QJ70" ca="1" si="732">IF(AND($G39&gt;0,SP_AnnySurvivor),IF(QH$2&gt;0,PRODUCT(OFFSET(LT_AnnuityLifeTable,$G39,5,QH$2,1)),100%),0)</f>
        <v>0</v>
      </c>
      <c r="QK39" s="235">
        <f t="shared" ca="1" si="390"/>
        <v>0</v>
      </c>
      <c r="QL39" s="235">
        <f t="shared" ca="1" si="391"/>
        <v>0</v>
      </c>
      <c r="QM39" s="242">
        <f t="shared" ca="1" si="392"/>
        <v>0</v>
      </c>
      <c r="QN39" s="241">
        <f t="shared" ca="1" si="573"/>
        <v>1</v>
      </c>
      <c r="QO39" s="220">
        <f t="shared" ref="QO39:QO70" ca="1" si="733">IF($F39&gt;0,IF(QN$2&gt;0,PRODUCT(OFFSET(LT_AnnuityLifeTable,$F39,2,QN$2,1)),100%),0)</f>
        <v>0</v>
      </c>
      <c r="QP39" s="220">
        <f t="shared" ref="QP39:QP70" ca="1" si="734">IF(AND($G39&gt;0,SP_AnnySurvivor),IF(QN$2&gt;0,PRODUCT(OFFSET(LT_AnnuityLifeTable,$G39,5,QN$2,1)),100%),0)</f>
        <v>0</v>
      </c>
      <c r="QQ39" s="235">
        <f t="shared" ca="1" si="395"/>
        <v>0</v>
      </c>
      <c r="QR39" s="235">
        <f t="shared" ca="1" si="396"/>
        <v>0</v>
      </c>
      <c r="QS39" s="242">
        <f t="shared" ca="1" si="397"/>
        <v>0</v>
      </c>
      <c r="QT39" s="241">
        <f t="shared" ca="1" si="573"/>
        <v>1</v>
      </c>
      <c r="QU39" s="220">
        <f t="shared" ref="QU39:QU70" ca="1" si="735">IF($F39&gt;0,IF(QT$2&gt;0,PRODUCT(OFFSET(LT_AnnuityLifeTable,$F39,2,QT$2,1)),100%),0)</f>
        <v>0</v>
      </c>
      <c r="QV39" s="220">
        <f t="shared" ref="QV39:QV70" ca="1" si="736">IF(AND($G39&gt;0,SP_AnnySurvivor),IF(QT$2&gt;0,PRODUCT(OFFSET(LT_AnnuityLifeTable,$G39,5,QT$2,1)),100%),0)</f>
        <v>0</v>
      </c>
      <c r="QW39" s="235">
        <f t="shared" ca="1" si="400"/>
        <v>0</v>
      </c>
      <c r="QX39" s="235">
        <f t="shared" ca="1" si="401"/>
        <v>0</v>
      </c>
      <c r="QY39" s="242">
        <f t="shared" ca="1" si="402"/>
        <v>0</v>
      </c>
      <c r="QZ39" s="241">
        <f t="shared" ca="1" si="573"/>
        <v>1</v>
      </c>
      <c r="RA39" s="220">
        <f t="shared" ref="RA39:RA70" ca="1" si="737">IF($F39&gt;0,IF(QZ$2&gt;0,PRODUCT(OFFSET(LT_AnnuityLifeTable,$F39,2,QZ$2,1)),100%),0)</f>
        <v>0</v>
      </c>
      <c r="RB39" s="220">
        <f t="shared" ref="RB39:RB70" ca="1" si="738">IF(AND($G39&gt;0,SP_AnnySurvivor),IF(QZ$2&gt;0,PRODUCT(OFFSET(LT_AnnuityLifeTable,$G39,5,QZ$2,1)),100%),0)</f>
        <v>0</v>
      </c>
      <c r="RC39" s="235">
        <f t="shared" ca="1" si="405"/>
        <v>0</v>
      </c>
      <c r="RD39" s="235">
        <f t="shared" ca="1" si="406"/>
        <v>0</v>
      </c>
      <c r="RE39" s="242">
        <f t="shared" ca="1" si="407"/>
        <v>0</v>
      </c>
      <c r="RF39" s="241">
        <f t="shared" ca="1" si="573"/>
        <v>1</v>
      </c>
      <c r="RG39" s="220">
        <f t="shared" ref="RG39:RG70" ca="1" si="739">IF($F39&gt;0,IF(RF$2&gt;0,PRODUCT(OFFSET(LT_AnnuityLifeTable,$F39,2,RF$2,1)),100%),0)</f>
        <v>0</v>
      </c>
      <c r="RH39" s="220">
        <f t="shared" ref="RH39:RH70" ca="1" si="740">IF(AND($G39&gt;0,SP_AnnySurvivor),IF(RF$2&gt;0,PRODUCT(OFFSET(LT_AnnuityLifeTable,$G39,5,RF$2,1)),100%),0)</f>
        <v>0</v>
      </c>
      <c r="RI39" s="235">
        <f t="shared" ca="1" si="410"/>
        <v>0</v>
      </c>
      <c r="RJ39" s="235">
        <f t="shared" ca="1" si="411"/>
        <v>0</v>
      </c>
      <c r="RK39" s="242">
        <f t="shared" ca="1" si="412"/>
        <v>0</v>
      </c>
      <c r="RL39" s="241">
        <f t="shared" ca="1" si="573"/>
        <v>1</v>
      </c>
      <c r="RM39" s="220">
        <f t="shared" ref="RM39:RM70" ca="1" si="741">IF($F39&gt;0,IF(RL$2&gt;0,PRODUCT(OFFSET(LT_AnnuityLifeTable,$F39,2,RL$2,1)),100%),0)</f>
        <v>0</v>
      </c>
      <c r="RN39" s="220">
        <f t="shared" ref="RN39:RN70" ca="1" si="742">IF(AND($G39&gt;0,SP_AnnySurvivor),IF(RL$2&gt;0,PRODUCT(OFFSET(LT_AnnuityLifeTable,$G39,5,RL$2,1)),100%),0)</f>
        <v>0</v>
      </c>
      <c r="RO39" s="235">
        <f t="shared" ca="1" si="415"/>
        <v>0</v>
      </c>
      <c r="RP39" s="235">
        <f t="shared" ca="1" si="416"/>
        <v>0</v>
      </c>
      <c r="RQ39" s="242">
        <f t="shared" ca="1" si="417"/>
        <v>0</v>
      </c>
      <c r="RR39" s="241">
        <f t="shared" ca="1" si="573"/>
        <v>1</v>
      </c>
      <c r="RS39" s="220">
        <f t="shared" ref="RS39:RS70" ca="1" si="743">IF($F39&gt;0,IF(RR$2&gt;0,PRODUCT(OFFSET(LT_AnnuityLifeTable,$F39,2,RR$2,1)),100%),0)</f>
        <v>0</v>
      </c>
      <c r="RT39" s="220">
        <f t="shared" ref="RT39:RT70" ca="1" si="744">IF(AND($G39&gt;0,SP_AnnySurvivor),IF(RR$2&gt;0,PRODUCT(OFFSET(LT_AnnuityLifeTable,$G39,5,RR$2,1)),100%),0)</f>
        <v>0</v>
      </c>
      <c r="RU39" s="235">
        <f t="shared" ca="1" si="420"/>
        <v>0</v>
      </c>
      <c r="RV39" s="235">
        <f t="shared" ca="1" si="421"/>
        <v>0</v>
      </c>
      <c r="RW39" s="242">
        <f t="shared" ca="1" si="422"/>
        <v>0</v>
      </c>
      <c r="RX39" s="241">
        <f t="shared" ca="1" si="573"/>
        <v>1</v>
      </c>
      <c r="RY39" s="220">
        <f t="shared" ref="RY39:RY70" ca="1" si="745">IF($F39&gt;0,IF(RX$2&gt;0,PRODUCT(OFFSET(LT_AnnuityLifeTable,$F39,2,RX$2,1)),100%),0)</f>
        <v>0</v>
      </c>
      <c r="RZ39" s="220">
        <f t="shared" ref="RZ39:RZ70" ca="1" si="746">IF(AND($G39&gt;0,SP_AnnySurvivor),IF(RX$2&gt;0,PRODUCT(OFFSET(LT_AnnuityLifeTable,$G39,5,RX$2,1)),100%),0)</f>
        <v>0</v>
      </c>
      <c r="SA39" s="235">
        <f t="shared" ca="1" si="425"/>
        <v>0</v>
      </c>
      <c r="SB39" s="235">
        <f t="shared" ca="1" si="426"/>
        <v>0</v>
      </c>
      <c r="SC39" s="242">
        <f t="shared" ca="1" si="427"/>
        <v>0</v>
      </c>
      <c r="SD39" s="241">
        <f t="shared" ca="1" si="566"/>
        <v>1</v>
      </c>
      <c r="SE39" s="220">
        <f t="shared" ref="SE39:SE70" ca="1" si="747">IF($F39&gt;0,IF(SD$2&gt;0,PRODUCT(OFFSET(LT_AnnuityLifeTable,$F39,2,SD$2,1)),100%),0)</f>
        <v>0</v>
      </c>
      <c r="SF39" s="220">
        <f t="shared" ref="SF39:SF70" ca="1" si="748">IF(AND($G39&gt;0,SP_AnnySurvivor),IF(SD$2&gt;0,PRODUCT(OFFSET(LT_AnnuityLifeTable,$G39,5,SD$2,1)),100%),0)</f>
        <v>0</v>
      </c>
      <c r="SG39" s="235">
        <f t="shared" ca="1" si="430"/>
        <v>0</v>
      </c>
      <c r="SH39" s="235">
        <f t="shared" ca="1" si="431"/>
        <v>0</v>
      </c>
      <c r="SI39" s="242">
        <f t="shared" ca="1" si="432"/>
        <v>0</v>
      </c>
      <c r="SJ39" s="241">
        <f t="shared" ca="1" si="566"/>
        <v>1</v>
      </c>
      <c r="SK39" s="220">
        <f t="shared" ref="SK39:SK70" ca="1" si="749">IF($F39&gt;0,IF(SJ$2&gt;0,PRODUCT(OFFSET(LT_AnnuityLifeTable,$F39,2,SJ$2,1)),100%),0)</f>
        <v>0</v>
      </c>
      <c r="SL39" s="220">
        <f t="shared" ref="SL39:SL70" ca="1" si="750">IF(AND($G39&gt;0,SP_AnnySurvivor),IF(SJ$2&gt;0,PRODUCT(OFFSET(LT_AnnuityLifeTable,$G39,5,SJ$2,1)),100%),0)</f>
        <v>0</v>
      </c>
      <c r="SM39" s="235">
        <f t="shared" ca="1" si="435"/>
        <v>0</v>
      </c>
      <c r="SN39" s="235">
        <f t="shared" ca="1" si="436"/>
        <v>0</v>
      </c>
      <c r="SO39" s="242">
        <f t="shared" ca="1" si="437"/>
        <v>0</v>
      </c>
      <c r="SP39" s="241">
        <f t="shared" ca="1" si="576"/>
        <v>1</v>
      </c>
      <c r="SQ39" s="220">
        <f t="shared" ref="SQ39:SQ70" ca="1" si="751">IF($F39&gt;0,IF(SP$2&gt;0,PRODUCT(OFFSET(LT_AnnuityLifeTable,$F39,2,SP$2,1)),100%),0)</f>
        <v>0</v>
      </c>
      <c r="SR39" s="220">
        <f t="shared" ref="SR39:SR70" ca="1" si="752">IF(AND($G39&gt;0,SP_AnnySurvivor),IF(SP$2&gt;0,PRODUCT(OFFSET(LT_AnnuityLifeTable,$G39,5,SP$2,1)),100%),0)</f>
        <v>0</v>
      </c>
      <c r="SS39" s="235">
        <f t="shared" ca="1" si="440"/>
        <v>0</v>
      </c>
      <c r="ST39" s="235">
        <f t="shared" ca="1" si="441"/>
        <v>0</v>
      </c>
      <c r="SU39" s="242">
        <f t="shared" ca="1" si="442"/>
        <v>0</v>
      </c>
      <c r="SV39" s="241">
        <f t="shared" ca="1" si="576"/>
        <v>1</v>
      </c>
      <c r="SW39" s="220">
        <f t="shared" ref="SW39:SW70" ca="1" si="753">IF($F39&gt;0,IF(SV$2&gt;0,PRODUCT(OFFSET(LT_AnnuityLifeTable,$F39,2,SV$2,1)),100%),0)</f>
        <v>0</v>
      </c>
      <c r="SX39" s="220">
        <f t="shared" ref="SX39:SX70" ca="1" si="754">IF(AND($G39&gt;0,SP_AnnySurvivor),IF(SV$2&gt;0,PRODUCT(OFFSET(LT_AnnuityLifeTable,$G39,5,SV$2,1)),100%),0)</f>
        <v>0</v>
      </c>
      <c r="SY39" s="235">
        <f t="shared" ca="1" si="446"/>
        <v>0</v>
      </c>
      <c r="SZ39" s="235">
        <f t="shared" ca="1" si="447"/>
        <v>0</v>
      </c>
      <c r="TA39" s="242">
        <f t="shared" ca="1" si="448"/>
        <v>0</v>
      </c>
      <c r="TB39" s="241">
        <f t="shared" ca="1" si="576"/>
        <v>1</v>
      </c>
      <c r="TC39" s="220">
        <f t="shared" ref="TC39:TC70" ca="1" si="755">IF($F39&gt;0,IF(TB$2&gt;0,PRODUCT(OFFSET(LT_AnnuityLifeTable,$F39,2,TB$2,1)),100%),0)</f>
        <v>0</v>
      </c>
      <c r="TD39" s="220">
        <f t="shared" ref="TD39:TD70" ca="1" si="756">IF(AND($G39&gt;0,SP_AnnySurvivor),IF(TB$2&gt;0,PRODUCT(OFFSET(LT_AnnuityLifeTable,$G39,5,TB$2,1)),100%),0)</f>
        <v>0</v>
      </c>
      <c r="TE39" s="235">
        <f t="shared" ca="1" si="451"/>
        <v>0</v>
      </c>
      <c r="TF39" s="235">
        <f t="shared" ca="1" si="452"/>
        <v>0</v>
      </c>
      <c r="TG39" s="242">
        <f t="shared" ca="1" si="453"/>
        <v>0</v>
      </c>
      <c r="TH39" s="241">
        <f t="shared" ca="1" si="576"/>
        <v>1</v>
      </c>
      <c r="TI39" s="220">
        <f t="shared" ref="TI39:TI70" ca="1" si="757">IF($F39&gt;0,IF(TH$2&gt;0,PRODUCT(OFFSET(LT_AnnuityLifeTable,$F39,2,TH$2,1)),100%),0)</f>
        <v>0</v>
      </c>
      <c r="TJ39" s="220">
        <f t="shared" ref="TJ39:TJ70" ca="1" si="758">IF(AND($G39&gt;0,SP_AnnySurvivor),IF(TH$2&gt;0,PRODUCT(OFFSET(LT_AnnuityLifeTable,$G39,5,TH$2,1)),100%),0)</f>
        <v>0</v>
      </c>
      <c r="TK39" s="235">
        <f t="shared" ca="1" si="456"/>
        <v>0</v>
      </c>
      <c r="TL39" s="235">
        <f t="shared" ca="1" si="457"/>
        <v>0</v>
      </c>
      <c r="TM39" s="242">
        <f t="shared" ca="1" si="458"/>
        <v>0</v>
      </c>
      <c r="TN39" s="241">
        <f t="shared" ca="1" si="576"/>
        <v>1</v>
      </c>
      <c r="TO39" s="220">
        <f t="shared" ref="TO39:TO70" ca="1" si="759">IF($F39&gt;0,IF(TN$2&gt;0,PRODUCT(OFFSET(LT_AnnuityLifeTable,$F39,2,TN$2,1)),100%),0)</f>
        <v>0</v>
      </c>
      <c r="TP39" s="220">
        <f t="shared" ref="TP39:TP70" ca="1" si="760">IF(AND($G39&gt;0,SP_AnnySurvivor),IF(TN$2&gt;0,PRODUCT(OFFSET(LT_AnnuityLifeTable,$G39,5,TN$2,1)),100%),0)</f>
        <v>0</v>
      </c>
      <c r="TQ39" s="235">
        <f t="shared" ca="1" si="461"/>
        <v>0</v>
      </c>
      <c r="TR39" s="235">
        <f t="shared" ca="1" si="462"/>
        <v>0</v>
      </c>
      <c r="TS39" s="242">
        <f t="shared" ca="1" si="463"/>
        <v>0</v>
      </c>
      <c r="TT39" s="241">
        <f t="shared" ca="1" si="576"/>
        <v>1</v>
      </c>
      <c r="TU39" s="220">
        <f t="shared" ref="TU39:TU70" ca="1" si="761">IF($F39&gt;0,IF(TT$2&gt;0,PRODUCT(OFFSET(LT_AnnuityLifeTable,$F39,2,TT$2,1)),100%),0)</f>
        <v>0</v>
      </c>
      <c r="TV39" s="220">
        <f t="shared" ref="TV39:TV70" ca="1" si="762">IF(AND($G39&gt;0,SP_AnnySurvivor),IF(TT$2&gt;0,PRODUCT(OFFSET(LT_AnnuityLifeTable,$G39,5,TT$2,1)),100%),0)</f>
        <v>0</v>
      </c>
      <c r="TW39" s="235">
        <f t="shared" ca="1" si="466"/>
        <v>0</v>
      </c>
      <c r="TX39" s="235">
        <f t="shared" ca="1" si="467"/>
        <v>0</v>
      </c>
      <c r="TY39" s="242">
        <f t="shared" ca="1" si="468"/>
        <v>0</v>
      </c>
      <c r="TZ39" s="241">
        <f t="shared" ca="1" si="576"/>
        <v>1</v>
      </c>
      <c r="UA39" s="220">
        <f t="shared" ref="UA39:UA70" ca="1" si="763">IF($F39&gt;0,IF(TZ$2&gt;0,PRODUCT(OFFSET(LT_AnnuityLifeTable,$F39,2,TZ$2,1)),100%),0)</f>
        <v>0</v>
      </c>
      <c r="UB39" s="220">
        <f t="shared" ref="UB39:UB70" ca="1" si="764">IF(AND($G39&gt;0,SP_AnnySurvivor),IF(TZ$2&gt;0,PRODUCT(OFFSET(LT_AnnuityLifeTable,$G39,5,TZ$2,1)),100%),0)</f>
        <v>0</v>
      </c>
      <c r="UC39" s="235">
        <f t="shared" ca="1" si="471"/>
        <v>0</v>
      </c>
      <c r="UD39" s="235">
        <f t="shared" ca="1" si="472"/>
        <v>0</v>
      </c>
      <c r="UE39" s="242">
        <f t="shared" ca="1" si="473"/>
        <v>0</v>
      </c>
      <c r="UF39" s="241">
        <f t="shared" ca="1" si="576"/>
        <v>1</v>
      </c>
      <c r="UG39" s="220">
        <f t="shared" ref="UG39:UG70" ca="1" si="765">IF($F39&gt;0,IF(UF$2&gt;0,PRODUCT(OFFSET(LT_AnnuityLifeTable,$F39,2,UF$2,1)),100%),0)</f>
        <v>0</v>
      </c>
      <c r="UH39" s="220">
        <f t="shared" ref="UH39:UH70" ca="1" si="766">IF(AND($G39&gt;0,SP_AnnySurvivor),IF(UF$2&gt;0,PRODUCT(OFFSET(LT_AnnuityLifeTable,$G39,5,UF$2,1)),100%),0)</f>
        <v>0</v>
      </c>
      <c r="UI39" s="235">
        <f t="shared" ca="1" si="476"/>
        <v>0</v>
      </c>
      <c r="UJ39" s="235">
        <f t="shared" ca="1" si="477"/>
        <v>0</v>
      </c>
      <c r="UK39" s="242">
        <f t="shared" ca="1" si="478"/>
        <v>0</v>
      </c>
      <c r="UL39" s="241">
        <f t="shared" ca="1" si="576"/>
        <v>1</v>
      </c>
      <c r="UM39" s="220">
        <f t="shared" ref="UM39:UM70" ca="1" si="767">IF($F39&gt;0,IF(UL$2&gt;0,PRODUCT(OFFSET(LT_AnnuityLifeTable,$F39,2,UL$2,1)),100%),0)</f>
        <v>0</v>
      </c>
      <c r="UN39" s="220">
        <f t="shared" ref="UN39:UN70" ca="1" si="768">IF(AND($G39&gt;0,SP_AnnySurvivor),IF(UL$2&gt;0,PRODUCT(OFFSET(LT_AnnuityLifeTable,$G39,5,UL$2,1)),100%),0)</f>
        <v>0</v>
      </c>
      <c r="UO39" s="235">
        <f t="shared" ca="1" si="481"/>
        <v>0</v>
      </c>
      <c r="UP39" s="235">
        <f t="shared" ca="1" si="482"/>
        <v>0</v>
      </c>
      <c r="UQ39" s="242">
        <f t="shared" ca="1" si="483"/>
        <v>0</v>
      </c>
      <c r="UR39" s="241">
        <f t="shared" ca="1" si="576"/>
        <v>1</v>
      </c>
      <c r="US39" s="220">
        <f t="shared" ref="US39:US70" ca="1" si="769">IF($F39&gt;0,IF(UR$2&gt;0,PRODUCT(OFFSET(LT_AnnuityLifeTable,$F39,2,UR$2,1)),100%),0)</f>
        <v>0</v>
      </c>
      <c r="UT39" s="220">
        <f t="shared" ref="UT39:UT70" ca="1" si="770">IF(AND($G39&gt;0,SP_AnnySurvivor),IF(UR$2&gt;0,PRODUCT(OFFSET(LT_AnnuityLifeTable,$G39,5,UR$2,1)),100%),0)</f>
        <v>0</v>
      </c>
      <c r="UU39" s="235">
        <f t="shared" ca="1" si="486"/>
        <v>0</v>
      </c>
      <c r="UV39" s="235">
        <f t="shared" ca="1" si="487"/>
        <v>0</v>
      </c>
      <c r="UW39" s="242">
        <f t="shared" ca="1" si="488"/>
        <v>0</v>
      </c>
      <c r="UX39" s="241">
        <f t="shared" ca="1" si="576"/>
        <v>1</v>
      </c>
      <c r="UY39" s="220">
        <f t="shared" ref="UY39:UY70" ca="1" si="771">IF($F39&gt;0,IF(UX$2&gt;0,PRODUCT(OFFSET(LT_AnnuityLifeTable,$F39,2,UX$2,1)),100%),0)</f>
        <v>0</v>
      </c>
      <c r="UZ39" s="220">
        <f t="shared" ref="UZ39:UZ70" ca="1" si="772">IF(AND($G39&gt;0,SP_AnnySurvivor),IF(UX$2&gt;0,PRODUCT(OFFSET(LT_AnnuityLifeTable,$G39,5,UX$2,1)),100%),0)</f>
        <v>0</v>
      </c>
      <c r="VA39" s="235">
        <f t="shared" ca="1" si="491"/>
        <v>0</v>
      </c>
      <c r="VB39" s="235">
        <f t="shared" ca="1" si="492"/>
        <v>0</v>
      </c>
      <c r="VC39" s="242">
        <f t="shared" ca="1" si="493"/>
        <v>0</v>
      </c>
      <c r="VD39" s="241">
        <f t="shared" ca="1" si="574"/>
        <v>1</v>
      </c>
      <c r="VE39" s="220">
        <f t="shared" ref="VE39:VE70" ca="1" si="773">IF($F39&gt;0,IF(VD$2&gt;0,PRODUCT(OFFSET(LT_AnnuityLifeTable,$F39,2,VD$2,1)),100%),0)</f>
        <v>0</v>
      </c>
      <c r="VF39" s="220">
        <f t="shared" ref="VF39:VF70" ca="1" si="774">IF(AND($G39&gt;0,SP_AnnySurvivor),IF(VD$2&gt;0,PRODUCT(OFFSET(LT_AnnuityLifeTable,$G39,5,VD$2,1)),100%),0)</f>
        <v>0</v>
      </c>
      <c r="VG39" s="235">
        <f t="shared" ca="1" si="496"/>
        <v>0</v>
      </c>
      <c r="VH39" s="235">
        <f t="shared" ca="1" si="497"/>
        <v>0</v>
      </c>
      <c r="VI39" s="242">
        <f t="shared" ca="1" si="498"/>
        <v>0</v>
      </c>
      <c r="VJ39" s="241">
        <f t="shared" ca="1" si="567"/>
        <v>1</v>
      </c>
      <c r="VK39" s="220">
        <f t="shared" ref="VK39:VK70" ca="1" si="775">IF($F39&gt;0,IF(VJ$2&gt;0,PRODUCT(OFFSET(LT_AnnuityLifeTable,$F39,2,VJ$2,1)),100%),0)</f>
        <v>0</v>
      </c>
      <c r="VL39" s="220">
        <f t="shared" ref="VL39:VL70" ca="1" si="776">IF(AND($G39&gt;0,SP_AnnySurvivor),IF(VJ$2&gt;0,PRODUCT(OFFSET(LT_AnnuityLifeTable,$G39,5,VJ$2,1)),100%),0)</f>
        <v>0</v>
      </c>
      <c r="VM39" s="235">
        <f t="shared" ca="1" si="502"/>
        <v>0</v>
      </c>
      <c r="VN39" s="235">
        <f t="shared" ca="1" si="503"/>
        <v>0</v>
      </c>
      <c r="VO39" s="242">
        <f t="shared" ca="1" si="504"/>
        <v>0</v>
      </c>
      <c r="VP39" s="241">
        <f t="shared" ca="1" si="567"/>
        <v>1</v>
      </c>
      <c r="VQ39" s="220">
        <f t="shared" ref="VQ39:VQ70" ca="1" si="777">IF($F39&gt;0,IF(VP$2&gt;0,PRODUCT(OFFSET(LT_AnnuityLifeTable,$F39,2,VP$2,1)),100%),0)</f>
        <v>0</v>
      </c>
      <c r="VR39" s="220">
        <f t="shared" ref="VR39:VR70" ca="1" si="778">IF(AND($G39&gt;0,SP_AnnySurvivor),IF(VP$2&gt;0,PRODUCT(OFFSET(LT_AnnuityLifeTable,$G39,5,VP$2,1)),100%),0)</f>
        <v>0</v>
      </c>
      <c r="VS39" s="235">
        <f t="shared" ca="1" si="507"/>
        <v>0</v>
      </c>
      <c r="VT39" s="235">
        <f t="shared" ca="1" si="508"/>
        <v>0</v>
      </c>
      <c r="VU39" s="242">
        <f t="shared" ca="1" si="509"/>
        <v>0</v>
      </c>
      <c r="VV39" s="241">
        <f t="shared" ca="1" si="578"/>
        <v>1</v>
      </c>
      <c r="VW39" s="220">
        <f t="shared" ref="VW39:VW70" ca="1" si="779">IF($F39&gt;0,IF(VV$2&gt;0,PRODUCT(OFFSET(LT_AnnuityLifeTable,$F39,2,VV$2,1)),100%),0)</f>
        <v>0</v>
      </c>
      <c r="VX39" s="220">
        <f t="shared" ref="VX39:VX70" ca="1" si="780">IF(AND($G39&gt;0,SP_AnnySurvivor),IF(VV$2&gt;0,PRODUCT(OFFSET(LT_AnnuityLifeTable,$G39,5,VV$2,1)),100%),0)</f>
        <v>0</v>
      </c>
      <c r="VY39" s="235">
        <f t="shared" ca="1" si="512"/>
        <v>0</v>
      </c>
      <c r="VZ39" s="235">
        <f t="shared" ca="1" si="513"/>
        <v>0</v>
      </c>
      <c r="WA39" s="242">
        <f t="shared" ca="1" si="514"/>
        <v>0</v>
      </c>
      <c r="WB39" s="241">
        <f t="shared" ca="1" si="578"/>
        <v>1</v>
      </c>
      <c r="WC39" s="220">
        <f t="shared" ref="WC39:WC70" ca="1" si="781">IF($F39&gt;0,IF(WB$2&gt;0,PRODUCT(OFFSET(LT_AnnuityLifeTable,$F39,2,WB$2,1)),100%),0)</f>
        <v>0</v>
      </c>
      <c r="WD39" s="220">
        <f t="shared" ref="WD39:WD70" ca="1" si="782">IF(AND($G39&gt;0,SP_AnnySurvivor),IF(WB$2&gt;0,PRODUCT(OFFSET(LT_AnnuityLifeTable,$G39,5,WB$2,1)),100%),0)</f>
        <v>0</v>
      </c>
      <c r="WE39" s="235">
        <f t="shared" ca="1" si="517"/>
        <v>0</v>
      </c>
      <c r="WF39" s="235">
        <f t="shared" ca="1" si="518"/>
        <v>0</v>
      </c>
      <c r="WG39" s="242">
        <f t="shared" ca="1" si="519"/>
        <v>0</v>
      </c>
      <c r="WH39" s="241">
        <f t="shared" ca="1" si="578"/>
        <v>1</v>
      </c>
      <c r="WI39" s="220">
        <f t="shared" ref="WI39:WI70" ca="1" si="783">IF($F39&gt;0,IF(WH$2&gt;0,PRODUCT(OFFSET(LT_AnnuityLifeTable,$F39,2,WH$2,1)),100%),0)</f>
        <v>0</v>
      </c>
      <c r="WJ39" s="220">
        <f t="shared" ref="WJ39:WJ70" ca="1" si="784">IF(AND($G39&gt;0,SP_AnnySurvivor),IF(WH$2&gt;0,PRODUCT(OFFSET(LT_AnnuityLifeTable,$G39,5,WH$2,1)),100%),0)</f>
        <v>0</v>
      </c>
      <c r="WK39" s="235">
        <f t="shared" ca="1" si="522"/>
        <v>0</v>
      </c>
      <c r="WL39" s="235">
        <f t="shared" ca="1" si="523"/>
        <v>0</v>
      </c>
      <c r="WM39" s="242">
        <f t="shared" ca="1" si="524"/>
        <v>0</v>
      </c>
      <c r="WN39" s="241">
        <f t="shared" ca="1" si="578"/>
        <v>1</v>
      </c>
      <c r="WO39" s="220">
        <f t="shared" ref="WO39:WO70" ca="1" si="785">IF($F39&gt;0,IF(WN$2&gt;0,PRODUCT(OFFSET(LT_AnnuityLifeTable,$F39,2,WN$2,1)),100%),0)</f>
        <v>0</v>
      </c>
      <c r="WP39" s="220">
        <f t="shared" ref="WP39:WP70" ca="1" si="786">IF(AND($G39&gt;0,SP_AnnySurvivor),IF(WN$2&gt;0,PRODUCT(OFFSET(LT_AnnuityLifeTable,$G39,5,WN$2,1)),100%),0)</f>
        <v>0</v>
      </c>
      <c r="WQ39" s="235">
        <f t="shared" ca="1" si="527"/>
        <v>0</v>
      </c>
      <c r="WR39" s="235">
        <f t="shared" ca="1" si="528"/>
        <v>0</v>
      </c>
      <c r="WS39" s="242">
        <f t="shared" ca="1" si="529"/>
        <v>0</v>
      </c>
      <c r="WT39" s="241">
        <f t="shared" ca="1" si="578"/>
        <v>1</v>
      </c>
      <c r="WU39" s="220">
        <f t="shared" ref="WU39:WU70" ca="1" si="787">IF($F39&gt;0,IF(WT$2&gt;0,PRODUCT(OFFSET(LT_AnnuityLifeTable,$F39,2,WT$2,1)),100%),0)</f>
        <v>0</v>
      </c>
      <c r="WV39" s="220">
        <f t="shared" ref="WV39:WV70" ca="1" si="788">IF(AND($G39&gt;0,SP_AnnySurvivor),IF(WT$2&gt;0,PRODUCT(OFFSET(LT_AnnuityLifeTable,$G39,5,WT$2,1)),100%),0)</f>
        <v>0</v>
      </c>
      <c r="WW39" s="235">
        <f t="shared" ca="1" si="532"/>
        <v>0</v>
      </c>
      <c r="WX39" s="235">
        <f t="shared" ca="1" si="533"/>
        <v>0</v>
      </c>
      <c r="WY39" s="242">
        <f t="shared" ca="1" si="534"/>
        <v>0</v>
      </c>
      <c r="WZ39" s="241">
        <f t="shared" ca="1" si="578"/>
        <v>1</v>
      </c>
      <c r="XA39" s="220">
        <f t="shared" ref="XA39:XA70" ca="1" si="789">IF($F39&gt;0,IF(WZ$2&gt;0,PRODUCT(OFFSET(LT_AnnuityLifeTable,$F39,2,WZ$2,1)),100%),0)</f>
        <v>0</v>
      </c>
      <c r="XB39" s="220">
        <f t="shared" ref="XB39:XB70" ca="1" si="790">IF(AND($G39&gt;0,SP_AnnySurvivor),IF(WZ$2&gt;0,PRODUCT(OFFSET(LT_AnnuityLifeTable,$G39,5,WZ$2,1)),100%),0)</f>
        <v>0</v>
      </c>
      <c r="XC39" s="235">
        <f t="shared" ca="1" si="537"/>
        <v>0</v>
      </c>
      <c r="XD39" s="235">
        <f t="shared" ca="1" si="538"/>
        <v>0</v>
      </c>
      <c r="XE39" s="242">
        <f t="shared" ca="1" si="539"/>
        <v>0</v>
      </c>
      <c r="XF39" s="241">
        <f t="shared" ca="1" si="578"/>
        <v>1</v>
      </c>
      <c r="XG39" s="220">
        <f t="shared" ref="XG39:XG70" ca="1" si="791">IF($F39&gt;0,IF(XF$2&gt;0,PRODUCT(OFFSET(LT_AnnuityLifeTable,$F39,2,XF$2,1)),100%),0)</f>
        <v>0</v>
      </c>
      <c r="XH39" s="220">
        <f t="shared" ref="XH39:XH70" ca="1" si="792">IF(AND($G39&gt;0,SP_AnnySurvivor),IF(XF$2&gt;0,PRODUCT(OFFSET(LT_AnnuityLifeTable,$G39,5,XF$2,1)),100%),0)</f>
        <v>0</v>
      </c>
      <c r="XI39" s="235">
        <f t="shared" ca="1" si="542"/>
        <v>0</v>
      </c>
      <c r="XJ39" s="235">
        <f t="shared" ca="1" si="543"/>
        <v>0</v>
      </c>
      <c r="XK39" s="242">
        <f t="shared" ca="1" si="544"/>
        <v>0</v>
      </c>
    </row>
    <row r="40" spans="2:635" x14ac:dyDescent="0.25">
      <c r="B40" s="65">
        <f t="shared" ca="1" si="14"/>
        <v>2055</v>
      </c>
      <c r="C40" s="65" t="s">
        <v>741</v>
      </c>
      <c r="D40" s="77">
        <f t="shared" si="580"/>
        <v>0</v>
      </c>
      <c r="E40" s="77">
        <f t="shared" si="581"/>
        <v>0</v>
      </c>
      <c r="F40" s="77">
        <f t="shared" si="17"/>
        <v>0</v>
      </c>
      <c r="G40" s="77">
        <f t="shared" si="18"/>
        <v>0</v>
      </c>
      <c r="H40" s="15" t="e">
        <f t="shared" ca="1" si="582"/>
        <v>#REF!</v>
      </c>
      <c r="L40" s="326">
        <f t="shared" ca="1" si="583"/>
        <v>3.5000000000000003E-2</v>
      </c>
      <c r="M40" s="327">
        <f t="shared" ca="1" si="584"/>
        <v>3.5000000000000003E-2</v>
      </c>
      <c r="N40" s="322">
        <f t="shared" ca="1" si="579"/>
        <v>-32</v>
      </c>
      <c r="O40" s="322">
        <f t="shared" ca="1" si="585"/>
        <v>0</v>
      </c>
      <c r="P40" s="328">
        <f t="shared" ca="1" si="545"/>
        <v>0</v>
      </c>
      <c r="Q40" s="328">
        <f t="shared" ca="1" si="546"/>
        <v>0</v>
      </c>
      <c r="R40" s="328">
        <f t="shared" ca="1" si="547"/>
        <v>0</v>
      </c>
      <c r="S40" s="329">
        <f t="shared" ca="1" si="586"/>
        <v>0</v>
      </c>
      <c r="T40" s="329">
        <f t="shared" ca="1" si="587"/>
        <v>0</v>
      </c>
      <c r="U40" s="329">
        <f t="shared" ca="1" si="588"/>
        <v>0</v>
      </c>
      <c r="V40" s="320" t="e">
        <f t="shared" ca="1" si="589"/>
        <v>#REF!</v>
      </c>
      <c r="W40" s="320" t="e">
        <f t="shared" ca="1" si="560"/>
        <v>#REF!</v>
      </c>
      <c r="X40" s="320" t="e">
        <f t="shared" ca="1" si="590"/>
        <v>#REF!</v>
      </c>
      <c r="Y40" s="320" t="e">
        <f ca="1">INDEX(SC_ZA_HECMLumpSum,ZAIDX)</f>
        <v>#REF!</v>
      </c>
      <c r="Z40" s="320" t="e">
        <f t="shared" ca="1" si="591"/>
        <v>#REF!</v>
      </c>
      <c r="AA40" s="320">
        <f t="shared" ca="1" si="557"/>
        <v>0</v>
      </c>
      <c r="AB40" s="320" t="e">
        <f t="shared" ca="1" si="558"/>
        <v>#REF!</v>
      </c>
      <c r="AC40" s="330" t="e">
        <f t="shared" ca="1" si="559"/>
        <v>#REF!</v>
      </c>
      <c r="AD40" s="236" t="e">
        <f t="shared" ca="1" si="548"/>
        <v>#REF!</v>
      </c>
      <c r="AE40" s="320" t="e">
        <f t="shared" ca="1" si="561"/>
        <v>#REF!</v>
      </c>
      <c r="AF40" s="320" t="e">
        <f t="shared" ca="1" si="592"/>
        <v>#REF!</v>
      </c>
      <c r="AG40" s="320" t="e">
        <f t="shared" ca="1" si="549"/>
        <v>#REF!</v>
      </c>
      <c r="AH40" s="284" t="e">
        <f t="shared" ca="1" si="550"/>
        <v>#REF!</v>
      </c>
      <c r="AI40" s="318" t="e">
        <f t="shared" ca="1" si="551"/>
        <v>#REF!</v>
      </c>
      <c r="AJ40" s="331">
        <f t="shared" ca="1" si="575"/>
        <v>1</v>
      </c>
      <c r="AK40" s="220">
        <f t="shared" ca="1" si="593"/>
        <v>0</v>
      </c>
      <c r="AL40" s="220">
        <f t="shared" ca="1" si="594"/>
        <v>0</v>
      </c>
      <c r="AM40" s="235">
        <f t="shared" ca="1" si="554"/>
        <v>0</v>
      </c>
      <c r="AN40" s="235">
        <f t="shared" ca="1" si="555"/>
        <v>0</v>
      </c>
      <c r="AO40" s="242">
        <f t="shared" ca="1" si="556"/>
        <v>0</v>
      </c>
      <c r="AP40" s="241">
        <f t="shared" ca="1" si="575"/>
        <v>1</v>
      </c>
      <c r="AQ40" s="220">
        <f t="shared" ca="1" si="595"/>
        <v>0</v>
      </c>
      <c r="AR40" s="220">
        <f t="shared" ca="1" si="596"/>
        <v>0</v>
      </c>
      <c r="AS40" s="235">
        <f t="shared" ca="1" si="43"/>
        <v>0</v>
      </c>
      <c r="AT40" s="235">
        <f t="shared" ca="1" si="44"/>
        <v>0</v>
      </c>
      <c r="AU40" s="242">
        <f t="shared" ca="1" si="45"/>
        <v>0</v>
      </c>
      <c r="AV40" s="241">
        <f t="shared" ca="1" si="575"/>
        <v>1</v>
      </c>
      <c r="AW40" s="220">
        <f t="shared" ca="1" si="597"/>
        <v>0</v>
      </c>
      <c r="AX40" s="220">
        <f t="shared" ca="1" si="598"/>
        <v>0</v>
      </c>
      <c r="AY40" s="235">
        <f t="shared" ca="1" si="48"/>
        <v>0</v>
      </c>
      <c r="AZ40" s="235">
        <f t="shared" ca="1" si="49"/>
        <v>0</v>
      </c>
      <c r="BA40" s="242">
        <f t="shared" ca="1" si="50"/>
        <v>0</v>
      </c>
      <c r="BB40" s="241">
        <f t="shared" ca="1" si="575"/>
        <v>1</v>
      </c>
      <c r="BC40" s="220">
        <f t="shared" ca="1" si="599"/>
        <v>0</v>
      </c>
      <c r="BD40" s="220">
        <f t="shared" ca="1" si="600"/>
        <v>0</v>
      </c>
      <c r="BE40" s="235">
        <f t="shared" ca="1" si="54"/>
        <v>0</v>
      </c>
      <c r="BF40" s="235">
        <f t="shared" ca="1" si="55"/>
        <v>0</v>
      </c>
      <c r="BG40" s="242">
        <f t="shared" ca="1" si="56"/>
        <v>0</v>
      </c>
      <c r="BH40" s="241">
        <f t="shared" ca="1" si="575"/>
        <v>1</v>
      </c>
      <c r="BI40" s="220">
        <f t="shared" ca="1" si="601"/>
        <v>0</v>
      </c>
      <c r="BJ40" s="220">
        <f t="shared" ca="1" si="602"/>
        <v>0</v>
      </c>
      <c r="BK40" s="235">
        <f t="shared" ca="1" si="59"/>
        <v>0</v>
      </c>
      <c r="BL40" s="235">
        <f t="shared" ca="1" si="60"/>
        <v>0</v>
      </c>
      <c r="BM40" s="242">
        <f t="shared" ca="1" si="61"/>
        <v>0</v>
      </c>
      <c r="BN40" s="241">
        <f t="shared" ca="1" si="575"/>
        <v>1</v>
      </c>
      <c r="BO40" s="220">
        <f t="shared" ca="1" si="603"/>
        <v>0</v>
      </c>
      <c r="BP40" s="220">
        <f t="shared" ca="1" si="604"/>
        <v>0</v>
      </c>
      <c r="BQ40" s="235">
        <f t="shared" ca="1" si="64"/>
        <v>0</v>
      </c>
      <c r="BR40" s="235">
        <f t="shared" ca="1" si="65"/>
        <v>0</v>
      </c>
      <c r="BS40" s="242">
        <f t="shared" ca="1" si="66"/>
        <v>0</v>
      </c>
      <c r="BT40" s="241">
        <f t="shared" ca="1" si="575"/>
        <v>1</v>
      </c>
      <c r="BU40" s="220">
        <f t="shared" ca="1" si="605"/>
        <v>0</v>
      </c>
      <c r="BV40" s="220">
        <f t="shared" ca="1" si="606"/>
        <v>0</v>
      </c>
      <c r="BW40" s="235">
        <f t="shared" ca="1" si="69"/>
        <v>0</v>
      </c>
      <c r="BX40" s="235">
        <f t="shared" ca="1" si="70"/>
        <v>0</v>
      </c>
      <c r="BY40" s="242">
        <f t="shared" ca="1" si="71"/>
        <v>0</v>
      </c>
      <c r="BZ40" s="241">
        <f t="shared" ca="1" si="575"/>
        <v>1</v>
      </c>
      <c r="CA40" s="220">
        <f t="shared" ca="1" si="607"/>
        <v>0</v>
      </c>
      <c r="CB40" s="220">
        <f t="shared" ca="1" si="608"/>
        <v>0</v>
      </c>
      <c r="CC40" s="235">
        <f t="shared" ca="1" si="74"/>
        <v>0</v>
      </c>
      <c r="CD40" s="235">
        <f t="shared" ca="1" si="75"/>
        <v>0</v>
      </c>
      <c r="CE40" s="242">
        <f t="shared" ca="1" si="76"/>
        <v>0</v>
      </c>
      <c r="CF40" s="241">
        <f t="shared" ca="1" si="575"/>
        <v>1</v>
      </c>
      <c r="CG40" s="220">
        <f t="shared" ca="1" si="609"/>
        <v>0</v>
      </c>
      <c r="CH40" s="220">
        <f t="shared" ca="1" si="610"/>
        <v>0</v>
      </c>
      <c r="CI40" s="235">
        <f t="shared" ca="1" si="79"/>
        <v>0</v>
      </c>
      <c r="CJ40" s="235">
        <f t="shared" ca="1" si="80"/>
        <v>0</v>
      </c>
      <c r="CK40" s="242">
        <f t="shared" ca="1" si="81"/>
        <v>0</v>
      </c>
      <c r="CL40" s="241">
        <f t="shared" ca="1" si="575"/>
        <v>1</v>
      </c>
      <c r="CM40" s="220">
        <f t="shared" ca="1" si="611"/>
        <v>0</v>
      </c>
      <c r="CN40" s="220">
        <f t="shared" ca="1" si="612"/>
        <v>0</v>
      </c>
      <c r="CO40" s="235">
        <f t="shared" ca="1" si="84"/>
        <v>0</v>
      </c>
      <c r="CP40" s="235">
        <f t="shared" ca="1" si="85"/>
        <v>0</v>
      </c>
      <c r="CQ40" s="242">
        <f t="shared" ca="1" si="86"/>
        <v>0</v>
      </c>
      <c r="CR40" s="241">
        <f t="shared" ca="1" si="575"/>
        <v>1</v>
      </c>
      <c r="CS40" s="220">
        <f t="shared" ca="1" si="613"/>
        <v>0</v>
      </c>
      <c r="CT40" s="220">
        <f t="shared" ca="1" si="614"/>
        <v>0</v>
      </c>
      <c r="CU40" s="235">
        <f t="shared" ca="1" si="89"/>
        <v>0</v>
      </c>
      <c r="CV40" s="235">
        <f t="shared" ca="1" si="90"/>
        <v>0</v>
      </c>
      <c r="CW40" s="242">
        <f t="shared" ca="1" si="91"/>
        <v>0</v>
      </c>
      <c r="CX40" s="241">
        <f t="shared" ca="1" si="568"/>
        <v>1</v>
      </c>
      <c r="CY40" s="220">
        <f t="shared" ca="1" si="615"/>
        <v>0</v>
      </c>
      <c r="CZ40" s="220">
        <f t="shared" ca="1" si="616"/>
        <v>0</v>
      </c>
      <c r="DA40" s="235">
        <f t="shared" ca="1" si="94"/>
        <v>0</v>
      </c>
      <c r="DB40" s="235">
        <f t="shared" ca="1" si="95"/>
        <v>0</v>
      </c>
      <c r="DC40" s="242">
        <f t="shared" ca="1" si="96"/>
        <v>0</v>
      </c>
      <c r="DD40" s="241">
        <f t="shared" ca="1" si="568"/>
        <v>1</v>
      </c>
      <c r="DE40" s="220">
        <f t="shared" ca="1" si="617"/>
        <v>0</v>
      </c>
      <c r="DF40" s="220">
        <f t="shared" ca="1" si="618"/>
        <v>0</v>
      </c>
      <c r="DG40" s="235">
        <f t="shared" ca="1" si="99"/>
        <v>0</v>
      </c>
      <c r="DH40" s="235">
        <f t="shared" ca="1" si="100"/>
        <v>0</v>
      </c>
      <c r="DI40" s="242">
        <f t="shared" ca="1" si="101"/>
        <v>0</v>
      </c>
      <c r="DJ40" s="241">
        <f t="shared" ca="1" si="51"/>
        <v>1</v>
      </c>
      <c r="DK40" s="220">
        <f t="shared" ca="1" si="619"/>
        <v>0</v>
      </c>
      <c r="DL40" s="220">
        <f t="shared" ca="1" si="620"/>
        <v>0</v>
      </c>
      <c r="DM40" s="235">
        <f t="shared" ca="1" si="104"/>
        <v>0</v>
      </c>
      <c r="DN40" s="235">
        <f t="shared" ca="1" si="105"/>
        <v>0</v>
      </c>
      <c r="DO40" s="242">
        <f t="shared" ca="1" si="106"/>
        <v>0</v>
      </c>
      <c r="DP40" s="241">
        <f t="shared" ca="1" si="569"/>
        <v>1</v>
      </c>
      <c r="DQ40" s="220">
        <f t="shared" ca="1" si="621"/>
        <v>0</v>
      </c>
      <c r="DR40" s="220">
        <f t="shared" ca="1" si="622"/>
        <v>0</v>
      </c>
      <c r="DS40" s="235">
        <f t="shared" ca="1" si="110"/>
        <v>0</v>
      </c>
      <c r="DT40" s="235">
        <f t="shared" ca="1" si="111"/>
        <v>0</v>
      </c>
      <c r="DU40" s="242">
        <f t="shared" ca="1" si="112"/>
        <v>0</v>
      </c>
      <c r="DV40" s="241">
        <f t="shared" ca="1" si="569"/>
        <v>1</v>
      </c>
      <c r="DW40" s="220">
        <f t="shared" ca="1" si="623"/>
        <v>0</v>
      </c>
      <c r="DX40" s="220">
        <f t="shared" ca="1" si="624"/>
        <v>0</v>
      </c>
      <c r="DY40" s="235">
        <f t="shared" ca="1" si="115"/>
        <v>0</v>
      </c>
      <c r="DZ40" s="235">
        <f t="shared" ca="1" si="116"/>
        <v>0</v>
      </c>
      <c r="EA40" s="242">
        <f t="shared" ca="1" si="117"/>
        <v>0</v>
      </c>
      <c r="EB40" s="241">
        <f t="shared" ca="1" si="569"/>
        <v>1</v>
      </c>
      <c r="EC40" s="220">
        <f t="shared" ca="1" si="625"/>
        <v>0</v>
      </c>
      <c r="ED40" s="220">
        <f t="shared" ca="1" si="626"/>
        <v>0</v>
      </c>
      <c r="EE40" s="235">
        <f t="shared" ca="1" si="120"/>
        <v>0</v>
      </c>
      <c r="EF40" s="235">
        <f t="shared" ca="1" si="121"/>
        <v>0</v>
      </c>
      <c r="EG40" s="242">
        <f t="shared" ca="1" si="122"/>
        <v>0</v>
      </c>
      <c r="EH40" s="241">
        <f t="shared" ca="1" si="569"/>
        <v>1</v>
      </c>
      <c r="EI40" s="220">
        <f t="shared" ca="1" si="627"/>
        <v>0</v>
      </c>
      <c r="EJ40" s="220">
        <f t="shared" ca="1" si="628"/>
        <v>0</v>
      </c>
      <c r="EK40" s="235">
        <f t="shared" ca="1" si="125"/>
        <v>0</v>
      </c>
      <c r="EL40" s="235">
        <f t="shared" ca="1" si="126"/>
        <v>0</v>
      </c>
      <c r="EM40" s="242">
        <f t="shared" ca="1" si="127"/>
        <v>0</v>
      </c>
      <c r="EN40" s="241">
        <f t="shared" ca="1" si="569"/>
        <v>1</v>
      </c>
      <c r="EO40" s="220">
        <f t="shared" ca="1" si="629"/>
        <v>0</v>
      </c>
      <c r="EP40" s="220">
        <f t="shared" ca="1" si="630"/>
        <v>0</v>
      </c>
      <c r="EQ40" s="235">
        <f t="shared" ca="1" si="130"/>
        <v>0</v>
      </c>
      <c r="ER40" s="235">
        <f t="shared" ca="1" si="131"/>
        <v>0</v>
      </c>
      <c r="ES40" s="242">
        <f t="shared" ca="1" si="132"/>
        <v>0</v>
      </c>
      <c r="ET40" s="241">
        <f t="shared" ca="1" si="569"/>
        <v>1</v>
      </c>
      <c r="EU40" s="220">
        <f t="shared" ca="1" si="631"/>
        <v>0</v>
      </c>
      <c r="EV40" s="220">
        <f t="shared" ca="1" si="632"/>
        <v>0</v>
      </c>
      <c r="EW40" s="235">
        <f t="shared" ca="1" si="135"/>
        <v>0</v>
      </c>
      <c r="EX40" s="235">
        <f t="shared" ca="1" si="136"/>
        <v>0</v>
      </c>
      <c r="EY40" s="242">
        <f t="shared" ca="1" si="137"/>
        <v>0</v>
      </c>
      <c r="EZ40" s="241">
        <f t="shared" ca="1" si="569"/>
        <v>1</v>
      </c>
      <c r="FA40" s="220">
        <f t="shared" ca="1" si="633"/>
        <v>0</v>
      </c>
      <c r="FB40" s="220">
        <f t="shared" ca="1" si="634"/>
        <v>0</v>
      </c>
      <c r="FC40" s="235">
        <f t="shared" ca="1" si="140"/>
        <v>0</v>
      </c>
      <c r="FD40" s="235">
        <f t="shared" ca="1" si="141"/>
        <v>0</v>
      </c>
      <c r="FE40" s="242">
        <f t="shared" ca="1" si="142"/>
        <v>0</v>
      </c>
      <c r="FF40" s="241">
        <f t="shared" ca="1" si="569"/>
        <v>1</v>
      </c>
      <c r="FG40" s="220">
        <f t="shared" ca="1" si="635"/>
        <v>0</v>
      </c>
      <c r="FH40" s="220">
        <f t="shared" ca="1" si="636"/>
        <v>0</v>
      </c>
      <c r="FI40" s="235">
        <f t="shared" ca="1" si="145"/>
        <v>0</v>
      </c>
      <c r="FJ40" s="235">
        <f t="shared" ca="1" si="146"/>
        <v>0</v>
      </c>
      <c r="FK40" s="242">
        <f t="shared" ca="1" si="147"/>
        <v>0</v>
      </c>
      <c r="FL40" s="241">
        <f t="shared" ca="1" si="569"/>
        <v>1</v>
      </c>
      <c r="FM40" s="220">
        <f t="shared" ca="1" si="637"/>
        <v>0</v>
      </c>
      <c r="FN40" s="220">
        <f t="shared" ca="1" si="638"/>
        <v>0</v>
      </c>
      <c r="FO40" s="235">
        <f t="shared" ca="1" si="150"/>
        <v>0</v>
      </c>
      <c r="FP40" s="235">
        <f t="shared" ca="1" si="151"/>
        <v>0</v>
      </c>
      <c r="FQ40" s="242">
        <f t="shared" ca="1" si="152"/>
        <v>0</v>
      </c>
      <c r="FR40" s="241">
        <f t="shared" ca="1" si="569"/>
        <v>1</v>
      </c>
      <c r="FS40" s="220">
        <f t="shared" ca="1" si="639"/>
        <v>0</v>
      </c>
      <c r="FT40" s="220">
        <f t="shared" ca="1" si="640"/>
        <v>0</v>
      </c>
      <c r="FU40" s="235">
        <f t="shared" ca="1" si="155"/>
        <v>0</v>
      </c>
      <c r="FV40" s="235">
        <f t="shared" ca="1" si="156"/>
        <v>0</v>
      </c>
      <c r="FW40" s="242">
        <f t="shared" ca="1" si="157"/>
        <v>0</v>
      </c>
      <c r="FX40" s="241">
        <f t="shared" ca="1" si="569"/>
        <v>1</v>
      </c>
      <c r="FY40" s="220">
        <f t="shared" ca="1" si="641"/>
        <v>0</v>
      </c>
      <c r="FZ40" s="220">
        <f t="shared" ca="1" si="642"/>
        <v>0</v>
      </c>
      <c r="GA40" s="235">
        <f t="shared" ca="1" si="160"/>
        <v>0</v>
      </c>
      <c r="GB40" s="235">
        <f t="shared" ca="1" si="161"/>
        <v>0</v>
      </c>
      <c r="GC40" s="242">
        <f t="shared" ca="1" si="162"/>
        <v>0</v>
      </c>
      <c r="GD40" s="241">
        <f t="shared" ca="1" si="562"/>
        <v>1</v>
      </c>
      <c r="GE40" s="220">
        <f t="shared" ca="1" si="643"/>
        <v>0</v>
      </c>
      <c r="GF40" s="220">
        <f t="shared" ca="1" si="644"/>
        <v>0</v>
      </c>
      <c r="GG40" s="235">
        <f t="shared" ca="1" si="166"/>
        <v>0</v>
      </c>
      <c r="GH40" s="235">
        <f t="shared" ca="1" si="167"/>
        <v>0</v>
      </c>
      <c r="GI40" s="242">
        <f t="shared" ca="1" si="168"/>
        <v>0</v>
      </c>
      <c r="GJ40" s="241">
        <f t="shared" ca="1" si="562"/>
        <v>1</v>
      </c>
      <c r="GK40" s="220">
        <f t="shared" ca="1" si="645"/>
        <v>0</v>
      </c>
      <c r="GL40" s="220">
        <f t="shared" ca="1" si="646"/>
        <v>0</v>
      </c>
      <c r="GM40" s="235">
        <f t="shared" ca="1" si="171"/>
        <v>0</v>
      </c>
      <c r="GN40" s="235">
        <f t="shared" ca="1" si="172"/>
        <v>0</v>
      </c>
      <c r="GO40" s="242">
        <f t="shared" ca="1" si="173"/>
        <v>0</v>
      </c>
      <c r="GP40" s="241">
        <f t="shared" ca="1" si="570"/>
        <v>1</v>
      </c>
      <c r="GQ40" s="220">
        <f t="shared" ca="1" si="647"/>
        <v>0</v>
      </c>
      <c r="GR40" s="220">
        <f t="shared" ca="1" si="648"/>
        <v>0</v>
      </c>
      <c r="GS40" s="235">
        <f t="shared" ca="1" si="176"/>
        <v>0</v>
      </c>
      <c r="GT40" s="235">
        <f t="shared" ca="1" si="177"/>
        <v>0</v>
      </c>
      <c r="GU40" s="242">
        <f t="shared" ca="1" si="178"/>
        <v>0</v>
      </c>
      <c r="GV40" s="241">
        <f t="shared" ca="1" si="570"/>
        <v>1</v>
      </c>
      <c r="GW40" s="220">
        <f t="shared" ca="1" si="649"/>
        <v>0</v>
      </c>
      <c r="GX40" s="220">
        <f t="shared" ca="1" si="650"/>
        <v>0</v>
      </c>
      <c r="GY40" s="235">
        <f t="shared" ca="1" si="181"/>
        <v>0</v>
      </c>
      <c r="GZ40" s="235">
        <f t="shared" ca="1" si="182"/>
        <v>0</v>
      </c>
      <c r="HA40" s="242">
        <f t="shared" ca="1" si="183"/>
        <v>0</v>
      </c>
      <c r="HB40" s="241">
        <f t="shared" ca="1" si="570"/>
        <v>1</v>
      </c>
      <c r="HC40" s="220">
        <f t="shared" ca="1" si="651"/>
        <v>0</v>
      </c>
      <c r="HD40" s="220">
        <f t="shared" ca="1" si="652"/>
        <v>0</v>
      </c>
      <c r="HE40" s="235">
        <f t="shared" ca="1" si="186"/>
        <v>0</v>
      </c>
      <c r="HF40" s="235">
        <f t="shared" ca="1" si="187"/>
        <v>0</v>
      </c>
      <c r="HG40" s="242">
        <f t="shared" ca="1" si="188"/>
        <v>0</v>
      </c>
      <c r="HH40" s="241">
        <f t="shared" ca="1" si="570"/>
        <v>1</v>
      </c>
      <c r="HI40" s="220">
        <f t="shared" ca="1" si="653"/>
        <v>0</v>
      </c>
      <c r="HJ40" s="220">
        <f t="shared" ca="1" si="654"/>
        <v>0</v>
      </c>
      <c r="HK40" s="235">
        <f t="shared" ca="1" si="191"/>
        <v>0</v>
      </c>
      <c r="HL40" s="235">
        <f t="shared" ca="1" si="192"/>
        <v>0</v>
      </c>
      <c r="HM40" s="242">
        <f t="shared" ca="1" si="193"/>
        <v>0</v>
      </c>
      <c r="HN40" s="241">
        <f t="shared" ca="1" si="570"/>
        <v>1</v>
      </c>
      <c r="HO40" s="220">
        <f t="shared" ca="1" si="655"/>
        <v>0</v>
      </c>
      <c r="HP40" s="220">
        <f t="shared" ca="1" si="656"/>
        <v>0</v>
      </c>
      <c r="HQ40" s="235">
        <f t="shared" ca="1" si="196"/>
        <v>0</v>
      </c>
      <c r="HR40" s="235">
        <f t="shared" ca="1" si="197"/>
        <v>0</v>
      </c>
      <c r="HS40" s="242">
        <f t="shared" ca="1" si="198"/>
        <v>0</v>
      </c>
      <c r="HT40" s="241">
        <f t="shared" ca="1" si="570"/>
        <v>1</v>
      </c>
      <c r="HU40" s="220">
        <f t="shared" ca="1" si="657"/>
        <v>0</v>
      </c>
      <c r="HV40" s="220">
        <f t="shared" ca="1" si="658"/>
        <v>0</v>
      </c>
      <c r="HW40" s="235">
        <f t="shared" ca="1" si="201"/>
        <v>0</v>
      </c>
      <c r="HX40" s="235">
        <f t="shared" ca="1" si="202"/>
        <v>0</v>
      </c>
      <c r="HY40" s="242">
        <f t="shared" ca="1" si="203"/>
        <v>0</v>
      </c>
      <c r="HZ40" s="241">
        <f t="shared" ca="1" si="570"/>
        <v>1</v>
      </c>
      <c r="IA40" s="220">
        <f t="shared" ca="1" si="659"/>
        <v>0</v>
      </c>
      <c r="IB40" s="220">
        <f t="shared" ca="1" si="660"/>
        <v>0</v>
      </c>
      <c r="IC40" s="235">
        <f t="shared" ca="1" si="206"/>
        <v>0</v>
      </c>
      <c r="ID40" s="235">
        <f t="shared" ca="1" si="207"/>
        <v>0</v>
      </c>
      <c r="IE40" s="242">
        <f t="shared" ca="1" si="208"/>
        <v>0</v>
      </c>
      <c r="IF40" s="241">
        <f t="shared" ca="1" si="570"/>
        <v>1</v>
      </c>
      <c r="IG40" s="220">
        <f t="shared" ca="1" si="661"/>
        <v>0</v>
      </c>
      <c r="IH40" s="220">
        <f t="shared" ca="1" si="662"/>
        <v>0</v>
      </c>
      <c r="II40" s="235">
        <f t="shared" ca="1" si="211"/>
        <v>0</v>
      </c>
      <c r="IJ40" s="235">
        <f t="shared" ca="1" si="212"/>
        <v>0</v>
      </c>
      <c r="IK40" s="242">
        <f t="shared" ca="1" si="213"/>
        <v>0</v>
      </c>
      <c r="IL40" s="241">
        <f t="shared" ca="1" si="570"/>
        <v>1</v>
      </c>
      <c r="IM40" s="220">
        <f t="shared" ca="1" si="663"/>
        <v>0</v>
      </c>
      <c r="IN40" s="220">
        <f t="shared" ca="1" si="664"/>
        <v>0</v>
      </c>
      <c r="IO40" s="235">
        <f t="shared" ca="1" si="216"/>
        <v>0</v>
      </c>
      <c r="IP40" s="235">
        <f t="shared" ca="1" si="217"/>
        <v>0</v>
      </c>
      <c r="IQ40" s="242">
        <f t="shared" ca="1" si="218"/>
        <v>0</v>
      </c>
      <c r="IR40" s="241">
        <f t="shared" ca="1" si="570"/>
        <v>1</v>
      </c>
      <c r="IS40" s="220">
        <f t="shared" ca="1" si="665"/>
        <v>0</v>
      </c>
      <c r="IT40" s="220">
        <f t="shared" ca="1" si="666"/>
        <v>0</v>
      </c>
      <c r="IU40" s="235">
        <f t="shared" ca="1" si="222"/>
        <v>0</v>
      </c>
      <c r="IV40" s="235">
        <f t="shared" ca="1" si="223"/>
        <v>0</v>
      </c>
      <c r="IW40" s="242">
        <f t="shared" ca="1" si="224"/>
        <v>0</v>
      </c>
      <c r="IX40" s="241">
        <f t="shared" ca="1" si="570"/>
        <v>1</v>
      </c>
      <c r="IY40" s="220">
        <f t="shared" ca="1" si="667"/>
        <v>0</v>
      </c>
      <c r="IZ40" s="220">
        <f t="shared" ca="1" si="668"/>
        <v>0</v>
      </c>
      <c r="JA40" s="235">
        <f t="shared" ca="1" si="227"/>
        <v>0</v>
      </c>
      <c r="JB40" s="235">
        <f t="shared" ca="1" si="228"/>
        <v>0</v>
      </c>
      <c r="JC40" s="242">
        <f t="shared" ca="1" si="229"/>
        <v>0</v>
      </c>
      <c r="JD40" s="241">
        <f t="shared" ca="1" si="563"/>
        <v>1</v>
      </c>
      <c r="JE40" s="220">
        <f t="shared" ca="1" si="669"/>
        <v>0</v>
      </c>
      <c r="JF40" s="220">
        <f t="shared" ca="1" si="670"/>
        <v>0</v>
      </c>
      <c r="JG40" s="235">
        <f t="shared" ca="1" si="232"/>
        <v>0</v>
      </c>
      <c r="JH40" s="235">
        <f t="shared" ca="1" si="233"/>
        <v>0</v>
      </c>
      <c r="JI40" s="242">
        <f t="shared" ca="1" si="234"/>
        <v>0</v>
      </c>
      <c r="JJ40" s="241">
        <f t="shared" ca="1" si="563"/>
        <v>1</v>
      </c>
      <c r="JK40" s="220">
        <f t="shared" ca="1" si="671"/>
        <v>0</v>
      </c>
      <c r="JL40" s="220">
        <f t="shared" ca="1" si="672"/>
        <v>0</v>
      </c>
      <c r="JM40" s="235">
        <f t="shared" ca="1" si="237"/>
        <v>0</v>
      </c>
      <c r="JN40" s="235">
        <f t="shared" ca="1" si="238"/>
        <v>0</v>
      </c>
      <c r="JO40" s="242">
        <f t="shared" ca="1" si="239"/>
        <v>0</v>
      </c>
      <c r="JP40" s="241">
        <f t="shared" ca="1" si="571"/>
        <v>1</v>
      </c>
      <c r="JQ40" s="220">
        <f t="shared" ca="1" si="673"/>
        <v>0</v>
      </c>
      <c r="JR40" s="220">
        <f t="shared" ca="1" si="674"/>
        <v>0</v>
      </c>
      <c r="JS40" s="235">
        <f t="shared" ca="1" si="242"/>
        <v>0</v>
      </c>
      <c r="JT40" s="235">
        <f t="shared" ca="1" si="243"/>
        <v>0</v>
      </c>
      <c r="JU40" s="242">
        <f t="shared" ca="1" si="244"/>
        <v>0</v>
      </c>
      <c r="JV40" s="241">
        <f t="shared" ca="1" si="571"/>
        <v>1</v>
      </c>
      <c r="JW40" s="220">
        <f t="shared" ca="1" si="675"/>
        <v>0</v>
      </c>
      <c r="JX40" s="220">
        <f t="shared" ca="1" si="676"/>
        <v>0</v>
      </c>
      <c r="JY40" s="235">
        <f t="shared" ca="1" si="247"/>
        <v>0</v>
      </c>
      <c r="JZ40" s="235">
        <f t="shared" ca="1" si="248"/>
        <v>0</v>
      </c>
      <c r="KA40" s="242">
        <f t="shared" ca="1" si="249"/>
        <v>0</v>
      </c>
      <c r="KB40" s="241">
        <f t="shared" ca="1" si="571"/>
        <v>1</v>
      </c>
      <c r="KC40" s="220">
        <f t="shared" ca="1" si="677"/>
        <v>0</v>
      </c>
      <c r="KD40" s="220">
        <f t="shared" ca="1" si="678"/>
        <v>0</v>
      </c>
      <c r="KE40" s="235">
        <f t="shared" ca="1" si="252"/>
        <v>0</v>
      </c>
      <c r="KF40" s="235">
        <f t="shared" ca="1" si="253"/>
        <v>0</v>
      </c>
      <c r="KG40" s="242">
        <f t="shared" ca="1" si="254"/>
        <v>0</v>
      </c>
      <c r="KH40" s="241">
        <f t="shared" ca="1" si="571"/>
        <v>1</v>
      </c>
      <c r="KI40" s="220">
        <f t="shared" ca="1" si="679"/>
        <v>0</v>
      </c>
      <c r="KJ40" s="220">
        <f t="shared" ca="1" si="680"/>
        <v>0</v>
      </c>
      <c r="KK40" s="235">
        <f t="shared" ca="1" si="257"/>
        <v>0</v>
      </c>
      <c r="KL40" s="235">
        <f t="shared" ca="1" si="258"/>
        <v>0</v>
      </c>
      <c r="KM40" s="242">
        <f t="shared" ca="1" si="259"/>
        <v>0</v>
      </c>
      <c r="KN40" s="241">
        <f t="shared" ca="1" si="571"/>
        <v>1</v>
      </c>
      <c r="KO40" s="220">
        <f t="shared" ca="1" si="681"/>
        <v>0</v>
      </c>
      <c r="KP40" s="220">
        <f t="shared" ca="1" si="682"/>
        <v>0</v>
      </c>
      <c r="KQ40" s="235">
        <f t="shared" ca="1" si="262"/>
        <v>0</v>
      </c>
      <c r="KR40" s="235">
        <f t="shared" ca="1" si="263"/>
        <v>0</v>
      </c>
      <c r="KS40" s="242">
        <f t="shared" ca="1" si="264"/>
        <v>0</v>
      </c>
      <c r="KT40" s="241">
        <f t="shared" ca="1" si="571"/>
        <v>1</v>
      </c>
      <c r="KU40" s="220">
        <f t="shared" ca="1" si="683"/>
        <v>0</v>
      </c>
      <c r="KV40" s="220">
        <f t="shared" ca="1" si="684"/>
        <v>0</v>
      </c>
      <c r="KW40" s="235">
        <f t="shared" ca="1" si="267"/>
        <v>0</v>
      </c>
      <c r="KX40" s="235">
        <f t="shared" ca="1" si="268"/>
        <v>0</v>
      </c>
      <c r="KY40" s="242">
        <f t="shared" ca="1" si="269"/>
        <v>0</v>
      </c>
      <c r="KZ40" s="241">
        <f t="shared" ca="1" si="571"/>
        <v>1</v>
      </c>
      <c r="LA40" s="220">
        <f t="shared" ca="1" si="685"/>
        <v>0</v>
      </c>
      <c r="LB40" s="220">
        <f t="shared" ca="1" si="686"/>
        <v>0</v>
      </c>
      <c r="LC40" s="235">
        <f t="shared" ca="1" si="272"/>
        <v>0</v>
      </c>
      <c r="LD40" s="235">
        <f t="shared" ca="1" si="273"/>
        <v>0</v>
      </c>
      <c r="LE40" s="242">
        <f t="shared" ca="1" si="274"/>
        <v>0</v>
      </c>
      <c r="LF40" s="241">
        <f t="shared" ca="1" si="571"/>
        <v>1</v>
      </c>
      <c r="LG40" s="220">
        <f t="shared" ca="1" si="687"/>
        <v>0</v>
      </c>
      <c r="LH40" s="220">
        <f t="shared" ca="1" si="688"/>
        <v>0</v>
      </c>
      <c r="LI40" s="235">
        <f t="shared" ca="1" si="278"/>
        <v>0</v>
      </c>
      <c r="LJ40" s="235">
        <f t="shared" ca="1" si="279"/>
        <v>0</v>
      </c>
      <c r="LK40" s="242">
        <f t="shared" ca="1" si="280"/>
        <v>0</v>
      </c>
      <c r="LL40" s="241">
        <f t="shared" ca="1" si="571"/>
        <v>1</v>
      </c>
      <c r="LM40" s="220">
        <f t="shared" ca="1" si="689"/>
        <v>0</v>
      </c>
      <c r="LN40" s="220">
        <f t="shared" ca="1" si="690"/>
        <v>0</v>
      </c>
      <c r="LO40" s="235">
        <f t="shared" ca="1" si="283"/>
        <v>0</v>
      </c>
      <c r="LP40" s="235">
        <f t="shared" ca="1" si="284"/>
        <v>0</v>
      </c>
      <c r="LQ40" s="242">
        <f t="shared" ca="1" si="285"/>
        <v>0</v>
      </c>
      <c r="LR40" s="241">
        <f t="shared" ca="1" si="571"/>
        <v>1</v>
      </c>
      <c r="LS40" s="220">
        <f t="shared" ca="1" si="691"/>
        <v>0</v>
      </c>
      <c r="LT40" s="220">
        <f t="shared" ca="1" si="692"/>
        <v>0</v>
      </c>
      <c r="LU40" s="235">
        <f t="shared" ca="1" si="288"/>
        <v>0</v>
      </c>
      <c r="LV40" s="235">
        <f t="shared" ca="1" si="289"/>
        <v>0</v>
      </c>
      <c r="LW40" s="242">
        <f t="shared" ca="1" si="290"/>
        <v>0</v>
      </c>
      <c r="LX40" s="241">
        <f t="shared" ca="1" si="571"/>
        <v>1</v>
      </c>
      <c r="LY40" s="220">
        <f t="shared" ca="1" si="693"/>
        <v>0</v>
      </c>
      <c r="LZ40" s="220">
        <f t="shared" ca="1" si="694"/>
        <v>0</v>
      </c>
      <c r="MA40" s="235">
        <f t="shared" ca="1" si="293"/>
        <v>0</v>
      </c>
      <c r="MB40" s="235">
        <f t="shared" ca="1" si="294"/>
        <v>0</v>
      </c>
      <c r="MC40" s="242">
        <f t="shared" ca="1" si="295"/>
        <v>0</v>
      </c>
      <c r="MD40" s="241">
        <f t="shared" ca="1" si="564"/>
        <v>1</v>
      </c>
      <c r="ME40" s="220">
        <f t="shared" ca="1" si="695"/>
        <v>0</v>
      </c>
      <c r="MF40" s="220">
        <f t="shared" ca="1" si="696"/>
        <v>0</v>
      </c>
      <c r="MG40" s="235">
        <f t="shared" ca="1" si="298"/>
        <v>0</v>
      </c>
      <c r="MH40" s="235">
        <f t="shared" ca="1" si="299"/>
        <v>0</v>
      </c>
      <c r="MI40" s="242">
        <f t="shared" ca="1" si="300"/>
        <v>0</v>
      </c>
      <c r="MJ40" s="241">
        <f t="shared" ca="1" si="564"/>
        <v>1</v>
      </c>
      <c r="MK40" s="220">
        <f t="shared" ca="1" si="697"/>
        <v>0</v>
      </c>
      <c r="ML40" s="220">
        <f t="shared" ca="1" si="698"/>
        <v>0</v>
      </c>
      <c r="MM40" s="235">
        <f t="shared" ca="1" si="303"/>
        <v>0</v>
      </c>
      <c r="MN40" s="235">
        <f t="shared" ca="1" si="304"/>
        <v>0</v>
      </c>
      <c r="MO40" s="242">
        <f t="shared" ca="1" si="305"/>
        <v>0</v>
      </c>
      <c r="MP40" s="241">
        <f t="shared" ca="1" si="572"/>
        <v>1</v>
      </c>
      <c r="MQ40" s="220">
        <f t="shared" ca="1" si="699"/>
        <v>0</v>
      </c>
      <c r="MR40" s="220">
        <f t="shared" ca="1" si="700"/>
        <v>0</v>
      </c>
      <c r="MS40" s="235">
        <f t="shared" ca="1" si="308"/>
        <v>0</v>
      </c>
      <c r="MT40" s="235">
        <f t="shared" ca="1" si="309"/>
        <v>0</v>
      </c>
      <c r="MU40" s="242">
        <f t="shared" ca="1" si="310"/>
        <v>0</v>
      </c>
      <c r="MV40" s="241">
        <f t="shared" ca="1" si="572"/>
        <v>1</v>
      </c>
      <c r="MW40" s="220">
        <f t="shared" ca="1" si="701"/>
        <v>0</v>
      </c>
      <c r="MX40" s="220">
        <f t="shared" ca="1" si="702"/>
        <v>0</v>
      </c>
      <c r="MY40" s="235">
        <f t="shared" ca="1" si="313"/>
        <v>0</v>
      </c>
      <c r="MZ40" s="235">
        <f t="shared" ca="1" si="314"/>
        <v>0</v>
      </c>
      <c r="NA40" s="242">
        <f t="shared" ca="1" si="315"/>
        <v>0</v>
      </c>
      <c r="NB40" s="241">
        <f t="shared" ca="1" si="572"/>
        <v>1</v>
      </c>
      <c r="NC40" s="220">
        <f t="shared" ca="1" si="703"/>
        <v>0</v>
      </c>
      <c r="ND40" s="220">
        <f t="shared" ca="1" si="704"/>
        <v>0</v>
      </c>
      <c r="NE40" s="235">
        <f t="shared" ca="1" si="318"/>
        <v>0</v>
      </c>
      <c r="NF40" s="235">
        <f t="shared" ca="1" si="319"/>
        <v>0</v>
      </c>
      <c r="NG40" s="242">
        <f t="shared" ca="1" si="320"/>
        <v>0</v>
      </c>
      <c r="NH40" s="241">
        <f t="shared" ca="1" si="572"/>
        <v>1</v>
      </c>
      <c r="NI40" s="220">
        <f t="shared" ca="1" si="705"/>
        <v>0</v>
      </c>
      <c r="NJ40" s="220">
        <f t="shared" ca="1" si="706"/>
        <v>0</v>
      </c>
      <c r="NK40" s="235">
        <f t="shared" ca="1" si="323"/>
        <v>0</v>
      </c>
      <c r="NL40" s="235">
        <f t="shared" ca="1" si="324"/>
        <v>0</v>
      </c>
      <c r="NM40" s="242">
        <f t="shared" ca="1" si="325"/>
        <v>0</v>
      </c>
      <c r="NN40" s="241">
        <f t="shared" ca="1" si="572"/>
        <v>1</v>
      </c>
      <c r="NO40" s="220">
        <f t="shared" ca="1" si="707"/>
        <v>0</v>
      </c>
      <c r="NP40" s="220">
        <f t="shared" ca="1" si="708"/>
        <v>0</v>
      </c>
      <c r="NQ40" s="235">
        <f t="shared" ca="1" si="328"/>
        <v>0</v>
      </c>
      <c r="NR40" s="235">
        <f t="shared" ca="1" si="329"/>
        <v>0</v>
      </c>
      <c r="NS40" s="242">
        <f t="shared" ca="1" si="330"/>
        <v>0</v>
      </c>
      <c r="NT40" s="241">
        <f t="shared" ca="1" si="572"/>
        <v>1</v>
      </c>
      <c r="NU40" s="220">
        <f t="shared" ca="1" si="709"/>
        <v>0</v>
      </c>
      <c r="NV40" s="220">
        <f t="shared" ca="1" si="710"/>
        <v>0</v>
      </c>
      <c r="NW40" s="235">
        <f t="shared" ca="1" si="334"/>
        <v>0</v>
      </c>
      <c r="NX40" s="235">
        <f t="shared" ca="1" si="335"/>
        <v>0</v>
      </c>
      <c r="NY40" s="242">
        <f t="shared" ca="1" si="336"/>
        <v>0</v>
      </c>
      <c r="NZ40" s="241">
        <f t="shared" ca="1" si="572"/>
        <v>1</v>
      </c>
      <c r="OA40" s="220">
        <f t="shared" ca="1" si="711"/>
        <v>0</v>
      </c>
      <c r="OB40" s="220">
        <f t="shared" ca="1" si="712"/>
        <v>0</v>
      </c>
      <c r="OC40" s="235">
        <f t="shared" ca="1" si="339"/>
        <v>0</v>
      </c>
      <c r="OD40" s="235">
        <f t="shared" ca="1" si="340"/>
        <v>0</v>
      </c>
      <c r="OE40" s="242">
        <f t="shared" ca="1" si="341"/>
        <v>0</v>
      </c>
      <c r="OF40" s="241">
        <f t="shared" ca="1" si="572"/>
        <v>1</v>
      </c>
      <c r="OG40" s="220">
        <f t="shared" ca="1" si="713"/>
        <v>0</v>
      </c>
      <c r="OH40" s="220">
        <f t="shared" ca="1" si="714"/>
        <v>0</v>
      </c>
      <c r="OI40" s="235">
        <f t="shared" ca="1" si="344"/>
        <v>0</v>
      </c>
      <c r="OJ40" s="235">
        <f t="shared" ca="1" si="345"/>
        <v>0</v>
      </c>
      <c r="OK40" s="242">
        <f t="shared" ca="1" si="346"/>
        <v>0</v>
      </c>
      <c r="OL40" s="241">
        <f t="shared" ca="1" si="572"/>
        <v>1</v>
      </c>
      <c r="OM40" s="220">
        <f t="shared" ca="1" si="715"/>
        <v>0</v>
      </c>
      <c r="ON40" s="220">
        <f t="shared" ca="1" si="716"/>
        <v>0</v>
      </c>
      <c r="OO40" s="235">
        <f t="shared" ca="1" si="349"/>
        <v>0</v>
      </c>
      <c r="OP40" s="235">
        <f t="shared" ca="1" si="350"/>
        <v>0</v>
      </c>
      <c r="OQ40" s="242">
        <f t="shared" ca="1" si="351"/>
        <v>0</v>
      </c>
      <c r="OR40" s="241">
        <f t="shared" ca="1" si="572"/>
        <v>1</v>
      </c>
      <c r="OS40" s="220">
        <f t="shared" ca="1" si="717"/>
        <v>0</v>
      </c>
      <c r="OT40" s="220">
        <f t="shared" ca="1" si="718"/>
        <v>0</v>
      </c>
      <c r="OU40" s="235">
        <f t="shared" ca="1" si="354"/>
        <v>0</v>
      </c>
      <c r="OV40" s="235">
        <f t="shared" ca="1" si="355"/>
        <v>0</v>
      </c>
      <c r="OW40" s="242">
        <f t="shared" ca="1" si="356"/>
        <v>0</v>
      </c>
      <c r="OX40" s="241">
        <f t="shared" ca="1" si="572"/>
        <v>1</v>
      </c>
      <c r="OY40" s="220">
        <f t="shared" ca="1" si="719"/>
        <v>0</v>
      </c>
      <c r="OZ40" s="220">
        <f t="shared" ca="1" si="720"/>
        <v>0</v>
      </c>
      <c r="PA40" s="235">
        <f t="shared" ca="1" si="359"/>
        <v>0</v>
      </c>
      <c r="PB40" s="235">
        <f t="shared" ca="1" si="360"/>
        <v>0</v>
      </c>
      <c r="PC40" s="242">
        <f t="shared" ca="1" si="361"/>
        <v>0</v>
      </c>
      <c r="PD40" s="241">
        <f t="shared" ca="1" si="565"/>
        <v>1</v>
      </c>
      <c r="PE40" s="220">
        <f t="shared" ca="1" si="721"/>
        <v>0</v>
      </c>
      <c r="PF40" s="220">
        <f t="shared" ca="1" si="722"/>
        <v>0</v>
      </c>
      <c r="PG40" s="235">
        <f t="shared" ca="1" si="364"/>
        <v>0</v>
      </c>
      <c r="PH40" s="235">
        <f t="shared" ca="1" si="365"/>
        <v>0</v>
      </c>
      <c r="PI40" s="242">
        <f t="shared" ca="1" si="366"/>
        <v>0</v>
      </c>
      <c r="PJ40" s="241">
        <f t="shared" ca="1" si="565"/>
        <v>1</v>
      </c>
      <c r="PK40" s="220">
        <f t="shared" ca="1" si="723"/>
        <v>0</v>
      </c>
      <c r="PL40" s="220">
        <f t="shared" ca="1" si="724"/>
        <v>0</v>
      </c>
      <c r="PM40" s="235">
        <f t="shared" ca="1" si="369"/>
        <v>0</v>
      </c>
      <c r="PN40" s="235">
        <f t="shared" ca="1" si="370"/>
        <v>0</v>
      </c>
      <c r="PO40" s="242">
        <f t="shared" ca="1" si="371"/>
        <v>0</v>
      </c>
      <c r="PP40" s="241">
        <f t="shared" ca="1" si="573"/>
        <v>1</v>
      </c>
      <c r="PQ40" s="220">
        <f t="shared" ca="1" si="725"/>
        <v>0</v>
      </c>
      <c r="PR40" s="220">
        <f t="shared" ca="1" si="726"/>
        <v>0</v>
      </c>
      <c r="PS40" s="235">
        <f t="shared" ca="1" si="374"/>
        <v>0</v>
      </c>
      <c r="PT40" s="235">
        <f t="shared" ca="1" si="375"/>
        <v>0</v>
      </c>
      <c r="PU40" s="242">
        <f t="shared" ca="1" si="376"/>
        <v>0</v>
      </c>
      <c r="PV40" s="241">
        <f t="shared" ca="1" si="573"/>
        <v>1</v>
      </c>
      <c r="PW40" s="220">
        <f t="shared" ca="1" si="727"/>
        <v>0</v>
      </c>
      <c r="PX40" s="220">
        <f t="shared" ca="1" si="728"/>
        <v>0</v>
      </c>
      <c r="PY40" s="235">
        <f t="shared" ca="1" si="379"/>
        <v>0</v>
      </c>
      <c r="PZ40" s="235">
        <f t="shared" ca="1" si="380"/>
        <v>0</v>
      </c>
      <c r="QA40" s="242">
        <f t="shared" ca="1" si="381"/>
        <v>0</v>
      </c>
      <c r="QB40" s="241">
        <f t="shared" ca="1" si="573"/>
        <v>1</v>
      </c>
      <c r="QC40" s="220">
        <f t="shared" ca="1" si="729"/>
        <v>0</v>
      </c>
      <c r="QD40" s="220">
        <f t="shared" ca="1" si="730"/>
        <v>0</v>
      </c>
      <c r="QE40" s="235">
        <f t="shared" ca="1" si="384"/>
        <v>0</v>
      </c>
      <c r="QF40" s="235">
        <f t="shared" ca="1" si="385"/>
        <v>0</v>
      </c>
      <c r="QG40" s="242">
        <f t="shared" ca="1" si="386"/>
        <v>0</v>
      </c>
      <c r="QH40" s="241">
        <f t="shared" ca="1" si="573"/>
        <v>1</v>
      </c>
      <c r="QI40" s="220">
        <f t="shared" ca="1" si="731"/>
        <v>0</v>
      </c>
      <c r="QJ40" s="220">
        <f t="shared" ca="1" si="732"/>
        <v>0</v>
      </c>
      <c r="QK40" s="235">
        <f t="shared" ca="1" si="390"/>
        <v>0</v>
      </c>
      <c r="QL40" s="235">
        <f t="shared" ca="1" si="391"/>
        <v>0</v>
      </c>
      <c r="QM40" s="242">
        <f t="shared" ca="1" si="392"/>
        <v>0</v>
      </c>
      <c r="QN40" s="241">
        <f t="shared" ca="1" si="573"/>
        <v>1</v>
      </c>
      <c r="QO40" s="220">
        <f t="shared" ca="1" si="733"/>
        <v>0</v>
      </c>
      <c r="QP40" s="220">
        <f t="shared" ca="1" si="734"/>
        <v>0</v>
      </c>
      <c r="QQ40" s="235">
        <f t="shared" ca="1" si="395"/>
        <v>0</v>
      </c>
      <c r="QR40" s="235">
        <f t="shared" ca="1" si="396"/>
        <v>0</v>
      </c>
      <c r="QS40" s="242">
        <f t="shared" ca="1" si="397"/>
        <v>0</v>
      </c>
      <c r="QT40" s="241">
        <f t="shared" ca="1" si="573"/>
        <v>1</v>
      </c>
      <c r="QU40" s="220">
        <f t="shared" ca="1" si="735"/>
        <v>0</v>
      </c>
      <c r="QV40" s="220">
        <f t="shared" ca="1" si="736"/>
        <v>0</v>
      </c>
      <c r="QW40" s="235">
        <f t="shared" ca="1" si="400"/>
        <v>0</v>
      </c>
      <c r="QX40" s="235">
        <f t="shared" ca="1" si="401"/>
        <v>0</v>
      </c>
      <c r="QY40" s="242">
        <f t="shared" ca="1" si="402"/>
        <v>0</v>
      </c>
      <c r="QZ40" s="241">
        <f t="shared" ca="1" si="573"/>
        <v>1</v>
      </c>
      <c r="RA40" s="220">
        <f t="shared" ca="1" si="737"/>
        <v>0</v>
      </c>
      <c r="RB40" s="220">
        <f t="shared" ca="1" si="738"/>
        <v>0</v>
      </c>
      <c r="RC40" s="235">
        <f t="shared" ca="1" si="405"/>
        <v>0</v>
      </c>
      <c r="RD40" s="235">
        <f t="shared" ca="1" si="406"/>
        <v>0</v>
      </c>
      <c r="RE40" s="242">
        <f t="shared" ca="1" si="407"/>
        <v>0</v>
      </c>
      <c r="RF40" s="241">
        <f t="shared" ca="1" si="573"/>
        <v>1</v>
      </c>
      <c r="RG40" s="220">
        <f t="shared" ca="1" si="739"/>
        <v>0</v>
      </c>
      <c r="RH40" s="220">
        <f t="shared" ca="1" si="740"/>
        <v>0</v>
      </c>
      <c r="RI40" s="235">
        <f t="shared" ca="1" si="410"/>
        <v>0</v>
      </c>
      <c r="RJ40" s="235">
        <f t="shared" ca="1" si="411"/>
        <v>0</v>
      </c>
      <c r="RK40" s="242">
        <f t="shared" ca="1" si="412"/>
        <v>0</v>
      </c>
      <c r="RL40" s="241">
        <f t="shared" ca="1" si="573"/>
        <v>1</v>
      </c>
      <c r="RM40" s="220">
        <f t="shared" ca="1" si="741"/>
        <v>0</v>
      </c>
      <c r="RN40" s="220">
        <f t="shared" ca="1" si="742"/>
        <v>0</v>
      </c>
      <c r="RO40" s="235">
        <f t="shared" ca="1" si="415"/>
        <v>0</v>
      </c>
      <c r="RP40" s="235">
        <f t="shared" ca="1" si="416"/>
        <v>0</v>
      </c>
      <c r="RQ40" s="242">
        <f t="shared" ca="1" si="417"/>
        <v>0</v>
      </c>
      <c r="RR40" s="241">
        <f t="shared" ca="1" si="573"/>
        <v>1</v>
      </c>
      <c r="RS40" s="220">
        <f t="shared" ca="1" si="743"/>
        <v>0</v>
      </c>
      <c r="RT40" s="220">
        <f t="shared" ca="1" si="744"/>
        <v>0</v>
      </c>
      <c r="RU40" s="235">
        <f t="shared" ca="1" si="420"/>
        <v>0</v>
      </c>
      <c r="RV40" s="235">
        <f t="shared" ca="1" si="421"/>
        <v>0</v>
      </c>
      <c r="RW40" s="242">
        <f t="shared" ca="1" si="422"/>
        <v>0</v>
      </c>
      <c r="RX40" s="241">
        <f t="shared" ca="1" si="573"/>
        <v>1</v>
      </c>
      <c r="RY40" s="220">
        <f t="shared" ca="1" si="745"/>
        <v>0</v>
      </c>
      <c r="RZ40" s="220">
        <f t="shared" ca="1" si="746"/>
        <v>0</v>
      </c>
      <c r="SA40" s="235">
        <f t="shared" ca="1" si="425"/>
        <v>0</v>
      </c>
      <c r="SB40" s="235">
        <f t="shared" ca="1" si="426"/>
        <v>0</v>
      </c>
      <c r="SC40" s="242">
        <f t="shared" ca="1" si="427"/>
        <v>0</v>
      </c>
      <c r="SD40" s="241">
        <f t="shared" ca="1" si="566"/>
        <v>1</v>
      </c>
      <c r="SE40" s="220">
        <f t="shared" ca="1" si="747"/>
        <v>0</v>
      </c>
      <c r="SF40" s="220">
        <f t="shared" ca="1" si="748"/>
        <v>0</v>
      </c>
      <c r="SG40" s="235">
        <f t="shared" ca="1" si="430"/>
        <v>0</v>
      </c>
      <c r="SH40" s="235">
        <f t="shared" ca="1" si="431"/>
        <v>0</v>
      </c>
      <c r="SI40" s="242">
        <f t="shared" ca="1" si="432"/>
        <v>0</v>
      </c>
      <c r="SJ40" s="241">
        <f t="shared" ca="1" si="566"/>
        <v>1</v>
      </c>
      <c r="SK40" s="220">
        <f t="shared" ca="1" si="749"/>
        <v>0</v>
      </c>
      <c r="SL40" s="220">
        <f t="shared" ca="1" si="750"/>
        <v>0</v>
      </c>
      <c r="SM40" s="235">
        <f t="shared" ca="1" si="435"/>
        <v>0</v>
      </c>
      <c r="SN40" s="235">
        <f t="shared" ca="1" si="436"/>
        <v>0</v>
      </c>
      <c r="SO40" s="242">
        <f t="shared" ca="1" si="437"/>
        <v>0</v>
      </c>
      <c r="SP40" s="241">
        <f t="shared" ca="1" si="576"/>
        <v>1</v>
      </c>
      <c r="SQ40" s="220">
        <f t="shared" ca="1" si="751"/>
        <v>0</v>
      </c>
      <c r="SR40" s="220">
        <f t="shared" ca="1" si="752"/>
        <v>0</v>
      </c>
      <c r="SS40" s="235">
        <f t="shared" ca="1" si="440"/>
        <v>0</v>
      </c>
      <c r="ST40" s="235">
        <f t="shared" ca="1" si="441"/>
        <v>0</v>
      </c>
      <c r="SU40" s="242">
        <f t="shared" ca="1" si="442"/>
        <v>0</v>
      </c>
      <c r="SV40" s="241">
        <f t="shared" ca="1" si="576"/>
        <v>1</v>
      </c>
      <c r="SW40" s="220">
        <f t="shared" ca="1" si="753"/>
        <v>0</v>
      </c>
      <c r="SX40" s="220">
        <f t="shared" ca="1" si="754"/>
        <v>0</v>
      </c>
      <c r="SY40" s="235">
        <f t="shared" ca="1" si="446"/>
        <v>0</v>
      </c>
      <c r="SZ40" s="235">
        <f t="shared" ca="1" si="447"/>
        <v>0</v>
      </c>
      <c r="TA40" s="242">
        <f t="shared" ca="1" si="448"/>
        <v>0</v>
      </c>
      <c r="TB40" s="241">
        <f t="shared" ca="1" si="576"/>
        <v>1</v>
      </c>
      <c r="TC40" s="220">
        <f t="shared" ca="1" si="755"/>
        <v>0</v>
      </c>
      <c r="TD40" s="220">
        <f t="shared" ca="1" si="756"/>
        <v>0</v>
      </c>
      <c r="TE40" s="235">
        <f t="shared" ca="1" si="451"/>
        <v>0</v>
      </c>
      <c r="TF40" s="235">
        <f t="shared" ca="1" si="452"/>
        <v>0</v>
      </c>
      <c r="TG40" s="242">
        <f t="shared" ca="1" si="453"/>
        <v>0</v>
      </c>
      <c r="TH40" s="241">
        <f t="shared" ca="1" si="576"/>
        <v>1</v>
      </c>
      <c r="TI40" s="220">
        <f t="shared" ca="1" si="757"/>
        <v>0</v>
      </c>
      <c r="TJ40" s="220">
        <f t="shared" ca="1" si="758"/>
        <v>0</v>
      </c>
      <c r="TK40" s="235">
        <f t="shared" ca="1" si="456"/>
        <v>0</v>
      </c>
      <c r="TL40" s="235">
        <f t="shared" ca="1" si="457"/>
        <v>0</v>
      </c>
      <c r="TM40" s="242">
        <f t="shared" ca="1" si="458"/>
        <v>0</v>
      </c>
      <c r="TN40" s="241">
        <f t="shared" ca="1" si="576"/>
        <v>1</v>
      </c>
      <c r="TO40" s="220">
        <f t="shared" ca="1" si="759"/>
        <v>0</v>
      </c>
      <c r="TP40" s="220">
        <f t="shared" ca="1" si="760"/>
        <v>0</v>
      </c>
      <c r="TQ40" s="235">
        <f t="shared" ca="1" si="461"/>
        <v>0</v>
      </c>
      <c r="TR40" s="235">
        <f t="shared" ca="1" si="462"/>
        <v>0</v>
      </c>
      <c r="TS40" s="242">
        <f t="shared" ca="1" si="463"/>
        <v>0</v>
      </c>
      <c r="TT40" s="241">
        <f t="shared" ca="1" si="576"/>
        <v>1</v>
      </c>
      <c r="TU40" s="220">
        <f t="shared" ca="1" si="761"/>
        <v>0</v>
      </c>
      <c r="TV40" s="220">
        <f t="shared" ca="1" si="762"/>
        <v>0</v>
      </c>
      <c r="TW40" s="235">
        <f t="shared" ca="1" si="466"/>
        <v>0</v>
      </c>
      <c r="TX40" s="235">
        <f t="shared" ca="1" si="467"/>
        <v>0</v>
      </c>
      <c r="TY40" s="242">
        <f t="shared" ca="1" si="468"/>
        <v>0</v>
      </c>
      <c r="TZ40" s="241">
        <f t="shared" ca="1" si="576"/>
        <v>1</v>
      </c>
      <c r="UA40" s="220">
        <f t="shared" ca="1" si="763"/>
        <v>0</v>
      </c>
      <c r="UB40" s="220">
        <f t="shared" ca="1" si="764"/>
        <v>0</v>
      </c>
      <c r="UC40" s="235">
        <f t="shared" ca="1" si="471"/>
        <v>0</v>
      </c>
      <c r="UD40" s="235">
        <f t="shared" ca="1" si="472"/>
        <v>0</v>
      </c>
      <c r="UE40" s="242">
        <f t="shared" ca="1" si="473"/>
        <v>0</v>
      </c>
      <c r="UF40" s="241">
        <f t="shared" ca="1" si="576"/>
        <v>1</v>
      </c>
      <c r="UG40" s="220">
        <f t="shared" ca="1" si="765"/>
        <v>0</v>
      </c>
      <c r="UH40" s="220">
        <f t="shared" ca="1" si="766"/>
        <v>0</v>
      </c>
      <c r="UI40" s="235">
        <f t="shared" ca="1" si="476"/>
        <v>0</v>
      </c>
      <c r="UJ40" s="235">
        <f t="shared" ca="1" si="477"/>
        <v>0</v>
      </c>
      <c r="UK40" s="242">
        <f t="shared" ca="1" si="478"/>
        <v>0</v>
      </c>
      <c r="UL40" s="241">
        <f t="shared" ca="1" si="576"/>
        <v>1</v>
      </c>
      <c r="UM40" s="220">
        <f t="shared" ca="1" si="767"/>
        <v>0</v>
      </c>
      <c r="UN40" s="220">
        <f t="shared" ca="1" si="768"/>
        <v>0</v>
      </c>
      <c r="UO40" s="235">
        <f t="shared" ca="1" si="481"/>
        <v>0</v>
      </c>
      <c r="UP40" s="235">
        <f t="shared" ca="1" si="482"/>
        <v>0</v>
      </c>
      <c r="UQ40" s="242">
        <f t="shared" ca="1" si="483"/>
        <v>0</v>
      </c>
      <c r="UR40" s="241">
        <f t="shared" ca="1" si="576"/>
        <v>1</v>
      </c>
      <c r="US40" s="220">
        <f t="shared" ca="1" si="769"/>
        <v>0</v>
      </c>
      <c r="UT40" s="220">
        <f t="shared" ca="1" si="770"/>
        <v>0</v>
      </c>
      <c r="UU40" s="235">
        <f t="shared" ca="1" si="486"/>
        <v>0</v>
      </c>
      <c r="UV40" s="235">
        <f t="shared" ca="1" si="487"/>
        <v>0</v>
      </c>
      <c r="UW40" s="242">
        <f t="shared" ca="1" si="488"/>
        <v>0</v>
      </c>
      <c r="UX40" s="241">
        <f t="shared" ca="1" si="576"/>
        <v>1</v>
      </c>
      <c r="UY40" s="220">
        <f t="shared" ca="1" si="771"/>
        <v>0</v>
      </c>
      <c r="UZ40" s="220">
        <f t="shared" ca="1" si="772"/>
        <v>0</v>
      </c>
      <c r="VA40" s="235">
        <f t="shared" ca="1" si="491"/>
        <v>0</v>
      </c>
      <c r="VB40" s="235">
        <f t="shared" ca="1" si="492"/>
        <v>0</v>
      </c>
      <c r="VC40" s="242">
        <f t="shared" ca="1" si="493"/>
        <v>0</v>
      </c>
      <c r="VD40" s="241">
        <f t="shared" ca="1" si="574"/>
        <v>1</v>
      </c>
      <c r="VE40" s="220">
        <f t="shared" ca="1" si="773"/>
        <v>0</v>
      </c>
      <c r="VF40" s="220">
        <f t="shared" ca="1" si="774"/>
        <v>0</v>
      </c>
      <c r="VG40" s="235">
        <f t="shared" ca="1" si="496"/>
        <v>0</v>
      </c>
      <c r="VH40" s="235">
        <f t="shared" ca="1" si="497"/>
        <v>0</v>
      </c>
      <c r="VI40" s="242">
        <f t="shared" ca="1" si="498"/>
        <v>0</v>
      </c>
      <c r="VJ40" s="241">
        <f t="shared" ca="1" si="567"/>
        <v>1</v>
      </c>
      <c r="VK40" s="220">
        <f t="shared" ca="1" si="775"/>
        <v>0</v>
      </c>
      <c r="VL40" s="220">
        <f t="shared" ca="1" si="776"/>
        <v>0</v>
      </c>
      <c r="VM40" s="235">
        <f t="shared" ca="1" si="502"/>
        <v>0</v>
      </c>
      <c r="VN40" s="235">
        <f t="shared" ca="1" si="503"/>
        <v>0</v>
      </c>
      <c r="VO40" s="242">
        <f t="shared" ca="1" si="504"/>
        <v>0</v>
      </c>
      <c r="VP40" s="241">
        <f t="shared" ca="1" si="567"/>
        <v>1</v>
      </c>
      <c r="VQ40" s="220">
        <f t="shared" ca="1" si="777"/>
        <v>0</v>
      </c>
      <c r="VR40" s="220">
        <f t="shared" ca="1" si="778"/>
        <v>0</v>
      </c>
      <c r="VS40" s="235">
        <f t="shared" ca="1" si="507"/>
        <v>0</v>
      </c>
      <c r="VT40" s="235">
        <f t="shared" ca="1" si="508"/>
        <v>0</v>
      </c>
      <c r="VU40" s="242">
        <f t="shared" ca="1" si="509"/>
        <v>0</v>
      </c>
      <c r="VV40" s="241">
        <f t="shared" ca="1" si="578"/>
        <v>1</v>
      </c>
      <c r="VW40" s="220">
        <f t="shared" ca="1" si="779"/>
        <v>0</v>
      </c>
      <c r="VX40" s="220">
        <f t="shared" ca="1" si="780"/>
        <v>0</v>
      </c>
      <c r="VY40" s="235">
        <f t="shared" ca="1" si="512"/>
        <v>0</v>
      </c>
      <c r="VZ40" s="235">
        <f t="shared" ca="1" si="513"/>
        <v>0</v>
      </c>
      <c r="WA40" s="242">
        <f t="shared" ca="1" si="514"/>
        <v>0</v>
      </c>
      <c r="WB40" s="241">
        <f t="shared" ca="1" si="578"/>
        <v>1</v>
      </c>
      <c r="WC40" s="220">
        <f t="shared" ca="1" si="781"/>
        <v>0</v>
      </c>
      <c r="WD40" s="220">
        <f t="shared" ca="1" si="782"/>
        <v>0</v>
      </c>
      <c r="WE40" s="235">
        <f t="shared" ca="1" si="517"/>
        <v>0</v>
      </c>
      <c r="WF40" s="235">
        <f t="shared" ca="1" si="518"/>
        <v>0</v>
      </c>
      <c r="WG40" s="242">
        <f t="shared" ca="1" si="519"/>
        <v>0</v>
      </c>
      <c r="WH40" s="241">
        <f t="shared" ca="1" si="578"/>
        <v>1</v>
      </c>
      <c r="WI40" s="220">
        <f t="shared" ca="1" si="783"/>
        <v>0</v>
      </c>
      <c r="WJ40" s="220">
        <f t="shared" ca="1" si="784"/>
        <v>0</v>
      </c>
      <c r="WK40" s="235">
        <f t="shared" ca="1" si="522"/>
        <v>0</v>
      </c>
      <c r="WL40" s="235">
        <f t="shared" ca="1" si="523"/>
        <v>0</v>
      </c>
      <c r="WM40" s="242">
        <f t="shared" ca="1" si="524"/>
        <v>0</v>
      </c>
      <c r="WN40" s="241">
        <f t="shared" ca="1" si="578"/>
        <v>1</v>
      </c>
      <c r="WO40" s="220">
        <f t="shared" ca="1" si="785"/>
        <v>0</v>
      </c>
      <c r="WP40" s="220">
        <f t="shared" ca="1" si="786"/>
        <v>0</v>
      </c>
      <c r="WQ40" s="235">
        <f t="shared" ca="1" si="527"/>
        <v>0</v>
      </c>
      <c r="WR40" s="235">
        <f t="shared" ca="1" si="528"/>
        <v>0</v>
      </c>
      <c r="WS40" s="242">
        <f t="shared" ca="1" si="529"/>
        <v>0</v>
      </c>
      <c r="WT40" s="241">
        <f t="shared" ca="1" si="578"/>
        <v>1</v>
      </c>
      <c r="WU40" s="220">
        <f t="shared" ca="1" si="787"/>
        <v>0</v>
      </c>
      <c r="WV40" s="220">
        <f t="shared" ca="1" si="788"/>
        <v>0</v>
      </c>
      <c r="WW40" s="235">
        <f t="shared" ca="1" si="532"/>
        <v>0</v>
      </c>
      <c r="WX40" s="235">
        <f t="shared" ca="1" si="533"/>
        <v>0</v>
      </c>
      <c r="WY40" s="242">
        <f t="shared" ca="1" si="534"/>
        <v>0</v>
      </c>
      <c r="WZ40" s="241">
        <f t="shared" ca="1" si="578"/>
        <v>1</v>
      </c>
      <c r="XA40" s="220">
        <f t="shared" ca="1" si="789"/>
        <v>0</v>
      </c>
      <c r="XB40" s="220">
        <f t="shared" ca="1" si="790"/>
        <v>0</v>
      </c>
      <c r="XC40" s="235">
        <f t="shared" ca="1" si="537"/>
        <v>0</v>
      </c>
      <c r="XD40" s="235">
        <f t="shared" ca="1" si="538"/>
        <v>0</v>
      </c>
      <c r="XE40" s="242">
        <f t="shared" ca="1" si="539"/>
        <v>0</v>
      </c>
      <c r="XF40" s="241">
        <f t="shared" ca="1" si="578"/>
        <v>1</v>
      </c>
      <c r="XG40" s="220">
        <f t="shared" ca="1" si="791"/>
        <v>0</v>
      </c>
      <c r="XH40" s="220">
        <f t="shared" ca="1" si="792"/>
        <v>0</v>
      </c>
      <c r="XI40" s="235">
        <f t="shared" ca="1" si="542"/>
        <v>0</v>
      </c>
      <c r="XJ40" s="235">
        <f t="shared" ca="1" si="543"/>
        <v>0</v>
      </c>
      <c r="XK40" s="242">
        <f t="shared" ca="1" si="544"/>
        <v>0</v>
      </c>
    </row>
    <row r="41" spans="2:635" x14ac:dyDescent="0.25">
      <c r="B41" s="65">
        <f t="shared" ca="1" si="14"/>
        <v>2056</v>
      </c>
      <c r="C41" s="65" t="s">
        <v>741</v>
      </c>
      <c r="D41" s="77">
        <f t="shared" si="580"/>
        <v>0</v>
      </c>
      <c r="E41" s="77">
        <f t="shared" si="581"/>
        <v>0</v>
      </c>
      <c r="F41" s="77">
        <f t="shared" si="17"/>
        <v>0</v>
      </c>
      <c r="G41" s="77">
        <f t="shared" si="18"/>
        <v>0</v>
      </c>
      <c r="H41" s="15" t="e">
        <f t="shared" ca="1" si="582"/>
        <v>#REF!</v>
      </c>
      <c r="L41" s="326">
        <f t="shared" ca="1" si="583"/>
        <v>3.5000000000000003E-2</v>
      </c>
      <c r="M41" s="327">
        <f t="shared" ca="1" si="584"/>
        <v>3.5000000000000003E-2</v>
      </c>
      <c r="N41" s="322">
        <f t="shared" ca="1" si="579"/>
        <v>-33</v>
      </c>
      <c r="O41" s="322">
        <f t="shared" ca="1" si="585"/>
        <v>0</v>
      </c>
      <c r="P41" s="328">
        <f t="shared" ca="1" si="545"/>
        <v>0</v>
      </c>
      <c r="Q41" s="328">
        <f t="shared" ca="1" si="546"/>
        <v>0</v>
      </c>
      <c r="R41" s="328">
        <f t="shared" ca="1" si="547"/>
        <v>0</v>
      </c>
      <c r="S41" s="329">
        <f t="shared" ca="1" si="586"/>
        <v>0</v>
      </c>
      <c r="T41" s="329">
        <f t="shared" ca="1" si="587"/>
        <v>0</v>
      </c>
      <c r="U41" s="329">
        <f t="shared" ca="1" si="588"/>
        <v>0</v>
      </c>
      <c r="V41" s="320" t="e">
        <f t="shared" ca="1" si="589"/>
        <v>#REF!</v>
      </c>
      <c r="W41" s="320" t="e">
        <f t="shared" ca="1" si="560"/>
        <v>#REF!</v>
      </c>
      <c r="X41" s="320" t="e">
        <f t="shared" ca="1" si="590"/>
        <v>#REF!</v>
      </c>
      <c r="Y41" s="320" t="e">
        <f ca="1">INDEX(SC_ZA_HECMLumpSum,ZAIDX)</f>
        <v>#REF!</v>
      </c>
      <c r="Z41" s="320" t="e">
        <f t="shared" ca="1" si="591"/>
        <v>#REF!</v>
      </c>
      <c r="AA41" s="320">
        <f t="shared" ca="1" si="557"/>
        <v>0</v>
      </c>
      <c r="AB41" s="320" t="e">
        <f t="shared" ca="1" si="558"/>
        <v>#REF!</v>
      </c>
      <c r="AC41" s="330" t="e">
        <f t="shared" ca="1" si="559"/>
        <v>#REF!</v>
      </c>
      <c r="AD41" s="236" t="e">
        <f t="shared" ca="1" si="548"/>
        <v>#REF!</v>
      </c>
      <c r="AE41" s="320" t="e">
        <f t="shared" ca="1" si="561"/>
        <v>#REF!</v>
      </c>
      <c r="AF41" s="320" t="e">
        <f t="shared" ca="1" si="592"/>
        <v>#REF!</v>
      </c>
      <c r="AG41" s="320" t="e">
        <f t="shared" ca="1" si="549"/>
        <v>#REF!</v>
      </c>
      <c r="AH41" s="284" t="e">
        <f t="shared" ca="1" si="550"/>
        <v>#REF!</v>
      </c>
      <c r="AI41" s="318" t="e">
        <f t="shared" ca="1" si="551"/>
        <v>#REF!</v>
      </c>
      <c r="AJ41" s="331">
        <f t="shared" ca="1" si="575"/>
        <v>1</v>
      </c>
      <c r="AK41" s="220">
        <f t="shared" ca="1" si="593"/>
        <v>0</v>
      </c>
      <c r="AL41" s="220">
        <f t="shared" ca="1" si="594"/>
        <v>0</v>
      </c>
      <c r="AM41" s="235">
        <f t="shared" ca="1" si="554"/>
        <v>0</v>
      </c>
      <c r="AN41" s="235">
        <f t="shared" ca="1" si="555"/>
        <v>0</v>
      </c>
      <c r="AO41" s="242">
        <f t="shared" ca="1" si="556"/>
        <v>0</v>
      </c>
      <c r="AP41" s="241">
        <f t="shared" ca="1" si="575"/>
        <v>1</v>
      </c>
      <c r="AQ41" s="220">
        <f t="shared" ca="1" si="595"/>
        <v>0</v>
      </c>
      <c r="AR41" s="220">
        <f t="shared" ca="1" si="596"/>
        <v>0</v>
      </c>
      <c r="AS41" s="235">
        <f t="shared" ca="1" si="43"/>
        <v>0</v>
      </c>
      <c r="AT41" s="235">
        <f t="shared" ca="1" si="44"/>
        <v>0</v>
      </c>
      <c r="AU41" s="242">
        <f t="shared" ca="1" si="45"/>
        <v>0</v>
      </c>
      <c r="AV41" s="241">
        <f t="shared" ca="1" si="575"/>
        <v>1</v>
      </c>
      <c r="AW41" s="220">
        <f t="shared" ca="1" si="597"/>
        <v>0</v>
      </c>
      <c r="AX41" s="220">
        <f t="shared" ca="1" si="598"/>
        <v>0</v>
      </c>
      <c r="AY41" s="235">
        <f t="shared" ca="1" si="48"/>
        <v>0</v>
      </c>
      <c r="AZ41" s="235">
        <f t="shared" ca="1" si="49"/>
        <v>0</v>
      </c>
      <c r="BA41" s="242">
        <f t="shared" ca="1" si="50"/>
        <v>0</v>
      </c>
      <c r="BB41" s="241">
        <f t="shared" ca="1" si="575"/>
        <v>1</v>
      </c>
      <c r="BC41" s="220">
        <f t="shared" ca="1" si="599"/>
        <v>0</v>
      </c>
      <c r="BD41" s="220">
        <f t="shared" ca="1" si="600"/>
        <v>0</v>
      </c>
      <c r="BE41" s="235">
        <f t="shared" ca="1" si="54"/>
        <v>0</v>
      </c>
      <c r="BF41" s="235">
        <f t="shared" ca="1" si="55"/>
        <v>0</v>
      </c>
      <c r="BG41" s="242">
        <f t="shared" ca="1" si="56"/>
        <v>0</v>
      </c>
      <c r="BH41" s="241">
        <f t="shared" ca="1" si="575"/>
        <v>1</v>
      </c>
      <c r="BI41" s="220">
        <f t="shared" ca="1" si="601"/>
        <v>0</v>
      </c>
      <c r="BJ41" s="220">
        <f t="shared" ca="1" si="602"/>
        <v>0</v>
      </c>
      <c r="BK41" s="235">
        <f t="shared" ca="1" si="59"/>
        <v>0</v>
      </c>
      <c r="BL41" s="235">
        <f t="shared" ca="1" si="60"/>
        <v>0</v>
      </c>
      <c r="BM41" s="242">
        <f t="shared" ca="1" si="61"/>
        <v>0</v>
      </c>
      <c r="BN41" s="241">
        <f t="shared" ca="1" si="575"/>
        <v>1</v>
      </c>
      <c r="BO41" s="220">
        <f t="shared" ca="1" si="603"/>
        <v>0</v>
      </c>
      <c r="BP41" s="220">
        <f t="shared" ca="1" si="604"/>
        <v>0</v>
      </c>
      <c r="BQ41" s="235">
        <f t="shared" ca="1" si="64"/>
        <v>0</v>
      </c>
      <c r="BR41" s="235">
        <f t="shared" ca="1" si="65"/>
        <v>0</v>
      </c>
      <c r="BS41" s="242">
        <f t="shared" ca="1" si="66"/>
        <v>0</v>
      </c>
      <c r="BT41" s="241">
        <f t="shared" ca="1" si="575"/>
        <v>1</v>
      </c>
      <c r="BU41" s="220">
        <f t="shared" ca="1" si="605"/>
        <v>0</v>
      </c>
      <c r="BV41" s="220">
        <f t="shared" ca="1" si="606"/>
        <v>0</v>
      </c>
      <c r="BW41" s="235">
        <f t="shared" ca="1" si="69"/>
        <v>0</v>
      </c>
      <c r="BX41" s="235">
        <f t="shared" ca="1" si="70"/>
        <v>0</v>
      </c>
      <c r="BY41" s="242">
        <f t="shared" ca="1" si="71"/>
        <v>0</v>
      </c>
      <c r="BZ41" s="241">
        <f t="shared" ca="1" si="575"/>
        <v>1</v>
      </c>
      <c r="CA41" s="220">
        <f t="shared" ca="1" si="607"/>
        <v>0</v>
      </c>
      <c r="CB41" s="220">
        <f t="shared" ca="1" si="608"/>
        <v>0</v>
      </c>
      <c r="CC41" s="235">
        <f t="shared" ca="1" si="74"/>
        <v>0</v>
      </c>
      <c r="CD41" s="235">
        <f t="shared" ca="1" si="75"/>
        <v>0</v>
      </c>
      <c r="CE41" s="242">
        <f t="shared" ca="1" si="76"/>
        <v>0</v>
      </c>
      <c r="CF41" s="241">
        <f t="shared" ca="1" si="575"/>
        <v>1</v>
      </c>
      <c r="CG41" s="220">
        <f t="shared" ca="1" si="609"/>
        <v>0</v>
      </c>
      <c r="CH41" s="220">
        <f t="shared" ca="1" si="610"/>
        <v>0</v>
      </c>
      <c r="CI41" s="235">
        <f t="shared" ca="1" si="79"/>
        <v>0</v>
      </c>
      <c r="CJ41" s="235">
        <f t="shared" ca="1" si="80"/>
        <v>0</v>
      </c>
      <c r="CK41" s="242">
        <f t="shared" ca="1" si="81"/>
        <v>0</v>
      </c>
      <c r="CL41" s="241">
        <f t="shared" ca="1" si="575"/>
        <v>1</v>
      </c>
      <c r="CM41" s="220">
        <f t="shared" ca="1" si="611"/>
        <v>0</v>
      </c>
      <c r="CN41" s="220">
        <f t="shared" ca="1" si="612"/>
        <v>0</v>
      </c>
      <c r="CO41" s="235">
        <f t="shared" ca="1" si="84"/>
        <v>0</v>
      </c>
      <c r="CP41" s="235">
        <f t="shared" ca="1" si="85"/>
        <v>0</v>
      </c>
      <c r="CQ41" s="242">
        <f t="shared" ca="1" si="86"/>
        <v>0</v>
      </c>
      <c r="CR41" s="241">
        <f t="shared" ca="1" si="575"/>
        <v>1</v>
      </c>
      <c r="CS41" s="220">
        <f t="shared" ca="1" si="613"/>
        <v>0</v>
      </c>
      <c r="CT41" s="220">
        <f t="shared" ca="1" si="614"/>
        <v>0</v>
      </c>
      <c r="CU41" s="235">
        <f t="shared" ca="1" si="89"/>
        <v>0</v>
      </c>
      <c r="CV41" s="235">
        <f t="shared" ca="1" si="90"/>
        <v>0</v>
      </c>
      <c r="CW41" s="242">
        <f t="shared" ca="1" si="91"/>
        <v>0</v>
      </c>
      <c r="CX41" s="241">
        <f t="shared" ca="1" si="568"/>
        <v>1</v>
      </c>
      <c r="CY41" s="220">
        <f t="shared" ca="1" si="615"/>
        <v>0</v>
      </c>
      <c r="CZ41" s="220">
        <f t="shared" ca="1" si="616"/>
        <v>0</v>
      </c>
      <c r="DA41" s="235">
        <f t="shared" ca="1" si="94"/>
        <v>0</v>
      </c>
      <c r="DB41" s="235">
        <f t="shared" ca="1" si="95"/>
        <v>0</v>
      </c>
      <c r="DC41" s="242">
        <f t="shared" ca="1" si="96"/>
        <v>0</v>
      </c>
      <c r="DD41" s="241">
        <f t="shared" ca="1" si="568"/>
        <v>1</v>
      </c>
      <c r="DE41" s="220">
        <f t="shared" ca="1" si="617"/>
        <v>0</v>
      </c>
      <c r="DF41" s="220">
        <f t="shared" ca="1" si="618"/>
        <v>0</v>
      </c>
      <c r="DG41" s="235">
        <f t="shared" ca="1" si="99"/>
        <v>0</v>
      </c>
      <c r="DH41" s="235">
        <f t="shared" ca="1" si="100"/>
        <v>0</v>
      </c>
      <c r="DI41" s="242">
        <f t="shared" ca="1" si="101"/>
        <v>0</v>
      </c>
      <c r="DJ41" s="241">
        <f t="shared" ca="1" si="51"/>
        <v>1</v>
      </c>
      <c r="DK41" s="220">
        <f t="shared" ca="1" si="619"/>
        <v>0</v>
      </c>
      <c r="DL41" s="220">
        <f t="shared" ca="1" si="620"/>
        <v>0</v>
      </c>
      <c r="DM41" s="235">
        <f t="shared" ca="1" si="104"/>
        <v>0</v>
      </c>
      <c r="DN41" s="235">
        <f t="shared" ca="1" si="105"/>
        <v>0</v>
      </c>
      <c r="DO41" s="242">
        <f t="shared" ca="1" si="106"/>
        <v>0</v>
      </c>
      <c r="DP41" s="241">
        <f t="shared" ca="1" si="569"/>
        <v>1</v>
      </c>
      <c r="DQ41" s="220">
        <f t="shared" ca="1" si="621"/>
        <v>0</v>
      </c>
      <c r="DR41" s="220">
        <f t="shared" ca="1" si="622"/>
        <v>0</v>
      </c>
      <c r="DS41" s="235">
        <f t="shared" ca="1" si="110"/>
        <v>0</v>
      </c>
      <c r="DT41" s="235">
        <f t="shared" ca="1" si="111"/>
        <v>0</v>
      </c>
      <c r="DU41" s="242">
        <f t="shared" ca="1" si="112"/>
        <v>0</v>
      </c>
      <c r="DV41" s="241">
        <f t="shared" ca="1" si="569"/>
        <v>1</v>
      </c>
      <c r="DW41" s="220">
        <f t="shared" ca="1" si="623"/>
        <v>0</v>
      </c>
      <c r="DX41" s="220">
        <f t="shared" ca="1" si="624"/>
        <v>0</v>
      </c>
      <c r="DY41" s="235">
        <f t="shared" ca="1" si="115"/>
        <v>0</v>
      </c>
      <c r="DZ41" s="235">
        <f t="shared" ca="1" si="116"/>
        <v>0</v>
      </c>
      <c r="EA41" s="242">
        <f t="shared" ca="1" si="117"/>
        <v>0</v>
      </c>
      <c r="EB41" s="241">
        <f t="shared" ca="1" si="569"/>
        <v>1</v>
      </c>
      <c r="EC41" s="220">
        <f t="shared" ca="1" si="625"/>
        <v>0</v>
      </c>
      <c r="ED41" s="220">
        <f t="shared" ca="1" si="626"/>
        <v>0</v>
      </c>
      <c r="EE41" s="235">
        <f t="shared" ca="1" si="120"/>
        <v>0</v>
      </c>
      <c r="EF41" s="235">
        <f t="shared" ca="1" si="121"/>
        <v>0</v>
      </c>
      <c r="EG41" s="242">
        <f t="shared" ca="1" si="122"/>
        <v>0</v>
      </c>
      <c r="EH41" s="241">
        <f t="shared" ca="1" si="569"/>
        <v>1</v>
      </c>
      <c r="EI41" s="220">
        <f t="shared" ca="1" si="627"/>
        <v>0</v>
      </c>
      <c r="EJ41" s="220">
        <f t="shared" ca="1" si="628"/>
        <v>0</v>
      </c>
      <c r="EK41" s="235">
        <f t="shared" ca="1" si="125"/>
        <v>0</v>
      </c>
      <c r="EL41" s="235">
        <f t="shared" ca="1" si="126"/>
        <v>0</v>
      </c>
      <c r="EM41" s="242">
        <f t="shared" ca="1" si="127"/>
        <v>0</v>
      </c>
      <c r="EN41" s="241">
        <f t="shared" ca="1" si="569"/>
        <v>1</v>
      </c>
      <c r="EO41" s="220">
        <f t="shared" ca="1" si="629"/>
        <v>0</v>
      </c>
      <c r="EP41" s="220">
        <f t="shared" ca="1" si="630"/>
        <v>0</v>
      </c>
      <c r="EQ41" s="235">
        <f t="shared" ca="1" si="130"/>
        <v>0</v>
      </c>
      <c r="ER41" s="235">
        <f t="shared" ca="1" si="131"/>
        <v>0</v>
      </c>
      <c r="ES41" s="242">
        <f t="shared" ca="1" si="132"/>
        <v>0</v>
      </c>
      <c r="ET41" s="241">
        <f t="shared" ca="1" si="569"/>
        <v>1</v>
      </c>
      <c r="EU41" s="220">
        <f t="shared" ca="1" si="631"/>
        <v>0</v>
      </c>
      <c r="EV41" s="220">
        <f t="shared" ca="1" si="632"/>
        <v>0</v>
      </c>
      <c r="EW41" s="235">
        <f t="shared" ca="1" si="135"/>
        <v>0</v>
      </c>
      <c r="EX41" s="235">
        <f t="shared" ca="1" si="136"/>
        <v>0</v>
      </c>
      <c r="EY41" s="242">
        <f t="shared" ca="1" si="137"/>
        <v>0</v>
      </c>
      <c r="EZ41" s="241">
        <f t="shared" ca="1" si="569"/>
        <v>1</v>
      </c>
      <c r="FA41" s="220">
        <f t="shared" ca="1" si="633"/>
        <v>0</v>
      </c>
      <c r="FB41" s="220">
        <f t="shared" ca="1" si="634"/>
        <v>0</v>
      </c>
      <c r="FC41" s="235">
        <f t="shared" ca="1" si="140"/>
        <v>0</v>
      </c>
      <c r="FD41" s="235">
        <f t="shared" ca="1" si="141"/>
        <v>0</v>
      </c>
      <c r="FE41" s="242">
        <f t="shared" ca="1" si="142"/>
        <v>0</v>
      </c>
      <c r="FF41" s="241">
        <f t="shared" ca="1" si="569"/>
        <v>1</v>
      </c>
      <c r="FG41" s="220">
        <f t="shared" ca="1" si="635"/>
        <v>0</v>
      </c>
      <c r="FH41" s="220">
        <f t="shared" ca="1" si="636"/>
        <v>0</v>
      </c>
      <c r="FI41" s="235">
        <f t="shared" ca="1" si="145"/>
        <v>0</v>
      </c>
      <c r="FJ41" s="235">
        <f t="shared" ca="1" si="146"/>
        <v>0</v>
      </c>
      <c r="FK41" s="242">
        <f t="shared" ca="1" si="147"/>
        <v>0</v>
      </c>
      <c r="FL41" s="241">
        <f t="shared" ca="1" si="569"/>
        <v>1</v>
      </c>
      <c r="FM41" s="220">
        <f t="shared" ca="1" si="637"/>
        <v>0</v>
      </c>
      <c r="FN41" s="220">
        <f t="shared" ca="1" si="638"/>
        <v>0</v>
      </c>
      <c r="FO41" s="235">
        <f t="shared" ca="1" si="150"/>
        <v>0</v>
      </c>
      <c r="FP41" s="235">
        <f t="shared" ca="1" si="151"/>
        <v>0</v>
      </c>
      <c r="FQ41" s="242">
        <f t="shared" ca="1" si="152"/>
        <v>0</v>
      </c>
      <c r="FR41" s="241">
        <f t="shared" ca="1" si="569"/>
        <v>1</v>
      </c>
      <c r="FS41" s="220">
        <f t="shared" ca="1" si="639"/>
        <v>0</v>
      </c>
      <c r="FT41" s="220">
        <f t="shared" ca="1" si="640"/>
        <v>0</v>
      </c>
      <c r="FU41" s="235">
        <f t="shared" ca="1" si="155"/>
        <v>0</v>
      </c>
      <c r="FV41" s="235">
        <f t="shared" ca="1" si="156"/>
        <v>0</v>
      </c>
      <c r="FW41" s="242">
        <f t="shared" ca="1" si="157"/>
        <v>0</v>
      </c>
      <c r="FX41" s="241">
        <f t="shared" ca="1" si="569"/>
        <v>1</v>
      </c>
      <c r="FY41" s="220">
        <f t="shared" ca="1" si="641"/>
        <v>0</v>
      </c>
      <c r="FZ41" s="220">
        <f t="shared" ca="1" si="642"/>
        <v>0</v>
      </c>
      <c r="GA41" s="235">
        <f t="shared" ca="1" si="160"/>
        <v>0</v>
      </c>
      <c r="GB41" s="235">
        <f t="shared" ca="1" si="161"/>
        <v>0</v>
      </c>
      <c r="GC41" s="242">
        <f t="shared" ca="1" si="162"/>
        <v>0</v>
      </c>
      <c r="GD41" s="241">
        <f t="shared" ca="1" si="562"/>
        <v>1</v>
      </c>
      <c r="GE41" s="220">
        <f t="shared" ca="1" si="643"/>
        <v>0</v>
      </c>
      <c r="GF41" s="220">
        <f t="shared" ca="1" si="644"/>
        <v>0</v>
      </c>
      <c r="GG41" s="235">
        <f t="shared" ca="1" si="166"/>
        <v>0</v>
      </c>
      <c r="GH41" s="235">
        <f t="shared" ca="1" si="167"/>
        <v>0</v>
      </c>
      <c r="GI41" s="242">
        <f t="shared" ca="1" si="168"/>
        <v>0</v>
      </c>
      <c r="GJ41" s="241">
        <f t="shared" ca="1" si="562"/>
        <v>1</v>
      </c>
      <c r="GK41" s="220">
        <f t="shared" ca="1" si="645"/>
        <v>0</v>
      </c>
      <c r="GL41" s="220">
        <f t="shared" ca="1" si="646"/>
        <v>0</v>
      </c>
      <c r="GM41" s="235">
        <f t="shared" ca="1" si="171"/>
        <v>0</v>
      </c>
      <c r="GN41" s="235">
        <f t="shared" ca="1" si="172"/>
        <v>0</v>
      </c>
      <c r="GO41" s="242">
        <f t="shared" ca="1" si="173"/>
        <v>0</v>
      </c>
      <c r="GP41" s="241">
        <f t="shared" ca="1" si="570"/>
        <v>1</v>
      </c>
      <c r="GQ41" s="220">
        <f t="shared" ca="1" si="647"/>
        <v>0</v>
      </c>
      <c r="GR41" s="220">
        <f t="shared" ca="1" si="648"/>
        <v>0</v>
      </c>
      <c r="GS41" s="235">
        <f t="shared" ca="1" si="176"/>
        <v>0</v>
      </c>
      <c r="GT41" s="235">
        <f t="shared" ca="1" si="177"/>
        <v>0</v>
      </c>
      <c r="GU41" s="242">
        <f t="shared" ca="1" si="178"/>
        <v>0</v>
      </c>
      <c r="GV41" s="241">
        <f t="shared" ca="1" si="570"/>
        <v>1</v>
      </c>
      <c r="GW41" s="220">
        <f t="shared" ca="1" si="649"/>
        <v>0</v>
      </c>
      <c r="GX41" s="220">
        <f t="shared" ca="1" si="650"/>
        <v>0</v>
      </c>
      <c r="GY41" s="235">
        <f t="shared" ca="1" si="181"/>
        <v>0</v>
      </c>
      <c r="GZ41" s="235">
        <f t="shared" ca="1" si="182"/>
        <v>0</v>
      </c>
      <c r="HA41" s="242">
        <f t="shared" ca="1" si="183"/>
        <v>0</v>
      </c>
      <c r="HB41" s="241">
        <f t="shared" ca="1" si="570"/>
        <v>1</v>
      </c>
      <c r="HC41" s="220">
        <f t="shared" ca="1" si="651"/>
        <v>0</v>
      </c>
      <c r="HD41" s="220">
        <f t="shared" ca="1" si="652"/>
        <v>0</v>
      </c>
      <c r="HE41" s="235">
        <f t="shared" ca="1" si="186"/>
        <v>0</v>
      </c>
      <c r="HF41" s="235">
        <f t="shared" ca="1" si="187"/>
        <v>0</v>
      </c>
      <c r="HG41" s="242">
        <f t="shared" ca="1" si="188"/>
        <v>0</v>
      </c>
      <c r="HH41" s="241">
        <f t="shared" ca="1" si="570"/>
        <v>1</v>
      </c>
      <c r="HI41" s="220">
        <f t="shared" ca="1" si="653"/>
        <v>0</v>
      </c>
      <c r="HJ41" s="220">
        <f t="shared" ca="1" si="654"/>
        <v>0</v>
      </c>
      <c r="HK41" s="235">
        <f t="shared" ca="1" si="191"/>
        <v>0</v>
      </c>
      <c r="HL41" s="235">
        <f t="shared" ca="1" si="192"/>
        <v>0</v>
      </c>
      <c r="HM41" s="242">
        <f t="shared" ca="1" si="193"/>
        <v>0</v>
      </c>
      <c r="HN41" s="241">
        <f t="shared" ca="1" si="570"/>
        <v>1</v>
      </c>
      <c r="HO41" s="220">
        <f t="shared" ca="1" si="655"/>
        <v>0</v>
      </c>
      <c r="HP41" s="220">
        <f t="shared" ca="1" si="656"/>
        <v>0</v>
      </c>
      <c r="HQ41" s="235">
        <f t="shared" ca="1" si="196"/>
        <v>0</v>
      </c>
      <c r="HR41" s="235">
        <f t="shared" ca="1" si="197"/>
        <v>0</v>
      </c>
      <c r="HS41" s="242">
        <f t="shared" ca="1" si="198"/>
        <v>0</v>
      </c>
      <c r="HT41" s="241">
        <f t="shared" ca="1" si="570"/>
        <v>1</v>
      </c>
      <c r="HU41" s="220">
        <f t="shared" ca="1" si="657"/>
        <v>0</v>
      </c>
      <c r="HV41" s="220">
        <f t="shared" ca="1" si="658"/>
        <v>0</v>
      </c>
      <c r="HW41" s="235">
        <f t="shared" ca="1" si="201"/>
        <v>0</v>
      </c>
      <c r="HX41" s="235">
        <f t="shared" ca="1" si="202"/>
        <v>0</v>
      </c>
      <c r="HY41" s="242">
        <f t="shared" ca="1" si="203"/>
        <v>0</v>
      </c>
      <c r="HZ41" s="241">
        <f t="shared" ca="1" si="570"/>
        <v>1</v>
      </c>
      <c r="IA41" s="220">
        <f t="shared" ca="1" si="659"/>
        <v>0</v>
      </c>
      <c r="IB41" s="220">
        <f t="shared" ca="1" si="660"/>
        <v>0</v>
      </c>
      <c r="IC41" s="235">
        <f t="shared" ca="1" si="206"/>
        <v>0</v>
      </c>
      <c r="ID41" s="235">
        <f t="shared" ca="1" si="207"/>
        <v>0</v>
      </c>
      <c r="IE41" s="242">
        <f t="shared" ca="1" si="208"/>
        <v>0</v>
      </c>
      <c r="IF41" s="241">
        <f t="shared" ca="1" si="570"/>
        <v>1</v>
      </c>
      <c r="IG41" s="220">
        <f t="shared" ca="1" si="661"/>
        <v>0</v>
      </c>
      <c r="IH41" s="220">
        <f t="shared" ca="1" si="662"/>
        <v>0</v>
      </c>
      <c r="II41" s="235">
        <f t="shared" ca="1" si="211"/>
        <v>0</v>
      </c>
      <c r="IJ41" s="235">
        <f t="shared" ca="1" si="212"/>
        <v>0</v>
      </c>
      <c r="IK41" s="242">
        <f t="shared" ca="1" si="213"/>
        <v>0</v>
      </c>
      <c r="IL41" s="241">
        <f t="shared" ca="1" si="570"/>
        <v>1</v>
      </c>
      <c r="IM41" s="220">
        <f t="shared" ca="1" si="663"/>
        <v>0</v>
      </c>
      <c r="IN41" s="220">
        <f t="shared" ca="1" si="664"/>
        <v>0</v>
      </c>
      <c r="IO41" s="235">
        <f t="shared" ca="1" si="216"/>
        <v>0</v>
      </c>
      <c r="IP41" s="235">
        <f t="shared" ca="1" si="217"/>
        <v>0</v>
      </c>
      <c r="IQ41" s="242">
        <f t="shared" ca="1" si="218"/>
        <v>0</v>
      </c>
      <c r="IR41" s="241">
        <f t="shared" ca="1" si="570"/>
        <v>1</v>
      </c>
      <c r="IS41" s="220">
        <f t="shared" ca="1" si="665"/>
        <v>0</v>
      </c>
      <c r="IT41" s="220">
        <f t="shared" ca="1" si="666"/>
        <v>0</v>
      </c>
      <c r="IU41" s="235">
        <f t="shared" ca="1" si="222"/>
        <v>0</v>
      </c>
      <c r="IV41" s="235">
        <f t="shared" ca="1" si="223"/>
        <v>0</v>
      </c>
      <c r="IW41" s="242">
        <f t="shared" ca="1" si="224"/>
        <v>0</v>
      </c>
      <c r="IX41" s="241">
        <f t="shared" ca="1" si="570"/>
        <v>1</v>
      </c>
      <c r="IY41" s="220">
        <f t="shared" ca="1" si="667"/>
        <v>0</v>
      </c>
      <c r="IZ41" s="220">
        <f t="shared" ca="1" si="668"/>
        <v>0</v>
      </c>
      <c r="JA41" s="235">
        <f t="shared" ca="1" si="227"/>
        <v>0</v>
      </c>
      <c r="JB41" s="235">
        <f t="shared" ca="1" si="228"/>
        <v>0</v>
      </c>
      <c r="JC41" s="242">
        <f t="shared" ca="1" si="229"/>
        <v>0</v>
      </c>
      <c r="JD41" s="241">
        <f t="shared" ca="1" si="563"/>
        <v>1</v>
      </c>
      <c r="JE41" s="220">
        <f t="shared" ca="1" si="669"/>
        <v>0</v>
      </c>
      <c r="JF41" s="220">
        <f t="shared" ca="1" si="670"/>
        <v>0</v>
      </c>
      <c r="JG41" s="235">
        <f t="shared" ca="1" si="232"/>
        <v>0</v>
      </c>
      <c r="JH41" s="235">
        <f t="shared" ca="1" si="233"/>
        <v>0</v>
      </c>
      <c r="JI41" s="242">
        <f t="shared" ca="1" si="234"/>
        <v>0</v>
      </c>
      <c r="JJ41" s="241">
        <f t="shared" ca="1" si="563"/>
        <v>1</v>
      </c>
      <c r="JK41" s="220">
        <f t="shared" ca="1" si="671"/>
        <v>0</v>
      </c>
      <c r="JL41" s="220">
        <f t="shared" ca="1" si="672"/>
        <v>0</v>
      </c>
      <c r="JM41" s="235">
        <f t="shared" ca="1" si="237"/>
        <v>0</v>
      </c>
      <c r="JN41" s="235">
        <f t="shared" ca="1" si="238"/>
        <v>0</v>
      </c>
      <c r="JO41" s="242">
        <f t="shared" ca="1" si="239"/>
        <v>0</v>
      </c>
      <c r="JP41" s="241">
        <f t="shared" ca="1" si="571"/>
        <v>1</v>
      </c>
      <c r="JQ41" s="220">
        <f t="shared" ca="1" si="673"/>
        <v>0</v>
      </c>
      <c r="JR41" s="220">
        <f t="shared" ca="1" si="674"/>
        <v>0</v>
      </c>
      <c r="JS41" s="235">
        <f t="shared" ca="1" si="242"/>
        <v>0</v>
      </c>
      <c r="JT41" s="235">
        <f t="shared" ca="1" si="243"/>
        <v>0</v>
      </c>
      <c r="JU41" s="242">
        <f t="shared" ca="1" si="244"/>
        <v>0</v>
      </c>
      <c r="JV41" s="241">
        <f t="shared" ca="1" si="571"/>
        <v>1</v>
      </c>
      <c r="JW41" s="220">
        <f t="shared" ca="1" si="675"/>
        <v>0</v>
      </c>
      <c r="JX41" s="220">
        <f t="shared" ca="1" si="676"/>
        <v>0</v>
      </c>
      <c r="JY41" s="235">
        <f t="shared" ca="1" si="247"/>
        <v>0</v>
      </c>
      <c r="JZ41" s="235">
        <f t="shared" ca="1" si="248"/>
        <v>0</v>
      </c>
      <c r="KA41" s="242">
        <f t="shared" ca="1" si="249"/>
        <v>0</v>
      </c>
      <c r="KB41" s="241">
        <f t="shared" ca="1" si="571"/>
        <v>1</v>
      </c>
      <c r="KC41" s="220">
        <f t="shared" ca="1" si="677"/>
        <v>0</v>
      </c>
      <c r="KD41" s="220">
        <f t="shared" ca="1" si="678"/>
        <v>0</v>
      </c>
      <c r="KE41" s="235">
        <f t="shared" ca="1" si="252"/>
        <v>0</v>
      </c>
      <c r="KF41" s="235">
        <f t="shared" ca="1" si="253"/>
        <v>0</v>
      </c>
      <c r="KG41" s="242">
        <f t="shared" ca="1" si="254"/>
        <v>0</v>
      </c>
      <c r="KH41" s="241">
        <f t="shared" ca="1" si="571"/>
        <v>1</v>
      </c>
      <c r="KI41" s="220">
        <f t="shared" ca="1" si="679"/>
        <v>0</v>
      </c>
      <c r="KJ41" s="220">
        <f t="shared" ca="1" si="680"/>
        <v>0</v>
      </c>
      <c r="KK41" s="235">
        <f t="shared" ca="1" si="257"/>
        <v>0</v>
      </c>
      <c r="KL41" s="235">
        <f t="shared" ca="1" si="258"/>
        <v>0</v>
      </c>
      <c r="KM41" s="242">
        <f t="shared" ca="1" si="259"/>
        <v>0</v>
      </c>
      <c r="KN41" s="241">
        <f t="shared" ca="1" si="571"/>
        <v>1</v>
      </c>
      <c r="KO41" s="220">
        <f t="shared" ca="1" si="681"/>
        <v>0</v>
      </c>
      <c r="KP41" s="220">
        <f t="shared" ca="1" si="682"/>
        <v>0</v>
      </c>
      <c r="KQ41" s="235">
        <f t="shared" ca="1" si="262"/>
        <v>0</v>
      </c>
      <c r="KR41" s="235">
        <f t="shared" ca="1" si="263"/>
        <v>0</v>
      </c>
      <c r="KS41" s="242">
        <f t="shared" ca="1" si="264"/>
        <v>0</v>
      </c>
      <c r="KT41" s="241">
        <f t="shared" ca="1" si="571"/>
        <v>1</v>
      </c>
      <c r="KU41" s="220">
        <f t="shared" ca="1" si="683"/>
        <v>0</v>
      </c>
      <c r="KV41" s="220">
        <f t="shared" ca="1" si="684"/>
        <v>0</v>
      </c>
      <c r="KW41" s="235">
        <f t="shared" ca="1" si="267"/>
        <v>0</v>
      </c>
      <c r="KX41" s="235">
        <f t="shared" ca="1" si="268"/>
        <v>0</v>
      </c>
      <c r="KY41" s="242">
        <f t="shared" ca="1" si="269"/>
        <v>0</v>
      </c>
      <c r="KZ41" s="241">
        <f t="shared" ca="1" si="571"/>
        <v>1</v>
      </c>
      <c r="LA41" s="220">
        <f t="shared" ca="1" si="685"/>
        <v>0</v>
      </c>
      <c r="LB41" s="220">
        <f t="shared" ca="1" si="686"/>
        <v>0</v>
      </c>
      <c r="LC41" s="235">
        <f t="shared" ca="1" si="272"/>
        <v>0</v>
      </c>
      <c r="LD41" s="235">
        <f t="shared" ca="1" si="273"/>
        <v>0</v>
      </c>
      <c r="LE41" s="242">
        <f t="shared" ca="1" si="274"/>
        <v>0</v>
      </c>
      <c r="LF41" s="241">
        <f t="shared" ca="1" si="571"/>
        <v>1</v>
      </c>
      <c r="LG41" s="220">
        <f t="shared" ca="1" si="687"/>
        <v>0</v>
      </c>
      <c r="LH41" s="220">
        <f t="shared" ca="1" si="688"/>
        <v>0</v>
      </c>
      <c r="LI41" s="235">
        <f t="shared" ca="1" si="278"/>
        <v>0</v>
      </c>
      <c r="LJ41" s="235">
        <f t="shared" ca="1" si="279"/>
        <v>0</v>
      </c>
      <c r="LK41" s="242">
        <f t="shared" ca="1" si="280"/>
        <v>0</v>
      </c>
      <c r="LL41" s="241">
        <f t="shared" ca="1" si="571"/>
        <v>1</v>
      </c>
      <c r="LM41" s="220">
        <f t="shared" ca="1" si="689"/>
        <v>0</v>
      </c>
      <c r="LN41" s="220">
        <f t="shared" ca="1" si="690"/>
        <v>0</v>
      </c>
      <c r="LO41" s="235">
        <f t="shared" ca="1" si="283"/>
        <v>0</v>
      </c>
      <c r="LP41" s="235">
        <f t="shared" ca="1" si="284"/>
        <v>0</v>
      </c>
      <c r="LQ41" s="242">
        <f t="shared" ca="1" si="285"/>
        <v>0</v>
      </c>
      <c r="LR41" s="241">
        <f t="shared" ca="1" si="571"/>
        <v>1</v>
      </c>
      <c r="LS41" s="220">
        <f t="shared" ca="1" si="691"/>
        <v>0</v>
      </c>
      <c r="LT41" s="220">
        <f t="shared" ca="1" si="692"/>
        <v>0</v>
      </c>
      <c r="LU41" s="235">
        <f t="shared" ca="1" si="288"/>
        <v>0</v>
      </c>
      <c r="LV41" s="235">
        <f t="shared" ca="1" si="289"/>
        <v>0</v>
      </c>
      <c r="LW41" s="242">
        <f t="shared" ca="1" si="290"/>
        <v>0</v>
      </c>
      <c r="LX41" s="241">
        <f t="shared" ca="1" si="571"/>
        <v>1</v>
      </c>
      <c r="LY41" s="220">
        <f t="shared" ca="1" si="693"/>
        <v>0</v>
      </c>
      <c r="LZ41" s="220">
        <f t="shared" ca="1" si="694"/>
        <v>0</v>
      </c>
      <c r="MA41" s="235">
        <f t="shared" ca="1" si="293"/>
        <v>0</v>
      </c>
      <c r="MB41" s="235">
        <f t="shared" ca="1" si="294"/>
        <v>0</v>
      </c>
      <c r="MC41" s="242">
        <f t="shared" ca="1" si="295"/>
        <v>0</v>
      </c>
      <c r="MD41" s="241">
        <f t="shared" ca="1" si="564"/>
        <v>1</v>
      </c>
      <c r="ME41" s="220">
        <f t="shared" ca="1" si="695"/>
        <v>0</v>
      </c>
      <c r="MF41" s="220">
        <f t="shared" ca="1" si="696"/>
        <v>0</v>
      </c>
      <c r="MG41" s="235">
        <f t="shared" ca="1" si="298"/>
        <v>0</v>
      </c>
      <c r="MH41" s="235">
        <f t="shared" ca="1" si="299"/>
        <v>0</v>
      </c>
      <c r="MI41" s="242">
        <f t="shared" ca="1" si="300"/>
        <v>0</v>
      </c>
      <c r="MJ41" s="241">
        <f t="shared" ca="1" si="564"/>
        <v>1</v>
      </c>
      <c r="MK41" s="220">
        <f t="shared" ca="1" si="697"/>
        <v>0</v>
      </c>
      <c r="ML41" s="220">
        <f t="shared" ca="1" si="698"/>
        <v>0</v>
      </c>
      <c r="MM41" s="235">
        <f t="shared" ca="1" si="303"/>
        <v>0</v>
      </c>
      <c r="MN41" s="235">
        <f t="shared" ca="1" si="304"/>
        <v>0</v>
      </c>
      <c r="MO41" s="242">
        <f t="shared" ca="1" si="305"/>
        <v>0</v>
      </c>
      <c r="MP41" s="241">
        <f t="shared" ca="1" si="572"/>
        <v>1</v>
      </c>
      <c r="MQ41" s="220">
        <f t="shared" ca="1" si="699"/>
        <v>0</v>
      </c>
      <c r="MR41" s="220">
        <f t="shared" ca="1" si="700"/>
        <v>0</v>
      </c>
      <c r="MS41" s="235">
        <f t="shared" ca="1" si="308"/>
        <v>0</v>
      </c>
      <c r="MT41" s="235">
        <f t="shared" ca="1" si="309"/>
        <v>0</v>
      </c>
      <c r="MU41" s="242">
        <f t="shared" ca="1" si="310"/>
        <v>0</v>
      </c>
      <c r="MV41" s="241">
        <f t="shared" ca="1" si="572"/>
        <v>1</v>
      </c>
      <c r="MW41" s="220">
        <f t="shared" ca="1" si="701"/>
        <v>0</v>
      </c>
      <c r="MX41" s="220">
        <f t="shared" ca="1" si="702"/>
        <v>0</v>
      </c>
      <c r="MY41" s="235">
        <f t="shared" ca="1" si="313"/>
        <v>0</v>
      </c>
      <c r="MZ41" s="235">
        <f t="shared" ca="1" si="314"/>
        <v>0</v>
      </c>
      <c r="NA41" s="242">
        <f t="shared" ca="1" si="315"/>
        <v>0</v>
      </c>
      <c r="NB41" s="241">
        <f t="shared" ca="1" si="572"/>
        <v>1</v>
      </c>
      <c r="NC41" s="220">
        <f t="shared" ca="1" si="703"/>
        <v>0</v>
      </c>
      <c r="ND41" s="220">
        <f t="shared" ca="1" si="704"/>
        <v>0</v>
      </c>
      <c r="NE41" s="235">
        <f t="shared" ca="1" si="318"/>
        <v>0</v>
      </c>
      <c r="NF41" s="235">
        <f t="shared" ca="1" si="319"/>
        <v>0</v>
      </c>
      <c r="NG41" s="242">
        <f t="shared" ca="1" si="320"/>
        <v>0</v>
      </c>
      <c r="NH41" s="241">
        <f t="shared" ca="1" si="572"/>
        <v>1</v>
      </c>
      <c r="NI41" s="220">
        <f t="shared" ca="1" si="705"/>
        <v>0</v>
      </c>
      <c r="NJ41" s="220">
        <f t="shared" ca="1" si="706"/>
        <v>0</v>
      </c>
      <c r="NK41" s="235">
        <f t="shared" ca="1" si="323"/>
        <v>0</v>
      </c>
      <c r="NL41" s="235">
        <f t="shared" ca="1" si="324"/>
        <v>0</v>
      </c>
      <c r="NM41" s="242">
        <f t="shared" ca="1" si="325"/>
        <v>0</v>
      </c>
      <c r="NN41" s="241">
        <f t="shared" ca="1" si="572"/>
        <v>1</v>
      </c>
      <c r="NO41" s="220">
        <f t="shared" ca="1" si="707"/>
        <v>0</v>
      </c>
      <c r="NP41" s="220">
        <f t="shared" ca="1" si="708"/>
        <v>0</v>
      </c>
      <c r="NQ41" s="235">
        <f t="shared" ca="1" si="328"/>
        <v>0</v>
      </c>
      <c r="NR41" s="235">
        <f t="shared" ca="1" si="329"/>
        <v>0</v>
      </c>
      <c r="NS41" s="242">
        <f t="shared" ca="1" si="330"/>
        <v>0</v>
      </c>
      <c r="NT41" s="241">
        <f t="shared" ca="1" si="572"/>
        <v>1</v>
      </c>
      <c r="NU41" s="220">
        <f t="shared" ca="1" si="709"/>
        <v>0</v>
      </c>
      <c r="NV41" s="220">
        <f t="shared" ca="1" si="710"/>
        <v>0</v>
      </c>
      <c r="NW41" s="235">
        <f t="shared" ca="1" si="334"/>
        <v>0</v>
      </c>
      <c r="NX41" s="235">
        <f t="shared" ca="1" si="335"/>
        <v>0</v>
      </c>
      <c r="NY41" s="242">
        <f t="shared" ca="1" si="336"/>
        <v>0</v>
      </c>
      <c r="NZ41" s="241">
        <f t="shared" ca="1" si="572"/>
        <v>1</v>
      </c>
      <c r="OA41" s="220">
        <f t="shared" ca="1" si="711"/>
        <v>0</v>
      </c>
      <c r="OB41" s="220">
        <f t="shared" ca="1" si="712"/>
        <v>0</v>
      </c>
      <c r="OC41" s="235">
        <f t="shared" ca="1" si="339"/>
        <v>0</v>
      </c>
      <c r="OD41" s="235">
        <f t="shared" ca="1" si="340"/>
        <v>0</v>
      </c>
      <c r="OE41" s="242">
        <f t="shared" ca="1" si="341"/>
        <v>0</v>
      </c>
      <c r="OF41" s="241">
        <f t="shared" ca="1" si="572"/>
        <v>1</v>
      </c>
      <c r="OG41" s="220">
        <f t="shared" ca="1" si="713"/>
        <v>0</v>
      </c>
      <c r="OH41" s="220">
        <f t="shared" ca="1" si="714"/>
        <v>0</v>
      </c>
      <c r="OI41" s="235">
        <f t="shared" ca="1" si="344"/>
        <v>0</v>
      </c>
      <c r="OJ41" s="235">
        <f t="shared" ca="1" si="345"/>
        <v>0</v>
      </c>
      <c r="OK41" s="242">
        <f t="shared" ca="1" si="346"/>
        <v>0</v>
      </c>
      <c r="OL41" s="241">
        <f t="shared" ca="1" si="572"/>
        <v>1</v>
      </c>
      <c r="OM41" s="220">
        <f t="shared" ca="1" si="715"/>
        <v>0</v>
      </c>
      <c r="ON41" s="220">
        <f t="shared" ca="1" si="716"/>
        <v>0</v>
      </c>
      <c r="OO41" s="235">
        <f t="shared" ca="1" si="349"/>
        <v>0</v>
      </c>
      <c r="OP41" s="235">
        <f t="shared" ca="1" si="350"/>
        <v>0</v>
      </c>
      <c r="OQ41" s="242">
        <f t="shared" ca="1" si="351"/>
        <v>0</v>
      </c>
      <c r="OR41" s="241">
        <f t="shared" ca="1" si="572"/>
        <v>1</v>
      </c>
      <c r="OS41" s="220">
        <f t="shared" ca="1" si="717"/>
        <v>0</v>
      </c>
      <c r="OT41" s="220">
        <f t="shared" ca="1" si="718"/>
        <v>0</v>
      </c>
      <c r="OU41" s="235">
        <f t="shared" ca="1" si="354"/>
        <v>0</v>
      </c>
      <c r="OV41" s="235">
        <f t="shared" ca="1" si="355"/>
        <v>0</v>
      </c>
      <c r="OW41" s="242">
        <f t="shared" ca="1" si="356"/>
        <v>0</v>
      </c>
      <c r="OX41" s="241">
        <f t="shared" ca="1" si="572"/>
        <v>1</v>
      </c>
      <c r="OY41" s="220">
        <f t="shared" ca="1" si="719"/>
        <v>0</v>
      </c>
      <c r="OZ41" s="220">
        <f t="shared" ca="1" si="720"/>
        <v>0</v>
      </c>
      <c r="PA41" s="235">
        <f t="shared" ca="1" si="359"/>
        <v>0</v>
      </c>
      <c r="PB41" s="235">
        <f t="shared" ca="1" si="360"/>
        <v>0</v>
      </c>
      <c r="PC41" s="242">
        <f t="shared" ca="1" si="361"/>
        <v>0</v>
      </c>
      <c r="PD41" s="241">
        <f t="shared" ca="1" si="565"/>
        <v>1</v>
      </c>
      <c r="PE41" s="220">
        <f t="shared" ca="1" si="721"/>
        <v>0</v>
      </c>
      <c r="PF41" s="220">
        <f t="shared" ca="1" si="722"/>
        <v>0</v>
      </c>
      <c r="PG41" s="235">
        <f t="shared" ca="1" si="364"/>
        <v>0</v>
      </c>
      <c r="PH41" s="235">
        <f t="shared" ca="1" si="365"/>
        <v>0</v>
      </c>
      <c r="PI41" s="242">
        <f t="shared" ca="1" si="366"/>
        <v>0</v>
      </c>
      <c r="PJ41" s="241">
        <f t="shared" ca="1" si="565"/>
        <v>1</v>
      </c>
      <c r="PK41" s="220">
        <f t="shared" ca="1" si="723"/>
        <v>0</v>
      </c>
      <c r="PL41" s="220">
        <f t="shared" ca="1" si="724"/>
        <v>0</v>
      </c>
      <c r="PM41" s="235">
        <f t="shared" ca="1" si="369"/>
        <v>0</v>
      </c>
      <c r="PN41" s="235">
        <f t="shared" ca="1" si="370"/>
        <v>0</v>
      </c>
      <c r="PO41" s="242">
        <f t="shared" ca="1" si="371"/>
        <v>0</v>
      </c>
      <c r="PP41" s="241">
        <f t="shared" ca="1" si="573"/>
        <v>1</v>
      </c>
      <c r="PQ41" s="220">
        <f t="shared" ca="1" si="725"/>
        <v>0</v>
      </c>
      <c r="PR41" s="220">
        <f t="shared" ca="1" si="726"/>
        <v>0</v>
      </c>
      <c r="PS41" s="235">
        <f t="shared" ca="1" si="374"/>
        <v>0</v>
      </c>
      <c r="PT41" s="235">
        <f t="shared" ca="1" si="375"/>
        <v>0</v>
      </c>
      <c r="PU41" s="242">
        <f t="shared" ca="1" si="376"/>
        <v>0</v>
      </c>
      <c r="PV41" s="241">
        <f t="shared" ca="1" si="573"/>
        <v>1</v>
      </c>
      <c r="PW41" s="220">
        <f t="shared" ca="1" si="727"/>
        <v>0</v>
      </c>
      <c r="PX41" s="220">
        <f t="shared" ca="1" si="728"/>
        <v>0</v>
      </c>
      <c r="PY41" s="235">
        <f t="shared" ca="1" si="379"/>
        <v>0</v>
      </c>
      <c r="PZ41" s="235">
        <f t="shared" ca="1" si="380"/>
        <v>0</v>
      </c>
      <c r="QA41" s="242">
        <f t="shared" ca="1" si="381"/>
        <v>0</v>
      </c>
      <c r="QB41" s="241">
        <f t="shared" ca="1" si="573"/>
        <v>1</v>
      </c>
      <c r="QC41" s="220">
        <f t="shared" ca="1" si="729"/>
        <v>0</v>
      </c>
      <c r="QD41" s="220">
        <f t="shared" ca="1" si="730"/>
        <v>0</v>
      </c>
      <c r="QE41" s="235">
        <f t="shared" ca="1" si="384"/>
        <v>0</v>
      </c>
      <c r="QF41" s="235">
        <f t="shared" ca="1" si="385"/>
        <v>0</v>
      </c>
      <c r="QG41" s="242">
        <f t="shared" ca="1" si="386"/>
        <v>0</v>
      </c>
      <c r="QH41" s="241">
        <f t="shared" ca="1" si="573"/>
        <v>1</v>
      </c>
      <c r="QI41" s="220">
        <f t="shared" ca="1" si="731"/>
        <v>0</v>
      </c>
      <c r="QJ41" s="220">
        <f t="shared" ca="1" si="732"/>
        <v>0</v>
      </c>
      <c r="QK41" s="235">
        <f t="shared" ca="1" si="390"/>
        <v>0</v>
      </c>
      <c r="QL41" s="235">
        <f t="shared" ca="1" si="391"/>
        <v>0</v>
      </c>
      <c r="QM41" s="242">
        <f t="shared" ca="1" si="392"/>
        <v>0</v>
      </c>
      <c r="QN41" s="241">
        <f t="shared" ca="1" si="573"/>
        <v>1</v>
      </c>
      <c r="QO41" s="220">
        <f t="shared" ca="1" si="733"/>
        <v>0</v>
      </c>
      <c r="QP41" s="220">
        <f t="shared" ca="1" si="734"/>
        <v>0</v>
      </c>
      <c r="QQ41" s="235">
        <f t="shared" ca="1" si="395"/>
        <v>0</v>
      </c>
      <c r="QR41" s="235">
        <f t="shared" ca="1" si="396"/>
        <v>0</v>
      </c>
      <c r="QS41" s="242">
        <f t="shared" ca="1" si="397"/>
        <v>0</v>
      </c>
      <c r="QT41" s="241">
        <f t="shared" ca="1" si="573"/>
        <v>1</v>
      </c>
      <c r="QU41" s="220">
        <f t="shared" ca="1" si="735"/>
        <v>0</v>
      </c>
      <c r="QV41" s="220">
        <f t="shared" ca="1" si="736"/>
        <v>0</v>
      </c>
      <c r="QW41" s="235">
        <f t="shared" ca="1" si="400"/>
        <v>0</v>
      </c>
      <c r="QX41" s="235">
        <f t="shared" ca="1" si="401"/>
        <v>0</v>
      </c>
      <c r="QY41" s="242">
        <f t="shared" ca="1" si="402"/>
        <v>0</v>
      </c>
      <c r="QZ41" s="241">
        <f t="shared" ca="1" si="573"/>
        <v>1</v>
      </c>
      <c r="RA41" s="220">
        <f t="shared" ca="1" si="737"/>
        <v>0</v>
      </c>
      <c r="RB41" s="220">
        <f t="shared" ca="1" si="738"/>
        <v>0</v>
      </c>
      <c r="RC41" s="235">
        <f t="shared" ca="1" si="405"/>
        <v>0</v>
      </c>
      <c r="RD41" s="235">
        <f t="shared" ca="1" si="406"/>
        <v>0</v>
      </c>
      <c r="RE41" s="242">
        <f t="shared" ca="1" si="407"/>
        <v>0</v>
      </c>
      <c r="RF41" s="241">
        <f t="shared" ca="1" si="573"/>
        <v>1</v>
      </c>
      <c r="RG41" s="220">
        <f t="shared" ca="1" si="739"/>
        <v>0</v>
      </c>
      <c r="RH41" s="220">
        <f t="shared" ca="1" si="740"/>
        <v>0</v>
      </c>
      <c r="RI41" s="235">
        <f t="shared" ca="1" si="410"/>
        <v>0</v>
      </c>
      <c r="RJ41" s="235">
        <f t="shared" ca="1" si="411"/>
        <v>0</v>
      </c>
      <c r="RK41" s="242">
        <f t="shared" ca="1" si="412"/>
        <v>0</v>
      </c>
      <c r="RL41" s="241">
        <f t="shared" ca="1" si="573"/>
        <v>1</v>
      </c>
      <c r="RM41" s="220">
        <f t="shared" ca="1" si="741"/>
        <v>0</v>
      </c>
      <c r="RN41" s="220">
        <f t="shared" ca="1" si="742"/>
        <v>0</v>
      </c>
      <c r="RO41" s="235">
        <f t="shared" ca="1" si="415"/>
        <v>0</v>
      </c>
      <c r="RP41" s="235">
        <f t="shared" ca="1" si="416"/>
        <v>0</v>
      </c>
      <c r="RQ41" s="242">
        <f t="shared" ca="1" si="417"/>
        <v>0</v>
      </c>
      <c r="RR41" s="241">
        <f t="shared" ca="1" si="573"/>
        <v>1</v>
      </c>
      <c r="RS41" s="220">
        <f t="shared" ca="1" si="743"/>
        <v>0</v>
      </c>
      <c r="RT41" s="220">
        <f t="shared" ca="1" si="744"/>
        <v>0</v>
      </c>
      <c r="RU41" s="235">
        <f t="shared" ca="1" si="420"/>
        <v>0</v>
      </c>
      <c r="RV41" s="235">
        <f t="shared" ca="1" si="421"/>
        <v>0</v>
      </c>
      <c r="RW41" s="242">
        <f t="shared" ca="1" si="422"/>
        <v>0</v>
      </c>
      <c r="RX41" s="241">
        <f t="shared" ca="1" si="573"/>
        <v>1</v>
      </c>
      <c r="RY41" s="220">
        <f t="shared" ca="1" si="745"/>
        <v>0</v>
      </c>
      <c r="RZ41" s="220">
        <f t="shared" ca="1" si="746"/>
        <v>0</v>
      </c>
      <c r="SA41" s="235">
        <f t="shared" ca="1" si="425"/>
        <v>0</v>
      </c>
      <c r="SB41" s="235">
        <f t="shared" ca="1" si="426"/>
        <v>0</v>
      </c>
      <c r="SC41" s="242">
        <f t="shared" ca="1" si="427"/>
        <v>0</v>
      </c>
      <c r="SD41" s="241">
        <f t="shared" ca="1" si="566"/>
        <v>1</v>
      </c>
      <c r="SE41" s="220">
        <f t="shared" ca="1" si="747"/>
        <v>0</v>
      </c>
      <c r="SF41" s="220">
        <f t="shared" ca="1" si="748"/>
        <v>0</v>
      </c>
      <c r="SG41" s="235">
        <f t="shared" ca="1" si="430"/>
        <v>0</v>
      </c>
      <c r="SH41" s="235">
        <f t="shared" ca="1" si="431"/>
        <v>0</v>
      </c>
      <c r="SI41" s="242">
        <f t="shared" ca="1" si="432"/>
        <v>0</v>
      </c>
      <c r="SJ41" s="241">
        <f t="shared" ca="1" si="566"/>
        <v>1</v>
      </c>
      <c r="SK41" s="220">
        <f t="shared" ca="1" si="749"/>
        <v>0</v>
      </c>
      <c r="SL41" s="220">
        <f t="shared" ca="1" si="750"/>
        <v>0</v>
      </c>
      <c r="SM41" s="235">
        <f t="shared" ca="1" si="435"/>
        <v>0</v>
      </c>
      <c r="SN41" s="235">
        <f t="shared" ca="1" si="436"/>
        <v>0</v>
      </c>
      <c r="SO41" s="242">
        <f t="shared" ca="1" si="437"/>
        <v>0</v>
      </c>
      <c r="SP41" s="241">
        <f t="shared" ca="1" si="576"/>
        <v>1</v>
      </c>
      <c r="SQ41" s="220">
        <f t="shared" ca="1" si="751"/>
        <v>0</v>
      </c>
      <c r="SR41" s="220">
        <f t="shared" ca="1" si="752"/>
        <v>0</v>
      </c>
      <c r="SS41" s="235">
        <f t="shared" ca="1" si="440"/>
        <v>0</v>
      </c>
      <c r="ST41" s="235">
        <f t="shared" ca="1" si="441"/>
        <v>0</v>
      </c>
      <c r="SU41" s="242">
        <f t="shared" ca="1" si="442"/>
        <v>0</v>
      </c>
      <c r="SV41" s="241">
        <f t="shared" ca="1" si="576"/>
        <v>1</v>
      </c>
      <c r="SW41" s="220">
        <f t="shared" ca="1" si="753"/>
        <v>0</v>
      </c>
      <c r="SX41" s="220">
        <f t="shared" ca="1" si="754"/>
        <v>0</v>
      </c>
      <c r="SY41" s="235">
        <f t="shared" ca="1" si="446"/>
        <v>0</v>
      </c>
      <c r="SZ41" s="235">
        <f t="shared" ca="1" si="447"/>
        <v>0</v>
      </c>
      <c r="TA41" s="242">
        <f t="shared" ca="1" si="448"/>
        <v>0</v>
      </c>
      <c r="TB41" s="241">
        <f t="shared" ca="1" si="576"/>
        <v>1</v>
      </c>
      <c r="TC41" s="220">
        <f t="shared" ca="1" si="755"/>
        <v>0</v>
      </c>
      <c r="TD41" s="220">
        <f t="shared" ca="1" si="756"/>
        <v>0</v>
      </c>
      <c r="TE41" s="235">
        <f t="shared" ca="1" si="451"/>
        <v>0</v>
      </c>
      <c r="TF41" s="235">
        <f t="shared" ca="1" si="452"/>
        <v>0</v>
      </c>
      <c r="TG41" s="242">
        <f t="shared" ca="1" si="453"/>
        <v>0</v>
      </c>
      <c r="TH41" s="241">
        <f t="shared" ca="1" si="576"/>
        <v>1</v>
      </c>
      <c r="TI41" s="220">
        <f t="shared" ca="1" si="757"/>
        <v>0</v>
      </c>
      <c r="TJ41" s="220">
        <f t="shared" ca="1" si="758"/>
        <v>0</v>
      </c>
      <c r="TK41" s="235">
        <f t="shared" ca="1" si="456"/>
        <v>0</v>
      </c>
      <c r="TL41" s="235">
        <f t="shared" ca="1" si="457"/>
        <v>0</v>
      </c>
      <c r="TM41" s="242">
        <f t="shared" ca="1" si="458"/>
        <v>0</v>
      </c>
      <c r="TN41" s="241">
        <f t="shared" ca="1" si="576"/>
        <v>1</v>
      </c>
      <c r="TO41" s="220">
        <f t="shared" ca="1" si="759"/>
        <v>0</v>
      </c>
      <c r="TP41" s="220">
        <f t="shared" ca="1" si="760"/>
        <v>0</v>
      </c>
      <c r="TQ41" s="235">
        <f t="shared" ca="1" si="461"/>
        <v>0</v>
      </c>
      <c r="TR41" s="235">
        <f t="shared" ca="1" si="462"/>
        <v>0</v>
      </c>
      <c r="TS41" s="242">
        <f t="shared" ca="1" si="463"/>
        <v>0</v>
      </c>
      <c r="TT41" s="241">
        <f t="shared" ca="1" si="576"/>
        <v>1</v>
      </c>
      <c r="TU41" s="220">
        <f t="shared" ca="1" si="761"/>
        <v>0</v>
      </c>
      <c r="TV41" s="220">
        <f t="shared" ca="1" si="762"/>
        <v>0</v>
      </c>
      <c r="TW41" s="235">
        <f t="shared" ca="1" si="466"/>
        <v>0</v>
      </c>
      <c r="TX41" s="235">
        <f t="shared" ca="1" si="467"/>
        <v>0</v>
      </c>
      <c r="TY41" s="242">
        <f t="shared" ca="1" si="468"/>
        <v>0</v>
      </c>
      <c r="TZ41" s="241">
        <f t="shared" ca="1" si="576"/>
        <v>1</v>
      </c>
      <c r="UA41" s="220">
        <f t="shared" ca="1" si="763"/>
        <v>0</v>
      </c>
      <c r="UB41" s="220">
        <f t="shared" ca="1" si="764"/>
        <v>0</v>
      </c>
      <c r="UC41" s="235">
        <f t="shared" ca="1" si="471"/>
        <v>0</v>
      </c>
      <c r="UD41" s="235">
        <f t="shared" ca="1" si="472"/>
        <v>0</v>
      </c>
      <c r="UE41" s="242">
        <f t="shared" ca="1" si="473"/>
        <v>0</v>
      </c>
      <c r="UF41" s="241">
        <f t="shared" ca="1" si="576"/>
        <v>1</v>
      </c>
      <c r="UG41" s="220">
        <f t="shared" ca="1" si="765"/>
        <v>0</v>
      </c>
      <c r="UH41" s="220">
        <f t="shared" ca="1" si="766"/>
        <v>0</v>
      </c>
      <c r="UI41" s="235">
        <f t="shared" ca="1" si="476"/>
        <v>0</v>
      </c>
      <c r="UJ41" s="235">
        <f t="shared" ca="1" si="477"/>
        <v>0</v>
      </c>
      <c r="UK41" s="242">
        <f t="shared" ca="1" si="478"/>
        <v>0</v>
      </c>
      <c r="UL41" s="241">
        <f t="shared" ca="1" si="576"/>
        <v>1</v>
      </c>
      <c r="UM41" s="220">
        <f t="shared" ca="1" si="767"/>
        <v>0</v>
      </c>
      <c r="UN41" s="220">
        <f t="shared" ca="1" si="768"/>
        <v>0</v>
      </c>
      <c r="UO41" s="235">
        <f t="shared" ca="1" si="481"/>
        <v>0</v>
      </c>
      <c r="UP41" s="235">
        <f t="shared" ca="1" si="482"/>
        <v>0</v>
      </c>
      <c r="UQ41" s="242">
        <f t="shared" ca="1" si="483"/>
        <v>0</v>
      </c>
      <c r="UR41" s="241">
        <f t="shared" ca="1" si="576"/>
        <v>1</v>
      </c>
      <c r="US41" s="220">
        <f t="shared" ca="1" si="769"/>
        <v>0</v>
      </c>
      <c r="UT41" s="220">
        <f t="shared" ca="1" si="770"/>
        <v>0</v>
      </c>
      <c r="UU41" s="235">
        <f t="shared" ca="1" si="486"/>
        <v>0</v>
      </c>
      <c r="UV41" s="235">
        <f t="shared" ca="1" si="487"/>
        <v>0</v>
      </c>
      <c r="UW41" s="242">
        <f t="shared" ca="1" si="488"/>
        <v>0</v>
      </c>
      <c r="UX41" s="241">
        <f t="shared" ca="1" si="576"/>
        <v>1</v>
      </c>
      <c r="UY41" s="220">
        <f t="shared" ca="1" si="771"/>
        <v>0</v>
      </c>
      <c r="UZ41" s="220">
        <f t="shared" ca="1" si="772"/>
        <v>0</v>
      </c>
      <c r="VA41" s="235">
        <f t="shared" ca="1" si="491"/>
        <v>0</v>
      </c>
      <c r="VB41" s="235">
        <f t="shared" ca="1" si="492"/>
        <v>0</v>
      </c>
      <c r="VC41" s="242">
        <f t="shared" ca="1" si="493"/>
        <v>0</v>
      </c>
      <c r="VD41" s="241">
        <f t="shared" ca="1" si="574"/>
        <v>1</v>
      </c>
      <c r="VE41" s="220">
        <f t="shared" ca="1" si="773"/>
        <v>0</v>
      </c>
      <c r="VF41" s="220">
        <f t="shared" ca="1" si="774"/>
        <v>0</v>
      </c>
      <c r="VG41" s="235">
        <f t="shared" ca="1" si="496"/>
        <v>0</v>
      </c>
      <c r="VH41" s="235">
        <f t="shared" ca="1" si="497"/>
        <v>0</v>
      </c>
      <c r="VI41" s="242">
        <f t="shared" ca="1" si="498"/>
        <v>0</v>
      </c>
      <c r="VJ41" s="241">
        <f t="shared" ca="1" si="567"/>
        <v>1</v>
      </c>
      <c r="VK41" s="220">
        <f t="shared" ca="1" si="775"/>
        <v>0</v>
      </c>
      <c r="VL41" s="220">
        <f t="shared" ca="1" si="776"/>
        <v>0</v>
      </c>
      <c r="VM41" s="235">
        <f t="shared" ca="1" si="502"/>
        <v>0</v>
      </c>
      <c r="VN41" s="235">
        <f t="shared" ca="1" si="503"/>
        <v>0</v>
      </c>
      <c r="VO41" s="242">
        <f t="shared" ca="1" si="504"/>
        <v>0</v>
      </c>
      <c r="VP41" s="241">
        <f t="shared" ca="1" si="567"/>
        <v>1</v>
      </c>
      <c r="VQ41" s="220">
        <f t="shared" ca="1" si="777"/>
        <v>0</v>
      </c>
      <c r="VR41" s="220">
        <f t="shared" ca="1" si="778"/>
        <v>0</v>
      </c>
      <c r="VS41" s="235">
        <f t="shared" ca="1" si="507"/>
        <v>0</v>
      </c>
      <c r="VT41" s="235">
        <f t="shared" ca="1" si="508"/>
        <v>0</v>
      </c>
      <c r="VU41" s="242">
        <f t="shared" ca="1" si="509"/>
        <v>0</v>
      </c>
      <c r="VV41" s="241">
        <f t="shared" ca="1" si="578"/>
        <v>1</v>
      </c>
      <c r="VW41" s="220">
        <f t="shared" ca="1" si="779"/>
        <v>0</v>
      </c>
      <c r="VX41" s="220">
        <f t="shared" ca="1" si="780"/>
        <v>0</v>
      </c>
      <c r="VY41" s="235">
        <f t="shared" ca="1" si="512"/>
        <v>0</v>
      </c>
      <c r="VZ41" s="235">
        <f t="shared" ca="1" si="513"/>
        <v>0</v>
      </c>
      <c r="WA41" s="242">
        <f t="shared" ca="1" si="514"/>
        <v>0</v>
      </c>
      <c r="WB41" s="241">
        <f t="shared" ca="1" si="578"/>
        <v>1</v>
      </c>
      <c r="WC41" s="220">
        <f t="shared" ca="1" si="781"/>
        <v>0</v>
      </c>
      <c r="WD41" s="220">
        <f t="shared" ca="1" si="782"/>
        <v>0</v>
      </c>
      <c r="WE41" s="235">
        <f t="shared" ca="1" si="517"/>
        <v>0</v>
      </c>
      <c r="WF41" s="235">
        <f t="shared" ca="1" si="518"/>
        <v>0</v>
      </c>
      <c r="WG41" s="242">
        <f t="shared" ca="1" si="519"/>
        <v>0</v>
      </c>
      <c r="WH41" s="241">
        <f t="shared" ca="1" si="578"/>
        <v>1</v>
      </c>
      <c r="WI41" s="220">
        <f t="shared" ca="1" si="783"/>
        <v>0</v>
      </c>
      <c r="WJ41" s="220">
        <f t="shared" ca="1" si="784"/>
        <v>0</v>
      </c>
      <c r="WK41" s="235">
        <f t="shared" ca="1" si="522"/>
        <v>0</v>
      </c>
      <c r="WL41" s="235">
        <f t="shared" ca="1" si="523"/>
        <v>0</v>
      </c>
      <c r="WM41" s="242">
        <f t="shared" ca="1" si="524"/>
        <v>0</v>
      </c>
      <c r="WN41" s="241">
        <f t="shared" ca="1" si="578"/>
        <v>1</v>
      </c>
      <c r="WO41" s="220">
        <f t="shared" ca="1" si="785"/>
        <v>0</v>
      </c>
      <c r="WP41" s="220">
        <f t="shared" ca="1" si="786"/>
        <v>0</v>
      </c>
      <c r="WQ41" s="235">
        <f t="shared" ca="1" si="527"/>
        <v>0</v>
      </c>
      <c r="WR41" s="235">
        <f t="shared" ca="1" si="528"/>
        <v>0</v>
      </c>
      <c r="WS41" s="242">
        <f t="shared" ca="1" si="529"/>
        <v>0</v>
      </c>
      <c r="WT41" s="241">
        <f t="shared" ca="1" si="578"/>
        <v>1</v>
      </c>
      <c r="WU41" s="220">
        <f t="shared" ca="1" si="787"/>
        <v>0</v>
      </c>
      <c r="WV41" s="220">
        <f t="shared" ca="1" si="788"/>
        <v>0</v>
      </c>
      <c r="WW41" s="235">
        <f t="shared" ca="1" si="532"/>
        <v>0</v>
      </c>
      <c r="WX41" s="235">
        <f t="shared" ca="1" si="533"/>
        <v>0</v>
      </c>
      <c r="WY41" s="242">
        <f t="shared" ca="1" si="534"/>
        <v>0</v>
      </c>
      <c r="WZ41" s="241">
        <f t="shared" ca="1" si="578"/>
        <v>1</v>
      </c>
      <c r="XA41" s="220">
        <f t="shared" ca="1" si="789"/>
        <v>0</v>
      </c>
      <c r="XB41" s="220">
        <f t="shared" ca="1" si="790"/>
        <v>0</v>
      </c>
      <c r="XC41" s="235">
        <f t="shared" ca="1" si="537"/>
        <v>0</v>
      </c>
      <c r="XD41" s="235">
        <f t="shared" ca="1" si="538"/>
        <v>0</v>
      </c>
      <c r="XE41" s="242">
        <f t="shared" ca="1" si="539"/>
        <v>0</v>
      </c>
      <c r="XF41" s="241">
        <f t="shared" ca="1" si="578"/>
        <v>1</v>
      </c>
      <c r="XG41" s="220">
        <f t="shared" ca="1" si="791"/>
        <v>0</v>
      </c>
      <c r="XH41" s="220">
        <f t="shared" ca="1" si="792"/>
        <v>0</v>
      </c>
      <c r="XI41" s="235">
        <f t="shared" ca="1" si="542"/>
        <v>0</v>
      </c>
      <c r="XJ41" s="235">
        <f t="shared" ca="1" si="543"/>
        <v>0</v>
      </c>
      <c r="XK41" s="242">
        <f t="shared" ca="1" si="544"/>
        <v>0</v>
      </c>
    </row>
    <row r="42" spans="2:635" x14ac:dyDescent="0.25">
      <c r="B42" s="65">
        <f t="shared" ca="1" si="14"/>
        <v>2057</v>
      </c>
      <c r="C42" s="65" t="s">
        <v>741</v>
      </c>
      <c r="D42" s="77">
        <f t="shared" si="580"/>
        <v>0</v>
      </c>
      <c r="E42" s="77">
        <f t="shared" si="581"/>
        <v>0</v>
      </c>
      <c r="F42" s="77">
        <f t="shared" si="17"/>
        <v>0</v>
      </c>
      <c r="G42" s="77">
        <f t="shared" si="18"/>
        <v>0</v>
      </c>
      <c r="H42" s="15" t="e">
        <f t="shared" ca="1" si="582"/>
        <v>#REF!</v>
      </c>
      <c r="L42" s="326">
        <f t="shared" ca="1" si="583"/>
        <v>3.5000000000000003E-2</v>
      </c>
      <c r="M42" s="327">
        <f t="shared" ca="1" si="584"/>
        <v>3.5000000000000003E-2</v>
      </c>
      <c r="N42" s="322">
        <f t="shared" ca="1" si="579"/>
        <v>-34</v>
      </c>
      <c r="O42" s="322">
        <f t="shared" ca="1" si="585"/>
        <v>0</v>
      </c>
      <c r="P42" s="328">
        <f t="shared" ca="1" si="545"/>
        <v>0</v>
      </c>
      <c r="Q42" s="328">
        <f t="shared" ca="1" si="546"/>
        <v>0</v>
      </c>
      <c r="R42" s="328">
        <f t="shared" ca="1" si="547"/>
        <v>0</v>
      </c>
      <c r="S42" s="329">
        <f t="shared" ca="1" si="586"/>
        <v>0</v>
      </c>
      <c r="T42" s="329">
        <f t="shared" ca="1" si="587"/>
        <v>0</v>
      </c>
      <c r="U42" s="329">
        <f t="shared" ca="1" si="588"/>
        <v>0</v>
      </c>
      <c r="V42" s="320" t="e">
        <f t="shared" ca="1" si="589"/>
        <v>#REF!</v>
      </c>
      <c r="W42" s="320" t="e">
        <f t="shared" ca="1" si="560"/>
        <v>#REF!</v>
      </c>
      <c r="X42" s="320" t="e">
        <f t="shared" ca="1" si="590"/>
        <v>#REF!</v>
      </c>
      <c r="Y42" s="320" t="e">
        <f ca="1">INDEX(SC_ZA_HECMLumpSum,ZAIDX)</f>
        <v>#REF!</v>
      </c>
      <c r="Z42" s="320" t="e">
        <f t="shared" ca="1" si="591"/>
        <v>#REF!</v>
      </c>
      <c r="AA42" s="320">
        <f t="shared" ca="1" si="557"/>
        <v>0</v>
      </c>
      <c r="AB42" s="320" t="e">
        <f t="shared" ca="1" si="558"/>
        <v>#REF!</v>
      </c>
      <c r="AC42" s="330" t="e">
        <f t="shared" ca="1" si="559"/>
        <v>#REF!</v>
      </c>
      <c r="AD42" s="236" t="e">
        <f t="shared" ca="1" si="548"/>
        <v>#REF!</v>
      </c>
      <c r="AE42" s="320" t="e">
        <f t="shared" ca="1" si="561"/>
        <v>#REF!</v>
      </c>
      <c r="AF42" s="320" t="e">
        <f t="shared" ca="1" si="592"/>
        <v>#REF!</v>
      </c>
      <c r="AG42" s="320" t="e">
        <f t="shared" ca="1" si="549"/>
        <v>#REF!</v>
      </c>
      <c r="AH42" s="284" t="e">
        <f t="shared" ca="1" si="550"/>
        <v>#REF!</v>
      </c>
      <c r="AI42" s="318" t="e">
        <f t="shared" ca="1" si="551"/>
        <v>#REF!</v>
      </c>
      <c r="AJ42" s="331">
        <f t="shared" ca="1" si="575"/>
        <v>1</v>
      </c>
      <c r="AK42" s="220">
        <f t="shared" ca="1" si="593"/>
        <v>0</v>
      </c>
      <c r="AL42" s="220">
        <f t="shared" ca="1" si="594"/>
        <v>0</v>
      </c>
      <c r="AM42" s="235">
        <f t="shared" ca="1" si="554"/>
        <v>0</v>
      </c>
      <c r="AN42" s="235">
        <f t="shared" ca="1" si="555"/>
        <v>0</v>
      </c>
      <c r="AO42" s="242">
        <f t="shared" ca="1" si="556"/>
        <v>0</v>
      </c>
      <c r="AP42" s="241">
        <f t="shared" ca="1" si="575"/>
        <v>1</v>
      </c>
      <c r="AQ42" s="220">
        <f t="shared" ca="1" si="595"/>
        <v>0</v>
      </c>
      <c r="AR42" s="220">
        <f t="shared" ca="1" si="596"/>
        <v>0</v>
      </c>
      <c r="AS42" s="235">
        <f t="shared" ca="1" si="43"/>
        <v>0</v>
      </c>
      <c r="AT42" s="235">
        <f t="shared" ca="1" si="44"/>
        <v>0</v>
      </c>
      <c r="AU42" s="242">
        <f t="shared" ca="1" si="45"/>
        <v>0</v>
      </c>
      <c r="AV42" s="241">
        <f t="shared" ca="1" si="575"/>
        <v>1</v>
      </c>
      <c r="AW42" s="220">
        <f t="shared" ca="1" si="597"/>
        <v>0</v>
      </c>
      <c r="AX42" s="220">
        <f t="shared" ca="1" si="598"/>
        <v>0</v>
      </c>
      <c r="AY42" s="235">
        <f t="shared" ca="1" si="48"/>
        <v>0</v>
      </c>
      <c r="AZ42" s="235">
        <f t="shared" ca="1" si="49"/>
        <v>0</v>
      </c>
      <c r="BA42" s="242">
        <f t="shared" ca="1" si="50"/>
        <v>0</v>
      </c>
      <c r="BB42" s="241">
        <f t="shared" ca="1" si="575"/>
        <v>1</v>
      </c>
      <c r="BC42" s="220">
        <f t="shared" ca="1" si="599"/>
        <v>0</v>
      </c>
      <c r="BD42" s="220">
        <f t="shared" ca="1" si="600"/>
        <v>0</v>
      </c>
      <c r="BE42" s="235">
        <f t="shared" ca="1" si="54"/>
        <v>0</v>
      </c>
      <c r="BF42" s="235">
        <f t="shared" ca="1" si="55"/>
        <v>0</v>
      </c>
      <c r="BG42" s="242">
        <f t="shared" ca="1" si="56"/>
        <v>0</v>
      </c>
      <c r="BH42" s="241">
        <f t="shared" ca="1" si="575"/>
        <v>1</v>
      </c>
      <c r="BI42" s="220">
        <f t="shared" ca="1" si="601"/>
        <v>0</v>
      </c>
      <c r="BJ42" s="220">
        <f t="shared" ca="1" si="602"/>
        <v>0</v>
      </c>
      <c r="BK42" s="235">
        <f t="shared" ca="1" si="59"/>
        <v>0</v>
      </c>
      <c r="BL42" s="235">
        <f t="shared" ca="1" si="60"/>
        <v>0</v>
      </c>
      <c r="BM42" s="242">
        <f t="shared" ca="1" si="61"/>
        <v>0</v>
      </c>
      <c r="BN42" s="241">
        <f t="shared" ca="1" si="575"/>
        <v>1</v>
      </c>
      <c r="BO42" s="220">
        <f t="shared" ca="1" si="603"/>
        <v>0</v>
      </c>
      <c r="BP42" s="220">
        <f t="shared" ca="1" si="604"/>
        <v>0</v>
      </c>
      <c r="BQ42" s="235">
        <f t="shared" ca="1" si="64"/>
        <v>0</v>
      </c>
      <c r="BR42" s="235">
        <f t="shared" ca="1" si="65"/>
        <v>0</v>
      </c>
      <c r="BS42" s="242">
        <f t="shared" ca="1" si="66"/>
        <v>0</v>
      </c>
      <c r="BT42" s="241">
        <f t="shared" ca="1" si="575"/>
        <v>1</v>
      </c>
      <c r="BU42" s="220">
        <f t="shared" ca="1" si="605"/>
        <v>0</v>
      </c>
      <c r="BV42" s="220">
        <f t="shared" ca="1" si="606"/>
        <v>0</v>
      </c>
      <c r="BW42" s="235">
        <f t="shared" ca="1" si="69"/>
        <v>0</v>
      </c>
      <c r="BX42" s="235">
        <f t="shared" ca="1" si="70"/>
        <v>0</v>
      </c>
      <c r="BY42" s="242">
        <f t="shared" ca="1" si="71"/>
        <v>0</v>
      </c>
      <c r="BZ42" s="241">
        <f t="shared" ca="1" si="575"/>
        <v>1</v>
      </c>
      <c r="CA42" s="220">
        <f t="shared" ca="1" si="607"/>
        <v>0</v>
      </c>
      <c r="CB42" s="220">
        <f t="shared" ca="1" si="608"/>
        <v>0</v>
      </c>
      <c r="CC42" s="235">
        <f t="shared" ca="1" si="74"/>
        <v>0</v>
      </c>
      <c r="CD42" s="235">
        <f t="shared" ca="1" si="75"/>
        <v>0</v>
      </c>
      <c r="CE42" s="242">
        <f t="shared" ca="1" si="76"/>
        <v>0</v>
      </c>
      <c r="CF42" s="241">
        <f t="shared" ca="1" si="575"/>
        <v>1</v>
      </c>
      <c r="CG42" s="220">
        <f t="shared" ca="1" si="609"/>
        <v>0</v>
      </c>
      <c r="CH42" s="220">
        <f t="shared" ca="1" si="610"/>
        <v>0</v>
      </c>
      <c r="CI42" s="235">
        <f t="shared" ca="1" si="79"/>
        <v>0</v>
      </c>
      <c r="CJ42" s="235">
        <f t="shared" ca="1" si="80"/>
        <v>0</v>
      </c>
      <c r="CK42" s="242">
        <f t="shared" ca="1" si="81"/>
        <v>0</v>
      </c>
      <c r="CL42" s="241">
        <f t="shared" ca="1" si="575"/>
        <v>1</v>
      </c>
      <c r="CM42" s="220">
        <f t="shared" ca="1" si="611"/>
        <v>0</v>
      </c>
      <c r="CN42" s="220">
        <f t="shared" ca="1" si="612"/>
        <v>0</v>
      </c>
      <c r="CO42" s="235">
        <f t="shared" ca="1" si="84"/>
        <v>0</v>
      </c>
      <c r="CP42" s="235">
        <f t="shared" ca="1" si="85"/>
        <v>0</v>
      </c>
      <c r="CQ42" s="242">
        <f t="shared" ca="1" si="86"/>
        <v>0</v>
      </c>
      <c r="CR42" s="241">
        <f t="shared" ca="1" si="575"/>
        <v>1</v>
      </c>
      <c r="CS42" s="220">
        <f t="shared" ca="1" si="613"/>
        <v>0</v>
      </c>
      <c r="CT42" s="220">
        <f t="shared" ca="1" si="614"/>
        <v>0</v>
      </c>
      <c r="CU42" s="235">
        <f t="shared" ca="1" si="89"/>
        <v>0</v>
      </c>
      <c r="CV42" s="235">
        <f t="shared" ca="1" si="90"/>
        <v>0</v>
      </c>
      <c r="CW42" s="242">
        <f t="shared" ca="1" si="91"/>
        <v>0</v>
      </c>
      <c r="CX42" s="241">
        <f t="shared" ca="1" si="568"/>
        <v>1</v>
      </c>
      <c r="CY42" s="220">
        <f t="shared" ca="1" si="615"/>
        <v>0</v>
      </c>
      <c r="CZ42" s="220">
        <f t="shared" ca="1" si="616"/>
        <v>0</v>
      </c>
      <c r="DA42" s="235">
        <f t="shared" ca="1" si="94"/>
        <v>0</v>
      </c>
      <c r="DB42" s="235">
        <f t="shared" ca="1" si="95"/>
        <v>0</v>
      </c>
      <c r="DC42" s="242">
        <f t="shared" ca="1" si="96"/>
        <v>0</v>
      </c>
      <c r="DD42" s="241">
        <f t="shared" ca="1" si="568"/>
        <v>1</v>
      </c>
      <c r="DE42" s="220">
        <f t="shared" ca="1" si="617"/>
        <v>0</v>
      </c>
      <c r="DF42" s="220">
        <f t="shared" ca="1" si="618"/>
        <v>0</v>
      </c>
      <c r="DG42" s="235">
        <f t="shared" ca="1" si="99"/>
        <v>0</v>
      </c>
      <c r="DH42" s="235">
        <f t="shared" ca="1" si="100"/>
        <v>0</v>
      </c>
      <c r="DI42" s="242">
        <f t="shared" ca="1" si="101"/>
        <v>0</v>
      </c>
      <c r="DJ42" s="241">
        <f t="shared" ca="1" si="51"/>
        <v>1</v>
      </c>
      <c r="DK42" s="220">
        <f t="shared" ca="1" si="619"/>
        <v>0</v>
      </c>
      <c r="DL42" s="220">
        <f t="shared" ca="1" si="620"/>
        <v>0</v>
      </c>
      <c r="DM42" s="235">
        <f t="shared" ca="1" si="104"/>
        <v>0</v>
      </c>
      <c r="DN42" s="235">
        <f t="shared" ca="1" si="105"/>
        <v>0</v>
      </c>
      <c r="DO42" s="242">
        <f t="shared" ca="1" si="106"/>
        <v>0</v>
      </c>
      <c r="DP42" s="241">
        <f t="shared" ca="1" si="569"/>
        <v>1</v>
      </c>
      <c r="DQ42" s="220">
        <f t="shared" ca="1" si="621"/>
        <v>0</v>
      </c>
      <c r="DR42" s="220">
        <f t="shared" ca="1" si="622"/>
        <v>0</v>
      </c>
      <c r="DS42" s="235">
        <f t="shared" ca="1" si="110"/>
        <v>0</v>
      </c>
      <c r="DT42" s="235">
        <f t="shared" ca="1" si="111"/>
        <v>0</v>
      </c>
      <c r="DU42" s="242">
        <f t="shared" ca="1" si="112"/>
        <v>0</v>
      </c>
      <c r="DV42" s="241">
        <f t="shared" ca="1" si="569"/>
        <v>1</v>
      </c>
      <c r="DW42" s="220">
        <f t="shared" ca="1" si="623"/>
        <v>0</v>
      </c>
      <c r="DX42" s="220">
        <f t="shared" ca="1" si="624"/>
        <v>0</v>
      </c>
      <c r="DY42" s="235">
        <f t="shared" ca="1" si="115"/>
        <v>0</v>
      </c>
      <c r="DZ42" s="235">
        <f t="shared" ca="1" si="116"/>
        <v>0</v>
      </c>
      <c r="EA42" s="242">
        <f t="shared" ca="1" si="117"/>
        <v>0</v>
      </c>
      <c r="EB42" s="241">
        <f t="shared" ca="1" si="569"/>
        <v>1</v>
      </c>
      <c r="EC42" s="220">
        <f t="shared" ca="1" si="625"/>
        <v>0</v>
      </c>
      <c r="ED42" s="220">
        <f t="shared" ca="1" si="626"/>
        <v>0</v>
      </c>
      <c r="EE42" s="235">
        <f t="shared" ca="1" si="120"/>
        <v>0</v>
      </c>
      <c r="EF42" s="235">
        <f t="shared" ca="1" si="121"/>
        <v>0</v>
      </c>
      <c r="EG42" s="242">
        <f t="shared" ca="1" si="122"/>
        <v>0</v>
      </c>
      <c r="EH42" s="241">
        <f t="shared" ca="1" si="569"/>
        <v>1</v>
      </c>
      <c r="EI42" s="220">
        <f t="shared" ca="1" si="627"/>
        <v>0</v>
      </c>
      <c r="EJ42" s="220">
        <f t="shared" ca="1" si="628"/>
        <v>0</v>
      </c>
      <c r="EK42" s="235">
        <f t="shared" ca="1" si="125"/>
        <v>0</v>
      </c>
      <c r="EL42" s="235">
        <f t="shared" ca="1" si="126"/>
        <v>0</v>
      </c>
      <c r="EM42" s="242">
        <f t="shared" ca="1" si="127"/>
        <v>0</v>
      </c>
      <c r="EN42" s="241">
        <f t="shared" ca="1" si="569"/>
        <v>1</v>
      </c>
      <c r="EO42" s="220">
        <f t="shared" ca="1" si="629"/>
        <v>0</v>
      </c>
      <c r="EP42" s="220">
        <f t="shared" ca="1" si="630"/>
        <v>0</v>
      </c>
      <c r="EQ42" s="235">
        <f t="shared" ca="1" si="130"/>
        <v>0</v>
      </c>
      <c r="ER42" s="235">
        <f t="shared" ca="1" si="131"/>
        <v>0</v>
      </c>
      <c r="ES42" s="242">
        <f t="shared" ca="1" si="132"/>
        <v>0</v>
      </c>
      <c r="ET42" s="241">
        <f t="shared" ca="1" si="569"/>
        <v>1</v>
      </c>
      <c r="EU42" s="220">
        <f t="shared" ca="1" si="631"/>
        <v>0</v>
      </c>
      <c r="EV42" s="220">
        <f t="shared" ca="1" si="632"/>
        <v>0</v>
      </c>
      <c r="EW42" s="235">
        <f t="shared" ca="1" si="135"/>
        <v>0</v>
      </c>
      <c r="EX42" s="235">
        <f t="shared" ca="1" si="136"/>
        <v>0</v>
      </c>
      <c r="EY42" s="242">
        <f t="shared" ca="1" si="137"/>
        <v>0</v>
      </c>
      <c r="EZ42" s="241">
        <f t="shared" ca="1" si="569"/>
        <v>1</v>
      </c>
      <c r="FA42" s="220">
        <f t="shared" ca="1" si="633"/>
        <v>0</v>
      </c>
      <c r="FB42" s="220">
        <f t="shared" ca="1" si="634"/>
        <v>0</v>
      </c>
      <c r="FC42" s="235">
        <f t="shared" ca="1" si="140"/>
        <v>0</v>
      </c>
      <c r="FD42" s="235">
        <f t="shared" ca="1" si="141"/>
        <v>0</v>
      </c>
      <c r="FE42" s="242">
        <f t="shared" ca="1" si="142"/>
        <v>0</v>
      </c>
      <c r="FF42" s="241">
        <f t="shared" ca="1" si="569"/>
        <v>1</v>
      </c>
      <c r="FG42" s="220">
        <f t="shared" ca="1" si="635"/>
        <v>0</v>
      </c>
      <c r="FH42" s="220">
        <f t="shared" ca="1" si="636"/>
        <v>0</v>
      </c>
      <c r="FI42" s="235">
        <f t="shared" ca="1" si="145"/>
        <v>0</v>
      </c>
      <c r="FJ42" s="235">
        <f t="shared" ca="1" si="146"/>
        <v>0</v>
      </c>
      <c r="FK42" s="242">
        <f t="shared" ca="1" si="147"/>
        <v>0</v>
      </c>
      <c r="FL42" s="241">
        <f t="shared" ca="1" si="569"/>
        <v>1</v>
      </c>
      <c r="FM42" s="220">
        <f t="shared" ca="1" si="637"/>
        <v>0</v>
      </c>
      <c r="FN42" s="220">
        <f t="shared" ca="1" si="638"/>
        <v>0</v>
      </c>
      <c r="FO42" s="235">
        <f t="shared" ca="1" si="150"/>
        <v>0</v>
      </c>
      <c r="FP42" s="235">
        <f t="shared" ca="1" si="151"/>
        <v>0</v>
      </c>
      <c r="FQ42" s="242">
        <f t="shared" ca="1" si="152"/>
        <v>0</v>
      </c>
      <c r="FR42" s="241">
        <f t="shared" ca="1" si="569"/>
        <v>1</v>
      </c>
      <c r="FS42" s="220">
        <f t="shared" ca="1" si="639"/>
        <v>0</v>
      </c>
      <c r="FT42" s="220">
        <f t="shared" ca="1" si="640"/>
        <v>0</v>
      </c>
      <c r="FU42" s="235">
        <f t="shared" ca="1" si="155"/>
        <v>0</v>
      </c>
      <c r="FV42" s="235">
        <f t="shared" ca="1" si="156"/>
        <v>0</v>
      </c>
      <c r="FW42" s="242">
        <f t="shared" ca="1" si="157"/>
        <v>0</v>
      </c>
      <c r="FX42" s="241">
        <f t="shared" ca="1" si="569"/>
        <v>1</v>
      </c>
      <c r="FY42" s="220">
        <f t="shared" ca="1" si="641"/>
        <v>0</v>
      </c>
      <c r="FZ42" s="220">
        <f t="shared" ca="1" si="642"/>
        <v>0</v>
      </c>
      <c r="GA42" s="235">
        <f t="shared" ca="1" si="160"/>
        <v>0</v>
      </c>
      <c r="GB42" s="235">
        <f t="shared" ca="1" si="161"/>
        <v>0</v>
      </c>
      <c r="GC42" s="242">
        <f t="shared" ca="1" si="162"/>
        <v>0</v>
      </c>
      <c r="GD42" s="241">
        <f t="shared" ca="1" si="562"/>
        <v>1</v>
      </c>
      <c r="GE42" s="220">
        <f t="shared" ca="1" si="643"/>
        <v>0</v>
      </c>
      <c r="GF42" s="220">
        <f t="shared" ca="1" si="644"/>
        <v>0</v>
      </c>
      <c r="GG42" s="235">
        <f t="shared" ca="1" si="166"/>
        <v>0</v>
      </c>
      <c r="GH42" s="235">
        <f t="shared" ca="1" si="167"/>
        <v>0</v>
      </c>
      <c r="GI42" s="242">
        <f t="shared" ca="1" si="168"/>
        <v>0</v>
      </c>
      <c r="GJ42" s="241">
        <f t="shared" ca="1" si="562"/>
        <v>1</v>
      </c>
      <c r="GK42" s="220">
        <f t="shared" ca="1" si="645"/>
        <v>0</v>
      </c>
      <c r="GL42" s="220">
        <f t="shared" ca="1" si="646"/>
        <v>0</v>
      </c>
      <c r="GM42" s="235">
        <f t="shared" ca="1" si="171"/>
        <v>0</v>
      </c>
      <c r="GN42" s="235">
        <f t="shared" ca="1" si="172"/>
        <v>0</v>
      </c>
      <c r="GO42" s="242">
        <f t="shared" ca="1" si="173"/>
        <v>0</v>
      </c>
      <c r="GP42" s="241">
        <f t="shared" ca="1" si="570"/>
        <v>1</v>
      </c>
      <c r="GQ42" s="220">
        <f t="shared" ca="1" si="647"/>
        <v>0</v>
      </c>
      <c r="GR42" s="220">
        <f t="shared" ca="1" si="648"/>
        <v>0</v>
      </c>
      <c r="GS42" s="235">
        <f t="shared" ca="1" si="176"/>
        <v>0</v>
      </c>
      <c r="GT42" s="235">
        <f t="shared" ca="1" si="177"/>
        <v>0</v>
      </c>
      <c r="GU42" s="242">
        <f t="shared" ca="1" si="178"/>
        <v>0</v>
      </c>
      <c r="GV42" s="241">
        <f t="shared" ca="1" si="570"/>
        <v>1</v>
      </c>
      <c r="GW42" s="220">
        <f t="shared" ca="1" si="649"/>
        <v>0</v>
      </c>
      <c r="GX42" s="220">
        <f t="shared" ca="1" si="650"/>
        <v>0</v>
      </c>
      <c r="GY42" s="235">
        <f t="shared" ca="1" si="181"/>
        <v>0</v>
      </c>
      <c r="GZ42" s="235">
        <f t="shared" ca="1" si="182"/>
        <v>0</v>
      </c>
      <c r="HA42" s="242">
        <f t="shared" ca="1" si="183"/>
        <v>0</v>
      </c>
      <c r="HB42" s="241">
        <f t="shared" ca="1" si="570"/>
        <v>1</v>
      </c>
      <c r="HC42" s="220">
        <f t="shared" ca="1" si="651"/>
        <v>0</v>
      </c>
      <c r="HD42" s="220">
        <f t="shared" ca="1" si="652"/>
        <v>0</v>
      </c>
      <c r="HE42" s="235">
        <f t="shared" ca="1" si="186"/>
        <v>0</v>
      </c>
      <c r="HF42" s="235">
        <f t="shared" ca="1" si="187"/>
        <v>0</v>
      </c>
      <c r="HG42" s="242">
        <f t="shared" ca="1" si="188"/>
        <v>0</v>
      </c>
      <c r="HH42" s="241">
        <f t="shared" ca="1" si="570"/>
        <v>1</v>
      </c>
      <c r="HI42" s="220">
        <f t="shared" ca="1" si="653"/>
        <v>0</v>
      </c>
      <c r="HJ42" s="220">
        <f t="shared" ca="1" si="654"/>
        <v>0</v>
      </c>
      <c r="HK42" s="235">
        <f t="shared" ca="1" si="191"/>
        <v>0</v>
      </c>
      <c r="HL42" s="235">
        <f t="shared" ca="1" si="192"/>
        <v>0</v>
      </c>
      <c r="HM42" s="242">
        <f t="shared" ca="1" si="193"/>
        <v>0</v>
      </c>
      <c r="HN42" s="241">
        <f t="shared" ca="1" si="570"/>
        <v>1</v>
      </c>
      <c r="HO42" s="220">
        <f t="shared" ca="1" si="655"/>
        <v>0</v>
      </c>
      <c r="HP42" s="220">
        <f t="shared" ca="1" si="656"/>
        <v>0</v>
      </c>
      <c r="HQ42" s="235">
        <f t="shared" ca="1" si="196"/>
        <v>0</v>
      </c>
      <c r="HR42" s="235">
        <f t="shared" ca="1" si="197"/>
        <v>0</v>
      </c>
      <c r="HS42" s="242">
        <f t="shared" ca="1" si="198"/>
        <v>0</v>
      </c>
      <c r="HT42" s="241">
        <f t="shared" ca="1" si="570"/>
        <v>1</v>
      </c>
      <c r="HU42" s="220">
        <f t="shared" ca="1" si="657"/>
        <v>0</v>
      </c>
      <c r="HV42" s="220">
        <f t="shared" ca="1" si="658"/>
        <v>0</v>
      </c>
      <c r="HW42" s="235">
        <f t="shared" ca="1" si="201"/>
        <v>0</v>
      </c>
      <c r="HX42" s="235">
        <f t="shared" ca="1" si="202"/>
        <v>0</v>
      </c>
      <c r="HY42" s="242">
        <f t="shared" ca="1" si="203"/>
        <v>0</v>
      </c>
      <c r="HZ42" s="241">
        <f t="shared" ca="1" si="570"/>
        <v>1</v>
      </c>
      <c r="IA42" s="220">
        <f t="shared" ca="1" si="659"/>
        <v>0</v>
      </c>
      <c r="IB42" s="220">
        <f t="shared" ca="1" si="660"/>
        <v>0</v>
      </c>
      <c r="IC42" s="235">
        <f t="shared" ca="1" si="206"/>
        <v>0</v>
      </c>
      <c r="ID42" s="235">
        <f t="shared" ca="1" si="207"/>
        <v>0</v>
      </c>
      <c r="IE42" s="242">
        <f t="shared" ca="1" si="208"/>
        <v>0</v>
      </c>
      <c r="IF42" s="241">
        <f t="shared" ca="1" si="570"/>
        <v>1</v>
      </c>
      <c r="IG42" s="220">
        <f t="shared" ca="1" si="661"/>
        <v>0</v>
      </c>
      <c r="IH42" s="220">
        <f t="shared" ca="1" si="662"/>
        <v>0</v>
      </c>
      <c r="II42" s="235">
        <f t="shared" ca="1" si="211"/>
        <v>0</v>
      </c>
      <c r="IJ42" s="235">
        <f t="shared" ca="1" si="212"/>
        <v>0</v>
      </c>
      <c r="IK42" s="242">
        <f t="shared" ca="1" si="213"/>
        <v>0</v>
      </c>
      <c r="IL42" s="241">
        <f t="shared" ca="1" si="570"/>
        <v>1</v>
      </c>
      <c r="IM42" s="220">
        <f t="shared" ca="1" si="663"/>
        <v>0</v>
      </c>
      <c r="IN42" s="220">
        <f t="shared" ca="1" si="664"/>
        <v>0</v>
      </c>
      <c r="IO42" s="235">
        <f t="shared" ca="1" si="216"/>
        <v>0</v>
      </c>
      <c r="IP42" s="235">
        <f t="shared" ca="1" si="217"/>
        <v>0</v>
      </c>
      <c r="IQ42" s="242">
        <f t="shared" ca="1" si="218"/>
        <v>0</v>
      </c>
      <c r="IR42" s="241">
        <f t="shared" ca="1" si="570"/>
        <v>1</v>
      </c>
      <c r="IS42" s="220">
        <f t="shared" ca="1" si="665"/>
        <v>0</v>
      </c>
      <c r="IT42" s="220">
        <f t="shared" ca="1" si="666"/>
        <v>0</v>
      </c>
      <c r="IU42" s="235">
        <f t="shared" ca="1" si="222"/>
        <v>0</v>
      </c>
      <c r="IV42" s="235">
        <f t="shared" ca="1" si="223"/>
        <v>0</v>
      </c>
      <c r="IW42" s="242">
        <f t="shared" ca="1" si="224"/>
        <v>0</v>
      </c>
      <c r="IX42" s="241">
        <f t="shared" ca="1" si="570"/>
        <v>1</v>
      </c>
      <c r="IY42" s="220">
        <f t="shared" ca="1" si="667"/>
        <v>0</v>
      </c>
      <c r="IZ42" s="220">
        <f t="shared" ca="1" si="668"/>
        <v>0</v>
      </c>
      <c r="JA42" s="235">
        <f t="shared" ca="1" si="227"/>
        <v>0</v>
      </c>
      <c r="JB42" s="235">
        <f t="shared" ca="1" si="228"/>
        <v>0</v>
      </c>
      <c r="JC42" s="242">
        <f t="shared" ca="1" si="229"/>
        <v>0</v>
      </c>
      <c r="JD42" s="241">
        <f t="shared" ca="1" si="563"/>
        <v>1</v>
      </c>
      <c r="JE42" s="220">
        <f t="shared" ca="1" si="669"/>
        <v>0</v>
      </c>
      <c r="JF42" s="220">
        <f t="shared" ca="1" si="670"/>
        <v>0</v>
      </c>
      <c r="JG42" s="235">
        <f t="shared" ca="1" si="232"/>
        <v>0</v>
      </c>
      <c r="JH42" s="235">
        <f t="shared" ca="1" si="233"/>
        <v>0</v>
      </c>
      <c r="JI42" s="242">
        <f t="shared" ca="1" si="234"/>
        <v>0</v>
      </c>
      <c r="JJ42" s="241">
        <f t="shared" ca="1" si="563"/>
        <v>1</v>
      </c>
      <c r="JK42" s="220">
        <f t="shared" ca="1" si="671"/>
        <v>0</v>
      </c>
      <c r="JL42" s="220">
        <f t="shared" ca="1" si="672"/>
        <v>0</v>
      </c>
      <c r="JM42" s="235">
        <f t="shared" ca="1" si="237"/>
        <v>0</v>
      </c>
      <c r="JN42" s="235">
        <f t="shared" ca="1" si="238"/>
        <v>0</v>
      </c>
      <c r="JO42" s="242">
        <f t="shared" ca="1" si="239"/>
        <v>0</v>
      </c>
      <c r="JP42" s="241">
        <f t="shared" ca="1" si="571"/>
        <v>1</v>
      </c>
      <c r="JQ42" s="220">
        <f t="shared" ca="1" si="673"/>
        <v>0</v>
      </c>
      <c r="JR42" s="220">
        <f t="shared" ca="1" si="674"/>
        <v>0</v>
      </c>
      <c r="JS42" s="235">
        <f t="shared" ca="1" si="242"/>
        <v>0</v>
      </c>
      <c r="JT42" s="235">
        <f t="shared" ca="1" si="243"/>
        <v>0</v>
      </c>
      <c r="JU42" s="242">
        <f t="shared" ca="1" si="244"/>
        <v>0</v>
      </c>
      <c r="JV42" s="241">
        <f t="shared" ca="1" si="571"/>
        <v>1</v>
      </c>
      <c r="JW42" s="220">
        <f t="shared" ca="1" si="675"/>
        <v>0</v>
      </c>
      <c r="JX42" s="220">
        <f t="shared" ca="1" si="676"/>
        <v>0</v>
      </c>
      <c r="JY42" s="235">
        <f t="shared" ca="1" si="247"/>
        <v>0</v>
      </c>
      <c r="JZ42" s="235">
        <f t="shared" ca="1" si="248"/>
        <v>0</v>
      </c>
      <c r="KA42" s="242">
        <f t="shared" ca="1" si="249"/>
        <v>0</v>
      </c>
      <c r="KB42" s="241">
        <f t="shared" ca="1" si="571"/>
        <v>1</v>
      </c>
      <c r="KC42" s="220">
        <f t="shared" ca="1" si="677"/>
        <v>0</v>
      </c>
      <c r="KD42" s="220">
        <f t="shared" ca="1" si="678"/>
        <v>0</v>
      </c>
      <c r="KE42" s="235">
        <f t="shared" ca="1" si="252"/>
        <v>0</v>
      </c>
      <c r="KF42" s="235">
        <f t="shared" ca="1" si="253"/>
        <v>0</v>
      </c>
      <c r="KG42" s="242">
        <f t="shared" ca="1" si="254"/>
        <v>0</v>
      </c>
      <c r="KH42" s="241">
        <f t="shared" ca="1" si="571"/>
        <v>1</v>
      </c>
      <c r="KI42" s="220">
        <f t="shared" ca="1" si="679"/>
        <v>0</v>
      </c>
      <c r="KJ42" s="220">
        <f t="shared" ca="1" si="680"/>
        <v>0</v>
      </c>
      <c r="KK42" s="235">
        <f t="shared" ca="1" si="257"/>
        <v>0</v>
      </c>
      <c r="KL42" s="235">
        <f t="shared" ca="1" si="258"/>
        <v>0</v>
      </c>
      <c r="KM42" s="242">
        <f t="shared" ca="1" si="259"/>
        <v>0</v>
      </c>
      <c r="KN42" s="241">
        <f t="shared" ca="1" si="571"/>
        <v>1</v>
      </c>
      <c r="KO42" s="220">
        <f t="shared" ca="1" si="681"/>
        <v>0</v>
      </c>
      <c r="KP42" s="220">
        <f t="shared" ca="1" si="682"/>
        <v>0</v>
      </c>
      <c r="KQ42" s="235">
        <f t="shared" ca="1" si="262"/>
        <v>0</v>
      </c>
      <c r="KR42" s="235">
        <f t="shared" ca="1" si="263"/>
        <v>0</v>
      </c>
      <c r="KS42" s="242">
        <f t="shared" ca="1" si="264"/>
        <v>0</v>
      </c>
      <c r="KT42" s="241">
        <f t="shared" ca="1" si="571"/>
        <v>1</v>
      </c>
      <c r="KU42" s="220">
        <f t="shared" ca="1" si="683"/>
        <v>0</v>
      </c>
      <c r="KV42" s="220">
        <f t="shared" ca="1" si="684"/>
        <v>0</v>
      </c>
      <c r="KW42" s="235">
        <f t="shared" ca="1" si="267"/>
        <v>0</v>
      </c>
      <c r="KX42" s="235">
        <f t="shared" ca="1" si="268"/>
        <v>0</v>
      </c>
      <c r="KY42" s="242">
        <f t="shared" ca="1" si="269"/>
        <v>0</v>
      </c>
      <c r="KZ42" s="241">
        <f t="shared" ca="1" si="571"/>
        <v>1</v>
      </c>
      <c r="LA42" s="220">
        <f t="shared" ca="1" si="685"/>
        <v>0</v>
      </c>
      <c r="LB42" s="220">
        <f t="shared" ca="1" si="686"/>
        <v>0</v>
      </c>
      <c r="LC42" s="235">
        <f t="shared" ca="1" si="272"/>
        <v>0</v>
      </c>
      <c r="LD42" s="235">
        <f t="shared" ca="1" si="273"/>
        <v>0</v>
      </c>
      <c r="LE42" s="242">
        <f t="shared" ca="1" si="274"/>
        <v>0</v>
      </c>
      <c r="LF42" s="241">
        <f t="shared" ca="1" si="571"/>
        <v>1</v>
      </c>
      <c r="LG42" s="220">
        <f t="shared" ca="1" si="687"/>
        <v>0</v>
      </c>
      <c r="LH42" s="220">
        <f t="shared" ca="1" si="688"/>
        <v>0</v>
      </c>
      <c r="LI42" s="235">
        <f t="shared" ca="1" si="278"/>
        <v>0</v>
      </c>
      <c r="LJ42" s="235">
        <f t="shared" ca="1" si="279"/>
        <v>0</v>
      </c>
      <c r="LK42" s="242">
        <f t="shared" ca="1" si="280"/>
        <v>0</v>
      </c>
      <c r="LL42" s="241">
        <f t="shared" ca="1" si="571"/>
        <v>1</v>
      </c>
      <c r="LM42" s="220">
        <f t="shared" ca="1" si="689"/>
        <v>0</v>
      </c>
      <c r="LN42" s="220">
        <f t="shared" ca="1" si="690"/>
        <v>0</v>
      </c>
      <c r="LO42" s="235">
        <f t="shared" ca="1" si="283"/>
        <v>0</v>
      </c>
      <c r="LP42" s="235">
        <f t="shared" ca="1" si="284"/>
        <v>0</v>
      </c>
      <c r="LQ42" s="242">
        <f t="shared" ca="1" si="285"/>
        <v>0</v>
      </c>
      <c r="LR42" s="241">
        <f t="shared" ca="1" si="571"/>
        <v>1</v>
      </c>
      <c r="LS42" s="220">
        <f t="shared" ca="1" si="691"/>
        <v>0</v>
      </c>
      <c r="LT42" s="220">
        <f t="shared" ca="1" si="692"/>
        <v>0</v>
      </c>
      <c r="LU42" s="235">
        <f t="shared" ca="1" si="288"/>
        <v>0</v>
      </c>
      <c r="LV42" s="235">
        <f t="shared" ca="1" si="289"/>
        <v>0</v>
      </c>
      <c r="LW42" s="242">
        <f t="shared" ca="1" si="290"/>
        <v>0</v>
      </c>
      <c r="LX42" s="241">
        <f t="shared" ca="1" si="571"/>
        <v>1</v>
      </c>
      <c r="LY42" s="220">
        <f t="shared" ca="1" si="693"/>
        <v>0</v>
      </c>
      <c r="LZ42" s="220">
        <f t="shared" ca="1" si="694"/>
        <v>0</v>
      </c>
      <c r="MA42" s="235">
        <f t="shared" ca="1" si="293"/>
        <v>0</v>
      </c>
      <c r="MB42" s="235">
        <f t="shared" ca="1" si="294"/>
        <v>0</v>
      </c>
      <c r="MC42" s="242">
        <f t="shared" ca="1" si="295"/>
        <v>0</v>
      </c>
      <c r="MD42" s="241">
        <f t="shared" ca="1" si="564"/>
        <v>1</v>
      </c>
      <c r="ME42" s="220">
        <f t="shared" ca="1" si="695"/>
        <v>0</v>
      </c>
      <c r="MF42" s="220">
        <f t="shared" ca="1" si="696"/>
        <v>0</v>
      </c>
      <c r="MG42" s="235">
        <f t="shared" ca="1" si="298"/>
        <v>0</v>
      </c>
      <c r="MH42" s="235">
        <f t="shared" ca="1" si="299"/>
        <v>0</v>
      </c>
      <c r="MI42" s="242">
        <f t="shared" ca="1" si="300"/>
        <v>0</v>
      </c>
      <c r="MJ42" s="241">
        <f t="shared" ca="1" si="564"/>
        <v>1</v>
      </c>
      <c r="MK42" s="220">
        <f t="shared" ca="1" si="697"/>
        <v>0</v>
      </c>
      <c r="ML42" s="220">
        <f t="shared" ca="1" si="698"/>
        <v>0</v>
      </c>
      <c r="MM42" s="235">
        <f t="shared" ca="1" si="303"/>
        <v>0</v>
      </c>
      <c r="MN42" s="235">
        <f t="shared" ca="1" si="304"/>
        <v>0</v>
      </c>
      <c r="MO42" s="242">
        <f t="shared" ca="1" si="305"/>
        <v>0</v>
      </c>
      <c r="MP42" s="241">
        <f t="shared" ca="1" si="572"/>
        <v>1</v>
      </c>
      <c r="MQ42" s="220">
        <f t="shared" ca="1" si="699"/>
        <v>0</v>
      </c>
      <c r="MR42" s="220">
        <f t="shared" ca="1" si="700"/>
        <v>0</v>
      </c>
      <c r="MS42" s="235">
        <f t="shared" ca="1" si="308"/>
        <v>0</v>
      </c>
      <c r="MT42" s="235">
        <f t="shared" ca="1" si="309"/>
        <v>0</v>
      </c>
      <c r="MU42" s="242">
        <f t="shared" ca="1" si="310"/>
        <v>0</v>
      </c>
      <c r="MV42" s="241">
        <f t="shared" ca="1" si="572"/>
        <v>1</v>
      </c>
      <c r="MW42" s="220">
        <f t="shared" ca="1" si="701"/>
        <v>0</v>
      </c>
      <c r="MX42" s="220">
        <f t="shared" ca="1" si="702"/>
        <v>0</v>
      </c>
      <c r="MY42" s="235">
        <f t="shared" ca="1" si="313"/>
        <v>0</v>
      </c>
      <c r="MZ42" s="235">
        <f t="shared" ca="1" si="314"/>
        <v>0</v>
      </c>
      <c r="NA42" s="242">
        <f t="shared" ca="1" si="315"/>
        <v>0</v>
      </c>
      <c r="NB42" s="241">
        <f t="shared" ca="1" si="572"/>
        <v>1</v>
      </c>
      <c r="NC42" s="220">
        <f t="shared" ca="1" si="703"/>
        <v>0</v>
      </c>
      <c r="ND42" s="220">
        <f t="shared" ca="1" si="704"/>
        <v>0</v>
      </c>
      <c r="NE42" s="235">
        <f t="shared" ca="1" si="318"/>
        <v>0</v>
      </c>
      <c r="NF42" s="235">
        <f t="shared" ca="1" si="319"/>
        <v>0</v>
      </c>
      <c r="NG42" s="242">
        <f t="shared" ca="1" si="320"/>
        <v>0</v>
      </c>
      <c r="NH42" s="241">
        <f t="shared" ca="1" si="572"/>
        <v>1</v>
      </c>
      <c r="NI42" s="220">
        <f t="shared" ca="1" si="705"/>
        <v>0</v>
      </c>
      <c r="NJ42" s="220">
        <f t="shared" ca="1" si="706"/>
        <v>0</v>
      </c>
      <c r="NK42" s="235">
        <f t="shared" ca="1" si="323"/>
        <v>0</v>
      </c>
      <c r="NL42" s="235">
        <f t="shared" ca="1" si="324"/>
        <v>0</v>
      </c>
      <c r="NM42" s="242">
        <f t="shared" ca="1" si="325"/>
        <v>0</v>
      </c>
      <c r="NN42" s="241">
        <f t="shared" ca="1" si="572"/>
        <v>1</v>
      </c>
      <c r="NO42" s="220">
        <f t="shared" ca="1" si="707"/>
        <v>0</v>
      </c>
      <c r="NP42" s="220">
        <f t="shared" ca="1" si="708"/>
        <v>0</v>
      </c>
      <c r="NQ42" s="235">
        <f t="shared" ca="1" si="328"/>
        <v>0</v>
      </c>
      <c r="NR42" s="235">
        <f t="shared" ca="1" si="329"/>
        <v>0</v>
      </c>
      <c r="NS42" s="242">
        <f t="shared" ca="1" si="330"/>
        <v>0</v>
      </c>
      <c r="NT42" s="241">
        <f t="shared" ca="1" si="572"/>
        <v>1</v>
      </c>
      <c r="NU42" s="220">
        <f t="shared" ca="1" si="709"/>
        <v>0</v>
      </c>
      <c r="NV42" s="220">
        <f t="shared" ca="1" si="710"/>
        <v>0</v>
      </c>
      <c r="NW42" s="235">
        <f t="shared" ca="1" si="334"/>
        <v>0</v>
      </c>
      <c r="NX42" s="235">
        <f t="shared" ca="1" si="335"/>
        <v>0</v>
      </c>
      <c r="NY42" s="242">
        <f t="shared" ca="1" si="336"/>
        <v>0</v>
      </c>
      <c r="NZ42" s="241">
        <f t="shared" ca="1" si="572"/>
        <v>1</v>
      </c>
      <c r="OA42" s="220">
        <f t="shared" ca="1" si="711"/>
        <v>0</v>
      </c>
      <c r="OB42" s="220">
        <f t="shared" ca="1" si="712"/>
        <v>0</v>
      </c>
      <c r="OC42" s="235">
        <f t="shared" ca="1" si="339"/>
        <v>0</v>
      </c>
      <c r="OD42" s="235">
        <f t="shared" ca="1" si="340"/>
        <v>0</v>
      </c>
      <c r="OE42" s="242">
        <f t="shared" ca="1" si="341"/>
        <v>0</v>
      </c>
      <c r="OF42" s="241">
        <f t="shared" ca="1" si="572"/>
        <v>1</v>
      </c>
      <c r="OG42" s="220">
        <f t="shared" ca="1" si="713"/>
        <v>0</v>
      </c>
      <c r="OH42" s="220">
        <f t="shared" ca="1" si="714"/>
        <v>0</v>
      </c>
      <c r="OI42" s="235">
        <f t="shared" ca="1" si="344"/>
        <v>0</v>
      </c>
      <c r="OJ42" s="235">
        <f t="shared" ca="1" si="345"/>
        <v>0</v>
      </c>
      <c r="OK42" s="242">
        <f t="shared" ca="1" si="346"/>
        <v>0</v>
      </c>
      <c r="OL42" s="241">
        <f t="shared" ca="1" si="572"/>
        <v>1</v>
      </c>
      <c r="OM42" s="220">
        <f t="shared" ca="1" si="715"/>
        <v>0</v>
      </c>
      <c r="ON42" s="220">
        <f t="shared" ca="1" si="716"/>
        <v>0</v>
      </c>
      <c r="OO42" s="235">
        <f t="shared" ca="1" si="349"/>
        <v>0</v>
      </c>
      <c r="OP42" s="235">
        <f t="shared" ca="1" si="350"/>
        <v>0</v>
      </c>
      <c r="OQ42" s="242">
        <f t="shared" ca="1" si="351"/>
        <v>0</v>
      </c>
      <c r="OR42" s="241">
        <f t="shared" ca="1" si="572"/>
        <v>1</v>
      </c>
      <c r="OS42" s="220">
        <f t="shared" ca="1" si="717"/>
        <v>0</v>
      </c>
      <c r="OT42" s="220">
        <f t="shared" ca="1" si="718"/>
        <v>0</v>
      </c>
      <c r="OU42" s="235">
        <f t="shared" ca="1" si="354"/>
        <v>0</v>
      </c>
      <c r="OV42" s="235">
        <f t="shared" ca="1" si="355"/>
        <v>0</v>
      </c>
      <c r="OW42" s="242">
        <f t="shared" ca="1" si="356"/>
        <v>0</v>
      </c>
      <c r="OX42" s="241">
        <f t="shared" ca="1" si="572"/>
        <v>1</v>
      </c>
      <c r="OY42" s="220">
        <f t="shared" ca="1" si="719"/>
        <v>0</v>
      </c>
      <c r="OZ42" s="220">
        <f t="shared" ca="1" si="720"/>
        <v>0</v>
      </c>
      <c r="PA42" s="235">
        <f t="shared" ca="1" si="359"/>
        <v>0</v>
      </c>
      <c r="PB42" s="235">
        <f t="shared" ca="1" si="360"/>
        <v>0</v>
      </c>
      <c r="PC42" s="242">
        <f t="shared" ca="1" si="361"/>
        <v>0</v>
      </c>
      <c r="PD42" s="241">
        <f t="shared" ca="1" si="565"/>
        <v>1</v>
      </c>
      <c r="PE42" s="220">
        <f t="shared" ca="1" si="721"/>
        <v>0</v>
      </c>
      <c r="PF42" s="220">
        <f t="shared" ca="1" si="722"/>
        <v>0</v>
      </c>
      <c r="PG42" s="235">
        <f t="shared" ca="1" si="364"/>
        <v>0</v>
      </c>
      <c r="PH42" s="235">
        <f t="shared" ca="1" si="365"/>
        <v>0</v>
      </c>
      <c r="PI42" s="242">
        <f t="shared" ca="1" si="366"/>
        <v>0</v>
      </c>
      <c r="PJ42" s="241">
        <f t="shared" ca="1" si="565"/>
        <v>1</v>
      </c>
      <c r="PK42" s="220">
        <f t="shared" ca="1" si="723"/>
        <v>0</v>
      </c>
      <c r="PL42" s="220">
        <f t="shared" ca="1" si="724"/>
        <v>0</v>
      </c>
      <c r="PM42" s="235">
        <f t="shared" ca="1" si="369"/>
        <v>0</v>
      </c>
      <c r="PN42" s="235">
        <f t="shared" ca="1" si="370"/>
        <v>0</v>
      </c>
      <c r="PO42" s="242">
        <f t="shared" ca="1" si="371"/>
        <v>0</v>
      </c>
      <c r="PP42" s="241">
        <f t="shared" ca="1" si="573"/>
        <v>1</v>
      </c>
      <c r="PQ42" s="220">
        <f t="shared" ca="1" si="725"/>
        <v>0</v>
      </c>
      <c r="PR42" s="220">
        <f t="shared" ca="1" si="726"/>
        <v>0</v>
      </c>
      <c r="PS42" s="235">
        <f t="shared" ca="1" si="374"/>
        <v>0</v>
      </c>
      <c r="PT42" s="235">
        <f t="shared" ca="1" si="375"/>
        <v>0</v>
      </c>
      <c r="PU42" s="242">
        <f t="shared" ca="1" si="376"/>
        <v>0</v>
      </c>
      <c r="PV42" s="241">
        <f t="shared" ca="1" si="573"/>
        <v>1</v>
      </c>
      <c r="PW42" s="220">
        <f t="shared" ca="1" si="727"/>
        <v>0</v>
      </c>
      <c r="PX42" s="220">
        <f t="shared" ca="1" si="728"/>
        <v>0</v>
      </c>
      <c r="PY42" s="235">
        <f t="shared" ca="1" si="379"/>
        <v>0</v>
      </c>
      <c r="PZ42" s="235">
        <f t="shared" ca="1" si="380"/>
        <v>0</v>
      </c>
      <c r="QA42" s="242">
        <f t="shared" ca="1" si="381"/>
        <v>0</v>
      </c>
      <c r="QB42" s="241">
        <f t="shared" ca="1" si="573"/>
        <v>1</v>
      </c>
      <c r="QC42" s="220">
        <f t="shared" ca="1" si="729"/>
        <v>0</v>
      </c>
      <c r="QD42" s="220">
        <f t="shared" ca="1" si="730"/>
        <v>0</v>
      </c>
      <c r="QE42" s="235">
        <f t="shared" ca="1" si="384"/>
        <v>0</v>
      </c>
      <c r="QF42" s="235">
        <f t="shared" ca="1" si="385"/>
        <v>0</v>
      </c>
      <c r="QG42" s="242">
        <f t="shared" ca="1" si="386"/>
        <v>0</v>
      </c>
      <c r="QH42" s="241">
        <f t="shared" ca="1" si="573"/>
        <v>1</v>
      </c>
      <c r="QI42" s="220">
        <f t="shared" ca="1" si="731"/>
        <v>0</v>
      </c>
      <c r="QJ42" s="220">
        <f t="shared" ca="1" si="732"/>
        <v>0</v>
      </c>
      <c r="QK42" s="235">
        <f t="shared" ca="1" si="390"/>
        <v>0</v>
      </c>
      <c r="QL42" s="235">
        <f t="shared" ca="1" si="391"/>
        <v>0</v>
      </c>
      <c r="QM42" s="242">
        <f t="shared" ca="1" si="392"/>
        <v>0</v>
      </c>
      <c r="QN42" s="241">
        <f t="shared" ca="1" si="573"/>
        <v>1</v>
      </c>
      <c r="QO42" s="220">
        <f t="shared" ca="1" si="733"/>
        <v>0</v>
      </c>
      <c r="QP42" s="220">
        <f t="shared" ca="1" si="734"/>
        <v>0</v>
      </c>
      <c r="QQ42" s="235">
        <f t="shared" ca="1" si="395"/>
        <v>0</v>
      </c>
      <c r="QR42" s="235">
        <f t="shared" ca="1" si="396"/>
        <v>0</v>
      </c>
      <c r="QS42" s="242">
        <f t="shared" ca="1" si="397"/>
        <v>0</v>
      </c>
      <c r="QT42" s="241">
        <f t="shared" ca="1" si="573"/>
        <v>1</v>
      </c>
      <c r="QU42" s="220">
        <f t="shared" ca="1" si="735"/>
        <v>0</v>
      </c>
      <c r="QV42" s="220">
        <f t="shared" ca="1" si="736"/>
        <v>0</v>
      </c>
      <c r="QW42" s="235">
        <f t="shared" ca="1" si="400"/>
        <v>0</v>
      </c>
      <c r="QX42" s="235">
        <f t="shared" ca="1" si="401"/>
        <v>0</v>
      </c>
      <c r="QY42" s="242">
        <f t="shared" ca="1" si="402"/>
        <v>0</v>
      </c>
      <c r="QZ42" s="241">
        <f t="shared" ca="1" si="573"/>
        <v>1</v>
      </c>
      <c r="RA42" s="220">
        <f t="shared" ca="1" si="737"/>
        <v>0</v>
      </c>
      <c r="RB42" s="220">
        <f t="shared" ca="1" si="738"/>
        <v>0</v>
      </c>
      <c r="RC42" s="235">
        <f t="shared" ca="1" si="405"/>
        <v>0</v>
      </c>
      <c r="RD42" s="235">
        <f t="shared" ca="1" si="406"/>
        <v>0</v>
      </c>
      <c r="RE42" s="242">
        <f t="shared" ca="1" si="407"/>
        <v>0</v>
      </c>
      <c r="RF42" s="241">
        <f t="shared" ca="1" si="573"/>
        <v>1</v>
      </c>
      <c r="RG42" s="220">
        <f t="shared" ca="1" si="739"/>
        <v>0</v>
      </c>
      <c r="RH42" s="220">
        <f t="shared" ca="1" si="740"/>
        <v>0</v>
      </c>
      <c r="RI42" s="235">
        <f t="shared" ca="1" si="410"/>
        <v>0</v>
      </c>
      <c r="RJ42" s="235">
        <f t="shared" ca="1" si="411"/>
        <v>0</v>
      </c>
      <c r="RK42" s="242">
        <f t="shared" ca="1" si="412"/>
        <v>0</v>
      </c>
      <c r="RL42" s="241">
        <f t="shared" ca="1" si="573"/>
        <v>1</v>
      </c>
      <c r="RM42" s="220">
        <f t="shared" ca="1" si="741"/>
        <v>0</v>
      </c>
      <c r="RN42" s="220">
        <f t="shared" ca="1" si="742"/>
        <v>0</v>
      </c>
      <c r="RO42" s="235">
        <f t="shared" ca="1" si="415"/>
        <v>0</v>
      </c>
      <c r="RP42" s="235">
        <f t="shared" ca="1" si="416"/>
        <v>0</v>
      </c>
      <c r="RQ42" s="242">
        <f t="shared" ca="1" si="417"/>
        <v>0</v>
      </c>
      <c r="RR42" s="241">
        <f t="shared" ca="1" si="573"/>
        <v>1</v>
      </c>
      <c r="RS42" s="220">
        <f t="shared" ca="1" si="743"/>
        <v>0</v>
      </c>
      <c r="RT42" s="220">
        <f t="shared" ca="1" si="744"/>
        <v>0</v>
      </c>
      <c r="RU42" s="235">
        <f t="shared" ca="1" si="420"/>
        <v>0</v>
      </c>
      <c r="RV42" s="235">
        <f t="shared" ca="1" si="421"/>
        <v>0</v>
      </c>
      <c r="RW42" s="242">
        <f t="shared" ca="1" si="422"/>
        <v>0</v>
      </c>
      <c r="RX42" s="241">
        <f t="shared" ca="1" si="573"/>
        <v>1</v>
      </c>
      <c r="RY42" s="220">
        <f t="shared" ca="1" si="745"/>
        <v>0</v>
      </c>
      <c r="RZ42" s="220">
        <f t="shared" ca="1" si="746"/>
        <v>0</v>
      </c>
      <c r="SA42" s="235">
        <f t="shared" ca="1" si="425"/>
        <v>0</v>
      </c>
      <c r="SB42" s="235">
        <f t="shared" ca="1" si="426"/>
        <v>0</v>
      </c>
      <c r="SC42" s="242">
        <f t="shared" ca="1" si="427"/>
        <v>0</v>
      </c>
      <c r="SD42" s="241">
        <f t="shared" ca="1" si="566"/>
        <v>1</v>
      </c>
      <c r="SE42" s="220">
        <f t="shared" ca="1" si="747"/>
        <v>0</v>
      </c>
      <c r="SF42" s="220">
        <f t="shared" ca="1" si="748"/>
        <v>0</v>
      </c>
      <c r="SG42" s="235">
        <f t="shared" ca="1" si="430"/>
        <v>0</v>
      </c>
      <c r="SH42" s="235">
        <f t="shared" ca="1" si="431"/>
        <v>0</v>
      </c>
      <c r="SI42" s="242">
        <f t="shared" ca="1" si="432"/>
        <v>0</v>
      </c>
      <c r="SJ42" s="241">
        <f t="shared" ca="1" si="566"/>
        <v>1</v>
      </c>
      <c r="SK42" s="220">
        <f t="shared" ca="1" si="749"/>
        <v>0</v>
      </c>
      <c r="SL42" s="220">
        <f t="shared" ca="1" si="750"/>
        <v>0</v>
      </c>
      <c r="SM42" s="235">
        <f t="shared" ca="1" si="435"/>
        <v>0</v>
      </c>
      <c r="SN42" s="235">
        <f t="shared" ca="1" si="436"/>
        <v>0</v>
      </c>
      <c r="SO42" s="242">
        <f t="shared" ca="1" si="437"/>
        <v>0</v>
      </c>
      <c r="SP42" s="241">
        <f t="shared" ca="1" si="576"/>
        <v>1</v>
      </c>
      <c r="SQ42" s="220">
        <f t="shared" ca="1" si="751"/>
        <v>0</v>
      </c>
      <c r="SR42" s="220">
        <f t="shared" ca="1" si="752"/>
        <v>0</v>
      </c>
      <c r="SS42" s="235">
        <f t="shared" ca="1" si="440"/>
        <v>0</v>
      </c>
      <c r="ST42" s="235">
        <f t="shared" ca="1" si="441"/>
        <v>0</v>
      </c>
      <c r="SU42" s="242">
        <f t="shared" ca="1" si="442"/>
        <v>0</v>
      </c>
      <c r="SV42" s="241">
        <f t="shared" ca="1" si="576"/>
        <v>1</v>
      </c>
      <c r="SW42" s="220">
        <f t="shared" ca="1" si="753"/>
        <v>0</v>
      </c>
      <c r="SX42" s="220">
        <f t="shared" ca="1" si="754"/>
        <v>0</v>
      </c>
      <c r="SY42" s="235">
        <f t="shared" ca="1" si="446"/>
        <v>0</v>
      </c>
      <c r="SZ42" s="235">
        <f t="shared" ca="1" si="447"/>
        <v>0</v>
      </c>
      <c r="TA42" s="242">
        <f t="shared" ca="1" si="448"/>
        <v>0</v>
      </c>
      <c r="TB42" s="241">
        <f t="shared" ca="1" si="576"/>
        <v>1</v>
      </c>
      <c r="TC42" s="220">
        <f t="shared" ca="1" si="755"/>
        <v>0</v>
      </c>
      <c r="TD42" s="220">
        <f t="shared" ca="1" si="756"/>
        <v>0</v>
      </c>
      <c r="TE42" s="235">
        <f t="shared" ca="1" si="451"/>
        <v>0</v>
      </c>
      <c r="TF42" s="235">
        <f t="shared" ca="1" si="452"/>
        <v>0</v>
      </c>
      <c r="TG42" s="242">
        <f t="shared" ca="1" si="453"/>
        <v>0</v>
      </c>
      <c r="TH42" s="241">
        <f t="shared" ca="1" si="576"/>
        <v>1</v>
      </c>
      <c r="TI42" s="220">
        <f t="shared" ca="1" si="757"/>
        <v>0</v>
      </c>
      <c r="TJ42" s="220">
        <f t="shared" ca="1" si="758"/>
        <v>0</v>
      </c>
      <c r="TK42" s="235">
        <f t="shared" ca="1" si="456"/>
        <v>0</v>
      </c>
      <c r="TL42" s="235">
        <f t="shared" ca="1" si="457"/>
        <v>0</v>
      </c>
      <c r="TM42" s="242">
        <f t="shared" ca="1" si="458"/>
        <v>0</v>
      </c>
      <c r="TN42" s="241">
        <f t="shared" ca="1" si="576"/>
        <v>1</v>
      </c>
      <c r="TO42" s="220">
        <f t="shared" ca="1" si="759"/>
        <v>0</v>
      </c>
      <c r="TP42" s="220">
        <f t="shared" ca="1" si="760"/>
        <v>0</v>
      </c>
      <c r="TQ42" s="235">
        <f t="shared" ca="1" si="461"/>
        <v>0</v>
      </c>
      <c r="TR42" s="235">
        <f t="shared" ca="1" si="462"/>
        <v>0</v>
      </c>
      <c r="TS42" s="242">
        <f t="shared" ca="1" si="463"/>
        <v>0</v>
      </c>
      <c r="TT42" s="241">
        <f t="shared" ca="1" si="576"/>
        <v>1</v>
      </c>
      <c r="TU42" s="220">
        <f t="shared" ca="1" si="761"/>
        <v>0</v>
      </c>
      <c r="TV42" s="220">
        <f t="shared" ca="1" si="762"/>
        <v>0</v>
      </c>
      <c r="TW42" s="235">
        <f t="shared" ca="1" si="466"/>
        <v>0</v>
      </c>
      <c r="TX42" s="235">
        <f t="shared" ca="1" si="467"/>
        <v>0</v>
      </c>
      <c r="TY42" s="242">
        <f t="shared" ca="1" si="468"/>
        <v>0</v>
      </c>
      <c r="TZ42" s="241">
        <f t="shared" ca="1" si="576"/>
        <v>1</v>
      </c>
      <c r="UA42" s="220">
        <f t="shared" ca="1" si="763"/>
        <v>0</v>
      </c>
      <c r="UB42" s="220">
        <f t="shared" ca="1" si="764"/>
        <v>0</v>
      </c>
      <c r="UC42" s="235">
        <f t="shared" ca="1" si="471"/>
        <v>0</v>
      </c>
      <c r="UD42" s="235">
        <f t="shared" ca="1" si="472"/>
        <v>0</v>
      </c>
      <c r="UE42" s="242">
        <f t="shared" ca="1" si="473"/>
        <v>0</v>
      </c>
      <c r="UF42" s="241">
        <f t="shared" ca="1" si="576"/>
        <v>1</v>
      </c>
      <c r="UG42" s="220">
        <f t="shared" ca="1" si="765"/>
        <v>0</v>
      </c>
      <c r="UH42" s="220">
        <f t="shared" ca="1" si="766"/>
        <v>0</v>
      </c>
      <c r="UI42" s="235">
        <f t="shared" ca="1" si="476"/>
        <v>0</v>
      </c>
      <c r="UJ42" s="235">
        <f t="shared" ca="1" si="477"/>
        <v>0</v>
      </c>
      <c r="UK42" s="242">
        <f t="shared" ca="1" si="478"/>
        <v>0</v>
      </c>
      <c r="UL42" s="241">
        <f t="shared" ca="1" si="576"/>
        <v>1</v>
      </c>
      <c r="UM42" s="220">
        <f t="shared" ca="1" si="767"/>
        <v>0</v>
      </c>
      <c r="UN42" s="220">
        <f t="shared" ca="1" si="768"/>
        <v>0</v>
      </c>
      <c r="UO42" s="235">
        <f t="shared" ca="1" si="481"/>
        <v>0</v>
      </c>
      <c r="UP42" s="235">
        <f t="shared" ca="1" si="482"/>
        <v>0</v>
      </c>
      <c r="UQ42" s="242">
        <f t="shared" ca="1" si="483"/>
        <v>0</v>
      </c>
      <c r="UR42" s="241">
        <f t="shared" ca="1" si="576"/>
        <v>1</v>
      </c>
      <c r="US42" s="220">
        <f t="shared" ca="1" si="769"/>
        <v>0</v>
      </c>
      <c r="UT42" s="220">
        <f t="shared" ca="1" si="770"/>
        <v>0</v>
      </c>
      <c r="UU42" s="235">
        <f t="shared" ca="1" si="486"/>
        <v>0</v>
      </c>
      <c r="UV42" s="235">
        <f t="shared" ca="1" si="487"/>
        <v>0</v>
      </c>
      <c r="UW42" s="242">
        <f t="shared" ca="1" si="488"/>
        <v>0</v>
      </c>
      <c r="UX42" s="241">
        <f t="shared" ca="1" si="576"/>
        <v>1</v>
      </c>
      <c r="UY42" s="220">
        <f t="shared" ca="1" si="771"/>
        <v>0</v>
      </c>
      <c r="UZ42" s="220">
        <f t="shared" ca="1" si="772"/>
        <v>0</v>
      </c>
      <c r="VA42" s="235">
        <f t="shared" ca="1" si="491"/>
        <v>0</v>
      </c>
      <c r="VB42" s="235">
        <f t="shared" ca="1" si="492"/>
        <v>0</v>
      </c>
      <c r="VC42" s="242">
        <f t="shared" ca="1" si="493"/>
        <v>0</v>
      </c>
      <c r="VD42" s="241">
        <f t="shared" ca="1" si="574"/>
        <v>1</v>
      </c>
      <c r="VE42" s="220">
        <f t="shared" ca="1" si="773"/>
        <v>0</v>
      </c>
      <c r="VF42" s="220">
        <f t="shared" ca="1" si="774"/>
        <v>0</v>
      </c>
      <c r="VG42" s="235">
        <f t="shared" ca="1" si="496"/>
        <v>0</v>
      </c>
      <c r="VH42" s="235">
        <f t="shared" ca="1" si="497"/>
        <v>0</v>
      </c>
      <c r="VI42" s="242">
        <f t="shared" ca="1" si="498"/>
        <v>0</v>
      </c>
      <c r="VJ42" s="241">
        <f t="shared" ca="1" si="567"/>
        <v>1</v>
      </c>
      <c r="VK42" s="220">
        <f t="shared" ca="1" si="775"/>
        <v>0</v>
      </c>
      <c r="VL42" s="220">
        <f t="shared" ca="1" si="776"/>
        <v>0</v>
      </c>
      <c r="VM42" s="235">
        <f t="shared" ca="1" si="502"/>
        <v>0</v>
      </c>
      <c r="VN42" s="235">
        <f t="shared" ca="1" si="503"/>
        <v>0</v>
      </c>
      <c r="VO42" s="242">
        <f t="shared" ca="1" si="504"/>
        <v>0</v>
      </c>
      <c r="VP42" s="241">
        <f t="shared" ca="1" si="567"/>
        <v>1</v>
      </c>
      <c r="VQ42" s="220">
        <f t="shared" ca="1" si="777"/>
        <v>0</v>
      </c>
      <c r="VR42" s="220">
        <f t="shared" ca="1" si="778"/>
        <v>0</v>
      </c>
      <c r="VS42" s="235">
        <f t="shared" ca="1" si="507"/>
        <v>0</v>
      </c>
      <c r="VT42" s="235">
        <f t="shared" ca="1" si="508"/>
        <v>0</v>
      </c>
      <c r="VU42" s="242">
        <f t="shared" ca="1" si="509"/>
        <v>0</v>
      </c>
      <c r="VV42" s="241">
        <f t="shared" ca="1" si="578"/>
        <v>1</v>
      </c>
      <c r="VW42" s="220">
        <f t="shared" ca="1" si="779"/>
        <v>0</v>
      </c>
      <c r="VX42" s="220">
        <f t="shared" ca="1" si="780"/>
        <v>0</v>
      </c>
      <c r="VY42" s="235">
        <f t="shared" ca="1" si="512"/>
        <v>0</v>
      </c>
      <c r="VZ42" s="235">
        <f t="shared" ca="1" si="513"/>
        <v>0</v>
      </c>
      <c r="WA42" s="242">
        <f t="shared" ca="1" si="514"/>
        <v>0</v>
      </c>
      <c r="WB42" s="241">
        <f t="shared" ca="1" si="578"/>
        <v>1</v>
      </c>
      <c r="WC42" s="220">
        <f t="shared" ca="1" si="781"/>
        <v>0</v>
      </c>
      <c r="WD42" s="220">
        <f t="shared" ca="1" si="782"/>
        <v>0</v>
      </c>
      <c r="WE42" s="235">
        <f t="shared" ca="1" si="517"/>
        <v>0</v>
      </c>
      <c r="WF42" s="235">
        <f t="shared" ca="1" si="518"/>
        <v>0</v>
      </c>
      <c r="WG42" s="242">
        <f t="shared" ca="1" si="519"/>
        <v>0</v>
      </c>
      <c r="WH42" s="241">
        <f t="shared" ca="1" si="578"/>
        <v>1</v>
      </c>
      <c r="WI42" s="220">
        <f t="shared" ca="1" si="783"/>
        <v>0</v>
      </c>
      <c r="WJ42" s="220">
        <f t="shared" ca="1" si="784"/>
        <v>0</v>
      </c>
      <c r="WK42" s="235">
        <f t="shared" ca="1" si="522"/>
        <v>0</v>
      </c>
      <c r="WL42" s="235">
        <f t="shared" ca="1" si="523"/>
        <v>0</v>
      </c>
      <c r="WM42" s="242">
        <f t="shared" ca="1" si="524"/>
        <v>0</v>
      </c>
      <c r="WN42" s="241">
        <f t="shared" ca="1" si="578"/>
        <v>1</v>
      </c>
      <c r="WO42" s="220">
        <f t="shared" ca="1" si="785"/>
        <v>0</v>
      </c>
      <c r="WP42" s="220">
        <f t="shared" ca="1" si="786"/>
        <v>0</v>
      </c>
      <c r="WQ42" s="235">
        <f t="shared" ca="1" si="527"/>
        <v>0</v>
      </c>
      <c r="WR42" s="235">
        <f t="shared" ca="1" si="528"/>
        <v>0</v>
      </c>
      <c r="WS42" s="242">
        <f t="shared" ca="1" si="529"/>
        <v>0</v>
      </c>
      <c r="WT42" s="241">
        <f t="shared" ca="1" si="578"/>
        <v>1</v>
      </c>
      <c r="WU42" s="220">
        <f t="shared" ca="1" si="787"/>
        <v>0</v>
      </c>
      <c r="WV42" s="220">
        <f t="shared" ca="1" si="788"/>
        <v>0</v>
      </c>
      <c r="WW42" s="235">
        <f t="shared" ca="1" si="532"/>
        <v>0</v>
      </c>
      <c r="WX42" s="235">
        <f t="shared" ca="1" si="533"/>
        <v>0</v>
      </c>
      <c r="WY42" s="242">
        <f t="shared" ca="1" si="534"/>
        <v>0</v>
      </c>
      <c r="WZ42" s="241">
        <f t="shared" ca="1" si="578"/>
        <v>1</v>
      </c>
      <c r="XA42" s="220">
        <f t="shared" ca="1" si="789"/>
        <v>0</v>
      </c>
      <c r="XB42" s="220">
        <f t="shared" ca="1" si="790"/>
        <v>0</v>
      </c>
      <c r="XC42" s="235">
        <f t="shared" ca="1" si="537"/>
        <v>0</v>
      </c>
      <c r="XD42" s="235">
        <f t="shared" ca="1" si="538"/>
        <v>0</v>
      </c>
      <c r="XE42" s="242">
        <f t="shared" ca="1" si="539"/>
        <v>0</v>
      </c>
      <c r="XF42" s="241">
        <f t="shared" ca="1" si="578"/>
        <v>1</v>
      </c>
      <c r="XG42" s="220">
        <f t="shared" ca="1" si="791"/>
        <v>0</v>
      </c>
      <c r="XH42" s="220">
        <f t="shared" ca="1" si="792"/>
        <v>0</v>
      </c>
      <c r="XI42" s="235">
        <f t="shared" ca="1" si="542"/>
        <v>0</v>
      </c>
      <c r="XJ42" s="235">
        <f t="shared" ca="1" si="543"/>
        <v>0</v>
      </c>
      <c r="XK42" s="242">
        <f t="shared" ca="1" si="544"/>
        <v>0</v>
      </c>
    </row>
    <row r="43" spans="2:635" x14ac:dyDescent="0.25">
      <c r="B43" s="65">
        <f t="shared" ca="1" si="14"/>
        <v>2058</v>
      </c>
      <c r="C43" s="65" t="s">
        <v>741</v>
      </c>
      <c r="D43" s="77">
        <f t="shared" si="580"/>
        <v>0</v>
      </c>
      <c r="E43" s="77">
        <f t="shared" si="581"/>
        <v>0</v>
      </c>
      <c r="F43" s="77">
        <f t="shared" si="17"/>
        <v>0</v>
      </c>
      <c r="G43" s="77">
        <f t="shared" si="18"/>
        <v>0</v>
      </c>
      <c r="H43" s="15" t="e">
        <f t="shared" ca="1" si="582"/>
        <v>#REF!</v>
      </c>
      <c r="L43" s="326">
        <f t="shared" ca="1" si="583"/>
        <v>3.5000000000000003E-2</v>
      </c>
      <c r="M43" s="327">
        <f t="shared" ca="1" si="584"/>
        <v>3.5000000000000003E-2</v>
      </c>
      <c r="N43" s="322">
        <f t="shared" ca="1" si="579"/>
        <v>-35</v>
      </c>
      <c r="O43" s="322">
        <f t="shared" ca="1" si="585"/>
        <v>0</v>
      </c>
      <c r="P43" s="328">
        <f t="shared" ca="1" si="545"/>
        <v>0</v>
      </c>
      <c r="Q43" s="328">
        <f t="shared" ca="1" si="546"/>
        <v>0</v>
      </c>
      <c r="R43" s="328">
        <f t="shared" ca="1" si="547"/>
        <v>0</v>
      </c>
      <c r="S43" s="329">
        <f t="shared" ca="1" si="586"/>
        <v>0</v>
      </c>
      <c r="T43" s="329">
        <f t="shared" ca="1" si="587"/>
        <v>0</v>
      </c>
      <c r="U43" s="329">
        <f t="shared" ca="1" si="588"/>
        <v>0</v>
      </c>
      <c r="V43" s="320" t="e">
        <f t="shared" ca="1" si="589"/>
        <v>#REF!</v>
      </c>
      <c r="W43" s="320" t="e">
        <f t="shared" ca="1" si="560"/>
        <v>#REF!</v>
      </c>
      <c r="X43" s="320" t="e">
        <f t="shared" ca="1" si="590"/>
        <v>#REF!</v>
      </c>
      <c r="Y43" s="320" t="e">
        <f ca="1">INDEX(SC_ZA_HECMLumpSum,ZAIDX)</f>
        <v>#REF!</v>
      </c>
      <c r="Z43" s="320" t="e">
        <f t="shared" ca="1" si="591"/>
        <v>#REF!</v>
      </c>
      <c r="AA43" s="320">
        <f t="shared" ca="1" si="557"/>
        <v>0</v>
      </c>
      <c r="AB43" s="320" t="e">
        <f t="shared" ca="1" si="558"/>
        <v>#REF!</v>
      </c>
      <c r="AC43" s="330" t="e">
        <f t="shared" ca="1" si="559"/>
        <v>#REF!</v>
      </c>
      <c r="AD43" s="236" t="e">
        <f t="shared" ca="1" si="548"/>
        <v>#REF!</v>
      </c>
      <c r="AE43" s="320" t="e">
        <f t="shared" ca="1" si="561"/>
        <v>#REF!</v>
      </c>
      <c r="AF43" s="320" t="e">
        <f t="shared" ca="1" si="592"/>
        <v>#REF!</v>
      </c>
      <c r="AG43" s="320" t="e">
        <f t="shared" ca="1" si="549"/>
        <v>#REF!</v>
      </c>
      <c r="AH43" s="284" t="e">
        <f t="shared" ca="1" si="550"/>
        <v>#REF!</v>
      </c>
      <c r="AI43" s="318" t="e">
        <f t="shared" ca="1" si="551"/>
        <v>#REF!</v>
      </c>
      <c r="AJ43" s="331">
        <f t="shared" ca="1" si="575"/>
        <v>1</v>
      </c>
      <c r="AK43" s="220">
        <f t="shared" ca="1" si="593"/>
        <v>0</v>
      </c>
      <c r="AL43" s="220">
        <f t="shared" ca="1" si="594"/>
        <v>0</v>
      </c>
      <c r="AM43" s="235">
        <f t="shared" ca="1" si="554"/>
        <v>0</v>
      </c>
      <c r="AN43" s="235">
        <f t="shared" ca="1" si="555"/>
        <v>0</v>
      </c>
      <c r="AO43" s="242">
        <f t="shared" ca="1" si="556"/>
        <v>0</v>
      </c>
      <c r="AP43" s="241">
        <f t="shared" ca="1" si="575"/>
        <v>1</v>
      </c>
      <c r="AQ43" s="220">
        <f t="shared" ca="1" si="595"/>
        <v>0</v>
      </c>
      <c r="AR43" s="220">
        <f t="shared" ca="1" si="596"/>
        <v>0</v>
      </c>
      <c r="AS43" s="235">
        <f t="shared" ca="1" si="43"/>
        <v>0</v>
      </c>
      <c r="AT43" s="235">
        <f t="shared" ca="1" si="44"/>
        <v>0</v>
      </c>
      <c r="AU43" s="242">
        <f t="shared" ca="1" si="45"/>
        <v>0</v>
      </c>
      <c r="AV43" s="241">
        <f t="shared" ca="1" si="575"/>
        <v>1</v>
      </c>
      <c r="AW43" s="220">
        <f t="shared" ca="1" si="597"/>
        <v>0</v>
      </c>
      <c r="AX43" s="220">
        <f t="shared" ca="1" si="598"/>
        <v>0</v>
      </c>
      <c r="AY43" s="235">
        <f t="shared" ca="1" si="48"/>
        <v>0</v>
      </c>
      <c r="AZ43" s="235">
        <f t="shared" ca="1" si="49"/>
        <v>0</v>
      </c>
      <c r="BA43" s="242">
        <f t="shared" ca="1" si="50"/>
        <v>0</v>
      </c>
      <c r="BB43" s="241">
        <f t="shared" ca="1" si="575"/>
        <v>1</v>
      </c>
      <c r="BC43" s="220">
        <f t="shared" ca="1" si="599"/>
        <v>0</v>
      </c>
      <c r="BD43" s="220">
        <f t="shared" ca="1" si="600"/>
        <v>0</v>
      </c>
      <c r="BE43" s="235">
        <f t="shared" ca="1" si="54"/>
        <v>0</v>
      </c>
      <c r="BF43" s="235">
        <f t="shared" ca="1" si="55"/>
        <v>0</v>
      </c>
      <c r="BG43" s="242">
        <f t="shared" ca="1" si="56"/>
        <v>0</v>
      </c>
      <c r="BH43" s="241">
        <f t="shared" ca="1" si="575"/>
        <v>1</v>
      </c>
      <c r="BI43" s="220">
        <f t="shared" ca="1" si="601"/>
        <v>0</v>
      </c>
      <c r="BJ43" s="220">
        <f t="shared" ca="1" si="602"/>
        <v>0</v>
      </c>
      <c r="BK43" s="235">
        <f t="shared" ca="1" si="59"/>
        <v>0</v>
      </c>
      <c r="BL43" s="235">
        <f t="shared" ca="1" si="60"/>
        <v>0</v>
      </c>
      <c r="BM43" s="242">
        <f t="shared" ca="1" si="61"/>
        <v>0</v>
      </c>
      <c r="BN43" s="241">
        <f t="shared" ca="1" si="575"/>
        <v>1</v>
      </c>
      <c r="BO43" s="220">
        <f t="shared" ca="1" si="603"/>
        <v>0</v>
      </c>
      <c r="BP43" s="220">
        <f t="shared" ca="1" si="604"/>
        <v>0</v>
      </c>
      <c r="BQ43" s="235">
        <f t="shared" ca="1" si="64"/>
        <v>0</v>
      </c>
      <c r="BR43" s="235">
        <f t="shared" ca="1" si="65"/>
        <v>0</v>
      </c>
      <c r="BS43" s="242">
        <f t="shared" ca="1" si="66"/>
        <v>0</v>
      </c>
      <c r="BT43" s="241">
        <f t="shared" ca="1" si="575"/>
        <v>1</v>
      </c>
      <c r="BU43" s="220">
        <f t="shared" ca="1" si="605"/>
        <v>0</v>
      </c>
      <c r="BV43" s="220">
        <f t="shared" ca="1" si="606"/>
        <v>0</v>
      </c>
      <c r="BW43" s="235">
        <f t="shared" ca="1" si="69"/>
        <v>0</v>
      </c>
      <c r="BX43" s="235">
        <f t="shared" ca="1" si="70"/>
        <v>0</v>
      </c>
      <c r="BY43" s="242">
        <f t="shared" ca="1" si="71"/>
        <v>0</v>
      </c>
      <c r="BZ43" s="241">
        <f t="shared" ca="1" si="575"/>
        <v>1</v>
      </c>
      <c r="CA43" s="220">
        <f t="shared" ca="1" si="607"/>
        <v>0</v>
      </c>
      <c r="CB43" s="220">
        <f t="shared" ca="1" si="608"/>
        <v>0</v>
      </c>
      <c r="CC43" s="235">
        <f t="shared" ca="1" si="74"/>
        <v>0</v>
      </c>
      <c r="CD43" s="235">
        <f t="shared" ca="1" si="75"/>
        <v>0</v>
      </c>
      <c r="CE43" s="242">
        <f t="shared" ca="1" si="76"/>
        <v>0</v>
      </c>
      <c r="CF43" s="241">
        <f t="shared" ca="1" si="575"/>
        <v>1</v>
      </c>
      <c r="CG43" s="220">
        <f t="shared" ca="1" si="609"/>
        <v>0</v>
      </c>
      <c r="CH43" s="220">
        <f t="shared" ca="1" si="610"/>
        <v>0</v>
      </c>
      <c r="CI43" s="235">
        <f t="shared" ca="1" si="79"/>
        <v>0</v>
      </c>
      <c r="CJ43" s="235">
        <f t="shared" ca="1" si="80"/>
        <v>0</v>
      </c>
      <c r="CK43" s="242">
        <f t="shared" ca="1" si="81"/>
        <v>0</v>
      </c>
      <c r="CL43" s="241">
        <f t="shared" ca="1" si="575"/>
        <v>1</v>
      </c>
      <c r="CM43" s="220">
        <f t="shared" ca="1" si="611"/>
        <v>0</v>
      </c>
      <c r="CN43" s="220">
        <f t="shared" ca="1" si="612"/>
        <v>0</v>
      </c>
      <c r="CO43" s="235">
        <f t="shared" ca="1" si="84"/>
        <v>0</v>
      </c>
      <c r="CP43" s="235">
        <f t="shared" ca="1" si="85"/>
        <v>0</v>
      </c>
      <c r="CQ43" s="242">
        <f t="shared" ca="1" si="86"/>
        <v>0</v>
      </c>
      <c r="CR43" s="241">
        <f t="shared" ca="1" si="575"/>
        <v>1</v>
      </c>
      <c r="CS43" s="220">
        <f t="shared" ca="1" si="613"/>
        <v>0</v>
      </c>
      <c r="CT43" s="220">
        <f t="shared" ca="1" si="614"/>
        <v>0</v>
      </c>
      <c r="CU43" s="235">
        <f t="shared" ca="1" si="89"/>
        <v>0</v>
      </c>
      <c r="CV43" s="235">
        <f t="shared" ca="1" si="90"/>
        <v>0</v>
      </c>
      <c r="CW43" s="242">
        <f t="shared" ca="1" si="91"/>
        <v>0</v>
      </c>
      <c r="CX43" s="241">
        <f t="shared" ca="1" si="568"/>
        <v>1</v>
      </c>
      <c r="CY43" s="220">
        <f t="shared" ca="1" si="615"/>
        <v>0</v>
      </c>
      <c r="CZ43" s="220">
        <f t="shared" ca="1" si="616"/>
        <v>0</v>
      </c>
      <c r="DA43" s="235">
        <f t="shared" ca="1" si="94"/>
        <v>0</v>
      </c>
      <c r="DB43" s="235">
        <f t="shared" ca="1" si="95"/>
        <v>0</v>
      </c>
      <c r="DC43" s="242">
        <f t="shared" ca="1" si="96"/>
        <v>0</v>
      </c>
      <c r="DD43" s="241">
        <f t="shared" ca="1" si="568"/>
        <v>1</v>
      </c>
      <c r="DE43" s="220">
        <f t="shared" ca="1" si="617"/>
        <v>0</v>
      </c>
      <c r="DF43" s="220">
        <f t="shared" ca="1" si="618"/>
        <v>0</v>
      </c>
      <c r="DG43" s="235">
        <f t="shared" ca="1" si="99"/>
        <v>0</v>
      </c>
      <c r="DH43" s="235">
        <f t="shared" ca="1" si="100"/>
        <v>0</v>
      </c>
      <c r="DI43" s="242">
        <f t="shared" ca="1" si="101"/>
        <v>0</v>
      </c>
      <c r="DJ43" s="241">
        <f t="shared" ca="1" si="51"/>
        <v>1</v>
      </c>
      <c r="DK43" s="220">
        <f t="shared" ca="1" si="619"/>
        <v>0</v>
      </c>
      <c r="DL43" s="220">
        <f t="shared" ca="1" si="620"/>
        <v>0</v>
      </c>
      <c r="DM43" s="235">
        <f t="shared" ca="1" si="104"/>
        <v>0</v>
      </c>
      <c r="DN43" s="235">
        <f t="shared" ca="1" si="105"/>
        <v>0</v>
      </c>
      <c r="DO43" s="242">
        <f t="shared" ca="1" si="106"/>
        <v>0</v>
      </c>
      <c r="DP43" s="241">
        <f t="shared" ca="1" si="569"/>
        <v>1</v>
      </c>
      <c r="DQ43" s="220">
        <f t="shared" ca="1" si="621"/>
        <v>0</v>
      </c>
      <c r="DR43" s="220">
        <f t="shared" ca="1" si="622"/>
        <v>0</v>
      </c>
      <c r="DS43" s="235">
        <f t="shared" ca="1" si="110"/>
        <v>0</v>
      </c>
      <c r="DT43" s="235">
        <f t="shared" ca="1" si="111"/>
        <v>0</v>
      </c>
      <c r="DU43" s="242">
        <f t="shared" ca="1" si="112"/>
        <v>0</v>
      </c>
      <c r="DV43" s="241">
        <f t="shared" ca="1" si="569"/>
        <v>1</v>
      </c>
      <c r="DW43" s="220">
        <f t="shared" ca="1" si="623"/>
        <v>0</v>
      </c>
      <c r="DX43" s="220">
        <f t="shared" ca="1" si="624"/>
        <v>0</v>
      </c>
      <c r="DY43" s="235">
        <f t="shared" ca="1" si="115"/>
        <v>0</v>
      </c>
      <c r="DZ43" s="235">
        <f t="shared" ca="1" si="116"/>
        <v>0</v>
      </c>
      <c r="EA43" s="242">
        <f t="shared" ca="1" si="117"/>
        <v>0</v>
      </c>
      <c r="EB43" s="241">
        <f t="shared" ca="1" si="569"/>
        <v>1</v>
      </c>
      <c r="EC43" s="220">
        <f t="shared" ca="1" si="625"/>
        <v>0</v>
      </c>
      <c r="ED43" s="220">
        <f t="shared" ca="1" si="626"/>
        <v>0</v>
      </c>
      <c r="EE43" s="235">
        <f t="shared" ca="1" si="120"/>
        <v>0</v>
      </c>
      <c r="EF43" s="235">
        <f t="shared" ca="1" si="121"/>
        <v>0</v>
      </c>
      <c r="EG43" s="242">
        <f t="shared" ca="1" si="122"/>
        <v>0</v>
      </c>
      <c r="EH43" s="241">
        <f t="shared" ca="1" si="569"/>
        <v>1</v>
      </c>
      <c r="EI43" s="220">
        <f t="shared" ca="1" si="627"/>
        <v>0</v>
      </c>
      <c r="EJ43" s="220">
        <f t="shared" ca="1" si="628"/>
        <v>0</v>
      </c>
      <c r="EK43" s="235">
        <f t="shared" ca="1" si="125"/>
        <v>0</v>
      </c>
      <c r="EL43" s="235">
        <f t="shared" ca="1" si="126"/>
        <v>0</v>
      </c>
      <c r="EM43" s="242">
        <f t="shared" ca="1" si="127"/>
        <v>0</v>
      </c>
      <c r="EN43" s="241">
        <f t="shared" ca="1" si="569"/>
        <v>1</v>
      </c>
      <c r="EO43" s="220">
        <f t="shared" ca="1" si="629"/>
        <v>0</v>
      </c>
      <c r="EP43" s="220">
        <f t="shared" ca="1" si="630"/>
        <v>0</v>
      </c>
      <c r="EQ43" s="235">
        <f t="shared" ca="1" si="130"/>
        <v>0</v>
      </c>
      <c r="ER43" s="235">
        <f t="shared" ca="1" si="131"/>
        <v>0</v>
      </c>
      <c r="ES43" s="242">
        <f t="shared" ca="1" si="132"/>
        <v>0</v>
      </c>
      <c r="ET43" s="241">
        <f t="shared" ca="1" si="569"/>
        <v>1</v>
      </c>
      <c r="EU43" s="220">
        <f t="shared" ca="1" si="631"/>
        <v>0</v>
      </c>
      <c r="EV43" s="220">
        <f t="shared" ca="1" si="632"/>
        <v>0</v>
      </c>
      <c r="EW43" s="235">
        <f t="shared" ca="1" si="135"/>
        <v>0</v>
      </c>
      <c r="EX43" s="235">
        <f t="shared" ca="1" si="136"/>
        <v>0</v>
      </c>
      <c r="EY43" s="242">
        <f t="shared" ca="1" si="137"/>
        <v>0</v>
      </c>
      <c r="EZ43" s="241">
        <f t="shared" ca="1" si="569"/>
        <v>1</v>
      </c>
      <c r="FA43" s="220">
        <f t="shared" ca="1" si="633"/>
        <v>0</v>
      </c>
      <c r="FB43" s="220">
        <f t="shared" ca="1" si="634"/>
        <v>0</v>
      </c>
      <c r="FC43" s="235">
        <f t="shared" ca="1" si="140"/>
        <v>0</v>
      </c>
      <c r="FD43" s="235">
        <f t="shared" ca="1" si="141"/>
        <v>0</v>
      </c>
      <c r="FE43" s="242">
        <f t="shared" ca="1" si="142"/>
        <v>0</v>
      </c>
      <c r="FF43" s="241">
        <f t="shared" ca="1" si="569"/>
        <v>1</v>
      </c>
      <c r="FG43" s="220">
        <f t="shared" ca="1" si="635"/>
        <v>0</v>
      </c>
      <c r="FH43" s="220">
        <f t="shared" ca="1" si="636"/>
        <v>0</v>
      </c>
      <c r="FI43" s="235">
        <f t="shared" ca="1" si="145"/>
        <v>0</v>
      </c>
      <c r="FJ43" s="235">
        <f t="shared" ca="1" si="146"/>
        <v>0</v>
      </c>
      <c r="FK43" s="242">
        <f t="shared" ca="1" si="147"/>
        <v>0</v>
      </c>
      <c r="FL43" s="241">
        <f t="shared" ca="1" si="569"/>
        <v>1</v>
      </c>
      <c r="FM43" s="220">
        <f t="shared" ca="1" si="637"/>
        <v>0</v>
      </c>
      <c r="FN43" s="220">
        <f t="shared" ca="1" si="638"/>
        <v>0</v>
      </c>
      <c r="FO43" s="235">
        <f t="shared" ca="1" si="150"/>
        <v>0</v>
      </c>
      <c r="FP43" s="235">
        <f t="shared" ca="1" si="151"/>
        <v>0</v>
      </c>
      <c r="FQ43" s="242">
        <f t="shared" ca="1" si="152"/>
        <v>0</v>
      </c>
      <c r="FR43" s="241">
        <f t="shared" ca="1" si="569"/>
        <v>1</v>
      </c>
      <c r="FS43" s="220">
        <f t="shared" ca="1" si="639"/>
        <v>0</v>
      </c>
      <c r="FT43" s="220">
        <f t="shared" ca="1" si="640"/>
        <v>0</v>
      </c>
      <c r="FU43" s="235">
        <f t="shared" ca="1" si="155"/>
        <v>0</v>
      </c>
      <c r="FV43" s="235">
        <f t="shared" ca="1" si="156"/>
        <v>0</v>
      </c>
      <c r="FW43" s="242">
        <f t="shared" ca="1" si="157"/>
        <v>0</v>
      </c>
      <c r="FX43" s="241">
        <f t="shared" ca="1" si="569"/>
        <v>1</v>
      </c>
      <c r="FY43" s="220">
        <f t="shared" ca="1" si="641"/>
        <v>0</v>
      </c>
      <c r="FZ43" s="220">
        <f t="shared" ca="1" si="642"/>
        <v>0</v>
      </c>
      <c r="GA43" s="235">
        <f t="shared" ca="1" si="160"/>
        <v>0</v>
      </c>
      <c r="GB43" s="235">
        <f t="shared" ca="1" si="161"/>
        <v>0</v>
      </c>
      <c r="GC43" s="242">
        <f t="shared" ca="1" si="162"/>
        <v>0</v>
      </c>
      <c r="GD43" s="241">
        <f t="shared" ca="1" si="562"/>
        <v>1</v>
      </c>
      <c r="GE43" s="220">
        <f t="shared" ca="1" si="643"/>
        <v>0</v>
      </c>
      <c r="GF43" s="220">
        <f t="shared" ca="1" si="644"/>
        <v>0</v>
      </c>
      <c r="GG43" s="235">
        <f t="shared" ca="1" si="166"/>
        <v>0</v>
      </c>
      <c r="GH43" s="235">
        <f t="shared" ca="1" si="167"/>
        <v>0</v>
      </c>
      <c r="GI43" s="242">
        <f t="shared" ca="1" si="168"/>
        <v>0</v>
      </c>
      <c r="GJ43" s="241">
        <f t="shared" ca="1" si="562"/>
        <v>1</v>
      </c>
      <c r="GK43" s="220">
        <f t="shared" ca="1" si="645"/>
        <v>0</v>
      </c>
      <c r="GL43" s="220">
        <f t="shared" ca="1" si="646"/>
        <v>0</v>
      </c>
      <c r="GM43" s="235">
        <f t="shared" ca="1" si="171"/>
        <v>0</v>
      </c>
      <c r="GN43" s="235">
        <f t="shared" ca="1" si="172"/>
        <v>0</v>
      </c>
      <c r="GO43" s="242">
        <f t="shared" ca="1" si="173"/>
        <v>0</v>
      </c>
      <c r="GP43" s="241">
        <f t="shared" ca="1" si="570"/>
        <v>1</v>
      </c>
      <c r="GQ43" s="220">
        <f t="shared" ca="1" si="647"/>
        <v>0</v>
      </c>
      <c r="GR43" s="220">
        <f t="shared" ca="1" si="648"/>
        <v>0</v>
      </c>
      <c r="GS43" s="235">
        <f t="shared" ca="1" si="176"/>
        <v>0</v>
      </c>
      <c r="GT43" s="235">
        <f t="shared" ca="1" si="177"/>
        <v>0</v>
      </c>
      <c r="GU43" s="242">
        <f t="shared" ca="1" si="178"/>
        <v>0</v>
      </c>
      <c r="GV43" s="241">
        <f t="shared" ca="1" si="570"/>
        <v>1</v>
      </c>
      <c r="GW43" s="220">
        <f t="shared" ca="1" si="649"/>
        <v>0</v>
      </c>
      <c r="GX43" s="220">
        <f t="shared" ca="1" si="650"/>
        <v>0</v>
      </c>
      <c r="GY43" s="235">
        <f t="shared" ca="1" si="181"/>
        <v>0</v>
      </c>
      <c r="GZ43" s="235">
        <f t="shared" ca="1" si="182"/>
        <v>0</v>
      </c>
      <c r="HA43" s="242">
        <f t="shared" ca="1" si="183"/>
        <v>0</v>
      </c>
      <c r="HB43" s="241">
        <f t="shared" ca="1" si="570"/>
        <v>1</v>
      </c>
      <c r="HC43" s="220">
        <f t="shared" ca="1" si="651"/>
        <v>0</v>
      </c>
      <c r="HD43" s="220">
        <f t="shared" ca="1" si="652"/>
        <v>0</v>
      </c>
      <c r="HE43" s="235">
        <f t="shared" ca="1" si="186"/>
        <v>0</v>
      </c>
      <c r="HF43" s="235">
        <f t="shared" ca="1" si="187"/>
        <v>0</v>
      </c>
      <c r="HG43" s="242">
        <f t="shared" ca="1" si="188"/>
        <v>0</v>
      </c>
      <c r="HH43" s="241">
        <f t="shared" ca="1" si="570"/>
        <v>1</v>
      </c>
      <c r="HI43" s="220">
        <f t="shared" ca="1" si="653"/>
        <v>0</v>
      </c>
      <c r="HJ43" s="220">
        <f t="shared" ca="1" si="654"/>
        <v>0</v>
      </c>
      <c r="HK43" s="235">
        <f t="shared" ca="1" si="191"/>
        <v>0</v>
      </c>
      <c r="HL43" s="235">
        <f t="shared" ca="1" si="192"/>
        <v>0</v>
      </c>
      <c r="HM43" s="242">
        <f t="shared" ca="1" si="193"/>
        <v>0</v>
      </c>
      <c r="HN43" s="241">
        <f t="shared" ca="1" si="570"/>
        <v>1</v>
      </c>
      <c r="HO43" s="220">
        <f t="shared" ca="1" si="655"/>
        <v>0</v>
      </c>
      <c r="HP43" s="220">
        <f t="shared" ca="1" si="656"/>
        <v>0</v>
      </c>
      <c r="HQ43" s="235">
        <f t="shared" ca="1" si="196"/>
        <v>0</v>
      </c>
      <c r="HR43" s="235">
        <f t="shared" ca="1" si="197"/>
        <v>0</v>
      </c>
      <c r="HS43" s="242">
        <f t="shared" ca="1" si="198"/>
        <v>0</v>
      </c>
      <c r="HT43" s="241">
        <f t="shared" ca="1" si="570"/>
        <v>1</v>
      </c>
      <c r="HU43" s="220">
        <f t="shared" ca="1" si="657"/>
        <v>0</v>
      </c>
      <c r="HV43" s="220">
        <f t="shared" ca="1" si="658"/>
        <v>0</v>
      </c>
      <c r="HW43" s="235">
        <f t="shared" ca="1" si="201"/>
        <v>0</v>
      </c>
      <c r="HX43" s="235">
        <f t="shared" ca="1" si="202"/>
        <v>0</v>
      </c>
      <c r="HY43" s="242">
        <f t="shared" ca="1" si="203"/>
        <v>0</v>
      </c>
      <c r="HZ43" s="241">
        <f t="shared" ca="1" si="570"/>
        <v>1</v>
      </c>
      <c r="IA43" s="220">
        <f t="shared" ca="1" si="659"/>
        <v>0</v>
      </c>
      <c r="IB43" s="220">
        <f t="shared" ca="1" si="660"/>
        <v>0</v>
      </c>
      <c r="IC43" s="235">
        <f t="shared" ca="1" si="206"/>
        <v>0</v>
      </c>
      <c r="ID43" s="235">
        <f t="shared" ca="1" si="207"/>
        <v>0</v>
      </c>
      <c r="IE43" s="242">
        <f t="shared" ca="1" si="208"/>
        <v>0</v>
      </c>
      <c r="IF43" s="241">
        <f t="shared" ca="1" si="570"/>
        <v>1</v>
      </c>
      <c r="IG43" s="220">
        <f t="shared" ca="1" si="661"/>
        <v>0</v>
      </c>
      <c r="IH43" s="220">
        <f t="shared" ca="1" si="662"/>
        <v>0</v>
      </c>
      <c r="II43" s="235">
        <f t="shared" ca="1" si="211"/>
        <v>0</v>
      </c>
      <c r="IJ43" s="235">
        <f t="shared" ca="1" si="212"/>
        <v>0</v>
      </c>
      <c r="IK43" s="242">
        <f t="shared" ca="1" si="213"/>
        <v>0</v>
      </c>
      <c r="IL43" s="241">
        <f t="shared" ca="1" si="570"/>
        <v>1</v>
      </c>
      <c r="IM43" s="220">
        <f t="shared" ca="1" si="663"/>
        <v>0</v>
      </c>
      <c r="IN43" s="220">
        <f t="shared" ca="1" si="664"/>
        <v>0</v>
      </c>
      <c r="IO43" s="235">
        <f t="shared" ca="1" si="216"/>
        <v>0</v>
      </c>
      <c r="IP43" s="235">
        <f t="shared" ca="1" si="217"/>
        <v>0</v>
      </c>
      <c r="IQ43" s="242">
        <f t="shared" ca="1" si="218"/>
        <v>0</v>
      </c>
      <c r="IR43" s="241">
        <f t="shared" ca="1" si="570"/>
        <v>1</v>
      </c>
      <c r="IS43" s="220">
        <f t="shared" ca="1" si="665"/>
        <v>0</v>
      </c>
      <c r="IT43" s="220">
        <f t="shared" ca="1" si="666"/>
        <v>0</v>
      </c>
      <c r="IU43" s="235">
        <f t="shared" ca="1" si="222"/>
        <v>0</v>
      </c>
      <c r="IV43" s="235">
        <f t="shared" ca="1" si="223"/>
        <v>0</v>
      </c>
      <c r="IW43" s="242">
        <f t="shared" ca="1" si="224"/>
        <v>0</v>
      </c>
      <c r="IX43" s="241">
        <f t="shared" ca="1" si="570"/>
        <v>1</v>
      </c>
      <c r="IY43" s="220">
        <f t="shared" ca="1" si="667"/>
        <v>0</v>
      </c>
      <c r="IZ43" s="220">
        <f t="shared" ca="1" si="668"/>
        <v>0</v>
      </c>
      <c r="JA43" s="235">
        <f t="shared" ca="1" si="227"/>
        <v>0</v>
      </c>
      <c r="JB43" s="235">
        <f t="shared" ca="1" si="228"/>
        <v>0</v>
      </c>
      <c r="JC43" s="242">
        <f t="shared" ca="1" si="229"/>
        <v>0</v>
      </c>
      <c r="JD43" s="241">
        <f t="shared" ca="1" si="563"/>
        <v>1</v>
      </c>
      <c r="JE43" s="220">
        <f t="shared" ca="1" si="669"/>
        <v>0</v>
      </c>
      <c r="JF43" s="220">
        <f t="shared" ca="1" si="670"/>
        <v>0</v>
      </c>
      <c r="JG43" s="235">
        <f t="shared" ca="1" si="232"/>
        <v>0</v>
      </c>
      <c r="JH43" s="235">
        <f t="shared" ca="1" si="233"/>
        <v>0</v>
      </c>
      <c r="JI43" s="242">
        <f t="shared" ca="1" si="234"/>
        <v>0</v>
      </c>
      <c r="JJ43" s="241">
        <f t="shared" ca="1" si="563"/>
        <v>1</v>
      </c>
      <c r="JK43" s="220">
        <f t="shared" ca="1" si="671"/>
        <v>0</v>
      </c>
      <c r="JL43" s="220">
        <f t="shared" ca="1" si="672"/>
        <v>0</v>
      </c>
      <c r="JM43" s="235">
        <f t="shared" ca="1" si="237"/>
        <v>0</v>
      </c>
      <c r="JN43" s="235">
        <f t="shared" ca="1" si="238"/>
        <v>0</v>
      </c>
      <c r="JO43" s="242">
        <f t="shared" ca="1" si="239"/>
        <v>0</v>
      </c>
      <c r="JP43" s="241">
        <f t="shared" ca="1" si="571"/>
        <v>1</v>
      </c>
      <c r="JQ43" s="220">
        <f t="shared" ca="1" si="673"/>
        <v>0</v>
      </c>
      <c r="JR43" s="220">
        <f t="shared" ca="1" si="674"/>
        <v>0</v>
      </c>
      <c r="JS43" s="235">
        <f t="shared" ca="1" si="242"/>
        <v>0</v>
      </c>
      <c r="JT43" s="235">
        <f t="shared" ca="1" si="243"/>
        <v>0</v>
      </c>
      <c r="JU43" s="242">
        <f t="shared" ca="1" si="244"/>
        <v>0</v>
      </c>
      <c r="JV43" s="241">
        <f t="shared" ca="1" si="571"/>
        <v>1</v>
      </c>
      <c r="JW43" s="220">
        <f t="shared" ca="1" si="675"/>
        <v>0</v>
      </c>
      <c r="JX43" s="220">
        <f t="shared" ca="1" si="676"/>
        <v>0</v>
      </c>
      <c r="JY43" s="235">
        <f t="shared" ca="1" si="247"/>
        <v>0</v>
      </c>
      <c r="JZ43" s="235">
        <f t="shared" ca="1" si="248"/>
        <v>0</v>
      </c>
      <c r="KA43" s="242">
        <f t="shared" ca="1" si="249"/>
        <v>0</v>
      </c>
      <c r="KB43" s="241">
        <f t="shared" ca="1" si="571"/>
        <v>1</v>
      </c>
      <c r="KC43" s="220">
        <f t="shared" ca="1" si="677"/>
        <v>0</v>
      </c>
      <c r="KD43" s="220">
        <f t="shared" ca="1" si="678"/>
        <v>0</v>
      </c>
      <c r="KE43" s="235">
        <f t="shared" ca="1" si="252"/>
        <v>0</v>
      </c>
      <c r="KF43" s="235">
        <f t="shared" ca="1" si="253"/>
        <v>0</v>
      </c>
      <c r="KG43" s="242">
        <f t="shared" ca="1" si="254"/>
        <v>0</v>
      </c>
      <c r="KH43" s="241">
        <f t="shared" ca="1" si="571"/>
        <v>1</v>
      </c>
      <c r="KI43" s="220">
        <f t="shared" ca="1" si="679"/>
        <v>0</v>
      </c>
      <c r="KJ43" s="220">
        <f t="shared" ca="1" si="680"/>
        <v>0</v>
      </c>
      <c r="KK43" s="235">
        <f t="shared" ca="1" si="257"/>
        <v>0</v>
      </c>
      <c r="KL43" s="235">
        <f t="shared" ca="1" si="258"/>
        <v>0</v>
      </c>
      <c r="KM43" s="242">
        <f t="shared" ca="1" si="259"/>
        <v>0</v>
      </c>
      <c r="KN43" s="241">
        <f t="shared" ca="1" si="571"/>
        <v>1</v>
      </c>
      <c r="KO43" s="220">
        <f t="shared" ca="1" si="681"/>
        <v>0</v>
      </c>
      <c r="KP43" s="220">
        <f t="shared" ca="1" si="682"/>
        <v>0</v>
      </c>
      <c r="KQ43" s="235">
        <f t="shared" ca="1" si="262"/>
        <v>0</v>
      </c>
      <c r="KR43" s="235">
        <f t="shared" ca="1" si="263"/>
        <v>0</v>
      </c>
      <c r="KS43" s="242">
        <f t="shared" ca="1" si="264"/>
        <v>0</v>
      </c>
      <c r="KT43" s="241">
        <f t="shared" ca="1" si="571"/>
        <v>1</v>
      </c>
      <c r="KU43" s="220">
        <f t="shared" ca="1" si="683"/>
        <v>0</v>
      </c>
      <c r="KV43" s="220">
        <f t="shared" ca="1" si="684"/>
        <v>0</v>
      </c>
      <c r="KW43" s="235">
        <f t="shared" ca="1" si="267"/>
        <v>0</v>
      </c>
      <c r="KX43" s="235">
        <f t="shared" ca="1" si="268"/>
        <v>0</v>
      </c>
      <c r="KY43" s="242">
        <f t="shared" ca="1" si="269"/>
        <v>0</v>
      </c>
      <c r="KZ43" s="241">
        <f t="shared" ca="1" si="571"/>
        <v>1</v>
      </c>
      <c r="LA43" s="220">
        <f t="shared" ca="1" si="685"/>
        <v>0</v>
      </c>
      <c r="LB43" s="220">
        <f t="shared" ca="1" si="686"/>
        <v>0</v>
      </c>
      <c r="LC43" s="235">
        <f t="shared" ca="1" si="272"/>
        <v>0</v>
      </c>
      <c r="LD43" s="235">
        <f t="shared" ca="1" si="273"/>
        <v>0</v>
      </c>
      <c r="LE43" s="242">
        <f t="shared" ca="1" si="274"/>
        <v>0</v>
      </c>
      <c r="LF43" s="241">
        <f t="shared" ca="1" si="571"/>
        <v>1</v>
      </c>
      <c r="LG43" s="220">
        <f t="shared" ca="1" si="687"/>
        <v>0</v>
      </c>
      <c r="LH43" s="220">
        <f t="shared" ca="1" si="688"/>
        <v>0</v>
      </c>
      <c r="LI43" s="235">
        <f t="shared" ca="1" si="278"/>
        <v>0</v>
      </c>
      <c r="LJ43" s="235">
        <f t="shared" ca="1" si="279"/>
        <v>0</v>
      </c>
      <c r="LK43" s="242">
        <f t="shared" ca="1" si="280"/>
        <v>0</v>
      </c>
      <c r="LL43" s="241">
        <f t="shared" ca="1" si="571"/>
        <v>1</v>
      </c>
      <c r="LM43" s="220">
        <f t="shared" ca="1" si="689"/>
        <v>0</v>
      </c>
      <c r="LN43" s="220">
        <f t="shared" ca="1" si="690"/>
        <v>0</v>
      </c>
      <c r="LO43" s="235">
        <f t="shared" ca="1" si="283"/>
        <v>0</v>
      </c>
      <c r="LP43" s="235">
        <f t="shared" ca="1" si="284"/>
        <v>0</v>
      </c>
      <c r="LQ43" s="242">
        <f t="shared" ca="1" si="285"/>
        <v>0</v>
      </c>
      <c r="LR43" s="241">
        <f t="shared" ca="1" si="571"/>
        <v>1</v>
      </c>
      <c r="LS43" s="220">
        <f t="shared" ca="1" si="691"/>
        <v>0</v>
      </c>
      <c r="LT43" s="220">
        <f t="shared" ca="1" si="692"/>
        <v>0</v>
      </c>
      <c r="LU43" s="235">
        <f t="shared" ca="1" si="288"/>
        <v>0</v>
      </c>
      <c r="LV43" s="235">
        <f t="shared" ca="1" si="289"/>
        <v>0</v>
      </c>
      <c r="LW43" s="242">
        <f t="shared" ca="1" si="290"/>
        <v>0</v>
      </c>
      <c r="LX43" s="241">
        <f t="shared" ca="1" si="571"/>
        <v>1</v>
      </c>
      <c r="LY43" s="220">
        <f t="shared" ca="1" si="693"/>
        <v>0</v>
      </c>
      <c r="LZ43" s="220">
        <f t="shared" ca="1" si="694"/>
        <v>0</v>
      </c>
      <c r="MA43" s="235">
        <f t="shared" ca="1" si="293"/>
        <v>0</v>
      </c>
      <c r="MB43" s="235">
        <f t="shared" ca="1" si="294"/>
        <v>0</v>
      </c>
      <c r="MC43" s="242">
        <f t="shared" ca="1" si="295"/>
        <v>0</v>
      </c>
      <c r="MD43" s="241">
        <f t="shared" ca="1" si="564"/>
        <v>1</v>
      </c>
      <c r="ME43" s="220">
        <f t="shared" ca="1" si="695"/>
        <v>0</v>
      </c>
      <c r="MF43" s="220">
        <f t="shared" ca="1" si="696"/>
        <v>0</v>
      </c>
      <c r="MG43" s="235">
        <f t="shared" ca="1" si="298"/>
        <v>0</v>
      </c>
      <c r="MH43" s="235">
        <f t="shared" ca="1" si="299"/>
        <v>0</v>
      </c>
      <c r="MI43" s="242">
        <f t="shared" ca="1" si="300"/>
        <v>0</v>
      </c>
      <c r="MJ43" s="241">
        <f t="shared" ca="1" si="564"/>
        <v>1</v>
      </c>
      <c r="MK43" s="220">
        <f t="shared" ca="1" si="697"/>
        <v>0</v>
      </c>
      <c r="ML43" s="220">
        <f t="shared" ca="1" si="698"/>
        <v>0</v>
      </c>
      <c r="MM43" s="235">
        <f t="shared" ca="1" si="303"/>
        <v>0</v>
      </c>
      <c r="MN43" s="235">
        <f t="shared" ca="1" si="304"/>
        <v>0</v>
      </c>
      <c r="MO43" s="242">
        <f t="shared" ca="1" si="305"/>
        <v>0</v>
      </c>
      <c r="MP43" s="241">
        <f t="shared" ca="1" si="572"/>
        <v>1</v>
      </c>
      <c r="MQ43" s="220">
        <f t="shared" ca="1" si="699"/>
        <v>0</v>
      </c>
      <c r="MR43" s="220">
        <f t="shared" ca="1" si="700"/>
        <v>0</v>
      </c>
      <c r="MS43" s="235">
        <f t="shared" ca="1" si="308"/>
        <v>0</v>
      </c>
      <c r="MT43" s="235">
        <f t="shared" ca="1" si="309"/>
        <v>0</v>
      </c>
      <c r="MU43" s="242">
        <f t="shared" ca="1" si="310"/>
        <v>0</v>
      </c>
      <c r="MV43" s="241">
        <f t="shared" ca="1" si="572"/>
        <v>1</v>
      </c>
      <c r="MW43" s="220">
        <f t="shared" ca="1" si="701"/>
        <v>0</v>
      </c>
      <c r="MX43" s="220">
        <f t="shared" ca="1" si="702"/>
        <v>0</v>
      </c>
      <c r="MY43" s="235">
        <f t="shared" ca="1" si="313"/>
        <v>0</v>
      </c>
      <c r="MZ43" s="235">
        <f t="shared" ca="1" si="314"/>
        <v>0</v>
      </c>
      <c r="NA43" s="242">
        <f t="shared" ca="1" si="315"/>
        <v>0</v>
      </c>
      <c r="NB43" s="241">
        <f t="shared" ca="1" si="572"/>
        <v>1</v>
      </c>
      <c r="NC43" s="220">
        <f t="shared" ca="1" si="703"/>
        <v>0</v>
      </c>
      <c r="ND43" s="220">
        <f t="shared" ca="1" si="704"/>
        <v>0</v>
      </c>
      <c r="NE43" s="235">
        <f t="shared" ca="1" si="318"/>
        <v>0</v>
      </c>
      <c r="NF43" s="235">
        <f t="shared" ca="1" si="319"/>
        <v>0</v>
      </c>
      <c r="NG43" s="242">
        <f t="shared" ca="1" si="320"/>
        <v>0</v>
      </c>
      <c r="NH43" s="241">
        <f t="shared" ca="1" si="572"/>
        <v>1</v>
      </c>
      <c r="NI43" s="220">
        <f t="shared" ca="1" si="705"/>
        <v>0</v>
      </c>
      <c r="NJ43" s="220">
        <f t="shared" ca="1" si="706"/>
        <v>0</v>
      </c>
      <c r="NK43" s="235">
        <f t="shared" ca="1" si="323"/>
        <v>0</v>
      </c>
      <c r="NL43" s="235">
        <f t="shared" ca="1" si="324"/>
        <v>0</v>
      </c>
      <c r="NM43" s="242">
        <f t="shared" ca="1" si="325"/>
        <v>0</v>
      </c>
      <c r="NN43" s="241">
        <f t="shared" ca="1" si="572"/>
        <v>1</v>
      </c>
      <c r="NO43" s="220">
        <f t="shared" ca="1" si="707"/>
        <v>0</v>
      </c>
      <c r="NP43" s="220">
        <f t="shared" ca="1" si="708"/>
        <v>0</v>
      </c>
      <c r="NQ43" s="235">
        <f t="shared" ca="1" si="328"/>
        <v>0</v>
      </c>
      <c r="NR43" s="235">
        <f t="shared" ca="1" si="329"/>
        <v>0</v>
      </c>
      <c r="NS43" s="242">
        <f t="shared" ca="1" si="330"/>
        <v>0</v>
      </c>
      <c r="NT43" s="241">
        <f t="shared" ca="1" si="572"/>
        <v>1</v>
      </c>
      <c r="NU43" s="220">
        <f t="shared" ca="1" si="709"/>
        <v>0</v>
      </c>
      <c r="NV43" s="220">
        <f t="shared" ca="1" si="710"/>
        <v>0</v>
      </c>
      <c r="NW43" s="235">
        <f t="shared" ca="1" si="334"/>
        <v>0</v>
      </c>
      <c r="NX43" s="235">
        <f t="shared" ca="1" si="335"/>
        <v>0</v>
      </c>
      <c r="NY43" s="242">
        <f t="shared" ca="1" si="336"/>
        <v>0</v>
      </c>
      <c r="NZ43" s="241">
        <f t="shared" ca="1" si="572"/>
        <v>1</v>
      </c>
      <c r="OA43" s="220">
        <f t="shared" ca="1" si="711"/>
        <v>0</v>
      </c>
      <c r="OB43" s="220">
        <f t="shared" ca="1" si="712"/>
        <v>0</v>
      </c>
      <c r="OC43" s="235">
        <f t="shared" ca="1" si="339"/>
        <v>0</v>
      </c>
      <c r="OD43" s="235">
        <f t="shared" ca="1" si="340"/>
        <v>0</v>
      </c>
      <c r="OE43" s="242">
        <f t="shared" ca="1" si="341"/>
        <v>0</v>
      </c>
      <c r="OF43" s="241">
        <f t="shared" ca="1" si="572"/>
        <v>1</v>
      </c>
      <c r="OG43" s="220">
        <f t="shared" ca="1" si="713"/>
        <v>0</v>
      </c>
      <c r="OH43" s="220">
        <f t="shared" ca="1" si="714"/>
        <v>0</v>
      </c>
      <c r="OI43" s="235">
        <f t="shared" ca="1" si="344"/>
        <v>0</v>
      </c>
      <c r="OJ43" s="235">
        <f t="shared" ca="1" si="345"/>
        <v>0</v>
      </c>
      <c r="OK43" s="242">
        <f t="shared" ca="1" si="346"/>
        <v>0</v>
      </c>
      <c r="OL43" s="241">
        <f t="shared" ca="1" si="572"/>
        <v>1</v>
      </c>
      <c r="OM43" s="220">
        <f t="shared" ca="1" si="715"/>
        <v>0</v>
      </c>
      <c r="ON43" s="220">
        <f t="shared" ca="1" si="716"/>
        <v>0</v>
      </c>
      <c r="OO43" s="235">
        <f t="shared" ca="1" si="349"/>
        <v>0</v>
      </c>
      <c r="OP43" s="235">
        <f t="shared" ca="1" si="350"/>
        <v>0</v>
      </c>
      <c r="OQ43" s="242">
        <f t="shared" ca="1" si="351"/>
        <v>0</v>
      </c>
      <c r="OR43" s="241">
        <f t="shared" ca="1" si="572"/>
        <v>1</v>
      </c>
      <c r="OS43" s="220">
        <f t="shared" ca="1" si="717"/>
        <v>0</v>
      </c>
      <c r="OT43" s="220">
        <f t="shared" ca="1" si="718"/>
        <v>0</v>
      </c>
      <c r="OU43" s="235">
        <f t="shared" ca="1" si="354"/>
        <v>0</v>
      </c>
      <c r="OV43" s="235">
        <f t="shared" ca="1" si="355"/>
        <v>0</v>
      </c>
      <c r="OW43" s="242">
        <f t="shared" ca="1" si="356"/>
        <v>0</v>
      </c>
      <c r="OX43" s="241">
        <f t="shared" ca="1" si="572"/>
        <v>1</v>
      </c>
      <c r="OY43" s="220">
        <f t="shared" ca="1" si="719"/>
        <v>0</v>
      </c>
      <c r="OZ43" s="220">
        <f t="shared" ca="1" si="720"/>
        <v>0</v>
      </c>
      <c r="PA43" s="235">
        <f t="shared" ca="1" si="359"/>
        <v>0</v>
      </c>
      <c r="PB43" s="235">
        <f t="shared" ca="1" si="360"/>
        <v>0</v>
      </c>
      <c r="PC43" s="242">
        <f t="shared" ca="1" si="361"/>
        <v>0</v>
      </c>
      <c r="PD43" s="241">
        <f t="shared" ca="1" si="565"/>
        <v>1</v>
      </c>
      <c r="PE43" s="220">
        <f t="shared" ca="1" si="721"/>
        <v>0</v>
      </c>
      <c r="PF43" s="220">
        <f t="shared" ca="1" si="722"/>
        <v>0</v>
      </c>
      <c r="PG43" s="235">
        <f t="shared" ca="1" si="364"/>
        <v>0</v>
      </c>
      <c r="PH43" s="235">
        <f t="shared" ca="1" si="365"/>
        <v>0</v>
      </c>
      <c r="PI43" s="242">
        <f t="shared" ca="1" si="366"/>
        <v>0</v>
      </c>
      <c r="PJ43" s="241">
        <f t="shared" ca="1" si="565"/>
        <v>1</v>
      </c>
      <c r="PK43" s="220">
        <f t="shared" ca="1" si="723"/>
        <v>0</v>
      </c>
      <c r="PL43" s="220">
        <f t="shared" ca="1" si="724"/>
        <v>0</v>
      </c>
      <c r="PM43" s="235">
        <f t="shared" ca="1" si="369"/>
        <v>0</v>
      </c>
      <c r="PN43" s="235">
        <f t="shared" ca="1" si="370"/>
        <v>0</v>
      </c>
      <c r="PO43" s="242">
        <f t="shared" ca="1" si="371"/>
        <v>0</v>
      </c>
      <c r="PP43" s="241">
        <f t="shared" ca="1" si="573"/>
        <v>1</v>
      </c>
      <c r="PQ43" s="220">
        <f t="shared" ca="1" si="725"/>
        <v>0</v>
      </c>
      <c r="PR43" s="220">
        <f t="shared" ca="1" si="726"/>
        <v>0</v>
      </c>
      <c r="PS43" s="235">
        <f t="shared" ca="1" si="374"/>
        <v>0</v>
      </c>
      <c r="PT43" s="235">
        <f t="shared" ca="1" si="375"/>
        <v>0</v>
      </c>
      <c r="PU43" s="242">
        <f t="shared" ca="1" si="376"/>
        <v>0</v>
      </c>
      <c r="PV43" s="241">
        <f t="shared" ca="1" si="573"/>
        <v>1</v>
      </c>
      <c r="PW43" s="220">
        <f t="shared" ca="1" si="727"/>
        <v>0</v>
      </c>
      <c r="PX43" s="220">
        <f t="shared" ca="1" si="728"/>
        <v>0</v>
      </c>
      <c r="PY43" s="235">
        <f t="shared" ca="1" si="379"/>
        <v>0</v>
      </c>
      <c r="PZ43" s="235">
        <f t="shared" ca="1" si="380"/>
        <v>0</v>
      </c>
      <c r="QA43" s="242">
        <f t="shared" ca="1" si="381"/>
        <v>0</v>
      </c>
      <c r="QB43" s="241">
        <f t="shared" ca="1" si="573"/>
        <v>1</v>
      </c>
      <c r="QC43" s="220">
        <f t="shared" ca="1" si="729"/>
        <v>0</v>
      </c>
      <c r="QD43" s="220">
        <f t="shared" ca="1" si="730"/>
        <v>0</v>
      </c>
      <c r="QE43" s="235">
        <f t="shared" ca="1" si="384"/>
        <v>0</v>
      </c>
      <c r="QF43" s="235">
        <f t="shared" ca="1" si="385"/>
        <v>0</v>
      </c>
      <c r="QG43" s="242">
        <f t="shared" ca="1" si="386"/>
        <v>0</v>
      </c>
      <c r="QH43" s="241">
        <f t="shared" ca="1" si="573"/>
        <v>1</v>
      </c>
      <c r="QI43" s="220">
        <f t="shared" ca="1" si="731"/>
        <v>0</v>
      </c>
      <c r="QJ43" s="220">
        <f t="shared" ca="1" si="732"/>
        <v>0</v>
      </c>
      <c r="QK43" s="235">
        <f t="shared" ca="1" si="390"/>
        <v>0</v>
      </c>
      <c r="QL43" s="235">
        <f t="shared" ca="1" si="391"/>
        <v>0</v>
      </c>
      <c r="QM43" s="242">
        <f t="shared" ca="1" si="392"/>
        <v>0</v>
      </c>
      <c r="QN43" s="241">
        <f t="shared" ca="1" si="573"/>
        <v>1</v>
      </c>
      <c r="QO43" s="220">
        <f t="shared" ca="1" si="733"/>
        <v>0</v>
      </c>
      <c r="QP43" s="220">
        <f t="shared" ca="1" si="734"/>
        <v>0</v>
      </c>
      <c r="QQ43" s="235">
        <f t="shared" ca="1" si="395"/>
        <v>0</v>
      </c>
      <c r="QR43" s="235">
        <f t="shared" ca="1" si="396"/>
        <v>0</v>
      </c>
      <c r="QS43" s="242">
        <f t="shared" ca="1" si="397"/>
        <v>0</v>
      </c>
      <c r="QT43" s="241">
        <f t="shared" ca="1" si="573"/>
        <v>1</v>
      </c>
      <c r="QU43" s="220">
        <f t="shared" ca="1" si="735"/>
        <v>0</v>
      </c>
      <c r="QV43" s="220">
        <f t="shared" ca="1" si="736"/>
        <v>0</v>
      </c>
      <c r="QW43" s="235">
        <f t="shared" ca="1" si="400"/>
        <v>0</v>
      </c>
      <c r="QX43" s="235">
        <f t="shared" ca="1" si="401"/>
        <v>0</v>
      </c>
      <c r="QY43" s="242">
        <f t="shared" ca="1" si="402"/>
        <v>0</v>
      </c>
      <c r="QZ43" s="241">
        <f t="shared" ca="1" si="573"/>
        <v>1</v>
      </c>
      <c r="RA43" s="220">
        <f t="shared" ca="1" si="737"/>
        <v>0</v>
      </c>
      <c r="RB43" s="220">
        <f t="shared" ca="1" si="738"/>
        <v>0</v>
      </c>
      <c r="RC43" s="235">
        <f t="shared" ca="1" si="405"/>
        <v>0</v>
      </c>
      <c r="RD43" s="235">
        <f t="shared" ca="1" si="406"/>
        <v>0</v>
      </c>
      <c r="RE43" s="242">
        <f t="shared" ca="1" si="407"/>
        <v>0</v>
      </c>
      <c r="RF43" s="241">
        <f t="shared" ca="1" si="573"/>
        <v>1</v>
      </c>
      <c r="RG43" s="220">
        <f t="shared" ca="1" si="739"/>
        <v>0</v>
      </c>
      <c r="RH43" s="220">
        <f t="shared" ca="1" si="740"/>
        <v>0</v>
      </c>
      <c r="RI43" s="235">
        <f t="shared" ca="1" si="410"/>
        <v>0</v>
      </c>
      <c r="RJ43" s="235">
        <f t="shared" ca="1" si="411"/>
        <v>0</v>
      </c>
      <c r="RK43" s="242">
        <f t="shared" ca="1" si="412"/>
        <v>0</v>
      </c>
      <c r="RL43" s="241">
        <f t="shared" ca="1" si="573"/>
        <v>1</v>
      </c>
      <c r="RM43" s="220">
        <f t="shared" ca="1" si="741"/>
        <v>0</v>
      </c>
      <c r="RN43" s="220">
        <f t="shared" ca="1" si="742"/>
        <v>0</v>
      </c>
      <c r="RO43" s="235">
        <f t="shared" ca="1" si="415"/>
        <v>0</v>
      </c>
      <c r="RP43" s="235">
        <f t="shared" ca="1" si="416"/>
        <v>0</v>
      </c>
      <c r="RQ43" s="242">
        <f t="shared" ca="1" si="417"/>
        <v>0</v>
      </c>
      <c r="RR43" s="241">
        <f t="shared" ca="1" si="573"/>
        <v>1</v>
      </c>
      <c r="RS43" s="220">
        <f t="shared" ca="1" si="743"/>
        <v>0</v>
      </c>
      <c r="RT43" s="220">
        <f t="shared" ca="1" si="744"/>
        <v>0</v>
      </c>
      <c r="RU43" s="235">
        <f t="shared" ca="1" si="420"/>
        <v>0</v>
      </c>
      <c r="RV43" s="235">
        <f t="shared" ca="1" si="421"/>
        <v>0</v>
      </c>
      <c r="RW43" s="242">
        <f t="shared" ca="1" si="422"/>
        <v>0</v>
      </c>
      <c r="RX43" s="241">
        <f t="shared" ca="1" si="573"/>
        <v>1</v>
      </c>
      <c r="RY43" s="220">
        <f t="shared" ca="1" si="745"/>
        <v>0</v>
      </c>
      <c r="RZ43" s="220">
        <f t="shared" ca="1" si="746"/>
        <v>0</v>
      </c>
      <c r="SA43" s="235">
        <f t="shared" ca="1" si="425"/>
        <v>0</v>
      </c>
      <c r="SB43" s="235">
        <f t="shared" ca="1" si="426"/>
        <v>0</v>
      </c>
      <c r="SC43" s="242">
        <f t="shared" ca="1" si="427"/>
        <v>0</v>
      </c>
      <c r="SD43" s="241">
        <f t="shared" ca="1" si="566"/>
        <v>1</v>
      </c>
      <c r="SE43" s="220">
        <f t="shared" ca="1" si="747"/>
        <v>0</v>
      </c>
      <c r="SF43" s="220">
        <f t="shared" ca="1" si="748"/>
        <v>0</v>
      </c>
      <c r="SG43" s="235">
        <f t="shared" ca="1" si="430"/>
        <v>0</v>
      </c>
      <c r="SH43" s="235">
        <f t="shared" ca="1" si="431"/>
        <v>0</v>
      </c>
      <c r="SI43" s="242">
        <f t="shared" ca="1" si="432"/>
        <v>0</v>
      </c>
      <c r="SJ43" s="241">
        <f t="shared" ca="1" si="566"/>
        <v>1</v>
      </c>
      <c r="SK43" s="220">
        <f t="shared" ca="1" si="749"/>
        <v>0</v>
      </c>
      <c r="SL43" s="220">
        <f t="shared" ca="1" si="750"/>
        <v>0</v>
      </c>
      <c r="SM43" s="235">
        <f t="shared" ca="1" si="435"/>
        <v>0</v>
      </c>
      <c r="SN43" s="235">
        <f t="shared" ca="1" si="436"/>
        <v>0</v>
      </c>
      <c r="SO43" s="242">
        <f t="shared" ca="1" si="437"/>
        <v>0</v>
      </c>
      <c r="SP43" s="241">
        <f t="shared" ca="1" si="576"/>
        <v>1</v>
      </c>
      <c r="SQ43" s="220">
        <f t="shared" ca="1" si="751"/>
        <v>0</v>
      </c>
      <c r="SR43" s="220">
        <f t="shared" ca="1" si="752"/>
        <v>0</v>
      </c>
      <c r="SS43" s="235">
        <f t="shared" ca="1" si="440"/>
        <v>0</v>
      </c>
      <c r="ST43" s="235">
        <f t="shared" ca="1" si="441"/>
        <v>0</v>
      </c>
      <c r="SU43" s="242">
        <f t="shared" ca="1" si="442"/>
        <v>0</v>
      </c>
      <c r="SV43" s="241">
        <f t="shared" ca="1" si="576"/>
        <v>1</v>
      </c>
      <c r="SW43" s="220">
        <f t="shared" ca="1" si="753"/>
        <v>0</v>
      </c>
      <c r="SX43" s="220">
        <f t="shared" ca="1" si="754"/>
        <v>0</v>
      </c>
      <c r="SY43" s="235">
        <f t="shared" ca="1" si="446"/>
        <v>0</v>
      </c>
      <c r="SZ43" s="235">
        <f t="shared" ca="1" si="447"/>
        <v>0</v>
      </c>
      <c r="TA43" s="242">
        <f t="shared" ca="1" si="448"/>
        <v>0</v>
      </c>
      <c r="TB43" s="241">
        <f t="shared" ca="1" si="576"/>
        <v>1</v>
      </c>
      <c r="TC43" s="220">
        <f t="shared" ca="1" si="755"/>
        <v>0</v>
      </c>
      <c r="TD43" s="220">
        <f t="shared" ca="1" si="756"/>
        <v>0</v>
      </c>
      <c r="TE43" s="235">
        <f t="shared" ca="1" si="451"/>
        <v>0</v>
      </c>
      <c r="TF43" s="235">
        <f t="shared" ca="1" si="452"/>
        <v>0</v>
      </c>
      <c r="TG43" s="242">
        <f t="shared" ca="1" si="453"/>
        <v>0</v>
      </c>
      <c r="TH43" s="241">
        <f t="shared" ca="1" si="576"/>
        <v>1</v>
      </c>
      <c r="TI43" s="220">
        <f t="shared" ca="1" si="757"/>
        <v>0</v>
      </c>
      <c r="TJ43" s="220">
        <f t="shared" ca="1" si="758"/>
        <v>0</v>
      </c>
      <c r="TK43" s="235">
        <f t="shared" ca="1" si="456"/>
        <v>0</v>
      </c>
      <c r="TL43" s="235">
        <f t="shared" ca="1" si="457"/>
        <v>0</v>
      </c>
      <c r="TM43" s="242">
        <f t="shared" ca="1" si="458"/>
        <v>0</v>
      </c>
      <c r="TN43" s="241">
        <f t="shared" ca="1" si="576"/>
        <v>1</v>
      </c>
      <c r="TO43" s="220">
        <f t="shared" ca="1" si="759"/>
        <v>0</v>
      </c>
      <c r="TP43" s="220">
        <f t="shared" ca="1" si="760"/>
        <v>0</v>
      </c>
      <c r="TQ43" s="235">
        <f t="shared" ca="1" si="461"/>
        <v>0</v>
      </c>
      <c r="TR43" s="235">
        <f t="shared" ca="1" si="462"/>
        <v>0</v>
      </c>
      <c r="TS43" s="242">
        <f t="shared" ca="1" si="463"/>
        <v>0</v>
      </c>
      <c r="TT43" s="241">
        <f t="shared" ca="1" si="576"/>
        <v>1</v>
      </c>
      <c r="TU43" s="220">
        <f t="shared" ca="1" si="761"/>
        <v>0</v>
      </c>
      <c r="TV43" s="220">
        <f t="shared" ca="1" si="762"/>
        <v>0</v>
      </c>
      <c r="TW43" s="235">
        <f t="shared" ca="1" si="466"/>
        <v>0</v>
      </c>
      <c r="TX43" s="235">
        <f t="shared" ca="1" si="467"/>
        <v>0</v>
      </c>
      <c r="TY43" s="242">
        <f t="shared" ca="1" si="468"/>
        <v>0</v>
      </c>
      <c r="TZ43" s="241">
        <f t="shared" ca="1" si="576"/>
        <v>1</v>
      </c>
      <c r="UA43" s="220">
        <f t="shared" ca="1" si="763"/>
        <v>0</v>
      </c>
      <c r="UB43" s="220">
        <f t="shared" ca="1" si="764"/>
        <v>0</v>
      </c>
      <c r="UC43" s="235">
        <f t="shared" ca="1" si="471"/>
        <v>0</v>
      </c>
      <c r="UD43" s="235">
        <f t="shared" ca="1" si="472"/>
        <v>0</v>
      </c>
      <c r="UE43" s="242">
        <f t="shared" ca="1" si="473"/>
        <v>0</v>
      </c>
      <c r="UF43" s="241">
        <f t="shared" ca="1" si="576"/>
        <v>1</v>
      </c>
      <c r="UG43" s="220">
        <f t="shared" ca="1" si="765"/>
        <v>0</v>
      </c>
      <c r="UH43" s="220">
        <f t="shared" ca="1" si="766"/>
        <v>0</v>
      </c>
      <c r="UI43" s="235">
        <f t="shared" ca="1" si="476"/>
        <v>0</v>
      </c>
      <c r="UJ43" s="235">
        <f t="shared" ca="1" si="477"/>
        <v>0</v>
      </c>
      <c r="UK43" s="242">
        <f t="shared" ca="1" si="478"/>
        <v>0</v>
      </c>
      <c r="UL43" s="241">
        <f t="shared" ca="1" si="576"/>
        <v>1</v>
      </c>
      <c r="UM43" s="220">
        <f t="shared" ca="1" si="767"/>
        <v>0</v>
      </c>
      <c r="UN43" s="220">
        <f t="shared" ca="1" si="768"/>
        <v>0</v>
      </c>
      <c r="UO43" s="235">
        <f t="shared" ca="1" si="481"/>
        <v>0</v>
      </c>
      <c r="UP43" s="235">
        <f t="shared" ca="1" si="482"/>
        <v>0</v>
      </c>
      <c r="UQ43" s="242">
        <f t="shared" ca="1" si="483"/>
        <v>0</v>
      </c>
      <c r="UR43" s="241">
        <f t="shared" ca="1" si="576"/>
        <v>1</v>
      </c>
      <c r="US43" s="220">
        <f t="shared" ca="1" si="769"/>
        <v>0</v>
      </c>
      <c r="UT43" s="220">
        <f t="shared" ca="1" si="770"/>
        <v>0</v>
      </c>
      <c r="UU43" s="235">
        <f t="shared" ca="1" si="486"/>
        <v>0</v>
      </c>
      <c r="UV43" s="235">
        <f t="shared" ca="1" si="487"/>
        <v>0</v>
      </c>
      <c r="UW43" s="242">
        <f t="shared" ca="1" si="488"/>
        <v>0</v>
      </c>
      <c r="UX43" s="241">
        <f t="shared" ca="1" si="576"/>
        <v>1</v>
      </c>
      <c r="UY43" s="220">
        <f t="shared" ca="1" si="771"/>
        <v>0</v>
      </c>
      <c r="UZ43" s="220">
        <f t="shared" ca="1" si="772"/>
        <v>0</v>
      </c>
      <c r="VA43" s="235">
        <f t="shared" ca="1" si="491"/>
        <v>0</v>
      </c>
      <c r="VB43" s="235">
        <f t="shared" ca="1" si="492"/>
        <v>0</v>
      </c>
      <c r="VC43" s="242">
        <f t="shared" ca="1" si="493"/>
        <v>0</v>
      </c>
      <c r="VD43" s="241">
        <f t="shared" ca="1" si="574"/>
        <v>1</v>
      </c>
      <c r="VE43" s="220">
        <f t="shared" ca="1" si="773"/>
        <v>0</v>
      </c>
      <c r="VF43" s="220">
        <f t="shared" ca="1" si="774"/>
        <v>0</v>
      </c>
      <c r="VG43" s="235">
        <f t="shared" ca="1" si="496"/>
        <v>0</v>
      </c>
      <c r="VH43" s="235">
        <f t="shared" ca="1" si="497"/>
        <v>0</v>
      </c>
      <c r="VI43" s="242">
        <f t="shared" ca="1" si="498"/>
        <v>0</v>
      </c>
      <c r="VJ43" s="241">
        <f t="shared" ca="1" si="567"/>
        <v>1</v>
      </c>
      <c r="VK43" s="220">
        <f t="shared" ca="1" si="775"/>
        <v>0</v>
      </c>
      <c r="VL43" s="220">
        <f t="shared" ca="1" si="776"/>
        <v>0</v>
      </c>
      <c r="VM43" s="235">
        <f t="shared" ca="1" si="502"/>
        <v>0</v>
      </c>
      <c r="VN43" s="235">
        <f t="shared" ca="1" si="503"/>
        <v>0</v>
      </c>
      <c r="VO43" s="242">
        <f t="shared" ca="1" si="504"/>
        <v>0</v>
      </c>
      <c r="VP43" s="241">
        <f t="shared" ca="1" si="567"/>
        <v>1</v>
      </c>
      <c r="VQ43" s="220">
        <f t="shared" ca="1" si="777"/>
        <v>0</v>
      </c>
      <c r="VR43" s="220">
        <f t="shared" ca="1" si="778"/>
        <v>0</v>
      </c>
      <c r="VS43" s="235">
        <f t="shared" ca="1" si="507"/>
        <v>0</v>
      </c>
      <c r="VT43" s="235">
        <f t="shared" ca="1" si="508"/>
        <v>0</v>
      </c>
      <c r="VU43" s="242">
        <f t="shared" ca="1" si="509"/>
        <v>0</v>
      </c>
      <c r="VV43" s="241">
        <f t="shared" ca="1" si="578"/>
        <v>1</v>
      </c>
      <c r="VW43" s="220">
        <f t="shared" ca="1" si="779"/>
        <v>0</v>
      </c>
      <c r="VX43" s="220">
        <f t="shared" ca="1" si="780"/>
        <v>0</v>
      </c>
      <c r="VY43" s="235">
        <f t="shared" ca="1" si="512"/>
        <v>0</v>
      </c>
      <c r="VZ43" s="235">
        <f t="shared" ca="1" si="513"/>
        <v>0</v>
      </c>
      <c r="WA43" s="242">
        <f t="shared" ca="1" si="514"/>
        <v>0</v>
      </c>
      <c r="WB43" s="241">
        <f t="shared" ca="1" si="578"/>
        <v>1</v>
      </c>
      <c r="WC43" s="220">
        <f t="shared" ca="1" si="781"/>
        <v>0</v>
      </c>
      <c r="WD43" s="220">
        <f t="shared" ca="1" si="782"/>
        <v>0</v>
      </c>
      <c r="WE43" s="235">
        <f t="shared" ca="1" si="517"/>
        <v>0</v>
      </c>
      <c r="WF43" s="235">
        <f t="shared" ca="1" si="518"/>
        <v>0</v>
      </c>
      <c r="WG43" s="242">
        <f t="shared" ca="1" si="519"/>
        <v>0</v>
      </c>
      <c r="WH43" s="241">
        <f t="shared" ca="1" si="578"/>
        <v>1</v>
      </c>
      <c r="WI43" s="220">
        <f t="shared" ca="1" si="783"/>
        <v>0</v>
      </c>
      <c r="WJ43" s="220">
        <f t="shared" ca="1" si="784"/>
        <v>0</v>
      </c>
      <c r="WK43" s="235">
        <f t="shared" ca="1" si="522"/>
        <v>0</v>
      </c>
      <c r="WL43" s="235">
        <f t="shared" ca="1" si="523"/>
        <v>0</v>
      </c>
      <c r="WM43" s="242">
        <f t="shared" ca="1" si="524"/>
        <v>0</v>
      </c>
      <c r="WN43" s="241">
        <f t="shared" ca="1" si="578"/>
        <v>1</v>
      </c>
      <c r="WO43" s="220">
        <f t="shared" ca="1" si="785"/>
        <v>0</v>
      </c>
      <c r="WP43" s="220">
        <f t="shared" ca="1" si="786"/>
        <v>0</v>
      </c>
      <c r="WQ43" s="235">
        <f t="shared" ca="1" si="527"/>
        <v>0</v>
      </c>
      <c r="WR43" s="235">
        <f t="shared" ca="1" si="528"/>
        <v>0</v>
      </c>
      <c r="WS43" s="242">
        <f t="shared" ca="1" si="529"/>
        <v>0</v>
      </c>
      <c r="WT43" s="241">
        <f t="shared" ca="1" si="578"/>
        <v>1</v>
      </c>
      <c r="WU43" s="220">
        <f t="shared" ca="1" si="787"/>
        <v>0</v>
      </c>
      <c r="WV43" s="220">
        <f t="shared" ca="1" si="788"/>
        <v>0</v>
      </c>
      <c r="WW43" s="235">
        <f t="shared" ca="1" si="532"/>
        <v>0</v>
      </c>
      <c r="WX43" s="235">
        <f t="shared" ca="1" si="533"/>
        <v>0</v>
      </c>
      <c r="WY43" s="242">
        <f t="shared" ca="1" si="534"/>
        <v>0</v>
      </c>
      <c r="WZ43" s="241">
        <f t="shared" ca="1" si="578"/>
        <v>1</v>
      </c>
      <c r="XA43" s="220">
        <f t="shared" ca="1" si="789"/>
        <v>0</v>
      </c>
      <c r="XB43" s="220">
        <f t="shared" ca="1" si="790"/>
        <v>0</v>
      </c>
      <c r="XC43" s="235">
        <f t="shared" ca="1" si="537"/>
        <v>0</v>
      </c>
      <c r="XD43" s="235">
        <f t="shared" ca="1" si="538"/>
        <v>0</v>
      </c>
      <c r="XE43" s="242">
        <f t="shared" ca="1" si="539"/>
        <v>0</v>
      </c>
      <c r="XF43" s="241">
        <f t="shared" ca="1" si="578"/>
        <v>1</v>
      </c>
      <c r="XG43" s="220">
        <f t="shared" ca="1" si="791"/>
        <v>0</v>
      </c>
      <c r="XH43" s="220">
        <f t="shared" ca="1" si="792"/>
        <v>0</v>
      </c>
      <c r="XI43" s="235">
        <f t="shared" ca="1" si="542"/>
        <v>0</v>
      </c>
      <c r="XJ43" s="235">
        <f t="shared" ca="1" si="543"/>
        <v>0</v>
      </c>
      <c r="XK43" s="242">
        <f t="shared" ca="1" si="544"/>
        <v>0</v>
      </c>
    </row>
    <row r="44" spans="2:635" x14ac:dyDescent="0.25">
      <c r="B44" s="65">
        <f t="shared" ca="1" si="14"/>
        <v>2059</v>
      </c>
      <c r="C44" s="65" t="s">
        <v>741</v>
      </c>
      <c r="D44" s="77">
        <f t="shared" si="580"/>
        <v>0</v>
      </c>
      <c r="E44" s="77">
        <f t="shared" si="581"/>
        <v>0</v>
      </c>
      <c r="F44" s="77">
        <f t="shared" si="17"/>
        <v>0</v>
      </c>
      <c r="G44" s="77">
        <f t="shared" si="18"/>
        <v>0</v>
      </c>
      <c r="H44" s="15" t="e">
        <f t="shared" ca="1" si="582"/>
        <v>#REF!</v>
      </c>
      <c r="L44" s="326">
        <f t="shared" ca="1" si="583"/>
        <v>3.5000000000000003E-2</v>
      </c>
      <c r="M44" s="327">
        <f t="shared" ca="1" si="584"/>
        <v>3.5000000000000003E-2</v>
      </c>
      <c r="N44" s="322">
        <f t="shared" ca="1" si="579"/>
        <v>-36</v>
      </c>
      <c r="O44" s="322">
        <f t="shared" ca="1" si="585"/>
        <v>0</v>
      </c>
      <c r="P44" s="328">
        <f t="shared" ca="1" si="545"/>
        <v>0</v>
      </c>
      <c r="Q44" s="328">
        <f t="shared" ca="1" si="546"/>
        <v>0</v>
      </c>
      <c r="R44" s="328">
        <f t="shared" ca="1" si="547"/>
        <v>0</v>
      </c>
      <c r="S44" s="329">
        <f t="shared" ca="1" si="586"/>
        <v>0</v>
      </c>
      <c r="T44" s="329">
        <f t="shared" ca="1" si="587"/>
        <v>0</v>
      </c>
      <c r="U44" s="329">
        <f t="shared" ca="1" si="588"/>
        <v>0</v>
      </c>
      <c r="V44" s="320" t="e">
        <f t="shared" ca="1" si="589"/>
        <v>#REF!</v>
      </c>
      <c r="W44" s="320" t="e">
        <f t="shared" ca="1" si="560"/>
        <v>#REF!</v>
      </c>
      <c r="X44" s="320" t="e">
        <f t="shared" ca="1" si="590"/>
        <v>#REF!</v>
      </c>
      <c r="Y44" s="320" t="e">
        <f ca="1">INDEX(SC_ZA_HECMLumpSum,ZAIDX)</f>
        <v>#REF!</v>
      </c>
      <c r="Z44" s="320" t="e">
        <f t="shared" ca="1" si="591"/>
        <v>#REF!</v>
      </c>
      <c r="AA44" s="320">
        <f t="shared" ca="1" si="557"/>
        <v>0</v>
      </c>
      <c r="AB44" s="320" t="e">
        <f t="shared" ca="1" si="558"/>
        <v>#REF!</v>
      </c>
      <c r="AC44" s="330" t="e">
        <f t="shared" ca="1" si="559"/>
        <v>#REF!</v>
      </c>
      <c r="AD44" s="236" t="e">
        <f t="shared" ca="1" si="548"/>
        <v>#REF!</v>
      </c>
      <c r="AE44" s="320" t="e">
        <f t="shared" ca="1" si="561"/>
        <v>#REF!</v>
      </c>
      <c r="AF44" s="320" t="e">
        <f t="shared" ca="1" si="592"/>
        <v>#REF!</v>
      </c>
      <c r="AG44" s="320" t="e">
        <f t="shared" ca="1" si="549"/>
        <v>#REF!</v>
      </c>
      <c r="AH44" s="284" t="e">
        <f t="shared" ca="1" si="550"/>
        <v>#REF!</v>
      </c>
      <c r="AI44" s="318" t="e">
        <f t="shared" ca="1" si="551"/>
        <v>#REF!</v>
      </c>
      <c r="AJ44" s="331">
        <f t="shared" ca="1" si="575"/>
        <v>1</v>
      </c>
      <c r="AK44" s="220">
        <f t="shared" ca="1" si="593"/>
        <v>0</v>
      </c>
      <c r="AL44" s="220">
        <f t="shared" ca="1" si="594"/>
        <v>0</v>
      </c>
      <c r="AM44" s="235">
        <f t="shared" ca="1" si="554"/>
        <v>0</v>
      </c>
      <c r="AN44" s="235">
        <f t="shared" ca="1" si="555"/>
        <v>0</v>
      </c>
      <c r="AO44" s="242">
        <f t="shared" ca="1" si="556"/>
        <v>0</v>
      </c>
      <c r="AP44" s="241">
        <f t="shared" ca="1" si="575"/>
        <v>1</v>
      </c>
      <c r="AQ44" s="220">
        <f t="shared" ca="1" si="595"/>
        <v>0</v>
      </c>
      <c r="AR44" s="220">
        <f t="shared" ca="1" si="596"/>
        <v>0</v>
      </c>
      <c r="AS44" s="235">
        <f t="shared" ca="1" si="43"/>
        <v>0</v>
      </c>
      <c r="AT44" s="235">
        <f t="shared" ca="1" si="44"/>
        <v>0</v>
      </c>
      <c r="AU44" s="242">
        <f t="shared" ca="1" si="45"/>
        <v>0</v>
      </c>
      <c r="AV44" s="241">
        <f t="shared" ca="1" si="575"/>
        <v>1</v>
      </c>
      <c r="AW44" s="220">
        <f t="shared" ca="1" si="597"/>
        <v>0</v>
      </c>
      <c r="AX44" s="220">
        <f t="shared" ca="1" si="598"/>
        <v>0</v>
      </c>
      <c r="AY44" s="235">
        <f t="shared" ca="1" si="48"/>
        <v>0</v>
      </c>
      <c r="AZ44" s="235">
        <f t="shared" ca="1" si="49"/>
        <v>0</v>
      </c>
      <c r="BA44" s="242">
        <f t="shared" ca="1" si="50"/>
        <v>0</v>
      </c>
      <c r="BB44" s="241">
        <f t="shared" ca="1" si="575"/>
        <v>1</v>
      </c>
      <c r="BC44" s="220">
        <f t="shared" ca="1" si="599"/>
        <v>0</v>
      </c>
      <c r="BD44" s="220">
        <f t="shared" ca="1" si="600"/>
        <v>0</v>
      </c>
      <c r="BE44" s="235">
        <f t="shared" ca="1" si="54"/>
        <v>0</v>
      </c>
      <c r="BF44" s="235">
        <f t="shared" ca="1" si="55"/>
        <v>0</v>
      </c>
      <c r="BG44" s="242">
        <f t="shared" ca="1" si="56"/>
        <v>0</v>
      </c>
      <c r="BH44" s="241">
        <f t="shared" ca="1" si="575"/>
        <v>1</v>
      </c>
      <c r="BI44" s="220">
        <f t="shared" ca="1" si="601"/>
        <v>0</v>
      </c>
      <c r="BJ44" s="220">
        <f t="shared" ca="1" si="602"/>
        <v>0</v>
      </c>
      <c r="BK44" s="235">
        <f t="shared" ca="1" si="59"/>
        <v>0</v>
      </c>
      <c r="BL44" s="235">
        <f t="shared" ca="1" si="60"/>
        <v>0</v>
      </c>
      <c r="BM44" s="242">
        <f t="shared" ca="1" si="61"/>
        <v>0</v>
      </c>
      <c r="BN44" s="241">
        <f t="shared" ca="1" si="575"/>
        <v>1</v>
      </c>
      <c r="BO44" s="220">
        <f t="shared" ca="1" si="603"/>
        <v>0</v>
      </c>
      <c r="BP44" s="220">
        <f t="shared" ca="1" si="604"/>
        <v>0</v>
      </c>
      <c r="BQ44" s="235">
        <f t="shared" ca="1" si="64"/>
        <v>0</v>
      </c>
      <c r="BR44" s="235">
        <f t="shared" ca="1" si="65"/>
        <v>0</v>
      </c>
      <c r="BS44" s="242">
        <f t="shared" ca="1" si="66"/>
        <v>0</v>
      </c>
      <c r="BT44" s="241">
        <f t="shared" ca="1" si="575"/>
        <v>1</v>
      </c>
      <c r="BU44" s="220">
        <f t="shared" ca="1" si="605"/>
        <v>0</v>
      </c>
      <c r="BV44" s="220">
        <f t="shared" ca="1" si="606"/>
        <v>0</v>
      </c>
      <c r="BW44" s="235">
        <f t="shared" ca="1" si="69"/>
        <v>0</v>
      </c>
      <c r="BX44" s="235">
        <f t="shared" ca="1" si="70"/>
        <v>0</v>
      </c>
      <c r="BY44" s="242">
        <f t="shared" ca="1" si="71"/>
        <v>0</v>
      </c>
      <c r="BZ44" s="241">
        <f t="shared" ca="1" si="575"/>
        <v>1</v>
      </c>
      <c r="CA44" s="220">
        <f t="shared" ca="1" si="607"/>
        <v>0</v>
      </c>
      <c r="CB44" s="220">
        <f t="shared" ca="1" si="608"/>
        <v>0</v>
      </c>
      <c r="CC44" s="235">
        <f t="shared" ca="1" si="74"/>
        <v>0</v>
      </c>
      <c r="CD44" s="235">
        <f t="shared" ca="1" si="75"/>
        <v>0</v>
      </c>
      <c r="CE44" s="242">
        <f t="shared" ca="1" si="76"/>
        <v>0</v>
      </c>
      <c r="CF44" s="241">
        <f t="shared" ca="1" si="575"/>
        <v>1</v>
      </c>
      <c r="CG44" s="220">
        <f t="shared" ca="1" si="609"/>
        <v>0</v>
      </c>
      <c r="CH44" s="220">
        <f t="shared" ca="1" si="610"/>
        <v>0</v>
      </c>
      <c r="CI44" s="235">
        <f t="shared" ca="1" si="79"/>
        <v>0</v>
      </c>
      <c r="CJ44" s="235">
        <f t="shared" ca="1" si="80"/>
        <v>0</v>
      </c>
      <c r="CK44" s="242">
        <f t="shared" ca="1" si="81"/>
        <v>0</v>
      </c>
      <c r="CL44" s="241">
        <f t="shared" ca="1" si="575"/>
        <v>1</v>
      </c>
      <c r="CM44" s="220">
        <f t="shared" ca="1" si="611"/>
        <v>0</v>
      </c>
      <c r="CN44" s="220">
        <f t="shared" ca="1" si="612"/>
        <v>0</v>
      </c>
      <c r="CO44" s="235">
        <f t="shared" ca="1" si="84"/>
        <v>0</v>
      </c>
      <c r="CP44" s="235">
        <f t="shared" ca="1" si="85"/>
        <v>0</v>
      </c>
      <c r="CQ44" s="242">
        <f t="shared" ca="1" si="86"/>
        <v>0</v>
      </c>
      <c r="CR44" s="241">
        <f t="shared" ca="1" si="575"/>
        <v>1</v>
      </c>
      <c r="CS44" s="220">
        <f t="shared" ca="1" si="613"/>
        <v>0</v>
      </c>
      <c r="CT44" s="220">
        <f t="shared" ca="1" si="614"/>
        <v>0</v>
      </c>
      <c r="CU44" s="235">
        <f t="shared" ca="1" si="89"/>
        <v>0</v>
      </c>
      <c r="CV44" s="235">
        <f t="shared" ca="1" si="90"/>
        <v>0</v>
      </c>
      <c r="CW44" s="242">
        <f t="shared" ca="1" si="91"/>
        <v>0</v>
      </c>
      <c r="CX44" s="241">
        <f t="shared" ca="1" si="568"/>
        <v>1</v>
      </c>
      <c r="CY44" s="220">
        <f t="shared" ca="1" si="615"/>
        <v>0</v>
      </c>
      <c r="CZ44" s="220">
        <f t="shared" ca="1" si="616"/>
        <v>0</v>
      </c>
      <c r="DA44" s="235">
        <f t="shared" ca="1" si="94"/>
        <v>0</v>
      </c>
      <c r="DB44" s="235">
        <f t="shared" ca="1" si="95"/>
        <v>0</v>
      </c>
      <c r="DC44" s="242">
        <f t="shared" ca="1" si="96"/>
        <v>0</v>
      </c>
      <c r="DD44" s="241">
        <f t="shared" ca="1" si="568"/>
        <v>1</v>
      </c>
      <c r="DE44" s="220">
        <f t="shared" ca="1" si="617"/>
        <v>0</v>
      </c>
      <c r="DF44" s="220">
        <f t="shared" ca="1" si="618"/>
        <v>0</v>
      </c>
      <c r="DG44" s="235">
        <f t="shared" ca="1" si="99"/>
        <v>0</v>
      </c>
      <c r="DH44" s="235">
        <f t="shared" ca="1" si="100"/>
        <v>0</v>
      </c>
      <c r="DI44" s="242">
        <f t="shared" ca="1" si="101"/>
        <v>0</v>
      </c>
      <c r="DJ44" s="241">
        <f t="shared" ca="1" si="51"/>
        <v>1</v>
      </c>
      <c r="DK44" s="220">
        <f t="shared" ca="1" si="619"/>
        <v>0</v>
      </c>
      <c r="DL44" s="220">
        <f t="shared" ca="1" si="620"/>
        <v>0</v>
      </c>
      <c r="DM44" s="235">
        <f t="shared" ca="1" si="104"/>
        <v>0</v>
      </c>
      <c r="DN44" s="235">
        <f t="shared" ca="1" si="105"/>
        <v>0</v>
      </c>
      <c r="DO44" s="242">
        <f t="shared" ca="1" si="106"/>
        <v>0</v>
      </c>
      <c r="DP44" s="241">
        <f t="shared" ca="1" si="569"/>
        <v>1</v>
      </c>
      <c r="DQ44" s="220">
        <f t="shared" ca="1" si="621"/>
        <v>0</v>
      </c>
      <c r="DR44" s="220">
        <f t="shared" ca="1" si="622"/>
        <v>0</v>
      </c>
      <c r="DS44" s="235">
        <f t="shared" ca="1" si="110"/>
        <v>0</v>
      </c>
      <c r="DT44" s="235">
        <f t="shared" ca="1" si="111"/>
        <v>0</v>
      </c>
      <c r="DU44" s="242">
        <f t="shared" ca="1" si="112"/>
        <v>0</v>
      </c>
      <c r="DV44" s="241">
        <f t="shared" ca="1" si="569"/>
        <v>1</v>
      </c>
      <c r="DW44" s="220">
        <f t="shared" ca="1" si="623"/>
        <v>0</v>
      </c>
      <c r="DX44" s="220">
        <f t="shared" ca="1" si="624"/>
        <v>0</v>
      </c>
      <c r="DY44" s="235">
        <f t="shared" ca="1" si="115"/>
        <v>0</v>
      </c>
      <c r="DZ44" s="235">
        <f t="shared" ca="1" si="116"/>
        <v>0</v>
      </c>
      <c r="EA44" s="242">
        <f t="shared" ca="1" si="117"/>
        <v>0</v>
      </c>
      <c r="EB44" s="241">
        <f t="shared" ca="1" si="569"/>
        <v>1</v>
      </c>
      <c r="EC44" s="220">
        <f t="shared" ca="1" si="625"/>
        <v>0</v>
      </c>
      <c r="ED44" s="220">
        <f t="shared" ca="1" si="626"/>
        <v>0</v>
      </c>
      <c r="EE44" s="235">
        <f t="shared" ca="1" si="120"/>
        <v>0</v>
      </c>
      <c r="EF44" s="235">
        <f t="shared" ca="1" si="121"/>
        <v>0</v>
      </c>
      <c r="EG44" s="242">
        <f t="shared" ca="1" si="122"/>
        <v>0</v>
      </c>
      <c r="EH44" s="241">
        <f t="shared" ca="1" si="569"/>
        <v>1</v>
      </c>
      <c r="EI44" s="220">
        <f t="shared" ca="1" si="627"/>
        <v>0</v>
      </c>
      <c r="EJ44" s="220">
        <f t="shared" ca="1" si="628"/>
        <v>0</v>
      </c>
      <c r="EK44" s="235">
        <f t="shared" ca="1" si="125"/>
        <v>0</v>
      </c>
      <c r="EL44" s="235">
        <f t="shared" ca="1" si="126"/>
        <v>0</v>
      </c>
      <c r="EM44" s="242">
        <f t="shared" ca="1" si="127"/>
        <v>0</v>
      </c>
      <c r="EN44" s="241">
        <f t="shared" ca="1" si="569"/>
        <v>1</v>
      </c>
      <c r="EO44" s="220">
        <f t="shared" ca="1" si="629"/>
        <v>0</v>
      </c>
      <c r="EP44" s="220">
        <f t="shared" ca="1" si="630"/>
        <v>0</v>
      </c>
      <c r="EQ44" s="235">
        <f t="shared" ca="1" si="130"/>
        <v>0</v>
      </c>
      <c r="ER44" s="235">
        <f t="shared" ca="1" si="131"/>
        <v>0</v>
      </c>
      <c r="ES44" s="242">
        <f t="shared" ca="1" si="132"/>
        <v>0</v>
      </c>
      <c r="ET44" s="241">
        <f t="shared" ca="1" si="569"/>
        <v>1</v>
      </c>
      <c r="EU44" s="220">
        <f t="shared" ca="1" si="631"/>
        <v>0</v>
      </c>
      <c r="EV44" s="220">
        <f t="shared" ca="1" si="632"/>
        <v>0</v>
      </c>
      <c r="EW44" s="235">
        <f t="shared" ca="1" si="135"/>
        <v>0</v>
      </c>
      <c r="EX44" s="235">
        <f t="shared" ca="1" si="136"/>
        <v>0</v>
      </c>
      <c r="EY44" s="242">
        <f t="shared" ca="1" si="137"/>
        <v>0</v>
      </c>
      <c r="EZ44" s="241">
        <f t="shared" ca="1" si="569"/>
        <v>1</v>
      </c>
      <c r="FA44" s="220">
        <f t="shared" ca="1" si="633"/>
        <v>0</v>
      </c>
      <c r="FB44" s="220">
        <f t="shared" ca="1" si="634"/>
        <v>0</v>
      </c>
      <c r="FC44" s="235">
        <f t="shared" ca="1" si="140"/>
        <v>0</v>
      </c>
      <c r="FD44" s="235">
        <f t="shared" ca="1" si="141"/>
        <v>0</v>
      </c>
      <c r="FE44" s="242">
        <f t="shared" ca="1" si="142"/>
        <v>0</v>
      </c>
      <c r="FF44" s="241">
        <f t="shared" ca="1" si="569"/>
        <v>1</v>
      </c>
      <c r="FG44" s="220">
        <f t="shared" ca="1" si="635"/>
        <v>0</v>
      </c>
      <c r="FH44" s="220">
        <f t="shared" ca="1" si="636"/>
        <v>0</v>
      </c>
      <c r="FI44" s="235">
        <f t="shared" ca="1" si="145"/>
        <v>0</v>
      </c>
      <c r="FJ44" s="235">
        <f t="shared" ca="1" si="146"/>
        <v>0</v>
      </c>
      <c r="FK44" s="242">
        <f t="shared" ca="1" si="147"/>
        <v>0</v>
      </c>
      <c r="FL44" s="241">
        <f t="shared" ca="1" si="569"/>
        <v>1</v>
      </c>
      <c r="FM44" s="220">
        <f t="shared" ca="1" si="637"/>
        <v>0</v>
      </c>
      <c r="FN44" s="220">
        <f t="shared" ca="1" si="638"/>
        <v>0</v>
      </c>
      <c r="FO44" s="235">
        <f t="shared" ca="1" si="150"/>
        <v>0</v>
      </c>
      <c r="FP44" s="235">
        <f t="shared" ca="1" si="151"/>
        <v>0</v>
      </c>
      <c r="FQ44" s="242">
        <f t="shared" ca="1" si="152"/>
        <v>0</v>
      </c>
      <c r="FR44" s="241">
        <f t="shared" ca="1" si="569"/>
        <v>1</v>
      </c>
      <c r="FS44" s="220">
        <f t="shared" ca="1" si="639"/>
        <v>0</v>
      </c>
      <c r="FT44" s="220">
        <f t="shared" ca="1" si="640"/>
        <v>0</v>
      </c>
      <c r="FU44" s="235">
        <f t="shared" ca="1" si="155"/>
        <v>0</v>
      </c>
      <c r="FV44" s="235">
        <f t="shared" ca="1" si="156"/>
        <v>0</v>
      </c>
      <c r="FW44" s="242">
        <f t="shared" ca="1" si="157"/>
        <v>0</v>
      </c>
      <c r="FX44" s="241">
        <f t="shared" ca="1" si="569"/>
        <v>1</v>
      </c>
      <c r="FY44" s="220">
        <f t="shared" ca="1" si="641"/>
        <v>0</v>
      </c>
      <c r="FZ44" s="220">
        <f t="shared" ca="1" si="642"/>
        <v>0</v>
      </c>
      <c r="GA44" s="235">
        <f t="shared" ca="1" si="160"/>
        <v>0</v>
      </c>
      <c r="GB44" s="235">
        <f t="shared" ca="1" si="161"/>
        <v>0</v>
      </c>
      <c r="GC44" s="242">
        <f t="shared" ca="1" si="162"/>
        <v>0</v>
      </c>
      <c r="GD44" s="241">
        <f t="shared" ca="1" si="562"/>
        <v>1</v>
      </c>
      <c r="GE44" s="220">
        <f t="shared" ca="1" si="643"/>
        <v>0</v>
      </c>
      <c r="GF44" s="220">
        <f t="shared" ca="1" si="644"/>
        <v>0</v>
      </c>
      <c r="GG44" s="235">
        <f t="shared" ca="1" si="166"/>
        <v>0</v>
      </c>
      <c r="GH44" s="235">
        <f t="shared" ca="1" si="167"/>
        <v>0</v>
      </c>
      <c r="GI44" s="242">
        <f t="shared" ca="1" si="168"/>
        <v>0</v>
      </c>
      <c r="GJ44" s="241">
        <f t="shared" ca="1" si="562"/>
        <v>1</v>
      </c>
      <c r="GK44" s="220">
        <f t="shared" ca="1" si="645"/>
        <v>0</v>
      </c>
      <c r="GL44" s="220">
        <f t="shared" ca="1" si="646"/>
        <v>0</v>
      </c>
      <c r="GM44" s="235">
        <f t="shared" ca="1" si="171"/>
        <v>0</v>
      </c>
      <c r="GN44" s="235">
        <f t="shared" ca="1" si="172"/>
        <v>0</v>
      </c>
      <c r="GO44" s="242">
        <f t="shared" ca="1" si="173"/>
        <v>0</v>
      </c>
      <c r="GP44" s="241">
        <f t="shared" ca="1" si="570"/>
        <v>1</v>
      </c>
      <c r="GQ44" s="220">
        <f t="shared" ca="1" si="647"/>
        <v>0</v>
      </c>
      <c r="GR44" s="220">
        <f t="shared" ca="1" si="648"/>
        <v>0</v>
      </c>
      <c r="GS44" s="235">
        <f t="shared" ca="1" si="176"/>
        <v>0</v>
      </c>
      <c r="GT44" s="235">
        <f t="shared" ca="1" si="177"/>
        <v>0</v>
      </c>
      <c r="GU44" s="242">
        <f t="shared" ca="1" si="178"/>
        <v>0</v>
      </c>
      <c r="GV44" s="241">
        <f t="shared" ca="1" si="570"/>
        <v>1</v>
      </c>
      <c r="GW44" s="220">
        <f t="shared" ca="1" si="649"/>
        <v>0</v>
      </c>
      <c r="GX44" s="220">
        <f t="shared" ca="1" si="650"/>
        <v>0</v>
      </c>
      <c r="GY44" s="235">
        <f t="shared" ca="1" si="181"/>
        <v>0</v>
      </c>
      <c r="GZ44" s="235">
        <f t="shared" ca="1" si="182"/>
        <v>0</v>
      </c>
      <c r="HA44" s="242">
        <f t="shared" ca="1" si="183"/>
        <v>0</v>
      </c>
      <c r="HB44" s="241">
        <f t="shared" ca="1" si="570"/>
        <v>1</v>
      </c>
      <c r="HC44" s="220">
        <f t="shared" ca="1" si="651"/>
        <v>0</v>
      </c>
      <c r="HD44" s="220">
        <f t="shared" ca="1" si="652"/>
        <v>0</v>
      </c>
      <c r="HE44" s="235">
        <f t="shared" ca="1" si="186"/>
        <v>0</v>
      </c>
      <c r="HF44" s="235">
        <f t="shared" ca="1" si="187"/>
        <v>0</v>
      </c>
      <c r="HG44" s="242">
        <f t="shared" ca="1" si="188"/>
        <v>0</v>
      </c>
      <c r="HH44" s="241">
        <f t="shared" ca="1" si="570"/>
        <v>1</v>
      </c>
      <c r="HI44" s="220">
        <f t="shared" ca="1" si="653"/>
        <v>0</v>
      </c>
      <c r="HJ44" s="220">
        <f t="shared" ca="1" si="654"/>
        <v>0</v>
      </c>
      <c r="HK44" s="235">
        <f t="shared" ca="1" si="191"/>
        <v>0</v>
      </c>
      <c r="HL44" s="235">
        <f t="shared" ca="1" si="192"/>
        <v>0</v>
      </c>
      <c r="HM44" s="242">
        <f t="shared" ca="1" si="193"/>
        <v>0</v>
      </c>
      <c r="HN44" s="241">
        <f t="shared" ca="1" si="570"/>
        <v>1</v>
      </c>
      <c r="HO44" s="220">
        <f t="shared" ca="1" si="655"/>
        <v>0</v>
      </c>
      <c r="HP44" s="220">
        <f t="shared" ca="1" si="656"/>
        <v>0</v>
      </c>
      <c r="HQ44" s="235">
        <f t="shared" ca="1" si="196"/>
        <v>0</v>
      </c>
      <c r="HR44" s="235">
        <f t="shared" ca="1" si="197"/>
        <v>0</v>
      </c>
      <c r="HS44" s="242">
        <f t="shared" ca="1" si="198"/>
        <v>0</v>
      </c>
      <c r="HT44" s="241">
        <f t="shared" ca="1" si="570"/>
        <v>1</v>
      </c>
      <c r="HU44" s="220">
        <f t="shared" ca="1" si="657"/>
        <v>0</v>
      </c>
      <c r="HV44" s="220">
        <f t="shared" ca="1" si="658"/>
        <v>0</v>
      </c>
      <c r="HW44" s="235">
        <f t="shared" ca="1" si="201"/>
        <v>0</v>
      </c>
      <c r="HX44" s="235">
        <f t="shared" ca="1" si="202"/>
        <v>0</v>
      </c>
      <c r="HY44" s="242">
        <f t="shared" ca="1" si="203"/>
        <v>0</v>
      </c>
      <c r="HZ44" s="241">
        <f t="shared" ca="1" si="570"/>
        <v>1</v>
      </c>
      <c r="IA44" s="220">
        <f t="shared" ca="1" si="659"/>
        <v>0</v>
      </c>
      <c r="IB44" s="220">
        <f t="shared" ca="1" si="660"/>
        <v>0</v>
      </c>
      <c r="IC44" s="235">
        <f t="shared" ca="1" si="206"/>
        <v>0</v>
      </c>
      <c r="ID44" s="235">
        <f t="shared" ca="1" si="207"/>
        <v>0</v>
      </c>
      <c r="IE44" s="242">
        <f t="shared" ca="1" si="208"/>
        <v>0</v>
      </c>
      <c r="IF44" s="241">
        <f t="shared" ca="1" si="570"/>
        <v>1</v>
      </c>
      <c r="IG44" s="220">
        <f t="shared" ca="1" si="661"/>
        <v>0</v>
      </c>
      <c r="IH44" s="220">
        <f t="shared" ca="1" si="662"/>
        <v>0</v>
      </c>
      <c r="II44" s="235">
        <f t="shared" ca="1" si="211"/>
        <v>0</v>
      </c>
      <c r="IJ44" s="235">
        <f t="shared" ca="1" si="212"/>
        <v>0</v>
      </c>
      <c r="IK44" s="242">
        <f t="shared" ca="1" si="213"/>
        <v>0</v>
      </c>
      <c r="IL44" s="241">
        <f t="shared" ca="1" si="570"/>
        <v>1</v>
      </c>
      <c r="IM44" s="220">
        <f t="shared" ca="1" si="663"/>
        <v>0</v>
      </c>
      <c r="IN44" s="220">
        <f t="shared" ca="1" si="664"/>
        <v>0</v>
      </c>
      <c r="IO44" s="235">
        <f t="shared" ca="1" si="216"/>
        <v>0</v>
      </c>
      <c r="IP44" s="235">
        <f t="shared" ca="1" si="217"/>
        <v>0</v>
      </c>
      <c r="IQ44" s="242">
        <f t="shared" ca="1" si="218"/>
        <v>0</v>
      </c>
      <c r="IR44" s="241">
        <f t="shared" ca="1" si="570"/>
        <v>1</v>
      </c>
      <c r="IS44" s="220">
        <f t="shared" ca="1" si="665"/>
        <v>0</v>
      </c>
      <c r="IT44" s="220">
        <f t="shared" ca="1" si="666"/>
        <v>0</v>
      </c>
      <c r="IU44" s="235">
        <f t="shared" ca="1" si="222"/>
        <v>0</v>
      </c>
      <c r="IV44" s="235">
        <f t="shared" ca="1" si="223"/>
        <v>0</v>
      </c>
      <c r="IW44" s="242">
        <f t="shared" ca="1" si="224"/>
        <v>0</v>
      </c>
      <c r="IX44" s="241">
        <f t="shared" ca="1" si="570"/>
        <v>1</v>
      </c>
      <c r="IY44" s="220">
        <f t="shared" ca="1" si="667"/>
        <v>0</v>
      </c>
      <c r="IZ44" s="220">
        <f t="shared" ca="1" si="668"/>
        <v>0</v>
      </c>
      <c r="JA44" s="235">
        <f t="shared" ca="1" si="227"/>
        <v>0</v>
      </c>
      <c r="JB44" s="235">
        <f t="shared" ca="1" si="228"/>
        <v>0</v>
      </c>
      <c r="JC44" s="242">
        <f t="shared" ca="1" si="229"/>
        <v>0</v>
      </c>
      <c r="JD44" s="241">
        <f t="shared" ca="1" si="563"/>
        <v>1</v>
      </c>
      <c r="JE44" s="220">
        <f t="shared" ca="1" si="669"/>
        <v>0</v>
      </c>
      <c r="JF44" s="220">
        <f t="shared" ca="1" si="670"/>
        <v>0</v>
      </c>
      <c r="JG44" s="235">
        <f t="shared" ca="1" si="232"/>
        <v>0</v>
      </c>
      <c r="JH44" s="235">
        <f t="shared" ca="1" si="233"/>
        <v>0</v>
      </c>
      <c r="JI44" s="242">
        <f t="shared" ca="1" si="234"/>
        <v>0</v>
      </c>
      <c r="JJ44" s="241">
        <f t="shared" ca="1" si="563"/>
        <v>1</v>
      </c>
      <c r="JK44" s="220">
        <f t="shared" ca="1" si="671"/>
        <v>0</v>
      </c>
      <c r="JL44" s="220">
        <f t="shared" ca="1" si="672"/>
        <v>0</v>
      </c>
      <c r="JM44" s="235">
        <f t="shared" ca="1" si="237"/>
        <v>0</v>
      </c>
      <c r="JN44" s="235">
        <f t="shared" ca="1" si="238"/>
        <v>0</v>
      </c>
      <c r="JO44" s="242">
        <f t="shared" ca="1" si="239"/>
        <v>0</v>
      </c>
      <c r="JP44" s="241">
        <f t="shared" ca="1" si="571"/>
        <v>1</v>
      </c>
      <c r="JQ44" s="220">
        <f t="shared" ca="1" si="673"/>
        <v>0</v>
      </c>
      <c r="JR44" s="220">
        <f t="shared" ca="1" si="674"/>
        <v>0</v>
      </c>
      <c r="JS44" s="235">
        <f t="shared" ca="1" si="242"/>
        <v>0</v>
      </c>
      <c r="JT44" s="235">
        <f t="shared" ca="1" si="243"/>
        <v>0</v>
      </c>
      <c r="JU44" s="242">
        <f t="shared" ca="1" si="244"/>
        <v>0</v>
      </c>
      <c r="JV44" s="241">
        <f t="shared" ca="1" si="571"/>
        <v>1</v>
      </c>
      <c r="JW44" s="220">
        <f t="shared" ca="1" si="675"/>
        <v>0</v>
      </c>
      <c r="JX44" s="220">
        <f t="shared" ca="1" si="676"/>
        <v>0</v>
      </c>
      <c r="JY44" s="235">
        <f t="shared" ca="1" si="247"/>
        <v>0</v>
      </c>
      <c r="JZ44" s="235">
        <f t="shared" ca="1" si="248"/>
        <v>0</v>
      </c>
      <c r="KA44" s="242">
        <f t="shared" ca="1" si="249"/>
        <v>0</v>
      </c>
      <c r="KB44" s="241">
        <f t="shared" ca="1" si="571"/>
        <v>1</v>
      </c>
      <c r="KC44" s="220">
        <f t="shared" ca="1" si="677"/>
        <v>0</v>
      </c>
      <c r="KD44" s="220">
        <f t="shared" ca="1" si="678"/>
        <v>0</v>
      </c>
      <c r="KE44" s="235">
        <f t="shared" ca="1" si="252"/>
        <v>0</v>
      </c>
      <c r="KF44" s="235">
        <f t="shared" ca="1" si="253"/>
        <v>0</v>
      </c>
      <c r="KG44" s="242">
        <f t="shared" ca="1" si="254"/>
        <v>0</v>
      </c>
      <c r="KH44" s="241">
        <f t="shared" ca="1" si="571"/>
        <v>1</v>
      </c>
      <c r="KI44" s="220">
        <f t="shared" ca="1" si="679"/>
        <v>0</v>
      </c>
      <c r="KJ44" s="220">
        <f t="shared" ca="1" si="680"/>
        <v>0</v>
      </c>
      <c r="KK44" s="235">
        <f t="shared" ca="1" si="257"/>
        <v>0</v>
      </c>
      <c r="KL44" s="235">
        <f t="shared" ca="1" si="258"/>
        <v>0</v>
      </c>
      <c r="KM44" s="242">
        <f t="shared" ca="1" si="259"/>
        <v>0</v>
      </c>
      <c r="KN44" s="241">
        <f t="shared" ca="1" si="571"/>
        <v>1</v>
      </c>
      <c r="KO44" s="220">
        <f t="shared" ca="1" si="681"/>
        <v>0</v>
      </c>
      <c r="KP44" s="220">
        <f t="shared" ca="1" si="682"/>
        <v>0</v>
      </c>
      <c r="KQ44" s="235">
        <f t="shared" ca="1" si="262"/>
        <v>0</v>
      </c>
      <c r="KR44" s="235">
        <f t="shared" ca="1" si="263"/>
        <v>0</v>
      </c>
      <c r="KS44" s="242">
        <f t="shared" ca="1" si="264"/>
        <v>0</v>
      </c>
      <c r="KT44" s="241">
        <f t="shared" ca="1" si="571"/>
        <v>1</v>
      </c>
      <c r="KU44" s="220">
        <f t="shared" ca="1" si="683"/>
        <v>0</v>
      </c>
      <c r="KV44" s="220">
        <f t="shared" ca="1" si="684"/>
        <v>0</v>
      </c>
      <c r="KW44" s="235">
        <f t="shared" ca="1" si="267"/>
        <v>0</v>
      </c>
      <c r="KX44" s="235">
        <f t="shared" ca="1" si="268"/>
        <v>0</v>
      </c>
      <c r="KY44" s="242">
        <f t="shared" ca="1" si="269"/>
        <v>0</v>
      </c>
      <c r="KZ44" s="241">
        <f t="shared" ca="1" si="571"/>
        <v>1</v>
      </c>
      <c r="LA44" s="220">
        <f t="shared" ca="1" si="685"/>
        <v>0</v>
      </c>
      <c r="LB44" s="220">
        <f t="shared" ca="1" si="686"/>
        <v>0</v>
      </c>
      <c r="LC44" s="235">
        <f t="shared" ca="1" si="272"/>
        <v>0</v>
      </c>
      <c r="LD44" s="235">
        <f t="shared" ca="1" si="273"/>
        <v>0</v>
      </c>
      <c r="LE44" s="242">
        <f t="shared" ca="1" si="274"/>
        <v>0</v>
      </c>
      <c r="LF44" s="241">
        <f t="shared" ca="1" si="571"/>
        <v>1</v>
      </c>
      <c r="LG44" s="220">
        <f t="shared" ca="1" si="687"/>
        <v>0</v>
      </c>
      <c r="LH44" s="220">
        <f t="shared" ca="1" si="688"/>
        <v>0</v>
      </c>
      <c r="LI44" s="235">
        <f t="shared" ca="1" si="278"/>
        <v>0</v>
      </c>
      <c r="LJ44" s="235">
        <f t="shared" ca="1" si="279"/>
        <v>0</v>
      </c>
      <c r="LK44" s="242">
        <f t="shared" ca="1" si="280"/>
        <v>0</v>
      </c>
      <c r="LL44" s="241">
        <f t="shared" ca="1" si="571"/>
        <v>1</v>
      </c>
      <c r="LM44" s="220">
        <f t="shared" ca="1" si="689"/>
        <v>0</v>
      </c>
      <c r="LN44" s="220">
        <f t="shared" ca="1" si="690"/>
        <v>0</v>
      </c>
      <c r="LO44" s="235">
        <f t="shared" ca="1" si="283"/>
        <v>0</v>
      </c>
      <c r="LP44" s="235">
        <f t="shared" ca="1" si="284"/>
        <v>0</v>
      </c>
      <c r="LQ44" s="242">
        <f t="shared" ca="1" si="285"/>
        <v>0</v>
      </c>
      <c r="LR44" s="241">
        <f t="shared" ca="1" si="571"/>
        <v>1</v>
      </c>
      <c r="LS44" s="220">
        <f t="shared" ca="1" si="691"/>
        <v>0</v>
      </c>
      <c r="LT44" s="220">
        <f t="shared" ca="1" si="692"/>
        <v>0</v>
      </c>
      <c r="LU44" s="235">
        <f t="shared" ca="1" si="288"/>
        <v>0</v>
      </c>
      <c r="LV44" s="235">
        <f t="shared" ca="1" si="289"/>
        <v>0</v>
      </c>
      <c r="LW44" s="242">
        <f t="shared" ca="1" si="290"/>
        <v>0</v>
      </c>
      <c r="LX44" s="241">
        <f t="shared" ca="1" si="571"/>
        <v>1</v>
      </c>
      <c r="LY44" s="220">
        <f t="shared" ca="1" si="693"/>
        <v>0</v>
      </c>
      <c r="LZ44" s="220">
        <f t="shared" ca="1" si="694"/>
        <v>0</v>
      </c>
      <c r="MA44" s="235">
        <f t="shared" ca="1" si="293"/>
        <v>0</v>
      </c>
      <c r="MB44" s="235">
        <f t="shared" ca="1" si="294"/>
        <v>0</v>
      </c>
      <c r="MC44" s="242">
        <f t="shared" ca="1" si="295"/>
        <v>0</v>
      </c>
      <c r="MD44" s="241">
        <f t="shared" ca="1" si="564"/>
        <v>1</v>
      </c>
      <c r="ME44" s="220">
        <f t="shared" ca="1" si="695"/>
        <v>0</v>
      </c>
      <c r="MF44" s="220">
        <f t="shared" ca="1" si="696"/>
        <v>0</v>
      </c>
      <c r="MG44" s="235">
        <f t="shared" ca="1" si="298"/>
        <v>0</v>
      </c>
      <c r="MH44" s="235">
        <f t="shared" ca="1" si="299"/>
        <v>0</v>
      </c>
      <c r="MI44" s="242">
        <f t="shared" ca="1" si="300"/>
        <v>0</v>
      </c>
      <c r="MJ44" s="241">
        <f t="shared" ca="1" si="564"/>
        <v>1</v>
      </c>
      <c r="MK44" s="220">
        <f t="shared" ca="1" si="697"/>
        <v>0</v>
      </c>
      <c r="ML44" s="220">
        <f t="shared" ca="1" si="698"/>
        <v>0</v>
      </c>
      <c r="MM44" s="235">
        <f t="shared" ca="1" si="303"/>
        <v>0</v>
      </c>
      <c r="MN44" s="235">
        <f t="shared" ca="1" si="304"/>
        <v>0</v>
      </c>
      <c r="MO44" s="242">
        <f t="shared" ca="1" si="305"/>
        <v>0</v>
      </c>
      <c r="MP44" s="241">
        <f t="shared" ca="1" si="572"/>
        <v>1</v>
      </c>
      <c r="MQ44" s="220">
        <f t="shared" ca="1" si="699"/>
        <v>0</v>
      </c>
      <c r="MR44" s="220">
        <f t="shared" ca="1" si="700"/>
        <v>0</v>
      </c>
      <c r="MS44" s="235">
        <f t="shared" ca="1" si="308"/>
        <v>0</v>
      </c>
      <c r="MT44" s="235">
        <f t="shared" ca="1" si="309"/>
        <v>0</v>
      </c>
      <c r="MU44" s="242">
        <f t="shared" ca="1" si="310"/>
        <v>0</v>
      </c>
      <c r="MV44" s="241">
        <f t="shared" ca="1" si="572"/>
        <v>1</v>
      </c>
      <c r="MW44" s="220">
        <f t="shared" ca="1" si="701"/>
        <v>0</v>
      </c>
      <c r="MX44" s="220">
        <f t="shared" ca="1" si="702"/>
        <v>0</v>
      </c>
      <c r="MY44" s="235">
        <f t="shared" ca="1" si="313"/>
        <v>0</v>
      </c>
      <c r="MZ44" s="235">
        <f t="shared" ca="1" si="314"/>
        <v>0</v>
      </c>
      <c r="NA44" s="242">
        <f t="shared" ca="1" si="315"/>
        <v>0</v>
      </c>
      <c r="NB44" s="241">
        <f t="shared" ca="1" si="572"/>
        <v>1</v>
      </c>
      <c r="NC44" s="220">
        <f t="shared" ca="1" si="703"/>
        <v>0</v>
      </c>
      <c r="ND44" s="220">
        <f t="shared" ca="1" si="704"/>
        <v>0</v>
      </c>
      <c r="NE44" s="235">
        <f t="shared" ca="1" si="318"/>
        <v>0</v>
      </c>
      <c r="NF44" s="235">
        <f t="shared" ca="1" si="319"/>
        <v>0</v>
      </c>
      <c r="NG44" s="242">
        <f t="shared" ca="1" si="320"/>
        <v>0</v>
      </c>
      <c r="NH44" s="241">
        <f t="shared" ca="1" si="572"/>
        <v>1</v>
      </c>
      <c r="NI44" s="220">
        <f t="shared" ca="1" si="705"/>
        <v>0</v>
      </c>
      <c r="NJ44" s="220">
        <f t="shared" ca="1" si="706"/>
        <v>0</v>
      </c>
      <c r="NK44" s="235">
        <f t="shared" ca="1" si="323"/>
        <v>0</v>
      </c>
      <c r="NL44" s="235">
        <f t="shared" ca="1" si="324"/>
        <v>0</v>
      </c>
      <c r="NM44" s="242">
        <f t="shared" ca="1" si="325"/>
        <v>0</v>
      </c>
      <c r="NN44" s="241">
        <f t="shared" ca="1" si="572"/>
        <v>1</v>
      </c>
      <c r="NO44" s="220">
        <f t="shared" ca="1" si="707"/>
        <v>0</v>
      </c>
      <c r="NP44" s="220">
        <f t="shared" ca="1" si="708"/>
        <v>0</v>
      </c>
      <c r="NQ44" s="235">
        <f t="shared" ca="1" si="328"/>
        <v>0</v>
      </c>
      <c r="NR44" s="235">
        <f t="shared" ca="1" si="329"/>
        <v>0</v>
      </c>
      <c r="NS44" s="242">
        <f t="shared" ca="1" si="330"/>
        <v>0</v>
      </c>
      <c r="NT44" s="241">
        <f t="shared" ca="1" si="572"/>
        <v>1</v>
      </c>
      <c r="NU44" s="220">
        <f t="shared" ca="1" si="709"/>
        <v>0</v>
      </c>
      <c r="NV44" s="220">
        <f t="shared" ca="1" si="710"/>
        <v>0</v>
      </c>
      <c r="NW44" s="235">
        <f t="shared" ca="1" si="334"/>
        <v>0</v>
      </c>
      <c r="NX44" s="235">
        <f t="shared" ca="1" si="335"/>
        <v>0</v>
      </c>
      <c r="NY44" s="242">
        <f t="shared" ca="1" si="336"/>
        <v>0</v>
      </c>
      <c r="NZ44" s="241">
        <f t="shared" ca="1" si="572"/>
        <v>1</v>
      </c>
      <c r="OA44" s="220">
        <f t="shared" ca="1" si="711"/>
        <v>0</v>
      </c>
      <c r="OB44" s="220">
        <f t="shared" ca="1" si="712"/>
        <v>0</v>
      </c>
      <c r="OC44" s="235">
        <f t="shared" ca="1" si="339"/>
        <v>0</v>
      </c>
      <c r="OD44" s="235">
        <f t="shared" ca="1" si="340"/>
        <v>0</v>
      </c>
      <c r="OE44" s="242">
        <f t="shared" ca="1" si="341"/>
        <v>0</v>
      </c>
      <c r="OF44" s="241">
        <f t="shared" ca="1" si="572"/>
        <v>1</v>
      </c>
      <c r="OG44" s="220">
        <f t="shared" ca="1" si="713"/>
        <v>0</v>
      </c>
      <c r="OH44" s="220">
        <f t="shared" ca="1" si="714"/>
        <v>0</v>
      </c>
      <c r="OI44" s="235">
        <f t="shared" ca="1" si="344"/>
        <v>0</v>
      </c>
      <c r="OJ44" s="235">
        <f t="shared" ca="1" si="345"/>
        <v>0</v>
      </c>
      <c r="OK44" s="242">
        <f t="shared" ca="1" si="346"/>
        <v>0</v>
      </c>
      <c r="OL44" s="241">
        <f t="shared" ca="1" si="572"/>
        <v>1</v>
      </c>
      <c r="OM44" s="220">
        <f t="shared" ca="1" si="715"/>
        <v>0</v>
      </c>
      <c r="ON44" s="220">
        <f t="shared" ca="1" si="716"/>
        <v>0</v>
      </c>
      <c r="OO44" s="235">
        <f t="shared" ca="1" si="349"/>
        <v>0</v>
      </c>
      <c r="OP44" s="235">
        <f t="shared" ca="1" si="350"/>
        <v>0</v>
      </c>
      <c r="OQ44" s="242">
        <f t="shared" ca="1" si="351"/>
        <v>0</v>
      </c>
      <c r="OR44" s="241">
        <f t="shared" ca="1" si="572"/>
        <v>1</v>
      </c>
      <c r="OS44" s="220">
        <f t="shared" ca="1" si="717"/>
        <v>0</v>
      </c>
      <c r="OT44" s="220">
        <f t="shared" ca="1" si="718"/>
        <v>0</v>
      </c>
      <c r="OU44" s="235">
        <f t="shared" ca="1" si="354"/>
        <v>0</v>
      </c>
      <c r="OV44" s="235">
        <f t="shared" ca="1" si="355"/>
        <v>0</v>
      </c>
      <c r="OW44" s="242">
        <f t="shared" ca="1" si="356"/>
        <v>0</v>
      </c>
      <c r="OX44" s="241">
        <f t="shared" ca="1" si="572"/>
        <v>1</v>
      </c>
      <c r="OY44" s="220">
        <f t="shared" ca="1" si="719"/>
        <v>0</v>
      </c>
      <c r="OZ44" s="220">
        <f t="shared" ca="1" si="720"/>
        <v>0</v>
      </c>
      <c r="PA44" s="235">
        <f t="shared" ca="1" si="359"/>
        <v>0</v>
      </c>
      <c r="PB44" s="235">
        <f t="shared" ca="1" si="360"/>
        <v>0</v>
      </c>
      <c r="PC44" s="242">
        <f t="shared" ca="1" si="361"/>
        <v>0</v>
      </c>
      <c r="PD44" s="241">
        <f t="shared" ca="1" si="565"/>
        <v>1</v>
      </c>
      <c r="PE44" s="220">
        <f t="shared" ca="1" si="721"/>
        <v>0</v>
      </c>
      <c r="PF44" s="220">
        <f t="shared" ca="1" si="722"/>
        <v>0</v>
      </c>
      <c r="PG44" s="235">
        <f t="shared" ca="1" si="364"/>
        <v>0</v>
      </c>
      <c r="PH44" s="235">
        <f t="shared" ca="1" si="365"/>
        <v>0</v>
      </c>
      <c r="PI44" s="242">
        <f t="shared" ca="1" si="366"/>
        <v>0</v>
      </c>
      <c r="PJ44" s="241">
        <f t="shared" ca="1" si="565"/>
        <v>1</v>
      </c>
      <c r="PK44" s="220">
        <f t="shared" ca="1" si="723"/>
        <v>0</v>
      </c>
      <c r="PL44" s="220">
        <f t="shared" ca="1" si="724"/>
        <v>0</v>
      </c>
      <c r="PM44" s="235">
        <f t="shared" ca="1" si="369"/>
        <v>0</v>
      </c>
      <c r="PN44" s="235">
        <f t="shared" ca="1" si="370"/>
        <v>0</v>
      </c>
      <c r="PO44" s="242">
        <f t="shared" ca="1" si="371"/>
        <v>0</v>
      </c>
      <c r="PP44" s="241">
        <f t="shared" ca="1" si="573"/>
        <v>1</v>
      </c>
      <c r="PQ44" s="220">
        <f t="shared" ca="1" si="725"/>
        <v>0</v>
      </c>
      <c r="PR44" s="220">
        <f t="shared" ca="1" si="726"/>
        <v>0</v>
      </c>
      <c r="PS44" s="235">
        <f t="shared" ca="1" si="374"/>
        <v>0</v>
      </c>
      <c r="PT44" s="235">
        <f t="shared" ca="1" si="375"/>
        <v>0</v>
      </c>
      <c r="PU44" s="242">
        <f t="shared" ca="1" si="376"/>
        <v>0</v>
      </c>
      <c r="PV44" s="241">
        <f t="shared" ca="1" si="573"/>
        <v>1</v>
      </c>
      <c r="PW44" s="220">
        <f t="shared" ca="1" si="727"/>
        <v>0</v>
      </c>
      <c r="PX44" s="220">
        <f t="shared" ca="1" si="728"/>
        <v>0</v>
      </c>
      <c r="PY44" s="235">
        <f t="shared" ca="1" si="379"/>
        <v>0</v>
      </c>
      <c r="PZ44" s="235">
        <f t="shared" ca="1" si="380"/>
        <v>0</v>
      </c>
      <c r="QA44" s="242">
        <f t="shared" ca="1" si="381"/>
        <v>0</v>
      </c>
      <c r="QB44" s="241">
        <f t="shared" ca="1" si="573"/>
        <v>1</v>
      </c>
      <c r="QC44" s="220">
        <f t="shared" ca="1" si="729"/>
        <v>0</v>
      </c>
      <c r="QD44" s="220">
        <f t="shared" ca="1" si="730"/>
        <v>0</v>
      </c>
      <c r="QE44" s="235">
        <f t="shared" ca="1" si="384"/>
        <v>0</v>
      </c>
      <c r="QF44" s="235">
        <f t="shared" ca="1" si="385"/>
        <v>0</v>
      </c>
      <c r="QG44" s="242">
        <f t="shared" ca="1" si="386"/>
        <v>0</v>
      </c>
      <c r="QH44" s="241">
        <f t="shared" ca="1" si="573"/>
        <v>1</v>
      </c>
      <c r="QI44" s="220">
        <f t="shared" ca="1" si="731"/>
        <v>0</v>
      </c>
      <c r="QJ44" s="220">
        <f t="shared" ca="1" si="732"/>
        <v>0</v>
      </c>
      <c r="QK44" s="235">
        <f t="shared" ca="1" si="390"/>
        <v>0</v>
      </c>
      <c r="QL44" s="235">
        <f t="shared" ca="1" si="391"/>
        <v>0</v>
      </c>
      <c r="QM44" s="242">
        <f t="shared" ca="1" si="392"/>
        <v>0</v>
      </c>
      <c r="QN44" s="241">
        <f t="shared" ca="1" si="573"/>
        <v>1</v>
      </c>
      <c r="QO44" s="220">
        <f t="shared" ca="1" si="733"/>
        <v>0</v>
      </c>
      <c r="QP44" s="220">
        <f t="shared" ca="1" si="734"/>
        <v>0</v>
      </c>
      <c r="QQ44" s="235">
        <f t="shared" ca="1" si="395"/>
        <v>0</v>
      </c>
      <c r="QR44" s="235">
        <f t="shared" ca="1" si="396"/>
        <v>0</v>
      </c>
      <c r="QS44" s="242">
        <f t="shared" ca="1" si="397"/>
        <v>0</v>
      </c>
      <c r="QT44" s="241">
        <f t="shared" ca="1" si="573"/>
        <v>1</v>
      </c>
      <c r="QU44" s="220">
        <f t="shared" ca="1" si="735"/>
        <v>0</v>
      </c>
      <c r="QV44" s="220">
        <f t="shared" ca="1" si="736"/>
        <v>0</v>
      </c>
      <c r="QW44" s="235">
        <f t="shared" ca="1" si="400"/>
        <v>0</v>
      </c>
      <c r="QX44" s="235">
        <f t="shared" ca="1" si="401"/>
        <v>0</v>
      </c>
      <c r="QY44" s="242">
        <f t="shared" ca="1" si="402"/>
        <v>0</v>
      </c>
      <c r="QZ44" s="241">
        <f t="shared" ca="1" si="573"/>
        <v>1</v>
      </c>
      <c r="RA44" s="220">
        <f t="shared" ca="1" si="737"/>
        <v>0</v>
      </c>
      <c r="RB44" s="220">
        <f t="shared" ca="1" si="738"/>
        <v>0</v>
      </c>
      <c r="RC44" s="235">
        <f t="shared" ca="1" si="405"/>
        <v>0</v>
      </c>
      <c r="RD44" s="235">
        <f t="shared" ca="1" si="406"/>
        <v>0</v>
      </c>
      <c r="RE44" s="242">
        <f t="shared" ca="1" si="407"/>
        <v>0</v>
      </c>
      <c r="RF44" s="241">
        <f t="shared" ca="1" si="573"/>
        <v>1</v>
      </c>
      <c r="RG44" s="220">
        <f t="shared" ca="1" si="739"/>
        <v>0</v>
      </c>
      <c r="RH44" s="220">
        <f t="shared" ca="1" si="740"/>
        <v>0</v>
      </c>
      <c r="RI44" s="235">
        <f t="shared" ca="1" si="410"/>
        <v>0</v>
      </c>
      <c r="RJ44" s="235">
        <f t="shared" ca="1" si="411"/>
        <v>0</v>
      </c>
      <c r="RK44" s="242">
        <f t="shared" ca="1" si="412"/>
        <v>0</v>
      </c>
      <c r="RL44" s="241">
        <f t="shared" ca="1" si="573"/>
        <v>1</v>
      </c>
      <c r="RM44" s="220">
        <f t="shared" ca="1" si="741"/>
        <v>0</v>
      </c>
      <c r="RN44" s="220">
        <f t="shared" ca="1" si="742"/>
        <v>0</v>
      </c>
      <c r="RO44" s="235">
        <f t="shared" ca="1" si="415"/>
        <v>0</v>
      </c>
      <c r="RP44" s="235">
        <f t="shared" ca="1" si="416"/>
        <v>0</v>
      </c>
      <c r="RQ44" s="242">
        <f t="shared" ca="1" si="417"/>
        <v>0</v>
      </c>
      <c r="RR44" s="241">
        <f t="shared" ca="1" si="573"/>
        <v>1</v>
      </c>
      <c r="RS44" s="220">
        <f t="shared" ca="1" si="743"/>
        <v>0</v>
      </c>
      <c r="RT44" s="220">
        <f t="shared" ca="1" si="744"/>
        <v>0</v>
      </c>
      <c r="RU44" s="235">
        <f t="shared" ca="1" si="420"/>
        <v>0</v>
      </c>
      <c r="RV44" s="235">
        <f t="shared" ca="1" si="421"/>
        <v>0</v>
      </c>
      <c r="RW44" s="242">
        <f t="shared" ca="1" si="422"/>
        <v>0</v>
      </c>
      <c r="RX44" s="241">
        <f t="shared" ca="1" si="573"/>
        <v>1</v>
      </c>
      <c r="RY44" s="220">
        <f t="shared" ca="1" si="745"/>
        <v>0</v>
      </c>
      <c r="RZ44" s="220">
        <f t="shared" ca="1" si="746"/>
        <v>0</v>
      </c>
      <c r="SA44" s="235">
        <f t="shared" ca="1" si="425"/>
        <v>0</v>
      </c>
      <c r="SB44" s="235">
        <f t="shared" ca="1" si="426"/>
        <v>0</v>
      </c>
      <c r="SC44" s="242">
        <f t="shared" ca="1" si="427"/>
        <v>0</v>
      </c>
      <c r="SD44" s="241">
        <f t="shared" ca="1" si="566"/>
        <v>1</v>
      </c>
      <c r="SE44" s="220">
        <f t="shared" ca="1" si="747"/>
        <v>0</v>
      </c>
      <c r="SF44" s="220">
        <f t="shared" ca="1" si="748"/>
        <v>0</v>
      </c>
      <c r="SG44" s="235">
        <f t="shared" ca="1" si="430"/>
        <v>0</v>
      </c>
      <c r="SH44" s="235">
        <f t="shared" ca="1" si="431"/>
        <v>0</v>
      </c>
      <c r="SI44" s="242">
        <f t="shared" ca="1" si="432"/>
        <v>0</v>
      </c>
      <c r="SJ44" s="241">
        <f t="shared" ca="1" si="566"/>
        <v>1</v>
      </c>
      <c r="SK44" s="220">
        <f t="shared" ca="1" si="749"/>
        <v>0</v>
      </c>
      <c r="SL44" s="220">
        <f t="shared" ca="1" si="750"/>
        <v>0</v>
      </c>
      <c r="SM44" s="235">
        <f t="shared" ca="1" si="435"/>
        <v>0</v>
      </c>
      <c r="SN44" s="235">
        <f t="shared" ca="1" si="436"/>
        <v>0</v>
      </c>
      <c r="SO44" s="242">
        <f t="shared" ca="1" si="437"/>
        <v>0</v>
      </c>
      <c r="SP44" s="241">
        <f t="shared" ca="1" si="576"/>
        <v>1</v>
      </c>
      <c r="SQ44" s="220">
        <f t="shared" ca="1" si="751"/>
        <v>0</v>
      </c>
      <c r="SR44" s="220">
        <f t="shared" ca="1" si="752"/>
        <v>0</v>
      </c>
      <c r="SS44" s="235">
        <f t="shared" ca="1" si="440"/>
        <v>0</v>
      </c>
      <c r="ST44" s="235">
        <f t="shared" ca="1" si="441"/>
        <v>0</v>
      </c>
      <c r="SU44" s="242">
        <f t="shared" ca="1" si="442"/>
        <v>0</v>
      </c>
      <c r="SV44" s="241">
        <f t="shared" ca="1" si="576"/>
        <v>1</v>
      </c>
      <c r="SW44" s="220">
        <f t="shared" ca="1" si="753"/>
        <v>0</v>
      </c>
      <c r="SX44" s="220">
        <f t="shared" ca="1" si="754"/>
        <v>0</v>
      </c>
      <c r="SY44" s="235">
        <f t="shared" ca="1" si="446"/>
        <v>0</v>
      </c>
      <c r="SZ44" s="235">
        <f t="shared" ca="1" si="447"/>
        <v>0</v>
      </c>
      <c r="TA44" s="242">
        <f t="shared" ca="1" si="448"/>
        <v>0</v>
      </c>
      <c r="TB44" s="241">
        <f t="shared" ca="1" si="576"/>
        <v>1</v>
      </c>
      <c r="TC44" s="220">
        <f t="shared" ca="1" si="755"/>
        <v>0</v>
      </c>
      <c r="TD44" s="220">
        <f t="shared" ca="1" si="756"/>
        <v>0</v>
      </c>
      <c r="TE44" s="235">
        <f t="shared" ca="1" si="451"/>
        <v>0</v>
      </c>
      <c r="TF44" s="235">
        <f t="shared" ca="1" si="452"/>
        <v>0</v>
      </c>
      <c r="TG44" s="242">
        <f t="shared" ca="1" si="453"/>
        <v>0</v>
      </c>
      <c r="TH44" s="241">
        <f t="shared" ca="1" si="576"/>
        <v>1</v>
      </c>
      <c r="TI44" s="220">
        <f t="shared" ca="1" si="757"/>
        <v>0</v>
      </c>
      <c r="TJ44" s="220">
        <f t="shared" ca="1" si="758"/>
        <v>0</v>
      </c>
      <c r="TK44" s="235">
        <f t="shared" ca="1" si="456"/>
        <v>0</v>
      </c>
      <c r="TL44" s="235">
        <f t="shared" ca="1" si="457"/>
        <v>0</v>
      </c>
      <c r="TM44" s="242">
        <f t="shared" ca="1" si="458"/>
        <v>0</v>
      </c>
      <c r="TN44" s="241">
        <f t="shared" ca="1" si="576"/>
        <v>1</v>
      </c>
      <c r="TO44" s="220">
        <f t="shared" ca="1" si="759"/>
        <v>0</v>
      </c>
      <c r="TP44" s="220">
        <f t="shared" ca="1" si="760"/>
        <v>0</v>
      </c>
      <c r="TQ44" s="235">
        <f t="shared" ca="1" si="461"/>
        <v>0</v>
      </c>
      <c r="TR44" s="235">
        <f t="shared" ca="1" si="462"/>
        <v>0</v>
      </c>
      <c r="TS44" s="242">
        <f t="shared" ca="1" si="463"/>
        <v>0</v>
      </c>
      <c r="TT44" s="241">
        <f t="shared" ca="1" si="576"/>
        <v>1</v>
      </c>
      <c r="TU44" s="220">
        <f t="shared" ca="1" si="761"/>
        <v>0</v>
      </c>
      <c r="TV44" s="220">
        <f t="shared" ca="1" si="762"/>
        <v>0</v>
      </c>
      <c r="TW44" s="235">
        <f t="shared" ca="1" si="466"/>
        <v>0</v>
      </c>
      <c r="TX44" s="235">
        <f t="shared" ca="1" si="467"/>
        <v>0</v>
      </c>
      <c r="TY44" s="242">
        <f t="shared" ca="1" si="468"/>
        <v>0</v>
      </c>
      <c r="TZ44" s="241">
        <f t="shared" ca="1" si="576"/>
        <v>1</v>
      </c>
      <c r="UA44" s="220">
        <f t="shared" ca="1" si="763"/>
        <v>0</v>
      </c>
      <c r="UB44" s="220">
        <f t="shared" ca="1" si="764"/>
        <v>0</v>
      </c>
      <c r="UC44" s="235">
        <f t="shared" ca="1" si="471"/>
        <v>0</v>
      </c>
      <c r="UD44" s="235">
        <f t="shared" ca="1" si="472"/>
        <v>0</v>
      </c>
      <c r="UE44" s="242">
        <f t="shared" ca="1" si="473"/>
        <v>0</v>
      </c>
      <c r="UF44" s="241">
        <f t="shared" ca="1" si="576"/>
        <v>1</v>
      </c>
      <c r="UG44" s="220">
        <f t="shared" ca="1" si="765"/>
        <v>0</v>
      </c>
      <c r="UH44" s="220">
        <f t="shared" ca="1" si="766"/>
        <v>0</v>
      </c>
      <c r="UI44" s="235">
        <f t="shared" ca="1" si="476"/>
        <v>0</v>
      </c>
      <c r="UJ44" s="235">
        <f t="shared" ca="1" si="477"/>
        <v>0</v>
      </c>
      <c r="UK44" s="242">
        <f t="shared" ca="1" si="478"/>
        <v>0</v>
      </c>
      <c r="UL44" s="241">
        <f t="shared" ca="1" si="576"/>
        <v>1</v>
      </c>
      <c r="UM44" s="220">
        <f t="shared" ca="1" si="767"/>
        <v>0</v>
      </c>
      <c r="UN44" s="220">
        <f t="shared" ca="1" si="768"/>
        <v>0</v>
      </c>
      <c r="UO44" s="235">
        <f t="shared" ca="1" si="481"/>
        <v>0</v>
      </c>
      <c r="UP44" s="235">
        <f t="shared" ca="1" si="482"/>
        <v>0</v>
      </c>
      <c r="UQ44" s="242">
        <f t="shared" ca="1" si="483"/>
        <v>0</v>
      </c>
      <c r="UR44" s="241">
        <f t="shared" ca="1" si="576"/>
        <v>1</v>
      </c>
      <c r="US44" s="220">
        <f t="shared" ca="1" si="769"/>
        <v>0</v>
      </c>
      <c r="UT44" s="220">
        <f t="shared" ca="1" si="770"/>
        <v>0</v>
      </c>
      <c r="UU44" s="235">
        <f t="shared" ca="1" si="486"/>
        <v>0</v>
      </c>
      <c r="UV44" s="235">
        <f t="shared" ca="1" si="487"/>
        <v>0</v>
      </c>
      <c r="UW44" s="242">
        <f t="shared" ca="1" si="488"/>
        <v>0</v>
      </c>
      <c r="UX44" s="241">
        <f t="shared" ca="1" si="576"/>
        <v>1</v>
      </c>
      <c r="UY44" s="220">
        <f t="shared" ca="1" si="771"/>
        <v>0</v>
      </c>
      <c r="UZ44" s="220">
        <f t="shared" ca="1" si="772"/>
        <v>0</v>
      </c>
      <c r="VA44" s="235">
        <f t="shared" ca="1" si="491"/>
        <v>0</v>
      </c>
      <c r="VB44" s="235">
        <f t="shared" ca="1" si="492"/>
        <v>0</v>
      </c>
      <c r="VC44" s="242">
        <f t="shared" ca="1" si="493"/>
        <v>0</v>
      </c>
      <c r="VD44" s="241">
        <f t="shared" ca="1" si="574"/>
        <v>1</v>
      </c>
      <c r="VE44" s="220">
        <f t="shared" ca="1" si="773"/>
        <v>0</v>
      </c>
      <c r="VF44" s="220">
        <f t="shared" ca="1" si="774"/>
        <v>0</v>
      </c>
      <c r="VG44" s="235">
        <f t="shared" ca="1" si="496"/>
        <v>0</v>
      </c>
      <c r="VH44" s="235">
        <f t="shared" ca="1" si="497"/>
        <v>0</v>
      </c>
      <c r="VI44" s="242">
        <f t="shared" ca="1" si="498"/>
        <v>0</v>
      </c>
      <c r="VJ44" s="241">
        <f t="shared" ca="1" si="567"/>
        <v>1</v>
      </c>
      <c r="VK44" s="220">
        <f t="shared" ca="1" si="775"/>
        <v>0</v>
      </c>
      <c r="VL44" s="220">
        <f t="shared" ca="1" si="776"/>
        <v>0</v>
      </c>
      <c r="VM44" s="235">
        <f t="shared" ca="1" si="502"/>
        <v>0</v>
      </c>
      <c r="VN44" s="235">
        <f t="shared" ca="1" si="503"/>
        <v>0</v>
      </c>
      <c r="VO44" s="242">
        <f t="shared" ca="1" si="504"/>
        <v>0</v>
      </c>
      <c r="VP44" s="241">
        <f t="shared" ca="1" si="567"/>
        <v>1</v>
      </c>
      <c r="VQ44" s="220">
        <f t="shared" ca="1" si="777"/>
        <v>0</v>
      </c>
      <c r="VR44" s="220">
        <f t="shared" ca="1" si="778"/>
        <v>0</v>
      </c>
      <c r="VS44" s="235">
        <f t="shared" ca="1" si="507"/>
        <v>0</v>
      </c>
      <c r="VT44" s="235">
        <f t="shared" ca="1" si="508"/>
        <v>0</v>
      </c>
      <c r="VU44" s="242">
        <f t="shared" ca="1" si="509"/>
        <v>0</v>
      </c>
      <c r="VV44" s="241">
        <f t="shared" ca="1" si="578"/>
        <v>1</v>
      </c>
      <c r="VW44" s="220">
        <f t="shared" ca="1" si="779"/>
        <v>0</v>
      </c>
      <c r="VX44" s="220">
        <f t="shared" ca="1" si="780"/>
        <v>0</v>
      </c>
      <c r="VY44" s="235">
        <f t="shared" ca="1" si="512"/>
        <v>0</v>
      </c>
      <c r="VZ44" s="235">
        <f t="shared" ca="1" si="513"/>
        <v>0</v>
      </c>
      <c r="WA44" s="242">
        <f t="shared" ca="1" si="514"/>
        <v>0</v>
      </c>
      <c r="WB44" s="241">
        <f t="shared" ca="1" si="578"/>
        <v>1</v>
      </c>
      <c r="WC44" s="220">
        <f t="shared" ca="1" si="781"/>
        <v>0</v>
      </c>
      <c r="WD44" s="220">
        <f t="shared" ca="1" si="782"/>
        <v>0</v>
      </c>
      <c r="WE44" s="235">
        <f t="shared" ca="1" si="517"/>
        <v>0</v>
      </c>
      <c r="WF44" s="235">
        <f t="shared" ca="1" si="518"/>
        <v>0</v>
      </c>
      <c r="WG44" s="242">
        <f t="shared" ca="1" si="519"/>
        <v>0</v>
      </c>
      <c r="WH44" s="241">
        <f t="shared" ca="1" si="578"/>
        <v>1</v>
      </c>
      <c r="WI44" s="220">
        <f t="shared" ca="1" si="783"/>
        <v>0</v>
      </c>
      <c r="WJ44" s="220">
        <f t="shared" ca="1" si="784"/>
        <v>0</v>
      </c>
      <c r="WK44" s="235">
        <f t="shared" ca="1" si="522"/>
        <v>0</v>
      </c>
      <c r="WL44" s="235">
        <f t="shared" ca="1" si="523"/>
        <v>0</v>
      </c>
      <c r="WM44" s="242">
        <f t="shared" ca="1" si="524"/>
        <v>0</v>
      </c>
      <c r="WN44" s="241">
        <f t="shared" ca="1" si="578"/>
        <v>1</v>
      </c>
      <c r="WO44" s="220">
        <f t="shared" ca="1" si="785"/>
        <v>0</v>
      </c>
      <c r="WP44" s="220">
        <f t="shared" ca="1" si="786"/>
        <v>0</v>
      </c>
      <c r="WQ44" s="235">
        <f t="shared" ca="1" si="527"/>
        <v>0</v>
      </c>
      <c r="WR44" s="235">
        <f t="shared" ca="1" si="528"/>
        <v>0</v>
      </c>
      <c r="WS44" s="242">
        <f t="shared" ca="1" si="529"/>
        <v>0</v>
      </c>
      <c r="WT44" s="241">
        <f t="shared" ca="1" si="578"/>
        <v>1</v>
      </c>
      <c r="WU44" s="220">
        <f t="shared" ca="1" si="787"/>
        <v>0</v>
      </c>
      <c r="WV44" s="220">
        <f t="shared" ca="1" si="788"/>
        <v>0</v>
      </c>
      <c r="WW44" s="235">
        <f t="shared" ca="1" si="532"/>
        <v>0</v>
      </c>
      <c r="WX44" s="235">
        <f t="shared" ca="1" si="533"/>
        <v>0</v>
      </c>
      <c r="WY44" s="242">
        <f t="shared" ca="1" si="534"/>
        <v>0</v>
      </c>
      <c r="WZ44" s="241">
        <f t="shared" ca="1" si="578"/>
        <v>1</v>
      </c>
      <c r="XA44" s="220">
        <f t="shared" ca="1" si="789"/>
        <v>0</v>
      </c>
      <c r="XB44" s="220">
        <f t="shared" ca="1" si="790"/>
        <v>0</v>
      </c>
      <c r="XC44" s="235">
        <f t="shared" ca="1" si="537"/>
        <v>0</v>
      </c>
      <c r="XD44" s="235">
        <f t="shared" ca="1" si="538"/>
        <v>0</v>
      </c>
      <c r="XE44" s="242">
        <f t="shared" ca="1" si="539"/>
        <v>0</v>
      </c>
      <c r="XF44" s="241">
        <f t="shared" ca="1" si="578"/>
        <v>1</v>
      </c>
      <c r="XG44" s="220">
        <f t="shared" ca="1" si="791"/>
        <v>0</v>
      </c>
      <c r="XH44" s="220">
        <f t="shared" ca="1" si="792"/>
        <v>0</v>
      </c>
      <c r="XI44" s="235">
        <f t="shared" ca="1" si="542"/>
        <v>0</v>
      </c>
      <c r="XJ44" s="235">
        <f t="shared" ca="1" si="543"/>
        <v>0</v>
      </c>
      <c r="XK44" s="242">
        <f t="shared" ca="1" si="544"/>
        <v>0</v>
      </c>
    </row>
    <row r="45" spans="2:635" x14ac:dyDescent="0.25">
      <c r="B45" s="65">
        <f t="shared" ca="1" si="14"/>
        <v>2060</v>
      </c>
      <c r="C45" s="65" t="s">
        <v>741</v>
      </c>
      <c r="D45" s="77">
        <f t="shared" si="580"/>
        <v>0</v>
      </c>
      <c r="E45" s="77">
        <f t="shared" si="581"/>
        <v>0</v>
      </c>
      <c r="F45" s="77">
        <f t="shared" si="17"/>
        <v>0</v>
      </c>
      <c r="G45" s="77">
        <f t="shared" si="18"/>
        <v>0</v>
      </c>
      <c r="H45" s="15" t="e">
        <f t="shared" ca="1" si="582"/>
        <v>#REF!</v>
      </c>
      <c r="L45" s="326">
        <f t="shared" ca="1" si="583"/>
        <v>3.5000000000000003E-2</v>
      </c>
      <c r="M45" s="327">
        <f t="shared" ca="1" si="584"/>
        <v>3.5000000000000003E-2</v>
      </c>
      <c r="N45" s="322">
        <f t="shared" ca="1" si="579"/>
        <v>-37</v>
      </c>
      <c r="O45" s="322">
        <f t="shared" ca="1" si="585"/>
        <v>0</v>
      </c>
      <c r="P45" s="328">
        <f t="shared" ca="1" si="545"/>
        <v>0</v>
      </c>
      <c r="Q45" s="328">
        <f t="shared" ca="1" si="546"/>
        <v>0</v>
      </c>
      <c r="R45" s="328">
        <f t="shared" ca="1" si="547"/>
        <v>0</v>
      </c>
      <c r="S45" s="329">
        <f t="shared" ca="1" si="586"/>
        <v>0</v>
      </c>
      <c r="T45" s="329">
        <f t="shared" ca="1" si="587"/>
        <v>0</v>
      </c>
      <c r="U45" s="329">
        <f t="shared" ca="1" si="588"/>
        <v>0</v>
      </c>
      <c r="V45" s="320" t="e">
        <f t="shared" ca="1" si="589"/>
        <v>#REF!</v>
      </c>
      <c r="W45" s="320" t="e">
        <f t="shared" ca="1" si="560"/>
        <v>#REF!</v>
      </c>
      <c r="X45" s="320" t="e">
        <f t="shared" ca="1" si="590"/>
        <v>#REF!</v>
      </c>
      <c r="Y45" s="320" t="e">
        <f ca="1">INDEX(SC_ZA_HECMLumpSum,ZAIDX)</f>
        <v>#REF!</v>
      </c>
      <c r="Z45" s="320" t="e">
        <f t="shared" ca="1" si="591"/>
        <v>#REF!</v>
      </c>
      <c r="AA45" s="320">
        <f t="shared" ca="1" si="557"/>
        <v>0</v>
      </c>
      <c r="AB45" s="320" t="e">
        <f t="shared" ca="1" si="558"/>
        <v>#REF!</v>
      </c>
      <c r="AC45" s="330" t="e">
        <f t="shared" ca="1" si="559"/>
        <v>#REF!</v>
      </c>
      <c r="AD45" s="236" t="e">
        <f t="shared" ca="1" si="548"/>
        <v>#REF!</v>
      </c>
      <c r="AE45" s="320" t="e">
        <f t="shared" ca="1" si="561"/>
        <v>#REF!</v>
      </c>
      <c r="AF45" s="320" t="e">
        <f t="shared" ca="1" si="592"/>
        <v>#REF!</v>
      </c>
      <c r="AG45" s="320" t="e">
        <f t="shared" ca="1" si="549"/>
        <v>#REF!</v>
      </c>
      <c r="AH45" s="284" t="e">
        <f t="shared" ca="1" si="550"/>
        <v>#REF!</v>
      </c>
      <c r="AI45" s="318" t="e">
        <f t="shared" ca="1" si="551"/>
        <v>#REF!</v>
      </c>
      <c r="AJ45" s="331">
        <f t="shared" ca="1" si="575"/>
        <v>1</v>
      </c>
      <c r="AK45" s="220">
        <f t="shared" ca="1" si="593"/>
        <v>0</v>
      </c>
      <c r="AL45" s="220">
        <f t="shared" ca="1" si="594"/>
        <v>0</v>
      </c>
      <c r="AM45" s="235">
        <f t="shared" ca="1" si="554"/>
        <v>0</v>
      </c>
      <c r="AN45" s="235">
        <f t="shared" ca="1" si="555"/>
        <v>0</v>
      </c>
      <c r="AO45" s="242">
        <f t="shared" ca="1" si="556"/>
        <v>0</v>
      </c>
      <c r="AP45" s="241">
        <f t="shared" ca="1" si="575"/>
        <v>1</v>
      </c>
      <c r="AQ45" s="220">
        <f t="shared" ca="1" si="595"/>
        <v>0</v>
      </c>
      <c r="AR45" s="220">
        <f t="shared" ca="1" si="596"/>
        <v>0</v>
      </c>
      <c r="AS45" s="235">
        <f t="shared" ca="1" si="43"/>
        <v>0</v>
      </c>
      <c r="AT45" s="235">
        <f t="shared" ca="1" si="44"/>
        <v>0</v>
      </c>
      <c r="AU45" s="242">
        <f t="shared" ca="1" si="45"/>
        <v>0</v>
      </c>
      <c r="AV45" s="241">
        <f t="shared" ca="1" si="575"/>
        <v>1</v>
      </c>
      <c r="AW45" s="220">
        <f t="shared" ca="1" si="597"/>
        <v>0</v>
      </c>
      <c r="AX45" s="220">
        <f t="shared" ca="1" si="598"/>
        <v>0</v>
      </c>
      <c r="AY45" s="235">
        <f t="shared" ca="1" si="48"/>
        <v>0</v>
      </c>
      <c r="AZ45" s="235">
        <f t="shared" ca="1" si="49"/>
        <v>0</v>
      </c>
      <c r="BA45" s="242">
        <f t="shared" ca="1" si="50"/>
        <v>0</v>
      </c>
      <c r="BB45" s="241">
        <f t="shared" ca="1" si="575"/>
        <v>1</v>
      </c>
      <c r="BC45" s="220">
        <f t="shared" ca="1" si="599"/>
        <v>0</v>
      </c>
      <c r="BD45" s="220">
        <f t="shared" ca="1" si="600"/>
        <v>0</v>
      </c>
      <c r="BE45" s="235">
        <f t="shared" ca="1" si="54"/>
        <v>0</v>
      </c>
      <c r="BF45" s="235">
        <f t="shared" ca="1" si="55"/>
        <v>0</v>
      </c>
      <c r="BG45" s="242">
        <f t="shared" ca="1" si="56"/>
        <v>0</v>
      </c>
      <c r="BH45" s="241">
        <f t="shared" ca="1" si="575"/>
        <v>1</v>
      </c>
      <c r="BI45" s="220">
        <f t="shared" ca="1" si="601"/>
        <v>0</v>
      </c>
      <c r="BJ45" s="220">
        <f t="shared" ca="1" si="602"/>
        <v>0</v>
      </c>
      <c r="BK45" s="235">
        <f t="shared" ca="1" si="59"/>
        <v>0</v>
      </c>
      <c r="BL45" s="235">
        <f t="shared" ca="1" si="60"/>
        <v>0</v>
      </c>
      <c r="BM45" s="242">
        <f t="shared" ca="1" si="61"/>
        <v>0</v>
      </c>
      <c r="BN45" s="241">
        <f t="shared" ca="1" si="575"/>
        <v>1</v>
      </c>
      <c r="BO45" s="220">
        <f t="shared" ca="1" si="603"/>
        <v>0</v>
      </c>
      <c r="BP45" s="220">
        <f t="shared" ca="1" si="604"/>
        <v>0</v>
      </c>
      <c r="BQ45" s="235">
        <f t="shared" ca="1" si="64"/>
        <v>0</v>
      </c>
      <c r="BR45" s="235">
        <f t="shared" ca="1" si="65"/>
        <v>0</v>
      </c>
      <c r="BS45" s="242">
        <f t="shared" ca="1" si="66"/>
        <v>0</v>
      </c>
      <c r="BT45" s="241">
        <f t="shared" ca="1" si="575"/>
        <v>1</v>
      </c>
      <c r="BU45" s="220">
        <f t="shared" ca="1" si="605"/>
        <v>0</v>
      </c>
      <c r="BV45" s="220">
        <f t="shared" ca="1" si="606"/>
        <v>0</v>
      </c>
      <c r="BW45" s="235">
        <f t="shared" ca="1" si="69"/>
        <v>0</v>
      </c>
      <c r="BX45" s="235">
        <f t="shared" ca="1" si="70"/>
        <v>0</v>
      </c>
      <c r="BY45" s="242">
        <f t="shared" ca="1" si="71"/>
        <v>0</v>
      </c>
      <c r="BZ45" s="241">
        <f t="shared" ca="1" si="575"/>
        <v>1</v>
      </c>
      <c r="CA45" s="220">
        <f t="shared" ca="1" si="607"/>
        <v>0</v>
      </c>
      <c r="CB45" s="220">
        <f t="shared" ca="1" si="608"/>
        <v>0</v>
      </c>
      <c r="CC45" s="235">
        <f t="shared" ca="1" si="74"/>
        <v>0</v>
      </c>
      <c r="CD45" s="235">
        <f t="shared" ca="1" si="75"/>
        <v>0</v>
      </c>
      <c r="CE45" s="242">
        <f t="shared" ca="1" si="76"/>
        <v>0</v>
      </c>
      <c r="CF45" s="241">
        <f t="shared" ca="1" si="575"/>
        <v>1</v>
      </c>
      <c r="CG45" s="220">
        <f t="shared" ca="1" si="609"/>
        <v>0</v>
      </c>
      <c r="CH45" s="220">
        <f t="shared" ca="1" si="610"/>
        <v>0</v>
      </c>
      <c r="CI45" s="235">
        <f t="shared" ca="1" si="79"/>
        <v>0</v>
      </c>
      <c r="CJ45" s="235">
        <f t="shared" ca="1" si="80"/>
        <v>0</v>
      </c>
      <c r="CK45" s="242">
        <f t="shared" ca="1" si="81"/>
        <v>0</v>
      </c>
      <c r="CL45" s="241">
        <f t="shared" ca="1" si="575"/>
        <v>1</v>
      </c>
      <c r="CM45" s="220">
        <f t="shared" ca="1" si="611"/>
        <v>0</v>
      </c>
      <c r="CN45" s="220">
        <f t="shared" ca="1" si="612"/>
        <v>0</v>
      </c>
      <c r="CO45" s="235">
        <f t="shared" ca="1" si="84"/>
        <v>0</v>
      </c>
      <c r="CP45" s="235">
        <f t="shared" ca="1" si="85"/>
        <v>0</v>
      </c>
      <c r="CQ45" s="242">
        <f t="shared" ca="1" si="86"/>
        <v>0</v>
      </c>
      <c r="CR45" s="241">
        <f t="shared" ca="1" si="575"/>
        <v>1</v>
      </c>
      <c r="CS45" s="220">
        <f t="shared" ca="1" si="613"/>
        <v>0</v>
      </c>
      <c r="CT45" s="220">
        <f t="shared" ca="1" si="614"/>
        <v>0</v>
      </c>
      <c r="CU45" s="235">
        <f t="shared" ca="1" si="89"/>
        <v>0</v>
      </c>
      <c r="CV45" s="235">
        <f t="shared" ca="1" si="90"/>
        <v>0</v>
      </c>
      <c r="CW45" s="242">
        <f t="shared" ca="1" si="91"/>
        <v>0</v>
      </c>
      <c r="CX45" s="241">
        <f t="shared" ca="1" si="568"/>
        <v>1</v>
      </c>
      <c r="CY45" s="220">
        <f t="shared" ca="1" si="615"/>
        <v>0</v>
      </c>
      <c r="CZ45" s="220">
        <f t="shared" ca="1" si="616"/>
        <v>0</v>
      </c>
      <c r="DA45" s="235">
        <f t="shared" ca="1" si="94"/>
        <v>0</v>
      </c>
      <c r="DB45" s="235">
        <f t="shared" ca="1" si="95"/>
        <v>0</v>
      </c>
      <c r="DC45" s="242">
        <f t="shared" ca="1" si="96"/>
        <v>0</v>
      </c>
      <c r="DD45" s="241">
        <f t="shared" ca="1" si="568"/>
        <v>1</v>
      </c>
      <c r="DE45" s="220">
        <f t="shared" ca="1" si="617"/>
        <v>0</v>
      </c>
      <c r="DF45" s="220">
        <f t="shared" ca="1" si="618"/>
        <v>0</v>
      </c>
      <c r="DG45" s="235">
        <f t="shared" ca="1" si="99"/>
        <v>0</v>
      </c>
      <c r="DH45" s="235">
        <f t="shared" ca="1" si="100"/>
        <v>0</v>
      </c>
      <c r="DI45" s="242">
        <f t="shared" ca="1" si="101"/>
        <v>0</v>
      </c>
      <c r="DJ45" s="241">
        <f t="shared" ca="1" si="51"/>
        <v>1</v>
      </c>
      <c r="DK45" s="220">
        <f t="shared" ca="1" si="619"/>
        <v>0</v>
      </c>
      <c r="DL45" s="220">
        <f t="shared" ca="1" si="620"/>
        <v>0</v>
      </c>
      <c r="DM45" s="235">
        <f t="shared" ca="1" si="104"/>
        <v>0</v>
      </c>
      <c r="DN45" s="235">
        <f t="shared" ca="1" si="105"/>
        <v>0</v>
      </c>
      <c r="DO45" s="242">
        <f t="shared" ca="1" si="106"/>
        <v>0</v>
      </c>
      <c r="DP45" s="241">
        <f t="shared" ca="1" si="569"/>
        <v>1</v>
      </c>
      <c r="DQ45" s="220">
        <f t="shared" ca="1" si="621"/>
        <v>0</v>
      </c>
      <c r="DR45" s="220">
        <f t="shared" ca="1" si="622"/>
        <v>0</v>
      </c>
      <c r="DS45" s="235">
        <f t="shared" ca="1" si="110"/>
        <v>0</v>
      </c>
      <c r="DT45" s="235">
        <f t="shared" ca="1" si="111"/>
        <v>0</v>
      </c>
      <c r="DU45" s="242">
        <f t="shared" ca="1" si="112"/>
        <v>0</v>
      </c>
      <c r="DV45" s="241">
        <f t="shared" ca="1" si="569"/>
        <v>1</v>
      </c>
      <c r="DW45" s="220">
        <f t="shared" ca="1" si="623"/>
        <v>0</v>
      </c>
      <c r="DX45" s="220">
        <f t="shared" ca="1" si="624"/>
        <v>0</v>
      </c>
      <c r="DY45" s="235">
        <f t="shared" ca="1" si="115"/>
        <v>0</v>
      </c>
      <c r="DZ45" s="235">
        <f t="shared" ca="1" si="116"/>
        <v>0</v>
      </c>
      <c r="EA45" s="242">
        <f t="shared" ca="1" si="117"/>
        <v>0</v>
      </c>
      <c r="EB45" s="241">
        <f t="shared" ca="1" si="569"/>
        <v>1</v>
      </c>
      <c r="EC45" s="220">
        <f t="shared" ca="1" si="625"/>
        <v>0</v>
      </c>
      <c r="ED45" s="220">
        <f t="shared" ca="1" si="626"/>
        <v>0</v>
      </c>
      <c r="EE45" s="235">
        <f t="shared" ca="1" si="120"/>
        <v>0</v>
      </c>
      <c r="EF45" s="235">
        <f t="shared" ca="1" si="121"/>
        <v>0</v>
      </c>
      <c r="EG45" s="242">
        <f t="shared" ca="1" si="122"/>
        <v>0</v>
      </c>
      <c r="EH45" s="241">
        <f t="shared" ca="1" si="569"/>
        <v>1</v>
      </c>
      <c r="EI45" s="220">
        <f t="shared" ca="1" si="627"/>
        <v>0</v>
      </c>
      <c r="EJ45" s="220">
        <f t="shared" ca="1" si="628"/>
        <v>0</v>
      </c>
      <c r="EK45" s="235">
        <f t="shared" ca="1" si="125"/>
        <v>0</v>
      </c>
      <c r="EL45" s="235">
        <f t="shared" ca="1" si="126"/>
        <v>0</v>
      </c>
      <c r="EM45" s="242">
        <f t="shared" ca="1" si="127"/>
        <v>0</v>
      </c>
      <c r="EN45" s="241">
        <f t="shared" ca="1" si="569"/>
        <v>1</v>
      </c>
      <c r="EO45" s="220">
        <f t="shared" ca="1" si="629"/>
        <v>0</v>
      </c>
      <c r="EP45" s="220">
        <f t="shared" ca="1" si="630"/>
        <v>0</v>
      </c>
      <c r="EQ45" s="235">
        <f t="shared" ca="1" si="130"/>
        <v>0</v>
      </c>
      <c r="ER45" s="235">
        <f t="shared" ca="1" si="131"/>
        <v>0</v>
      </c>
      <c r="ES45" s="242">
        <f t="shared" ca="1" si="132"/>
        <v>0</v>
      </c>
      <c r="ET45" s="241">
        <f t="shared" ca="1" si="569"/>
        <v>1</v>
      </c>
      <c r="EU45" s="220">
        <f t="shared" ca="1" si="631"/>
        <v>0</v>
      </c>
      <c r="EV45" s="220">
        <f t="shared" ca="1" si="632"/>
        <v>0</v>
      </c>
      <c r="EW45" s="235">
        <f t="shared" ca="1" si="135"/>
        <v>0</v>
      </c>
      <c r="EX45" s="235">
        <f t="shared" ca="1" si="136"/>
        <v>0</v>
      </c>
      <c r="EY45" s="242">
        <f t="shared" ca="1" si="137"/>
        <v>0</v>
      </c>
      <c r="EZ45" s="241">
        <f t="shared" ca="1" si="569"/>
        <v>1</v>
      </c>
      <c r="FA45" s="220">
        <f t="shared" ca="1" si="633"/>
        <v>0</v>
      </c>
      <c r="FB45" s="220">
        <f t="shared" ca="1" si="634"/>
        <v>0</v>
      </c>
      <c r="FC45" s="235">
        <f t="shared" ca="1" si="140"/>
        <v>0</v>
      </c>
      <c r="FD45" s="235">
        <f t="shared" ca="1" si="141"/>
        <v>0</v>
      </c>
      <c r="FE45" s="242">
        <f t="shared" ca="1" si="142"/>
        <v>0</v>
      </c>
      <c r="FF45" s="241">
        <f t="shared" ca="1" si="569"/>
        <v>1</v>
      </c>
      <c r="FG45" s="220">
        <f t="shared" ca="1" si="635"/>
        <v>0</v>
      </c>
      <c r="FH45" s="220">
        <f t="shared" ca="1" si="636"/>
        <v>0</v>
      </c>
      <c r="FI45" s="235">
        <f t="shared" ca="1" si="145"/>
        <v>0</v>
      </c>
      <c r="FJ45" s="235">
        <f t="shared" ca="1" si="146"/>
        <v>0</v>
      </c>
      <c r="FK45" s="242">
        <f t="shared" ca="1" si="147"/>
        <v>0</v>
      </c>
      <c r="FL45" s="241">
        <f t="shared" ca="1" si="569"/>
        <v>1</v>
      </c>
      <c r="FM45" s="220">
        <f t="shared" ca="1" si="637"/>
        <v>0</v>
      </c>
      <c r="FN45" s="220">
        <f t="shared" ca="1" si="638"/>
        <v>0</v>
      </c>
      <c r="FO45" s="235">
        <f t="shared" ca="1" si="150"/>
        <v>0</v>
      </c>
      <c r="FP45" s="235">
        <f t="shared" ca="1" si="151"/>
        <v>0</v>
      </c>
      <c r="FQ45" s="242">
        <f t="shared" ca="1" si="152"/>
        <v>0</v>
      </c>
      <c r="FR45" s="241">
        <f t="shared" ca="1" si="569"/>
        <v>1</v>
      </c>
      <c r="FS45" s="220">
        <f t="shared" ca="1" si="639"/>
        <v>0</v>
      </c>
      <c r="FT45" s="220">
        <f t="shared" ca="1" si="640"/>
        <v>0</v>
      </c>
      <c r="FU45" s="235">
        <f t="shared" ca="1" si="155"/>
        <v>0</v>
      </c>
      <c r="FV45" s="235">
        <f t="shared" ca="1" si="156"/>
        <v>0</v>
      </c>
      <c r="FW45" s="242">
        <f t="shared" ca="1" si="157"/>
        <v>0</v>
      </c>
      <c r="FX45" s="241">
        <f t="shared" ca="1" si="569"/>
        <v>1</v>
      </c>
      <c r="FY45" s="220">
        <f t="shared" ca="1" si="641"/>
        <v>0</v>
      </c>
      <c r="FZ45" s="220">
        <f t="shared" ca="1" si="642"/>
        <v>0</v>
      </c>
      <c r="GA45" s="235">
        <f t="shared" ca="1" si="160"/>
        <v>0</v>
      </c>
      <c r="GB45" s="235">
        <f t="shared" ca="1" si="161"/>
        <v>0</v>
      </c>
      <c r="GC45" s="242">
        <f t="shared" ca="1" si="162"/>
        <v>0</v>
      </c>
      <c r="GD45" s="241">
        <f t="shared" ca="1" si="562"/>
        <v>1</v>
      </c>
      <c r="GE45" s="220">
        <f t="shared" ca="1" si="643"/>
        <v>0</v>
      </c>
      <c r="GF45" s="220">
        <f t="shared" ca="1" si="644"/>
        <v>0</v>
      </c>
      <c r="GG45" s="235">
        <f t="shared" ca="1" si="166"/>
        <v>0</v>
      </c>
      <c r="GH45" s="235">
        <f t="shared" ca="1" si="167"/>
        <v>0</v>
      </c>
      <c r="GI45" s="242">
        <f t="shared" ca="1" si="168"/>
        <v>0</v>
      </c>
      <c r="GJ45" s="241">
        <f t="shared" ca="1" si="562"/>
        <v>1</v>
      </c>
      <c r="GK45" s="220">
        <f t="shared" ca="1" si="645"/>
        <v>0</v>
      </c>
      <c r="GL45" s="220">
        <f t="shared" ca="1" si="646"/>
        <v>0</v>
      </c>
      <c r="GM45" s="235">
        <f t="shared" ca="1" si="171"/>
        <v>0</v>
      </c>
      <c r="GN45" s="235">
        <f t="shared" ca="1" si="172"/>
        <v>0</v>
      </c>
      <c r="GO45" s="242">
        <f t="shared" ca="1" si="173"/>
        <v>0</v>
      </c>
      <c r="GP45" s="241">
        <f t="shared" ca="1" si="570"/>
        <v>1</v>
      </c>
      <c r="GQ45" s="220">
        <f t="shared" ca="1" si="647"/>
        <v>0</v>
      </c>
      <c r="GR45" s="220">
        <f t="shared" ca="1" si="648"/>
        <v>0</v>
      </c>
      <c r="GS45" s="235">
        <f t="shared" ca="1" si="176"/>
        <v>0</v>
      </c>
      <c r="GT45" s="235">
        <f t="shared" ca="1" si="177"/>
        <v>0</v>
      </c>
      <c r="GU45" s="242">
        <f t="shared" ca="1" si="178"/>
        <v>0</v>
      </c>
      <c r="GV45" s="241">
        <f t="shared" ca="1" si="570"/>
        <v>1</v>
      </c>
      <c r="GW45" s="220">
        <f t="shared" ca="1" si="649"/>
        <v>0</v>
      </c>
      <c r="GX45" s="220">
        <f t="shared" ca="1" si="650"/>
        <v>0</v>
      </c>
      <c r="GY45" s="235">
        <f t="shared" ca="1" si="181"/>
        <v>0</v>
      </c>
      <c r="GZ45" s="235">
        <f t="shared" ca="1" si="182"/>
        <v>0</v>
      </c>
      <c r="HA45" s="242">
        <f t="shared" ca="1" si="183"/>
        <v>0</v>
      </c>
      <c r="HB45" s="241">
        <f t="shared" ca="1" si="570"/>
        <v>1</v>
      </c>
      <c r="HC45" s="220">
        <f t="shared" ca="1" si="651"/>
        <v>0</v>
      </c>
      <c r="HD45" s="220">
        <f t="shared" ca="1" si="652"/>
        <v>0</v>
      </c>
      <c r="HE45" s="235">
        <f t="shared" ca="1" si="186"/>
        <v>0</v>
      </c>
      <c r="HF45" s="235">
        <f t="shared" ca="1" si="187"/>
        <v>0</v>
      </c>
      <c r="HG45" s="242">
        <f t="shared" ca="1" si="188"/>
        <v>0</v>
      </c>
      <c r="HH45" s="241">
        <f t="shared" ca="1" si="570"/>
        <v>1</v>
      </c>
      <c r="HI45" s="220">
        <f t="shared" ca="1" si="653"/>
        <v>0</v>
      </c>
      <c r="HJ45" s="220">
        <f t="shared" ca="1" si="654"/>
        <v>0</v>
      </c>
      <c r="HK45" s="235">
        <f t="shared" ca="1" si="191"/>
        <v>0</v>
      </c>
      <c r="HL45" s="235">
        <f t="shared" ca="1" si="192"/>
        <v>0</v>
      </c>
      <c r="HM45" s="242">
        <f t="shared" ca="1" si="193"/>
        <v>0</v>
      </c>
      <c r="HN45" s="241">
        <f t="shared" ca="1" si="570"/>
        <v>1</v>
      </c>
      <c r="HO45" s="220">
        <f t="shared" ca="1" si="655"/>
        <v>0</v>
      </c>
      <c r="HP45" s="220">
        <f t="shared" ca="1" si="656"/>
        <v>0</v>
      </c>
      <c r="HQ45" s="235">
        <f t="shared" ca="1" si="196"/>
        <v>0</v>
      </c>
      <c r="HR45" s="235">
        <f t="shared" ca="1" si="197"/>
        <v>0</v>
      </c>
      <c r="HS45" s="242">
        <f t="shared" ca="1" si="198"/>
        <v>0</v>
      </c>
      <c r="HT45" s="241">
        <f t="shared" ca="1" si="570"/>
        <v>1</v>
      </c>
      <c r="HU45" s="220">
        <f t="shared" ca="1" si="657"/>
        <v>0</v>
      </c>
      <c r="HV45" s="220">
        <f t="shared" ca="1" si="658"/>
        <v>0</v>
      </c>
      <c r="HW45" s="235">
        <f t="shared" ca="1" si="201"/>
        <v>0</v>
      </c>
      <c r="HX45" s="235">
        <f t="shared" ca="1" si="202"/>
        <v>0</v>
      </c>
      <c r="HY45" s="242">
        <f t="shared" ca="1" si="203"/>
        <v>0</v>
      </c>
      <c r="HZ45" s="241">
        <f t="shared" ca="1" si="570"/>
        <v>1</v>
      </c>
      <c r="IA45" s="220">
        <f t="shared" ca="1" si="659"/>
        <v>0</v>
      </c>
      <c r="IB45" s="220">
        <f t="shared" ca="1" si="660"/>
        <v>0</v>
      </c>
      <c r="IC45" s="235">
        <f t="shared" ca="1" si="206"/>
        <v>0</v>
      </c>
      <c r="ID45" s="235">
        <f t="shared" ca="1" si="207"/>
        <v>0</v>
      </c>
      <c r="IE45" s="242">
        <f t="shared" ca="1" si="208"/>
        <v>0</v>
      </c>
      <c r="IF45" s="241">
        <f t="shared" ca="1" si="570"/>
        <v>1</v>
      </c>
      <c r="IG45" s="220">
        <f t="shared" ca="1" si="661"/>
        <v>0</v>
      </c>
      <c r="IH45" s="220">
        <f t="shared" ca="1" si="662"/>
        <v>0</v>
      </c>
      <c r="II45" s="235">
        <f t="shared" ca="1" si="211"/>
        <v>0</v>
      </c>
      <c r="IJ45" s="235">
        <f t="shared" ca="1" si="212"/>
        <v>0</v>
      </c>
      <c r="IK45" s="242">
        <f t="shared" ca="1" si="213"/>
        <v>0</v>
      </c>
      <c r="IL45" s="241">
        <f t="shared" ca="1" si="570"/>
        <v>1</v>
      </c>
      <c r="IM45" s="220">
        <f t="shared" ca="1" si="663"/>
        <v>0</v>
      </c>
      <c r="IN45" s="220">
        <f t="shared" ca="1" si="664"/>
        <v>0</v>
      </c>
      <c r="IO45" s="235">
        <f t="shared" ca="1" si="216"/>
        <v>0</v>
      </c>
      <c r="IP45" s="235">
        <f t="shared" ca="1" si="217"/>
        <v>0</v>
      </c>
      <c r="IQ45" s="242">
        <f t="shared" ca="1" si="218"/>
        <v>0</v>
      </c>
      <c r="IR45" s="241">
        <f t="shared" ca="1" si="570"/>
        <v>1</v>
      </c>
      <c r="IS45" s="220">
        <f t="shared" ca="1" si="665"/>
        <v>0</v>
      </c>
      <c r="IT45" s="220">
        <f t="shared" ca="1" si="666"/>
        <v>0</v>
      </c>
      <c r="IU45" s="235">
        <f t="shared" ca="1" si="222"/>
        <v>0</v>
      </c>
      <c r="IV45" s="235">
        <f t="shared" ca="1" si="223"/>
        <v>0</v>
      </c>
      <c r="IW45" s="242">
        <f t="shared" ca="1" si="224"/>
        <v>0</v>
      </c>
      <c r="IX45" s="241">
        <f t="shared" ca="1" si="570"/>
        <v>1</v>
      </c>
      <c r="IY45" s="220">
        <f t="shared" ca="1" si="667"/>
        <v>0</v>
      </c>
      <c r="IZ45" s="220">
        <f t="shared" ca="1" si="668"/>
        <v>0</v>
      </c>
      <c r="JA45" s="235">
        <f t="shared" ca="1" si="227"/>
        <v>0</v>
      </c>
      <c r="JB45" s="235">
        <f t="shared" ca="1" si="228"/>
        <v>0</v>
      </c>
      <c r="JC45" s="242">
        <f t="shared" ca="1" si="229"/>
        <v>0</v>
      </c>
      <c r="JD45" s="241">
        <f t="shared" ca="1" si="563"/>
        <v>1</v>
      </c>
      <c r="JE45" s="220">
        <f t="shared" ca="1" si="669"/>
        <v>0</v>
      </c>
      <c r="JF45" s="220">
        <f t="shared" ca="1" si="670"/>
        <v>0</v>
      </c>
      <c r="JG45" s="235">
        <f t="shared" ca="1" si="232"/>
        <v>0</v>
      </c>
      <c r="JH45" s="235">
        <f t="shared" ca="1" si="233"/>
        <v>0</v>
      </c>
      <c r="JI45" s="242">
        <f t="shared" ca="1" si="234"/>
        <v>0</v>
      </c>
      <c r="JJ45" s="241">
        <f t="shared" ca="1" si="563"/>
        <v>1</v>
      </c>
      <c r="JK45" s="220">
        <f t="shared" ca="1" si="671"/>
        <v>0</v>
      </c>
      <c r="JL45" s="220">
        <f t="shared" ca="1" si="672"/>
        <v>0</v>
      </c>
      <c r="JM45" s="235">
        <f t="shared" ca="1" si="237"/>
        <v>0</v>
      </c>
      <c r="JN45" s="235">
        <f t="shared" ca="1" si="238"/>
        <v>0</v>
      </c>
      <c r="JO45" s="242">
        <f t="shared" ca="1" si="239"/>
        <v>0</v>
      </c>
      <c r="JP45" s="241">
        <f t="shared" ca="1" si="571"/>
        <v>1</v>
      </c>
      <c r="JQ45" s="220">
        <f t="shared" ca="1" si="673"/>
        <v>0</v>
      </c>
      <c r="JR45" s="220">
        <f t="shared" ca="1" si="674"/>
        <v>0</v>
      </c>
      <c r="JS45" s="235">
        <f t="shared" ca="1" si="242"/>
        <v>0</v>
      </c>
      <c r="JT45" s="235">
        <f t="shared" ca="1" si="243"/>
        <v>0</v>
      </c>
      <c r="JU45" s="242">
        <f t="shared" ca="1" si="244"/>
        <v>0</v>
      </c>
      <c r="JV45" s="241">
        <f t="shared" ca="1" si="571"/>
        <v>1</v>
      </c>
      <c r="JW45" s="220">
        <f t="shared" ca="1" si="675"/>
        <v>0</v>
      </c>
      <c r="JX45" s="220">
        <f t="shared" ca="1" si="676"/>
        <v>0</v>
      </c>
      <c r="JY45" s="235">
        <f t="shared" ca="1" si="247"/>
        <v>0</v>
      </c>
      <c r="JZ45" s="235">
        <f t="shared" ca="1" si="248"/>
        <v>0</v>
      </c>
      <c r="KA45" s="242">
        <f t="shared" ca="1" si="249"/>
        <v>0</v>
      </c>
      <c r="KB45" s="241">
        <f t="shared" ca="1" si="571"/>
        <v>1</v>
      </c>
      <c r="KC45" s="220">
        <f t="shared" ca="1" si="677"/>
        <v>0</v>
      </c>
      <c r="KD45" s="220">
        <f t="shared" ca="1" si="678"/>
        <v>0</v>
      </c>
      <c r="KE45" s="235">
        <f t="shared" ca="1" si="252"/>
        <v>0</v>
      </c>
      <c r="KF45" s="235">
        <f t="shared" ca="1" si="253"/>
        <v>0</v>
      </c>
      <c r="KG45" s="242">
        <f t="shared" ca="1" si="254"/>
        <v>0</v>
      </c>
      <c r="KH45" s="241">
        <f t="shared" ca="1" si="571"/>
        <v>1</v>
      </c>
      <c r="KI45" s="220">
        <f t="shared" ca="1" si="679"/>
        <v>0</v>
      </c>
      <c r="KJ45" s="220">
        <f t="shared" ca="1" si="680"/>
        <v>0</v>
      </c>
      <c r="KK45" s="235">
        <f t="shared" ca="1" si="257"/>
        <v>0</v>
      </c>
      <c r="KL45" s="235">
        <f t="shared" ca="1" si="258"/>
        <v>0</v>
      </c>
      <c r="KM45" s="242">
        <f t="shared" ca="1" si="259"/>
        <v>0</v>
      </c>
      <c r="KN45" s="241">
        <f t="shared" ca="1" si="571"/>
        <v>1</v>
      </c>
      <c r="KO45" s="220">
        <f t="shared" ca="1" si="681"/>
        <v>0</v>
      </c>
      <c r="KP45" s="220">
        <f t="shared" ca="1" si="682"/>
        <v>0</v>
      </c>
      <c r="KQ45" s="235">
        <f t="shared" ca="1" si="262"/>
        <v>0</v>
      </c>
      <c r="KR45" s="235">
        <f t="shared" ca="1" si="263"/>
        <v>0</v>
      </c>
      <c r="KS45" s="242">
        <f t="shared" ca="1" si="264"/>
        <v>0</v>
      </c>
      <c r="KT45" s="241">
        <f t="shared" ca="1" si="571"/>
        <v>1</v>
      </c>
      <c r="KU45" s="220">
        <f t="shared" ca="1" si="683"/>
        <v>0</v>
      </c>
      <c r="KV45" s="220">
        <f t="shared" ca="1" si="684"/>
        <v>0</v>
      </c>
      <c r="KW45" s="235">
        <f t="shared" ca="1" si="267"/>
        <v>0</v>
      </c>
      <c r="KX45" s="235">
        <f t="shared" ca="1" si="268"/>
        <v>0</v>
      </c>
      <c r="KY45" s="242">
        <f t="shared" ca="1" si="269"/>
        <v>0</v>
      </c>
      <c r="KZ45" s="241">
        <f t="shared" ca="1" si="571"/>
        <v>1</v>
      </c>
      <c r="LA45" s="220">
        <f t="shared" ca="1" si="685"/>
        <v>0</v>
      </c>
      <c r="LB45" s="220">
        <f t="shared" ca="1" si="686"/>
        <v>0</v>
      </c>
      <c r="LC45" s="235">
        <f t="shared" ca="1" si="272"/>
        <v>0</v>
      </c>
      <c r="LD45" s="235">
        <f t="shared" ca="1" si="273"/>
        <v>0</v>
      </c>
      <c r="LE45" s="242">
        <f t="shared" ca="1" si="274"/>
        <v>0</v>
      </c>
      <c r="LF45" s="241">
        <f t="shared" ca="1" si="571"/>
        <v>1</v>
      </c>
      <c r="LG45" s="220">
        <f t="shared" ca="1" si="687"/>
        <v>0</v>
      </c>
      <c r="LH45" s="220">
        <f t="shared" ca="1" si="688"/>
        <v>0</v>
      </c>
      <c r="LI45" s="235">
        <f t="shared" ca="1" si="278"/>
        <v>0</v>
      </c>
      <c r="LJ45" s="235">
        <f t="shared" ca="1" si="279"/>
        <v>0</v>
      </c>
      <c r="LK45" s="242">
        <f t="shared" ca="1" si="280"/>
        <v>0</v>
      </c>
      <c r="LL45" s="241">
        <f t="shared" ca="1" si="571"/>
        <v>1</v>
      </c>
      <c r="LM45" s="220">
        <f t="shared" ca="1" si="689"/>
        <v>0</v>
      </c>
      <c r="LN45" s="220">
        <f t="shared" ca="1" si="690"/>
        <v>0</v>
      </c>
      <c r="LO45" s="235">
        <f t="shared" ca="1" si="283"/>
        <v>0</v>
      </c>
      <c r="LP45" s="235">
        <f t="shared" ca="1" si="284"/>
        <v>0</v>
      </c>
      <c r="LQ45" s="242">
        <f t="shared" ca="1" si="285"/>
        <v>0</v>
      </c>
      <c r="LR45" s="241">
        <f t="shared" ca="1" si="571"/>
        <v>1</v>
      </c>
      <c r="LS45" s="220">
        <f t="shared" ca="1" si="691"/>
        <v>0</v>
      </c>
      <c r="LT45" s="220">
        <f t="shared" ca="1" si="692"/>
        <v>0</v>
      </c>
      <c r="LU45" s="235">
        <f t="shared" ca="1" si="288"/>
        <v>0</v>
      </c>
      <c r="LV45" s="235">
        <f t="shared" ca="1" si="289"/>
        <v>0</v>
      </c>
      <c r="LW45" s="242">
        <f t="shared" ca="1" si="290"/>
        <v>0</v>
      </c>
      <c r="LX45" s="241">
        <f t="shared" ca="1" si="571"/>
        <v>1</v>
      </c>
      <c r="LY45" s="220">
        <f t="shared" ca="1" si="693"/>
        <v>0</v>
      </c>
      <c r="LZ45" s="220">
        <f t="shared" ca="1" si="694"/>
        <v>0</v>
      </c>
      <c r="MA45" s="235">
        <f t="shared" ca="1" si="293"/>
        <v>0</v>
      </c>
      <c r="MB45" s="235">
        <f t="shared" ca="1" si="294"/>
        <v>0</v>
      </c>
      <c r="MC45" s="242">
        <f t="shared" ca="1" si="295"/>
        <v>0</v>
      </c>
      <c r="MD45" s="241">
        <f t="shared" ca="1" si="564"/>
        <v>1</v>
      </c>
      <c r="ME45" s="220">
        <f t="shared" ca="1" si="695"/>
        <v>0</v>
      </c>
      <c r="MF45" s="220">
        <f t="shared" ca="1" si="696"/>
        <v>0</v>
      </c>
      <c r="MG45" s="235">
        <f t="shared" ca="1" si="298"/>
        <v>0</v>
      </c>
      <c r="MH45" s="235">
        <f t="shared" ca="1" si="299"/>
        <v>0</v>
      </c>
      <c r="MI45" s="242">
        <f t="shared" ca="1" si="300"/>
        <v>0</v>
      </c>
      <c r="MJ45" s="241">
        <f t="shared" ca="1" si="564"/>
        <v>1</v>
      </c>
      <c r="MK45" s="220">
        <f t="shared" ca="1" si="697"/>
        <v>0</v>
      </c>
      <c r="ML45" s="220">
        <f t="shared" ca="1" si="698"/>
        <v>0</v>
      </c>
      <c r="MM45" s="235">
        <f t="shared" ca="1" si="303"/>
        <v>0</v>
      </c>
      <c r="MN45" s="235">
        <f t="shared" ca="1" si="304"/>
        <v>0</v>
      </c>
      <c r="MO45" s="242">
        <f t="shared" ca="1" si="305"/>
        <v>0</v>
      </c>
      <c r="MP45" s="241">
        <f t="shared" ca="1" si="572"/>
        <v>1</v>
      </c>
      <c r="MQ45" s="220">
        <f t="shared" ca="1" si="699"/>
        <v>0</v>
      </c>
      <c r="MR45" s="220">
        <f t="shared" ca="1" si="700"/>
        <v>0</v>
      </c>
      <c r="MS45" s="235">
        <f t="shared" ca="1" si="308"/>
        <v>0</v>
      </c>
      <c r="MT45" s="235">
        <f t="shared" ca="1" si="309"/>
        <v>0</v>
      </c>
      <c r="MU45" s="242">
        <f t="shared" ca="1" si="310"/>
        <v>0</v>
      </c>
      <c r="MV45" s="241">
        <f t="shared" ca="1" si="572"/>
        <v>1</v>
      </c>
      <c r="MW45" s="220">
        <f t="shared" ca="1" si="701"/>
        <v>0</v>
      </c>
      <c r="MX45" s="220">
        <f t="shared" ca="1" si="702"/>
        <v>0</v>
      </c>
      <c r="MY45" s="235">
        <f t="shared" ca="1" si="313"/>
        <v>0</v>
      </c>
      <c r="MZ45" s="235">
        <f t="shared" ca="1" si="314"/>
        <v>0</v>
      </c>
      <c r="NA45" s="242">
        <f t="shared" ca="1" si="315"/>
        <v>0</v>
      </c>
      <c r="NB45" s="241">
        <f t="shared" ca="1" si="572"/>
        <v>1</v>
      </c>
      <c r="NC45" s="220">
        <f t="shared" ca="1" si="703"/>
        <v>0</v>
      </c>
      <c r="ND45" s="220">
        <f t="shared" ca="1" si="704"/>
        <v>0</v>
      </c>
      <c r="NE45" s="235">
        <f t="shared" ca="1" si="318"/>
        <v>0</v>
      </c>
      <c r="NF45" s="235">
        <f t="shared" ca="1" si="319"/>
        <v>0</v>
      </c>
      <c r="NG45" s="242">
        <f t="shared" ca="1" si="320"/>
        <v>0</v>
      </c>
      <c r="NH45" s="241">
        <f t="shared" ca="1" si="572"/>
        <v>1</v>
      </c>
      <c r="NI45" s="220">
        <f t="shared" ca="1" si="705"/>
        <v>0</v>
      </c>
      <c r="NJ45" s="220">
        <f t="shared" ca="1" si="706"/>
        <v>0</v>
      </c>
      <c r="NK45" s="235">
        <f t="shared" ca="1" si="323"/>
        <v>0</v>
      </c>
      <c r="NL45" s="235">
        <f t="shared" ca="1" si="324"/>
        <v>0</v>
      </c>
      <c r="NM45" s="242">
        <f t="shared" ca="1" si="325"/>
        <v>0</v>
      </c>
      <c r="NN45" s="241">
        <f t="shared" ca="1" si="572"/>
        <v>1</v>
      </c>
      <c r="NO45" s="220">
        <f t="shared" ca="1" si="707"/>
        <v>0</v>
      </c>
      <c r="NP45" s="220">
        <f t="shared" ca="1" si="708"/>
        <v>0</v>
      </c>
      <c r="NQ45" s="235">
        <f t="shared" ca="1" si="328"/>
        <v>0</v>
      </c>
      <c r="NR45" s="235">
        <f t="shared" ca="1" si="329"/>
        <v>0</v>
      </c>
      <c r="NS45" s="242">
        <f t="shared" ca="1" si="330"/>
        <v>0</v>
      </c>
      <c r="NT45" s="241">
        <f t="shared" ca="1" si="572"/>
        <v>1</v>
      </c>
      <c r="NU45" s="220">
        <f t="shared" ca="1" si="709"/>
        <v>0</v>
      </c>
      <c r="NV45" s="220">
        <f t="shared" ca="1" si="710"/>
        <v>0</v>
      </c>
      <c r="NW45" s="235">
        <f t="shared" ca="1" si="334"/>
        <v>0</v>
      </c>
      <c r="NX45" s="235">
        <f t="shared" ca="1" si="335"/>
        <v>0</v>
      </c>
      <c r="NY45" s="242">
        <f t="shared" ca="1" si="336"/>
        <v>0</v>
      </c>
      <c r="NZ45" s="241">
        <f t="shared" ca="1" si="572"/>
        <v>1</v>
      </c>
      <c r="OA45" s="220">
        <f t="shared" ca="1" si="711"/>
        <v>0</v>
      </c>
      <c r="OB45" s="220">
        <f t="shared" ca="1" si="712"/>
        <v>0</v>
      </c>
      <c r="OC45" s="235">
        <f t="shared" ca="1" si="339"/>
        <v>0</v>
      </c>
      <c r="OD45" s="235">
        <f t="shared" ca="1" si="340"/>
        <v>0</v>
      </c>
      <c r="OE45" s="242">
        <f t="shared" ca="1" si="341"/>
        <v>0</v>
      </c>
      <c r="OF45" s="241">
        <f t="shared" ca="1" si="572"/>
        <v>1</v>
      </c>
      <c r="OG45" s="220">
        <f t="shared" ca="1" si="713"/>
        <v>0</v>
      </c>
      <c r="OH45" s="220">
        <f t="shared" ca="1" si="714"/>
        <v>0</v>
      </c>
      <c r="OI45" s="235">
        <f t="shared" ca="1" si="344"/>
        <v>0</v>
      </c>
      <c r="OJ45" s="235">
        <f t="shared" ca="1" si="345"/>
        <v>0</v>
      </c>
      <c r="OK45" s="242">
        <f t="shared" ca="1" si="346"/>
        <v>0</v>
      </c>
      <c r="OL45" s="241">
        <f t="shared" ca="1" si="572"/>
        <v>1</v>
      </c>
      <c r="OM45" s="220">
        <f t="shared" ca="1" si="715"/>
        <v>0</v>
      </c>
      <c r="ON45" s="220">
        <f t="shared" ca="1" si="716"/>
        <v>0</v>
      </c>
      <c r="OO45" s="235">
        <f t="shared" ca="1" si="349"/>
        <v>0</v>
      </c>
      <c r="OP45" s="235">
        <f t="shared" ca="1" si="350"/>
        <v>0</v>
      </c>
      <c r="OQ45" s="242">
        <f t="shared" ca="1" si="351"/>
        <v>0</v>
      </c>
      <c r="OR45" s="241">
        <f t="shared" ca="1" si="572"/>
        <v>1</v>
      </c>
      <c r="OS45" s="220">
        <f t="shared" ca="1" si="717"/>
        <v>0</v>
      </c>
      <c r="OT45" s="220">
        <f t="shared" ca="1" si="718"/>
        <v>0</v>
      </c>
      <c r="OU45" s="235">
        <f t="shared" ca="1" si="354"/>
        <v>0</v>
      </c>
      <c r="OV45" s="235">
        <f t="shared" ca="1" si="355"/>
        <v>0</v>
      </c>
      <c r="OW45" s="242">
        <f t="shared" ca="1" si="356"/>
        <v>0</v>
      </c>
      <c r="OX45" s="241">
        <f t="shared" ca="1" si="572"/>
        <v>1</v>
      </c>
      <c r="OY45" s="220">
        <f t="shared" ca="1" si="719"/>
        <v>0</v>
      </c>
      <c r="OZ45" s="220">
        <f t="shared" ca="1" si="720"/>
        <v>0</v>
      </c>
      <c r="PA45" s="235">
        <f t="shared" ca="1" si="359"/>
        <v>0</v>
      </c>
      <c r="PB45" s="235">
        <f t="shared" ca="1" si="360"/>
        <v>0</v>
      </c>
      <c r="PC45" s="242">
        <f t="shared" ca="1" si="361"/>
        <v>0</v>
      </c>
      <c r="PD45" s="241">
        <f t="shared" ca="1" si="565"/>
        <v>1</v>
      </c>
      <c r="PE45" s="220">
        <f t="shared" ca="1" si="721"/>
        <v>0</v>
      </c>
      <c r="PF45" s="220">
        <f t="shared" ca="1" si="722"/>
        <v>0</v>
      </c>
      <c r="PG45" s="235">
        <f t="shared" ca="1" si="364"/>
        <v>0</v>
      </c>
      <c r="PH45" s="235">
        <f t="shared" ca="1" si="365"/>
        <v>0</v>
      </c>
      <c r="PI45" s="242">
        <f t="shared" ca="1" si="366"/>
        <v>0</v>
      </c>
      <c r="PJ45" s="241">
        <f t="shared" ca="1" si="565"/>
        <v>1</v>
      </c>
      <c r="PK45" s="220">
        <f t="shared" ca="1" si="723"/>
        <v>0</v>
      </c>
      <c r="PL45" s="220">
        <f t="shared" ca="1" si="724"/>
        <v>0</v>
      </c>
      <c r="PM45" s="235">
        <f t="shared" ca="1" si="369"/>
        <v>0</v>
      </c>
      <c r="PN45" s="235">
        <f t="shared" ca="1" si="370"/>
        <v>0</v>
      </c>
      <c r="PO45" s="242">
        <f t="shared" ca="1" si="371"/>
        <v>0</v>
      </c>
      <c r="PP45" s="241">
        <f t="shared" ca="1" si="573"/>
        <v>1</v>
      </c>
      <c r="PQ45" s="220">
        <f t="shared" ca="1" si="725"/>
        <v>0</v>
      </c>
      <c r="PR45" s="220">
        <f t="shared" ca="1" si="726"/>
        <v>0</v>
      </c>
      <c r="PS45" s="235">
        <f t="shared" ca="1" si="374"/>
        <v>0</v>
      </c>
      <c r="PT45" s="235">
        <f t="shared" ca="1" si="375"/>
        <v>0</v>
      </c>
      <c r="PU45" s="242">
        <f t="shared" ca="1" si="376"/>
        <v>0</v>
      </c>
      <c r="PV45" s="241">
        <f t="shared" ca="1" si="573"/>
        <v>1</v>
      </c>
      <c r="PW45" s="220">
        <f t="shared" ca="1" si="727"/>
        <v>0</v>
      </c>
      <c r="PX45" s="220">
        <f t="shared" ca="1" si="728"/>
        <v>0</v>
      </c>
      <c r="PY45" s="235">
        <f t="shared" ca="1" si="379"/>
        <v>0</v>
      </c>
      <c r="PZ45" s="235">
        <f t="shared" ca="1" si="380"/>
        <v>0</v>
      </c>
      <c r="QA45" s="242">
        <f t="shared" ca="1" si="381"/>
        <v>0</v>
      </c>
      <c r="QB45" s="241">
        <f t="shared" ca="1" si="573"/>
        <v>1</v>
      </c>
      <c r="QC45" s="220">
        <f t="shared" ca="1" si="729"/>
        <v>0</v>
      </c>
      <c r="QD45" s="220">
        <f t="shared" ca="1" si="730"/>
        <v>0</v>
      </c>
      <c r="QE45" s="235">
        <f t="shared" ca="1" si="384"/>
        <v>0</v>
      </c>
      <c r="QF45" s="235">
        <f t="shared" ca="1" si="385"/>
        <v>0</v>
      </c>
      <c r="QG45" s="242">
        <f t="shared" ca="1" si="386"/>
        <v>0</v>
      </c>
      <c r="QH45" s="241">
        <f t="shared" ca="1" si="573"/>
        <v>1</v>
      </c>
      <c r="QI45" s="220">
        <f t="shared" ca="1" si="731"/>
        <v>0</v>
      </c>
      <c r="QJ45" s="220">
        <f t="shared" ca="1" si="732"/>
        <v>0</v>
      </c>
      <c r="QK45" s="235">
        <f t="shared" ca="1" si="390"/>
        <v>0</v>
      </c>
      <c r="QL45" s="235">
        <f t="shared" ca="1" si="391"/>
        <v>0</v>
      </c>
      <c r="QM45" s="242">
        <f t="shared" ca="1" si="392"/>
        <v>0</v>
      </c>
      <c r="QN45" s="241">
        <f t="shared" ca="1" si="573"/>
        <v>1</v>
      </c>
      <c r="QO45" s="220">
        <f t="shared" ca="1" si="733"/>
        <v>0</v>
      </c>
      <c r="QP45" s="220">
        <f t="shared" ca="1" si="734"/>
        <v>0</v>
      </c>
      <c r="QQ45" s="235">
        <f t="shared" ca="1" si="395"/>
        <v>0</v>
      </c>
      <c r="QR45" s="235">
        <f t="shared" ca="1" si="396"/>
        <v>0</v>
      </c>
      <c r="QS45" s="242">
        <f t="shared" ca="1" si="397"/>
        <v>0</v>
      </c>
      <c r="QT45" s="241">
        <f t="shared" ca="1" si="573"/>
        <v>1</v>
      </c>
      <c r="QU45" s="220">
        <f t="shared" ca="1" si="735"/>
        <v>0</v>
      </c>
      <c r="QV45" s="220">
        <f t="shared" ca="1" si="736"/>
        <v>0</v>
      </c>
      <c r="QW45" s="235">
        <f t="shared" ca="1" si="400"/>
        <v>0</v>
      </c>
      <c r="QX45" s="235">
        <f t="shared" ca="1" si="401"/>
        <v>0</v>
      </c>
      <c r="QY45" s="242">
        <f t="shared" ca="1" si="402"/>
        <v>0</v>
      </c>
      <c r="QZ45" s="241">
        <f t="shared" ca="1" si="573"/>
        <v>1</v>
      </c>
      <c r="RA45" s="220">
        <f t="shared" ca="1" si="737"/>
        <v>0</v>
      </c>
      <c r="RB45" s="220">
        <f t="shared" ca="1" si="738"/>
        <v>0</v>
      </c>
      <c r="RC45" s="235">
        <f t="shared" ca="1" si="405"/>
        <v>0</v>
      </c>
      <c r="RD45" s="235">
        <f t="shared" ca="1" si="406"/>
        <v>0</v>
      </c>
      <c r="RE45" s="242">
        <f t="shared" ca="1" si="407"/>
        <v>0</v>
      </c>
      <c r="RF45" s="241">
        <f t="shared" ca="1" si="573"/>
        <v>1</v>
      </c>
      <c r="RG45" s="220">
        <f t="shared" ca="1" si="739"/>
        <v>0</v>
      </c>
      <c r="RH45" s="220">
        <f t="shared" ca="1" si="740"/>
        <v>0</v>
      </c>
      <c r="RI45" s="235">
        <f t="shared" ca="1" si="410"/>
        <v>0</v>
      </c>
      <c r="RJ45" s="235">
        <f t="shared" ca="1" si="411"/>
        <v>0</v>
      </c>
      <c r="RK45" s="242">
        <f t="shared" ca="1" si="412"/>
        <v>0</v>
      </c>
      <c r="RL45" s="241">
        <f t="shared" ca="1" si="573"/>
        <v>1</v>
      </c>
      <c r="RM45" s="220">
        <f t="shared" ca="1" si="741"/>
        <v>0</v>
      </c>
      <c r="RN45" s="220">
        <f t="shared" ca="1" si="742"/>
        <v>0</v>
      </c>
      <c r="RO45" s="235">
        <f t="shared" ca="1" si="415"/>
        <v>0</v>
      </c>
      <c r="RP45" s="235">
        <f t="shared" ca="1" si="416"/>
        <v>0</v>
      </c>
      <c r="RQ45" s="242">
        <f t="shared" ca="1" si="417"/>
        <v>0</v>
      </c>
      <c r="RR45" s="241">
        <f t="shared" ca="1" si="573"/>
        <v>1</v>
      </c>
      <c r="RS45" s="220">
        <f t="shared" ca="1" si="743"/>
        <v>0</v>
      </c>
      <c r="RT45" s="220">
        <f t="shared" ca="1" si="744"/>
        <v>0</v>
      </c>
      <c r="RU45" s="235">
        <f t="shared" ca="1" si="420"/>
        <v>0</v>
      </c>
      <c r="RV45" s="235">
        <f t="shared" ca="1" si="421"/>
        <v>0</v>
      </c>
      <c r="RW45" s="242">
        <f t="shared" ca="1" si="422"/>
        <v>0</v>
      </c>
      <c r="RX45" s="241">
        <f t="shared" ca="1" si="573"/>
        <v>1</v>
      </c>
      <c r="RY45" s="220">
        <f t="shared" ca="1" si="745"/>
        <v>0</v>
      </c>
      <c r="RZ45" s="220">
        <f t="shared" ca="1" si="746"/>
        <v>0</v>
      </c>
      <c r="SA45" s="235">
        <f t="shared" ca="1" si="425"/>
        <v>0</v>
      </c>
      <c r="SB45" s="235">
        <f t="shared" ca="1" si="426"/>
        <v>0</v>
      </c>
      <c r="SC45" s="242">
        <f t="shared" ca="1" si="427"/>
        <v>0</v>
      </c>
      <c r="SD45" s="241">
        <f t="shared" ca="1" si="566"/>
        <v>1</v>
      </c>
      <c r="SE45" s="220">
        <f t="shared" ca="1" si="747"/>
        <v>0</v>
      </c>
      <c r="SF45" s="220">
        <f t="shared" ca="1" si="748"/>
        <v>0</v>
      </c>
      <c r="SG45" s="235">
        <f t="shared" ca="1" si="430"/>
        <v>0</v>
      </c>
      <c r="SH45" s="235">
        <f t="shared" ca="1" si="431"/>
        <v>0</v>
      </c>
      <c r="SI45" s="242">
        <f t="shared" ca="1" si="432"/>
        <v>0</v>
      </c>
      <c r="SJ45" s="241">
        <f t="shared" ca="1" si="566"/>
        <v>1</v>
      </c>
      <c r="SK45" s="220">
        <f t="shared" ca="1" si="749"/>
        <v>0</v>
      </c>
      <c r="SL45" s="220">
        <f t="shared" ca="1" si="750"/>
        <v>0</v>
      </c>
      <c r="SM45" s="235">
        <f t="shared" ca="1" si="435"/>
        <v>0</v>
      </c>
      <c r="SN45" s="235">
        <f t="shared" ca="1" si="436"/>
        <v>0</v>
      </c>
      <c r="SO45" s="242">
        <f t="shared" ca="1" si="437"/>
        <v>0</v>
      </c>
      <c r="SP45" s="241">
        <f t="shared" ca="1" si="576"/>
        <v>1</v>
      </c>
      <c r="SQ45" s="220">
        <f t="shared" ca="1" si="751"/>
        <v>0</v>
      </c>
      <c r="SR45" s="220">
        <f t="shared" ca="1" si="752"/>
        <v>0</v>
      </c>
      <c r="SS45" s="235">
        <f t="shared" ca="1" si="440"/>
        <v>0</v>
      </c>
      <c r="ST45" s="235">
        <f t="shared" ca="1" si="441"/>
        <v>0</v>
      </c>
      <c r="SU45" s="242">
        <f t="shared" ca="1" si="442"/>
        <v>0</v>
      </c>
      <c r="SV45" s="241">
        <f t="shared" ca="1" si="576"/>
        <v>1</v>
      </c>
      <c r="SW45" s="220">
        <f t="shared" ca="1" si="753"/>
        <v>0</v>
      </c>
      <c r="SX45" s="220">
        <f t="shared" ca="1" si="754"/>
        <v>0</v>
      </c>
      <c r="SY45" s="235">
        <f t="shared" ca="1" si="446"/>
        <v>0</v>
      </c>
      <c r="SZ45" s="235">
        <f t="shared" ca="1" si="447"/>
        <v>0</v>
      </c>
      <c r="TA45" s="242">
        <f t="shared" ca="1" si="448"/>
        <v>0</v>
      </c>
      <c r="TB45" s="241">
        <f t="shared" ca="1" si="576"/>
        <v>1</v>
      </c>
      <c r="TC45" s="220">
        <f t="shared" ca="1" si="755"/>
        <v>0</v>
      </c>
      <c r="TD45" s="220">
        <f t="shared" ca="1" si="756"/>
        <v>0</v>
      </c>
      <c r="TE45" s="235">
        <f t="shared" ca="1" si="451"/>
        <v>0</v>
      </c>
      <c r="TF45" s="235">
        <f t="shared" ca="1" si="452"/>
        <v>0</v>
      </c>
      <c r="TG45" s="242">
        <f t="shared" ca="1" si="453"/>
        <v>0</v>
      </c>
      <c r="TH45" s="241">
        <f t="shared" ca="1" si="576"/>
        <v>1</v>
      </c>
      <c r="TI45" s="220">
        <f t="shared" ca="1" si="757"/>
        <v>0</v>
      </c>
      <c r="TJ45" s="220">
        <f t="shared" ca="1" si="758"/>
        <v>0</v>
      </c>
      <c r="TK45" s="235">
        <f t="shared" ca="1" si="456"/>
        <v>0</v>
      </c>
      <c r="TL45" s="235">
        <f t="shared" ca="1" si="457"/>
        <v>0</v>
      </c>
      <c r="TM45" s="242">
        <f t="shared" ca="1" si="458"/>
        <v>0</v>
      </c>
      <c r="TN45" s="241">
        <f t="shared" ca="1" si="576"/>
        <v>1</v>
      </c>
      <c r="TO45" s="220">
        <f t="shared" ca="1" si="759"/>
        <v>0</v>
      </c>
      <c r="TP45" s="220">
        <f t="shared" ca="1" si="760"/>
        <v>0</v>
      </c>
      <c r="TQ45" s="235">
        <f t="shared" ca="1" si="461"/>
        <v>0</v>
      </c>
      <c r="TR45" s="235">
        <f t="shared" ca="1" si="462"/>
        <v>0</v>
      </c>
      <c r="TS45" s="242">
        <f t="shared" ca="1" si="463"/>
        <v>0</v>
      </c>
      <c r="TT45" s="241">
        <f t="shared" ca="1" si="576"/>
        <v>1</v>
      </c>
      <c r="TU45" s="220">
        <f t="shared" ca="1" si="761"/>
        <v>0</v>
      </c>
      <c r="TV45" s="220">
        <f t="shared" ca="1" si="762"/>
        <v>0</v>
      </c>
      <c r="TW45" s="235">
        <f t="shared" ca="1" si="466"/>
        <v>0</v>
      </c>
      <c r="TX45" s="235">
        <f t="shared" ca="1" si="467"/>
        <v>0</v>
      </c>
      <c r="TY45" s="242">
        <f t="shared" ca="1" si="468"/>
        <v>0</v>
      </c>
      <c r="TZ45" s="241">
        <f t="shared" ca="1" si="576"/>
        <v>1</v>
      </c>
      <c r="UA45" s="220">
        <f t="shared" ca="1" si="763"/>
        <v>0</v>
      </c>
      <c r="UB45" s="220">
        <f t="shared" ca="1" si="764"/>
        <v>0</v>
      </c>
      <c r="UC45" s="235">
        <f t="shared" ca="1" si="471"/>
        <v>0</v>
      </c>
      <c r="UD45" s="235">
        <f t="shared" ca="1" si="472"/>
        <v>0</v>
      </c>
      <c r="UE45" s="242">
        <f t="shared" ca="1" si="473"/>
        <v>0</v>
      </c>
      <c r="UF45" s="241">
        <f t="shared" ca="1" si="576"/>
        <v>1</v>
      </c>
      <c r="UG45" s="220">
        <f t="shared" ca="1" si="765"/>
        <v>0</v>
      </c>
      <c r="UH45" s="220">
        <f t="shared" ca="1" si="766"/>
        <v>0</v>
      </c>
      <c r="UI45" s="235">
        <f t="shared" ca="1" si="476"/>
        <v>0</v>
      </c>
      <c r="UJ45" s="235">
        <f t="shared" ca="1" si="477"/>
        <v>0</v>
      </c>
      <c r="UK45" s="242">
        <f t="shared" ca="1" si="478"/>
        <v>0</v>
      </c>
      <c r="UL45" s="241">
        <f t="shared" ca="1" si="576"/>
        <v>1</v>
      </c>
      <c r="UM45" s="220">
        <f t="shared" ca="1" si="767"/>
        <v>0</v>
      </c>
      <c r="UN45" s="220">
        <f t="shared" ca="1" si="768"/>
        <v>0</v>
      </c>
      <c r="UO45" s="235">
        <f t="shared" ca="1" si="481"/>
        <v>0</v>
      </c>
      <c r="UP45" s="235">
        <f t="shared" ca="1" si="482"/>
        <v>0</v>
      </c>
      <c r="UQ45" s="242">
        <f t="shared" ca="1" si="483"/>
        <v>0</v>
      </c>
      <c r="UR45" s="241">
        <f t="shared" ca="1" si="576"/>
        <v>1</v>
      </c>
      <c r="US45" s="220">
        <f t="shared" ca="1" si="769"/>
        <v>0</v>
      </c>
      <c r="UT45" s="220">
        <f t="shared" ca="1" si="770"/>
        <v>0</v>
      </c>
      <c r="UU45" s="235">
        <f t="shared" ca="1" si="486"/>
        <v>0</v>
      </c>
      <c r="UV45" s="235">
        <f t="shared" ca="1" si="487"/>
        <v>0</v>
      </c>
      <c r="UW45" s="242">
        <f t="shared" ca="1" si="488"/>
        <v>0</v>
      </c>
      <c r="UX45" s="241">
        <f t="shared" ca="1" si="576"/>
        <v>1</v>
      </c>
      <c r="UY45" s="220">
        <f t="shared" ca="1" si="771"/>
        <v>0</v>
      </c>
      <c r="UZ45" s="220">
        <f t="shared" ca="1" si="772"/>
        <v>0</v>
      </c>
      <c r="VA45" s="235">
        <f t="shared" ca="1" si="491"/>
        <v>0</v>
      </c>
      <c r="VB45" s="235">
        <f t="shared" ca="1" si="492"/>
        <v>0</v>
      </c>
      <c r="VC45" s="242">
        <f t="shared" ca="1" si="493"/>
        <v>0</v>
      </c>
      <c r="VD45" s="241">
        <f t="shared" ca="1" si="574"/>
        <v>1</v>
      </c>
      <c r="VE45" s="220">
        <f t="shared" ca="1" si="773"/>
        <v>0</v>
      </c>
      <c r="VF45" s="220">
        <f t="shared" ca="1" si="774"/>
        <v>0</v>
      </c>
      <c r="VG45" s="235">
        <f t="shared" ca="1" si="496"/>
        <v>0</v>
      </c>
      <c r="VH45" s="235">
        <f t="shared" ca="1" si="497"/>
        <v>0</v>
      </c>
      <c r="VI45" s="242">
        <f t="shared" ca="1" si="498"/>
        <v>0</v>
      </c>
      <c r="VJ45" s="241">
        <f t="shared" ca="1" si="567"/>
        <v>1</v>
      </c>
      <c r="VK45" s="220">
        <f t="shared" ca="1" si="775"/>
        <v>0</v>
      </c>
      <c r="VL45" s="220">
        <f t="shared" ca="1" si="776"/>
        <v>0</v>
      </c>
      <c r="VM45" s="235">
        <f t="shared" ca="1" si="502"/>
        <v>0</v>
      </c>
      <c r="VN45" s="235">
        <f t="shared" ca="1" si="503"/>
        <v>0</v>
      </c>
      <c r="VO45" s="242">
        <f t="shared" ca="1" si="504"/>
        <v>0</v>
      </c>
      <c r="VP45" s="241">
        <f t="shared" ca="1" si="567"/>
        <v>1</v>
      </c>
      <c r="VQ45" s="220">
        <f t="shared" ca="1" si="777"/>
        <v>0</v>
      </c>
      <c r="VR45" s="220">
        <f t="shared" ca="1" si="778"/>
        <v>0</v>
      </c>
      <c r="VS45" s="235">
        <f t="shared" ca="1" si="507"/>
        <v>0</v>
      </c>
      <c r="VT45" s="235">
        <f t="shared" ca="1" si="508"/>
        <v>0</v>
      </c>
      <c r="VU45" s="242">
        <f t="shared" ca="1" si="509"/>
        <v>0</v>
      </c>
      <c r="VV45" s="241">
        <f t="shared" ca="1" si="578"/>
        <v>1</v>
      </c>
      <c r="VW45" s="220">
        <f t="shared" ca="1" si="779"/>
        <v>0</v>
      </c>
      <c r="VX45" s="220">
        <f t="shared" ca="1" si="780"/>
        <v>0</v>
      </c>
      <c r="VY45" s="235">
        <f t="shared" ca="1" si="512"/>
        <v>0</v>
      </c>
      <c r="VZ45" s="235">
        <f t="shared" ca="1" si="513"/>
        <v>0</v>
      </c>
      <c r="WA45" s="242">
        <f t="shared" ca="1" si="514"/>
        <v>0</v>
      </c>
      <c r="WB45" s="241">
        <f t="shared" ca="1" si="578"/>
        <v>1</v>
      </c>
      <c r="WC45" s="220">
        <f t="shared" ca="1" si="781"/>
        <v>0</v>
      </c>
      <c r="WD45" s="220">
        <f t="shared" ca="1" si="782"/>
        <v>0</v>
      </c>
      <c r="WE45" s="235">
        <f t="shared" ca="1" si="517"/>
        <v>0</v>
      </c>
      <c r="WF45" s="235">
        <f t="shared" ca="1" si="518"/>
        <v>0</v>
      </c>
      <c r="WG45" s="242">
        <f t="shared" ca="1" si="519"/>
        <v>0</v>
      </c>
      <c r="WH45" s="241">
        <f t="shared" ca="1" si="578"/>
        <v>1</v>
      </c>
      <c r="WI45" s="220">
        <f t="shared" ca="1" si="783"/>
        <v>0</v>
      </c>
      <c r="WJ45" s="220">
        <f t="shared" ca="1" si="784"/>
        <v>0</v>
      </c>
      <c r="WK45" s="235">
        <f t="shared" ca="1" si="522"/>
        <v>0</v>
      </c>
      <c r="WL45" s="235">
        <f t="shared" ca="1" si="523"/>
        <v>0</v>
      </c>
      <c r="WM45" s="242">
        <f t="shared" ca="1" si="524"/>
        <v>0</v>
      </c>
      <c r="WN45" s="241">
        <f t="shared" ca="1" si="578"/>
        <v>1</v>
      </c>
      <c r="WO45" s="220">
        <f t="shared" ca="1" si="785"/>
        <v>0</v>
      </c>
      <c r="WP45" s="220">
        <f t="shared" ca="1" si="786"/>
        <v>0</v>
      </c>
      <c r="WQ45" s="235">
        <f t="shared" ca="1" si="527"/>
        <v>0</v>
      </c>
      <c r="WR45" s="235">
        <f t="shared" ca="1" si="528"/>
        <v>0</v>
      </c>
      <c r="WS45" s="242">
        <f t="shared" ca="1" si="529"/>
        <v>0</v>
      </c>
      <c r="WT45" s="241">
        <f t="shared" ca="1" si="578"/>
        <v>1</v>
      </c>
      <c r="WU45" s="220">
        <f t="shared" ca="1" si="787"/>
        <v>0</v>
      </c>
      <c r="WV45" s="220">
        <f t="shared" ca="1" si="788"/>
        <v>0</v>
      </c>
      <c r="WW45" s="235">
        <f t="shared" ca="1" si="532"/>
        <v>0</v>
      </c>
      <c r="WX45" s="235">
        <f t="shared" ca="1" si="533"/>
        <v>0</v>
      </c>
      <c r="WY45" s="242">
        <f t="shared" ca="1" si="534"/>
        <v>0</v>
      </c>
      <c r="WZ45" s="241">
        <f t="shared" ca="1" si="578"/>
        <v>1</v>
      </c>
      <c r="XA45" s="220">
        <f t="shared" ca="1" si="789"/>
        <v>0</v>
      </c>
      <c r="XB45" s="220">
        <f t="shared" ca="1" si="790"/>
        <v>0</v>
      </c>
      <c r="XC45" s="235">
        <f t="shared" ca="1" si="537"/>
        <v>0</v>
      </c>
      <c r="XD45" s="235">
        <f t="shared" ca="1" si="538"/>
        <v>0</v>
      </c>
      <c r="XE45" s="242">
        <f t="shared" ca="1" si="539"/>
        <v>0</v>
      </c>
      <c r="XF45" s="241">
        <f t="shared" ca="1" si="578"/>
        <v>1</v>
      </c>
      <c r="XG45" s="220">
        <f t="shared" ca="1" si="791"/>
        <v>0</v>
      </c>
      <c r="XH45" s="220">
        <f t="shared" ca="1" si="792"/>
        <v>0</v>
      </c>
      <c r="XI45" s="235">
        <f t="shared" ca="1" si="542"/>
        <v>0</v>
      </c>
      <c r="XJ45" s="235">
        <f t="shared" ca="1" si="543"/>
        <v>0</v>
      </c>
      <c r="XK45" s="242">
        <f t="shared" ca="1" si="544"/>
        <v>0</v>
      </c>
    </row>
    <row r="46" spans="2:635" x14ac:dyDescent="0.25">
      <c r="B46" s="65">
        <f t="shared" ca="1" si="14"/>
        <v>2061</v>
      </c>
      <c r="C46" s="65" t="s">
        <v>741</v>
      </c>
      <c r="D46" s="77">
        <f t="shared" si="580"/>
        <v>0</v>
      </c>
      <c r="E46" s="77">
        <f t="shared" si="581"/>
        <v>0</v>
      </c>
      <c r="F46" s="77">
        <f t="shared" si="17"/>
        <v>0</v>
      </c>
      <c r="G46" s="77">
        <f t="shared" si="18"/>
        <v>0</v>
      </c>
      <c r="H46" s="15" t="e">
        <f t="shared" ca="1" si="582"/>
        <v>#REF!</v>
      </c>
      <c r="L46" s="326">
        <f t="shared" ca="1" si="583"/>
        <v>3.5000000000000003E-2</v>
      </c>
      <c r="M46" s="327">
        <f t="shared" ca="1" si="584"/>
        <v>3.5000000000000003E-2</v>
      </c>
      <c r="N46" s="322">
        <f t="shared" ca="1" si="579"/>
        <v>-38</v>
      </c>
      <c r="O46" s="322">
        <f t="shared" ca="1" si="585"/>
        <v>0</v>
      </c>
      <c r="P46" s="328">
        <f t="shared" ca="1" si="545"/>
        <v>0</v>
      </c>
      <c r="Q46" s="328">
        <f t="shared" ca="1" si="546"/>
        <v>0</v>
      </c>
      <c r="R46" s="328">
        <f t="shared" ca="1" si="547"/>
        <v>0</v>
      </c>
      <c r="S46" s="329">
        <f t="shared" ca="1" si="586"/>
        <v>0</v>
      </c>
      <c r="T46" s="329">
        <f t="shared" ca="1" si="587"/>
        <v>0</v>
      </c>
      <c r="U46" s="329">
        <f t="shared" ca="1" si="588"/>
        <v>0</v>
      </c>
      <c r="V46" s="320" t="e">
        <f t="shared" ca="1" si="589"/>
        <v>#REF!</v>
      </c>
      <c r="W46" s="320" t="e">
        <f t="shared" ca="1" si="560"/>
        <v>#REF!</v>
      </c>
      <c r="X46" s="320" t="e">
        <f t="shared" ca="1" si="590"/>
        <v>#REF!</v>
      </c>
      <c r="Y46" s="320" t="e">
        <f ca="1">INDEX(SC_ZA_HECMLumpSum,ZAIDX)</f>
        <v>#REF!</v>
      </c>
      <c r="Z46" s="320" t="e">
        <f t="shared" ca="1" si="591"/>
        <v>#REF!</v>
      </c>
      <c r="AA46" s="320">
        <f t="shared" ca="1" si="557"/>
        <v>0</v>
      </c>
      <c r="AB46" s="320" t="e">
        <f t="shared" ca="1" si="558"/>
        <v>#REF!</v>
      </c>
      <c r="AC46" s="330" t="e">
        <f t="shared" ca="1" si="559"/>
        <v>#REF!</v>
      </c>
      <c r="AD46" s="236" t="e">
        <f t="shared" ca="1" si="548"/>
        <v>#REF!</v>
      </c>
      <c r="AE46" s="320" t="e">
        <f t="shared" ca="1" si="561"/>
        <v>#REF!</v>
      </c>
      <c r="AF46" s="320" t="e">
        <f t="shared" ca="1" si="592"/>
        <v>#REF!</v>
      </c>
      <c r="AG46" s="320" t="e">
        <f t="shared" ca="1" si="549"/>
        <v>#REF!</v>
      </c>
      <c r="AH46" s="284" t="e">
        <f t="shared" ca="1" si="550"/>
        <v>#REF!</v>
      </c>
      <c r="AI46" s="318" t="e">
        <f t="shared" ca="1" si="551"/>
        <v>#REF!</v>
      </c>
      <c r="AJ46" s="331">
        <f t="shared" ca="1" si="575"/>
        <v>1</v>
      </c>
      <c r="AK46" s="220">
        <f t="shared" ca="1" si="593"/>
        <v>0</v>
      </c>
      <c r="AL46" s="220">
        <f t="shared" ca="1" si="594"/>
        <v>0</v>
      </c>
      <c r="AM46" s="235">
        <f t="shared" ca="1" si="554"/>
        <v>0</v>
      </c>
      <c r="AN46" s="235">
        <f t="shared" ca="1" si="555"/>
        <v>0</v>
      </c>
      <c r="AO46" s="242">
        <f t="shared" ca="1" si="556"/>
        <v>0</v>
      </c>
      <c r="AP46" s="241">
        <f t="shared" ca="1" si="575"/>
        <v>1</v>
      </c>
      <c r="AQ46" s="220">
        <f t="shared" ca="1" si="595"/>
        <v>0</v>
      </c>
      <c r="AR46" s="220">
        <f t="shared" ca="1" si="596"/>
        <v>0</v>
      </c>
      <c r="AS46" s="235">
        <f t="shared" ca="1" si="43"/>
        <v>0</v>
      </c>
      <c r="AT46" s="235">
        <f t="shared" ca="1" si="44"/>
        <v>0</v>
      </c>
      <c r="AU46" s="242">
        <f t="shared" ca="1" si="45"/>
        <v>0</v>
      </c>
      <c r="AV46" s="241">
        <f t="shared" ca="1" si="575"/>
        <v>1</v>
      </c>
      <c r="AW46" s="220">
        <f t="shared" ca="1" si="597"/>
        <v>0</v>
      </c>
      <c r="AX46" s="220">
        <f t="shared" ca="1" si="598"/>
        <v>0</v>
      </c>
      <c r="AY46" s="235">
        <f t="shared" ca="1" si="48"/>
        <v>0</v>
      </c>
      <c r="AZ46" s="235">
        <f t="shared" ca="1" si="49"/>
        <v>0</v>
      </c>
      <c r="BA46" s="242">
        <f t="shared" ca="1" si="50"/>
        <v>0</v>
      </c>
      <c r="BB46" s="241">
        <f t="shared" ca="1" si="575"/>
        <v>1</v>
      </c>
      <c r="BC46" s="220">
        <f t="shared" ca="1" si="599"/>
        <v>0</v>
      </c>
      <c r="BD46" s="220">
        <f t="shared" ca="1" si="600"/>
        <v>0</v>
      </c>
      <c r="BE46" s="235">
        <f t="shared" ca="1" si="54"/>
        <v>0</v>
      </c>
      <c r="BF46" s="235">
        <f t="shared" ca="1" si="55"/>
        <v>0</v>
      </c>
      <c r="BG46" s="242">
        <f t="shared" ca="1" si="56"/>
        <v>0</v>
      </c>
      <c r="BH46" s="241">
        <f t="shared" ca="1" si="575"/>
        <v>1</v>
      </c>
      <c r="BI46" s="220">
        <f t="shared" ca="1" si="601"/>
        <v>0</v>
      </c>
      <c r="BJ46" s="220">
        <f t="shared" ca="1" si="602"/>
        <v>0</v>
      </c>
      <c r="BK46" s="235">
        <f t="shared" ca="1" si="59"/>
        <v>0</v>
      </c>
      <c r="BL46" s="235">
        <f t="shared" ca="1" si="60"/>
        <v>0</v>
      </c>
      <c r="BM46" s="242">
        <f t="shared" ca="1" si="61"/>
        <v>0</v>
      </c>
      <c r="BN46" s="241">
        <f t="shared" ca="1" si="575"/>
        <v>1</v>
      </c>
      <c r="BO46" s="220">
        <f t="shared" ca="1" si="603"/>
        <v>0</v>
      </c>
      <c r="BP46" s="220">
        <f t="shared" ca="1" si="604"/>
        <v>0</v>
      </c>
      <c r="BQ46" s="235">
        <f t="shared" ca="1" si="64"/>
        <v>0</v>
      </c>
      <c r="BR46" s="235">
        <f t="shared" ca="1" si="65"/>
        <v>0</v>
      </c>
      <c r="BS46" s="242">
        <f t="shared" ca="1" si="66"/>
        <v>0</v>
      </c>
      <c r="BT46" s="241">
        <f t="shared" ca="1" si="575"/>
        <v>1</v>
      </c>
      <c r="BU46" s="220">
        <f t="shared" ca="1" si="605"/>
        <v>0</v>
      </c>
      <c r="BV46" s="220">
        <f t="shared" ca="1" si="606"/>
        <v>0</v>
      </c>
      <c r="BW46" s="235">
        <f t="shared" ca="1" si="69"/>
        <v>0</v>
      </c>
      <c r="BX46" s="235">
        <f t="shared" ca="1" si="70"/>
        <v>0</v>
      </c>
      <c r="BY46" s="242">
        <f t="shared" ca="1" si="71"/>
        <v>0</v>
      </c>
      <c r="BZ46" s="241">
        <f t="shared" ca="1" si="575"/>
        <v>1</v>
      </c>
      <c r="CA46" s="220">
        <f t="shared" ca="1" si="607"/>
        <v>0</v>
      </c>
      <c r="CB46" s="220">
        <f t="shared" ca="1" si="608"/>
        <v>0</v>
      </c>
      <c r="CC46" s="235">
        <f t="shared" ca="1" si="74"/>
        <v>0</v>
      </c>
      <c r="CD46" s="235">
        <f t="shared" ca="1" si="75"/>
        <v>0</v>
      </c>
      <c r="CE46" s="242">
        <f t="shared" ca="1" si="76"/>
        <v>0</v>
      </c>
      <c r="CF46" s="241">
        <f t="shared" ca="1" si="575"/>
        <v>1</v>
      </c>
      <c r="CG46" s="220">
        <f t="shared" ca="1" si="609"/>
        <v>0</v>
      </c>
      <c r="CH46" s="220">
        <f t="shared" ca="1" si="610"/>
        <v>0</v>
      </c>
      <c r="CI46" s="235">
        <f t="shared" ca="1" si="79"/>
        <v>0</v>
      </c>
      <c r="CJ46" s="235">
        <f t="shared" ca="1" si="80"/>
        <v>0</v>
      </c>
      <c r="CK46" s="242">
        <f t="shared" ca="1" si="81"/>
        <v>0</v>
      </c>
      <c r="CL46" s="241">
        <f t="shared" ca="1" si="575"/>
        <v>1</v>
      </c>
      <c r="CM46" s="220">
        <f t="shared" ca="1" si="611"/>
        <v>0</v>
      </c>
      <c r="CN46" s="220">
        <f t="shared" ca="1" si="612"/>
        <v>0</v>
      </c>
      <c r="CO46" s="235">
        <f t="shared" ca="1" si="84"/>
        <v>0</v>
      </c>
      <c r="CP46" s="235">
        <f t="shared" ca="1" si="85"/>
        <v>0</v>
      </c>
      <c r="CQ46" s="242">
        <f t="shared" ca="1" si="86"/>
        <v>0</v>
      </c>
      <c r="CR46" s="241">
        <f t="shared" ca="1" si="575"/>
        <v>1</v>
      </c>
      <c r="CS46" s="220">
        <f t="shared" ca="1" si="613"/>
        <v>0</v>
      </c>
      <c r="CT46" s="220">
        <f t="shared" ca="1" si="614"/>
        <v>0</v>
      </c>
      <c r="CU46" s="235">
        <f t="shared" ca="1" si="89"/>
        <v>0</v>
      </c>
      <c r="CV46" s="235">
        <f t="shared" ca="1" si="90"/>
        <v>0</v>
      </c>
      <c r="CW46" s="242">
        <f t="shared" ca="1" si="91"/>
        <v>0</v>
      </c>
      <c r="CX46" s="241">
        <f t="shared" ca="1" si="568"/>
        <v>1</v>
      </c>
      <c r="CY46" s="220">
        <f t="shared" ca="1" si="615"/>
        <v>0</v>
      </c>
      <c r="CZ46" s="220">
        <f t="shared" ca="1" si="616"/>
        <v>0</v>
      </c>
      <c r="DA46" s="235">
        <f t="shared" ca="1" si="94"/>
        <v>0</v>
      </c>
      <c r="DB46" s="235">
        <f t="shared" ca="1" si="95"/>
        <v>0</v>
      </c>
      <c r="DC46" s="242">
        <f t="shared" ca="1" si="96"/>
        <v>0</v>
      </c>
      <c r="DD46" s="241">
        <f t="shared" ca="1" si="568"/>
        <v>1</v>
      </c>
      <c r="DE46" s="220">
        <f t="shared" ca="1" si="617"/>
        <v>0</v>
      </c>
      <c r="DF46" s="220">
        <f t="shared" ca="1" si="618"/>
        <v>0</v>
      </c>
      <c r="DG46" s="235">
        <f t="shared" ca="1" si="99"/>
        <v>0</v>
      </c>
      <c r="DH46" s="235">
        <f t="shared" ca="1" si="100"/>
        <v>0</v>
      </c>
      <c r="DI46" s="242">
        <f t="shared" ca="1" si="101"/>
        <v>0</v>
      </c>
      <c r="DJ46" s="241">
        <f t="shared" ca="1" si="51"/>
        <v>1</v>
      </c>
      <c r="DK46" s="220">
        <f t="shared" ca="1" si="619"/>
        <v>0</v>
      </c>
      <c r="DL46" s="220">
        <f t="shared" ca="1" si="620"/>
        <v>0</v>
      </c>
      <c r="DM46" s="235">
        <f t="shared" ca="1" si="104"/>
        <v>0</v>
      </c>
      <c r="DN46" s="235">
        <f t="shared" ca="1" si="105"/>
        <v>0</v>
      </c>
      <c r="DO46" s="242">
        <f t="shared" ca="1" si="106"/>
        <v>0</v>
      </c>
      <c r="DP46" s="241">
        <f t="shared" ca="1" si="569"/>
        <v>1</v>
      </c>
      <c r="DQ46" s="220">
        <f t="shared" ca="1" si="621"/>
        <v>0</v>
      </c>
      <c r="DR46" s="220">
        <f t="shared" ca="1" si="622"/>
        <v>0</v>
      </c>
      <c r="DS46" s="235">
        <f t="shared" ca="1" si="110"/>
        <v>0</v>
      </c>
      <c r="DT46" s="235">
        <f t="shared" ca="1" si="111"/>
        <v>0</v>
      </c>
      <c r="DU46" s="242">
        <f t="shared" ca="1" si="112"/>
        <v>0</v>
      </c>
      <c r="DV46" s="241">
        <f t="shared" ca="1" si="569"/>
        <v>1</v>
      </c>
      <c r="DW46" s="220">
        <f t="shared" ca="1" si="623"/>
        <v>0</v>
      </c>
      <c r="DX46" s="220">
        <f t="shared" ca="1" si="624"/>
        <v>0</v>
      </c>
      <c r="DY46" s="235">
        <f t="shared" ca="1" si="115"/>
        <v>0</v>
      </c>
      <c r="DZ46" s="235">
        <f t="shared" ca="1" si="116"/>
        <v>0</v>
      </c>
      <c r="EA46" s="242">
        <f t="shared" ca="1" si="117"/>
        <v>0</v>
      </c>
      <c r="EB46" s="241">
        <f t="shared" ca="1" si="569"/>
        <v>1</v>
      </c>
      <c r="EC46" s="220">
        <f t="shared" ca="1" si="625"/>
        <v>0</v>
      </c>
      <c r="ED46" s="220">
        <f t="shared" ca="1" si="626"/>
        <v>0</v>
      </c>
      <c r="EE46" s="235">
        <f t="shared" ca="1" si="120"/>
        <v>0</v>
      </c>
      <c r="EF46" s="235">
        <f t="shared" ca="1" si="121"/>
        <v>0</v>
      </c>
      <c r="EG46" s="242">
        <f t="shared" ca="1" si="122"/>
        <v>0</v>
      </c>
      <c r="EH46" s="241">
        <f t="shared" ca="1" si="569"/>
        <v>1</v>
      </c>
      <c r="EI46" s="220">
        <f t="shared" ca="1" si="627"/>
        <v>0</v>
      </c>
      <c r="EJ46" s="220">
        <f t="shared" ca="1" si="628"/>
        <v>0</v>
      </c>
      <c r="EK46" s="235">
        <f t="shared" ca="1" si="125"/>
        <v>0</v>
      </c>
      <c r="EL46" s="235">
        <f t="shared" ca="1" si="126"/>
        <v>0</v>
      </c>
      <c r="EM46" s="242">
        <f t="shared" ca="1" si="127"/>
        <v>0</v>
      </c>
      <c r="EN46" s="241">
        <f t="shared" ca="1" si="569"/>
        <v>1</v>
      </c>
      <c r="EO46" s="220">
        <f t="shared" ca="1" si="629"/>
        <v>0</v>
      </c>
      <c r="EP46" s="220">
        <f t="shared" ca="1" si="630"/>
        <v>0</v>
      </c>
      <c r="EQ46" s="235">
        <f t="shared" ca="1" si="130"/>
        <v>0</v>
      </c>
      <c r="ER46" s="235">
        <f t="shared" ca="1" si="131"/>
        <v>0</v>
      </c>
      <c r="ES46" s="242">
        <f t="shared" ca="1" si="132"/>
        <v>0</v>
      </c>
      <c r="ET46" s="241">
        <f t="shared" ca="1" si="569"/>
        <v>1</v>
      </c>
      <c r="EU46" s="220">
        <f t="shared" ca="1" si="631"/>
        <v>0</v>
      </c>
      <c r="EV46" s="220">
        <f t="shared" ca="1" si="632"/>
        <v>0</v>
      </c>
      <c r="EW46" s="235">
        <f t="shared" ca="1" si="135"/>
        <v>0</v>
      </c>
      <c r="EX46" s="235">
        <f t="shared" ca="1" si="136"/>
        <v>0</v>
      </c>
      <c r="EY46" s="242">
        <f t="shared" ca="1" si="137"/>
        <v>0</v>
      </c>
      <c r="EZ46" s="241">
        <f t="shared" ca="1" si="569"/>
        <v>1</v>
      </c>
      <c r="FA46" s="220">
        <f t="shared" ca="1" si="633"/>
        <v>0</v>
      </c>
      <c r="FB46" s="220">
        <f t="shared" ca="1" si="634"/>
        <v>0</v>
      </c>
      <c r="FC46" s="235">
        <f t="shared" ca="1" si="140"/>
        <v>0</v>
      </c>
      <c r="FD46" s="235">
        <f t="shared" ca="1" si="141"/>
        <v>0</v>
      </c>
      <c r="FE46" s="242">
        <f t="shared" ca="1" si="142"/>
        <v>0</v>
      </c>
      <c r="FF46" s="241">
        <f t="shared" ca="1" si="569"/>
        <v>1</v>
      </c>
      <c r="FG46" s="220">
        <f t="shared" ca="1" si="635"/>
        <v>0</v>
      </c>
      <c r="FH46" s="220">
        <f t="shared" ca="1" si="636"/>
        <v>0</v>
      </c>
      <c r="FI46" s="235">
        <f t="shared" ca="1" si="145"/>
        <v>0</v>
      </c>
      <c r="FJ46" s="235">
        <f t="shared" ca="1" si="146"/>
        <v>0</v>
      </c>
      <c r="FK46" s="242">
        <f t="shared" ca="1" si="147"/>
        <v>0</v>
      </c>
      <c r="FL46" s="241">
        <f t="shared" ca="1" si="569"/>
        <v>1</v>
      </c>
      <c r="FM46" s="220">
        <f t="shared" ca="1" si="637"/>
        <v>0</v>
      </c>
      <c r="FN46" s="220">
        <f t="shared" ca="1" si="638"/>
        <v>0</v>
      </c>
      <c r="FO46" s="235">
        <f t="shared" ca="1" si="150"/>
        <v>0</v>
      </c>
      <c r="FP46" s="235">
        <f t="shared" ca="1" si="151"/>
        <v>0</v>
      </c>
      <c r="FQ46" s="242">
        <f t="shared" ca="1" si="152"/>
        <v>0</v>
      </c>
      <c r="FR46" s="241">
        <f t="shared" ca="1" si="569"/>
        <v>1</v>
      </c>
      <c r="FS46" s="220">
        <f t="shared" ca="1" si="639"/>
        <v>0</v>
      </c>
      <c r="FT46" s="220">
        <f t="shared" ca="1" si="640"/>
        <v>0</v>
      </c>
      <c r="FU46" s="235">
        <f t="shared" ca="1" si="155"/>
        <v>0</v>
      </c>
      <c r="FV46" s="235">
        <f t="shared" ca="1" si="156"/>
        <v>0</v>
      </c>
      <c r="FW46" s="242">
        <f t="shared" ca="1" si="157"/>
        <v>0</v>
      </c>
      <c r="FX46" s="241">
        <f t="shared" ca="1" si="569"/>
        <v>1</v>
      </c>
      <c r="FY46" s="220">
        <f t="shared" ca="1" si="641"/>
        <v>0</v>
      </c>
      <c r="FZ46" s="220">
        <f t="shared" ca="1" si="642"/>
        <v>0</v>
      </c>
      <c r="GA46" s="235">
        <f t="shared" ca="1" si="160"/>
        <v>0</v>
      </c>
      <c r="GB46" s="235">
        <f t="shared" ca="1" si="161"/>
        <v>0</v>
      </c>
      <c r="GC46" s="242">
        <f t="shared" ca="1" si="162"/>
        <v>0</v>
      </c>
      <c r="GD46" s="241">
        <f t="shared" ca="1" si="562"/>
        <v>1</v>
      </c>
      <c r="GE46" s="220">
        <f t="shared" ca="1" si="643"/>
        <v>0</v>
      </c>
      <c r="GF46" s="220">
        <f t="shared" ca="1" si="644"/>
        <v>0</v>
      </c>
      <c r="GG46" s="235">
        <f t="shared" ca="1" si="166"/>
        <v>0</v>
      </c>
      <c r="GH46" s="235">
        <f t="shared" ca="1" si="167"/>
        <v>0</v>
      </c>
      <c r="GI46" s="242">
        <f t="shared" ca="1" si="168"/>
        <v>0</v>
      </c>
      <c r="GJ46" s="241">
        <f t="shared" ca="1" si="562"/>
        <v>1</v>
      </c>
      <c r="GK46" s="220">
        <f t="shared" ca="1" si="645"/>
        <v>0</v>
      </c>
      <c r="GL46" s="220">
        <f t="shared" ca="1" si="646"/>
        <v>0</v>
      </c>
      <c r="GM46" s="235">
        <f t="shared" ca="1" si="171"/>
        <v>0</v>
      </c>
      <c r="GN46" s="235">
        <f t="shared" ca="1" si="172"/>
        <v>0</v>
      </c>
      <c r="GO46" s="242">
        <f t="shared" ca="1" si="173"/>
        <v>0</v>
      </c>
      <c r="GP46" s="241">
        <f t="shared" ca="1" si="570"/>
        <v>1</v>
      </c>
      <c r="GQ46" s="220">
        <f t="shared" ca="1" si="647"/>
        <v>0</v>
      </c>
      <c r="GR46" s="220">
        <f t="shared" ca="1" si="648"/>
        <v>0</v>
      </c>
      <c r="GS46" s="235">
        <f t="shared" ca="1" si="176"/>
        <v>0</v>
      </c>
      <c r="GT46" s="235">
        <f t="shared" ca="1" si="177"/>
        <v>0</v>
      </c>
      <c r="GU46" s="242">
        <f t="shared" ca="1" si="178"/>
        <v>0</v>
      </c>
      <c r="GV46" s="241">
        <f t="shared" ca="1" si="570"/>
        <v>1</v>
      </c>
      <c r="GW46" s="220">
        <f t="shared" ca="1" si="649"/>
        <v>0</v>
      </c>
      <c r="GX46" s="220">
        <f t="shared" ca="1" si="650"/>
        <v>0</v>
      </c>
      <c r="GY46" s="235">
        <f t="shared" ca="1" si="181"/>
        <v>0</v>
      </c>
      <c r="GZ46" s="235">
        <f t="shared" ca="1" si="182"/>
        <v>0</v>
      </c>
      <c r="HA46" s="242">
        <f t="shared" ca="1" si="183"/>
        <v>0</v>
      </c>
      <c r="HB46" s="241">
        <f t="shared" ca="1" si="570"/>
        <v>1</v>
      </c>
      <c r="HC46" s="220">
        <f t="shared" ca="1" si="651"/>
        <v>0</v>
      </c>
      <c r="HD46" s="220">
        <f t="shared" ca="1" si="652"/>
        <v>0</v>
      </c>
      <c r="HE46" s="235">
        <f t="shared" ca="1" si="186"/>
        <v>0</v>
      </c>
      <c r="HF46" s="235">
        <f t="shared" ca="1" si="187"/>
        <v>0</v>
      </c>
      <c r="HG46" s="242">
        <f t="shared" ca="1" si="188"/>
        <v>0</v>
      </c>
      <c r="HH46" s="241">
        <f t="shared" ca="1" si="570"/>
        <v>1</v>
      </c>
      <c r="HI46" s="220">
        <f t="shared" ca="1" si="653"/>
        <v>0</v>
      </c>
      <c r="HJ46" s="220">
        <f t="shared" ca="1" si="654"/>
        <v>0</v>
      </c>
      <c r="HK46" s="235">
        <f t="shared" ca="1" si="191"/>
        <v>0</v>
      </c>
      <c r="HL46" s="235">
        <f t="shared" ca="1" si="192"/>
        <v>0</v>
      </c>
      <c r="HM46" s="242">
        <f t="shared" ca="1" si="193"/>
        <v>0</v>
      </c>
      <c r="HN46" s="241">
        <f t="shared" ca="1" si="570"/>
        <v>1</v>
      </c>
      <c r="HO46" s="220">
        <f t="shared" ca="1" si="655"/>
        <v>0</v>
      </c>
      <c r="HP46" s="220">
        <f t="shared" ca="1" si="656"/>
        <v>0</v>
      </c>
      <c r="HQ46" s="235">
        <f t="shared" ca="1" si="196"/>
        <v>0</v>
      </c>
      <c r="HR46" s="235">
        <f t="shared" ca="1" si="197"/>
        <v>0</v>
      </c>
      <c r="HS46" s="242">
        <f t="shared" ca="1" si="198"/>
        <v>0</v>
      </c>
      <c r="HT46" s="241">
        <f t="shared" ca="1" si="570"/>
        <v>1</v>
      </c>
      <c r="HU46" s="220">
        <f t="shared" ca="1" si="657"/>
        <v>0</v>
      </c>
      <c r="HV46" s="220">
        <f t="shared" ca="1" si="658"/>
        <v>0</v>
      </c>
      <c r="HW46" s="235">
        <f t="shared" ca="1" si="201"/>
        <v>0</v>
      </c>
      <c r="HX46" s="235">
        <f t="shared" ca="1" si="202"/>
        <v>0</v>
      </c>
      <c r="HY46" s="242">
        <f t="shared" ca="1" si="203"/>
        <v>0</v>
      </c>
      <c r="HZ46" s="241">
        <f t="shared" ca="1" si="570"/>
        <v>1</v>
      </c>
      <c r="IA46" s="220">
        <f t="shared" ca="1" si="659"/>
        <v>0</v>
      </c>
      <c r="IB46" s="220">
        <f t="shared" ca="1" si="660"/>
        <v>0</v>
      </c>
      <c r="IC46" s="235">
        <f t="shared" ca="1" si="206"/>
        <v>0</v>
      </c>
      <c r="ID46" s="235">
        <f t="shared" ca="1" si="207"/>
        <v>0</v>
      </c>
      <c r="IE46" s="242">
        <f t="shared" ca="1" si="208"/>
        <v>0</v>
      </c>
      <c r="IF46" s="241">
        <f t="shared" ca="1" si="570"/>
        <v>1</v>
      </c>
      <c r="IG46" s="220">
        <f t="shared" ca="1" si="661"/>
        <v>0</v>
      </c>
      <c r="IH46" s="220">
        <f t="shared" ca="1" si="662"/>
        <v>0</v>
      </c>
      <c r="II46" s="235">
        <f t="shared" ca="1" si="211"/>
        <v>0</v>
      </c>
      <c r="IJ46" s="235">
        <f t="shared" ca="1" si="212"/>
        <v>0</v>
      </c>
      <c r="IK46" s="242">
        <f t="shared" ca="1" si="213"/>
        <v>0</v>
      </c>
      <c r="IL46" s="241">
        <f t="shared" ca="1" si="570"/>
        <v>1</v>
      </c>
      <c r="IM46" s="220">
        <f t="shared" ca="1" si="663"/>
        <v>0</v>
      </c>
      <c r="IN46" s="220">
        <f t="shared" ca="1" si="664"/>
        <v>0</v>
      </c>
      <c r="IO46" s="235">
        <f t="shared" ca="1" si="216"/>
        <v>0</v>
      </c>
      <c r="IP46" s="235">
        <f t="shared" ca="1" si="217"/>
        <v>0</v>
      </c>
      <c r="IQ46" s="242">
        <f t="shared" ca="1" si="218"/>
        <v>0</v>
      </c>
      <c r="IR46" s="241">
        <f t="shared" ca="1" si="570"/>
        <v>1</v>
      </c>
      <c r="IS46" s="220">
        <f t="shared" ca="1" si="665"/>
        <v>0</v>
      </c>
      <c r="IT46" s="220">
        <f t="shared" ca="1" si="666"/>
        <v>0</v>
      </c>
      <c r="IU46" s="235">
        <f t="shared" ca="1" si="222"/>
        <v>0</v>
      </c>
      <c r="IV46" s="235">
        <f t="shared" ca="1" si="223"/>
        <v>0</v>
      </c>
      <c r="IW46" s="242">
        <f t="shared" ca="1" si="224"/>
        <v>0</v>
      </c>
      <c r="IX46" s="241">
        <f t="shared" ca="1" si="570"/>
        <v>1</v>
      </c>
      <c r="IY46" s="220">
        <f t="shared" ca="1" si="667"/>
        <v>0</v>
      </c>
      <c r="IZ46" s="220">
        <f t="shared" ca="1" si="668"/>
        <v>0</v>
      </c>
      <c r="JA46" s="235">
        <f t="shared" ca="1" si="227"/>
        <v>0</v>
      </c>
      <c r="JB46" s="235">
        <f t="shared" ca="1" si="228"/>
        <v>0</v>
      </c>
      <c r="JC46" s="242">
        <f t="shared" ca="1" si="229"/>
        <v>0</v>
      </c>
      <c r="JD46" s="241">
        <f t="shared" ca="1" si="563"/>
        <v>1</v>
      </c>
      <c r="JE46" s="220">
        <f t="shared" ca="1" si="669"/>
        <v>0</v>
      </c>
      <c r="JF46" s="220">
        <f t="shared" ca="1" si="670"/>
        <v>0</v>
      </c>
      <c r="JG46" s="235">
        <f t="shared" ca="1" si="232"/>
        <v>0</v>
      </c>
      <c r="JH46" s="235">
        <f t="shared" ca="1" si="233"/>
        <v>0</v>
      </c>
      <c r="JI46" s="242">
        <f t="shared" ca="1" si="234"/>
        <v>0</v>
      </c>
      <c r="JJ46" s="241">
        <f t="shared" ca="1" si="563"/>
        <v>1</v>
      </c>
      <c r="JK46" s="220">
        <f t="shared" ca="1" si="671"/>
        <v>0</v>
      </c>
      <c r="JL46" s="220">
        <f t="shared" ca="1" si="672"/>
        <v>0</v>
      </c>
      <c r="JM46" s="235">
        <f t="shared" ca="1" si="237"/>
        <v>0</v>
      </c>
      <c r="JN46" s="235">
        <f t="shared" ca="1" si="238"/>
        <v>0</v>
      </c>
      <c r="JO46" s="242">
        <f t="shared" ca="1" si="239"/>
        <v>0</v>
      </c>
      <c r="JP46" s="241">
        <f t="shared" ca="1" si="571"/>
        <v>1</v>
      </c>
      <c r="JQ46" s="220">
        <f t="shared" ca="1" si="673"/>
        <v>0</v>
      </c>
      <c r="JR46" s="220">
        <f t="shared" ca="1" si="674"/>
        <v>0</v>
      </c>
      <c r="JS46" s="235">
        <f t="shared" ca="1" si="242"/>
        <v>0</v>
      </c>
      <c r="JT46" s="235">
        <f t="shared" ca="1" si="243"/>
        <v>0</v>
      </c>
      <c r="JU46" s="242">
        <f t="shared" ca="1" si="244"/>
        <v>0</v>
      </c>
      <c r="JV46" s="241">
        <f t="shared" ca="1" si="571"/>
        <v>1</v>
      </c>
      <c r="JW46" s="220">
        <f t="shared" ca="1" si="675"/>
        <v>0</v>
      </c>
      <c r="JX46" s="220">
        <f t="shared" ca="1" si="676"/>
        <v>0</v>
      </c>
      <c r="JY46" s="235">
        <f t="shared" ca="1" si="247"/>
        <v>0</v>
      </c>
      <c r="JZ46" s="235">
        <f t="shared" ca="1" si="248"/>
        <v>0</v>
      </c>
      <c r="KA46" s="242">
        <f t="shared" ca="1" si="249"/>
        <v>0</v>
      </c>
      <c r="KB46" s="241">
        <f t="shared" ca="1" si="571"/>
        <v>1</v>
      </c>
      <c r="KC46" s="220">
        <f t="shared" ca="1" si="677"/>
        <v>0</v>
      </c>
      <c r="KD46" s="220">
        <f t="shared" ca="1" si="678"/>
        <v>0</v>
      </c>
      <c r="KE46" s="235">
        <f t="shared" ca="1" si="252"/>
        <v>0</v>
      </c>
      <c r="KF46" s="235">
        <f t="shared" ca="1" si="253"/>
        <v>0</v>
      </c>
      <c r="KG46" s="242">
        <f t="shared" ca="1" si="254"/>
        <v>0</v>
      </c>
      <c r="KH46" s="241">
        <f t="shared" ca="1" si="571"/>
        <v>1</v>
      </c>
      <c r="KI46" s="220">
        <f t="shared" ca="1" si="679"/>
        <v>0</v>
      </c>
      <c r="KJ46" s="220">
        <f t="shared" ca="1" si="680"/>
        <v>0</v>
      </c>
      <c r="KK46" s="235">
        <f t="shared" ca="1" si="257"/>
        <v>0</v>
      </c>
      <c r="KL46" s="235">
        <f t="shared" ca="1" si="258"/>
        <v>0</v>
      </c>
      <c r="KM46" s="242">
        <f t="shared" ca="1" si="259"/>
        <v>0</v>
      </c>
      <c r="KN46" s="241">
        <f t="shared" ca="1" si="571"/>
        <v>1</v>
      </c>
      <c r="KO46" s="220">
        <f t="shared" ca="1" si="681"/>
        <v>0</v>
      </c>
      <c r="KP46" s="220">
        <f t="shared" ca="1" si="682"/>
        <v>0</v>
      </c>
      <c r="KQ46" s="235">
        <f t="shared" ca="1" si="262"/>
        <v>0</v>
      </c>
      <c r="KR46" s="235">
        <f t="shared" ca="1" si="263"/>
        <v>0</v>
      </c>
      <c r="KS46" s="242">
        <f t="shared" ca="1" si="264"/>
        <v>0</v>
      </c>
      <c r="KT46" s="241">
        <f t="shared" ca="1" si="571"/>
        <v>1</v>
      </c>
      <c r="KU46" s="220">
        <f t="shared" ca="1" si="683"/>
        <v>0</v>
      </c>
      <c r="KV46" s="220">
        <f t="shared" ca="1" si="684"/>
        <v>0</v>
      </c>
      <c r="KW46" s="235">
        <f t="shared" ca="1" si="267"/>
        <v>0</v>
      </c>
      <c r="KX46" s="235">
        <f t="shared" ca="1" si="268"/>
        <v>0</v>
      </c>
      <c r="KY46" s="242">
        <f t="shared" ca="1" si="269"/>
        <v>0</v>
      </c>
      <c r="KZ46" s="241">
        <f t="shared" ca="1" si="571"/>
        <v>1</v>
      </c>
      <c r="LA46" s="220">
        <f t="shared" ca="1" si="685"/>
        <v>0</v>
      </c>
      <c r="LB46" s="220">
        <f t="shared" ca="1" si="686"/>
        <v>0</v>
      </c>
      <c r="LC46" s="235">
        <f t="shared" ca="1" si="272"/>
        <v>0</v>
      </c>
      <c r="LD46" s="235">
        <f t="shared" ca="1" si="273"/>
        <v>0</v>
      </c>
      <c r="LE46" s="242">
        <f t="shared" ca="1" si="274"/>
        <v>0</v>
      </c>
      <c r="LF46" s="241">
        <f t="shared" ca="1" si="571"/>
        <v>1</v>
      </c>
      <c r="LG46" s="220">
        <f t="shared" ca="1" si="687"/>
        <v>0</v>
      </c>
      <c r="LH46" s="220">
        <f t="shared" ca="1" si="688"/>
        <v>0</v>
      </c>
      <c r="LI46" s="235">
        <f t="shared" ca="1" si="278"/>
        <v>0</v>
      </c>
      <c r="LJ46" s="235">
        <f t="shared" ca="1" si="279"/>
        <v>0</v>
      </c>
      <c r="LK46" s="242">
        <f t="shared" ca="1" si="280"/>
        <v>0</v>
      </c>
      <c r="LL46" s="241">
        <f t="shared" ca="1" si="571"/>
        <v>1</v>
      </c>
      <c r="LM46" s="220">
        <f t="shared" ca="1" si="689"/>
        <v>0</v>
      </c>
      <c r="LN46" s="220">
        <f t="shared" ca="1" si="690"/>
        <v>0</v>
      </c>
      <c r="LO46" s="235">
        <f t="shared" ca="1" si="283"/>
        <v>0</v>
      </c>
      <c r="LP46" s="235">
        <f t="shared" ca="1" si="284"/>
        <v>0</v>
      </c>
      <c r="LQ46" s="242">
        <f t="shared" ca="1" si="285"/>
        <v>0</v>
      </c>
      <c r="LR46" s="241">
        <f t="shared" ca="1" si="571"/>
        <v>1</v>
      </c>
      <c r="LS46" s="220">
        <f t="shared" ca="1" si="691"/>
        <v>0</v>
      </c>
      <c r="LT46" s="220">
        <f t="shared" ca="1" si="692"/>
        <v>0</v>
      </c>
      <c r="LU46" s="235">
        <f t="shared" ca="1" si="288"/>
        <v>0</v>
      </c>
      <c r="LV46" s="235">
        <f t="shared" ca="1" si="289"/>
        <v>0</v>
      </c>
      <c r="LW46" s="242">
        <f t="shared" ca="1" si="290"/>
        <v>0</v>
      </c>
      <c r="LX46" s="241">
        <f t="shared" ca="1" si="571"/>
        <v>1</v>
      </c>
      <c r="LY46" s="220">
        <f t="shared" ca="1" si="693"/>
        <v>0</v>
      </c>
      <c r="LZ46" s="220">
        <f t="shared" ca="1" si="694"/>
        <v>0</v>
      </c>
      <c r="MA46" s="235">
        <f t="shared" ca="1" si="293"/>
        <v>0</v>
      </c>
      <c r="MB46" s="235">
        <f t="shared" ca="1" si="294"/>
        <v>0</v>
      </c>
      <c r="MC46" s="242">
        <f t="shared" ca="1" si="295"/>
        <v>0</v>
      </c>
      <c r="MD46" s="241">
        <f t="shared" ca="1" si="564"/>
        <v>1</v>
      </c>
      <c r="ME46" s="220">
        <f t="shared" ca="1" si="695"/>
        <v>0</v>
      </c>
      <c r="MF46" s="220">
        <f t="shared" ca="1" si="696"/>
        <v>0</v>
      </c>
      <c r="MG46" s="235">
        <f t="shared" ca="1" si="298"/>
        <v>0</v>
      </c>
      <c r="MH46" s="235">
        <f t="shared" ca="1" si="299"/>
        <v>0</v>
      </c>
      <c r="MI46" s="242">
        <f t="shared" ca="1" si="300"/>
        <v>0</v>
      </c>
      <c r="MJ46" s="241">
        <f t="shared" ca="1" si="564"/>
        <v>1</v>
      </c>
      <c r="MK46" s="220">
        <f t="shared" ca="1" si="697"/>
        <v>0</v>
      </c>
      <c r="ML46" s="220">
        <f t="shared" ca="1" si="698"/>
        <v>0</v>
      </c>
      <c r="MM46" s="235">
        <f t="shared" ca="1" si="303"/>
        <v>0</v>
      </c>
      <c r="MN46" s="235">
        <f t="shared" ca="1" si="304"/>
        <v>0</v>
      </c>
      <c r="MO46" s="242">
        <f t="shared" ca="1" si="305"/>
        <v>0</v>
      </c>
      <c r="MP46" s="241">
        <f t="shared" ca="1" si="572"/>
        <v>1</v>
      </c>
      <c r="MQ46" s="220">
        <f t="shared" ca="1" si="699"/>
        <v>0</v>
      </c>
      <c r="MR46" s="220">
        <f t="shared" ca="1" si="700"/>
        <v>0</v>
      </c>
      <c r="MS46" s="235">
        <f t="shared" ca="1" si="308"/>
        <v>0</v>
      </c>
      <c r="MT46" s="235">
        <f t="shared" ca="1" si="309"/>
        <v>0</v>
      </c>
      <c r="MU46" s="242">
        <f t="shared" ca="1" si="310"/>
        <v>0</v>
      </c>
      <c r="MV46" s="241">
        <f t="shared" ca="1" si="572"/>
        <v>1</v>
      </c>
      <c r="MW46" s="220">
        <f t="shared" ca="1" si="701"/>
        <v>0</v>
      </c>
      <c r="MX46" s="220">
        <f t="shared" ca="1" si="702"/>
        <v>0</v>
      </c>
      <c r="MY46" s="235">
        <f t="shared" ca="1" si="313"/>
        <v>0</v>
      </c>
      <c r="MZ46" s="235">
        <f t="shared" ca="1" si="314"/>
        <v>0</v>
      </c>
      <c r="NA46" s="242">
        <f t="shared" ca="1" si="315"/>
        <v>0</v>
      </c>
      <c r="NB46" s="241">
        <f t="shared" ca="1" si="572"/>
        <v>1</v>
      </c>
      <c r="NC46" s="220">
        <f t="shared" ca="1" si="703"/>
        <v>0</v>
      </c>
      <c r="ND46" s="220">
        <f t="shared" ca="1" si="704"/>
        <v>0</v>
      </c>
      <c r="NE46" s="235">
        <f t="shared" ca="1" si="318"/>
        <v>0</v>
      </c>
      <c r="NF46" s="235">
        <f t="shared" ca="1" si="319"/>
        <v>0</v>
      </c>
      <c r="NG46" s="242">
        <f t="shared" ca="1" si="320"/>
        <v>0</v>
      </c>
      <c r="NH46" s="241">
        <f t="shared" ca="1" si="572"/>
        <v>1</v>
      </c>
      <c r="NI46" s="220">
        <f t="shared" ca="1" si="705"/>
        <v>0</v>
      </c>
      <c r="NJ46" s="220">
        <f t="shared" ca="1" si="706"/>
        <v>0</v>
      </c>
      <c r="NK46" s="235">
        <f t="shared" ca="1" si="323"/>
        <v>0</v>
      </c>
      <c r="NL46" s="235">
        <f t="shared" ca="1" si="324"/>
        <v>0</v>
      </c>
      <c r="NM46" s="242">
        <f t="shared" ca="1" si="325"/>
        <v>0</v>
      </c>
      <c r="NN46" s="241">
        <f t="shared" ca="1" si="572"/>
        <v>1</v>
      </c>
      <c r="NO46" s="220">
        <f t="shared" ca="1" si="707"/>
        <v>0</v>
      </c>
      <c r="NP46" s="220">
        <f t="shared" ca="1" si="708"/>
        <v>0</v>
      </c>
      <c r="NQ46" s="235">
        <f t="shared" ca="1" si="328"/>
        <v>0</v>
      </c>
      <c r="NR46" s="235">
        <f t="shared" ca="1" si="329"/>
        <v>0</v>
      </c>
      <c r="NS46" s="242">
        <f t="shared" ca="1" si="330"/>
        <v>0</v>
      </c>
      <c r="NT46" s="241">
        <f t="shared" ca="1" si="572"/>
        <v>1</v>
      </c>
      <c r="NU46" s="220">
        <f t="shared" ca="1" si="709"/>
        <v>0</v>
      </c>
      <c r="NV46" s="220">
        <f t="shared" ca="1" si="710"/>
        <v>0</v>
      </c>
      <c r="NW46" s="235">
        <f t="shared" ca="1" si="334"/>
        <v>0</v>
      </c>
      <c r="NX46" s="235">
        <f t="shared" ca="1" si="335"/>
        <v>0</v>
      </c>
      <c r="NY46" s="242">
        <f t="shared" ca="1" si="336"/>
        <v>0</v>
      </c>
      <c r="NZ46" s="241">
        <f t="shared" ca="1" si="572"/>
        <v>1</v>
      </c>
      <c r="OA46" s="220">
        <f t="shared" ca="1" si="711"/>
        <v>0</v>
      </c>
      <c r="OB46" s="220">
        <f t="shared" ca="1" si="712"/>
        <v>0</v>
      </c>
      <c r="OC46" s="235">
        <f t="shared" ca="1" si="339"/>
        <v>0</v>
      </c>
      <c r="OD46" s="235">
        <f t="shared" ca="1" si="340"/>
        <v>0</v>
      </c>
      <c r="OE46" s="242">
        <f t="shared" ca="1" si="341"/>
        <v>0</v>
      </c>
      <c r="OF46" s="241">
        <f t="shared" ca="1" si="572"/>
        <v>1</v>
      </c>
      <c r="OG46" s="220">
        <f t="shared" ca="1" si="713"/>
        <v>0</v>
      </c>
      <c r="OH46" s="220">
        <f t="shared" ca="1" si="714"/>
        <v>0</v>
      </c>
      <c r="OI46" s="235">
        <f t="shared" ca="1" si="344"/>
        <v>0</v>
      </c>
      <c r="OJ46" s="235">
        <f t="shared" ca="1" si="345"/>
        <v>0</v>
      </c>
      <c r="OK46" s="242">
        <f t="shared" ca="1" si="346"/>
        <v>0</v>
      </c>
      <c r="OL46" s="241">
        <f t="shared" ca="1" si="572"/>
        <v>1</v>
      </c>
      <c r="OM46" s="220">
        <f t="shared" ca="1" si="715"/>
        <v>0</v>
      </c>
      <c r="ON46" s="220">
        <f t="shared" ca="1" si="716"/>
        <v>0</v>
      </c>
      <c r="OO46" s="235">
        <f t="shared" ca="1" si="349"/>
        <v>0</v>
      </c>
      <c r="OP46" s="235">
        <f t="shared" ca="1" si="350"/>
        <v>0</v>
      </c>
      <c r="OQ46" s="242">
        <f t="shared" ca="1" si="351"/>
        <v>0</v>
      </c>
      <c r="OR46" s="241">
        <f t="shared" ca="1" si="572"/>
        <v>1</v>
      </c>
      <c r="OS46" s="220">
        <f t="shared" ca="1" si="717"/>
        <v>0</v>
      </c>
      <c r="OT46" s="220">
        <f t="shared" ca="1" si="718"/>
        <v>0</v>
      </c>
      <c r="OU46" s="235">
        <f t="shared" ca="1" si="354"/>
        <v>0</v>
      </c>
      <c r="OV46" s="235">
        <f t="shared" ca="1" si="355"/>
        <v>0</v>
      </c>
      <c r="OW46" s="242">
        <f t="shared" ca="1" si="356"/>
        <v>0</v>
      </c>
      <c r="OX46" s="241">
        <f t="shared" ca="1" si="572"/>
        <v>1</v>
      </c>
      <c r="OY46" s="220">
        <f t="shared" ca="1" si="719"/>
        <v>0</v>
      </c>
      <c r="OZ46" s="220">
        <f t="shared" ca="1" si="720"/>
        <v>0</v>
      </c>
      <c r="PA46" s="235">
        <f t="shared" ca="1" si="359"/>
        <v>0</v>
      </c>
      <c r="PB46" s="235">
        <f t="shared" ca="1" si="360"/>
        <v>0</v>
      </c>
      <c r="PC46" s="242">
        <f t="shared" ca="1" si="361"/>
        <v>0</v>
      </c>
      <c r="PD46" s="241">
        <f t="shared" ca="1" si="565"/>
        <v>1</v>
      </c>
      <c r="PE46" s="220">
        <f t="shared" ca="1" si="721"/>
        <v>0</v>
      </c>
      <c r="PF46" s="220">
        <f t="shared" ca="1" si="722"/>
        <v>0</v>
      </c>
      <c r="PG46" s="235">
        <f t="shared" ca="1" si="364"/>
        <v>0</v>
      </c>
      <c r="PH46" s="235">
        <f t="shared" ca="1" si="365"/>
        <v>0</v>
      </c>
      <c r="PI46" s="242">
        <f t="shared" ca="1" si="366"/>
        <v>0</v>
      </c>
      <c r="PJ46" s="241">
        <f t="shared" ca="1" si="565"/>
        <v>1</v>
      </c>
      <c r="PK46" s="220">
        <f t="shared" ca="1" si="723"/>
        <v>0</v>
      </c>
      <c r="PL46" s="220">
        <f t="shared" ca="1" si="724"/>
        <v>0</v>
      </c>
      <c r="PM46" s="235">
        <f t="shared" ca="1" si="369"/>
        <v>0</v>
      </c>
      <c r="PN46" s="235">
        <f t="shared" ca="1" si="370"/>
        <v>0</v>
      </c>
      <c r="PO46" s="242">
        <f t="shared" ca="1" si="371"/>
        <v>0</v>
      </c>
      <c r="PP46" s="241">
        <f t="shared" ca="1" si="573"/>
        <v>1</v>
      </c>
      <c r="PQ46" s="220">
        <f t="shared" ca="1" si="725"/>
        <v>0</v>
      </c>
      <c r="PR46" s="220">
        <f t="shared" ca="1" si="726"/>
        <v>0</v>
      </c>
      <c r="PS46" s="235">
        <f t="shared" ca="1" si="374"/>
        <v>0</v>
      </c>
      <c r="PT46" s="235">
        <f t="shared" ca="1" si="375"/>
        <v>0</v>
      </c>
      <c r="PU46" s="242">
        <f t="shared" ca="1" si="376"/>
        <v>0</v>
      </c>
      <c r="PV46" s="241">
        <f t="shared" ca="1" si="573"/>
        <v>1</v>
      </c>
      <c r="PW46" s="220">
        <f t="shared" ca="1" si="727"/>
        <v>0</v>
      </c>
      <c r="PX46" s="220">
        <f t="shared" ca="1" si="728"/>
        <v>0</v>
      </c>
      <c r="PY46" s="235">
        <f t="shared" ca="1" si="379"/>
        <v>0</v>
      </c>
      <c r="PZ46" s="235">
        <f t="shared" ca="1" si="380"/>
        <v>0</v>
      </c>
      <c r="QA46" s="242">
        <f t="shared" ca="1" si="381"/>
        <v>0</v>
      </c>
      <c r="QB46" s="241">
        <f t="shared" ca="1" si="573"/>
        <v>1</v>
      </c>
      <c r="QC46" s="220">
        <f t="shared" ca="1" si="729"/>
        <v>0</v>
      </c>
      <c r="QD46" s="220">
        <f t="shared" ca="1" si="730"/>
        <v>0</v>
      </c>
      <c r="QE46" s="235">
        <f t="shared" ca="1" si="384"/>
        <v>0</v>
      </c>
      <c r="QF46" s="235">
        <f t="shared" ca="1" si="385"/>
        <v>0</v>
      </c>
      <c r="QG46" s="242">
        <f t="shared" ca="1" si="386"/>
        <v>0</v>
      </c>
      <c r="QH46" s="241">
        <f t="shared" ca="1" si="573"/>
        <v>1</v>
      </c>
      <c r="QI46" s="220">
        <f t="shared" ca="1" si="731"/>
        <v>0</v>
      </c>
      <c r="QJ46" s="220">
        <f t="shared" ca="1" si="732"/>
        <v>0</v>
      </c>
      <c r="QK46" s="235">
        <f t="shared" ca="1" si="390"/>
        <v>0</v>
      </c>
      <c r="QL46" s="235">
        <f t="shared" ca="1" si="391"/>
        <v>0</v>
      </c>
      <c r="QM46" s="242">
        <f t="shared" ca="1" si="392"/>
        <v>0</v>
      </c>
      <c r="QN46" s="241">
        <f t="shared" ca="1" si="573"/>
        <v>1</v>
      </c>
      <c r="QO46" s="220">
        <f t="shared" ca="1" si="733"/>
        <v>0</v>
      </c>
      <c r="QP46" s="220">
        <f t="shared" ca="1" si="734"/>
        <v>0</v>
      </c>
      <c r="QQ46" s="235">
        <f t="shared" ca="1" si="395"/>
        <v>0</v>
      </c>
      <c r="QR46" s="235">
        <f t="shared" ca="1" si="396"/>
        <v>0</v>
      </c>
      <c r="QS46" s="242">
        <f t="shared" ca="1" si="397"/>
        <v>0</v>
      </c>
      <c r="QT46" s="241">
        <f t="shared" ca="1" si="573"/>
        <v>1</v>
      </c>
      <c r="QU46" s="220">
        <f t="shared" ca="1" si="735"/>
        <v>0</v>
      </c>
      <c r="QV46" s="220">
        <f t="shared" ca="1" si="736"/>
        <v>0</v>
      </c>
      <c r="QW46" s="235">
        <f t="shared" ca="1" si="400"/>
        <v>0</v>
      </c>
      <c r="QX46" s="235">
        <f t="shared" ca="1" si="401"/>
        <v>0</v>
      </c>
      <c r="QY46" s="242">
        <f t="shared" ca="1" si="402"/>
        <v>0</v>
      </c>
      <c r="QZ46" s="241">
        <f t="shared" ca="1" si="573"/>
        <v>1</v>
      </c>
      <c r="RA46" s="220">
        <f t="shared" ca="1" si="737"/>
        <v>0</v>
      </c>
      <c r="RB46" s="220">
        <f t="shared" ca="1" si="738"/>
        <v>0</v>
      </c>
      <c r="RC46" s="235">
        <f t="shared" ca="1" si="405"/>
        <v>0</v>
      </c>
      <c r="RD46" s="235">
        <f t="shared" ca="1" si="406"/>
        <v>0</v>
      </c>
      <c r="RE46" s="242">
        <f t="shared" ca="1" si="407"/>
        <v>0</v>
      </c>
      <c r="RF46" s="241">
        <f t="shared" ca="1" si="573"/>
        <v>1</v>
      </c>
      <c r="RG46" s="220">
        <f t="shared" ca="1" si="739"/>
        <v>0</v>
      </c>
      <c r="RH46" s="220">
        <f t="shared" ca="1" si="740"/>
        <v>0</v>
      </c>
      <c r="RI46" s="235">
        <f t="shared" ca="1" si="410"/>
        <v>0</v>
      </c>
      <c r="RJ46" s="235">
        <f t="shared" ca="1" si="411"/>
        <v>0</v>
      </c>
      <c r="RK46" s="242">
        <f t="shared" ca="1" si="412"/>
        <v>0</v>
      </c>
      <c r="RL46" s="241">
        <f t="shared" ca="1" si="573"/>
        <v>1</v>
      </c>
      <c r="RM46" s="220">
        <f t="shared" ca="1" si="741"/>
        <v>0</v>
      </c>
      <c r="RN46" s="220">
        <f t="shared" ca="1" si="742"/>
        <v>0</v>
      </c>
      <c r="RO46" s="235">
        <f t="shared" ca="1" si="415"/>
        <v>0</v>
      </c>
      <c r="RP46" s="235">
        <f t="shared" ca="1" si="416"/>
        <v>0</v>
      </c>
      <c r="RQ46" s="242">
        <f t="shared" ca="1" si="417"/>
        <v>0</v>
      </c>
      <c r="RR46" s="241">
        <f t="shared" ca="1" si="573"/>
        <v>1</v>
      </c>
      <c r="RS46" s="220">
        <f t="shared" ca="1" si="743"/>
        <v>0</v>
      </c>
      <c r="RT46" s="220">
        <f t="shared" ca="1" si="744"/>
        <v>0</v>
      </c>
      <c r="RU46" s="235">
        <f t="shared" ca="1" si="420"/>
        <v>0</v>
      </c>
      <c r="RV46" s="235">
        <f t="shared" ca="1" si="421"/>
        <v>0</v>
      </c>
      <c r="RW46" s="242">
        <f t="shared" ca="1" si="422"/>
        <v>0</v>
      </c>
      <c r="RX46" s="241">
        <f t="shared" ca="1" si="573"/>
        <v>1</v>
      </c>
      <c r="RY46" s="220">
        <f t="shared" ca="1" si="745"/>
        <v>0</v>
      </c>
      <c r="RZ46" s="220">
        <f t="shared" ca="1" si="746"/>
        <v>0</v>
      </c>
      <c r="SA46" s="235">
        <f t="shared" ca="1" si="425"/>
        <v>0</v>
      </c>
      <c r="SB46" s="235">
        <f t="shared" ca="1" si="426"/>
        <v>0</v>
      </c>
      <c r="SC46" s="242">
        <f t="shared" ca="1" si="427"/>
        <v>0</v>
      </c>
      <c r="SD46" s="241">
        <f t="shared" ca="1" si="566"/>
        <v>1</v>
      </c>
      <c r="SE46" s="220">
        <f t="shared" ca="1" si="747"/>
        <v>0</v>
      </c>
      <c r="SF46" s="220">
        <f t="shared" ca="1" si="748"/>
        <v>0</v>
      </c>
      <c r="SG46" s="235">
        <f t="shared" ca="1" si="430"/>
        <v>0</v>
      </c>
      <c r="SH46" s="235">
        <f t="shared" ca="1" si="431"/>
        <v>0</v>
      </c>
      <c r="SI46" s="242">
        <f t="shared" ca="1" si="432"/>
        <v>0</v>
      </c>
      <c r="SJ46" s="241">
        <f t="shared" ca="1" si="566"/>
        <v>1</v>
      </c>
      <c r="SK46" s="220">
        <f t="shared" ca="1" si="749"/>
        <v>0</v>
      </c>
      <c r="SL46" s="220">
        <f t="shared" ca="1" si="750"/>
        <v>0</v>
      </c>
      <c r="SM46" s="235">
        <f t="shared" ca="1" si="435"/>
        <v>0</v>
      </c>
      <c r="SN46" s="235">
        <f t="shared" ca="1" si="436"/>
        <v>0</v>
      </c>
      <c r="SO46" s="242">
        <f t="shared" ca="1" si="437"/>
        <v>0</v>
      </c>
      <c r="SP46" s="241">
        <f t="shared" ca="1" si="576"/>
        <v>1</v>
      </c>
      <c r="SQ46" s="220">
        <f t="shared" ca="1" si="751"/>
        <v>0</v>
      </c>
      <c r="SR46" s="220">
        <f t="shared" ca="1" si="752"/>
        <v>0</v>
      </c>
      <c r="SS46" s="235">
        <f t="shared" ca="1" si="440"/>
        <v>0</v>
      </c>
      <c r="ST46" s="235">
        <f t="shared" ca="1" si="441"/>
        <v>0</v>
      </c>
      <c r="SU46" s="242">
        <f t="shared" ca="1" si="442"/>
        <v>0</v>
      </c>
      <c r="SV46" s="241">
        <f t="shared" ca="1" si="576"/>
        <v>1</v>
      </c>
      <c r="SW46" s="220">
        <f t="shared" ca="1" si="753"/>
        <v>0</v>
      </c>
      <c r="SX46" s="220">
        <f t="shared" ca="1" si="754"/>
        <v>0</v>
      </c>
      <c r="SY46" s="235">
        <f t="shared" ca="1" si="446"/>
        <v>0</v>
      </c>
      <c r="SZ46" s="235">
        <f t="shared" ca="1" si="447"/>
        <v>0</v>
      </c>
      <c r="TA46" s="242">
        <f t="shared" ca="1" si="448"/>
        <v>0</v>
      </c>
      <c r="TB46" s="241">
        <f t="shared" ca="1" si="576"/>
        <v>1</v>
      </c>
      <c r="TC46" s="220">
        <f t="shared" ca="1" si="755"/>
        <v>0</v>
      </c>
      <c r="TD46" s="220">
        <f t="shared" ca="1" si="756"/>
        <v>0</v>
      </c>
      <c r="TE46" s="235">
        <f t="shared" ca="1" si="451"/>
        <v>0</v>
      </c>
      <c r="TF46" s="235">
        <f t="shared" ca="1" si="452"/>
        <v>0</v>
      </c>
      <c r="TG46" s="242">
        <f t="shared" ca="1" si="453"/>
        <v>0</v>
      </c>
      <c r="TH46" s="241">
        <f t="shared" ca="1" si="576"/>
        <v>1</v>
      </c>
      <c r="TI46" s="220">
        <f t="shared" ca="1" si="757"/>
        <v>0</v>
      </c>
      <c r="TJ46" s="220">
        <f t="shared" ca="1" si="758"/>
        <v>0</v>
      </c>
      <c r="TK46" s="235">
        <f t="shared" ca="1" si="456"/>
        <v>0</v>
      </c>
      <c r="TL46" s="235">
        <f t="shared" ca="1" si="457"/>
        <v>0</v>
      </c>
      <c r="TM46" s="242">
        <f t="shared" ca="1" si="458"/>
        <v>0</v>
      </c>
      <c r="TN46" s="241">
        <f t="shared" ca="1" si="576"/>
        <v>1</v>
      </c>
      <c r="TO46" s="220">
        <f t="shared" ca="1" si="759"/>
        <v>0</v>
      </c>
      <c r="TP46" s="220">
        <f t="shared" ca="1" si="760"/>
        <v>0</v>
      </c>
      <c r="TQ46" s="235">
        <f t="shared" ca="1" si="461"/>
        <v>0</v>
      </c>
      <c r="TR46" s="235">
        <f t="shared" ca="1" si="462"/>
        <v>0</v>
      </c>
      <c r="TS46" s="242">
        <f t="shared" ca="1" si="463"/>
        <v>0</v>
      </c>
      <c r="TT46" s="241">
        <f t="shared" ca="1" si="576"/>
        <v>1</v>
      </c>
      <c r="TU46" s="220">
        <f t="shared" ca="1" si="761"/>
        <v>0</v>
      </c>
      <c r="TV46" s="220">
        <f t="shared" ca="1" si="762"/>
        <v>0</v>
      </c>
      <c r="TW46" s="235">
        <f t="shared" ca="1" si="466"/>
        <v>0</v>
      </c>
      <c r="TX46" s="235">
        <f t="shared" ca="1" si="467"/>
        <v>0</v>
      </c>
      <c r="TY46" s="242">
        <f t="shared" ca="1" si="468"/>
        <v>0</v>
      </c>
      <c r="TZ46" s="241">
        <f t="shared" ca="1" si="576"/>
        <v>1</v>
      </c>
      <c r="UA46" s="220">
        <f t="shared" ca="1" si="763"/>
        <v>0</v>
      </c>
      <c r="UB46" s="220">
        <f t="shared" ca="1" si="764"/>
        <v>0</v>
      </c>
      <c r="UC46" s="235">
        <f t="shared" ca="1" si="471"/>
        <v>0</v>
      </c>
      <c r="UD46" s="235">
        <f t="shared" ca="1" si="472"/>
        <v>0</v>
      </c>
      <c r="UE46" s="242">
        <f t="shared" ca="1" si="473"/>
        <v>0</v>
      </c>
      <c r="UF46" s="241">
        <f t="shared" ca="1" si="576"/>
        <v>1</v>
      </c>
      <c r="UG46" s="220">
        <f t="shared" ca="1" si="765"/>
        <v>0</v>
      </c>
      <c r="UH46" s="220">
        <f t="shared" ca="1" si="766"/>
        <v>0</v>
      </c>
      <c r="UI46" s="235">
        <f t="shared" ca="1" si="476"/>
        <v>0</v>
      </c>
      <c r="UJ46" s="235">
        <f t="shared" ca="1" si="477"/>
        <v>0</v>
      </c>
      <c r="UK46" s="242">
        <f t="shared" ca="1" si="478"/>
        <v>0</v>
      </c>
      <c r="UL46" s="241">
        <f t="shared" ca="1" si="576"/>
        <v>1</v>
      </c>
      <c r="UM46" s="220">
        <f t="shared" ca="1" si="767"/>
        <v>0</v>
      </c>
      <c r="UN46" s="220">
        <f t="shared" ca="1" si="768"/>
        <v>0</v>
      </c>
      <c r="UO46" s="235">
        <f t="shared" ca="1" si="481"/>
        <v>0</v>
      </c>
      <c r="UP46" s="235">
        <f t="shared" ca="1" si="482"/>
        <v>0</v>
      </c>
      <c r="UQ46" s="242">
        <f t="shared" ca="1" si="483"/>
        <v>0</v>
      </c>
      <c r="UR46" s="241">
        <f t="shared" ca="1" si="576"/>
        <v>1</v>
      </c>
      <c r="US46" s="220">
        <f t="shared" ca="1" si="769"/>
        <v>0</v>
      </c>
      <c r="UT46" s="220">
        <f t="shared" ca="1" si="770"/>
        <v>0</v>
      </c>
      <c r="UU46" s="235">
        <f t="shared" ca="1" si="486"/>
        <v>0</v>
      </c>
      <c r="UV46" s="235">
        <f t="shared" ca="1" si="487"/>
        <v>0</v>
      </c>
      <c r="UW46" s="242">
        <f t="shared" ca="1" si="488"/>
        <v>0</v>
      </c>
      <c r="UX46" s="241">
        <f t="shared" ca="1" si="576"/>
        <v>1</v>
      </c>
      <c r="UY46" s="220">
        <f t="shared" ca="1" si="771"/>
        <v>0</v>
      </c>
      <c r="UZ46" s="220">
        <f t="shared" ca="1" si="772"/>
        <v>0</v>
      </c>
      <c r="VA46" s="235">
        <f t="shared" ca="1" si="491"/>
        <v>0</v>
      </c>
      <c r="VB46" s="235">
        <f t="shared" ca="1" si="492"/>
        <v>0</v>
      </c>
      <c r="VC46" s="242">
        <f t="shared" ca="1" si="493"/>
        <v>0</v>
      </c>
      <c r="VD46" s="241">
        <f t="shared" ca="1" si="574"/>
        <v>1</v>
      </c>
      <c r="VE46" s="220">
        <f t="shared" ca="1" si="773"/>
        <v>0</v>
      </c>
      <c r="VF46" s="220">
        <f t="shared" ca="1" si="774"/>
        <v>0</v>
      </c>
      <c r="VG46" s="235">
        <f t="shared" ca="1" si="496"/>
        <v>0</v>
      </c>
      <c r="VH46" s="235">
        <f t="shared" ca="1" si="497"/>
        <v>0</v>
      </c>
      <c r="VI46" s="242">
        <f t="shared" ca="1" si="498"/>
        <v>0</v>
      </c>
      <c r="VJ46" s="241">
        <f t="shared" ca="1" si="567"/>
        <v>1</v>
      </c>
      <c r="VK46" s="220">
        <f t="shared" ca="1" si="775"/>
        <v>0</v>
      </c>
      <c r="VL46" s="220">
        <f t="shared" ca="1" si="776"/>
        <v>0</v>
      </c>
      <c r="VM46" s="235">
        <f t="shared" ca="1" si="502"/>
        <v>0</v>
      </c>
      <c r="VN46" s="235">
        <f t="shared" ca="1" si="503"/>
        <v>0</v>
      </c>
      <c r="VO46" s="242">
        <f t="shared" ca="1" si="504"/>
        <v>0</v>
      </c>
      <c r="VP46" s="241">
        <f t="shared" ca="1" si="567"/>
        <v>1</v>
      </c>
      <c r="VQ46" s="220">
        <f t="shared" ca="1" si="777"/>
        <v>0</v>
      </c>
      <c r="VR46" s="220">
        <f t="shared" ca="1" si="778"/>
        <v>0</v>
      </c>
      <c r="VS46" s="235">
        <f t="shared" ca="1" si="507"/>
        <v>0</v>
      </c>
      <c r="VT46" s="235">
        <f t="shared" ca="1" si="508"/>
        <v>0</v>
      </c>
      <c r="VU46" s="242">
        <f t="shared" ca="1" si="509"/>
        <v>0</v>
      </c>
      <c r="VV46" s="241">
        <f t="shared" ca="1" si="578"/>
        <v>1</v>
      </c>
      <c r="VW46" s="220">
        <f t="shared" ca="1" si="779"/>
        <v>0</v>
      </c>
      <c r="VX46" s="220">
        <f t="shared" ca="1" si="780"/>
        <v>0</v>
      </c>
      <c r="VY46" s="235">
        <f t="shared" ca="1" si="512"/>
        <v>0</v>
      </c>
      <c r="VZ46" s="235">
        <f t="shared" ca="1" si="513"/>
        <v>0</v>
      </c>
      <c r="WA46" s="242">
        <f t="shared" ca="1" si="514"/>
        <v>0</v>
      </c>
      <c r="WB46" s="241">
        <f t="shared" ca="1" si="578"/>
        <v>1</v>
      </c>
      <c r="WC46" s="220">
        <f t="shared" ca="1" si="781"/>
        <v>0</v>
      </c>
      <c r="WD46" s="220">
        <f t="shared" ca="1" si="782"/>
        <v>0</v>
      </c>
      <c r="WE46" s="235">
        <f t="shared" ca="1" si="517"/>
        <v>0</v>
      </c>
      <c r="WF46" s="235">
        <f t="shared" ca="1" si="518"/>
        <v>0</v>
      </c>
      <c r="WG46" s="242">
        <f t="shared" ca="1" si="519"/>
        <v>0</v>
      </c>
      <c r="WH46" s="241">
        <f t="shared" ca="1" si="578"/>
        <v>1</v>
      </c>
      <c r="WI46" s="220">
        <f t="shared" ca="1" si="783"/>
        <v>0</v>
      </c>
      <c r="WJ46" s="220">
        <f t="shared" ca="1" si="784"/>
        <v>0</v>
      </c>
      <c r="WK46" s="235">
        <f t="shared" ca="1" si="522"/>
        <v>0</v>
      </c>
      <c r="WL46" s="235">
        <f t="shared" ca="1" si="523"/>
        <v>0</v>
      </c>
      <c r="WM46" s="242">
        <f t="shared" ca="1" si="524"/>
        <v>0</v>
      </c>
      <c r="WN46" s="241">
        <f t="shared" ca="1" si="578"/>
        <v>1</v>
      </c>
      <c r="WO46" s="220">
        <f t="shared" ca="1" si="785"/>
        <v>0</v>
      </c>
      <c r="WP46" s="220">
        <f t="shared" ca="1" si="786"/>
        <v>0</v>
      </c>
      <c r="WQ46" s="235">
        <f t="shared" ca="1" si="527"/>
        <v>0</v>
      </c>
      <c r="WR46" s="235">
        <f t="shared" ca="1" si="528"/>
        <v>0</v>
      </c>
      <c r="WS46" s="242">
        <f t="shared" ca="1" si="529"/>
        <v>0</v>
      </c>
      <c r="WT46" s="241">
        <f t="shared" ca="1" si="578"/>
        <v>1</v>
      </c>
      <c r="WU46" s="220">
        <f t="shared" ca="1" si="787"/>
        <v>0</v>
      </c>
      <c r="WV46" s="220">
        <f t="shared" ca="1" si="788"/>
        <v>0</v>
      </c>
      <c r="WW46" s="235">
        <f t="shared" ca="1" si="532"/>
        <v>0</v>
      </c>
      <c r="WX46" s="235">
        <f t="shared" ca="1" si="533"/>
        <v>0</v>
      </c>
      <c r="WY46" s="242">
        <f t="shared" ca="1" si="534"/>
        <v>0</v>
      </c>
      <c r="WZ46" s="241">
        <f t="shared" ca="1" si="578"/>
        <v>1</v>
      </c>
      <c r="XA46" s="220">
        <f t="shared" ca="1" si="789"/>
        <v>0</v>
      </c>
      <c r="XB46" s="220">
        <f t="shared" ca="1" si="790"/>
        <v>0</v>
      </c>
      <c r="XC46" s="235">
        <f t="shared" ca="1" si="537"/>
        <v>0</v>
      </c>
      <c r="XD46" s="235">
        <f t="shared" ca="1" si="538"/>
        <v>0</v>
      </c>
      <c r="XE46" s="242">
        <f t="shared" ca="1" si="539"/>
        <v>0</v>
      </c>
      <c r="XF46" s="241">
        <f t="shared" ca="1" si="578"/>
        <v>1</v>
      </c>
      <c r="XG46" s="220">
        <f t="shared" ca="1" si="791"/>
        <v>0</v>
      </c>
      <c r="XH46" s="220">
        <f t="shared" ca="1" si="792"/>
        <v>0</v>
      </c>
      <c r="XI46" s="235">
        <f t="shared" ca="1" si="542"/>
        <v>0</v>
      </c>
      <c r="XJ46" s="235">
        <f t="shared" ca="1" si="543"/>
        <v>0</v>
      </c>
      <c r="XK46" s="242">
        <f t="shared" ca="1" si="544"/>
        <v>0</v>
      </c>
    </row>
    <row r="47" spans="2:635" x14ac:dyDescent="0.25">
      <c r="B47" s="65">
        <f t="shared" ca="1" si="14"/>
        <v>2062</v>
      </c>
      <c r="C47" s="65" t="s">
        <v>741</v>
      </c>
      <c r="D47" s="77">
        <f t="shared" si="580"/>
        <v>0</v>
      </c>
      <c r="E47" s="77">
        <f t="shared" si="581"/>
        <v>0</v>
      </c>
      <c r="F47" s="77">
        <f t="shared" si="17"/>
        <v>0</v>
      </c>
      <c r="G47" s="77">
        <f t="shared" si="18"/>
        <v>0</v>
      </c>
      <c r="H47" s="15" t="e">
        <f t="shared" ca="1" si="582"/>
        <v>#REF!</v>
      </c>
      <c r="L47" s="326">
        <f t="shared" ca="1" si="583"/>
        <v>3.5000000000000003E-2</v>
      </c>
      <c r="M47" s="327">
        <f t="shared" ca="1" si="584"/>
        <v>3.5000000000000003E-2</v>
      </c>
      <c r="N47" s="322">
        <f t="shared" ca="1" si="579"/>
        <v>-39</v>
      </c>
      <c r="O47" s="322">
        <f t="shared" ca="1" si="585"/>
        <v>0</v>
      </c>
      <c r="P47" s="328">
        <f t="shared" ca="1" si="545"/>
        <v>0</v>
      </c>
      <c r="Q47" s="328">
        <f t="shared" ca="1" si="546"/>
        <v>0</v>
      </c>
      <c r="R47" s="328">
        <f t="shared" ca="1" si="547"/>
        <v>0</v>
      </c>
      <c r="S47" s="329">
        <f t="shared" ca="1" si="586"/>
        <v>0</v>
      </c>
      <c r="T47" s="329">
        <f t="shared" ca="1" si="587"/>
        <v>0</v>
      </c>
      <c r="U47" s="329">
        <f t="shared" ca="1" si="588"/>
        <v>0</v>
      </c>
      <c r="V47" s="320" t="e">
        <f t="shared" ca="1" si="589"/>
        <v>#REF!</v>
      </c>
      <c r="W47" s="320" t="e">
        <f t="shared" ca="1" si="560"/>
        <v>#REF!</v>
      </c>
      <c r="X47" s="320" t="e">
        <f t="shared" ca="1" si="590"/>
        <v>#REF!</v>
      </c>
      <c r="Y47" s="320" t="e">
        <f ca="1">INDEX(SC_ZA_HECMLumpSum,ZAIDX)</f>
        <v>#REF!</v>
      </c>
      <c r="Z47" s="320" t="e">
        <f t="shared" ca="1" si="591"/>
        <v>#REF!</v>
      </c>
      <c r="AA47" s="320">
        <f t="shared" ca="1" si="557"/>
        <v>0</v>
      </c>
      <c r="AB47" s="320" t="e">
        <f t="shared" ca="1" si="558"/>
        <v>#REF!</v>
      </c>
      <c r="AC47" s="330" t="e">
        <f t="shared" ca="1" si="559"/>
        <v>#REF!</v>
      </c>
      <c r="AD47" s="236" t="e">
        <f t="shared" ca="1" si="548"/>
        <v>#REF!</v>
      </c>
      <c r="AE47" s="320" t="e">
        <f t="shared" ca="1" si="561"/>
        <v>#REF!</v>
      </c>
      <c r="AF47" s="320" t="e">
        <f t="shared" ca="1" si="592"/>
        <v>#REF!</v>
      </c>
      <c r="AG47" s="320" t="e">
        <f t="shared" ca="1" si="549"/>
        <v>#REF!</v>
      </c>
      <c r="AH47" s="284" t="e">
        <f t="shared" ca="1" si="550"/>
        <v>#REF!</v>
      </c>
      <c r="AI47" s="318" t="e">
        <f t="shared" ca="1" si="551"/>
        <v>#REF!</v>
      </c>
      <c r="AJ47" s="331">
        <f t="shared" ca="1" si="575"/>
        <v>1</v>
      </c>
      <c r="AK47" s="220">
        <f t="shared" ca="1" si="593"/>
        <v>0</v>
      </c>
      <c r="AL47" s="220">
        <f t="shared" ca="1" si="594"/>
        <v>0</v>
      </c>
      <c r="AM47" s="235">
        <f t="shared" ca="1" si="554"/>
        <v>0</v>
      </c>
      <c r="AN47" s="235">
        <f t="shared" ca="1" si="555"/>
        <v>0</v>
      </c>
      <c r="AO47" s="242">
        <f t="shared" ca="1" si="556"/>
        <v>0</v>
      </c>
      <c r="AP47" s="241">
        <f t="shared" ca="1" si="575"/>
        <v>1</v>
      </c>
      <c r="AQ47" s="220">
        <f t="shared" ca="1" si="595"/>
        <v>0</v>
      </c>
      <c r="AR47" s="220">
        <f t="shared" ca="1" si="596"/>
        <v>0</v>
      </c>
      <c r="AS47" s="235">
        <f t="shared" ca="1" si="43"/>
        <v>0</v>
      </c>
      <c r="AT47" s="235">
        <f t="shared" ca="1" si="44"/>
        <v>0</v>
      </c>
      <c r="AU47" s="242">
        <f t="shared" ca="1" si="45"/>
        <v>0</v>
      </c>
      <c r="AV47" s="241">
        <f t="shared" ca="1" si="575"/>
        <v>1</v>
      </c>
      <c r="AW47" s="220">
        <f t="shared" ca="1" si="597"/>
        <v>0</v>
      </c>
      <c r="AX47" s="220">
        <f t="shared" ca="1" si="598"/>
        <v>0</v>
      </c>
      <c r="AY47" s="235">
        <f t="shared" ca="1" si="48"/>
        <v>0</v>
      </c>
      <c r="AZ47" s="235">
        <f t="shared" ca="1" si="49"/>
        <v>0</v>
      </c>
      <c r="BA47" s="242">
        <f t="shared" ca="1" si="50"/>
        <v>0</v>
      </c>
      <c r="BB47" s="241">
        <f t="shared" ca="1" si="575"/>
        <v>1</v>
      </c>
      <c r="BC47" s="220">
        <f t="shared" ca="1" si="599"/>
        <v>0</v>
      </c>
      <c r="BD47" s="220">
        <f t="shared" ca="1" si="600"/>
        <v>0</v>
      </c>
      <c r="BE47" s="235">
        <f t="shared" ca="1" si="54"/>
        <v>0</v>
      </c>
      <c r="BF47" s="235">
        <f t="shared" ca="1" si="55"/>
        <v>0</v>
      </c>
      <c r="BG47" s="242">
        <f t="shared" ca="1" si="56"/>
        <v>0</v>
      </c>
      <c r="BH47" s="241">
        <f t="shared" ca="1" si="575"/>
        <v>1</v>
      </c>
      <c r="BI47" s="220">
        <f t="shared" ca="1" si="601"/>
        <v>0</v>
      </c>
      <c r="BJ47" s="220">
        <f t="shared" ca="1" si="602"/>
        <v>0</v>
      </c>
      <c r="BK47" s="235">
        <f t="shared" ca="1" si="59"/>
        <v>0</v>
      </c>
      <c r="BL47" s="235">
        <f t="shared" ca="1" si="60"/>
        <v>0</v>
      </c>
      <c r="BM47" s="242">
        <f t="shared" ca="1" si="61"/>
        <v>0</v>
      </c>
      <c r="BN47" s="241">
        <f t="shared" ca="1" si="575"/>
        <v>1</v>
      </c>
      <c r="BO47" s="220">
        <f t="shared" ca="1" si="603"/>
        <v>0</v>
      </c>
      <c r="BP47" s="220">
        <f t="shared" ca="1" si="604"/>
        <v>0</v>
      </c>
      <c r="BQ47" s="235">
        <f t="shared" ca="1" si="64"/>
        <v>0</v>
      </c>
      <c r="BR47" s="235">
        <f t="shared" ca="1" si="65"/>
        <v>0</v>
      </c>
      <c r="BS47" s="242">
        <f t="shared" ca="1" si="66"/>
        <v>0</v>
      </c>
      <c r="BT47" s="241">
        <f t="shared" ca="1" si="575"/>
        <v>1</v>
      </c>
      <c r="BU47" s="220">
        <f t="shared" ca="1" si="605"/>
        <v>0</v>
      </c>
      <c r="BV47" s="220">
        <f t="shared" ca="1" si="606"/>
        <v>0</v>
      </c>
      <c r="BW47" s="235">
        <f t="shared" ca="1" si="69"/>
        <v>0</v>
      </c>
      <c r="BX47" s="235">
        <f t="shared" ca="1" si="70"/>
        <v>0</v>
      </c>
      <c r="BY47" s="242">
        <f t="shared" ca="1" si="71"/>
        <v>0</v>
      </c>
      <c r="BZ47" s="241">
        <f t="shared" ca="1" si="575"/>
        <v>1</v>
      </c>
      <c r="CA47" s="220">
        <f t="shared" ca="1" si="607"/>
        <v>0</v>
      </c>
      <c r="CB47" s="220">
        <f t="shared" ca="1" si="608"/>
        <v>0</v>
      </c>
      <c r="CC47" s="235">
        <f t="shared" ca="1" si="74"/>
        <v>0</v>
      </c>
      <c r="CD47" s="235">
        <f t="shared" ca="1" si="75"/>
        <v>0</v>
      </c>
      <c r="CE47" s="242">
        <f t="shared" ca="1" si="76"/>
        <v>0</v>
      </c>
      <c r="CF47" s="241">
        <f t="shared" ca="1" si="575"/>
        <v>1</v>
      </c>
      <c r="CG47" s="220">
        <f t="shared" ca="1" si="609"/>
        <v>0</v>
      </c>
      <c r="CH47" s="220">
        <f t="shared" ca="1" si="610"/>
        <v>0</v>
      </c>
      <c r="CI47" s="235">
        <f t="shared" ca="1" si="79"/>
        <v>0</v>
      </c>
      <c r="CJ47" s="235">
        <f t="shared" ca="1" si="80"/>
        <v>0</v>
      </c>
      <c r="CK47" s="242">
        <f t="shared" ca="1" si="81"/>
        <v>0</v>
      </c>
      <c r="CL47" s="241">
        <f t="shared" ca="1" si="575"/>
        <v>1</v>
      </c>
      <c r="CM47" s="220">
        <f t="shared" ca="1" si="611"/>
        <v>0</v>
      </c>
      <c r="CN47" s="220">
        <f t="shared" ca="1" si="612"/>
        <v>0</v>
      </c>
      <c r="CO47" s="235">
        <f t="shared" ca="1" si="84"/>
        <v>0</v>
      </c>
      <c r="CP47" s="235">
        <f t="shared" ca="1" si="85"/>
        <v>0</v>
      </c>
      <c r="CQ47" s="242">
        <f t="shared" ca="1" si="86"/>
        <v>0</v>
      </c>
      <c r="CR47" s="241">
        <f t="shared" ca="1" si="575"/>
        <v>1</v>
      </c>
      <c r="CS47" s="220">
        <f t="shared" ca="1" si="613"/>
        <v>0</v>
      </c>
      <c r="CT47" s="220">
        <f t="shared" ca="1" si="614"/>
        <v>0</v>
      </c>
      <c r="CU47" s="235">
        <f t="shared" ca="1" si="89"/>
        <v>0</v>
      </c>
      <c r="CV47" s="235">
        <f t="shared" ca="1" si="90"/>
        <v>0</v>
      </c>
      <c r="CW47" s="242">
        <f t="shared" ca="1" si="91"/>
        <v>0</v>
      </c>
      <c r="CX47" s="241">
        <f t="shared" ca="1" si="568"/>
        <v>1</v>
      </c>
      <c r="CY47" s="220">
        <f t="shared" ca="1" si="615"/>
        <v>0</v>
      </c>
      <c r="CZ47" s="220">
        <f t="shared" ca="1" si="616"/>
        <v>0</v>
      </c>
      <c r="DA47" s="235">
        <f t="shared" ca="1" si="94"/>
        <v>0</v>
      </c>
      <c r="DB47" s="235">
        <f t="shared" ca="1" si="95"/>
        <v>0</v>
      </c>
      <c r="DC47" s="242">
        <f t="shared" ca="1" si="96"/>
        <v>0</v>
      </c>
      <c r="DD47" s="241">
        <f t="shared" ca="1" si="568"/>
        <v>1</v>
      </c>
      <c r="DE47" s="220">
        <f t="shared" ca="1" si="617"/>
        <v>0</v>
      </c>
      <c r="DF47" s="220">
        <f t="shared" ca="1" si="618"/>
        <v>0</v>
      </c>
      <c r="DG47" s="235">
        <f t="shared" ca="1" si="99"/>
        <v>0</v>
      </c>
      <c r="DH47" s="235">
        <f t="shared" ca="1" si="100"/>
        <v>0</v>
      </c>
      <c r="DI47" s="242">
        <f t="shared" ca="1" si="101"/>
        <v>0</v>
      </c>
      <c r="DJ47" s="241">
        <f t="shared" ca="1" si="51"/>
        <v>1</v>
      </c>
      <c r="DK47" s="220">
        <f t="shared" ca="1" si="619"/>
        <v>0</v>
      </c>
      <c r="DL47" s="220">
        <f t="shared" ca="1" si="620"/>
        <v>0</v>
      </c>
      <c r="DM47" s="235">
        <f t="shared" ca="1" si="104"/>
        <v>0</v>
      </c>
      <c r="DN47" s="235">
        <f t="shared" ca="1" si="105"/>
        <v>0</v>
      </c>
      <c r="DO47" s="242">
        <f t="shared" ca="1" si="106"/>
        <v>0</v>
      </c>
      <c r="DP47" s="241">
        <f t="shared" ca="1" si="569"/>
        <v>1</v>
      </c>
      <c r="DQ47" s="220">
        <f t="shared" ca="1" si="621"/>
        <v>0</v>
      </c>
      <c r="DR47" s="220">
        <f t="shared" ca="1" si="622"/>
        <v>0</v>
      </c>
      <c r="DS47" s="235">
        <f t="shared" ca="1" si="110"/>
        <v>0</v>
      </c>
      <c r="DT47" s="235">
        <f t="shared" ca="1" si="111"/>
        <v>0</v>
      </c>
      <c r="DU47" s="242">
        <f t="shared" ca="1" si="112"/>
        <v>0</v>
      </c>
      <c r="DV47" s="241">
        <f t="shared" ca="1" si="569"/>
        <v>1</v>
      </c>
      <c r="DW47" s="220">
        <f t="shared" ca="1" si="623"/>
        <v>0</v>
      </c>
      <c r="DX47" s="220">
        <f t="shared" ca="1" si="624"/>
        <v>0</v>
      </c>
      <c r="DY47" s="235">
        <f t="shared" ca="1" si="115"/>
        <v>0</v>
      </c>
      <c r="DZ47" s="235">
        <f t="shared" ca="1" si="116"/>
        <v>0</v>
      </c>
      <c r="EA47" s="242">
        <f t="shared" ca="1" si="117"/>
        <v>0</v>
      </c>
      <c r="EB47" s="241">
        <f t="shared" ca="1" si="569"/>
        <v>1</v>
      </c>
      <c r="EC47" s="220">
        <f t="shared" ca="1" si="625"/>
        <v>0</v>
      </c>
      <c r="ED47" s="220">
        <f t="shared" ca="1" si="626"/>
        <v>0</v>
      </c>
      <c r="EE47" s="235">
        <f t="shared" ca="1" si="120"/>
        <v>0</v>
      </c>
      <c r="EF47" s="235">
        <f t="shared" ca="1" si="121"/>
        <v>0</v>
      </c>
      <c r="EG47" s="242">
        <f t="shared" ca="1" si="122"/>
        <v>0</v>
      </c>
      <c r="EH47" s="241">
        <f t="shared" ca="1" si="569"/>
        <v>1</v>
      </c>
      <c r="EI47" s="220">
        <f t="shared" ca="1" si="627"/>
        <v>0</v>
      </c>
      <c r="EJ47" s="220">
        <f t="shared" ca="1" si="628"/>
        <v>0</v>
      </c>
      <c r="EK47" s="235">
        <f t="shared" ca="1" si="125"/>
        <v>0</v>
      </c>
      <c r="EL47" s="235">
        <f t="shared" ca="1" si="126"/>
        <v>0</v>
      </c>
      <c r="EM47" s="242">
        <f t="shared" ca="1" si="127"/>
        <v>0</v>
      </c>
      <c r="EN47" s="241">
        <f t="shared" ca="1" si="569"/>
        <v>1</v>
      </c>
      <c r="EO47" s="220">
        <f t="shared" ca="1" si="629"/>
        <v>0</v>
      </c>
      <c r="EP47" s="220">
        <f t="shared" ca="1" si="630"/>
        <v>0</v>
      </c>
      <c r="EQ47" s="235">
        <f t="shared" ca="1" si="130"/>
        <v>0</v>
      </c>
      <c r="ER47" s="235">
        <f t="shared" ca="1" si="131"/>
        <v>0</v>
      </c>
      <c r="ES47" s="242">
        <f t="shared" ca="1" si="132"/>
        <v>0</v>
      </c>
      <c r="ET47" s="241">
        <f t="shared" ca="1" si="569"/>
        <v>1</v>
      </c>
      <c r="EU47" s="220">
        <f t="shared" ca="1" si="631"/>
        <v>0</v>
      </c>
      <c r="EV47" s="220">
        <f t="shared" ca="1" si="632"/>
        <v>0</v>
      </c>
      <c r="EW47" s="235">
        <f t="shared" ca="1" si="135"/>
        <v>0</v>
      </c>
      <c r="EX47" s="235">
        <f t="shared" ca="1" si="136"/>
        <v>0</v>
      </c>
      <c r="EY47" s="242">
        <f t="shared" ca="1" si="137"/>
        <v>0</v>
      </c>
      <c r="EZ47" s="241">
        <f t="shared" ca="1" si="569"/>
        <v>1</v>
      </c>
      <c r="FA47" s="220">
        <f t="shared" ca="1" si="633"/>
        <v>0</v>
      </c>
      <c r="FB47" s="220">
        <f t="shared" ca="1" si="634"/>
        <v>0</v>
      </c>
      <c r="FC47" s="235">
        <f t="shared" ca="1" si="140"/>
        <v>0</v>
      </c>
      <c r="FD47" s="235">
        <f t="shared" ca="1" si="141"/>
        <v>0</v>
      </c>
      <c r="FE47" s="242">
        <f t="shared" ca="1" si="142"/>
        <v>0</v>
      </c>
      <c r="FF47" s="241">
        <f t="shared" ca="1" si="569"/>
        <v>1</v>
      </c>
      <c r="FG47" s="220">
        <f t="shared" ca="1" si="635"/>
        <v>0</v>
      </c>
      <c r="FH47" s="220">
        <f t="shared" ca="1" si="636"/>
        <v>0</v>
      </c>
      <c r="FI47" s="235">
        <f t="shared" ca="1" si="145"/>
        <v>0</v>
      </c>
      <c r="FJ47" s="235">
        <f t="shared" ca="1" si="146"/>
        <v>0</v>
      </c>
      <c r="FK47" s="242">
        <f t="shared" ca="1" si="147"/>
        <v>0</v>
      </c>
      <c r="FL47" s="241">
        <f t="shared" ca="1" si="569"/>
        <v>1</v>
      </c>
      <c r="FM47" s="220">
        <f t="shared" ca="1" si="637"/>
        <v>0</v>
      </c>
      <c r="FN47" s="220">
        <f t="shared" ca="1" si="638"/>
        <v>0</v>
      </c>
      <c r="FO47" s="235">
        <f t="shared" ca="1" si="150"/>
        <v>0</v>
      </c>
      <c r="FP47" s="235">
        <f t="shared" ca="1" si="151"/>
        <v>0</v>
      </c>
      <c r="FQ47" s="242">
        <f t="shared" ca="1" si="152"/>
        <v>0</v>
      </c>
      <c r="FR47" s="241">
        <f t="shared" ca="1" si="569"/>
        <v>1</v>
      </c>
      <c r="FS47" s="220">
        <f t="shared" ca="1" si="639"/>
        <v>0</v>
      </c>
      <c r="FT47" s="220">
        <f t="shared" ca="1" si="640"/>
        <v>0</v>
      </c>
      <c r="FU47" s="235">
        <f t="shared" ca="1" si="155"/>
        <v>0</v>
      </c>
      <c r="FV47" s="235">
        <f t="shared" ca="1" si="156"/>
        <v>0</v>
      </c>
      <c r="FW47" s="242">
        <f t="shared" ca="1" si="157"/>
        <v>0</v>
      </c>
      <c r="FX47" s="241">
        <f t="shared" ca="1" si="569"/>
        <v>1</v>
      </c>
      <c r="FY47" s="220">
        <f t="shared" ca="1" si="641"/>
        <v>0</v>
      </c>
      <c r="FZ47" s="220">
        <f t="shared" ca="1" si="642"/>
        <v>0</v>
      </c>
      <c r="GA47" s="235">
        <f t="shared" ca="1" si="160"/>
        <v>0</v>
      </c>
      <c r="GB47" s="235">
        <f t="shared" ca="1" si="161"/>
        <v>0</v>
      </c>
      <c r="GC47" s="242">
        <f t="shared" ca="1" si="162"/>
        <v>0</v>
      </c>
      <c r="GD47" s="241">
        <f t="shared" ca="1" si="562"/>
        <v>1</v>
      </c>
      <c r="GE47" s="220">
        <f t="shared" ca="1" si="643"/>
        <v>0</v>
      </c>
      <c r="GF47" s="220">
        <f t="shared" ca="1" si="644"/>
        <v>0</v>
      </c>
      <c r="GG47" s="235">
        <f t="shared" ca="1" si="166"/>
        <v>0</v>
      </c>
      <c r="GH47" s="235">
        <f t="shared" ca="1" si="167"/>
        <v>0</v>
      </c>
      <c r="GI47" s="242">
        <f t="shared" ca="1" si="168"/>
        <v>0</v>
      </c>
      <c r="GJ47" s="241">
        <f t="shared" ca="1" si="562"/>
        <v>1</v>
      </c>
      <c r="GK47" s="220">
        <f t="shared" ca="1" si="645"/>
        <v>0</v>
      </c>
      <c r="GL47" s="220">
        <f t="shared" ca="1" si="646"/>
        <v>0</v>
      </c>
      <c r="GM47" s="235">
        <f t="shared" ca="1" si="171"/>
        <v>0</v>
      </c>
      <c r="GN47" s="235">
        <f t="shared" ca="1" si="172"/>
        <v>0</v>
      </c>
      <c r="GO47" s="242">
        <f t="shared" ca="1" si="173"/>
        <v>0</v>
      </c>
      <c r="GP47" s="241">
        <f t="shared" ca="1" si="570"/>
        <v>1</v>
      </c>
      <c r="GQ47" s="220">
        <f t="shared" ca="1" si="647"/>
        <v>0</v>
      </c>
      <c r="GR47" s="220">
        <f t="shared" ca="1" si="648"/>
        <v>0</v>
      </c>
      <c r="GS47" s="235">
        <f t="shared" ca="1" si="176"/>
        <v>0</v>
      </c>
      <c r="GT47" s="235">
        <f t="shared" ca="1" si="177"/>
        <v>0</v>
      </c>
      <c r="GU47" s="242">
        <f t="shared" ca="1" si="178"/>
        <v>0</v>
      </c>
      <c r="GV47" s="241">
        <f t="shared" ca="1" si="570"/>
        <v>1</v>
      </c>
      <c r="GW47" s="220">
        <f t="shared" ca="1" si="649"/>
        <v>0</v>
      </c>
      <c r="GX47" s="220">
        <f t="shared" ca="1" si="650"/>
        <v>0</v>
      </c>
      <c r="GY47" s="235">
        <f t="shared" ca="1" si="181"/>
        <v>0</v>
      </c>
      <c r="GZ47" s="235">
        <f t="shared" ca="1" si="182"/>
        <v>0</v>
      </c>
      <c r="HA47" s="242">
        <f t="shared" ca="1" si="183"/>
        <v>0</v>
      </c>
      <c r="HB47" s="241">
        <f t="shared" ca="1" si="570"/>
        <v>1</v>
      </c>
      <c r="HC47" s="220">
        <f t="shared" ca="1" si="651"/>
        <v>0</v>
      </c>
      <c r="HD47" s="220">
        <f t="shared" ca="1" si="652"/>
        <v>0</v>
      </c>
      <c r="HE47" s="235">
        <f t="shared" ca="1" si="186"/>
        <v>0</v>
      </c>
      <c r="HF47" s="235">
        <f t="shared" ca="1" si="187"/>
        <v>0</v>
      </c>
      <c r="HG47" s="242">
        <f t="shared" ca="1" si="188"/>
        <v>0</v>
      </c>
      <c r="HH47" s="241">
        <f t="shared" ca="1" si="570"/>
        <v>1</v>
      </c>
      <c r="HI47" s="220">
        <f t="shared" ca="1" si="653"/>
        <v>0</v>
      </c>
      <c r="HJ47" s="220">
        <f t="shared" ca="1" si="654"/>
        <v>0</v>
      </c>
      <c r="HK47" s="235">
        <f t="shared" ca="1" si="191"/>
        <v>0</v>
      </c>
      <c r="HL47" s="235">
        <f t="shared" ca="1" si="192"/>
        <v>0</v>
      </c>
      <c r="HM47" s="242">
        <f t="shared" ca="1" si="193"/>
        <v>0</v>
      </c>
      <c r="HN47" s="241">
        <f t="shared" ca="1" si="570"/>
        <v>1</v>
      </c>
      <c r="HO47" s="220">
        <f t="shared" ca="1" si="655"/>
        <v>0</v>
      </c>
      <c r="HP47" s="220">
        <f t="shared" ca="1" si="656"/>
        <v>0</v>
      </c>
      <c r="HQ47" s="235">
        <f t="shared" ca="1" si="196"/>
        <v>0</v>
      </c>
      <c r="HR47" s="235">
        <f t="shared" ca="1" si="197"/>
        <v>0</v>
      </c>
      <c r="HS47" s="242">
        <f t="shared" ca="1" si="198"/>
        <v>0</v>
      </c>
      <c r="HT47" s="241">
        <f t="shared" ca="1" si="570"/>
        <v>1</v>
      </c>
      <c r="HU47" s="220">
        <f t="shared" ca="1" si="657"/>
        <v>0</v>
      </c>
      <c r="HV47" s="220">
        <f t="shared" ca="1" si="658"/>
        <v>0</v>
      </c>
      <c r="HW47" s="235">
        <f t="shared" ca="1" si="201"/>
        <v>0</v>
      </c>
      <c r="HX47" s="235">
        <f t="shared" ca="1" si="202"/>
        <v>0</v>
      </c>
      <c r="HY47" s="242">
        <f t="shared" ca="1" si="203"/>
        <v>0</v>
      </c>
      <c r="HZ47" s="241">
        <f t="shared" ca="1" si="570"/>
        <v>1</v>
      </c>
      <c r="IA47" s="220">
        <f t="shared" ca="1" si="659"/>
        <v>0</v>
      </c>
      <c r="IB47" s="220">
        <f t="shared" ca="1" si="660"/>
        <v>0</v>
      </c>
      <c r="IC47" s="235">
        <f t="shared" ca="1" si="206"/>
        <v>0</v>
      </c>
      <c r="ID47" s="235">
        <f t="shared" ca="1" si="207"/>
        <v>0</v>
      </c>
      <c r="IE47" s="242">
        <f t="shared" ca="1" si="208"/>
        <v>0</v>
      </c>
      <c r="IF47" s="241">
        <f t="shared" ca="1" si="570"/>
        <v>1</v>
      </c>
      <c r="IG47" s="220">
        <f t="shared" ca="1" si="661"/>
        <v>0</v>
      </c>
      <c r="IH47" s="220">
        <f t="shared" ca="1" si="662"/>
        <v>0</v>
      </c>
      <c r="II47" s="235">
        <f t="shared" ca="1" si="211"/>
        <v>0</v>
      </c>
      <c r="IJ47" s="235">
        <f t="shared" ca="1" si="212"/>
        <v>0</v>
      </c>
      <c r="IK47" s="242">
        <f t="shared" ca="1" si="213"/>
        <v>0</v>
      </c>
      <c r="IL47" s="241">
        <f t="shared" ca="1" si="570"/>
        <v>1</v>
      </c>
      <c r="IM47" s="220">
        <f t="shared" ca="1" si="663"/>
        <v>0</v>
      </c>
      <c r="IN47" s="220">
        <f t="shared" ca="1" si="664"/>
        <v>0</v>
      </c>
      <c r="IO47" s="235">
        <f t="shared" ca="1" si="216"/>
        <v>0</v>
      </c>
      <c r="IP47" s="235">
        <f t="shared" ca="1" si="217"/>
        <v>0</v>
      </c>
      <c r="IQ47" s="242">
        <f t="shared" ca="1" si="218"/>
        <v>0</v>
      </c>
      <c r="IR47" s="241">
        <f t="shared" ca="1" si="570"/>
        <v>1</v>
      </c>
      <c r="IS47" s="220">
        <f t="shared" ca="1" si="665"/>
        <v>0</v>
      </c>
      <c r="IT47" s="220">
        <f t="shared" ca="1" si="666"/>
        <v>0</v>
      </c>
      <c r="IU47" s="235">
        <f t="shared" ca="1" si="222"/>
        <v>0</v>
      </c>
      <c r="IV47" s="235">
        <f t="shared" ca="1" si="223"/>
        <v>0</v>
      </c>
      <c r="IW47" s="242">
        <f t="shared" ca="1" si="224"/>
        <v>0</v>
      </c>
      <c r="IX47" s="241">
        <f t="shared" ca="1" si="570"/>
        <v>1</v>
      </c>
      <c r="IY47" s="220">
        <f t="shared" ca="1" si="667"/>
        <v>0</v>
      </c>
      <c r="IZ47" s="220">
        <f t="shared" ca="1" si="668"/>
        <v>0</v>
      </c>
      <c r="JA47" s="235">
        <f t="shared" ca="1" si="227"/>
        <v>0</v>
      </c>
      <c r="JB47" s="235">
        <f t="shared" ca="1" si="228"/>
        <v>0</v>
      </c>
      <c r="JC47" s="242">
        <f t="shared" ca="1" si="229"/>
        <v>0</v>
      </c>
      <c r="JD47" s="241">
        <f t="shared" ca="1" si="563"/>
        <v>1</v>
      </c>
      <c r="JE47" s="220">
        <f t="shared" ca="1" si="669"/>
        <v>0</v>
      </c>
      <c r="JF47" s="220">
        <f t="shared" ca="1" si="670"/>
        <v>0</v>
      </c>
      <c r="JG47" s="235">
        <f t="shared" ca="1" si="232"/>
        <v>0</v>
      </c>
      <c r="JH47" s="235">
        <f t="shared" ca="1" si="233"/>
        <v>0</v>
      </c>
      <c r="JI47" s="242">
        <f t="shared" ca="1" si="234"/>
        <v>0</v>
      </c>
      <c r="JJ47" s="241">
        <f t="shared" ca="1" si="563"/>
        <v>1</v>
      </c>
      <c r="JK47" s="220">
        <f t="shared" ca="1" si="671"/>
        <v>0</v>
      </c>
      <c r="JL47" s="220">
        <f t="shared" ca="1" si="672"/>
        <v>0</v>
      </c>
      <c r="JM47" s="235">
        <f t="shared" ca="1" si="237"/>
        <v>0</v>
      </c>
      <c r="JN47" s="235">
        <f t="shared" ca="1" si="238"/>
        <v>0</v>
      </c>
      <c r="JO47" s="242">
        <f t="shared" ca="1" si="239"/>
        <v>0</v>
      </c>
      <c r="JP47" s="241">
        <f t="shared" ca="1" si="571"/>
        <v>1</v>
      </c>
      <c r="JQ47" s="220">
        <f t="shared" ca="1" si="673"/>
        <v>0</v>
      </c>
      <c r="JR47" s="220">
        <f t="shared" ca="1" si="674"/>
        <v>0</v>
      </c>
      <c r="JS47" s="235">
        <f t="shared" ca="1" si="242"/>
        <v>0</v>
      </c>
      <c r="JT47" s="235">
        <f t="shared" ca="1" si="243"/>
        <v>0</v>
      </c>
      <c r="JU47" s="242">
        <f t="shared" ca="1" si="244"/>
        <v>0</v>
      </c>
      <c r="JV47" s="241">
        <f t="shared" ca="1" si="571"/>
        <v>1</v>
      </c>
      <c r="JW47" s="220">
        <f t="shared" ca="1" si="675"/>
        <v>0</v>
      </c>
      <c r="JX47" s="220">
        <f t="shared" ca="1" si="676"/>
        <v>0</v>
      </c>
      <c r="JY47" s="235">
        <f t="shared" ca="1" si="247"/>
        <v>0</v>
      </c>
      <c r="JZ47" s="235">
        <f t="shared" ca="1" si="248"/>
        <v>0</v>
      </c>
      <c r="KA47" s="242">
        <f t="shared" ca="1" si="249"/>
        <v>0</v>
      </c>
      <c r="KB47" s="241">
        <f t="shared" ca="1" si="571"/>
        <v>1</v>
      </c>
      <c r="KC47" s="220">
        <f t="shared" ca="1" si="677"/>
        <v>0</v>
      </c>
      <c r="KD47" s="220">
        <f t="shared" ca="1" si="678"/>
        <v>0</v>
      </c>
      <c r="KE47" s="235">
        <f t="shared" ca="1" si="252"/>
        <v>0</v>
      </c>
      <c r="KF47" s="235">
        <f t="shared" ca="1" si="253"/>
        <v>0</v>
      </c>
      <c r="KG47" s="242">
        <f t="shared" ca="1" si="254"/>
        <v>0</v>
      </c>
      <c r="KH47" s="241">
        <f t="shared" ca="1" si="571"/>
        <v>1</v>
      </c>
      <c r="KI47" s="220">
        <f t="shared" ca="1" si="679"/>
        <v>0</v>
      </c>
      <c r="KJ47" s="220">
        <f t="shared" ca="1" si="680"/>
        <v>0</v>
      </c>
      <c r="KK47" s="235">
        <f t="shared" ca="1" si="257"/>
        <v>0</v>
      </c>
      <c r="KL47" s="235">
        <f t="shared" ca="1" si="258"/>
        <v>0</v>
      </c>
      <c r="KM47" s="242">
        <f t="shared" ca="1" si="259"/>
        <v>0</v>
      </c>
      <c r="KN47" s="241">
        <f t="shared" ca="1" si="571"/>
        <v>1</v>
      </c>
      <c r="KO47" s="220">
        <f t="shared" ca="1" si="681"/>
        <v>0</v>
      </c>
      <c r="KP47" s="220">
        <f t="shared" ca="1" si="682"/>
        <v>0</v>
      </c>
      <c r="KQ47" s="235">
        <f t="shared" ca="1" si="262"/>
        <v>0</v>
      </c>
      <c r="KR47" s="235">
        <f t="shared" ca="1" si="263"/>
        <v>0</v>
      </c>
      <c r="KS47" s="242">
        <f t="shared" ca="1" si="264"/>
        <v>0</v>
      </c>
      <c r="KT47" s="241">
        <f t="shared" ca="1" si="571"/>
        <v>1</v>
      </c>
      <c r="KU47" s="220">
        <f t="shared" ca="1" si="683"/>
        <v>0</v>
      </c>
      <c r="KV47" s="220">
        <f t="shared" ca="1" si="684"/>
        <v>0</v>
      </c>
      <c r="KW47" s="235">
        <f t="shared" ca="1" si="267"/>
        <v>0</v>
      </c>
      <c r="KX47" s="235">
        <f t="shared" ca="1" si="268"/>
        <v>0</v>
      </c>
      <c r="KY47" s="242">
        <f t="shared" ca="1" si="269"/>
        <v>0</v>
      </c>
      <c r="KZ47" s="241">
        <f t="shared" ca="1" si="571"/>
        <v>1</v>
      </c>
      <c r="LA47" s="220">
        <f t="shared" ca="1" si="685"/>
        <v>0</v>
      </c>
      <c r="LB47" s="220">
        <f t="shared" ca="1" si="686"/>
        <v>0</v>
      </c>
      <c r="LC47" s="235">
        <f t="shared" ca="1" si="272"/>
        <v>0</v>
      </c>
      <c r="LD47" s="235">
        <f t="shared" ca="1" si="273"/>
        <v>0</v>
      </c>
      <c r="LE47" s="242">
        <f t="shared" ca="1" si="274"/>
        <v>0</v>
      </c>
      <c r="LF47" s="241">
        <f t="shared" ca="1" si="571"/>
        <v>1</v>
      </c>
      <c r="LG47" s="220">
        <f t="shared" ca="1" si="687"/>
        <v>0</v>
      </c>
      <c r="LH47" s="220">
        <f t="shared" ca="1" si="688"/>
        <v>0</v>
      </c>
      <c r="LI47" s="235">
        <f t="shared" ca="1" si="278"/>
        <v>0</v>
      </c>
      <c r="LJ47" s="235">
        <f t="shared" ca="1" si="279"/>
        <v>0</v>
      </c>
      <c r="LK47" s="242">
        <f t="shared" ca="1" si="280"/>
        <v>0</v>
      </c>
      <c r="LL47" s="241">
        <f t="shared" ca="1" si="571"/>
        <v>1</v>
      </c>
      <c r="LM47" s="220">
        <f t="shared" ca="1" si="689"/>
        <v>0</v>
      </c>
      <c r="LN47" s="220">
        <f t="shared" ca="1" si="690"/>
        <v>0</v>
      </c>
      <c r="LO47" s="235">
        <f t="shared" ca="1" si="283"/>
        <v>0</v>
      </c>
      <c r="LP47" s="235">
        <f t="shared" ca="1" si="284"/>
        <v>0</v>
      </c>
      <c r="LQ47" s="242">
        <f t="shared" ca="1" si="285"/>
        <v>0</v>
      </c>
      <c r="LR47" s="241">
        <f t="shared" ca="1" si="571"/>
        <v>1</v>
      </c>
      <c r="LS47" s="220">
        <f t="shared" ca="1" si="691"/>
        <v>0</v>
      </c>
      <c r="LT47" s="220">
        <f t="shared" ca="1" si="692"/>
        <v>0</v>
      </c>
      <c r="LU47" s="235">
        <f t="shared" ca="1" si="288"/>
        <v>0</v>
      </c>
      <c r="LV47" s="235">
        <f t="shared" ca="1" si="289"/>
        <v>0</v>
      </c>
      <c r="LW47" s="242">
        <f t="shared" ca="1" si="290"/>
        <v>0</v>
      </c>
      <c r="LX47" s="241">
        <f t="shared" ca="1" si="571"/>
        <v>1</v>
      </c>
      <c r="LY47" s="220">
        <f t="shared" ca="1" si="693"/>
        <v>0</v>
      </c>
      <c r="LZ47" s="220">
        <f t="shared" ca="1" si="694"/>
        <v>0</v>
      </c>
      <c r="MA47" s="235">
        <f t="shared" ca="1" si="293"/>
        <v>0</v>
      </c>
      <c r="MB47" s="235">
        <f t="shared" ca="1" si="294"/>
        <v>0</v>
      </c>
      <c r="MC47" s="242">
        <f t="shared" ca="1" si="295"/>
        <v>0</v>
      </c>
      <c r="MD47" s="241">
        <f t="shared" ca="1" si="564"/>
        <v>1</v>
      </c>
      <c r="ME47" s="220">
        <f t="shared" ca="1" si="695"/>
        <v>0</v>
      </c>
      <c r="MF47" s="220">
        <f t="shared" ca="1" si="696"/>
        <v>0</v>
      </c>
      <c r="MG47" s="235">
        <f t="shared" ca="1" si="298"/>
        <v>0</v>
      </c>
      <c r="MH47" s="235">
        <f t="shared" ca="1" si="299"/>
        <v>0</v>
      </c>
      <c r="MI47" s="242">
        <f t="shared" ca="1" si="300"/>
        <v>0</v>
      </c>
      <c r="MJ47" s="241">
        <f t="shared" ca="1" si="564"/>
        <v>1</v>
      </c>
      <c r="MK47" s="220">
        <f t="shared" ca="1" si="697"/>
        <v>0</v>
      </c>
      <c r="ML47" s="220">
        <f t="shared" ca="1" si="698"/>
        <v>0</v>
      </c>
      <c r="MM47" s="235">
        <f t="shared" ca="1" si="303"/>
        <v>0</v>
      </c>
      <c r="MN47" s="235">
        <f t="shared" ca="1" si="304"/>
        <v>0</v>
      </c>
      <c r="MO47" s="242">
        <f t="shared" ca="1" si="305"/>
        <v>0</v>
      </c>
      <c r="MP47" s="241">
        <f t="shared" ca="1" si="572"/>
        <v>1</v>
      </c>
      <c r="MQ47" s="220">
        <f t="shared" ca="1" si="699"/>
        <v>0</v>
      </c>
      <c r="MR47" s="220">
        <f t="shared" ca="1" si="700"/>
        <v>0</v>
      </c>
      <c r="MS47" s="235">
        <f t="shared" ca="1" si="308"/>
        <v>0</v>
      </c>
      <c r="MT47" s="235">
        <f t="shared" ca="1" si="309"/>
        <v>0</v>
      </c>
      <c r="MU47" s="242">
        <f t="shared" ca="1" si="310"/>
        <v>0</v>
      </c>
      <c r="MV47" s="241">
        <f t="shared" ca="1" si="572"/>
        <v>1</v>
      </c>
      <c r="MW47" s="220">
        <f t="shared" ca="1" si="701"/>
        <v>0</v>
      </c>
      <c r="MX47" s="220">
        <f t="shared" ca="1" si="702"/>
        <v>0</v>
      </c>
      <c r="MY47" s="235">
        <f t="shared" ca="1" si="313"/>
        <v>0</v>
      </c>
      <c r="MZ47" s="235">
        <f t="shared" ca="1" si="314"/>
        <v>0</v>
      </c>
      <c r="NA47" s="242">
        <f t="shared" ca="1" si="315"/>
        <v>0</v>
      </c>
      <c r="NB47" s="241">
        <f t="shared" ca="1" si="572"/>
        <v>1</v>
      </c>
      <c r="NC47" s="220">
        <f t="shared" ca="1" si="703"/>
        <v>0</v>
      </c>
      <c r="ND47" s="220">
        <f t="shared" ca="1" si="704"/>
        <v>0</v>
      </c>
      <c r="NE47" s="235">
        <f t="shared" ca="1" si="318"/>
        <v>0</v>
      </c>
      <c r="NF47" s="235">
        <f t="shared" ca="1" si="319"/>
        <v>0</v>
      </c>
      <c r="NG47" s="242">
        <f t="shared" ca="1" si="320"/>
        <v>0</v>
      </c>
      <c r="NH47" s="241">
        <f t="shared" ca="1" si="572"/>
        <v>1</v>
      </c>
      <c r="NI47" s="220">
        <f t="shared" ca="1" si="705"/>
        <v>0</v>
      </c>
      <c r="NJ47" s="220">
        <f t="shared" ca="1" si="706"/>
        <v>0</v>
      </c>
      <c r="NK47" s="235">
        <f t="shared" ca="1" si="323"/>
        <v>0</v>
      </c>
      <c r="NL47" s="235">
        <f t="shared" ca="1" si="324"/>
        <v>0</v>
      </c>
      <c r="NM47" s="242">
        <f t="shared" ca="1" si="325"/>
        <v>0</v>
      </c>
      <c r="NN47" s="241">
        <f t="shared" ca="1" si="572"/>
        <v>1</v>
      </c>
      <c r="NO47" s="220">
        <f t="shared" ca="1" si="707"/>
        <v>0</v>
      </c>
      <c r="NP47" s="220">
        <f t="shared" ca="1" si="708"/>
        <v>0</v>
      </c>
      <c r="NQ47" s="235">
        <f t="shared" ca="1" si="328"/>
        <v>0</v>
      </c>
      <c r="NR47" s="235">
        <f t="shared" ca="1" si="329"/>
        <v>0</v>
      </c>
      <c r="NS47" s="242">
        <f t="shared" ca="1" si="330"/>
        <v>0</v>
      </c>
      <c r="NT47" s="241">
        <f t="shared" ca="1" si="572"/>
        <v>1</v>
      </c>
      <c r="NU47" s="220">
        <f t="shared" ca="1" si="709"/>
        <v>0</v>
      </c>
      <c r="NV47" s="220">
        <f t="shared" ca="1" si="710"/>
        <v>0</v>
      </c>
      <c r="NW47" s="235">
        <f t="shared" ca="1" si="334"/>
        <v>0</v>
      </c>
      <c r="NX47" s="235">
        <f t="shared" ca="1" si="335"/>
        <v>0</v>
      </c>
      <c r="NY47" s="242">
        <f t="shared" ca="1" si="336"/>
        <v>0</v>
      </c>
      <c r="NZ47" s="241">
        <f t="shared" ca="1" si="572"/>
        <v>1</v>
      </c>
      <c r="OA47" s="220">
        <f t="shared" ca="1" si="711"/>
        <v>0</v>
      </c>
      <c r="OB47" s="220">
        <f t="shared" ca="1" si="712"/>
        <v>0</v>
      </c>
      <c r="OC47" s="235">
        <f t="shared" ca="1" si="339"/>
        <v>0</v>
      </c>
      <c r="OD47" s="235">
        <f t="shared" ca="1" si="340"/>
        <v>0</v>
      </c>
      <c r="OE47" s="242">
        <f t="shared" ca="1" si="341"/>
        <v>0</v>
      </c>
      <c r="OF47" s="241">
        <f t="shared" ca="1" si="572"/>
        <v>1</v>
      </c>
      <c r="OG47" s="220">
        <f t="shared" ca="1" si="713"/>
        <v>0</v>
      </c>
      <c r="OH47" s="220">
        <f t="shared" ca="1" si="714"/>
        <v>0</v>
      </c>
      <c r="OI47" s="235">
        <f t="shared" ca="1" si="344"/>
        <v>0</v>
      </c>
      <c r="OJ47" s="235">
        <f t="shared" ca="1" si="345"/>
        <v>0</v>
      </c>
      <c r="OK47" s="242">
        <f t="shared" ca="1" si="346"/>
        <v>0</v>
      </c>
      <c r="OL47" s="241">
        <f t="shared" ca="1" si="572"/>
        <v>1</v>
      </c>
      <c r="OM47" s="220">
        <f t="shared" ca="1" si="715"/>
        <v>0</v>
      </c>
      <c r="ON47" s="220">
        <f t="shared" ca="1" si="716"/>
        <v>0</v>
      </c>
      <c r="OO47" s="235">
        <f t="shared" ca="1" si="349"/>
        <v>0</v>
      </c>
      <c r="OP47" s="235">
        <f t="shared" ca="1" si="350"/>
        <v>0</v>
      </c>
      <c r="OQ47" s="242">
        <f t="shared" ca="1" si="351"/>
        <v>0</v>
      </c>
      <c r="OR47" s="241">
        <f t="shared" ca="1" si="572"/>
        <v>1</v>
      </c>
      <c r="OS47" s="220">
        <f t="shared" ca="1" si="717"/>
        <v>0</v>
      </c>
      <c r="OT47" s="220">
        <f t="shared" ca="1" si="718"/>
        <v>0</v>
      </c>
      <c r="OU47" s="235">
        <f t="shared" ca="1" si="354"/>
        <v>0</v>
      </c>
      <c r="OV47" s="235">
        <f t="shared" ca="1" si="355"/>
        <v>0</v>
      </c>
      <c r="OW47" s="242">
        <f t="shared" ca="1" si="356"/>
        <v>0</v>
      </c>
      <c r="OX47" s="241">
        <f t="shared" ca="1" si="572"/>
        <v>1</v>
      </c>
      <c r="OY47" s="220">
        <f t="shared" ca="1" si="719"/>
        <v>0</v>
      </c>
      <c r="OZ47" s="220">
        <f t="shared" ca="1" si="720"/>
        <v>0</v>
      </c>
      <c r="PA47" s="235">
        <f t="shared" ca="1" si="359"/>
        <v>0</v>
      </c>
      <c r="PB47" s="235">
        <f t="shared" ca="1" si="360"/>
        <v>0</v>
      </c>
      <c r="PC47" s="242">
        <f t="shared" ca="1" si="361"/>
        <v>0</v>
      </c>
      <c r="PD47" s="241">
        <f t="shared" ca="1" si="565"/>
        <v>1</v>
      </c>
      <c r="PE47" s="220">
        <f t="shared" ca="1" si="721"/>
        <v>0</v>
      </c>
      <c r="PF47" s="220">
        <f t="shared" ca="1" si="722"/>
        <v>0</v>
      </c>
      <c r="PG47" s="235">
        <f t="shared" ca="1" si="364"/>
        <v>0</v>
      </c>
      <c r="PH47" s="235">
        <f t="shared" ca="1" si="365"/>
        <v>0</v>
      </c>
      <c r="PI47" s="242">
        <f t="shared" ca="1" si="366"/>
        <v>0</v>
      </c>
      <c r="PJ47" s="241">
        <f t="shared" ca="1" si="565"/>
        <v>1</v>
      </c>
      <c r="PK47" s="220">
        <f t="shared" ca="1" si="723"/>
        <v>0</v>
      </c>
      <c r="PL47" s="220">
        <f t="shared" ca="1" si="724"/>
        <v>0</v>
      </c>
      <c r="PM47" s="235">
        <f t="shared" ca="1" si="369"/>
        <v>0</v>
      </c>
      <c r="PN47" s="235">
        <f t="shared" ca="1" si="370"/>
        <v>0</v>
      </c>
      <c r="PO47" s="242">
        <f t="shared" ca="1" si="371"/>
        <v>0</v>
      </c>
      <c r="PP47" s="241">
        <f t="shared" ca="1" si="573"/>
        <v>1</v>
      </c>
      <c r="PQ47" s="220">
        <f t="shared" ca="1" si="725"/>
        <v>0</v>
      </c>
      <c r="PR47" s="220">
        <f t="shared" ca="1" si="726"/>
        <v>0</v>
      </c>
      <c r="PS47" s="235">
        <f t="shared" ca="1" si="374"/>
        <v>0</v>
      </c>
      <c r="PT47" s="235">
        <f t="shared" ca="1" si="375"/>
        <v>0</v>
      </c>
      <c r="PU47" s="242">
        <f t="shared" ca="1" si="376"/>
        <v>0</v>
      </c>
      <c r="PV47" s="241">
        <f t="shared" ca="1" si="573"/>
        <v>1</v>
      </c>
      <c r="PW47" s="220">
        <f t="shared" ca="1" si="727"/>
        <v>0</v>
      </c>
      <c r="PX47" s="220">
        <f t="shared" ca="1" si="728"/>
        <v>0</v>
      </c>
      <c r="PY47" s="235">
        <f t="shared" ca="1" si="379"/>
        <v>0</v>
      </c>
      <c r="PZ47" s="235">
        <f t="shared" ca="1" si="380"/>
        <v>0</v>
      </c>
      <c r="QA47" s="242">
        <f t="shared" ca="1" si="381"/>
        <v>0</v>
      </c>
      <c r="QB47" s="241">
        <f t="shared" ca="1" si="573"/>
        <v>1</v>
      </c>
      <c r="QC47" s="220">
        <f t="shared" ca="1" si="729"/>
        <v>0</v>
      </c>
      <c r="QD47" s="220">
        <f t="shared" ca="1" si="730"/>
        <v>0</v>
      </c>
      <c r="QE47" s="235">
        <f t="shared" ca="1" si="384"/>
        <v>0</v>
      </c>
      <c r="QF47" s="235">
        <f t="shared" ca="1" si="385"/>
        <v>0</v>
      </c>
      <c r="QG47" s="242">
        <f t="shared" ca="1" si="386"/>
        <v>0</v>
      </c>
      <c r="QH47" s="241">
        <f t="shared" ca="1" si="573"/>
        <v>1</v>
      </c>
      <c r="QI47" s="220">
        <f t="shared" ca="1" si="731"/>
        <v>0</v>
      </c>
      <c r="QJ47" s="220">
        <f t="shared" ca="1" si="732"/>
        <v>0</v>
      </c>
      <c r="QK47" s="235">
        <f t="shared" ca="1" si="390"/>
        <v>0</v>
      </c>
      <c r="QL47" s="235">
        <f t="shared" ca="1" si="391"/>
        <v>0</v>
      </c>
      <c r="QM47" s="242">
        <f t="shared" ca="1" si="392"/>
        <v>0</v>
      </c>
      <c r="QN47" s="241">
        <f t="shared" ca="1" si="573"/>
        <v>1</v>
      </c>
      <c r="QO47" s="220">
        <f t="shared" ca="1" si="733"/>
        <v>0</v>
      </c>
      <c r="QP47" s="220">
        <f t="shared" ca="1" si="734"/>
        <v>0</v>
      </c>
      <c r="QQ47" s="235">
        <f t="shared" ca="1" si="395"/>
        <v>0</v>
      </c>
      <c r="QR47" s="235">
        <f t="shared" ca="1" si="396"/>
        <v>0</v>
      </c>
      <c r="QS47" s="242">
        <f t="shared" ca="1" si="397"/>
        <v>0</v>
      </c>
      <c r="QT47" s="241">
        <f t="shared" ca="1" si="573"/>
        <v>1</v>
      </c>
      <c r="QU47" s="220">
        <f t="shared" ca="1" si="735"/>
        <v>0</v>
      </c>
      <c r="QV47" s="220">
        <f t="shared" ca="1" si="736"/>
        <v>0</v>
      </c>
      <c r="QW47" s="235">
        <f t="shared" ca="1" si="400"/>
        <v>0</v>
      </c>
      <c r="QX47" s="235">
        <f t="shared" ca="1" si="401"/>
        <v>0</v>
      </c>
      <c r="QY47" s="242">
        <f t="shared" ca="1" si="402"/>
        <v>0</v>
      </c>
      <c r="QZ47" s="241">
        <f t="shared" ca="1" si="573"/>
        <v>1</v>
      </c>
      <c r="RA47" s="220">
        <f t="shared" ca="1" si="737"/>
        <v>0</v>
      </c>
      <c r="RB47" s="220">
        <f t="shared" ca="1" si="738"/>
        <v>0</v>
      </c>
      <c r="RC47" s="235">
        <f t="shared" ca="1" si="405"/>
        <v>0</v>
      </c>
      <c r="RD47" s="235">
        <f t="shared" ca="1" si="406"/>
        <v>0</v>
      </c>
      <c r="RE47" s="242">
        <f t="shared" ca="1" si="407"/>
        <v>0</v>
      </c>
      <c r="RF47" s="241">
        <f t="shared" ca="1" si="573"/>
        <v>1</v>
      </c>
      <c r="RG47" s="220">
        <f t="shared" ca="1" si="739"/>
        <v>0</v>
      </c>
      <c r="RH47" s="220">
        <f t="shared" ca="1" si="740"/>
        <v>0</v>
      </c>
      <c r="RI47" s="235">
        <f t="shared" ca="1" si="410"/>
        <v>0</v>
      </c>
      <c r="RJ47" s="235">
        <f t="shared" ca="1" si="411"/>
        <v>0</v>
      </c>
      <c r="RK47" s="242">
        <f t="shared" ca="1" si="412"/>
        <v>0</v>
      </c>
      <c r="RL47" s="241">
        <f t="shared" ca="1" si="573"/>
        <v>1</v>
      </c>
      <c r="RM47" s="220">
        <f t="shared" ca="1" si="741"/>
        <v>0</v>
      </c>
      <c r="RN47" s="220">
        <f t="shared" ca="1" si="742"/>
        <v>0</v>
      </c>
      <c r="RO47" s="235">
        <f t="shared" ca="1" si="415"/>
        <v>0</v>
      </c>
      <c r="RP47" s="235">
        <f t="shared" ca="1" si="416"/>
        <v>0</v>
      </c>
      <c r="RQ47" s="242">
        <f t="shared" ca="1" si="417"/>
        <v>0</v>
      </c>
      <c r="RR47" s="241">
        <f t="shared" ca="1" si="573"/>
        <v>1</v>
      </c>
      <c r="RS47" s="220">
        <f t="shared" ca="1" si="743"/>
        <v>0</v>
      </c>
      <c r="RT47" s="220">
        <f t="shared" ca="1" si="744"/>
        <v>0</v>
      </c>
      <c r="RU47" s="235">
        <f t="shared" ca="1" si="420"/>
        <v>0</v>
      </c>
      <c r="RV47" s="235">
        <f t="shared" ca="1" si="421"/>
        <v>0</v>
      </c>
      <c r="RW47" s="242">
        <f t="shared" ca="1" si="422"/>
        <v>0</v>
      </c>
      <c r="RX47" s="241">
        <f t="shared" ca="1" si="573"/>
        <v>1</v>
      </c>
      <c r="RY47" s="220">
        <f t="shared" ca="1" si="745"/>
        <v>0</v>
      </c>
      <c r="RZ47" s="220">
        <f t="shared" ca="1" si="746"/>
        <v>0</v>
      </c>
      <c r="SA47" s="235">
        <f t="shared" ca="1" si="425"/>
        <v>0</v>
      </c>
      <c r="SB47" s="235">
        <f t="shared" ca="1" si="426"/>
        <v>0</v>
      </c>
      <c r="SC47" s="242">
        <f t="shared" ca="1" si="427"/>
        <v>0</v>
      </c>
      <c r="SD47" s="241">
        <f t="shared" ca="1" si="566"/>
        <v>1</v>
      </c>
      <c r="SE47" s="220">
        <f t="shared" ca="1" si="747"/>
        <v>0</v>
      </c>
      <c r="SF47" s="220">
        <f t="shared" ca="1" si="748"/>
        <v>0</v>
      </c>
      <c r="SG47" s="235">
        <f t="shared" ca="1" si="430"/>
        <v>0</v>
      </c>
      <c r="SH47" s="235">
        <f t="shared" ca="1" si="431"/>
        <v>0</v>
      </c>
      <c r="SI47" s="242">
        <f t="shared" ca="1" si="432"/>
        <v>0</v>
      </c>
      <c r="SJ47" s="241">
        <f t="shared" ca="1" si="566"/>
        <v>1</v>
      </c>
      <c r="SK47" s="220">
        <f t="shared" ca="1" si="749"/>
        <v>0</v>
      </c>
      <c r="SL47" s="220">
        <f t="shared" ca="1" si="750"/>
        <v>0</v>
      </c>
      <c r="SM47" s="235">
        <f t="shared" ca="1" si="435"/>
        <v>0</v>
      </c>
      <c r="SN47" s="235">
        <f t="shared" ca="1" si="436"/>
        <v>0</v>
      </c>
      <c r="SO47" s="242">
        <f t="shared" ca="1" si="437"/>
        <v>0</v>
      </c>
      <c r="SP47" s="241">
        <f t="shared" ca="1" si="576"/>
        <v>1</v>
      </c>
      <c r="SQ47" s="220">
        <f t="shared" ca="1" si="751"/>
        <v>0</v>
      </c>
      <c r="SR47" s="220">
        <f t="shared" ca="1" si="752"/>
        <v>0</v>
      </c>
      <c r="SS47" s="235">
        <f t="shared" ca="1" si="440"/>
        <v>0</v>
      </c>
      <c r="ST47" s="235">
        <f t="shared" ca="1" si="441"/>
        <v>0</v>
      </c>
      <c r="SU47" s="242">
        <f t="shared" ca="1" si="442"/>
        <v>0</v>
      </c>
      <c r="SV47" s="241">
        <f t="shared" ca="1" si="576"/>
        <v>1</v>
      </c>
      <c r="SW47" s="220">
        <f t="shared" ca="1" si="753"/>
        <v>0</v>
      </c>
      <c r="SX47" s="220">
        <f t="shared" ca="1" si="754"/>
        <v>0</v>
      </c>
      <c r="SY47" s="235">
        <f t="shared" ca="1" si="446"/>
        <v>0</v>
      </c>
      <c r="SZ47" s="235">
        <f t="shared" ca="1" si="447"/>
        <v>0</v>
      </c>
      <c r="TA47" s="242">
        <f t="shared" ca="1" si="448"/>
        <v>0</v>
      </c>
      <c r="TB47" s="241">
        <f t="shared" ca="1" si="576"/>
        <v>1</v>
      </c>
      <c r="TC47" s="220">
        <f t="shared" ca="1" si="755"/>
        <v>0</v>
      </c>
      <c r="TD47" s="220">
        <f t="shared" ca="1" si="756"/>
        <v>0</v>
      </c>
      <c r="TE47" s="235">
        <f t="shared" ca="1" si="451"/>
        <v>0</v>
      </c>
      <c r="TF47" s="235">
        <f t="shared" ca="1" si="452"/>
        <v>0</v>
      </c>
      <c r="TG47" s="242">
        <f t="shared" ca="1" si="453"/>
        <v>0</v>
      </c>
      <c r="TH47" s="241">
        <f t="shared" ca="1" si="576"/>
        <v>1</v>
      </c>
      <c r="TI47" s="220">
        <f t="shared" ca="1" si="757"/>
        <v>0</v>
      </c>
      <c r="TJ47" s="220">
        <f t="shared" ca="1" si="758"/>
        <v>0</v>
      </c>
      <c r="TK47" s="235">
        <f t="shared" ca="1" si="456"/>
        <v>0</v>
      </c>
      <c r="TL47" s="235">
        <f t="shared" ca="1" si="457"/>
        <v>0</v>
      </c>
      <c r="TM47" s="242">
        <f t="shared" ca="1" si="458"/>
        <v>0</v>
      </c>
      <c r="TN47" s="241">
        <f t="shared" ca="1" si="576"/>
        <v>1</v>
      </c>
      <c r="TO47" s="220">
        <f t="shared" ca="1" si="759"/>
        <v>0</v>
      </c>
      <c r="TP47" s="220">
        <f t="shared" ca="1" si="760"/>
        <v>0</v>
      </c>
      <c r="TQ47" s="235">
        <f t="shared" ca="1" si="461"/>
        <v>0</v>
      </c>
      <c r="TR47" s="235">
        <f t="shared" ca="1" si="462"/>
        <v>0</v>
      </c>
      <c r="TS47" s="242">
        <f t="shared" ca="1" si="463"/>
        <v>0</v>
      </c>
      <c r="TT47" s="241">
        <f t="shared" ca="1" si="576"/>
        <v>1</v>
      </c>
      <c r="TU47" s="220">
        <f t="shared" ca="1" si="761"/>
        <v>0</v>
      </c>
      <c r="TV47" s="220">
        <f t="shared" ca="1" si="762"/>
        <v>0</v>
      </c>
      <c r="TW47" s="235">
        <f t="shared" ca="1" si="466"/>
        <v>0</v>
      </c>
      <c r="TX47" s="235">
        <f t="shared" ca="1" si="467"/>
        <v>0</v>
      </c>
      <c r="TY47" s="242">
        <f t="shared" ca="1" si="468"/>
        <v>0</v>
      </c>
      <c r="TZ47" s="241">
        <f t="shared" ca="1" si="576"/>
        <v>1</v>
      </c>
      <c r="UA47" s="220">
        <f t="shared" ca="1" si="763"/>
        <v>0</v>
      </c>
      <c r="UB47" s="220">
        <f t="shared" ca="1" si="764"/>
        <v>0</v>
      </c>
      <c r="UC47" s="235">
        <f t="shared" ca="1" si="471"/>
        <v>0</v>
      </c>
      <c r="UD47" s="235">
        <f t="shared" ca="1" si="472"/>
        <v>0</v>
      </c>
      <c r="UE47" s="242">
        <f t="shared" ca="1" si="473"/>
        <v>0</v>
      </c>
      <c r="UF47" s="241">
        <f t="shared" ca="1" si="576"/>
        <v>1</v>
      </c>
      <c r="UG47" s="220">
        <f t="shared" ca="1" si="765"/>
        <v>0</v>
      </c>
      <c r="UH47" s="220">
        <f t="shared" ca="1" si="766"/>
        <v>0</v>
      </c>
      <c r="UI47" s="235">
        <f t="shared" ca="1" si="476"/>
        <v>0</v>
      </c>
      <c r="UJ47" s="235">
        <f t="shared" ca="1" si="477"/>
        <v>0</v>
      </c>
      <c r="UK47" s="242">
        <f t="shared" ca="1" si="478"/>
        <v>0</v>
      </c>
      <c r="UL47" s="241">
        <f t="shared" ca="1" si="576"/>
        <v>1</v>
      </c>
      <c r="UM47" s="220">
        <f t="shared" ca="1" si="767"/>
        <v>0</v>
      </c>
      <c r="UN47" s="220">
        <f t="shared" ca="1" si="768"/>
        <v>0</v>
      </c>
      <c r="UO47" s="235">
        <f t="shared" ca="1" si="481"/>
        <v>0</v>
      </c>
      <c r="UP47" s="235">
        <f t="shared" ca="1" si="482"/>
        <v>0</v>
      </c>
      <c r="UQ47" s="242">
        <f t="shared" ca="1" si="483"/>
        <v>0</v>
      </c>
      <c r="UR47" s="241">
        <f t="shared" ca="1" si="576"/>
        <v>1</v>
      </c>
      <c r="US47" s="220">
        <f t="shared" ca="1" si="769"/>
        <v>0</v>
      </c>
      <c r="UT47" s="220">
        <f t="shared" ca="1" si="770"/>
        <v>0</v>
      </c>
      <c r="UU47" s="235">
        <f t="shared" ca="1" si="486"/>
        <v>0</v>
      </c>
      <c r="UV47" s="235">
        <f t="shared" ca="1" si="487"/>
        <v>0</v>
      </c>
      <c r="UW47" s="242">
        <f t="shared" ca="1" si="488"/>
        <v>0</v>
      </c>
      <c r="UX47" s="241">
        <f t="shared" ca="1" si="576"/>
        <v>1</v>
      </c>
      <c r="UY47" s="220">
        <f t="shared" ca="1" si="771"/>
        <v>0</v>
      </c>
      <c r="UZ47" s="220">
        <f t="shared" ca="1" si="772"/>
        <v>0</v>
      </c>
      <c r="VA47" s="235">
        <f t="shared" ca="1" si="491"/>
        <v>0</v>
      </c>
      <c r="VB47" s="235">
        <f t="shared" ca="1" si="492"/>
        <v>0</v>
      </c>
      <c r="VC47" s="242">
        <f t="shared" ca="1" si="493"/>
        <v>0</v>
      </c>
      <c r="VD47" s="241">
        <f t="shared" ca="1" si="574"/>
        <v>1</v>
      </c>
      <c r="VE47" s="220">
        <f t="shared" ca="1" si="773"/>
        <v>0</v>
      </c>
      <c r="VF47" s="220">
        <f t="shared" ca="1" si="774"/>
        <v>0</v>
      </c>
      <c r="VG47" s="235">
        <f t="shared" ca="1" si="496"/>
        <v>0</v>
      </c>
      <c r="VH47" s="235">
        <f t="shared" ca="1" si="497"/>
        <v>0</v>
      </c>
      <c r="VI47" s="242">
        <f t="shared" ca="1" si="498"/>
        <v>0</v>
      </c>
      <c r="VJ47" s="241">
        <f t="shared" ca="1" si="567"/>
        <v>1</v>
      </c>
      <c r="VK47" s="220">
        <f t="shared" ca="1" si="775"/>
        <v>0</v>
      </c>
      <c r="VL47" s="220">
        <f t="shared" ca="1" si="776"/>
        <v>0</v>
      </c>
      <c r="VM47" s="235">
        <f t="shared" ca="1" si="502"/>
        <v>0</v>
      </c>
      <c r="VN47" s="235">
        <f t="shared" ca="1" si="503"/>
        <v>0</v>
      </c>
      <c r="VO47" s="242">
        <f t="shared" ca="1" si="504"/>
        <v>0</v>
      </c>
      <c r="VP47" s="241">
        <f t="shared" ca="1" si="567"/>
        <v>1</v>
      </c>
      <c r="VQ47" s="220">
        <f t="shared" ca="1" si="777"/>
        <v>0</v>
      </c>
      <c r="VR47" s="220">
        <f t="shared" ca="1" si="778"/>
        <v>0</v>
      </c>
      <c r="VS47" s="235">
        <f t="shared" ca="1" si="507"/>
        <v>0</v>
      </c>
      <c r="VT47" s="235">
        <f t="shared" ca="1" si="508"/>
        <v>0</v>
      </c>
      <c r="VU47" s="242">
        <f t="shared" ca="1" si="509"/>
        <v>0</v>
      </c>
      <c r="VV47" s="241">
        <f t="shared" ca="1" si="578"/>
        <v>1</v>
      </c>
      <c r="VW47" s="220">
        <f t="shared" ca="1" si="779"/>
        <v>0</v>
      </c>
      <c r="VX47" s="220">
        <f t="shared" ca="1" si="780"/>
        <v>0</v>
      </c>
      <c r="VY47" s="235">
        <f t="shared" ca="1" si="512"/>
        <v>0</v>
      </c>
      <c r="VZ47" s="235">
        <f t="shared" ca="1" si="513"/>
        <v>0</v>
      </c>
      <c r="WA47" s="242">
        <f t="shared" ca="1" si="514"/>
        <v>0</v>
      </c>
      <c r="WB47" s="241">
        <f t="shared" ca="1" si="578"/>
        <v>1</v>
      </c>
      <c r="WC47" s="220">
        <f t="shared" ca="1" si="781"/>
        <v>0</v>
      </c>
      <c r="WD47" s="220">
        <f t="shared" ca="1" si="782"/>
        <v>0</v>
      </c>
      <c r="WE47" s="235">
        <f t="shared" ca="1" si="517"/>
        <v>0</v>
      </c>
      <c r="WF47" s="235">
        <f t="shared" ca="1" si="518"/>
        <v>0</v>
      </c>
      <c r="WG47" s="242">
        <f t="shared" ca="1" si="519"/>
        <v>0</v>
      </c>
      <c r="WH47" s="241">
        <f t="shared" ca="1" si="578"/>
        <v>1</v>
      </c>
      <c r="WI47" s="220">
        <f t="shared" ca="1" si="783"/>
        <v>0</v>
      </c>
      <c r="WJ47" s="220">
        <f t="shared" ca="1" si="784"/>
        <v>0</v>
      </c>
      <c r="WK47" s="235">
        <f t="shared" ca="1" si="522"/>
        <v>0</v>
      </c>
      <c r="WL47" s="235">
        <f t="shared" ca="1" si="523"/>
        <v>0</v>
      </c>
      <c r="WM47" s="242">
        <f t="shared" ca="1" si="524"/>
        <v>0</v>
      </c>
      <c r="WN47" s="241">
        <f t="shared" ca="1" si="578"/>
        <v>1</v>
      </c>
      <c r="WO47" s="220">
        <f t="shared" ca="1" si="785"/>
        <v>0</v>
      </c>
      <c r="WP47" s="220">
        <f t="shared" ca="1" si="786"/>
        <v>0</v>
      </c>
      <c r="WQ47" s="235">
        <f t="shared" ca="1" si="527"/>
        <v>0</v>
      </c>
      <c r="WR47" s="235">
        <f t="shared" ca="1" si="528"/>
        <v>0</v>
      </c>
      <c r="WS47" s="242">
        <f t="shared" ca="1" si="529"/>
        <v>0</v>
      </c>
      <c r="WT47" s="241">
        <f t="shared" ca="1" si="578"/>
        <v>1</v>
      </c>
      <c r="WU47" s="220">
        <f t="shared" ca="1" si="787"/>
        <v>0</v>
      </c>
      <c r="WV47" s="220">
        <f t="shared" ca="1" si="788"/>
        <v>0</v>
      </c>
      <c r="WW47" s="235">
        <f t="shared" ca="1" si="532"/>
        <v>0</v>
      </c>
      <c r="WX47" s="235">
        <f t="shared" ca="1" si="533"/>
        <v>0</v>
      </c>
      <c r="WY47" s="242">
        <f t="shared" ca="1" si="534"/>
        <v>0</v>
      </c>
      <c r="WZ47" s="241">
        <f t="shared" ca="1" si="578"/>
        <v>1</v>
      </c>
      <c r="XA47" s="220">
        <f t="shared" ca="1" si="789"/>
        <v>0</v>
      </c>
      <c r="XB47" s="220">
        <f t="shared" ca="1" si="790"/>
        <v>0</v>
      </c>
      <c r="XC47" s="235">
        <f t="shared" ca="1" si="537"/>
        <v>0</v>
      </c>
      <c r="XD47" s="235">
        <f t="shared" ca="1" si="538"/>
        <v>0</v>
      </c>
      <c r="XE47" s="242">
        <f t="shared" ca="1" si="539"/>
        <v>0</v>
      </c>
      <c r="XF47" s="241">
        <f t="shared" ca="1" si="578"/>
        <v>1</v>
      </c>
      <c r="XG47" s="220">
        <f t="shared" ca="1" si="791"/>
        <v>0</v>
      </c>
      <c r="XH47" s="220">
        <f t="shared" ca="1" si="792"/>
        <v>0</v>
      </c>
      <c r="XI47" s="235">
        <f t="shared" ca="1" si="542"/>
        <v>0</v>
      </c>
      <c r="XJ47" s="235">
        <f t="shared" ca="1" si="543"/>
        <v>0</v>
      </c>
      <c r="XK47" s="242">
        <f t="shared" ca="1" si="544"/>
        <v>0</v>
      </c>
    </row>
    <row r="48" spans="2:635" x14ac:dyDescent="0.25">
      <c r="B48" s="65">
        <f t="shared" ca="1" si="14"/>
        <v>2063</v>
      </c>
      <c r="C48" s="65" t="s">
        <v>741</v>
      </c>
      <c r="D48" s="77">
        <f t="shared" si="580"/>
        <v>0</v>
      </c>
      <c r="E48" s="77">
        <f t="shared" si="581"/>
        <v>0</v>
      </c>
      <c r="F48" s="77">
        <f t="shared" si="17"/>
        <v>0</v>
      </c>
      <c r="G48" s="77">
        <f t="shared" si="18"/>
        <v>0</v>
      </c>
      <c r="H48" s="15" t="e">
        <f t="shared" ca="1" si="582"/>
        <v>#REF!</v>
      </c>
      <c r="L48" s="326">
        <f t="shared" ca="1" si="583"/>
        <v>3.5000000000000003E-2</v>
      </c>
      <c r="M48" s="327">
        <f t="shared" ca="1" si="584"/>
        <v>3.5000000000000003E-2</v>
      </c>
      <c r="N48" s="322">
        <f t="shared" ca="1" si="579"/>
        <v>-40</v>
      </c>
      <c r="O48" s="322">
        <f t="shared" ca="1" si="585"/>
        <v>0</v>
      </c>
      <c r="P48" s="328">
        <f t="shared" ca="1" si="545"/>
        <v>0</v>
      </c>
      <c r="Q48" s="328">
        <f t="shared" ca="1" si="546"/>
        <v>0</v>
      </c>
      <c r="R48" s="328">
        <f t="shared" ca="1" si="547"/>
        <v>0</v>
      </c>
      <c r="S48" s="329">
        <f t="shared" ca="1" si="586"/>
        <v>0</v>
      </c>
      <c r="T48" s="329">
        <f t="shared" ca="1" si="587"/>
        <v>0</v>
      </c>
      <c r="U48" s="329">
        <f t="shared" ca="1" si="588"/>
        <v>0</v>
      </c>
      <c r="V48" s="320" t="e">
        <f t="shared" ca="1" si="589"/>
        <v>#REF!</v>
      </c>
      <c r="W48" s="320" t="e">
        <f t="shared" ca="1" si="560"/>
        <v>#REF!</v>
      </c>
      <c r="X48" s="320" t="e">
        <f t="shared" ca="1" si="590"/>
        <v>#REF!</v>
      </c>
      <c r="Y48" s="320" t="e">
        <f ca="1">INDEX(SC_ZA_HECMLumpSum,ZAIDX)</f>
        <v>#REF!</v>
      </c>
      <c r="Z48" s="320" t="e">
        <f t="shared" ca="1" si="591"/>
        <v>#REF!</v>
      </c>
      <c r="AA48" s="320">
        <f t="shared" ca="1" si="557"/>
        <v>0</v>
      </c>
      <c r="AB48" s="320" t="e">
        <f t="shared" ca="1" si="558"/>
        <v>#REF!</v>
      </c>
      <c r="AC48" s="330" t="e">
        <f t="shared" ca="1" si="559"/>
        <v>#REF!</v>
      </c>
      <c r="AD48" s="236" t="e">
        <f t="shared" ca="1" si="548"/>
        <v>#REF!</v>
      </c>
      <c r="AE48" s="320" t="e">
        <f t="shared" ca="1" si="561"/>
        <v>#REF!</v>
      </c>
      <c r="AF48" s="320" t="e">
        <f t="shared" ca="1" si="592"/>
        <v>#REF!</v>
      </c>
      <c r="AG48" s="320" t="e">
        <f t="shared" ca="1" si="549"/>
        <v>#REF!</v>
      </c>
      <c r="AH48" s="284" t="e">
        <f t="shared" ca="1" si="550"/>
        <v>#REF!</v>
      </c>
      <c r="AI48" s="318" t="e">
        <f t="shared" ca="1" si="551"/>
        <v>#REF!</v>
      </c>
      <c r="AJ48" s="331">
        <f t="shared" ca="1" si="575"/>
        <v>1</v>
      </c>
      <c r="AK48" s="220">
        <f t="shared" ca="1" si="593"/>
        <v>0</v>
      </c>
      <c r="AL48" s="220">
        <f t="shared" ca="1" si="594"/>
        <v>0</v>
      </c>
      <c r="AM48" s="235">
        <f t="shared" ca="1" si="554"/>
        <v>0</v>
      </c>
      <c r="AN48" s="235">
        <f t="shared" ca="1" si="555"/>
        <v>0</v>
      </c>
      <c r="AO48" s="242">
        <f t="shared" ca="1" si="556"/>
        <v>0</v>
      </c>
      <c r="AP48" s="241">
        <f t="shared" ca="1" si="575"/>
        <v>1</v>
      </c>
      <c r="AQ48" s="220">
        <f t="shared" ca="1" si="595"/>
        <v>0</v>
      </c>
      <c r="AR48" s="220">
        <f t="shared" ca="1" si="596"/>
        <v>0</v>
      </c>
      <c r="AS48" s="235">
        <f t="shared" ca="1" si="43"/>
        <v>0</v>
      </c>
      <c r="AT48" s="235">
        <f t="shared" ca="1" si="44"/>
        <v>0</v>
      </c>
      <c r="AU48" s="242">
        <f t="shared" ca="1" si="45"/>
        <v>0</v>
      </c>
      <c r="AV48" s="241">
        <f t="shared" ca="1" si="575"/>
        <v>1</v>
      </c>
      <c r="AW48" s="220">
        <f t="shared" ca="1" si="597"/>
        <v>0</v>
      </c>
      <c r="AX48" s="220">
        <f t="shared" ca="1" si="598"/>
        <v>0</v>
      </c>
      <c r="AY48" s="235">
        <f t="shared" ca="1" si="48"/>
        <v>0</v>
      </c>
      <c r="AZ48" s="235">
        <f t="shared" ca="1" si="49"/>
        <v>0</v>
      </c>
      <c r="BA48" s="242">
        <f t="shared" ca="1" si="50"/>
        <v>0</v>
      </c>
      <c r="BB48" s="241">
        <f t="shared" ca="1" si="575"/>
        <v>1</v>
      </c>
      <c r="BC48" s="220">
        <f t="shared" ca="1" si="599"/>
        <v>0</v>
      </c>
      <c r="BD48" s="220">
        <f t="shared" ca="1" si="600"/>
        <v>0</v>
      </c>
      <c r="BE48" s="235">
        <f t="shared" ca="1" si="54"/>
        <v>0</v>
      </c>
      <c r="BF48" s="235">
        <f t="shared" ca="1" si="55"/>
        <v>0</v>
      </c>
      <c r="BG48" s="242">
        <f t="shared" ca="1" si="56"/>
        <v>0</v>
      </c>
      <c r="BH48" s="241">
        <f t="shared" ca="1" si="575"/>
        <v>1</v>
      </c>
      <c r="BI48" s="220">
        <f t="shared" ca="1" si="601"/>
        <v>0</v>
      </c>
      <c r="BJ48" s="220">
        <f t="shared" ca="1" si="602"/>
        <v>0</v>
      </c>
      <c r="BK48" s="235">
        <f t="shared" ca="1" si="59"/>
        <v>0</v>
      </c>
      <c r="BL48" s="235">
        <f t="shared" ca="1" si="60"/>
        <v>0</v>
      </c>
      <c r="BM48" s="242">
        <f t="shared" ca="1" si="61"/>
        <v>0</v>
      </c>
      <c r="BN48" s="241">
        <f t="shared" ca="1" si="575"/>
        <v>1</v>
      </c>
      <c r="BO48" s="220">
        <f t="shared" ca="1" si="603"/>
        <v>0</v>
      </c>
      <c r="BP48" s="220">
        <f t="shared" ca="1" si="604"/>
        <v>0</v>
      </c>
      <c r="BQ48" s="235">
        <f t="shared" ca="1" si="64"/>
        <v>0</v>
      </c>
      <c r="BR48" s="235">
        <f t="shared" ca="1" si="65"/>
        <v>0</v>
      </c>
      <c r="BS48" s="242">
        <f t="shared" ca="1" si="66"/>
        <v>0</v>
      </c>
      <c r="BT48" s="241">
        <f t="shared" ca="1" si="575"/>
        <v>1</v>
      </c>
      <c r="BU48" s="220">
        <f t="shared" ca="1" si="605"/>
        <v>0</v>
      </c>
      <c r="BV48" s="220">
        <f t="shared" ca="1" si="606"/>
        <v>0</v>
      </c>
      <c r="BW48" s="235">
        <f t="shared" ca="1" si="69"/>
        <v>0</v>
      </c>
      <c r="BX48" s="235">
        <f t="shared" ca="1" si="70"/>
        <v>0</v>
      </c>
      <c r="BY48" s="242">
        <f t="shared" ca="1" si="71"/>
        <v>0</v>
      </c>
      <c r="BZ48" s="241">
        <f t="shared" ca="1" si="575"/>
        <v>1</v>
      </c>
      <c r="CA48" s="220">
        <f t="shared" ca="1" si="607"/>
        <v>0</v>
      </c>
      <c r="CB48" s="220">
        <f t="shared" ca="1" si="608"/>
        <v>0</v>
      </c>
      <c r="CC48" s="235">
        <f t="shared" ca="1" si="74"/>
        <v>0</v>
      </c>
      <c r="CD48" s="235">
        <f t="shared" ca="1" si="75"/>
        <v>0</v>
      </c>
      <c r="CE48" s="242">
        <f t="shared" ca="1" si="76"/>
        <v>0</v>
      </c>
      <c r="CF48" s="241">
        <f t="shared" ca="1" si="575"/>
        <v>1</v>
      </c>
      <c r="CG48" s="220">
        <f t="shared" ca="1" si="609"/>
        <v>0</v>
      </c>
      <c r="CH48" s="220">
        <f t="shared" ca="1" si="610"/>
        <v>0</v>
      </c>
      <c r="CI48" s="235">
        <f t="shared" ca="1" si="79"/>
        <v>0</v>
      </c>
      <c r="CJ48" s="235">
        <f t="shared" ca="1" si="80"/>
        <v>0</v>
      </c>
      <c r="CK48" s="242">
        <f t="shared" ca="1" si="81"/>
        <v>0</v>
      </c>
      <c r="CL48" s="241">
        <f t="shared" ca="1" si="575"/>
        <v>1</v>
      </c>
      <c r="CM48" s="220">
        <f t="shared" ca="1" si="611"/>
        <v>0</v>
      </c>
      <c r="CN48" s="220">
        <f t="shared" ca="1" si="612"/>
        <v>0</v>
      </c>
      <c r="CO48" s="235">
        <f t="shared" ca="1" si="84"/>
        <v>0</v>
      </c>
      <c r="CP48" s="235">
        <f t="shared" ca="1" si="85"/>
        <v>0</v>
      </c>
      <c r="CQ48" s="242">
        <f t="shared" ca="1" si="86"/>
        <v>0</v>
      </c>
      <c r="CR48" s="241">
        <f t="shared" ca="1" si="575"/>
        <v>1</v>
      </c>
      <c r="CS48" s="220">
        <f t="shared" ca="1" si="613"/>
        <v>0</v>
      </c>
      <c r="CT48" s="220">
        <f t="shared" ca="1" si="614"/>
        <v>0</v>
      </c>
      <c r="CU48" s="235">
        <f t="shared" ca="1" si="89"/>
        <v>0</v>
      </c>
      <c r="CV48" s="235">
        <f t="shared" ca="1" si="90"/>
        <v>0</v>
      </c>
      <c r="CW48" s="242">
        <f t="shared" ca="1" si="91"/>
        <v>0</v>
      </c>
      <c r="CX48" s="241">
        <f t="shared" ca="1" si="568"/>
        <v>1</v>
      </c>
      <c r="CY48" s="220">
        <f t="shared" ca="1" si="615"/>
        <v>0</v>
      </c>
      <c r="CZ48" s="220">
        <f t="shared" ca="1" si="616"/>
        <v>0</v>
      </c>
      <c r="DA48" s="235">
        <f t="shared" ca="1" si="94"/>
        <v>0</v>
      </c>
      <c r="DB48" s="235">
        <f t="shared" ca="1" si="95"/>
        <v>0</v>
      </c>
      <c r="DC48" s="242">
        <f t="shared" ca="1" si="96"/>
        <v>0</v>
      </c>
      <c r="DD48" s="241">
        <f t="shared" ca="1" si="568"/>
        <v>1</v>
      </c>
      <c r="DE48" s="220">
        <f t="shared" ca="1" si="617"/>
        <v>0</v>
      </c>
      <c r="DF48" s="220">
        <f t="shared" ca="1" si="618"/>
        <v>0</v>
      </c>
      <c r="DG48" s="235">
        <f t="shared" ca="1" si="99"/>
        <v>0</v>
      </c>
      <c r="DH48" s="235">
        <f t="shared" ca="1" si="100"/>
        <v>0</v>
      </c>
      <c r="DI48" s="242">
        <f t="shared" ca="1" si="101"/>
        <v>0</v>
      </c>
      <c r="DJ48" s="241">
        <f t="shared" ca="1" si="51"/>
        <v>1</v>
      </c>
      <c r="DK48" s="220">
        <f t="shared" ca="1" si="619"/>
        <v>0</v>
      </c>
      <c r="DL48" s="220">
        <f t="shared" ca="1" si="620"/>
        <v>0</v>
      </c>
      <c r="DM48" s="235">
        <f t="shared" ca="1" si="104"/>
        <v>0</v>
      </c>
      <c r="DN48" s="235">
        <f t="shared" ca="1" si="105"/>
        <v>0</v>
      </c>
      <c r="DO48" s="242">
        <f t="shared" ca="1" si="106"/>
        <v>0</v>
      </c>
      <c r="DP48" s="241">
        <f t="shared" ca="1" si="569"/>
        <v>1</v>
      </c>
      <c r="DQ48" s="220">
        <f t="shared" ca="1" si="621"/>
        <v>0</v>
      </c>
      <c r="DR48" s="220">
        <f t="shared" ca="1" si="622"/>
        <v>0</v>
      </c>
      <c r="DS48" s="235">
        <f t="shared" ca="1" si="110"/>
        <v>0</v>
      </c>
      <c r="DT48" s="235">
        <f t="shared" ca="1" si="111"/>
        <v>0</v>
      </c>
      <c r="DU48" s="242">
        <f t="shared" ca="1" si="112"/>
        <v>0</v>
      </c>
      <c r="DV48" s="241">
        <f t="shared" ca="1" si="569"/>
        <v>1</v>
      </c>
      <c r="DW48" s="220">
        <f t="shared" ca="1" si="623"/>
        <v>0</v>
      </c>
      <c r="DX48" s="220">
        <f t="shared" ca="1" si="624"/>
        <v>0</v>
      </c>
      <c r="DY48" s="235">
        <f t="shared" ca="1" si="115"/>
        <v>0</v>
      </c>
      <c r="DZ48" s="235">
        <f t="shared" ca="1" si="116"/>
        <v>0</v>
      </c>
      <c r="EA48" s="242">
        <f t="shared" ca="1" si="117"/>
        <v>0</v>
      </c>
      <c r="EB48" s="241">
        <f t="shared" ca="1" si="569"/>
        <v>1</v>
      </c>
      <c r="EC48" s="220">
        <f t="shared" ca="1" si="625"/>
        <v>0</v>
      </c>
      <c r="ED48" s="220">
        <f t="shared" ca="1" si="626"/>
        <v>0</v>
      </c>
      <c r="EE48" s="235">
        <f t="shared" ca="1" si="120"/>
        <v>0</v>
      </c>
      <c r="EF48" s="235">
        <f t="shared" ca="1" si="121"/>
        <v>0</v>
      </c>
      <c r="EG48" s="242">
        <f t="shared" ca="1" si="122"/>
        <v>0</v>
      </c>
      <c r="EH48" s="241">
        <f t="shared" ca="1" si="569"/>
        <v>1</v>
      </c>
      <c r="EI48" s="220">
        <f t="shared" ca="1" si="627"/>
        <v>0</v>
      </c>
      <c r="EJ48" s="220">
        <f t="shared" ca="1" si="628"/>
        <v>0</v>
      </c>
      <c r="EK48" s="235">
        <f t="shared" ca="1" si="125"/>
        <v>0</v>
      </c>
      <c r="EL48" s="235">
        <f t="shared" ca="1" si="126"/>
        <v>0</v>
      </c>
      <c r="EM48" s="242">
        <f t="shared" ca="1" si="127"/>
        <v>0</v>
      </c>
      <c r="EN48" s="241">
        <f t="shared" ca="1" si="569"/>
        <v>1</v>
      </c>
      <c r="EO48" s="220">
        <f t="shared" ca="1" si="629"/>
        <v>0</v>
      </c>
      <c r="EP48" s="220">
        <f t="shared" ca="1" si="630"/>
        <v>0</v>
      </c>
      <c r="EQ48" s="235">
        <f t="shared" ca="1" si="130"/>
        <v>0</v>
      </c>
      <c r="ER48" s="235">
        <f t="shared" ca="1" si="131"/>
        <v>0</v>
      </c>
      <c r="ES48" s="242">
        <f t="shared" ca="1" si="132"/>
        <v>0</v>
      </c>
      <c r="ET48" s="241">
        <f t="shared" ca="1" si="569"/>
        <v>1</v>
      </c>
      <c r="EU48" s="220">
        <f t="shared" ca="1" si="631"/>
        <v>0</v>
      </c>
      <c r="EV48" s="220">
        <f t="shared" ca="1" si="632"/>
        <v>0</v>
      </c>
      <c r="EW48" s="235">
        <f t="shared" ca="1" si="135"/>
        <v>0</v>
      </c>
      <c r="EX48" s="235">
        <f t="shared" ca="1" si="136"/>
        <v>0</v>
      </c>
      <c r="EY48" s="242">
        <f t="shared" ca="1" si="137"/>
        <v>0</v>
      </c>
      <c r="EZ48" s="241">
        <f t="shared" ca="1" si="569"/>
        <v>1</v>
      </c>
      <c r="FA48" s="220">
        <f t="shared" ca="1" si="633"/>
        <v>0</v>
      </c>
      <c r="FB48" s="220">
        <f t="shared" ca="1" si="634"/>
        <v>0</v>
      </c>
      <c r="FC48" s="235">
        <f t="shared" ca="1" si="140"/>
        <v>0</v>
      </c>
      <c r="FD48" s="235">
        <f t="shared" ca="1" si="141"/>
        <v>0</v>
      </c>
      <c r="FE48" s="242">
        <f t="shared" ca="1" si="142"/>
        <v>0</v>
      </c>
      <c r="FF48" s="241">
        <f t="shared" ca="1" si="569"/>
        <v>1</v>
      </c>
      <c r="FG48" s="220">
        <f t="shared" ca="1" si="635"/>
        <v>0</v>
      </c>
      <c r="FH48" s="220">
        <f t="shared" ca="1" si="636"/>
        <v>0</v>
      </c>
      <c r="FI48" s="235">
        <f t="shared" ca="1" si="145"/>
        <v>0</v>
      </c>
      <c r="FJ48" s="235">
        <f t="shared" ca="1" si="146"/>
        <v>0</v>
      </c>
      <c r="FK48" s="242">
        <f t="shared" ca="1" si="147"/>
        <v>0</v>
      </c>
      <c r="FL48" s="241">
        <f t="shared" ca="1" si="569"/>
        <v>1</v>
      </c>
      <c r="FM48" s="220">
        <f t="shared" ca="1" si="637"/>
        <v>0</v>
      </c>
      <c r="FN48" s="220">
        <f t="shared" ca="1" si="638"/>
        <v>0</v>
      </c>
      <c r="FO48" s="235">
        <f t="shared" ca="1" si="150"/>
        <v>0</v>
      </c>
      <c r="FP48" s="235">
        <f t="shared" ca="1" si="151"/>
        <v>0</v>
      </c>
      <c r="FQ48" s="242">
        <f t="shared" ca="1" si="152"/>
        <v>0</v>
      </c>
      <c r="FR48" s="241">
        <f t="shared" ca="1" si="569"/>
        <v>1</v>
      </c>
      <c r="FS48" s="220">
        <f t="shared" ca="1" si="639"/>
        <v>0</v>
      </c>
      <c r="FT48" s="220">
        <f t="shared" ca="1" si="640"/>
        <v>0</v>
      </c>
      <c r="FU48" s="235">
        <f t="shared" ca="1" si="155"/>
        <v>0</v>
      </c>
      <c r="FV48" s="235">
        <f t="shared" ca="1" si="156"/>
        <v>0</v>
      </c>
      <c r="FW48" s="242">
        <f t="shared" ca="1" si="157"/>
        <v>0</v>
      </c>
      <c r="FX48" s="241">
        <f t="shared" ca="1" si="569"/>
        <v>1</v>
      </c>
      <c r="FY48" s="220">
        <f t="shared" ca="1" si="641"/>
        <v>0</v>
      </c>
      <c r="FZ48" s="220">
        <f t="shared" ca="1" si="642"/>
        <v>0</v>
      </c>
      <c r="GA48" s="235">
        <f t="shared" ca="1" si="160"/>
        <v>0</v>
      </c>
      <c r="GB48" s="235">
        <f t="shared" ca="1" si="161"/>
        <v>0</v>
      </c>
      <c r="GC48" s="242">
        <f t="shared" ca="1" si="162"/>
        <v>0</v>
      </c>
      <c r="GD48" s="241">
        <f t="shared" ca="1" si="562"/>
        <v>1</v>
      </c>
      <c r="GE48" s="220">
        <f t="shared" ca="1" si="643"/>
        <v>0</v>
      </c>
      <c r="GF48" s="220">
        <f t="shared" ca="1" si="644"/>
        <v>0</v>
      </c>
      <c r="GG48" s="235">
        <f t="shared" ca="1" si="166"/>
        <v>0</v>
      </c>
      <c r="GH48" s="235">
        <f t="shared" ca="1" si="167"/>
        <v>0</v>
      </c>
      <c r="GI48" s="242">
        <f t="shared" ca="1" si="168"/>
        <v>0</v>
      </c>
      <c r="GJ48" s="241">
        <f t="shared" ca="1" si="562"/>
        <v>1</v>
      </c>
      <c r="GK48" s="220">
        <f t="shared" ca="1" si="645"/>
        <v>0</v>
      </c>
      <c r="GL48" s="220">
        <f t="shared" ca="1" si="646"/>
        <v>0</v>
      </c>
      <c r="GM48" s="235">
        <f t="shared" ca="1" si="171"/>
        <v>0</v>
      </c>
      <c r="GN48" s="235">
        <f t="shared" ca="1" si="172"/>
        <v>0</v>
      </c>
      <c r="GO48" s="242">
        <f t="shared" ca="1" si="173"/>
        <v>0</v>
      </c>
      <c r="GP48" s="241">
        <f t="shared" ca="1" si="570"/>
        <v>1</v>
      </c>
      <c r="GQ48" s="220">
        <f t="shared" ca="1" si="647"/>
        <v>0</v>
      </c>
      <c r="GR48" s="220">
        <f t="shared" ca="1" si="648"/>
        <v>0</v>
      </c>
      <c r="GS48" s="235">
        <f t="shared" ca="1" si="176"/>
        <v>0</v>
      </c>
      <c r="GT48" s="235">
        <f t="shared" ca="1" si="177"/>
        <v>0</v>
      </c>
      <c r="GU48" s="242">
        <f t="shared" ca="1" si="178"/>
        <v>0</v>
      </c>
      <c r="GV48" s="241">
        <f t="shared" ca="1" si="570"/>
        <v>1</v>
      </c>
      <c r="GW48" s="220">
        <f t="shared" ca="1" si="649"/>
        <v>0</v>
      </c>
      <c r="GX48" s="220">
        <f t="shared" ca="1" si="650"/>
        <v>0</v>
      </c>
      <c r="GY48" s="235">
        <f t="shared" ca="1" si="181"/>
        <v>0</v>
      </c>
      <c r="GZ48" s="235">
        <f t="shared" ca="1" si="182"/>
        <v>0</v>
      </c>
      <c r="HA48" s="242">
        <f t="shared" ca="1" si="183"/>
        <v>0</v>
      </c>
      <c r="HB48" s="241">
        <f t="shared" ca="1" si="570"/>
        <v>1</v>
      </c>
      <c r="HC48" s="220">
        <f t="shared" ca="1" si="651"/>
        <v>0</v>
      </c>
      <c r="HD48" s="220">
        <f t="shared" ca="1" si="652"/>
        <v>0</v>
      </c>
      <c r="HE48" s="235">
        <f t="shared" ca="1" si="186"/>
        <v>0</v>
      </c>
      <c r="HF48" s="235">
        <f t="shared" ca="1" si="187"/>
        <v>0</v>
      </c>
      <c r="HG48" s="242">
        <f t="shared" ca="1" si="188"/>
        <v>0</v>
      </c>
      <c r="HH48" s="241">
        <f t="shared" ca="1" si="570"/>
        <v>1</v>
      </c>
      <c r="HI48" s="220">
        <f t="shared" ca="1" si="653"/>
        <v>0</v>
      </c>
      <c r="HJ48" s="220">
        <f t="shared" ca="1" si="654"/>
        <v>0</v>
      </c>
      <c r="HK48" s="235">
        <f t="shared" ca="1" si="191"/>
        <v>0</v>
      </c>
      <c r="HL48" s="235">
        <f t="shared" ca="1" si="192"/>
        <v>0</v>
      </c>
      <c r="HM48" s="242">
        <f t="shared" ca="1" si="193"/>
        <v>0</v>
      </c>
      <c r="HN48" s="241">
        <f t="shared" ca="1" si="570"/>
        <v>1</v>
      </c>
      <c r="HO48" s="220">
        <f t="shared" ca="1" si="655"/>
        <v>0</v>
      </c>
      <c r="HP48" s="220">
        <f t="shared" ca="1" si="656"/>
        <v>0</v>
      </c>
      <c r="HQ48" s="235">
        <f t="shared" ca="1" si="196"/>
        <v>0</v>
      </c>
      <c r="HR48" s="235">
        <f t="shared" ca="1" si="197"/>
        <v>0</v>
      </c>
      <c r="HS48" s="242">
        <f t="shared" ca="1" si="198"/>
        <v>0</v>
      </c>
      <c r="HT48" s="241">
        <f t="shared" ca="1" si="570"/>
        <v>1</v>
      </c>
      <c r="HU48" s="220">
        <f t="shared" ca="1" si="657"/>
        <v>0</v>
      </c>
      <c r="HV48" s="220">
        <f t="shared" ca="1" si="658"/>
        <v>0</v>
      </c>
      <c r="HW48" s="235">
        <f t="shared" ca="1" si="201"/>
        <v>0</v>
      </c>
      <c r="HX48" s="235">
        <f t="shared" ca="1" si="202"/>
        <v>0</v>
      </c>
      <c r="HY48" s="242">
        <f t="shared" ca="1" si="203"/>
        <v>0</v>
      </c>
      <c r="HZ48" s="241">
        <f t="shared" ca="1" si="570"/>
        <v>1</v>
      </c>
      <c r="IA48" s="220">
        <f t="shared" ca="1" si="659"/>
        <v>0</v>
      </c>
      <c r="IB48" s="220">
        <f t="shared" ca="1" si="660"/>
        <v>0</v>
      </c>
      <c r="IC48" s="235">
        <f t="shared" ca="1" si="206"/>
        <v>0</v>
      </c>
      <c r="ID48" s="235">
        <f t="shared" ca="1" si="207"/>
        <v>0</v>
      </c>
      <c r="IE48" s="242">
        <f t="shared" ca="1" si="208"/>
        <v>0</v>
      </c>
      <c r="IF48" s="241">
        <f t="shared" ca="1" si="570"/>
        <v>1</v>
      </c>
      <c r="IG48" s="220">
        <f t="shared" ca="1" si="661"/>
        <v>0</v>
      </c>
      <c r="IH48" s="220">
        <f t="shared" ca="1" si="662"/>
        <v>0</v>
      </c>
      <c r="II48" s="235">
        <f t="shared" ca="1" si="211"/>
        <v>0</v>
      </c>
      <c r="IJ48" s="235">
        <f t="shared" ca="1" si="212"/>
        <v>0</v>
      </c>
      <c r="IK48" s="242">
        <f t="shared" ca="1" si="213"/>
        <v>0</v>
      </c>
      <c r="IL48" s="241">
        <f t="shared" ca="1" si="570"/>
        <v>1</v>
      </c>
      <c r="IM48" s="220">
        <f t="shared" ca="1" si="663"/>
        <v>0</v>
      </c>
      <c r="IN48" s="220">
        <f t="shared" ca="1" si="664"/>
        <v>0</v>
      </c>
      <c r="IO48" s="235">
        <f t="shared" ca="1" si="216"/>
        <v>0</v>
      </c>
      <c r="IP48" s="235">
        <f t="shared" ca="1" si="217"/>
        <v>0</v>
      </c>
      <c r="IQ48" s="242">
        <f t="shared" ca="1" si="218"/>
        <v>0</v>
      </c>
      <c r="IR48" s="241">
        <f t="shared" ca="1" si="570"/>
        <v>1</v>
      </c>
      <c r="IS48" s="220">
        <f t="shared" ca="1" si="665"/>
        <v>0</v>
      </c>
      <c r="IT48" s="220">
        <f t="shared" ca="1" si="666"/>
        <v>0</v>
      </c>
      <c r="IU48" s="235">
        <f t="shared" ca="1" si="222"/>
        <v>0</v>
      </c>
      <c r="IV48" s="235">
        <f t="shared" ca="1" si="223"/>
        <v>0</v>
      </c>
      <c r="IW48" s="242">
        <f t="shared" ca="1" si="224"/>
        <v>0</v>
      </c>
      <c r="IX48" s="241">
        <f t="shared" ca="1" si="570"/>
        <v>1</v>
      </c>
      <c r="IY48" s="220">
        <f t="shared" ca="1" si="667"/>
        <v>0</v>
      </c>
      <c r="IZ48" s="220">
        <f t="shared" ca="1" si="668"/>
        <v>0</v>
      </c>
      <c r="JA48" s="235">
        <f t="shared" ca="1" si="227"/>
        <v>0</v>
      </c>
      <c r="JB48" s="235">
        <f t="shared" ca="1" si="228"/>
        <v>0</v>
      </c>
      <c r="JC48" s="242">
        <f t="shared" ca="1" si="229"/>
        <v>0</v>
      </c>
      <c r="JD48" s="241">
        <f t="shared" ca="1" si="563"/>
        <v>1</v>
      </c>
      <c r="JE48" s="220">
        <f t="shared" ca="1" si="669"/>
        <v>0</v>
      </c>
      <c r="JF48" s="220">
        <f t="shared" ca="1" si="670"/>
        <v>0</v>
      </c>
      <c r="JG48" s="235">
        <f t="shared" ca="1" si="232"/>
        <v>0</v>
      </c>
      <c r="JH48" s="235">
        <f t="shared" ca="1" si="233"/>
        <v>0</v>
      </c>
      <c r="JI48" s="242">
        <f t="shared" ca="1" si="234"/>
        <v>0</v>
      </c>
      <c r="JJ48" s="241">
        <f t="shared" ca="1" si="563"/>
        <v>1</v>
      </c>
      <c r="JK48" s="220">
        <f t="shared" ca="1" si="671"/>
        <v>0</v>
      </c>
      <c r="JL48" s="220">
        <f t="shared" ca="1" si="672"/>
        <v>0</v>
      </c>
      <c r="JM48" s="235">
        <f t="shared" ca="1" si="237"/>
        <v>0</v>
      </c>
      <c r="JN48" s="235">
        <f t="shared" ca="1" si="238"/>
        <v>0</v>
      </c>
      <c r="JO48" s="242">
        <f t="shared" ca="1" si="239"/>
        <v>0</v>
      </c>
      <c r="JP48" s="241">
        <f t="shared" ca="1" si="571"/>
        <v>1</v>
      </c>
      <c r="JQ48" s="220">
        <f t="shared" ca="1" si="673"/>
        <v>0</v>
      </c>
      <c r="JR48" s="220">
        <f t="shared" ca="1" si="674"/>
        <v>0</v>
      </c>
      <c r="JS48" s="235">
        <f t="shared" ca="1" si="242"/>
        <v>0</v>
      </c>
      <c r="JT48" s="235">
        <f t="shared" ca="1" si="243"/>
        <v>0</v>
      </c>
      <c r="JU48" s="242">
        <f t="shared" ca="1" si="244"/>
        <v>0</v>
      </c>
      <c r="JV48" s="241">
        <f t="shared" ca="1" si="571"/>
        <v>1</v>
      </c>
      <c r="JW48" s="220">
        <f t="shared" ca="1" si="675"/>
        <v>0</v>
      </c>
      <c r="JX48" s="220">
        <f t="shared" ca="1" si="676"/>
        <v>0</v>
      </c>
      <c r="JY48" s="235">
        <f t="shared" ca="1" si="247"/>
        <v>0</v>
      </c>
      <c r="JZ48" s="235">
        <f t="shared" ca="1" si="248"/>
        <v>0</v>
      </c>
      <c r="KA48" s="242">
        <f t="shared" ca="1" si="249"/>
        <v>0</v>
      </c>
      <c r="KB48" s="241">
        <f t="shared" ca="1" si="571"/>
        <v>1</v>
      </c>
      <c r="KC48" s="220">
        <f t="shared" ca="1" si="677"/>
        <v>0</v>
      </c>
      <c r="KD48" s="220">
        <f t="shared" ca="1" si="678"/>
        <v>0</v>
      </c>
      <c r="KE48" s="235">
        <f t="shared" ca="1" si="252"/>
        <v>0</v>
      </c>
      <c r="KF48" s="235">
        <f t="shared" ca="1" si="253"/>
        <v>0</v>
      </c>
      <c r="KG48" s="242">
        <f t="shared" ca="1" si="254"/>
        <v>0</v>
      </c>
      <c r="KH48" s="241">
        <f t="shared" ca="1" si="571"/>
        <v>1</v>
      </c>
      <c r="KI48" s="220">
        <f t="shared" ca="1" si="679"/>
        <v>0</v>
      </c>
      <c r="KJ48" s="220">
        <f t="shared" ca="1" si="680"/>
        <v>0</v>
      </c>
      <c r="KK48" s="235">
        <f t="shared" ca="1" si="257"/>
        <v>0</v>
      </c>
      <c r="KL48" s="235">
        <f t="shared" ca="1" si="258"/>
        <v>0</v>
      </c>
      <c r="KM48" s="242">
        <f t="shared" ca="1" si="259"/>
        <v>0</v>
      </c>
      <c r="KN48" s="241">
        <f t="shared" ca="1" si="571"/>
        <v>1</v>
      </c>
      <c r="KO48" s="220">
        <f t="shared" ca="1" si="681"/>
        <v>0</v>
      </c>
      <c r="KP48" s="220">
        <f t="shared" ca="1" si="682"/>
        <v>0</v>
      </c>
      <c r="KQ48" s="235">
        <f t="shared" ca="1" si="262"/>
        <v>0</v>
      </c>
      <c r="KR48" s="235">
        <f t="shared" ca="1" si="263"/>
        <v>0</v>
      </c>
      <c r="KS48" s="242">
        <f t="shared" ca="1" si="264"/>
        <v>0</v>
      </c>
      <c r="KT48" s="241">
        <f t="shared" ca="1" si="571"/>
        <v>1</v>
      </c>
      <c r="KU48" s="220">
        <f t="shared" ca="1" si="683"/>
        <v>0</v>
      </c>
      <c r="KV48" s="220">
        <f t="shared" ca="1" si="684"/>
        <v>0</v>
      </c>
      <c r="KW48" s="235">
        <f t="shared" ca="1" si="267"/>
        <v>0</v>
      </c>
      <c r="KX48" s="235">
        <f t="shared" ca="1" si="268"/>
        <v>0</v>
      </c>
      <c r="KY48" s="242">
        <f t="shared" ca="1" si="269"/>
        <v>0</v>
      </c>
      <c r="KZ48" s="241">
        <f t="shared" ca="1" si="571"/>
        <v>1</v>
      </c>
      <c r="LA48" s="220">
        <f t="shared" ca="1" si="685"/>
        <v>0</v>
      </c>
      <c r="LB48" s="220">
        <f t="shared" ca="1" si="686"/>
        <v>0</v>
      </c>
      <c r="LC48" s="235">
        <f t="shared" ca="1" si="272"/>
        <v>0</v>
      </c>
      <c r="LD48" s="235">
        <f t="shared" ca="1" si="273"/>
        <v>0</v>
      </c>
      <c r="LE48" s="242">
        <f t="shared" ca="1" si="274"/>
        <v>0</v>
      </c>
      <c r="LF48" s="241">
        <f t="shared" ca="1" si="571"/>
        <v>1</v>
      </c>
      <c r="LG48" s="220">
        <f t="shared" ca="1" si="687"/>
        <v>0</v>
      </c>
      <c r="LH48" s="220">
        <f t="shared" ca="1" si="688"/>
        <v>0</v>
      </c>
      <c r="LI48" s="235">
        <f t="shared" ca="1" si="278"/>
        <v>0</v>
      </c>
      <c r="LJ48" s="235">
        <f t="shared" ca="1" si="279"/>
        <v>0</v>
      </c>
      <c r="LK48" s="242">
        <f t="shared" ca="1" si="280"/>
        <v>0</v>
      </c>
      <c r="LL48" s="241">
        <f t="shared" ca="1" si="571"/>
        <v>1</v>
      </c>
      <c r="LM48" s="220">
        <f t="shared" ca="1" si="689"/>
        <v>0</v>
      </c>
      <c r="LN48" s="220">
        <f t="shared" ca="1" si="690"/>
        <v>0</v>
      </c>
      <c r="LO48" s="235">
        <f t="shared" ca="1" si="283"/>
        <v>0</v>
      </c>
      <c r="LP48" s="235">
        <f t="shared" ca="1" si="284"/>
        <v>0</v>
      </c>
      <c r="LQ48" s="242">
        <f t="shared" ca="1" si="285"/>
        <v>0</v>
      </c>
      <c r="LR48" s="241">
        <f t="shared" ca="1" si="571"/>
        <v>1</v>
      </c>
      <c r="LS48" s="220">
        <f t="shared" ca="1" si="691"/>
        <v>0</v>
      </c>
      <c r="LT48" s="220">
        <f t="shared" ca="1" si="692"/>
        <v>0</v>
      </c>
      <c r="LU48" s="235">
        <f t="shared" ca="1" si="288"/>
        <v>0</v>
      </c>
      <c r="LV48" s="235">
        <f t="shared" ca="1" si="289"/>
        <v>0</v>
      </c>
      <c r="LW48" s="242">
        <f t="shared" ca="1" si="290"/>
        <v>0</v>
      </c>
      <c r="LX48" s="241">
        <f t="shared" ca="1" si="571"/>
        <v>1</v>
      </c>
      <c r="LY48" s="220">
        <f t="shared" ca="1" si="693"/>
        <v>0</v>
      </c>
      <c r="LZ48" s="220">
        <f t="shared" ca="1" si="694"/>
        <v>0</v>
      </c>
      <c r="MA48" s="235">
        <f t="shared" ca="1" si="293"/>
        <v>0</v>
      </c>
      <c r="MB48" s="235">
        <f t="shared" ca="1" si="294"/>
        <v>0</v>
      </c>
      <c r="MC48" s="242">
        <f t="shared" ca="1" si="295"/>
        <v>0</v>
      </c>
      <c r="MD48" s="241">
        <f t="shared" ca="1" si="564"/>
        <v>1</v>
      </c>
      <c r="ME48" s="220">
        <f t="shared" ca="1" si="695"/>
        <v>0</v>
      </c>
      <c r="MF48" s="220">
        <f t="shared" ca="1" si="696"/>
        <v>0</v>
      </c>
      <c r="MG48" s="235">
        <f t="shared" ca="1" si="298"/>
        <v>0</v>
      </c>
      <c r="MH48" s="235">
        <f t="shared" ca="1" si="299"/>
        <v>0</v>
      </c>
      <c r="MI48" s="242">
        <f t="shared" ca="1" si="300"/>
        <v>0</v>
      </c>
      <c r="MJ48" s="241">
        <f t="shared" ca="1" si="564"/>
        <v>1</v>
      </c>
      <c r="MK48" s="220">
        <f t="shared" ca="1" si="697"/>
        <v>0</v>
      </c>
      <c r="ML48" s="220">
        <f t="shared" ca="1" si="698"/>
        <v>0</v>
      </c>
      <c r="MM48" s="235">
        <f t="shared" ca="1" si="303"/>
        <v>0</v>
      </c>
      <c r="MN48" s="235">
        <f t="shared" ca="1" si="304"/>
        <v>0</v>
      </c>
      <c r="MO48" s="242">
        <f t="shared" ca="1" si="305"/>
        <v>0</v>
      </c>
      <c r="MP48" s="241">
        <f t="shared" ca="1" si="572"/>
        <v>1</v>
      </c>
      <c r="MQ48" s="220">
        <f t="shared" ca="1" si="699"/>
        <v>0</v>
      </c>
      <c r="MR48" s="220">
        <f t="shared" ca="1" si="700"/>
        <v>0</v>
      </c>
      <c r="MS48" s="235">
        <f t="shared" ca="1" si="308"/>
        <v>0</v>
      </c>
      <c r="MT48" s="235">
        <f t="shared" ca="1" si="309"/>
        <v>0</v>
      </c>
      <c r="MU48" s="242">
        <f t="shared" ca="1" si="310"/>
        <v>0</v>
      </c>
      <c r="MV48" s="241">
        <f t="shared" ca="1" si="572"/>
        <v>1</v>
      </c>
      <c r="MW48" s="220">
        <f t="shared" ca="1" si="701"/>
        <v>0</v>
      </c>
      <c r="MX48" s="220">
        <f t="shared" ca="1" si="702"/>
        <v>0</v>
      </c>
      <c r="MY48" s="235">
        <f t="shared" ca="1" si="313"/>
        <v>0</v>
      </c>
      <c r="MZ48" s="235">
        <f t="shared" ca="1" si="314"/>
        <v>0</v>
      </c>
      <c r="NA48" s="242">
        <f t="shared" ca="1" si="315"/>
        <v>0</v>
      </c>
      <c r="NB48" s="241">
        <f t="shared" ca="1" si="572"/>
        <v>1</v>
      </c>
      <c r="NC48" s="220">
        <f t="shared" ca="1" si="703"/>
        <v>0</v>
      </c>
      <c r="ND48" s="220">
        <f t="shared" ca="1" si="704"/>
        <v>0</v>
      </c>
      <c r="NE48" s="235">
        <f t="shared" ca="1" si="318"/>
        <v>0</v>
      </c>
      <c r="NF48" s="235">
        <f t="shared" ca="1" si="319"/>
        <v>0</v>
      </c>
      <c r="NG48" s="242">
        <f t="shared" ca="1" si="320"/>
        <v>0</v>
      </c>
      <c r="NH48" s="241">
        <f t="shared" ca="1" si="572"/>
        <v>1</v>
      </c>
      <c r="NI48" s="220">
        <f t="shared" ca="1" si="705"/>
        <v>0</v>
      </c>
      <c r="NJ48" s="220">
        <f t="shared" ca="1" si="706"/>
        <v>0</v>
      </c>
      <c r="NK48" s="235">
        <f t="shared" ca="1" si="323"/>
        <v>0</v>
      </c>
      <c r="NL48" s="235">
        <f t="shared" ca="1" si="324"/>
        <v>0</v>
      </c>
      <c r="NM48" s="242">
        <f t="shared" ca="1" si="325"/>
        <v>0</v>
      </c>
      <c r="NN48" s="241">
        <f t="shared" ca="1" si="572"/>
        <v>1</v>
      </c>
      <c r="NO48" s="220">
        <f t="shared" ca="1" si="707"/>
        <v>0</v>
      </c>
      <c r="NP48" s="220">
        <f t="shared" ca="1" si="708"/>
        <v>0</v>
      </c>
      <c r="NQ48" s="235">
        <f t="shared" ca="1" si="328"/>
        <v>0</v>
      </c>
      <c r="NR48" s="235">
        <f t="shared" ca="1" si="329"/>
        <v>0</v>
      </c>
      <c r="NS48" s="242">
        <f t="shared" ca="1" si="330"/>
        <v>0</v>
      </c>
      <c r="NT48" s="241">
        <f t="shared" ca="1" si="572"/>
        <v>1</v>
      </c>
      <c r="NU48" s="220">
        <f t="shared" ca="1" si="709"/>
        <v>0</v>
      </c>
      <c r="NV48" s="220">
        <f t="shared" ca="1" si="710"/>
        <v>0</v>
      </c>
      <c r="NW48" s="235">
        <f t="shared" ca="1" si="334"/>
        <v>0</v>
      </c>
      <c r="NX48" s="235">
        <f t="shared" ca="1" si="335"/>
        <v>0</v>
      </c>
      <c r="NY48" s="242">
        <f t="shared" ca="1" si="336"/>
        <v>0</v>
      </c>
      <c r="NZ48" s="241">
        <f t="shared" ca="1" si="572"/>
        <v>1</v>
      </c>
      <c r="OA48" s="220">
        <f t="shared" ca="1" si="711"/>
        <v>0</v>
      </c>
      <c r="OB48" s="220">
        <f t="shared" ca="1" si="712"/>
        <v>0</v>
      </c>
      <c r="OC48" s="235">
        <f t="shared" ca="1" si="339"/>
        <v>0</v>
      </c>
      <c r="OD48" s="235">
        <f t="shared" ca="1" si="340"/>
        <v>0</v>
      </c>
      <c r="OE48" s="242">
        <f t="shared" ca="1" si="341"/>
        <v>0</v>
      </c>
      <c r="OF48" s="241">
        <f t="shared" ca="1" si="572"/>
        <v>1</v>
      </c>
      <c r="OG48" s="220">
        <f t="shared" ca="1" si="713"/>
        <v>0</v>
      </c>
      <c r="OH48" s="220">
        <f t="shared" ca="1" si="714"/>
        <v>0</v>
      </c>
      <c r="OI48" s="235">
        <f t="shared" ca="1" si="344"/>
        <v>0</v>
      </c>
      <c r="OJ48" s="235">
        <f t="shared" ca="1" si="345"/>
        <v>0</v>
      </c>
      <c r="OK48" s="242">
        <f t="shared" ca="1" si="346"/>
        <v>0</v>
      </c>
      <c r="OL48" s="241">
        <f t="shared" ca="1" si="572"/>
        <v>1</v>
      </c>
      <c r="OM48" s="220">
        <f t="shared" ca="1" si="715"/>
        <v>0</v>
      </c>
      <c r="ON48" s="220">
        <f t="shared" ca="1" si="716"/>
        <v>0</v>
      </c>
      <c r="OO48" s="235">
        <f t="shared" ca="1" si="349"/>
        <v>0</v>
      </c>
      <c r="OP48" s="235">
        <f t="shared" ca="1" si="350"/>
        <v>0</v>
      </c>
      <c r="OQ48" s="242">
        <f t="shared" ca="1" si="351"/>
        <v>0</v>
      </c>
      <c r="OR48" s="241">
        <f t="shared" ca="1" si="572"/>
        <v>1</v>
      </c>
      <c r="OS48" s="220">
        <f t="shared" ca="1" si="717"/>
        <v>0</v>
      </c>
      <c r="OT48" s="220">
        <f t="shared" ca="1" si="718"/>
        <v>0</v>
      </c>
      <c r="OU48" s="235">
        <f t="shared" ca="1" si="354"/>
        <v>0</v>
      </c>
      <c r="OV48" s="235">
        <f t="shared" ca="1" si="355"/>
        <v>0</v>
      </c>
      <c r="OW48" s="242">
        <f t="shared" ca="1" si="356"/>
        <v>0</v>
      </c>
      <c r="OX48" s="241">
        <f t="shared" ca="1" si="572"/>
        <v>1</v>
      </c>
      <c r="OY48" s="220">
        <f t="shared" ca="1" si="719"/>
        <v>0</v>
      </c>
      <c r="OZ48" s="220">
        <f t="shared" ca="1" si="720"/>
        <v>0</v>
      </c>
      <c r="PA48" s="235">
        <f t="shared" ca="1" si="359"/>
        <v>0</v>
      </c>
      <c r="PB48" s="235">
        <f t="shared" ca="1" si="360"/>
        <v>0</v>
      </c>
      <c r="PC48" s="242">
        <f t="shared" ca="1" si="361"/>
        <v>0</v>
      </c>
      <c r="PD48" s="241">
        <f t="shared" ca="1" si="565"/>
        <v>1</v>
      </c>
      <c r="PE48" s="220">
        <f t="shared" ca="1" si="721"/>
        <v>0</v>
      </c>
      <c r="PF48" s="220">
        <f t="shared" ca="1" si="722"/>
        <v>0</v>
      </c>
      <c r="PG48" s="235">
        <f t="shared" ca="1" si="364"/>
        <v>0</v>
      </c>
      <c r="PH48" s="235">
        <f t="shared" ca="1" si="365"/>
        <v>0</v>
      </c>
      <c r="PI48" s="242">
        <f t="shared" ca="1" si="366"/>
        <v>0</v>
      </c>
      <c r="PJ48" s="241">
        <f t="shared" ca="1" si="565"/>
        <v>1</v>
      </c>
      <c r="PK48" s="220">
        <f t="shared" ca="1" si="723"/>
        <v>0</v>
      </c>
      <c r="PL48" s="220">
        <f t="shared" ca="1" si="724"/>
        <v>0</v>
      </c>
      <c r="PM48" s="235">
        <f t="shared" ca="1" si="369"/>
        <v>0</v>
      </c>
      <c r="PN48" s="235">
        <f t="shared" ca="1" si="370"/>
        <v>0</v>
      </c>
      <c r="PO48" s="242">
        <f t="shared" ca="1" si="371"/>
        <v>0</v>
      </c>
      <c r="PP48" s="241">
        <f t="shared" ca="1" si="573"/>
        <v>1</v>
      </c>
      <c r="PQ48" s="220">
        <f t="shared" ca="1" si="725"/>
        <v>0</v>
      </c>
      <c r="PR48" s="220">
        <f t="shared" ca="1" si="726"/>
        <v>0</v>
      </c>
      <c r="PS48" s="235">
        <f t="shared" ca="1" si="374"/>
        <v>0</v>
      </c>
      <c r="PT48" s="235">
        <f t="shared" ca="1" si="375"/>
        <v>0</v>
      </c>
      <c r="PU48" s="242">
        <f t="shared" ca="1" si="376"/>
        <v>0</v>
      </c>
      <c r="PV48" s="241">
        <f t="shared" ca="1" si="573"/>
        <v>1</v>
      </c>
      <c r="PW48" s="220">
        <f t="shared" ca="1" si="727"/>
        <v>0</v>
      </c>
      <c r="PX48" s="220">
        <f t="shared" ca="1" si="728"/>
        <v>0</v>
      </c>
      <c r="PY48" s="235">
        <f t="shared" ca="1" si="379"/>
        <v>0</v>
      </c>
      <c r="PZ48" s="235">
        <f t="shared" ca="1" si="380"/>
        <v>0</v>
      </c>
      <c r="QA48" s="242">
        <f t="shared" ca="1" si="381"/>
        <v>0</v>
      </c>
      <c r="QB48" s="241">
        <f t="shared" ca="1" si="573"/>
        <v>1</v>
      </c>
      <c r="QC48" s="220">
        <f t="shared" ca="1" si="729"/>
        <v>0</v>
      </c>
      <c r="QD48" s="220">
        <f t="shared" ca="1" si="730"/>
        <v>0</v>
      </c>
      <c r="QE48" s="235">
        <f t="shared" ca="1" si="384"/>
        <v>0</v>
      </c>
      <c r="QF48" s="235">
        <f t="shared" ca="1" si="385"/>
        <v>0</v>
      </c>
      <c r="QG48" s="242">
        <f t="shared" ca="1" si="386"/>
        <v>0</v>
      </c>
      <c r="QH48" s="241">
        <f t="shared" ca="1" si="573"/>
        <v>1</v>
      </c>
      <c r="QI48" s="220">
        <f t="shared" ca="1" si="731"/>
        <v>0</v>
      </c>
      <c r="QJ48" s="220">
        <f t="shared" ca="1" si="732"/>
        <v>0</v>
      </c>
      <c r="QK48" s="235">
        <f t="shared" ca="1" si="390"/>
        <v>0</v>
      </c>
      <c r="QL48" s="235">
        <f t="shared" ca="1" si="391"/>
        <v>0</v>
      </c>
      <c r="QM48" s="242">
        <f t="shared" ca="1" si="392"/>
        <v>0</v>
      </c>
      <c r="QN48" s="241">
        <f t="shared" ca="1" si="573"/>
        <v>1</v>
      </c>
      <c r="QO48" s="220">
        <f t="shared" ca="1" si="733"/>
        <v>0</v>
      </c>
      <c r="QP48" s="220">
        <f t="shared" ca="1" si="734"/>
        <v>0</v>
      </c>
      <c r="QQ48" s="235">
        <f t="shared" ca="1" si="395"/>
        <v>0</v>
      </c>
      <c r="QR48" s="235">
        <f t="shared" ca="1" si="396"/>
        <v>0</v>
      </c>
      <c r="QS48" s="242">
        <f t="shared" ca="1" si="397"/>
        <v>0</v>
      </c>
      <c r="QT48" s="241">
        <f t="shared" ca="1" si="573"/>
        <v>1</v>
      </c>
      <c r="QU48" s="220">
        <f t="shared" ca="1" si="735"/>
        <v>0</v>
      </c>
      <c r="QV48" s="220">
        <f t="shared" ca="1" si="736"/>
        <v>0</v>
      </c>
      <c r="QW48" s="235">
        <f t="shared" ca="1" si="400"/>
        <v>0</v>
      </c>
      <c r="QX48" s="235">
        <f t="shared" ca="1" si="401"/>
        <v>0</v>
      </c>
      <c r="QY48" s="242">
        <f t="shared" ca="1" si="402"/>
        <v>0</v>
      </c>
      <c r="QZ48" s="241">
        <f t="shared" ca="1" si="573"/>
        <v>1</v>
      </c>
      <c r="RA48" s="220">
        <f t="shared" ca="1" si="737"/>
        <v>0</v>
      </c>
      <c r="RB48" s="220">
        <f t="shared" ca="1" si="738"/>
        <v>0</v>
      </c>
      <c r="RC48" s="235">
        <f t="shared" ca="1" si="405"/>
        <v>0</v>
      </c>
      <c r="RD48" s="235">
        <f t="shared" ca="1" si="406"/>
        <v>0</v>
      </c>
      <c r="RE48" s="242">
        <f t="shared" ca="1" si="407"/>
        <v>0</v>
      </c>
      <c r="RF48" s="241">
        <f t="shared" ca="1" si="573"/>
        <v>1</v>
      </c>
      <c r="RG48" s="220">
        <f t="shared" ca="1" si="739"/>
        <v>0</v>
      </c>
      <c r="RH48" s="220">
        <f t="shared" ca="1" si="740"/>
        <v>0</v>
      </c>
      <c r="RI48" s="235">
        <f t="shared" ca="1" si="410"/>
        <v>0</v>
      </c>
      <c r="RJ48" s="235">
        <f t="shared" ca="1" si="411"/>
        <v>0</v>
      </c>
      <c r="RK48" s="242">
        <f t="shared" ca="1" si="412"/>
        <v>0</v>
      </c>
      <c r="RL48" s="241">
        <f t="shared" ca="1" si="573"/>
        <v>1</v>
      </c>
      <c r="RM48" s="220">
        <f t="shared" ca="1" si="741"/>
        <v>0</v>
      </c>
      <c r="RN48" s="220">
        <f t="shared" ca="1" si="742"/>
        <v>0</v>
      </c>
      <c r="RO48" s="235">
        <f t="shared" ca="1" si="415"/>
        <v>0</v>
      </c>
      <c r="RP48" s="235">
        <f t="shared" ca="1" si="416"/>
        <v>0</v>
      </c>
      <c r="RQ48" s="242">
        <f t="shared" ca="1" si="417"/>
        <v>0</v>
      </c>
      <c r="RR48" s="241">
        <f t="shared" ca="1" si="573"/>
        <v>1</v>
      </c>
      <c r="RS48" s="220">
        <f t="shared" ca="1" si="743"/>
        <v>0</v>
      </c>
      <c r="RT48" s="220">
        <f t="shared" ca="1" si="744"/>
        <v>0</v>
      </c>
      <c r="RU48" s="235">
        <f t="shared" ca="1" si="420"/>
        <v>0</v>
      </c>
      <c r="RV48" s="235">
        <f t="shared" ca="1" si="421"/>
        <v>0</v>
      </c>
      <c r="RW48" s="242">
        <f t="shared" ca="1" si="422"/>
        <v>0</v>
      </c>
      <c r="RX48" s="241">
        <f t="shared" ca="1" si="573"/>
        <v>1</v>
      </c>
      <c r="RY48" s="220">
        <f t="shared" ca="1" si="745"/>
        <v>0</v>
      </c>
      <c r="RZ48" s="220">
        <f t="shared" ca="1" si="746"/>
        <v>0</v>
      </c>
      <c r="SA48" s="235">
        <f t="shared" ca="1" si="425"/>
        <v>0</v>
      </c>
      <c r="SB48" s="235">
        <f t="shared" ca="1" si="426"/>
        <v>0</v>
      </c>
      <c r="SC48" s="242">
        <f t="shared" ca="1" si="427"/>
        <v>0</v>
      </c>
      <c r="SD48" s="241">
        <f t="shared" ca="1" si="566"/>
        <v>1</v>
      </c>
      <c r="SE48" s="220">
        <f t="shared" ca="1" si="747"/>
        <v>0</v>
      </c>
      <c r="SF48" s="220">
        <f t="shared" ca="1" si="748"/>
        <v>0</v>
      </c>
      <c r="SG48" s="235">
        <f t="shared" ca="1" si="430"/>
        <v>0</v>
      </c>
      <c r="SH48" s="235">
        <f t="shared" ca="1" si="431"/>
        <v>0</v>
      </c>
      <c r="SI48" s="242">
        <f t="shared" ca="1" si="432"/>
        <v>0</v>
      </c>
      <c r="SJ48" s="241">
        <f t="shared" ca="1" si="566"/>
        <v>1</v>
      </c>
      <c r="SK48" s="220">
        <f t="shared" ca="1" si="749"/>
        <v>0</v>
      </c>
      <c r="SL48" s="220">
        <f t="shared" ca="1" si="750"/>
        <v>0</v>
      </c>
      <c r="SM48" s="235">
        <f t="shared" ca="1" si="435"/>
        <v>0</v>
      </c>
      <c r="SN48" s="235">
        <f t="shared" ca="1" si="436"/>
        <v>0</v>
      </c>
      <c r="SO48" s="242">
        <f t="shared" ca="1" si="437"/>
        <v>0</v>
      </c>
      <c r="SP48" s="241">
        <f t="shared" ca="1" si="576"/>
        <v>1</v>
      </c>
      <c r="SQ48" s="220">
        <f t="shared" ca="1" si="751"/>
        <v>0</v>
      </c>
      <c r="SR48" s="220">
        <f t="shared" ca="1" si="752"/>
        <v>0</v>
      </c>
      <c r="SS48" s="235">
        <f t="shared" ca="1" si="440"/>
        <v>0</v>
      </c>
      <c r="ST48" s="235">
        <f t="shared" ca="1" si="441"/>
        <v>0</v>
      </c>
      <c r="SU48" s="242">
        <f t="shared" ca="1" si="442"/>
        <v>0</v>
      </c>
      <c r="SV48" s="241">
        <f t="shared" ca="1" si="576"/>
        <v>1</v>
      </c>
      <c r="SW48" s="220">
        <f t="shared" ca="1" si="753"/>
        <v>0</v>
      </c>
      <c r="SX48" s="220">
        <f t="shared" ca="1" si="754"/>
        <v>0</v>
      </c>
      <c r="SY48" s="235">
        <f t="shared" ca="1" si="446"/>
        <v>0</v>
      </c>
      <c r="SZ48" s="235">
        <f t="shared" ca="1" si="447"/>
        <v>0</v>
      </c>
      <c r="TA48" s="242">
        <f t="shared" ca="1" si="448"/>
        <v>0</v>
      </c>
      <c r="TB48" s="241">
        <f t="shared" ca="1" si="576"/>
        <v>1</v>
      </c>
      <c r="TC48" s="220">
        <f t="shared" ca="1" si="755"/>
        <v>0</v>
      </c>
      <c r="TD48" s="220">
        <f t="shared" ca="1" si="756"/>
        <v>0</v>
      </c>
      <c r="TE48" s="235">
        <f t="shared" ca="1" si="451"/>
        <v>0</v>
      </c>
      <c r="TF48" s="235">
        <f t="shared" ca="1" si="452"/>
        <v>0</v>
      </c>
      <c r="TG48" s="242">
        <f t="shared" ca="1" si="453"/>
        <v>0</v>
      </c>
      <c r="TH48" s="241">
        <f t="shared" ca="1" si="576"/>
        <v>1</v>
      </c>
      <c r="TI48" s="220">
        <f t="shared" ca="1" si="757"/>
        <v>0</v>
      </c>
      <c r="TJ48" s="220">
        <f t="shared" ca="1" si="758"/>
        <v>0</v>
      </c>
      <c r="TK48" s="235">
        <f t="shared" ca="1" si="456"/>
        <v>0</v>
      </c>
      <c r="TL48" s="235">
        <f t="shared" ca="1" si="457"/>
        <v>0</v>
      </c>
      <c r="TM48" s="242">
        <f t="shared" ca="1" si="458"/>
        <v>0</v>
      </c>
      <c r="TN48" s="241">
        <f t="shared" ca="1" si="576"/>
        <v>1</v>
      </c>
      <c r="TO48" s="220">
        <f t="shared" ca="1" si="759"/>
        <v>0</v>
      </c>
      <c r="TP48" s="220">
        <f t="shared" ca="1" si="760"/>
        <v>0</v>
      </c>
      <c r="TQ48" s="235">
        <f t="shared" ca="1" si="461"/>
        <v>0</v>
      </c>
      <c r="TR48" s="235">
        <f t="shared" ca="1" si="462"/>
        <v>0</v>
      </c>
      <c r="TS48" s="242">
        <f t="shared" ca="1" si="463"/>
        <v>0</v>
      </c>
      <c r="TT48" s="241">
        <f t="shared" ca="1" si="576"/>
        <v>1</v>
      </c>
      <c r="TU48" s="220">
        <f t="shared" ca="1" si="761"/>
        <v>0</v>
      </c>
      <c r="TV48" s="220">
        <f t="shared" ca="1" si="762"/>
        <v>0</v>
      </c>
      <c r="TW48" s="235">
        <f t="shared" ca="1" si="466"/>
        <v>0</v>
      </c>
      <c r="TX48" s="235">
        <f t="shared" ca="1" si="467"/>
        <v>0</v>
      </c>
      <c r="TY48" s="242">
        <f t="shared" ca="1" si="468"/>
        <v>0</v>
      </c>
      <c r="TZ48" s="241">
        <f t="shared" ca="1" si="576"/>
        <v>1</v>
      </c>
      <c r="UA48" s="220">
        <f t="shared" ca="1" si="763"/>
        <v>0</v>
      </c>
      <c r="UB48" s="220">
        <f t="shared" ca="1" si="764"/>
        <v>0</v>
      </c>
      <c r="UC48" s="235">
        <f t="shared" ca="1" si="471"/>
        <v>0</v>
      </c>
      <c r="UD48" s="235">
        <f t="shared" ca="1" si="472"/>
        <v>0</v>
      </c>
      <c r="UE48" s="242">
        <f t="shared" ca="1" si="473"/>
        <v>0</v>
      </c>
      <c r="UF48" s="241">
        <f t="shared" ca="1" si="576"/>
        <v>1</v>
      </c>
      <c r="UG48" s="220">
        <f t="shared" ca="1" si="765"/>
        <v>0</v>
      </c>
      <c r="UH48" s="220">
        <f t="shared" ca="1" si="766"/>
        <v>0</v>
      </c>
      <c r="UI48" s="235">
        <f t="shared" ca="1" si="476"/>
        <v>0</v>
      </c>
      <c r="UJ48" s="235">
        <f t="shared" ca="1" si="477"/>
        <v>0</v>
      </c>
      <c r="UK48" s="242">
        <f t="shared" ca="1" si="478"/>
        <v>0</v>
      </c>
      <c r="UL48" s="241">
        <f t="shared" ca="1" si="576"/>
        <v>1</v>
      </c>
      <c r="UM48" s="220">
        <f t="shared" ca="1" si="767"/>
        <v>0</v>
      </c>
      <c r="UN48" s="220">
        <f t="shared" ca="1" si="768"/>
        <v>0</v>
      </c>
      <c r="UO48" s="235">
        <f t="shared" ca="1" si="481"/>
        <v>0</v>
      </c>
      <c r="UP48" s="235">
        <f t="shared" ca="1" si="482"/>
        <v>0</v>
      </c>
      <c r="UQ48" s="242">
        <f t="shared" ca="1" si="483"/>
        <v>0</v>
      </c>
      <c r="UR48" s="241">
        <f t="shared" ca="1" si="576"/>
        <v>1</v>
      </c>
      <c r="US48" s="220">
        <f t="shared" ca="1" si="769"/>
        <v>0</v>
      </c>
      <c r="UT48" s="220">
        <f t="shared" ca="1" si="770"/>
        <v>0</v>
      </c>
      <c r="UU48" s="235">
        <f t="shared" ca="1" si="486"/>
        <v>0</v>
      </c>
      <c r="UV48" s="235">
        <f t="shared" ca="1" si="487"/>
        <v>0</v>
      </c>
      <c r="UW48" s="242">
        <f t="shared" ca="1" si="488"/>
        <v>0</v>
      </c>
      <c r="UX48" s="241">
        <f t="shared" ca="1" si="576"/>
        <v>1</v>
      </c>
      <c r="UY48" s="220">
        <f t="shared" ca="1" si="771"/>
        <v>0</v>
      </c>
      <c r="UZ48" s="220">
        <f t="shared" ca="1" si="772"/>
        <v>0</v>
      </c>
      <c r="VA48" s="235">
        <f t="shared" ca="1" si="491"/>
        <v>0</v>
      </c>
      <c r="VB48" s="235">
        <f t="shared" ca="1" si="492"/>
        <v>0</v>
      </c>
      <c r="VC48" s="242">
        <f t="shared" ca="1" si="493"/>
        <v>0</v>
      </c>
      <c r="VD48" s="241">
        <f t="shared" ca="1" si="574"/>
        <v>1</v>
      </c>
      <c r="VE48" s="220">
        <f t="shared" ca="1" si="773"/>
        <v>0</v>
      </c>
      <c r="VF48" s="220">
        <f t="shared" ca="1" si="774"/>
        <v>0</v>
      </c>
      <c r="VG48" s="235">
        <f t="shared" ca="1" si="496"/>
        <v>0</v>
      </c>
      <c r="VH48" s="235">
        <f t="shared" ca="1" si="497"/>
        <v>0</v>
      </c>
      <c r="VI48" s="242">
        <f t="shared" ca="1" si="498"/>
        <v>0</v>
      </c>
      <c r="VJ48" s="241">
        <f t="shared" ca="1" si="567"/>
        <v>1</v>
      </c>
      <c r="VK48" s="220">
        <f t="shared" ca="1" si="775"/>
        <v>0</v>
      </c>
      <c r="VL48" s="220">
        <f t="shared" ca="1" si="776"/>
        <v>0</v>
      </c>
      <c r="VM48" s="235">
        <f t="shared" ca="1" si="502"/>
        <v>0</v>
      </c>
      <c r="VN48" s="235">
        <f t="shared" ca="1" si="503"/>
        <v>0</v>
      </c>
      <c r="VO48" s="242">
        <f t="shared" ca="1" si="504"/>
        <v>0</v>
      </c>
      <c r="VP48" s="241">
        <f t="shared" ca="1" si="567"/>
        <v>1</v>
      </c>
      <c r="VQ48" s="220">
        <f t="shared" ca="1" si="777"/>
        <v>0</v>
      </c>
      <c r="VR48" s="220">
        <f t="shared" ca="1" si="778"/>
        <v>0</v>
      </c>
      <c r="VS48" s="235">
        <f t="shared" ca="1" si="507"/>
        <v>0</v>
      </c>
      <c r="VT48" s="235">
        <f t="shared" ca="1" si="508"/>
        <v>0</v>
      </c>
      <c r="VU48" s="242">
        <f t="shared" ca="1" si="509"/>
        <v>0</v>
      </c>
      <c r="VV48" s="241">
        <f t="shared" ca="1" si="578"/>
        <v>1</v>
      </c>
      <c r="VW48" s="220">
        <f t="shared" ca="1" si="779"/>
        <v>0</v>
      </c>
      <c r="VX48" s="220">
        <f t="shared" ca="1" si="780"/>
        <v>0</v>
      </c>
      <c r="VY48" s="235">
        <f t="shared" ca="1" si="512"/>
        <v>0</v>
      </c>
      <c r="VZ48" s="235">
        <f t="shared" ca="1" si="513"/>
        <v>0</v>
      </c>
      <c r="WA48" s="242">
        <f t="shared" ca="1" si="514"/>
        <v>0</v>
      </c>
      <c r="WB48" s="241">
        <f t="shared" ca="1" si="578"/>
        <v>1</v>
      </c>
      <c r="WC48" s="220">
        <f t="shared" ca="1" si="781"/>
        <v>0</v>
      </c>
      <c r="WD48" s="220">
        <f t="shared" ca="1" si="782"/>
        <v>0</v>
      </c>
      <c r="WE48" s="235">
        <f t="shared" ca="1" si="517"/>
        <v>0</v>
      </c>
      <c r="WF48" s="235">
        <f t="shared" ca="1" si="518"/>
        <v>0</v>
      </c>
      <c r="WG48" s="242">
        <f t="shared" ca="1" si="519"/>
        <v>0</v>
      </c>
      <c r="WH48" s="241">
        <f t="shared" ca="1" si="578"/>
        <v>1</v>
      </c>
      <c r="WI48" s="220">
        <f t="shared" ca="1" si="783"/>
        <v>0</v>
      </c>
      <c r="WJ48" s="220">
        <f t="shared" ca="1" si="784"/>
        <v>0</v>
      </c>
      <c r="WK48" s="235">
        <f t="shared" ca="1" si="522"/>
        <v>0</v>
      </c>
      <c r="WL48" s="235">
        <f t="shared" ca="1" si="523"/>
        <v>0</v>
      </c>
      <c r="WM48" s="242">
        <f t="shared" ca="1" si="524"/>
        <v>0</v>
      </c>
      <c r="WN48" s="241">
        <f t="shared" ca="1" si="578"/>
        <v>1</v>
      </c>
      <c r="WO48" s="220">
        <f t="shared" ca="1" si="785"/>
        <v>0</v>
      </c>
      <c r="WP48" s="220">
        <f t="shared" ca="1" si="786"/>
        <v>0</v>
      </c>
      <c r="WQ48" s="235">
        <f t="shared" ca="1" si="527"/>
        <v>0</v>
      </c>
      <c r="WR48" s="235">
        <f t="shared" ca="1" si="528"/>
        <v>0</v>
      </c>
      <c r="WS48" s="242">
        <f t="shared" ca="1" si="529"/>
        <v>0</v>
      </c>
      <c r="WT48" s="241">
        <f t="shared" ca="1" si="578"/>
        <v>1</v>
      </c>
      <c r="WU48" s="220">
        <f t="shared" ca="1" si="787"/>
        <v>0</v>
      </c>
      <c r="WV48" s="220">
        <f t="shared" ca="1" si="788"/>
        <v>0</v>
      </c>
      <c r="WW48" s="235">
        <f t="shared" ca="1" si="532"/>
        <v>0</v>
      </c>
      <c r="WX48" s="235">
        <f t="shared" ca="1" si="533"/>
        <v>0</v>
      </c>
      <c r="WY48" s="242">
        <f t="shared" ca="1" si="534"/>
        <v>0</v>
      </c>
      <c r="WZ48" s="241">
        <f t="shared" ca="1" si="578"/>
        <v>1</v>
      </c>
      <c r="XA48" s="220">
        <f t="shared" ca="1" si="789"/>
        <v>0</v>
      </c>
      <c r="XB48" s="220">
        <f t="shared" ca="1" si="790"/>
        <v>0</v>
      </c>
      <c r="XC48" s="235">
        <f t="shared" ca="1" si="537"/>
        <v>0</v>
      </c>
      <c r="XD48" s="235">
        <f t="shared" ca="1" si="538"/>
        <v>0</v>
      </c>
      <c r="XE48" s="242">
        <f t="shared" ca="1" si="539"/>
        <v>0</v>
      </c>
      <c r="XF48" s="241">
        <f t="shared" ca="1" si="578"/>
        <v>1</v>
      </c>
      <c r="XG48" s="220">
        <f t="shared" ca="1" si="791"/>
        <v>0</v>
      </c>
      <c r="XH48" s="220">
        <f t="shared" ca="1" si="792"/>
        <v>0</v>
      </c>
      <c r="XI48" s="235">
        <f t="shared" ca="1" si="542"/>
        <v>0</v>
      </c>
      <c r="XJ48" s="235">
        <f t="shared" ca="1" si="543"/>
        <v>0</v>
      </c>
      <c r="XK48" s="242">
        <f t="shared" ca="1" si="544"/>
        <v>0</v>
      </c>
    </row>
    <row r="49" spans="2:635" x14ac:dyDescent="0.25">
      <c r="B49" s="65">
        <f t="shared" ca="1" si="14"/>
        <v>2064</v>
      </c>
      <c r="C49" s="65" t="s">
        <v>741</v>
      </c>
      <c r="D49" s="77">
        <f t="shared" si="580"/>
        <v>0</v>
      </c>
      <c r="E49" s="77">
        <f t="shared" si="581"/>
        <v>0</v>
      </c>
      <c r="F49" s="77">
        <f t="shared" si="17"/>
        <v>0</v>
      </c>
      <c r="G49" s="77">
        <f t="shared" si="18"/>
        <v>0</v>
      </c>
      <c r="H49" s="15" t="e">
        <f t="shared" ca="1" si="582"/>
        <v>#REF!</v>
      </c>
      <c r="L49" s="326">
        <f t="shared" ca="1" si="583"/>
        <v>3.5000000000000003E-2</v>
      </c>
      <c r="M49" s="327">
        <f t="shared" ca="1" si="584"/>
        <v>3.5000000000000003E-2</v>
      </c>
      <c r="N49" s="322">
        <f t="shared" ca="1" si="579"/>
        <v>-41</v>
      </c>
      <c r="O49" s="322">
        <f t="shared" ca="1" si="585"/>
        <v>0</v>
      </c>
      <c r="P49" s="328">
        <f t="shared" ca="1" si="545"/>
        <v>0</v>
      </c>
      <c r="Q49" s="328">
        <f t="shared" ca="1" si="546"/>
        <v>0</v>
      </c>
      <c r="R49" s="328">
        <f t="shared" ca="1" si="547"/>
        <v>0</v>
      </c>
      <c r="S49" s="329">
        <f t="shared" ca="1" si="586"/>
        <v>0</v>
      </c>
      <c r="T49" s="329">
        <f t="shared" ca="1" si="587"/>
        <v>0</v>
      </c>
      <c r="U49" s="329">
        <f t="shared" ca="1" si="588"/>
        <v>0</v>
      </c>
      <c r="V49" s="320" t="e">
        <f t="shared" ca="1" si="589"/>
        <v>#REF!</v>
      </c>
      <c r="W49" s="320" t="e">
        <f t="shared" ca="1" si="560"/>
        <v>#REF!</v>
      </c>
      <c r="X49" s="320" t="e">
        <f t="shared" ca="1" si="590"/>
        <v>#REF!</v>
      </c>
      <c r="Y49" s="320" t="e">
        <f ca="1">INDEX(SC_ZA_HECMLumpSum,ZAIDX)</f>
        <v>#REF!</v>
      </c>
      <c r="Z49" s="320" t="e">
        <f t="shared" ca="1" si="591"/>
        <v>#REF!</v>
      </c>
      <c r="AA49" s="320">
        <f t="shared" ca="1" si="557"/>
        <v>0</v>
      </c>
      <c r="AB49" s="320" t="e">
        <f t="shared" ca="1" si="558"/>
        <v>#REF!</v>
      </c>
      <c r="AC49" s="330" t="e">
        <f t="shared" ca="1" si="559"/>
        <v>#REF!</v>
      </c>
      <c r="AD49" s="236" t="e">
        <f t="shared" ca="1" si="548"/>
        <v>#REF!</v>
      </c>
      <c r="AE49" s="320" t="e">
        <f t="shared" ca="1" si="561"/>
        <v>#REF!</v>
      </c>
      <c r="AF49" s="320" t="e">
        <f t="shared" ca="1" si="592"/>
        <v>#REF!</v>
      </c>
      <c r="AG49" s="320" t="e">
        <f t="shared" ca="1" si="549"/>
        <v>#REF!</v>
      </c>
      <c r="AH49" s="284" t="e">
        <f t="shared" ca="1" si="550"/>
        <v>#REF!</v>
      </c>
      <c r="AI49" s="318" t="e">
        <f t="shared" ca="1" si="551"/>
        <v>#REF!</v>
      </c>
      <c r="AJ49" s="331">
        <f t="shared" ca="1" si="575"/>
        <v>1</v>
      </c>
      <c r="AK49" s="220">
        <f t="shared" ca="1" si="593"/>
        <v>0</v>
      </c>
      <c r="AL49" s="220">
        <f t="shared" ca="1" si="594"/>
        <v>0</v>
      </c>
      <c r="AM49" s="235">
        <f t="shared" ca="1" si="554"/>
        <v>0</v>
      </c>
      <c r="AN49" s="235">
        <f t="shared" ca="1" si="555"/>
        <v>0</v>
      </c>
      <c r="AO49" s="242">
        <f t="shared" ca="1" si="556"/>
        <v>0</v>
      </c>
      <c r="AP49" s="241">
        <f t="shared" ca="1" si="575"/>
        <v>1</v>
      </c>
      <c r="AQ49" s="220">
        <f t="shared" ca="1" si="595"/>
        <v>0</v>
      </c>
      <c r="AR49" s="220">
        <f t="shared" ca="1" si="596"/>
        <v>0</v>
      </c>
      <c r="AS49" s="235">
        <f t="shared" ca="1" si="43"/>
        <v>0</v>
      </c>
      <c r="AT49" s="235">
        <f t="shared" ca="1" si="44"/>
        <v>0</v>
      </c>
      <c r="AU49" s="242">
        <f t="shared" ca="1" si="45"/>
        <v>0</v>
      </c>
      <c r="AV49" s="241">
        <f t="shared" ca="1" si="575"/>
        <v>1</v>
      </c>
      <c r="AW49" s="220">
        <f t="shared" ca="1" si="597"/>
        <v>0</v>
      </c>
      <c r="AX49" s="220">
        <f t="shared" ca="1" si="598"/>
        <v>0</v>
      </c>
      <c r="AY49" s="235">
        <f t="shared" ca="1" si="48"/>
        <v>0</v>
      </c>
      <c r="AZ49" s="235">
        <f t="shared" ca="1" si="49"/>
        <v>0</v>
      </c>
      <c r="BA49" s="242">
        <f t="shared" ca="1" si="50"/>
        <v>0</v>
      </c>
      <c r="BB49" s="241">
        <f t="shared" ca="1" si="575"/>
        <v>1</v>
      </c>
      <c r="BC49" s="220">
        <f t="shared" ca="1" si="599"/>
        <v>0</v>
      </c>
      <c r="BD49" s="220">
        <f t="shared" ca="1" si="600"/>
        <v>0</v>
      </c>
      <c r="BE49" s="235">
        <f t="shared" ca="1" si="54"/>
        <v>0</v>
      </c>
      <c r="BF49" s="235">
        <f t="shared" ca="1" si="55"/>
        <v>0</v>
      </c>
      <c r="BG49" s="242">
        <f t="shared" ca="1" si="56"/>
        <v>0</v>
      </c>
      <c r="BH49" s="241">
        <f t="shared" ca="1" si="575"/>
        <v>1</v>
      </c>
      <c r="BI49" s="220">
        <f t="shared" ca="1" si="601"/>
        <v>0</v>
      </c>
      <c r="BJ49" s="220">
        <f t="shared" ca="1" si="602"/>
        <v>0</v>
      </c>
      <c r="BK49" s="235">
        <f t="shared" ca="1" si="59"/>
        <v>0</v>
      </c>
      <c r="BL49" s="235">
        <f t="shared" ca="1" si="60"/>
        <v>0</v>
      </c>
      <c r="BM49" s="242">
        <f t="shared" ca="1" si="61"/>
        <v>0</v>
      </c>
      <c r="BN49" s="241">
        <f t="shared" ca="1" si="575"/>
        <v>1</v>
      </c>
      <c r="BO49" s="220">
        <f t="shared" ca="1" si="603"/>
        <v>0</v>
      </c>
      <c r="BP49" s="220">
        <f t="shared" ca="1" si="604"/>
        <v>0</v>
      </c>
      <c r="BQ49" s="235">
        <f t="shared" ca="1" si="64"/>
        <v>0</v>
      </c>
      <c r="BR49" s="235">
        <f t="shared" ca="1" si="65"/>
        <v>0</v>
      </c>
      <c r="BS49" s="242">
        <f t="shared" ca="1" si="66"/>
        <v>0</v>
      </c>
      <c r="BT49" s="241">
        <f t="shared" ca="1" si="575"/>
        <v>1</v>
      </c>
      <c r="BU49" s="220">
        <f t="shared" ca="1" si="605"/>
        <v>0</v>
      </c>
      <c r="BV49" s="220">
        <f t="shared" ca="1" si="606"/>
        <v>0</v>
      </c>
      <c r="BW49" s="235">
        <f t="shared" ca="1" si="69"/>
        <v>0</v>
      </c>
      <c r="BX49" s="235">
        <f t="shared" ca="1" si="70"/>
        <v>0</v>
      </c>
      <c r="BY49" s="242">
        <f t="shared" ca="1" si="71"/>
        <v>0</v>
      </c>
      <c r="BZ49" s="241">
        <f t="shared" ca="1" si="575"/>
        <v>1</v>
      </c>
      <c r="CA49" s="220">
        <f t="shared" ca="1" si="607"/>
        <v>0</v>
      </c>
      <c r="CB49" s="220">
        <f t="shared" ca="1" si="608"/>
        <v>0</v>
      </c>
      <c r="CC49" s="235">
        <f t="shared" ca="1" si="74"/>
        <v>0</v>
      </c>
      <c r="CD49" s="235">
        <f t="shared" ca="1" si="75"/>
        <v>0</v>
      </c>
      <c r="CE49" s="242">
        <f t="shared" ca="1" si="76"/>
        <v>0</v>
      </c>
      <c r="CF49" s="241">
        <f t="shared" ca="1" si="575"/>
        <v>1</v>
      </c>
      <c r="CG49" s="220">
        <f t="shared" ca="1" si="609"/>
        <v>0</v>
      </c>
      <c r="CH49" s="220">
        <f t="shared" ca="1" si="610"/>
        <v>0</v>
      </c>
      <c r="CI49" s="235">
        <f t="shared" ca="1" si="79"/>
        <v>0</v>
      </c>
      <c r="CJ49" s="235">
        <f t="shared" ca="1" si="80"/>
        <v>0</v>
      </c>
      <c r="CK49" s="242">
        <f t="shared" ca="1" si="81"/>
        <v>0</v>
      </c>
      <c r="CL49" s="241">
        <f t="shared" ca="1" si="575"/>
        <v>1</v>
      </c>
      <c r="CM49" s="220">
        <f t="shared" ca="1" si="611"/>
        <v>0</v>
      </c>
      <c r="CN49" s="220">
        <f t="shared" ca="1" si="612"/>
        <v>0</v>
      </c>
      <c r="CO49" s="235">
        <f t="shared" ca="1" si="84"/>
        <v>0</v>
      </c>
      <c r="CP49" s="235">
        <f t="shared" ca="1" si="85"/>
        <v>0</v>
      </c>
      <c r="CQ49" s="242">
        <f t="shared" ca="1" si="86"/>
        <v>0</v>
      </c>
      <c r="CR49" s="241">
        <f t="shared" ca="1" si="575"/>
        <v>1</v>
      </c>
      <c r="CS49" s="220">
        <f t="shared" ca="1" si="613"/>
        <v>0</v>
      </c>
      <c r="CT49" s="220">
        <f t="shared" ca="1" si="614"/>
        <v>0</v>
      </c>
      <c r="CU49" s="235">
        <f t="shared" ca="1" si="89"/>
        <v>0</v>
      </c>
      <c r="CV49" s="235">
        <f t="shared" ca="1" si="90"/>
        <v>0</v>
      </c>
      <c r="CW49" s="242">
        <f t="shared" ca="1" si="91"/>
        <v>0</v>
      </c>
      <c r="CX49" s="241">
        <f t="shared" ca="1" si="568"/>
        <v>1</v>
      </c>
      <c r="CY49" s="220">
        <f t="shared" ca="1" si="615"/>
        <v>0</v>
      </c>
      <c r="CZ49" s="220">
        <f t="shared" ca="1" si="616"/>
        <v>0</v>
      </c>
      <c r="DA49" s="235">
        <f t="shared" ca="1" si="94"/>
        <v>0</v>
      </c>
      <c r="DB49" s="235">
        <f t="shared" ca="1" si="95"/>
        <v>0</v>
      </c>
      <c r="DC49" s="242">
        <f t="shared" ca="1" si="96"/>
        <v>0</v>
      </c>
      <c r="DD49" s="241">
        <f t="shared" ca="1" si="568"/>
        <v>1</v>
      </c>
      <c r="DE49" s="220">
        <f t="shared" ca="1" si="617"/>
        <v>0</v>
      </c>
      <c r="DF49" s="220">
        <f t="shared" ca="1" si="618"/>
        <v>0</v>
      </c>
      <c r="DG49" s="235">
        <f t="shared" ca="1" si="99"/>
        <v>0</v>
      </c>
      <c r="DH49" s="235">
        <f t="shared" ca="1" si="100"/>
        <v>0</v>
      </c>
      <c r="DI49" s="242">
        <f t="shared" ca="1" si="101"/>
        <v>0</v>
      </c>
      <c r="DJ49" s="241">
        <f t="shared" ca="1" si="51"/>
        <v>1</v>
      </c>
      <c r="DK49" s="220">
        <f t="shared" ca="1" si="619"/>
        <v>0</v>
      </c>
      <c r="DL49" s="220">
        <f t="shared" ca="1" si="620"/>
        <v>0</v>
      </c>
      <c r="DM49" s="235">
        <f t="shared" ca="1" si="104"/>
        <v>0</v>
      </c>
      <c r="DN49" s="235">
        <f t="shared" ca="1" si="105"/>
        <v>0</v>
      </c>
      <c r="DO49" s="242">
        <f t="shared" ca="1" si="106"/>
        <v>0</v>
      </c>
      <c r="DP49" s="241">
        <f t="shared" ca="1" si="569"/>
        <v>1</v>
      </c>
      <c r="DQ49" s="220">
        <f t="shared" ca="1" si="621"/>
        <v>0</v>
      </c>
      <c r="DR49" s="220">
        <f t="shared" ca="1" si="622"/>
        <v>0</v>
      </c>
      <c r="DS49" s="235">
        <f t="shared" ca="1" si="110"/>
        <v>0</v>
      </c>
      <c r="DT49" s="235">
        <f t="shared" ca="1" si="111"/>
        <v>0</v>
      </c>
      <c r="DU49" s="242">
        <f t="shared" ca="1" si="112"/>
        <v>0</v>
      </c>
      <c r="DV49" s="241">
        <f t="shared" ca="1" si="569"/>
        <v>1</v>
      </c>
      <c r="DW49" s="220">
        <f t="shared" ca="1" si="623"/>
        <v>0</v>
      </c>
      <c r="DX49" s="220">
        <f t="shared" ca="1" si="624"/>
        <v>0</v>
      </c>
      <c r="DY49" s="235">
        <f t="shared" ca="1" si="115"/>
        <v>0</v>
      </c>
      <c r="DZ49" s="235">
        <f t="shared" ca="1" si="116"/>
        <v>0</v>
      </c>
      <c r="EA49" s="242">
        <f t="shared" ca="1" si="117"/>
        <v>0</v>
      </c>
      <c r="EB49" s="241">
        <f t="shared" ca="1" si="569"/>
        <v>1</v>
      </c>
      <c r="EC49" s="220">
        <f t="shared" ca="1" si="625"/>
        <v>0</v>
      </c>
      <c r="ED49" s="220">
        <f t="shared" ca="1" si="626"/>
        <v>0</v>
      </c>
      <c r="EE49" s="235">
        <f t="shared" ca="1" si="120"/>
        <v>0</v>
      </c>
      <c r="EF49" s="235">
        <f t="shared" ca="1" si="121"/>
        <v>0</v>
      </c>
      <c r="EG49" s="242">
        <f t="shared" ca="1" si="122"/>
        <v>0</v>
      </c>
      <c r="EH49" s="241">
        <f t="shared" ca="1" si="569"/>
        <v>1</v>
      </c>
      <c r="EI49" s="220">
        <f t="shared" ca="1" si="627"/>
        <v>0</v>
      </c>
      <c r="EJ49" s="220">
        <f t="shared" ca="1" si="628"/>
        <v>0</v>
      </c>
      <c r="EK49" s="235">
        <f t="shared" ca="1" si="125"/>
        <v>0</v>
      </c>
      <c r="EL49" s="235">
        <f t="shared" ca="1" si="126"/>
        <v>0</v>
      </c>
      <c r="EM49" s="242">
        <f t="shared" ca="1" si="127"/>
        <v>0</v>
      </c>
      <c r="EN49" s="241">
        <f t="shared" ca="1" si="569"/>
        <v>1</v>
      </c>
      <c r="EO49" s="220">
        <f t="shared" ca="1" si="629"/>
        <v>0</v>
      </c>
      <c r="EP49" s="220">
        <f t="shared" ca="1" si="630"/>
        <v>0</v>
      </c>
      <c r="EQ49" s="235">
        <f t="shared" ca="1" si="130"/>
        <v>0</v>
      </c>
      <c r="ER49" s="235">
        <f t="shared" ca="1" si="131"/>
        <v>0</v>
      </c>
      <c r="ES49" s="242">
        <f t="shared" ca="1" si="132"/>
        <v>0</v>
      </c>
      <c r="ET49" s="241">
        <f t="shared" ca="1" si="569"/>
        <v>1</v>
      </c>
      <c r="EU49" s="220">
        <f t="shared" ca="1" si="631"/>
        <v>0</v>
      </c>
      <c r="EV49" s="220">
        <f t="shared" ca="1" si="632"/>
        <v>0</v>
      </c>
      <c r="EW49" s="235">
        <f t="shared" ca="1" si="135"/>
        <v>0</v>
      </c>
      <c r="EX49" s="235">
        <f t="shared" ca="1" si="136"/>
        <v>0</v>
      </c>
      <c r="EY49" s="242">
        <f t="shared" ca="1" si="137"/>
        <v>0</v>
      </c>
      <c r="EZ49" s="241">
        <f t="shared" ca="1" si="569"/>
        <v>1</v>
      </c>
      <c r="FA49" s="220">
        <f t="shared" ca="1" si="633"/>
        <v>0</v>
      </c>
      <c r="FB49" s="220">
        <f t="shared" ca="1" si="634"/>
        <v>0</v>
      </c>
      <c r="FC49" s="235">
        <f t="shared" ca="1" si="140"/>
        <v>0</v>
      </c>
      <c r="FD49" s="235">
        <f t="shared" ca="1" si="141"/>
        <v>0</v>
      </c>
      <c r="FE49" s="242">
        <f t="shared" ca="1" si="142"/>
        <v>0</v>
      </c>
      <c r="FF49" s="241">
        <f t="shared" ca="1" si="569"/>
        <v>1</v>
      </c>
      <c r="FG49" s="220">
        <f t="shared" ca="1" si="635"/>
        <v>0</v>
      </c>
      <c r="FH49" s="220">
        <f t="shared" ca="1" si="636"/>
        <v>0</v>
      </c>
      <c r="FI49" s="235">
        <f t="shared" ca="1" si="145"/>
        <v>0</v>
      </c>
      <c r="FJ49" s="235">
        <f t="shared" ca="1" si="146"/>
        <v>0</v>
      </c>
      <c r="FK49" s="242">
        <f t="shared" ca="1" si="147"/>
        <v>0</v>
      </c>
      <c r="FL49" s="241">
        <f t="shared" ca="1" si="569"/>
        <v>1</v>
      </c>
      <c r="FM49" s="220">
        <f t="shared" ca="1" si="637"/>
        <v>0</v>
      </c>
      <c r="FN49" s="220">
        <f t="shared" ca="1" si="638"/>
        <v>0</v>
      </c>
      <c r="FO49" s="235">
        <f t="shared" ca="1" si="150"/>
        <v>0</v>
      </c>
      <c r="FP49" s="235">
        <f t="shared" ca="1" si="151"/>
        <v>0</v>
      </c>
      <c r="FQ49" s="242">
        <f t="shared" ca="1" si="152"/>
        <v>0</v>
      </c>
      <c r="FR49" s="241">
        <f t="shared" ca="1" si="569"/>
        <v>1</v>
      </c>
      <c r="FS49" s="220">
        <f t="shared" ca="1" si="639"/>
        <v>0</v>
      </c>
      <c r="FT49" s="220">
        <f t="shared" ca="1" si="640"/>
        <v>0</v>
      </c>
      <c r="FU49" s="235">
        <f t="shared" ca="1" si="155"/>
        <v>0</v>
      </c>
      <c r="FV49" s="235">
        <f t="shared" ca="1" si="156"/>
        <v>0</v>
      </c>
      <c r="FW49" s="242">
        <f t="shared" ca="1" si="157"/>
        <v>0</v>
      </c>
      <c r="FX49" s="241">
        <f t="shared" ca="1" si="569"/>
        <v>1</v>
      </c>
      <c r="FY49" s="220">
        <f t="shared" ca="1" si="641"/>
        <v>0</v>
      </c>
      <c r="FZ49" s="220">
        <f t="shared" ca="1" si="642"/>
        <v>0</v>
      </c>
      <c r="GA49" s="235">
        <f t="shared" ca="1" si="160"/>
        <v>0</v>
      </c>
      <c r="GB49" s="235">
        <f t="shared" ca="1" si="161"/>
        <v>0</v>
      </c>
      <c r="GC49" s="242">
        <f t="shared" ca="1" si="162"/>
        <v>0</v>
      </c>
      <c r="GD49" s="241">
        <f t="shared" ca="1" si="562"/>
        <v>1</v>
      </c>
      <c r="GE49" s="220">
        <f t="shared" ca="1" si="643"/>
        <v>0</v>
      </c>
      <c r="GF49" s="220">
        <f t="shared" ca="1" si="644"/>
        <v>0</v>
      </c>
      <c r="GG49" s="235">
        <f t="shared" ca="1" si="166"/>
        <v>0</v>
      </c>
      <c r="GH49" s="235">
        <f t="shared" ca="1" si="167"/>
        <v>0</v>
      </c>
      <c r="GI49" s="242">
        <f t="shared" ca="1" si="168"/>
        <v>0</v>
      </c>
      <c r="GJ49" s="241">
        <f t="shared" ca="1" si="562"/>
        <v>1</v>
      </c>
      <c r="GK49" s="220">
        <f t="shared" ca="1" si="645"/>
        <v>0</v>
      </c>
      <c r="GL49" s="220">
        <f t="shared" ca="1" si="646"/>
        <v>0</v>
      </c>
      <c r="GM49" s="235">
        <f t="shared" ca="1" si="171"/>
        <v>0</v>
      </c>
      <c r="GN49" s="235">
        <f t="shared" ca="1" si="172"/>
        <v>0</v>
      </c>
      <c r="GO49" s="242">
        <f t="shared" ca="1" si="173"/>
        <v>0</v>
      </c>
      <c r="GP49" s="241">
        <f t="shared" ca="1" si="570"/>
        <v>1</v>
      </c>
      <c r="GQ49" s="220">
        <f t="shared" ca="1" si="647"/>
        <v>0</v>
      </c>
      <c r="GR49" s="220">
        <f t="shared" ca="1" si="648"/>
        <v>0</v>
      </c>
      <c r="GS49" s="235">
        <f t="shared" ca="1" si="176"/>
        <v>0</v>
      </c>
      <c r="GT49" s="235">
        <f t="shared" ca="1" si="177"/>
        <v>0</v>
      </c>
      <c r="GU49" s="242">
        <f t="shared" ca="1" si="178"/>
        <v>0</v>
      </c>
      <c r="GV49" s="241">
        <f t="shared" ca="1" si="570"/>
        <v>1</v>
      </c>
      <c r="GW49" s="220">
        <f t="shared" ca="1" si="649"/>
        <v>0</v>
      </c>
      <c r="GX49" s="220">
        <f t="shared" ca="1" si="650"/>
        <v>0</v>
      </c>
      <c r="GY49" s="235">
        <f t="shared" ca="1" si="181"/>
        <v>0</v>
      </c>
      <c r="GZ49" s="235">
        <f t="shared" ca="1" si="182"/>
        <v>0</v>
      </c>
      <c r="HA49" s="242">
        <f t="shared" ca="1" si="183"/>
        <v>0</v>
      </c>
      <c r="HB49" s="241">
        <f t="shared" ca="1" si="570"/>
        <v>1</v>
      </c>
      <c r="HC49" s="220">
        <f t="shared" ca="1" si="651"/>
        <v>0</v>
      </c>
      <c r="HD49" s="220">
        <f t="shared" ca="1" si="652"/>
        <v>0</v>
      </c>
      <c r="HE49" s="235">
        <f t="shared" ca="1" si="186"/>
        <v>0</v>
      </c>
      <c r="HF49" s="235">
        <f t="shared" ca="1" si="187"/>
        <v>0</v>
      </c>
      <c r="HG49" s="242">
        <f t="shared" ca="1" si="188"/>
        <v>0</v>
      </c>
      <c r="HH49" s="241">
        <f t="shared" ca="1" si="570"/>
        <v>1</v>
      </c>
      <c r="HI49" s="220">
        <f t="shared" ca="1" si="653"/>
        <v>0</v>
      </c>
      <c r="HJ49" s="220">
        <f t="shared" ca="1" si="654"/>
        <v>0</v>
      </c>
      <c r="HK49" s="235">
        <f t="shared" ca="1" si="191"/>
        <v>0</v>
      </c>
      <c r="HL49" s="235">
        <f t="shared" ca="1" si="192"/>
        <v>0</v>
      </c>
      <c r="HM49" s="242">
        <f t="shared" ca="1" si="193"/>
        <v>0</v>
      </c>
      <c r="HN49" s="241">
        <f t="shared" ca="1" si="570"/>
        <v>1</v>
      </c>
      <c r="HO49" s="220">
        <f t="shared" ca="1" si="655"/>
        <v>0</v>
      </c>
      <c r="HP49" s="220">
        <f t="shared" ca="1" si="656"/>
        <v>0</v>
      </c>
      <c r="HQ49" s="235">
        <f t="shared" ca="1" si="196"/>
        <v>0</v>
      </c>
      <c r="HR49" s="235">
        <f t="shared" ca="1" si="197"/>
        <v>0</v>
      </c>
      <c r="HS49" s="242">
        <f t="shared" ca="1" si="198"/>
        <v>0</v>
      </c>
      <c r="HT49" s="241">
        <f t="shared" ca="1" si="570"/>
        <v>1</v>
      </c>
      <c r="HU49" s="220">
        <f t="shared" ca="1" si="657"/>
        <v>0</v>
      </c>
      <c r="HV49" s="220">
        <f t="shared" ca="1" si="658"/>
        <v>0</v>
      </c>
      <c r="HW49" s="235">
        <f t="shared" ca="1" si="201"/>
        <v>0</v>
      </c>
      <c r="HX49" s="235">
        <f t="shared" ca="1" si="202"/>
        <v>0</v>
      </c>
      <c r="HY49" s="242">
        <f t="shared" ca="1" si="203"/>
        <v>0</v>
      </c>
      <c r="HZ49" s="241">
        <f t="shared" ca="1" si="570"/>
        <v>1</v>
      </c>
      <c r="IA49" s="220">
        <f t="shared" ca="1" si="659"/>
        <v>0</v>
      </c>
      <c r="IB49" s="220">
        <f t="shared" ca="1" si="660"/>
        <v>0</v>
      </c>
      <c r="IC49" s="235">
        <f t="shared" ca="1" si="206"/>
        <v>0</v>
      </c>
      <c r="ID49" s="235">
        <f t="shared" ca="1" si="207"/>
        <v>0</v>
      </c>
      <c r="IE49" s="242">
        <f t="shared" ca="1" si="208"/>
        <v>0</v>
      </c>
      <c r="IF49" s="241">
        <f t="shared" ca="1" si="570"/>
        <v>1</v>
      </c>
      <c r="IG49" s="220">
        <f t="shared" ca="1" si="661"/>
        <v>0</v>
      </c>
      <c r="IH49" s="220">
        <f t="shared" ca="1" si="662"/>
        <v>0</v>
      </c>
      <c r="II49" s="235">
        <f t="shared" ca="1" si="211"/>
        <v>0</v>
      </c>
      <c r="IJ49" s="235">
        <f t="shared" ca="1" si="212"/>
        <v>0</v>
      </c>
      <c r="IK49" s="242">
        <f t="shared" ca="1" si="213"/>
        <v>0</v>
      </c>
      <c r="IL49" s="241">
        <f t="shared" ca="1" si="570"/>
        <v>1</v>
      </c>
      <c r="IM49" s="220">
        <f t="shared" ca="1" si="663"/>
        <v>0</v>
      </c>
      <c r="IN49" s="220">
        <f t="shared" ca="1" si="664"/>
        <v>0</v>
      </c>
      <c r="IO49" s="235">
        <f t="shared" ca="1" si="216"/>
        <v>0</v>
      </c>
      <c r="IP49" s="235">
        <f t="shared" ca="1" si="217"/>
        <v>0</v>
      </c>
      <c r="IQ49" s="242">
        <f t="shared" ca="1" si="218"/>
        <v>0</v>
      </c>
      <c r="IR49" s="241">
        <f t="shared" ca="1" si="570"/>
        <v>1</v>
      </c>
      <c r="IS49" s="220">
        <f t="shared" ca="1" si="665"/>
        <v>0</v>
      </c>
      <c r="IT49" s="220">
        <f t="shared" ca="1" si="666"/>
        <v>0</v>
      </c>
      <c r="IU49" s="235">
        <f t="shared" ca="1" si="222"/>
        <v>0</v>
      </c>
      <c r="IV49" s="235">
        <f t="shared" ca="1" si="223"/>
        <v>0</v>
      </c>
      <c r="IW49" s="242">
        <f t="shared" ca="1" si="224"/>
        <v>0</v>
      </c>
      <c r="IX49" s="241">
        <f t="shared" ca="1" si="570"/>
        <v>1</v>
      </c>
      <c r="IY49" s="220">
        <f t="shared" ca="1" si="667"/>
        <v>0</v>
      </c>
      <c r="IZ49" s="220">
        <f t="shared" ca="1" si="668"/>
        <v>0</v>
      </c>
      <c r="JA49" s="235">
        <f t="shared" ca="1" si="227"/>
        <v>0</v>
      </c>
      <c r="JB49" s="235">
        <f t="shared" ca="1" si="228"/>
        <v>0</v>
      </c>
      <c r="JC49" s="242">
        <f t="shared" ca="1" si="229"/>
        <v>0</v>
      </c>
      <c r="JD49" s="241">
        <f t="shared" ca="1" si="563"/>
        <v>1</v>
      </c>
      <c r="JE49" s="220">
        <f t="shared" ca="1" si="669"/>
        <v>0</v>
      </c>
      <c r="JF49" s="220">
        <f t="shared" ca="1" si="670"/>
        <v>0</v>
      </c>
      <c r="JG49" s="235">
        <f t="shared" ca="1" si="232"/>
        <v>0</v>
      </c>
      <c r="JH49" s="235">
        <f t="shared" ca="1" si="233"/>
        <v>0</v>
      </c>
      <c r="JI49" s="242">
        <f t="shared" ca="1" si="234"/>
        <v>0</v>
      </c>
      <c r="JJ49" s="241">
        <f t="shared" ca="1" si="563"/>
        <v>1</v>
      </c>
      <c r="JK49" s="220">
        <f t="shared" ca="1" si="671"/>
        <v>0</v>
      </c>
      <c r="JL49" s="220">
        <f t="shared" ca="1" si="672"/>
        <v>0</v>
      </c>
      <c r="JM49" s="235">
        <f t="shared" ca="1" si="237"/>
        <v>0</v>
      </c>
      <c r="JN49" s="235">
        <f t="shared" ca="1" si="238"/>
        <v>0</v>
      </c>
      <c r="JO49" s="242">
        <f t="shared" ca="1" si="239"/>
        <v>0</v>
      </c>
      <c r="JP49" s="241">
        <f t="shared" ca="1" si="571"/>
        <v>1</v>
      </c>
      <c r="JQ49" s="220">
        <f t="shared" ca="1" si="673"/>
        <v>0</v>
      </c>
      <c r="JR49" s="220">
        <f t="shared" ca="1" si="674"/>
        <v>0</v>
      </c>
      <c r="JS49" s="235">
        <f t="shared" ca="1" si="242"/>
        <v>0</v>
      </c>
      <c r="JT49" s="235">
        <f t="shared" ca="1" si="243"/>
        <v>0</v>
      </c>
      <c r="JU49" s="242">
        <f t="shared" ca="1" si="244"/>
        <v>0</v>
      </c>
      <c r="JV49" s="241">
        <f t="shared" ca="1" si="571"/>
        <v>1</v>
      </c>
      <c r="JW49" s="220">
        <f t="shared" ca="1" si="675"/>
        <v>0</v>
      </c>
      <c r="JX49" s="220">
        <f t="shared" ca="1" si="676"/>
        <v>0</v>
      </c>
      <c r="JY49" s="235">
        <f t="shared" ca="1" si="247"/>
        <v>0</v>
      </c>
      <c r="JZ49" s="235">
        <f t="shared" ca="1" si="248"/>
        <v>0</v>
      </c>
      <c r="KA49" s="242">
        <f t="shared" ca="1" si="249"/>
        <v>0</v>
      </c>
      <c r="KB49" s="241">
        <f t="shared" ca="1" si="571"/>
        <v>1</v>
      </c>
      <c r="KC49" s="220">
        <f t="shared" ca="1" si="677"/>
        <v>0</v>
      </c>
      <c r="KD49" s="220">
        <f t="shared" ca="1" si="678"/>
        <v>0</v>
      </c>
      <c r="KE49" s="235">
        <f t="shared" ca="1" si="252"/>
        <v>0</v>
      </c>
      <c r="KF49" s="235">
        <f t="shared" ca="1" si="253"/>
        <v>0</v>
      </c>
      <c r="KG49" s="242">
        <f t="shared" ca="1" si="254"/>
        <v>0</v>
      </c>
      <c r="KH49" s="241">
        <f t="shared" ca="1" si="571"/>
        <v>1</v>
      </c>
      <c r="KI49" s="220">
        <f t="shared" ca="1" si="679"/>
        <v>0</v>
      </c>
      <c r="KJ49" s="220">
        <f t="shared" ca="1" si="680"/>
        <v>0</v>
      </c>
      <c r="KK49" s="235">
        <f t="shared" ca="1" si="257"/>
        <v>0</v>
      </c>
      <c r="KL49" s="235">
        <f t="shared" ca="1" si="258"/>
        <v>0</v>
      </c>
      <c r="KM49" s="242">
        <f t="shared" ca="1" si="259"/>
        <v>0</v>
      </c>
      <c r="KN49" s="241">
        <f t="shared" ca="1" si="571"/>
        <v>1</v>
      </c>
      <c r="KO49" s="220">
        <f t="shared" ca="1" si="681"/>
        <v>0</v>
      </c>
      <c r="KP49" s="220">
        <f t="shared" ca="1" si="682"/>
        <v>0</v>
      </c>
      <c r="KQ49" s="235">
        <f t="shared" ca="1" si="262"/>
        <v>0</v>
      </c>
      <c r="KR49" s="235">
        <f t="shared" ca="1" si="263"/>
        <v>0</v>
      </c>
      <c r="KS49" s="242">
        <f t="shared" ca="1" si="264"/>
        <v>0</v>
      </c>
      <c r="KT49" s="241">
        <f t="shared" ca="1" si="571"/>
        <v>1</v>
      </c>
      <c r="KU49" s="220">
        <f t="shared" ca="1" si="683"/>
        <v>0</v>
      </c>
      <c r="KV49" s="220">
        <f t="shared" ca="1" si="684"/>
        <v>0</v>
      </c>
      <c r="KW49" s="235">
        <f t="shared" ca="1" si="267"/>
        <v>0</v>
      </c>
      <c r="KX49" s="235">
        <f t="shared" ca="1" si="268"/>
        <v>0</v>
      </c>
      <c r="KY49" s="242">
        <f t="shared" ca="1" si="269"/>
        <v>0</v>
      </c>
      <c r="KZ49" s="241">
        <f t="shared" ca="1" si="571"/>
        <v>1</v>
      </c>
      <c r="LA49" s="220">
        <f t="shared" ca="1" si="685"/>
        <v>0</v>
      </c>
      <c r="LB49" s="220">
        <f t="shared" ca="1" si="686"/>
        <v>0</v>
      </c>
      <c r="LC49" s="235">
        <f t="shared" ca="1" si="272"/>
        <v>0</v>
      </c>
      <c r="LD49" s="235">
        <f t="shared" ca="1" si="273"/>
        <v>0</v>
      </c>
      <c r="LE49" s="242">
        <f t="shared" ca="1" si="274"/>
        <v>0</v>
      </c>
      <c r="LF49" s="241">
        <f t="shared" ca="1" si="571"/>
        <v>1</v>
      </c>
      <c r="LG49" s="220">
        <f t="shared" ca="1" si="687"/>
        <v>0</v>
      </c>
      <c r="LH49" s="220">
        <f t="shared" ca="1" si="688"/>
        <v>0</v>
      </c>
      <c r="LI49" s="235">
        <f t="shared" ca="1" si="278"/>
        <v>0</v>
      </c>
      <c r="LJ49" s="235">
        <f t="shared" ca="1" si="279"/>
        <v>0</v>
      </c>
      <c r="LK49" s="242">
        <f t="shared" ca="1" si="280"/>
        <v>0</v>
      </c>
      <c r="LL49" s="241">
        <f t="shared" ca="1" si="571"/>
        <v>1</v>
      </c>
      <c r="LM49" s="220">
        <f t="shared" ca="1" si="689"/>
        <v>0</v>
      </c>
      <c r="LN49" s="220">
        <f t="shared" ca="1" si="690"/>
        <v>0</v>
      </c>
      <c r="LO49" s="235">
        <f t="shared" ca="1" si="283"/>
        <v>0</v>
      </c>
      <c r="LP49" s="235">
        <f t="shared" ca="1" si="284"/>
        <v>0</v>
      </c>
      <c r="LQ49" s="242">
        <f t="shared" ca="1" si="285"/>
        <v>0</v>
      </c>
      <c r="LR49" s="241">
        <f t="shared" ca="1" si="571"/>
        <v>1</v>
      </c>
      <c r="LS49" s="220">
        <f t="shared" ca="1" si="691"/>
        <v>0</v>
      </c>
      <c r="LT49" s="220">
        <f t="shared" ca="1" si="692"/>
        <v>0</v>
      </c>
      <c r="LU49" s="235">
        <f t="shared" ca="1" si="288"/>
        <v>0</v>
      </c>
      <c r="LV49" s="235">
        <f t="shared" ca="1" si="289"/>
        <v>0</v>
      </c>
      <c r="LW49" s="242">
        <f t="shared" ca="1" si="290"/>
        <v>0</v>
      </c>
      <c r="LX49" s="241">
        <f t="shared" ca="1" si="571"/>
        <v>1</v>
      </c>
      <c r="LY49" s="220">
        <f t="shared" ca="1" si="693"/>
        <v>0</v>
      </c>
      <c r="LZ49" s="220">
        <f t="shared" ca="1" si="694"/>
        <v>0</v>
      </c>
      <c r="MA49" s="235">
        <f t="shared" ca="1" si="293"/>
        <v>0</v>
      </c>
      <c r="MB49" s="235">
        <f t="shared" ca="1" si="294"/>
        <v>0</v>
      </c>
      <c r="MC49" s="242">
        <f t="shared" ca="1" si="295"/>
        <v>0</v>
      </c>
      <c r="MD49" s="241">
        <f t="shared" ca="1" si="564"/>
        <v>1</v>
      </c>
      <c r="ME49" s="220">
        <f t="shared" ca="1" si="695"/>
        <v>0</v>
      </c>
      <c r="MF49" s="220">
        <f t="shared" ca="1" si="696"/>
        <v>0</v>
      </c>
      <c r="MG49" s="235">
        <f t="shared" ca="1" si="298"/>
        <v>0</v>
      </c>
      <c r="MH49" s="235">
        <f t="shared" ca="1" si="299"/>
        <v>0</v>
      </c>
      <c r="MI49" s="242">
        <f t="shared" ca="1" si="300"/>
        <v>0</v>
      </c>
      <c r="MJ49" s="241">
        <f t="shared" ca="1" si="564"/>
        <v>1</v>
      </c>
      <c r="MK49" s="220">
        <f t="shared" ca="1" si="697"/>
        <v>0</v>
      </c>
      <c r="ML49" s="220">
        <f t="shared" ca="1" si="698"/>
        <v>0</v>
      </c>
      <c r="MM49" s="235">
        <f t="shared" ca="1" si="303"/>
        <v>0</v>
      </c>
      <c r="MN49" s="235">
        <f t="shared" ca="1" si="304"/>
        <v>0</v>
      </c>
      <c r="MO49" s="242">
        <f t="shared" ca="1" si="305"/>
        <v>0</v>
      </c>
      <c r="MP49" s="241">
        <f t="shared" ca="1" si="572"/>
        <v>1</v>
      </c>
      <c r="MQ49" s="220">
        <f t="shared" ca="1" si="699"/>
        <v>0</v>
      </c>
      <c r="MR49" s="220">
        <f t="shared" ca="1" si="700"/>
        <v>0</v>
      </c>
      <c r="MS49" s="235">
        <f t="shared" ca="1" si="308"/>
        <v>0</v>
      </c>
      <c r="MT49" s="235">
        <f t="shared" ca="1" si="309"/>
        <v>0</v>
      </c>
      <c r="MU49" s="242">
        <f t="shared" ca="1" si="310"/>
        <v>0</v>
      </c>
      <c r="MV49" s="241">
        <f t="shared" ca="1" si="572"/>
        <v>1</v>
      </c>
      <c r="MW49" s="220">
        <f t="shared" ca="1" si="701"/>
        <v>0</v>
      </c>
      <c r="MX49" s="220">
        <f t="shared" ca="1" si="702"/>
        <v>0</v>
      </c>
      <c r="MY49" s="235">
        <f t="shared" ca="1" si="313"/>
        <v>0</v>
      </c>
      <c r="MZ49" s="235">
        <f t="shared" ca="1" si="314"/>
        <v>0</v>
      </c>
      <c r="NA49" s="242">
        <f t="shared" ca="1" si="315"/>
        <v>0</v>
      </c>
      <c r="NB49" s="241">
        <f t="shared" ca="1" si="572"/>
        <v>1</v>
      </c>
      <c r="NC49" s="220">
        <f t="shared" ca="1" si="703"/>
        <v>0</v>
      </c>
      <c r="ND49" s="220">
        <f t="shared" ca="1" si="704"/>
        <v>0</v>
      </c>
      <c r="NE49" s="235">
        <f t="shared" ca="1" si="318"/>
        <v>0</v>
      </c>
      <c r="NF49" s="235">
        <f t="shared" ca="1" si="319"/>
        <v>0</v>
      </c>
      <c r="NG49" s="242">
        <f t="shared" ca="1" si="320"/>
        <v>0</v>
      </c>
      <c r="NH49" s="241">
        <f t="shared" ca="1" si="572"/>
        <v>1</v>
      </c>
      <c r="NI49" s="220">
        <f t="shared" ca="1" si="705"/>
        <v>0</v>
      </c>
      <c r="NJ49" s="220">
        <f t="shared" ca="1" si="706"/>
        <v>0</v>
      </c>
      <c r="NK49" s="235">
        <f t="shared" ca="1" si="323"/>
        <v>0</v>
      </c>
      <c r="NL49" s="235">
        <f t="shared" ca="1" si="324"/>
        <v>0</v>
      </c>
      <c r="NM49" s="242">
        <f t="shared" ca="1" si="325"/>
        <v>0</v>
      </c>
      <c r="NN49" s="241">
        <f t="shared" ca="1" si="572"/>
        <v>1</v>
      </c>
      <c r="NO49" s="220">
        <f t="shared" ca="1" si="707"/>
        <v>0</v>
      </c>
      <c r="NP49" s="220">
        <f t="shared" ca="1" si="708"/>
        <v>0</v>
      </c>
      <c r="NQ49" s="235">
        <f t="shared" ca="1" si="328"/>
        <v>0</v>
      </c>
      <c r="NR49" s="235">
        <f t="shared" ca="1" si="329"/>
        <v>0</v>
      </c>
      <c r="NS49" s="242">
        <f t="shared" ca="1" si="330"/>
        <v>0</v>
      </c>
      <c r="NT49" s="241">
        <f t="shared" ca="1" si="572"/>
        <v>1</v>
      </c>
      <c r="NU49" s="220">
        <f t="shared" ca="1" si="709"/>
        <v>0</v>
      </c>
      <c r="NV49" s="220">
        <f t="shared" ca="1" si="710"/>
        <v>0</v>
      </c>
      <c r="NW49" s="235">
        <f t="shared" ca="1" si="334"/>
        <v>0</v>
      </c>
      <c r="NX49" s="235">
        <f t="shared" ca="1" si="335"/>
        <v>0</v>
      </c>
      <c r="NY49" s="242">
        <f t="shared" ca="1" si="336"/>
        <v>0</v>
      </c>
      <c r="NZ49" s="241">
        <f t="shared" ca="1" si="572"/>
        <v>1</v>
      </c>
      <c r="OA49" s="220">
        <f t="shared" ca="1" si="711"/>
        <v>0</v>
      </c>
      <c r="OB49" s="220">
        <f t="shared" ca="1" si="712"/>
        <v>0</v>
      </c>
      <c r="OC49" s="235">
        <f t="shared" ca="1" si="339"/>
        <v>0</v>
      </c>
      <c r="OD49" s="235">
        <f t="shared" ca="1" si="340"/>
        <v>0</v>
      </c>
      <c r="OE49" s="242">
        <f t="shared" ca="1" si="341"/>
        <v>0</v>
      </c>
      <c r="OF49" s="241">
        <f t="shared" ca="1" si="572"/>
        <v>1</v>
      </c>
      <c r="OG49" s="220">
        <f t="shared" ca="1" si="713"/>
        <v>0</v>
      </c>
      <c r="OH49" s="220">
        <f t="shared" ca="1" si="714"/>
        <v>0</v>
      </c>
      <c r="OI49" s="235">
        <f t="shared" ca="1" si="344"/>
        <v>0</v>
      </c>
      <c r="OJ49" s="235">
        <f t="shared" ca="1" si="345"/>
        <v>0</v>
      </c>
      <c r="OK49" s="242">
        <f t="shared" ca="1" si="346"/>
        <v>0</v>
      </c>
      <c r="OL49" s="241">
        <f t="shared" ca="1" si="572"/>
        <v>1</v>
      </c>
      <c r="OM49" s="220">
        <f t="shared" ca="1" si="715"/>
        <v>0</v>
      </c>
      <c r="ON49" s="220">
        <f t="shared" ca="1" si="716"/>
        <v>0</v>
      </c>
      <c r="OO49" s="235">
        <f t="shared" ca="1" si="349"/>
        <v>0</v>
      </c>
      <c r="OP49" s="235">
        <f t="shared" ca="1" si="350"/>
        <v>0</v>
      </c>
      <c r="OQ49" s="242">
        <f t="shared" ca="1" si="351"/>
        <v>0</v>
      </c>
      <c r="OR49" s="241">
        <f t="shared" ca="1" si="572"/>
        <v>1</v>
      </c>
      <c r="OS49" s="220">
        <f t="shared" ca="1" si="717"/>
        <v>0</v>
      </c>
      <c r="OT49" s="220">
        <f t="shared" ca="1" si="718"/>
        <v>0</v>
      </c>
      <c r="OU49" s="235">
        <f t="shared" ca="1" si="354"/>
        <v>0</v>
      </c>
      <c r="OV49" s="235">
        <f t="shared" ca="1" si="355"/>
        <v>0</v>
      </c>
      <c r="OW49" s="242">
        <f t="shared" ca="1" si="356"/>
        <v>0</v>
      </c>
      <c r="OX49" s="241">
        <f t="shared" ca="1" si="572"/>
        <v>1</v>
      </c>
      <c r="OY49" s="220">
        <f t="shared" ca="1" si="719"/>
        <v>0</v>
      </c>
      <c r="OZ49" s="220">
        <f t="shared" ca="1" si="720"/>
        <v>0</v>
      </c>
      <c r="PA49" s="235">
        <f t="shared" ca="1" si="359"/>
        <v>0</v>
      </c>
      <c r="PB49" s="235">
        <f t="shared" ca="1" si="360"/>
        <v>0</v>
      </c>
      <c r="PC49" s="242">
        <f t="shared" ca="1" si="361"/>
        <v>0</v>
      </c>
      <c r="PD49" s="241">
        <f t="shared" ca="1" si="565"/>
        <v>1</v>
      </c>
      <c r="PE49" s="220">
        <f t="shared" ca="1" si="721"/>
        <v>0</v>
      </c>
      <c r="PF49" s="220">
        <f t="shared" ca="1" si="722"/>
        <v>0</v>
      </c>
      <c r="PG49" s="235">
        <f t="shared" ca="1" si="364"/>
        <v>0</v>
      </c>
      <c r="PH49" s="235">
        <f t="shared" ca="1" si="365"/>
        <v>0</v>
      </c>
      <c r="PI49" s="242">
        <f t="shared" ca="1" si="366"/>
        <v>0</v>
      </c>
      <c r="PJ49" s="241">
        <f t="shared" ca="1" si="565"/>
        <v>1</v>
      </c>
      <c r="PK49" s="220">
        <f t="shared" ca="1" si="723"/>
        <v>0</v>
      </c>
      <c r="PL49" s="220">
        <f t="shared" ca="1" si="724"/>
        <v>0</v>
      </c>
      <c r="PM49" s="235">
        <f t="shared" ca="1" si="369"/>
        <v>0</v>
      </c>
      <c r="PN49" s="235">
        <f t="shared" ca="1" si="370"/>
        <v>0</v>
      </c>
      <c r="PO49" s="242">
        <f t="shared" ca="1" si="371"/>
        <v>0</v>
      </c>
      <c r="PP49" s="241">
        <f t="shared" ca="1" si="573"/>
        <v>1</v>
      </c>
      <c r="PQ49" s="220">
        <f t="shared" ca="1" si="725"/>
        <v>0</v>
      </c>
      <c r="PR49" s="220">
        <f t="shared" ca="1" si="726"/>
        <v>0</v>
      </c>
      <c r="PS49" s="235">
        <f t="shared" ca="1" si="374"/>
        <v>0</v>
      </c>
      <c r="PT49" s="235">
        <f t="shared" ca="1" si="375"/>
        <v>0</v>
      </c>
      <c r="PU49" s="242">
        <f t="shared" ca="1" si="376"/>
        <v>0</v>
      </c>
      <c r="PV49" s="241">
        <f t="shared" ca="1" si="573"/>
        <v>1</v>
      </c>
      <c r="PW49" s="220">
        <f t="shared" ca="1" si="727"/>
        <v>0</v>
      </c>
      <c r="PX49" s="220">
        <f t="shared" ca="1" si="728"/>
        <v>0</v>
      </c>
      <c r="PY49" s="235">
        <f t="shared" ca="1" si="379"/>
        <v>0</v>
      </c>
      <c r="PZ49" s="235">
        <f t="shared" ca="1" si="380"/>
        <v>0</v>
      </c>
      <c r="QA49" s="242">
        <f t="shared" ca="1" si="381"/>
        <v>0</v>
      </c>
      <c r="QB49" s="241">
        <f t="shared" ca="1" si="573"/>
        <v>1</v>
      </c>
      <c r="QC49" s="220">
        <f t="shared" ca="1" si="729"/>
        <v>0</v>
      </c>
      <c r="QD49" s="220">
        <f t="shared" ca="1" si="730"/>
        <v>0</v>
      </c>
      <c r="QE49" s="235">
        <f t="shared" ca="1" si="384"/>
        <v>0</v>
      </c>
      <c r="QF49" s="235">
        <f t="shared" ca="1" si="385"/>
        <v>0</v>
      </c>
      <c r="QG49" s="242">
        <f t="shared" ca="1" si="386"/>
        <v>0</v>
      </c>
      <c r="QH49" s="241">
        <f t="shared" ca="1" si="573"/>
        <v>1</v>
      </c>
      <c r="QI49" s="220">
        <f t="shared" ca="1" si="731"/>
        <v>0</v>
      </c>
      <c r="QJ49" s="220">
        <f t="shared" ca="1" si="732"/>
        <v>0</v>
      </c>
      <c r="QK49" s="235">
        <f t="shared" ca="1" si="390"/>
        <v>0</v>
      </c>
      <c r="QL49" s="235">
        <f t="shared" ca="1" si="391"/>
        <v>0</v>
      </c>
      <c r="QM49" s="242">
        <f t="shared" ca="1" si="392"/>
        <v>0</v>
      </c>
      <c r="QN49" s="241">
        <f t="shared" ca="1" si="573"/>
        <v>1</v>
      </c>
      <c r="QO49" s="220">
        <f t="shared" ca="1" si="733"/>
        <v>0</v>
      </c>
      <c r="QP49" s="220">
        <f t="shared" ca="1" si="734"/>
        <v>0</v>
      </c>
      <c r="QQ49" s="235">
        <f t="shared" ca="1" si="395"/>
        <v>0</v>
      </c>
      <c r="QR49" s="235">
        <f t="shared" ca="1" si="396"/>
        <v>0</v>
      </c>
      <c r="QS49" s="242">
        <f t="shared" ca="1" si="397"/>
        <v>0</v>
      </c>
      <c r="QT49" s="241">
        <f t="shared" ca="1" si="573"/>
        <v>1</v>
      </c>
      <c r="QU49" s="220">
        <f t="shared" ca="1" si="735"/>
        <v>0</v>
      </c>
      <c r="QV49" s="220">
        <f t="shared" ca="1" si="736"/>
        <v>0</v>
      </c>
      <c r="QW49" s="235">
        <f t="shared" ca="1" si="400"/>
        <v>0</v>
      </c>
      <c r="QX49" s="235">
        <f t="shared" ca="1" si="401"/>
        <v>0</v>
      </c>
      <c r="QY49" s="242">
        <f t="shared" ca="1" si="402"/>
        <v>0</v>
      </c>
      <c r="QZ49" s="241">
        <f t="shared" ca="1" si="573"/>
        <v>1</v>
      </c>
      <c r="RA49" s="220">
        <f t="shared" ca="1" si="737"/>
        <v>0</v>
      </c>
      <c r="RB49" s="220">
        <f t="shared" ca="1" si="738"/>
        <v>0</v>
      </c>
      <c r="RC49" s="235">
        <f t="shared" ca="1" si="405"/>
        <v>0</v>
      </c>
      <c r="RD49" s="235">
        <f t="shared" ca="1" si="406"/>
        <v>0</v>
      </c>
      <c r="RE49" s="242">
        <f t="shared" ca="1" si="407"/>
        <v>0</v>
      </c>
      <c r="RF49" s="241">
        <f t="shared" ca="1" si="573"/>
        <v>1</v>
      </c>
      <c r="RG49" s="220">
        <f t="shared" ca="1" si="739"/>
        <v>0</v>
      </c>
      <c r="RH49" s="220">
        <f t="shared" ca="1" si="740"/>
        <v>0</v>
      </c>
      <c r="RI49" s="235">
        <f t="shared" ca="1" si="410"/>
        <v>0</v>
      </c>
      <c r="RJ49" s="235">
        <f t="shared" ca="1" si="411"/>
        <v>0</v>
      </c>
      <c r="RK49" s="242">
        <f t="shared" ca="1" si="412"/>
        <v>0</v>
      </c>
      <c r="RL49" s="241">
        <f t="shared" ca="1" si="573"/>
        <v>1</v>
      </c>
      <c r="RM49" s="220">
        <f t="shared" ca="1" si="741"/>
        <v>0</v>
      </c>
      <c r="RN49" s="220">
        <f t="shared" ca="1" si="742"/>
        <v>0</v>
      </c>
      <c r="RO49" s="235">
        <f t="shared" ca="1" si="415"/>
        <v>0</v>
      </c>
      <c r="RP49" s="235">
        <f t="shared" ca="1" si="416"/>
        <v>0</v>
      </c>
      <c r="RQ49" s="242">
        <f t="shared" ca="1" si="417"/>
        <v>0</v>
      </c>
      <c r="RR49" s="241">
        <f t="shared" ca="1" si="573"/>
        <v>1</v>
      </c>
      <c r="RS49" s="220">
        <f t="shared" ca="1" si="743"/>
        <v>0</v>
      </c>
      <c r="RT49" s="220">
        <f t="shared" ca="1" si="744"/>
        <v>0</v>
      </c>
      <c r="RU49" s="235">
        <f t="shared" ca="1" si="420"/>
        <v>0</v>
      </c>
      <c r="RV49" s="235">
        <f t="shared" ca="1" si="421"/>
        <v>0</v>
      </c>
      <c r="RW49" s="242">
        <f t="shared" ca="1" si="422"/>
        <v>0</v>
      </c>
      <c r="RX49" s="241">
        <f t="shared" ca="1" si="573"/>
        <v>1</v>
      </c>
      <c r="RY49" s="220">
        <f t="shared" ca="1" si="745"/>
        <v>0</v>
      </c>
      <c r="RZ49" s="220">
        <f t="shared" ca="1" si="746"/>
        <v>0</v>
      </c>
      <c r="SA49" s="235">
        <f t="shared" ca="1" si="425"/>
        <v>0</v>
      </c>
      <c r="SB49" s="235">
        <f t="shared" ca="1" si="426"/>
        <v>0</v>
      </c>
      <c r="SC49" s="242">
        <f t="shared" ca="1" si="427"/>
        <v>0</v>
      </c>
      <c r="SD49" s="241">
        <f t="shared" ca="1" si="566"/>
        <v>1</v>
      </c>
      <c r="SE49" s="220">
        <f t="shared" ca="1" si="747"/>
        <v>0</v>
      </c>
      <c r="SF49" s="220">
        <f t="shared" ca="1" si="748"/>
        <v>0</v>
      </c>
      <c r="SG49" s="235">
        <f t="shared" ca="1" si="430"/>
        <v>0</v>
      </c>
      <c r="SH49" s="235">
        <f t="shared" ca="1" si="431"/>
        <v>0</v>
      </c>
      <c r="SI49" s="242">
        <f t="shared" ca="1" si="432"/>
        <v>0</v>
      </c>
      <c r="SJ49" s="241">
        <f t="shared" ca="1" si="566"/>
        <v>1</v>
      </c>
      <c r="SK49" s="220">
        <f t="shared" ca="1" si="749"/>
        <v>0</v>
      </c>
      <c r="SL49" s="220">
        <f t="shared" ca="1" si="750"/>
        <v>0</v>
      </c>
      <c r="SM49" s="235">
        <f t="shared" ca="1" si="435"/>
        <v>0</v>
      </c>
      <c r="SN49" s="235">
        <f t="shared" ca="1" si="436"/>
        <v>0</v>
      </c>
      <c r="SO49" s="242">
        <f t="shared" ca="1" si="437"/>
        <v>0</v>
      </c>
      <c r="SP49" s="241">
        <f t="shared" ca="1" si="576"/>
        <v>1</v>
      </c>
      <c r="SQ49" s="220">
        <f t="shared" ca="1" si="751"/>
        <v>0</v>
      </c>
      <c r="SR49" s="220">
        <f t="shared" ca="1" si="752"/>
        <v>0</v>
      </c>
      <c r="SS49" s="235">
        <f t="shared" ca="1" si="440"/>
        <v>0</v>
      </c>
      <c r="ST49" s="235">
        <f t="shared" ca="1" si="441"/>
        <v>0</v>
      </c>
      <c r="SU49" s="242">
        <f t="shared" ca="1" si="442"/>
        <v>0</v>
      </c>
      <c r="SV49" s="241">
        <f t="shared" ca="1" si="576"/>
        <v>1</v>
      </c>
      <c r="SW49" s="220">
        <f t="shared" ca="1" si="753"/>
        <v>0</v>
      </c>
      <c r="SX49" s="220">
        <f t="shared" ca="1" si="754"/>
        <v>0</v>
      </c>
      <c r="SY49" s="235">
        <f t="shared" ca="1" si="446"/>
        <v>0</v>
      </c>
      <c r="SZ49" s="235">
        <f t="shared" ca="1" si="447"/>
        <v>0</v>
      </c>
      <c r="TA49" s="242">
        <f t="shared" ca="1" si="448"/>
        <v>0</v>
      </c>
      <c r="TB49" s="241">
        <f t="shared" ca="1" si="576"/>
        <v>1</v>
      </c>
      <c r="TC49" s="220">
        <f t="shared" ca="1" si="755"/>
        <v>0</v>
      </c>
      <c r="TD49" s="220">
        <f t="shared" ca="1" si="756"/>
        <v>0</v>
      </c>
      <c r="TE49" s="235">
        <f t="shared" ca="1" si="451"/>
        <v>0</v>
      </c>
      <c r="TF49" s="235">
        <f t="shared" ca="1" si="452"/>
        <v>0</v>
      </c>
      <c r="TG49" s="242">
        <f t="shared" ca="1" si="453"/>
        <v>0</v>
      </c>
      <c r="TH49" s="241">
        <f t="shared" ca="1" si="576"/>
        <v>1</v>
      </c>
      <c r="TI49" s="220">
        <f t="shared" ca="1" si="757"/>
        <v>0</v>
      </c>
      <c r="TJ49" s="220">
        <f t="shared" ca="1" si="758"/>
        <v>0</v>
      </c>
      <c r="TK49" s="235">
        <f t="shared" ca="1" si="456"/>
        <v>0</v>
      </c>
      <c r="TL49" s="235">
        <f t="shared" ca="1" si="457"/>
        <v>0</v>
      </c>
      <c r="TM49" s="242">
        <f t="shared" ca="1" si="458"/>
        <v>0</v>
      </c>
      <c r="TN49" s="241">
        <f t="shared" ca="1" si="576"/>
        <v>1</v>
      </c>
      <c r="TO49" s="220">
        <f t="shared" ca="1" si="759"/>
        <v>0</v>
      </c>
      <c r="TP49" s="220">
        <f t="shared" ca="1" si="760"/>
        <v>0</v>
      </c>
      <c r="TQ49" s="235">
        <f t="shared" ca="1" si="461"/>
        <v>0</v>
      </c>
      <c r="TR49" s="235">
        <f t="shared" ca="1" si="462"/>
        <v>0</v>
      </c>
      <c r="TS49" s="242">
        <f t="shared" ca="1" si="463"/>
        <v>0</v>
      </c>
      <c r="TT49" s="241">
        <f t="shared" ca="1" si="576"/>
        <v>1</v>
      </c>
      <c r="TU49" s="220">
        <f t="shared" ca="1" si="761"/>
        <v>0</v>
      </c>
      <c r="TV49" s="220">
        <f t="shared" ca="1" si="762"/>
        <v>0</v>
      </c>
      <c r="TW49" s="235">
        <f t="shared" ca="1" si="466"/>
        <v>0</v>
      </c>
      <c r="TX49" s="235">
        <f t="shared" ca="1" si="467"/>
        <v>0</v>
      </c>
      <c r="TY49" s="242">
        <f t="shared" ca="1" si="468"/>
        <v>0</v>
      </c>
      <c r="TZ49" s="241">
        <f t="shared" ca="1" si="576"/>
        <v>1</v>
      </c>
      <c r="UA49" s="220">
        <f t="shared" ca="1" si="763"/>
        <v>0</v>
      </c>
      <c r="UB49" s="220">
        <f t="shared" ca="1" si="764"/>
        <v>0</v>
      </c>
      <c r="UC49" s="235">
        <f t="shared" ca="1" si="471"/>
        <v>0</v>
      </c>
      <c r="UD49" s="235">
        <f t="shared" ca="1" si="472"/>
        <v>0</v>
      </c>
      <c r="UE49" s="242">
        <f t="shared" ca="1" si="473"/>
        <v>0</v>
      </c>
      <c r="UF49" s="241">
        <f t="shared" ca="1" si="576"/>
        <v>1</v>
      </c>
      <c r="UG49" s="220">
        <f t="shared" ca="1" si="765"/>
        <v>0</v>
      </c>
      <c r="UH49" s="220">
        <f t="shared" ca="1" si="766"/>
        <v>0</v>
      </c>
      <c r="UI49" s="235">
        <f t="shared" ca="1" si="476"/>
        <v>0</v>
      </c>
      <c r="UJ49" s="235">
        <f t="shared" ca="1" si="477"/>
        <v>0</v>
      </c>
      <c r="UK49" s="242">
        <f t="shared" ca="1" si="478"/>
        <v>0</v>
      </c>
      <c r="UL49" s="241">
        <f t="shared" ca="1" si="576"/>
        <v>1</v>
      </c>
      <c r="UM49" s="220">
        <f t="shared" ca="1" si="767"/>
        <v>0</v>
      </c>
      <c r="UN49" s="220">
        <f t="shared" ca="1" si="768"/>
        <v>0</v>
      </c>
      <c r="UO49" s="235">
        <f t="shared" ca="1" si="481"/>
        <v>0</v>
      </c>
      <c r="UP49" s="235">
        <f t="shared" ca="1" si="482"/>
        <v>0</v>
      </c>
      <c r="UQ49" s="242">
        <f t="shared" ca="1" si="483"/>
        <v>0</v>
      </c>
      <c r="UR49" s="241">
        <f t="shared" ca="1" si="576"/>
        <v>1</v>
      </c>
      <c r="US49" s="220">
        <f t="shared" ca="1" si="769"/>
        <v>0</v>
      </c>
      <c r="UT49" s="220">
        <f t="shared" ca="1" si="770"/>
        <v>0</v>
      </c>
      <c r="UU49" s="235">
        <f t="shared" ca="1" si="486"/>
        <v>0</v>
      </c>
      <c r="UV49" s="235">
        <f t="shared" ca="1" si="487"/>
        <v>0</v>
      </c>
      <c r="UW49" s="242">
        <f t="shared" ca="1" si="488"/>
        <v>0</v>
      </c>
      <c r="UX49" s="241">
        <f t="shared" ca="1" si="576"/>
        <v>1</v>
      </c>
      <c r="UY49" s="220">
        <f t="shared" ca="1" si="771"/>
        <v>0</v>
      </c>
      <c r="UZ49" s="220">
        <f t="shared" ca="1" si="772"/>
        <v>0</v>
      </c>
      <c r="VA49" s="235">
        <f t="shared" ca="1" si="491"/>
        <v>0</v>
      </c>
      <c r="VB49" s="235">
        <f t="shared" ca="1" si="492"/>
        <v>0</v>
      </c>
      <c r="VC49" s="242">
        <f t="shared" ca="1" si="493"/>
        <v>0</v>
      </c>
      <c r="VD49" s="241">
        <f t="shared" ca="1" si="574"/>
        <v>1</v>
      </c>
      <c r="VE49" s="220">
        <f t="shared" ca="1" si="773"/>
        <v>0</v>
      </c>
      <c r="VF49" s="220">
        <f t="shared" ca="1" si="774"/>
        <v>0</v>
      </c>
      <c r="VG49" s="235">
        <f t="shared" ca="1" si="496"/>
        <v>0</v>
      </c>
      <c r="VH49" s="235">
        <f t="shared" ca="1" si="497"/>
        <v>0</v>
      </c>
      <c r="VI49" s="242">
        <f t="shared" ca="1" si="498"/>
        <v>0</v>
      </c>
      <c r="VJ49" s="241">
        <f t="shared" ca="1" si="567"/>
        <v>1</v>
      </c>
      <c r="VK49" s="220">
        <f t="shared" ca="1" si="775"/>
        <v>0</v>
      </c>
      <c r="VL49" s="220">
        <f t="shared" ca="1" si="776"/>
        <v>0</v>
      </c>
      <c r="VM49" s="235">
        <f t="shared" ca="1" si="502"/>
        <v>0</v>
      </c>
      <c r="VN49" s="235">
        <f t="shared" ca="1" si="503"/>
        <v>0</v>
      </c>
      <c r="VO49" s="242">
        <f t="shared" ca="1" si="504"/>
        <v>0</v>
      </c>
      <c r="VP49" s="241">
        <f t="shared" ca="1" si="567"/>
        <v>1</v>
      </c>
      <c r="VQ49" s="220">
        <f t="shared" ca="1" si="777"/>
        <v>0</v>
      </c>
      <c r="VR49" s="220">
        <f t="shared" ca="1" si="778"/>
        <v>0</v>
      </c>
      <c r="VS49" s="235">
        <f t="shared" ca="1" si="507"/>
        <v>0</v>
      </c>
      <c r="VT49" s="235">
        <f t="shared" ca="1" si="508"/>
        <v>0</v>
      </c>
      <c r="VU49" s="242">
        <f t="shared" ca="1" si="509"/>
        <v>0</v>
      </c>
      <c r="VV49" s="241">
        <f t="shared" ca="1" si="578"/>
        <v>1</v>
      </c>
      <c r="VW49" s="220">
        <f t="shared" ca="1" si="779"/>
        <v>0</v>
      </c>
      <c r="VX49" s="220">
        <f t="shared" ca="1" si="780"/>
        <v>0</v>
      </c>
      <c r="VY49" s="235">
        <f t="shared" ca="1" si="512"/>
        <v>0</v>
      </c>
      <c r="VZ49" s="235">
        <f t="shared" ca="1" si="513"/>
        <v>0</v>
      </c>
      <c r="WA49" s="242">
        <f t="shared" ca="1" si="514"/>
        <v>0</v>
      </c>
      <c r="WB49" s="241">
        <f t="shared" ca="1" si="578"/>
        <v>1</v>
      </c>
      <c r="WC49" s="220">
        <f t="shared" ca="1" si="781"/>
        <v>0</v>
      </c>
      <c r="WD49" s="220">
        <f t="shared" ca="1" si="782"/>
        <v>0</v>
      </c>
      <c r="WE49" s="235">
        <f t="shared" ca="1" si="517"/>
        <v>0</v>
      </c>
      <c r="WF49" s="235">
        <f t="shared" ca="1" si="518"/>
        <v>0</v>
      </c>
      <c r="WG49" s="242">
        <f t="shared" ca="1" si="519"/>
        <v>0</v>
      </c>
      <c r="WH49" s="241">
        <f t="shared" ca="1" si="578"/>
        <v>1</v>
      </c>
      <c r="WI49" s="220">
        <f t="shared" ca="1" si="783"/>
        <v>0</v>
      </c>
      <c r="WJ49" s="220">
        <f t="shared" ca="1" si="784"/>
        <v>0</v>
      </c>
      <c r="WK49" s="235">
        <f t="shared" ca="1" si="522"/>
        <v>0</v>
      </c>
      <c r="WL49" s="235">
        <f t="shared" ca="1" si="523"/>
        <v>0</v>
      </c>
      <c r="WM49" s="242">
        <f t="shared" ca="1" si="524"/>
        <v>0</v>
      </c>
      <c r="WN49" s="241">
        <f t="shared" ca="1" si="578"/>
        <v>1</v>
      </c>
      <c r="WO49" s="220">
        <f t="shared" ca="1" si="785"/>
        <v>0</v>
      </c>
      <c r="WP49" s="220">
        <f t="shared" ca="1" si="786"/>
        <v>0</v>
      </c>
      <c r="WQ49" s="235">
        <f t="shared" ca="1" si="527"/>
        <v>0</v>
      </c>
      <c r="WR49" s="235">
        <f t="shared" ca="1" si="528"/>
        <v>0</v>
      </c>
      <c r="WS49" s="242">
        <f t="shared" ca="1" si="529"/>
        <v>0</v>
      </c>
      <c r="WT49" s="241">
        <f t="shared" ca="1" si="578"/>
        <v>1</v>
      </c>
      <c r="WU49" s="220">
        <f t="shared" ca="1" si="787"/>
        <v>0</v>
      </c>
      <c r="WV49" s="220">
        <f t="shared" ca="1" si="788"/>
        <v>0</v>
      </c>
      <c r="WW49" s="235">
        <f t="shared" ca="1" si="532"/>
        <v>0</v>
      </c>
      <c r="WX49" s="235">
        <f t="shared" ca="1" si="533"/>
        <v>0</v>
      </c>
      <c r="WY49" s="242">
        <f t="shared" ca="1" si="534"/>
        <v>0</v>
      </c>
      <c r="WZ49" s="241">
        <f t="shared" ca="1" si="578"/>
        <v>1</v>
      </c>
      <c r="XA49" s="220">
        <f t="shared" ca="1" si="789"/>
        <v>0</v>
      </c>
      <c r="XB49" s="220">
        <f t="shared" ca="1" si="790"/>
        <v>0</v>
      </c>
      <c r="XC49" s="235">
        <f t="shared" ca="1" si="537"/>
        <v>0</v>
      </c>
      <c r="XD49" s="235">
        <f t="shared" ca="1" si="538"/>
        <v>0</v>
      </c>
      <c r="XE49" s="242">
        <f t="shared" ca="1" si="539"/>
        <v>0</v>
      </c>
      <c r="XF49" s="241">
        <f t="shared" ca="1" si="578"/>
        <v>1</v>
      </c>
      <c r="XG49" s="220">
        <f t="shared" ca="1" si="791"/>
        <v>0</v>
      </c>
      <c r="XH49" s="220">
        <f t="shared" ca="1" si="792"/>
        <v>0</v>
      </c>
      <c r="XI49" s="235">
        <f t="shared" ca="1" si="542"/>
        <v>0</v>
      </c>
      <c r="XJ49" s="235">
        <f t="shared" ca="1" si="543"/>
        <v>0</v>
      </c>
      <c r="XK49" s="242">
        <f t="shared" ca="1" si="544"/>
        <v>0</v>
      </c>
    </row>
    <row r="50" spans="2:635" x14ac:dyDescent="0.25">
      <c r="B50" s="65">
        <f t="shared" ca="1" si="14"/>
        <v>2065</v>
      </c>
      <c r="C50" s="65" t="s">
        <v>741</v>
      </c>
      <c r="D50" s="77">
        <f t="shared" si="580"/>
        <v>0</v>
      </c>
      <c r="E50" s="77">
        <f t="shared" si="581"/>
        <v>0</v>
      </c>
      <c r="F50" s="77">
        <f t="shared" si="17"/>
        <v>0</v>
      </c>
      <c r="G50" s="77">
        <f t="shared" si="18"/>
        <v>0</v>
      </c>
      <c r="H50" s="15" t="e">
        <f t="shared" ca="1" si="582"/>
        <v>#REF!</v>
      </c>
      <c r="L50" s="326">
        <f t="shared" ca="1" si="583"/>
        <v>3.5000000000000003E-2</v>
      </c>
      <c r="M50" s="327">
        <f t="shared" ca="1" si="584"/>
        <v>3.5000000000000003E-2</v>
      </c>
      <c r="N50" s="322">
        <f t="shared" ca="1" si="579"/>
        <v>-42</v>
      </c>
      <c r="O50" s="322">
        <f t="shared" ca="1" si="585"/>
        <v>0</v>
      </c>
      <c r="P50" s="328">
        <f t="shared" ca="1" si="545"/>
        <v>0</v>
      </c>
      <c r="Q50" s="328">
        <f t="shared" ca="1" si="546"/>
        <v>0</v>
      </c>
      <c r="R50" s="328">
        <f t="shared" ca="1" si="547"/>
        <v>0</v>
      </c>
      <c r="S50" s="329">
        <f t="shared" ca="1" si="586"/>
        <v>0</v>
      </c>
      <c r="T50" s="329">
        <f t="shared" ca="1" si="587"/>
        <v>0</v>
      </c>
      <c r="U50" s="329">
        <f t="shared" ca="1" si="588"/>
        <v>0</v>
      </c>
      <c r="V50" s="320" t="e">
        <f t="shared" ca="1" si="589"/>
        <v>#REF!</v>
      </c>
      <c r="W50" s="320" t="e">
        <f t="shared" ca="1" si="560"/>
        <v>#REF!</v>
      </c>
      <c r="X50" s="320" t="e">
        <f t="shared" ca="1" si="590"/>
        <v>#REF!</v>
      </c>
      <c r="Y50" s="320" t="e">
        <f ca="1">INDEX(SC_ZA_HECMLumpSum,ZAIDX)</f>
        <v>#REF!</v>
      </c>
      <c r="Z50" s="320" t="e">
        <f t="shared" ca="1" si="591"/>
        <v>#REF!</v>
      </c>
      <c r="AA50" s="320">
        <f t="shared" ca="1" si="557"/>
        <v>0</v>
      </c>
      <c r="AB50" s="320" t="e">
        <f t="shared" ca="1" si="558"/>
        <v>#REF!</v>
      </c>
      <c r="AC50" s="330" t="e">
        <f t="shared" ca="1" si="559"/>
        <v>#REF!</v>
      </c>
      <c r="AD50" s="236" t="e">
        <f t="shared" ca="1" si="548"/>
        <v>#REF!</v>
      </c>
      <c r="AE50" s="320" t="e">
        <f t="shared" ca="1" si="561"/>
        <v>#REF!</v>
      </c>
      <c r="AF50" s="320" t="e">
        <f t="shared" ca="1" si="592"/>
        <v>#REF!</v>
      </c>
      <c r="AG50" s="320" t="e">
        <f t="shared" ca="1" si="549"/>
        <v>#REF!</v>
      </c>
      <c r="AH50" s="284" t="e">
        <f t="shared" ca="1" si="550"/>
        <v>#REF!</v>
      </c>
      <c r="AI50" s="318" t="e">
        <f t="shared" ca="1" si="551"/>
        <v>#REF!</v>
      </c>
      <c r="AJ50" s="331">
        <f t="shared" ca="1" si="575"/>
        <v>1</v>
      </c>
      <c r="AK50" s="220">
        <f t="shared" ca="1" si="593"/>
        <v>0</v>
      </c>
      <c r="AL50" s="220">
        <f t="shared" ca="1" si="594"/>
        <v>0</v>
      </c>
      <c r="AM50" s="235">
        <f t="shared" ca="1" si="554"/>
        <v>0</v>
      </c>
      <c r="AN50" s="235">
        <f t="shared" ca="1" si="555"/>
        <v>0</v>
      </c>
      <c r="AO50" s="242">
        <f t="shared" ca="1" si="556"/>
        <v>0</v>
      </c>
      <c r="AP50" s="241">
        <f t="shared" ca="1" si="575"/>
        <v>1</v>
      </c>
      <c r="AQ50" s="220">
        <f t="shared" ca="1" si="595"/>
        <v>0</v>
      </c>
      <c r="AR50" s="220">
        <f t="shared" ca="1" si="596"/>
        <v>0</v>
      </c>
      <c r="AS50" s="235">
        <f t="shared" ca="1" si="43"/>
        <v>0</v>
      </c>
      <c r="AT50" s="235">
        <f t="shared" ca="1" si="44"/>
        <v>0</v>
      </c>
      <c r="AU50" s="242">
        <f t="shared" ca="1" si="45"/>
        <v>0</v>
      </c>
      <c r="AV50" s="241">
        <f t="shared" ca="1" si="575"/>
        <v>1</v>
      </c>
      <c r="AW50" s="220">
        <f t="shared" ca="1" si="597"/>
        <v>0</v>
      </c>
      <c r="AX50" s="220">
        <f t="shared" ca="1" si="598"/>
        <v>0</v>
      </c>
      <c r="AY50" s="235">
        <f t="shared" ca="1" si="48"/>
        <v>0</v>
      </c>
      <c r="AZ50" s="235">
        <f t="shared" ca="1" si="49"/>
        <v>0</v>
      </c>
      <c r="BA50" s="242">
        <f t="shared" ca="1" si="50"/>
        <v>0</v>
      </c>
      <c r="BB50" s="241">
        <f t="shared" ca="1" si="575"/>
        <v>1</v>
      </c>
      <c r="BC50" s="220">
        <f t="shared" ca="1" si="599"/>
        <v>0</v>
      </c>
      <c r="BD50" s="220">
        <f t="shared" ca="1" si="600"/>
        <v>0</v>
      </c>
      <c r="BE50" s="235">
        <f t="shared" ca="1" si="54"/>
        <v>0</v>
      </c>
      <c r="BF50" s="235">
        <f t="shared" ca="1" si="55"/>
        <v>0</v>
      </c>
      <c r="BG50" s="242">
        <f t="shared" ca="1" si="56"/>
        <v>0</v>
      </c>
      <c r="BH50" s="241">
        <f t="shared" ca="1" si="575"/>
        <v>1</v>
      </c>
      <c r="BI50" s="220">
        <f t="shared" ca="1" si="601"/>
        <v>0</v>
      </c>
      <c r="BJ50" s="220">
        <f t="shared" ca="1" si="602"/>
        <v>0</v>
      </c>
      <c r="BK50" s="235">
        <f t="shared" ca="1" si="59"/>
        <v>0</v>
      </c>
      <c r="BL50" s="235">
        <f t="shared" ca="1" si="60"/>
        <v>0</v>
      </c>
      <c r="BM50" s="242">
        <f t="shared" ca="1" si="61"/>
        <v>0</v>
      </c>
      <c r="BN50" s="241">
        <f t="shared" ca="1" si="575"/>
        <v>1</v>
      </c>
      <c r="BO50" s="220">
        <f t="shared" ca="1" si="603"/>
        <v>0</v>
      </c>
      <c r="BP50" s="220">
        <f t="shared" ca="1" si="604"/>
        <v>0</v>
      </c>
      <c r="BQ50" s="235">
        <f t="shared" ca="1" si="64"/>
        <v>0</v>
      </c>
      <c r="BR50" s="235">
        <f t="shared" ca="1" si="65"/>
        <v>0</v>
      </c>
      <c r="BS50" s="242">
        <f t="shared" ca="1" si="66"/>
        <v>0</v>
      </c>
      <c r="BT50" s="241">
        <f t="shared" ca="1" si="575"/>
        <v>1</v>
      </c>
      <c r="BU50" s="220">
        <f t="shared" ca="1" si="605"/>
        <v>0</v>
      </c>
      <c r="BV50" s="220">
        <f t="shared" ca="1" si="606"/>
        <v>0</v>
      </c>
      <c r="BW50" s="235">
        <f t="shared" ca="1" si="69"/>
        <v>0</v>
      </c>
      <c r="BX50" s="235">
        <f t="shared" ca="1" si="70"/>
        <v>0</v>
      </c>
      <c r="BY50" s="242">
        <f t="shared" ca="1" si="71"/>
        <v>0</v>
      </c>
      <c r="BZ50" s="241">
        <f t="shared" ca="1" si="575"/>
        <v>1</v>
      </c>
      <c r="CA50" s="220">
        <f t="shared" ca="1" si="607"/>
        <v>0</v>
      </c>
      <c r="CB50" s="220">
        <f t="shared" ca="1" si="608"/>
        <v>0</v>
      </c>
      <c r="CC50" s="235">
        <f t="shared" ca="1" si="74"/>
        <v>0</v>
      </c>
      <c r="CD50" s="235">
        <f t="shared" ca="1" si="75"/>
        <v>0</v>
      </c>
      <c r="CE50" s="242">
        <f t="shared" ca="1" si="76"/>
        <v>0</v>
      </c>
      <c r="CF50" s="241">
        <f t="shared" ca="1" si="575"/>
        <v>1</v>
      </c>
      <c r="CG50" s="220">
        <f t="shared" ca="1" si="609"/>
        <v>0</v>
      </c>
      <c r="CH50" s="220">
        <f t="shared" ca="1" si="610"/>
        <v>0</v>
      </c>
      <c r="CI50" s="235">
        <f t="shared" ca="1" si="79"/>
        <v>0</v>
      </c>
      <c r="CJ50" s="235">
        <f t="shared" ca="1" si="80"/>
        <v>0</v>
      </c>
      <c r="CK50" s="242">
        <f t="shared" ca="1" si="81"/>
        <v>0</v>
      </c>
      <c r="CL50" s="241">
        <f t="shared" ca="1" si="575"/>
        <v>1</v>
      </c>
      <c r="CM50" s="220">
        <f t="shared" ca="1" si="611"/>
        <v>0</v>
      </c>
      <c r="CN50" s="220">
        <f t="shared" ca="1" si="612"/>
        <v>0</v>
      </c>
      <c r="CO50" s="235">
        <f t="shared" ca="1" si="84"/>
        <v>0</v>
      </c>
      <c r="CP50" s="235">
        <f t="shared" ca="1" si="85"/>
        <v>0</v>
      </c>
      <c r="CQ50" s="242">
        <f t="shared" ca="1" si="86"/>
        <v>0</v>
      </c>
      <c r="CR50" s="241">
        <f t="shared" ca="1" si="575"/>
        <v>1</v>
      </c>
      <c r="CS50" s="220">
        <f t="shared" ca="1" si="613"/>
        <v>0</v>
      </c>
      <c r="CT50" s="220">
        <f t="shared" ca="1" si="614"/>
        <v>0</v>
      </c>
      <c r="CU50" s="235">
        <f t="shared" ca="1" si="89"/>
        <v>0</v>
      </c>
      <c r="CV50" s="235">
        <f t="shared" ca="1" si="90"/>
        <v>0</v>
      </c>
      <c r="CW50" s="242">
        <f t="shared" ca="1" si="91"/>
        <v>0</v>
      </c>
      <c r="CX50" s="241">
        <f t="shared" ca="1" si="568"/>
        <v>1</v>
      </c>
      <c r="CY50" s="220">
        <f t="shared" ca="1" si="615"/>
        <v>0</v>
      </c>
      <c r="CZ50" s="220">
        <f t="shared" ca="1" si="616"/>
        <v>0</v>
      </c>
      <c r="DA50" s="235">
        <f t="shared" ca="1" si="94"/>
        <v>0</v>
      </c>
      <c r="DB50" s="235">
        <f t="shared" ca="1" si="95"/>
        <v>0</v>
      </c>
      <c r="DC50" s="242">
        <f t="shared" ca="1" si="96"/>
        <v>0</v>
      </c>
      <c r="DD50" s="241">
        <f t="shared" ca="1" si="568"/>
        <v>1</v>
      </c>
      <c r="DE50" s="220">
        <f t="shared" ca="1" si="617"/>
        <v>0</v>
      </c>
      <c r="DF50" s="220">
        <f t="shared" ca="1" si="618"/>
        <v>0</v>
      </c>
      <c r="DG50" s="235">
        <f t="shared" ca="1" si="99"/>
        <v>0</v>
      </c>
      <c r="DH50" s="235">
        <f t="shared" ca="1" si="100"/>
        <v>0</v>
      </c>
      <c r="DI50" s="242">
        <f t="shared" ca="1" si="101"/>
        <v>0</v>
      </c>
      <c r="DJ50" s="241">
        <f t="shared" ca="1" si="51"/>
        <v>1</v>
      </c>
      <c r="DK50" s="220">
        <f t="shared" ca="1" si="619"/>
        <v>0</v>
      </c>
      <c r="DL50" s="220">
        <f t="shared" ca="1" si="620"/>
        <v>0</v>
      </c>
      <c r="DM50" s="235">
        <f t="shared" ca="1" si="104"/>
        <v>0</v>
      </c>
      <c r="DN50" s="235">
        <f t="shared" ca="1" si="105"/>
        <v>0</v>
      </c>
      <c r="DO50" s="242">
        <f t="shared" ca="1" si="106"/>
        <v>0</v>
      </c>
      <c r="DP50" s="241">
        <f t="shared" ca="1" si="569"/>
        <v>1</v>
      </c>
      <c r="DQ50" s="220">
        <f t="shared" ca="1" si="621"/>
        <v>0</v>
      </c>
      <c r="DR50" s="220">
        <f t="shared" ca="1" si="622"/>
        <v>0</v>
      </c>
      <c r="DS50" s="235">
        <f t="shared" ca="1" si="110"/>
        <v>0</v>
      </c>
      <c r="DT50" s="235">
        <f t="shared" ca="1" si="111"/>
        <v>0</v>
      </c>
      <c r="DU50" s="242">
        <f t="shared" ca="1" si="112"/>
        <v>0</v>
      </c>
      <c r="DV50" s="241">
        <f t="shared" ca="1" si="569"/>
        <v>1</v>
      </c>
      <c r="DW50" s="220">
        <f t="shared" ca="1" si="623"/>
        <v>0</v>
      </c>
      <c r="DX50" s="220">
        <f t="shared" ca="1" si="624"/>
        <v>0</v>
      </c>
      <c r="DY50" s="235">
        <f t="shared" ca="1" si="115"/>
        <v>0</v>
      </c>
      <c r="DZ50" s="235">
        <f t="shared" ca="1" si="116"/>
        <v>0</v>
      </c>
      <c r="EA50" s="242">
        <f t="shared" ca="1" si="117"/>
        <v>0</v>
      </c>
      <c r="EB50" s="241">
        <f t="shared" ca="1" si="569"/>
        <v>1</v>
      </c>
      <c r="EC50" s="220">
        <f t="shared" ca="1" si="625"/>
        <v>0</v>
      </c>
      <c r="ED50" s="220">
        <f t="shared" ca="1" si="626"/>
        <v>0</v>
      </c>
      <c r="EE50" s="235">
        <f t="shared" ca="1" si="120"/>
        <v>0</v>
      </c>
      <c r="EF50" s="235">
        <f t="shared" ca="1" si="121"/>
        <v>0</v>
      </c>
      <c r="EG50" s="242">
        <f t="shared" ca="1" si="122"/>
        <v>0</v>
      </c>
      <c r="EH50" s="241">
        <f t="shared" ca="1" si="569"/>
        <v>1</v>
      </c>
      <c r="EI50" s="220">
        <f t="shared" ca="1" si="627"/>
        <v>0</v>
      </c>
      <c r="EJ50" s="220">
        <f t="shared" ca="1" si="628"/>
        <v>0</v>
      </c>
      <c r="EK50" s="235">
        <f t="shared" ca="1" si="125"/>
        <v>0</v>
      </c>
      <c r="EL50" s="235">
        <f t="shared" ca="1" si="126"/>
        <v>0</v>
      </c>
      <c r="EM50" s="242">
        <f t="shared" ca="1" si="127"/>
        <v>0</v>
      </c>
      <c r="EN50" s="241">
        <f t="shared" ca="1" si="569"/>
        <v>1</v>
      </c>
      <c r="EO50" s="220">
        <f t="shared" ca="1" si="629"/>
        <v>0</v>
      </c>
      <c r="EP50" s="220">
        <f t="shared" ca="1" si="630"/>
        <v>0</v>
      </c>
      <c r="EQ50" s="235">
        <f t="shared" ca="1" si="130"/>
        <v>0</v>
      </c>
      <c r="ER50" s="235">
        <f t="shared" ca="1" si="131"/>
        <v>0</v>
      </c>
      <c r="ES50" s="242">
        <f t="shared" ca="1" si="132"/>
        <v>0</v>
      </c>
      <c r="ET50" s="241">
        <f t="shared" ca="1" si="569"/>
        <v>1</v>
      </c>
      <c r="EU50" s="220">
        <f t="shared" ca="1" si="631"/>
        <v>0</v>
      </c>
      <c r="EV50" s="220">
        <f t="shared" ca="1" si="632"/>
        <v>0</v>
      </c>
      <c r="EW50" s="235">
        <f t="shared" ca="1" si="135"/>
        <v>0</v>
      </c>
      <c r="EX50" s="235">
        <f t="shared" ca="1" si="136"/>
        <v>0</v>
      </c>
      <c r="EY50" s="242">
        <f t="shared" ca="1" si="137"/>
        <v>0</v>
      </c>
      <c r="EZ50" s="241">
        <f t="shared" ca="1" si="569"/>
        <v>1</v>
      </c>
      <c r="FA50" s="220">
        <f t="shared" ca="1" si="633"/>
        <v>0</v>
      </c>
      <c r="FB50" s="220">
        <f t="shared" ca="1" si="634"/>
        <v>0</v>
      </c>
      <c r="FC50" s="235">
        <f t="shared" ca="1" si="140"/>
        <v>0</v>
      </c>
      <c r="FD50" s="235">
        <f t="shared" ca="1" si="141"/>
        <v>0</v>
      </c>
      <c r="FE50" s="242">
        <f t="shared" ca="1" si="142"/>
        <v>0</v>
      </c>
      <c r="FF50" s="241">
        <f t="shared" ca="1" si="569"/>
        <v>1</v>
      </c>
      <c r="FG50" s="220">
        <f t="shared" ca="1" si="635"/>
        <v>0</v>
      </c>
      <c r="FH50" s="220">
        <f t="shared" ca="1" si="636"/>
        <v>0</v>
      </c>
      <c r="FI50" s="235">
        <f t="shared" ca="1" si="145"/>
        <v>0</v>
      </c>
      <c r="FJ50" s="235">
        <f t="shared" ca="1" si="146"/>
        <v>0</v>
      </c>
      <c r="FK50" s="242">
        <f t="shared" ca="1" si="147"/>
        <v>0</v>
      </c>
      <c r="FL50" s="241">
        <f t="shared" ca="1" si="569"/>
        <v>1</v>
      </c>
      <c r="FM50" s="220">
        <f t="shared" ca="1" si="637"/>
        <v>0</v>
      </c>
      <c r="FN50" s="220">
        <f t="shared" ca="1" si="638"/>
        <v>0</v>
      </c>
      <c r="FO50" s="235">
        <f t="shared" ca="1" si="150"/>
        <v>0</v>
      </c>
      <c r="FP50" s="235">
        <f t="shared" ca="1" si="151"/>
        <v>0</v>
      </c>
      <c r="FQ50" s="242">
        <f t="shared" ca="1" si="152"/>
        <v>0</v>
      </c>
      <c r="FR50" s="241">
        <f t="shared" ca="1" si="569"/>
        <v>1</v>
      </c>
      <c r="FS50" s="220">
        <f t="shared" ca="1" si="639"/>
        <v>0</v>
      </c>
      <c r="FT50" s="220">
        <f t="shared" ca="1" si="640"/>
        <v>0</v>
      </c>
      <c r="FU50" s="235">
        <f t="shared" ca="1" si="155"/>
        <v>0</v>
      </c>
      <c r="FV50" s="235">
        <f t="shared" ca="1" si="156"/>
        <v>0</v>
      </c>
      <c r="FW50" s="242">
        <f t="shared" ca="1" si="157"/>
        <v>0</v>
      </c>
      <c r="FX50" s="241">
        <f t="shared" ca="1" si="569"/>
        <v>1</v>
      </c>
      <c r="FY50" s="220">
        <f t="shared" ca="1" si="641"/>
        <v>0</v>
      </c>
      <c r="FZ50" s="220">
        <f t="shared" ca="1" si="642"/>
        <v>0</v>
      </c>
      <c r="GA50" s="235">
        <f t="shared" ca="1" si="160"/>
        <v>0</v>
      </c>
      <c r="GB50" s="235">
        <f t="shared" ca="1" si="161"/>
        <v>0</v>
      </c>
      <c r="GC50" s="242">
        <f t="shared" ca="1" si="162"/>
        <v>0</v>
      </c>
      <c r="GD50" s="241">
        <f t="shared" ca="1" si="562"/>
        <v>1</v>
      </c>
      <c r="GE50" s="220">
        <f t="shared" ca="1" si="643"/>
        <v>0</v>
      </c>
      <c r="GF50" s="220">
        <f t="shared" ca="1" si="644"/>
        <v>0</v>
      </c>
      <c r="GG50" s="235">
        <f t="shared" ca="1" si="166"/>
        <v>0</v>
      </c>
      <c r="GH50" s="235">
        <f t="shared" ca="1" si="167"/>
        <v>0</v>
      </c>
      <c r="GI50" s="242">
        <f t="shared" ca="1" si="168"/>
        <v>0</v>
      </c>
      <c r="GJ50" s="241">
        <f t="shared" ca="1" si="562"/>
        <v>1</v>
      </c>
      <c r="GK50" s="220">
        <f t="shared" ca="1" si="645"/>
        <v>0</v>
      </c>
      <c r="GL50" s="220">
        <f t="shared" ca="1" si="646"/>
        <v>0</v>
      </c>
      <c r="GM50" s="235">
        <f t="shared" ca="1" si="171"/>
        <v>0</v>
      </c>
      <c r="GN50" s="235">
        <f t="shared" ca="1" si="172"/>
        <v>0</v>
      </c>
      <c r="GO50" s="242">
        <f t="shared" ca="1" si="173"/>
        <v>0</v>
      </c>
      <c r="GP50" s="241">
        <f t="shared" ca="1" si="570"/>
        <v>1</v>
      </c>
      <c r="GQ50" s="220">
        <f t="shared" ca="1" si="647"/>
        <v>0</v>
      </c>
      <c r="GR50" s="220">
        <f t="shared" ca="1" si="648"/>
        <v>0</v>
      </c>
      <c r="GS50" s="235">
        <f t="shared" ca="1" si="176"/>
        <v>0</v>
      </c>
      <c r="GT50" s="235">
        <f t="shared" ca="1" si="177"/>
        <v>0</v>
      </c>
      <c r="GU50" s="242">
        <f t="shared" ca="1" si="178"/>
        <v>0</v>
      </c>
      <c r="GV50" s="241">
        <f t="shared" ca="1" si="570"/>
        <v>1</v>
      </c>
      <c r="GW50" s="220">
        <f t="shared" ca="1" si="649"/>
        <v>0</v>
      </c>
      <c r="GX50" s="220">
        <f t="shared" ca="1" si="650"/>
        <v>0</v>
      </c>
      <c r="GY50" s="235">
        <f t="shared" ca="1" si="181"/>
        <v>0</v>
      </c>
      <c r="GZ50" s="235">
        <f t="shared" ca="1" si="182"/>
        <v>0</v>
      </c>
      <c r="HA50" s="242">
        <f t="shared" ca="1" si="183"/>
        <v>0</v>
      </c>
      <c r="HB50" s="241">
        <f t="shared" ca="1" si="570"/>
        <v>1</v>
      </c>
      <c r="HC50" s="220">
        <f t="shared" ca="1" si="651"/>
        <v>0</v>
      </c>
      <c r="HD50" s="220">
        <f t="shared" ca="1" si="652"/>
        <v>0</v>
      </c>
      <c r="HE50" s="235">
        <f t="shared" ca="1" si="186"/>
        <v>0</v>
      </c>
      <c r="HF50" s="235">
        <f t="shared" ca="1" si="187"/>
        <v>0</v>
      </c>
      <c r="HG50" s="242">
        <f t="shared" ca="1" si="188"/>
        <v>0</v>
      </c>
      <c r="HH50" s="241">
        <f t="shared" ca="1" si="570"/>
        <v>1</v>
      </c>
      <c r="HI50" s="220">
        <f t="shared" ca="1" si="653"/>
        <v>0</v>
      </c>
      <c r="HJ50" s="220">
        <f t="shared" ca="1" si="654"/>
        <v>0</v>
      </c>
      <c r="HK50" s="235">
        <f t="shared" ca="1" si="191"/>
        <v>0</v>
      </c>
      <c r="HL50" s="235">
        <f t="shared" ca="1" si="192"/>
        <v>0</v>
      </c>
      <c r="HM50" s="242">
        <f t="shared" ca="1" si="193"/>
        <v>0</v>
      </c>
      <c r="HN50" s="241">
        <f t="shared" ca="1" si="570"/>
        <v>1</v>
      </c>
      <c r="HO50" s="220">
        <f t="shared" ca="1" si="655"/>
        <v>0</v>
      </c>
      <c r="HP50" s="220">
        <f t="shared" ca="1" si="656"/>
        <v>0</v>
      </c>
      <c r="HQ50" s="235">
        <f t="shared" ca="1" si="196"/>
        <v>0</v>
      </c>
      <c r="HR50" s="235">
        <f t="shared" ca="1" si="197"/>
        <v>0</v>
      </c>
      <c r="HS50" s="242">
        <f t="shared" ca="1" si="198"/>
        <v>0</v>
      </c>
      <c r="HT50" s="241">
        <f t="shared" ca="1" si="570"/>
        <v>1</v>
      </c>
      <c r="HU50" s="220">
        <f t="shared" ca="1" si="657"/>
        <v>0</v>
      </c>
      <c r="HV50" s="220">
        <f t="shared" ca="1" si="658"/>
        <v>0</v>
      </c>
      <c r="HW50" s="235">
        <f t="shared" ca="1" si="201"/>
        <v>0</v>
      </c>
      <c r="HX50" s="235">
        <f t="shared" ca="1" si="202"/>
        <v>0</v>
      </c>
      <c r="HY50" s="242">
        <f t="shared" ca="1" si="203"/>
        <v>0</v>
      </c>
      <c r="HZ50" s="241">
        <f t="shared" ca="1" si="570"/>
        <v>1</v>
      </c>
      <c r="IA50" s="220">
        <f t="shared" ca="1" si="659"/>
        <v>0</v>
      </c>
      <c r="IB50" s="220">
        <f t="shared" ca="1" si="660"/>
        <v>0</v>
      </c>
      <c r="IC50" s="235">
        <f t="shared" ca="1" si="206"/>
        <v>0</v>
      </c>
      <c r="ID50" s="235">
        <f t="shared" ca="1" si="207"/>
        <v>0</v>
      </c>
      <c r="IE50" s="242">
        <f t="shared" ca="1" si="208"/>
        <v>0</v>
      </c>
      <c r="IF50" s="241">
        <f t="shared" ca="1" si="570"/>
        <v>1</v>
      </c>
      <c r="IG50" s="220">
        <f t="shared" ca="1" si="661"/>
        <v>0</v>
      </c>
      <c r="IH50" s="220">
        <f t="shared" ca="1" si="662"/>
        <v>0</v>
      </c>
      <c r="II50" s="235">
        <f t="shared" ca="1" si="211"/>
        <v>0</v>
      </c>
      <c r="IJ50" s="235">
        <f t="shared" ca="1" si="212"/>
        <v>0</v>
      </c>
      <c r="IK50" s="242">
        <f t="shared" ca="1" si="213"/>
        <v>0</v>
      </c>
      <c r="IL50" s="241">
        <f t="shared" ca="1" si="570"/>
        <v>1</v>
      </c>
      <c r="IM50" s="220">
        <f t="shared" ca="1" si="663"/>
        <v>0</v>
      </c>
      <c r="IN50" s="220">
        <f t="shared" ca="1" si="664"/>
        <v>0</v>
      </c>
      <c r="IO50" s="235">
        <f t="shared" ca="1" si="216"/>
        <v>0</v>
      </c>
      <c r="IP50" s="235">
        <f t="shared" ca="1" si="217"/>
        <v>0</v>
      </c>
      <c r="IQ50" s="242">
        <f t="shared" ca="1" si="218"/>
        <v>0</v>
      </c>
      <c r="IR50" s="241">
        <f t="shared" ca="1" si="570"/>
        <v>1</v>
      </c>
      <c r="IS50" s="220">
        <f t="shared" ca="1" si="665"/>
        <v>0</v>
      </c>
      <c r="IT50" s="220">
        <f t="shared" ca="1" si="666"/>
        <v>0</v>
      </c>
      <c r="IU50" s="235">
        <f t="shared" ca="1" si="222"/>
        <v>0</v>
      </c>
      <c r="IV50" s="235">
        <f t="shared" ca="1" si="223"/>
        <v>0</v>
      </c>
      <c r="IW50" s="242">
        <f t="shared" ca="1" si="224"/>
        <v>0</v>
      </c>
      <c r="IX50" s="241">
        <f t="shared" ca="1" si="570"/>
        <v>1</v>
      </c>
      <c r="IY50" s="220">
        <f t="shared" ca="1" si="667"/>
        <v>0</v>
      </c>
      <c r="IZ50" s="220">
        <f t="shared" ca="1" si="668"/>
        <v>0</v>
      </c>
      <c r="JA50" s="235">
        <f t="shared" ca="1" si="227"/>
        <v>0</v>
      </c>
      <c r="JB50" s="235">
        <f t="shared" ca="1" si="228"/>
        <v>0</v>
      </c>
      <c r="JC50" s="242">
        <f t="shared" ca="1" si="229"/>
        <v>0</v>
      </c>
      <c r="JD50" s="241">
        <f t="shared" ca="1" si="563"/>
        <v>1</v>
      </c>
      <c r="JE50" s="220">
        <f t="shared" ca="1" si="669"/>
        <v>0</v>
      </c>
      <c r="JF50" s="220">
        <f t="shared" ca="1" si="670"/>
        <v>0</v>
      </c>
      <c r="JG50" s="235">
        <f t="shared" ca="1" si="232"/>
        <v>0</v>
      </c>
      <c r="JH50" s="235">
        <f t="shared" ca="1" si="233"/>
        <v>0</v>
      </c>
      <c r="JI50" s="242">
        <f t="shared" ca="1" si="234"/>
        <v>0</v>
      </c>
      <c r="JJ50" s="241">
        <f t="shared" ca="1" si="563"/>
        <v>1</v>
      </c>
      <c r="JK50" s="220">
        <f t="shared" ca="1" si="671"/>
        <v>0</v>
      </c>
      <c r="JL50" s="220">
        <f t="shared" ca="1" si="672"/>
        <v>0</v>
      </c>
      <c r="JM50" s="235">
        <f t="shared" ca="1" si="237"/>
        <v>0</v>
      </c>
      <c r="JN50" s="235">
        <f t="shared" ca="1" si="238"/>
        <v>0</v>
      </c>
      <c r="JO50" s="242">
        <f t="shared" ca="1" si="239"/>
        <v>0</v>
      </c>
      <c r="JP50" s="241">
        <f t="shared" ca="1" si="571"/>
        <v>1</v>
      </c>
      <c r="JQ50" s="220">
        <f t="shared" ca="1" si="673"/>
        <v>0</v>
      </c>
      <c r="JR50" s="220">
        <f t="shared" ca="1" si="674"/>
        <v>0</v>
      </c>
      <c r="JS50" s="235">
        <f t="shared" ca="1" si="242"/>
        <v>0</v>
      </c>
      <c r="JT50" s="235">
        <f t="shared" ca="1" si="243"/>
        <v>0</v>
      </c>
      <c r="JU50" s="242">
        <f t="shared" ca="1" si="244"/>
        <v>0</v>
      </c>
      <c r="JV50" s="241">
        <f t="shared" ca="1" si="571"/>
        <v>1</v>
      </c>
      <c r="JW50" s="220">
        <f t="shared" ca="1" si="675"/>
        <v>0</v>
      </c>
      <c r="JX50" s="220">
        <f t="shared" ca="1" si="676"/>
        <v>0</v>
      </c>
      <c r="JY50" s="235">
        <f t="shared" ca="1" si="247"/>
        <v>0</v>
      </c>
      <c r="JZ50" s="235">
        <f t="shared" ca="1" si="248"/>
        <v>0</v>
      </c>
      <c r="KA50" s="242">
        <f t="shared" ca="1" si="249"/>
        <v>0</v>
      </c>
      <c r="KB50" s="241">
        <f t="shared" ca="1" si="571"/>
        <v>1</v>
      </c>
      <c r="KC50" s="220">
        <f t="shared" ca="1" si="677"/>
        <v>0</v>
      </c>
      <c r="KD50" s="220">
        <f t="shared" ca="1" si="678"/>
        <v>0</v>
      </c>
      <c r="KE50" s="235">
        <f t="shared" ca="1" si="252"/>
        <v>0</v>
      </c>
      <c r="KF50" s="235">
        <f t="shared" ca="1" si="253"/>
        <v>0</v>
      </c>
      <c r="KG50" s="242">
        <f t="shared" ca="1" si="254"/>
        <v>0</v>
      </c>
      <c r="KH50" s="241">
        <f t="shared" ca="1" si="571"/>
        <v>1</v>
      </c>
      <c r="KI50" s="220">
        <f t="shared" ca="1" si="679"/>
        <v>0</v>
      </c>
      <c r="KJ50" s="220">
        <f t="shared" ca="1" si="680"/>
        <v>0</v>
      </c>
      <c r="KK50" s="235">
        <f t="shared" ca="1" si="257"/>
        <v>0</v>
      </c>
      <c r="KL50" s="235">
        <f t="shared" ca="1" si="258"/>
        <v>0</v>
      </c>
      <c r="KM50" s="242">
        <f t="shared" ca="1" si="259"/>
        <v>0</v>
      </c>
      <c r="KN50" s="241">
        <f t="shared" ca="1" si="571"/>
        <v>1</v>
      </c>
      <c r="KO50" s="220">
        <f t="shared" ca="1" si="681"/>
        <v>0</v>
      </c>
      <c r="KP50" s="220">
        <f t="shared" ca="1" si="682"/>
        <v>0</v>
      </c>
      <c r="KQ50" s="235">
        <f t="shared" ca="1" si="262"/>
        <v>0</v>
      </c>
      <c r="KR50" s="235">
        <f t="shared" ca="1" si="263"/>
        <v>0</v>
      </c>
      <c r="KS50" s="242">
        <f t="shared" ca="1" si="264"/>
        <v>0</v>
      </c>
      <c r="KT50" s="241">
        <f t="shared" ca="1" si="571"/>
        <v>1</v>
      </c>
      <c r="KU50" s="220">
        <f t="shared" ca="1" si="683"/>
        <v>0</v>
      </c>
      <c r="KV50" s="220">
        <f t="shared" ca="1" si="684"/>
        <v>0</v>
      </c>
      <c r="KW50" s="235">
        <f t="shared" ca="1" si="267"/>
        <v>0</v>
      </c>
      <c r="KX50" s="235">
        <f t="shared" ca="1" si="268"/>
        <v>0</v>
      </c>
      <c r="KY50" s="242">
        <f t="shared" ca="1" si="269"/>
        <v>0</v>
      </c>
      <c r="KZ50" s="241">
        <f t="shared" ca="1" si="571"/>
        <v>1</v>
      </c>
      <c r="LA50" s="220">
        <f t="shared" ca="1" si="685"/>
        <v>0</v>
      </c>
      <c r="LB50" s="220">
        <f t="shared" ca="1" si="686"/>
        <v>0</v>
      </c>
      <c r="LC50" s="235">
        <f t="shared" ca="1" si="272"/>
        <v>0</v>
      </c>
      <c r="LD50" s="235">
        <f t="shared" ca="1" si="273"/>
        <v>0</v>
      </c>
      <c r="LE50" s="242">
        <f t="shared" ca="1" si="274"/>
        <v>0</v>
      </c>
      <c r="LF50" s="241">
        <f t="shared" ca="1" si="571"/>
        <v>1</v>
      </c>
      <c r="LG50" s="220">
        <f t="shared" ca="1" si="687"/>
        <v>0</v>
      </c>
      <c r="LH50" s="220">
        <f t="shared" ca="1" si="688"/>
        <v>0</v>
      </c>
      <c r="LI50" s="235">
        <f t="shared" ca="1" si="278"/>
        <v>0</v>
      </c>
      <c r="LJ50" s="235">
        <f t="shared" ca="1" si="279"/>
        <v>0</v>
      </c>
      <c r="LK50" s="242">
        <f t="shared" ca="1" si="280"/>
        <v>0</v>
      </c>
      <c r="LL50" s="241">
        <f t="shared" ca="1" si="571"/>
        <v>1</v>
      </c>
      <c r="LM50" s="220">
        <f t="shared" ca="1" si="689"/>
        <v>0</v>
      </c>
      <c r="LN50" s="220">
        <f t="shared" ca="1" si="690"/>
        <v>0</v>
      </c>
      <c r="LO50" s="235">
        <f t="shared" ca="1" si="283"/>
        <v>0</v>
      </c>
      <c r="LP50" s="235">
        <f t="shared" ca="1" si="284"/>
        <v>0</v>
      </c>
      <c r="LQ50" s="242">
        <f t="shared" ca="1" si="285"/>
        <v>0</v>
      </c>
      <c r="LR50" s="241">
        <f t="shared" ca="1" si="571"/>
        <v>1</v>
      </c>
      <c r="LS50" s="220">
        <f t="shared" ca="1" si="691"/>
        <v>0</v>
      </c>
      <c r="LT50" s="220">
        <f t="shared" ca="1" si="692"/>
        <v>0</v>
      </c>
      <c r="LU50" s="235">
        <f t="shared" ca="1" si="288"/>
        <v>0</v>
      </c>
      <c r="LV50" s="235">
        <f t="shared" ca="1" si="289"/>
        <v>0</v>
      </c>
      <c r="LW50" s="242">
        <f t="shared" ca="1" si="290"/>
        <v>0</v>
      </c>
      <c r="LX50" s="241">
        <f t="shared" ca="1" si="571"/>
        <v>1</v>
      </c>
      <c r="LY50" s="220">
        <f t="shared" ca="1" si="693"/>
        <v>0</v>
      </c>
      <c r="LZ50" s="220">
        <f t="shared" ca="1" si="694"/>
        <v>0</v>
      </c>
      <c r="MA50" s="235">
        <f t="shared" ca="1" si="293"/>
        <v>0</v>
      </c>
      <c r="MB50" s="235">
        <f t="shared" ca="1" si="294"/>
        <v>0</v>
      </c>
      <c r="MC50" s="242">
        <f t="shared" ca="1" si="295"/>
        <v>0</v>
      </c>
      <c r="MD50" s="241">
        <f t="shared" ca="1" si="564"/>
        <v>1</v>
      </c>
      <c r="ME50" s="220">
        <f t="shared" ca="1" si="695"/>
        <v>0</v>
      </c>
      <c r="MF50" s="220">
        <f t="shared" ca="1" si="696"/>
        <v>0</v>
      </c>
      <c r="MG50" s="235">
        <f t="shared" ca="1" si="298"/>
        <v>0</v>
      </c>
      <c r="MH50" s="235">
        <f t="shared" ca="1" si="299"/>
        <v>0</v>
      </c>
      <c r="MI50" s="242">
        <f t="shared" ca="1" si="300"/>
        <v>0</v>
      </c>
      <c r="MJ50" s="241">
        <f t="shared" ca="1" si="564"/>
        <v>1</v>
      </c>
      <c r="MK50" s="220">
        <f t="shared" ca="1" si="697"/>
        <v>0</v>
      </c>
      <c r="ML50" s="220">
        <f t="shared" ca="1" si="698"/>
        <v>0</v>
      </c>
      <c r="MM50" s="235">
        <f t="shared" ca="1" si="303"/>
        <v>0</v>
      </c>
      <c r="MN50" s="235">
        <f t="shared" ca="1" si="304"/>
        <v>0</v>
      </c>
      <c r="MO50" s="242">
        <f t="shared" ca="1" si="305"/>
        <v>0</v>
      </c>
      <c r="MP50" s="241">
        <f t="shared" ca="1" si="572"/>
        <v>1</v>
      </c>
      <c r="MQ50" s="220">
        <f t="shared" ca="1" si="699"/>
        <v>0</v>
      </c>
      <c r="MR50" s="220">
        <f t="shared" ca="1" si="700"/>
        <v>0</v>
      </c>
      <c r="MS50" s="235">
        <f t="shared" ca="1" si="308"/>
        <v>0</v>
      </c>
      <c r="MT50" s="235">
        <f t="shared" ca="1" si="309"/>
        <v>0</v>
      </c>
      <c r="MU50" s="242">
        <f t="shared" ca="1" si="310"/>
        <v>0</v>
      </c>
      <c r="MV50" s="241">
        <f t="shared" ca="1" si="572"/>
        <v>1</v>
      </c>
      <c r="MW50" s="220">
        <f t="shared" ca="1" si="701"/>
        <v>0</v>
      </c>
      <c r="MX50" s="220">
        <f t="shared" ca="1" si="702"/>
        <v>0</v>
      </c>
      <c r="MY50" s="235">
        <f t="shared" ca="1" si="313"/>
        <v>0</v>
      </c>
      <c r="MZ50" s="235">
        <f t="shared" ca="1" si="314"/>
        <v>0</v>
      </c>
      <c r="NA50" s="242">
        <f t="shared" ca="1" si="315"/>
        <v>0</v>
      </c>
      <c r="NB50" s="241">
        <f t="shared" ca="1" si="572"/>
        <v>1</v>
      </c>
      <c r="NC50" s="220">
        <f t="shared" ca="1" si="703"/>
        <v>0</v>
      </c>
      <c r="ND50" s="220">
        <f t="shared" ca="1" si="704"/>
        <v>0</v>
      </c>
      <c r="NE50" s="235">
        <f t="shared" ca="1" si="318"/>
        <v>0</v>
      </c>
      <c r="NF50" s="235">
        <f t="shared" ca="1" si="319"/>
        <v>0</v>
      </c>
      <c r="NG50" s="242">
        <f t="shared" ca="1" si="320"/>
        <v>0</v>
      </c>
      <c r="NH50" s="241">
        <f t="shared" ca="1" si="572"/>
        <v>1</v>
      </c>
      <c r="NI50" s="220">
        <f t="shared" ca="1" si="705"/>
        <v>0</v>
      </c>
      <c r="NJ50" s="220">
        <f t="shared" ca="1" si="706"/>
        <v>0</v>
      </c>
      <c r="NK50" s="235">
        <f t="shared" ca="1" si="323"/>
        <v>0</v>
      </c>
      <c r="NL50" s="235">
        <f t="shared" ca="1" si="324"/>
        <v>0</v>
      </c>
      <c r="NM50" s="242">
        <f t="shared" ca="1" si="325"/>
        <v>0</v>
      </c>
      <c r="NN50" s="241">
        <f t="shared" ca="1" si="572"/>
        <v>1</v>
      </c>
      <c r="NO50" s="220">
        <f t="shared" ca="1" si="707"/>
        <v>0</v>
      </c>
      <c r="NP50" s="220">
        <f t="shared" ca="1" si="708"/>
        <v>0</v>
      </c>
      <c r="NQ50" s="235">
        <f t="shared" ca="1" si="328"/>
        <v>0</v>
      </c>
      <c r="NR50" s="235">
        <f t="shared" ca="1" si="329"/>
        <v>0</v>
      </c>
      <c r="NS50" s="242">
        <f t="shared" ca="1" si="330"/>
        <v>0</v>
      </c>
      <c r="NT50" s="241">
        <f t="shared" ca="1" si="572"/>
        <v>1</v>
      </c>
      <c r="NU50" s="220">
        <f t="shared" ca="1" si="709"/>
        <v>0</v>
      </c>
      <c r="NV50" s="220">
        <f t="shared" ca="1" si="710"/>
        <v>0</v>
      </c>
      <c r="NW50" s="235">
        <f t="shared" ca="1" si="334"/>
        <v>0</v>
      </c>
      <c r="NX50" s="235">
        <f t="shared" ca="1" si="335"/>
        <v>0</v>
      </c>
      <c r="NY50" s="242">
        <f t="shared" ca="1" si="336"/>
        <v>0</v>
      </c>
      <c r="NZ50" s="241">
        <f t="shared" ca="1" si="572"/>
        <v>1</v>
      </c>
      <c r="OA50" s="220">
        <f t="shared" ca="1" si="711"/>
        <v>0</v>
      </c>
      <c r="OB50" s="220">
        <f t="shared" ca="1" si="712"/>
        <v>0</v>
      </c>
      <c r="OC50" s="235">
        <f t="shared" ca="1" si="339"/>
        <v>0</v>
      </c>
      <c r="OD50" s="235">
        <f t="shared" ca="1" si="340"/>
        <v>0</v>
      </c>
      <c r="OE50" s="242">
        <f t="shared" ca="1" si="341"/>
        <v>0</v>
      </c>
      <c r="OF50" s="241">
        <f t="shared" ca="1" si="572"/>
        <v>1</v>
      </c>
      <c r="OG50" s="220">
        <f t="shared" ca="1" si="713"/>
        <v>0</v>
      </c>
      <c r="OH50" s="220">
        <f t="shared" ca="1" si="714"/>
        <v>0</v>
      </c>
      <c r="OI50" s="235">
        <f t="shared" ca="1" si="344"/>
        <v>0</v>
      </c>
      <c r="OJ50" s="235">
        <f t="shared" ca="1" si="345"/>
        <v>0</v>
      </c>
      <c r="OK50" s="242">
        <f t="shared" ca="1" si="346"/>
        <v>0</v>
      </c>
      <c r="OL50" s="241">
        <f t="shared" ca="1" si="572"/>
        <v>1</v>
      </c>
      <c r="OM50" s="220">
        <f t="shared" ca="1" si="715"/>
        <v>0</v>
      </c>
      <c r="ON50" s="220">
        <f t="shared" ca="1" si="716"/>
        <v>0</v>
      </c>
      <c r="OO50" s="235">
        <f t="shared" ca="1" si="349"/>
        <v>0</v>
      </c>
      <c r="OP50" s="235">
        <f t="shared" ca="1" si="350"/>
        <v>0</v>
      </c>
      <c r="OQ50" s="242">
        <f t="shared" ca="1" si="351"/>
        <v>0</v>
      </c>
      <c r="OR50" s="241">
        <f t="shared" ca="1" si="572"/>
        <v>1</v>
      </c>
      <c r="OS50" s="220">
        <f t="shared" ca="1" si="717"/>
        <v>0</v>
      </c>
      <c r="OT50" s="220">
        <f t="shared" ca="1" si="718"/>
        <v>0</v>
      </c>
      <c r="OU50" s="235">
        <f t="shared" ca="1" si="354"/>
        <v>0</v>
      </c>
      <c r="OV50" s="235">
        <f t="shared" ca="1" si="355"/>
        <v>0</v>
      </c>
      <c r="OW50" s="242">
        <f t="shared" ca="1" si="356"/>
        <v>0</v>
      </c>
      <c r="OX50" s="241">
        <f t="shared" ca="1" si="572"/>
        <v>1</v>
      </c>
      <c r="OY50" s="220">
        <f t="shared" ca="1" si="719"/>
        <v>0</v>
      </c>
      <c r="OZ50" s="220">
        <f t="shared" ca="1" si="720"/>
        <v>0</v>
      </c>
      <c r="PA50" s="235">
        <f t="shared" ca="1" si="359"/>
        <v>0</v>
      </c>
      <c r="PB50" s="235">
        <f t="shared" ca="1" si="360"/>
        <v>0</v>
      </c>
      <c r="PC50" s="242">
        <f t="shared" ca="1" si="361"/>
        <v>0</v>
      </c>
      <c r="PD50" s="241">
        <f t="shared" ca="1" si="565"/>
        <v>1</v>
      </c>
      <c r="PE50" s="220">
        <f t="shared" ca="1" si="721"/>
        <v>0</v>
      </c>
      <c r="PF50" s="220">
        <f t="shared" ca="1" si="722"/>
        <v>0</v>
      </c>
      <c r="PG50" s="235">
        <f t="shared" ca="1" si="364"/>
        <v>0</v>
      </c>
      <c r="PH50" s="235">
        <f t="shared" ca="1" si="365"/>
        <v>0</v>
      </c>
      <c r="PI50" s="242">
        <f t="shared" ca="1" si="366"/>
        <v>0</v>
      </c>
      <c r="PJ50" s="241">
        <f t="shared" ca="1" si="565"/>
        <v>1</v>
      </c>
      <c r="PK50" s="220">
        <f t="shared" ca="1" si="723"/>
        <v>0</v>
      </c>
      <c r="PL50" s="220">
        <f t="shared" ca="1" si="724"/>
        <v>0</v>
      </c>
      <c r="PM50" s="235">
        <f t="shared" ca="1" si="369"/>
        <v>0</v>
      </c>
      <c r="PN50" s="235">
        <f t="shared" ca="1" si="370"/>
        <v>0</v>
      </c>
      <c r="PO50" s="242">
        <f t="shared" ca="1" si="371"/>
        <v>0</v>
      </c>
      <c r="PP50" s="241">
        <f t="shared" ca="1" si="573"/>
        <v>1</v>
      </c>
      <c r="PQ50" s="220">
        <f t="shared" ca="1" si="725"/>
        <v>0</v>
      </c>
      <c r="PR50" s="220">
        <f t="shared" ca="1" si="726"/>
        <v>0</v>
      </c>
      <c r="PS50" s="235">
        <f t="shared" ca="1" si="374"/>
        <v>0</v>
      </c>
      <c r="PT50" s="235">
        <f t="shared" ca="1" si="375"/>
        <v>0</v>
      </c>
      <c r="PU50" s="242">
        <f t="shared" ca="1" si="376"/>
        <v>0</v>
      </c>
      <c r="PV50" s="241">
        <f t="shared" ca="1" si="573"/>
        <v>1</v>
      </c>
      <c r="PW50" s="220">
        <f t="shared" ca="1" si="727"/>
        <v>0</v>
      </c>
      <c r="PX50" s="220">
        <f t="shared" ca="1" si="728"/>
        <v>0</v>
      </c>
      <c r="PY50" s="235">
        <f t="shared" ca="1" si="379"/>
        <v>0</v>
      </c>
      <c r="PZ50" s="235">
        <f t="shared" ca="1" si="380"/>
        <v>0</v>
      </c>
      <c r="QA50" s="242">
        <f t="shared" ca="1" si="381"/>
        <v>0</v>
      </c>
      <c r="QB50" s="241">
        <f t="shared" ca="1" si="573"/>
        <v>1</v>
      </c>
      <c r="QC50" s="220">
        <f t="shared" ca="1" si="729"/>
        <v>0</v>
      </c>
      <c r="QD50" s="220">
        <f t="shared" ca="1" si="730"/>
        <v>0</v>
      </c>
      <c r="QE50" s="235">
        <f t="shared" ca="1" si="384"/>
        <v>0</v>
      </c>
      <c r="QF50" s="235">
        <f t="shared" ca="1" si="385"/>
        <v>0</v>
      </c>
      <c r="QG50" s="242">
        <f t="shared" ca="1" si="386"/>
        <v>0</v>
      </c>
      <c r="QH50" s="241">
        <f t="shared" ca="1" si="573"/>
        <v>1</v>
      </c>
      <c r="QI50" s="220">
        <f t="shared" ca="1" si="731"/>
        <v>0</v>
      </c>
      <c r="QJ50" s="220">
        <f t="shared" ca="1" si="732"/>
        <v>0</v>
      </c>
      <c r="QK50" s="235">
        <f t="shared" ca="1" si="390"/>
        <v>0</v>
      </c>
      <c r="QL50" s="235">
        <f t="shared" ca="1" si="391"/>
        <v>0</v>
      </c>
      <c r="QM50" s="242">
        <f t="shared" ca="1" si="392"/>
        <v>0</v>
      </c>
      <c r="QN50" s="241">
        <f t="shared" ca="1" si="573"/>
        <v>1</v>
      </c>
      <c r="QO50" s="220">
        <f t="shared" ca="1" si="733"/>
        <v>0</v>
      </c>
      <c r="QP50" s="220">
        <f t="shared" ca="1" si="734"/>
        <v>0</v>
      </c>
      <c r="QQ50" s="235">
        <f t="shared" ca="1" si="395"/>
        <v>0</v>
      </c>
      <c r="QR50" s="235">
        <f t="shared" ca="1" si="396"/>
        <v>0</v>
      </c>
      <c r="QS50" s="242">
        <f t="shared" ca="1" si="397"/>
        <v>0</v>
      </c>
      <c r="QT50" s="241">
        <f t="shared" ca="1" si="573"/>
        <v>1</v>
      </c>
      <c r="QU50" s="220">
        <f t="shared" ca="1" si="735"/>
        <v>0</v>
      </c>
      <c r="QV50" s="220">
        <f t="shared" ca="1" si="736"/>
        <v>0</v>
      </c>
      <c r="QW50" s="235">
        <f t="shared" ca="1" si="400"/>
        <v>0</v>
      </c>
      <c r="QX50" s="235">
        <f t="shared" ca="1" si="401"/>
        <v>0</v>
      </c>
      <c r="QY50" s="242">
        <f t="shared" ca="1" si="402"/>
        <v>0</v>
      </c>
      <c r="QZ50" s="241">
        <f t="shared" ca="1" si="573"/>
        <v>1</v>
      </c>
      <c r="RA50" s="220">
        <f t="shared" ca="1" si="737"/>
        <v>0</v>
      </c>
      <c r="RB50" s="220">
        <f t="shared" ca="1" si="738"/>
        <v>0</v>
      </c>
      <c r="RC50" s="235">
        <f t="shared" ca="1" si="405"/>
        <v>0</v>
      </c>
      <c r="RD50" s="235">
        <f t="shared" ca="1" si="406"/>
        <v>0</v>
      </c>
      <c r="RE50" s="242">
        <f t="shared" ca="1" si="407"/>
        <v>0</v>
      </c>
      <c r="RF50" s="241">
        <f t="shared" ca="1" si="573"/>
        <v>1</v>
      </c>
      <c r="RG50" s="220">
        <f t="shared" ca="1" si="739"/>
        <v>0</v>
      </c>
      <c r="RH50" s="220">
        <f t="shared" ca="1" si="740"/>
        <v>0</v>
      </c>
      <c r="RI50" s="235">
        <f t="shared" ca="1" si="410"/>
        <v>0</v>
      </c>
      <c r="RJ50" s="235">
        <f t="shared" ca="1" si="411"/>
        <v>0</v>
      </c>
      <c r="RK50" s="242">
        <f t="shared" ca="1" si="412"/>
        <v>0</v>
      </c>
      <c r="RL50" s="241">
        <f t="shared" ca="1" si="573"/>
        <v>1</v>
      </c>
      <c r="RM50" s="220">
        <f t="shared" ca="1" si="741"/>
        <v>0</v>
      </c>
      <c r="RN50" s="220">
        <f t="shared" ca="1" si="742"/>
        <v>0</v>
      </c>
      <c r="RO50" s="235">
        <f t="shared" ca="1" si="415"/>
        <v>0</v>
      </c>
      <c r="RP50" s="235">
        <f t="shared" ca="1" si="416"/>
        <v>0</v>
      </c>
      <c r="RQ50" s="242">
        <f t="shared" ca="1" si="417"/>
        <v>0</v>
      </c>
      <c r="RR50" s="241">
        <f t="shared" ca="1" si="573"/>
        <v>1</v>
      </c>
      <c r="RS50" s="220">
        <f t="shared" ca="1" si="743"/>
        <v>0</v>
      </c>
      <c r="RT50" s="220">
        <f t="shared" ca="1" si="744"/>
        <v>0</v>
      </c>
      <c r="RU50" s="235">
        <f t="shared" ca="1" si="420"/>
        <v>0</v>
      </c>
      <c r="RV50" s="235">
        <f t="shared" ca="1" si="421"/>
        <v>0</v>
      </c>
      <c r="RW50" s="242">
        <f t="shared" ca="1" si="422"/>
        <v>0</v>
      </c>
      <c r="RX50" s="241">
        <f t="shared" ca="1" si="573"/>
        <v>1</v>
      </c>
      <c r="RY50" s="220">
        <f t="shared" ca="1" si="745"/>
        <v>0</v>
      </c>
      <c r="RZ50" s="220">
        <f t="shared" ca="1" si="746"/>
        <v>0</v>
      </c>
      <c r="SA50" s="235">
        <f t="shared" ca="1" si="425"/>
        <v>0</v>
      </c>
      <c r="SB50" s="235">
        <f t="shared" ca="1" si="426"/>
        <v>0</v>
      </c>
      <c r="SC50" s="242">
        <f t="shared" ca="1" si="427"/>
        <v>0</v>
      </c>
      <c r="SD50" s="241">
        <f t="shared" ca="1" si="566"/>
        <v>1</v>
      </c>
      <c r="SE50" s="220">
        <f t="shared" ca="1" si="747"/>
        <v>0</v>
      </c>
      <c r="SF50" s="220">
        <f t="shared" ca="1" si="748"/>
        <v>0</v>
      </c>
      <c r="SG50" s="235">
        <f t="shared" ca="1" si="430"/>
        <v>0</v>
      </c>
      <c r="SH50" s="235">
        <f t="shared" ca="1" si="431"/>
        <v>0</v>
      </c>
      <c r="SI50" s="242">
        <f t="shared" ca="1" si="432"/>
        <v>0</v>
      </c>
      <c r="SJ50" s="241">
        <f t="shared" ca="1" si="566"/>
        <v>1</v>
      </c>
      <c r="SK50" s="220">
        <f t="shared" ca="1" si="749"/>
        <v>0</v>
      </c>
      <c r="SL50" s="220">
        <f t="shared" ca="1" si="750"/>
        <v>0</v>
      </c>
      <c r="SM50" s="235">
        <f t="shared" ca="1" si="435"/>
        <v>0</v>
      </c>
      <c r="SN50" s="235">
        <f t="shared" ca="1" si="436"/>
        <v>0</v>
      </c>
      <c r="SO50" s="242">
        <f t="shared" ca="1" si="437"/>
        <v>0</v>
      </c>
      <c r="SP50" s="241">
        <f t="shared" ca="1" si="576"/>
        <v>1</v>
      </c>
      <c r="SQ50" s="220">
        <f t="shared" ca="1" si="751"/>
        <v>0</v>
      </c>
      <c r="SR50" s="220">
        <f t="shared" ca="1" si="752"/>
        <v>0</v>
      </c>
      <c r="SS50" s="235">
        <f t="shared" ca="1" si="440"/>
        <v>0</v>
      </c>
      <c r="ST50" s="235">
        <f t="shared" ca="1" si="441"/>
        <v>0</v>
      </c>
      <c r="SU50" s="242">
        <f t="shared" ca="1" si="442"/>
        <v>0</v>
      </c>
      <c r="SV50" s="241">
        <f t="shared" ca="1" si="576"/>
        <v>1</v>
      </c>
      <c r="SW50" s="220">
        <f t="shared" ca="1" si="753"/>
        <v>0</v>
      </c>
      <c r="SX50" s="220">
        <f t="shared" ca="1" si="754"/>
        <v>0</v>
      </c>
      <c r="SY50" s="235">
        <f t="shared" ca="1" si="446"/>
        <v>0</v>
      </c>
      <c r="SZ50" s="235">
        <f t="shared" ca="1" si="447"/>
        <v>0</v>
      </c>
      <c r="TA50" s="242">
        <f t="shared" ca="1" si="448"/>
        <v>0</v>
      </c>
      <c r="TB50" s="241">
        <f t="shared" ca="1" si="576"/>
        <v>1</v>
      </c>
      <c r="TC50" s="220">
        <f t="shared" ca="1" si="755"/>
        <v>0</v>
      </c>
      <c r="TD50" s="220">
        <f t="shared" ca="1" si="756"/>
        <v>0</v>
      </c>
      <c r="TE50" s="235">
        <f t="shared" ca="1" si="451"/>
        <v>0</v>
      </c>
      <c r="TF50" s="235">
        <f t="shared" ca="1" si="452"/>
        <v>0</v>
      </c>
      <c r="TG50" s="242">
        <f t="shared" ca="1" si="453"/>
        <v>0</v>
      </c>
      <c r="TH50" s="241">
        <f t="shared" ca="1" si="576"/>
        <v>1</v>
      </c>
      <c r="TI50" s="220">
        <f t="shared" ca="1" si="757"/>
        <v>0</v>
      </c>
      <c r="TJ50" s="220">
        <f t="shared" ca="1" si="758"/>
        <v>0</v>
      </c>
      <c r="TK50" s="235">
        <f t="shared" ca="1" si="456"/>
        <v>0</v>
      </c>
      <c r="TL50" s="235">
        <f t="shared" ca="1" si="457"/>
        <v>0</v>
      </c>
      <c r="TM50" s="242">
        <f t="shared" ca="1" si="458"/>
        <v>0</v>
      </c>
      <c r="TN50" s="241">
        <f t="shared" ca="1" si="576"/>
        <v>1</v>
      </c>
      <c r="TO50" s="220">
        <f t="shared" ca="1" si="759"/>
        <v>0</v>
      </c>
      <c r="TP50" s="220">
        <f t="shared" ca="1" si="760"/>
        <v>0</v>
      </c>
      <c r="TQ50" s="235">
        <f t="shared" ca="1" si="461"/>
        <v>0</v>
      </c>
      <c r="TR50" s="235">
        <f t="shared" ca="1" si="462"/>
        <v>0</v>
      </c>
      <c r="TS50" s="242">
        <f t="shared" ca="1" si="463"/>
        <v>0</v>
      </c>
      <c r="TT50" s="241">
        <f t="shared" ca="1" si="576"/>
        <v>1</v>
      </c>
      <c r="TU50" s="220">
        <f t="shared" ca="1" si="761"/>
        <v>0</v>
      </c>
      <c r="TV50" s="220">
        <f t="shared" ca="1" si="762"/>
        <v>0</v>
      </c>
      <c r="TW50" s="235">
        <f t="shared" ca="1" si="466"/>
        <v>0</v>
      </c>
      <c r="TX50" s="235">
        <f t="shared" ca="1" si="467"/>
        <v>0</v>
      </c>
      <c r="TY50" s="242">
        <f t="shared" ca="1" si="468"/>
        <v>0</v>
      </c>
      <c r="TZ50" s="241">
        <f t="shared" ca="1" si="576"/>
        <v>1</v>
      </c>
      <c r="UA50" s="220">
        <f t="shared" ca="1" si="763"/>
        <v>0</v>
      </c>
      <c r="UB50" s="220">
        <f t="shared" ca="1" si="764"/>
        <v>0</v>
      </c>
      <c r="UC50" s="235">
        <f t="shared" ca="1" si="471"/>
        <v>0</v>
      </c>
      <c r="UD50" s="235">
        <f t="shared" ca="1" si="472"/>
        <v>0</v>
      </c>
      <c r="UE50" s="242">
        <f t="shared" ca="1" si="473"/>
        <v>0</v>
      </c>
      <c r="UF50" s="241">
        <f t="shared" ca="1" si="576"/>
        <v>1</v>
      </c>
      <c r="UG50" s="220">
        <f t="shared" ca="1" si="765"/>
        <v>0</v>
      </c>
      <c r="UH50" s="220">
        <f t="shared" ca="1" si="766"/>
        <v>0</v>
      </c>
      <c r="UI50" s="235">
        <f t="shared" ca="1" si="476"/>
        <v>0</v>
      </c>
      <c r="UJ50" s="235">
        <f t="shared" ca="1" si="477"/>
        <v>0</v>
      </c>
      <c r="UK50" s="242">
        <f t="shared" ca="1" si="478"/>
        <v>0</v>
      </c>
      <c r="UL50" s="241">
        <f t="shared" ca="1" si="576"/>
        <v>1</v>
      </c>
      <c r="UM50" s="220">
        <f t="shared" ca="1" si="767"/>
        <v>0</v>
      </c>
      <c r="UN50" s="220">
        <f t="shared" ca="1" si="768"/>
        <v>0</v>
      </c>
      <c r="UO50" s="235">
        <f t="shared" ca="1" si="481"/>
        <v>0</v>
      </c>
      <c r="UP50" s="235">
        <f t="shared" ca="1" si="482"/>
        <v>0</v>
      </c>
      <c r="UQ50" s="242">
        <f t="shared" ca="1" si="483"/>
        <v>0</v>
      </c>
      <c r="UR50" s="241">
        <f t="shared" ca="1" si="576"/>
        <v>1</v>
      </c>
      <c r="US50" s="220">
        <f t="shared" ca="1" si="769"/>
        <v>0</v>
      </c>
      <c r="UT50" s="220">
        <f t="shared" ca="1" si="770"/>
        <v>0</v>
      </c>
      <c r="UU50" s="235">
        <f t="shared" ca="1" si="486"/>
        <v>0</v>
      </c>
      <c r="UV50" s="235">
        <f t="shared" ca="1" si="487"/>
        <v>0</v>
      </c>
      <c r="UW50" s="242">
        <f t="shared" ca="1" si="488"/>
        <v>0</v>
      </c>
      <c r="UX50" s="241">
        <f t="shared" ca="1" si="576"/>
        <v>1</v>
      </c>
      <c r="UY50" s="220">
        <f t="shared" ca="1" si="771"/>
        <v>0</v>
      </c>
      <c r="UZ50" s="220">
        <f t="shared" ca="1" si="772"/>
        <v>0</v>
      </c>
      <c r="VA50" s="235">
        <f t="shared" ca="1" si="491"/>
        <v>0</v>
      </c>
      <c r="VB50" s="235">
        <f t="shared" ca="1" si="492"/>
        <v>0</v>
      </c>
      <c r="VC50" s="242">
        <f t="shared" ca="1" si="493"/>
        <v>0</v>
      </c>
      <c r="VD50" s="241">
        <f t="shared" ca="1" si="574"/>
        <v>1</v>
      </c>
      <c r="VE50" s="220">
        <f t="shared" ca="1" si="773"/>
        <v>0</v>
      </c>
      <c r="VF50" s="220">
        <f t="shared" ca="1" si="774"/>
        <v>0</v>
      </c>
      <c r="VG50" s="235">
        <f t="shared" ca="1" si="496"/>
        <v>0</v>
      </c>
      <c r="VH50" s="235">
        <f t="shared" ca="1" si="497"/>
        <v>0</v>
      </c>
      <c r="VI50" s="242">
        <f t="shared" ca="1" si="498"/>
        <v>0</v>
      </c>
      <c r="VJ50" s="241">
        <f t="shared" ca="1" si="567"/>
        <v>1</v>
      </c>
      <c r="VK50" s="220">
        <f t="shared" ca="1" si="775"/>
        <v>0</v>
      </c>
      <c r="VL50" s="220">
        <f t="shared" ca="1" si="776"/>
        <v>0</v>
      </c>
      <c r="VM50" s="235">
        <f t="shared" ca="1" si="502"/>
        <v>0</v>
      </c>
      <c r="VN50" s="235">
        <f t="shared" ca="1" si="503"/>
        <v>0</v>
      </c>
      <c r="VO50" s="242">
        <f t="shared" ca="1" si="504"/>
        <v>0</v>
      </c>
      <c r="VP50" s="241">
        <f t="shared" ca="1" si="567"/>
        <v>1</v>
      </c>
      <c r="VQ50" s="220">
        <f t="shared" ca="1" si="777"/>
        <v>0</v>
      </c>
      <c r="VR50" s="220">
        <f t="shared" ca="1" si="778"/>
        <v>0</v>
      </c>
      <c r="VS50" s="235">
        <f t="shared" ca="1" si="507"/>
        <v>0</v>
      </c>
      <c r="VT50" s="235">
        <f t="shared" ca="1" si="508"/>
        <v>0</v>
      </c>
      <c r="VU50" s="242">
        <f t="shared" ca="1" si="509"/>
        <v>0</v>
      </c>
      <c r="VV50" s="241">
        <f t="shared" ca="1" si="578"/>
        <v>1</v>
      </c>
      <c r="VW50" s="220">
        <f t="shared" ca="1" si="779"/>
        <v>0</v>
      </c>
      <c r="VX50" s="220">
        <f t="shared" ca="1" si="780"/>
        <v>0</v>
      </c>
      <c r="VY50" s="235">
        <f t="shared" ca="1" si="512"/>
        <v>0</v>
      </c>
      <c r="VZ50" s="235">
        <f t="shared" ca="1" si="513"/>
        <v>0</v>
      </c>
      <c r="WA50" s="242">
        <f t="shared" ca="1" si="514"/>
        <v>0</v>
      </c>
      <c r="WB50" s="241">
        <f t="shared" ca="1" si="578"/>
        <v>1</v>
      </c>
      <c r="WC50" s="220">
        <f t="shared" ca="1" si="781"/>
        <v>0</v>
      </c>
      <c r="WD50" s="220">
        <f t="shared" ca="1" si="782"/>
        <v>0</v>
      </c>
      <c r="WE50" s="235">
        <f t="shared" ca="1" si="517"/>
        <v>0</v>
      </c>
      <c r="WF50" s="235">
        <f t="shared" ca="1" si="518"/>
        <v>0</v>
      </c>
      <c r="WG50" s="242">
        <f t="shared" ca="1" si="519"/>
        <v>0</v>
      </c>
      <c r="WH50" s="241">
        <f t="shared" ca="1" si="578"/>
        <v>1</v>
      </c>
      <c r="WI50" s="220">
        <f t="shared" ca="1" si="783"/>
        <v>0</v>
      </c>
      <c r="WJ50" s="220">
        <f t="shared" ca="1" si="784"/>
        <v>0</v>
      </c>
      <c r="WK50" s="235">
        <f t="shared" ca="1" si="522"/>
        <v>0</v>
      </c>
      <c r="WL50" s="235">
        <f t="shared" ca="1" si="523"/>
        <v>0</v>
      </c>
      <c r="WM50" s="242">
        <f t="shared" ca="1" si="524"/>
        <v>0</v>
      </c>
      <c r="WN50" s="241">
        <f t="shared" ca="1" si="578"/>
        <v>1</v>
      </c>
      <c r="WO50" s="220">
        <f t="shared" ca="1" si="785"/>
        <v>0</v>
      </c>
      <c r="WP50" s="220">
        <f t="shared" ca="1" si="786"/>
        <v>0</v>
      </c>
      <c r="WQ50" s="235">
        <f t="shared" ca="1" si="527"/>
        <v>0</v>
      </c>
      <c r="WR50" s="235">
        <f t="shared" ca="1" si="528"/>
        <v>0</v>
      </c>
      <c r="WS50" s="242">
        <f t="shared" ca="1" si="529"/>
        <v>0</v>
      </c>
      <c r="WT50" s="241">
        <f t="shared" ca="1" si="578"/>
        <v>1</v>
      </c>
      <c r="WU50" s="220">
        <f t="shared" ca="1" si="787"/>
        <v>0</v>
      </c>
      <c r="WV50" s="220">
        <f t="shared" ca="1" si="788"/>
        <v>0</v>
      </c>
      <c r="WW50" s="235">
        <f t="shared" ca="1" si="532"/>
        <v>0</v>
      </c>
      <c r="WX50" s="235">
        <f t="shared" ca="1" si="533"/>
        <v>0</v>
      </c>
      <c r="WY50" s="242">
        <f t="shared" ca="1" si="534"/>
        <v>0</v>
      </c>
      <c r="WZ50" s="241">
        <f t="shared" ca="1" si="578"/>
        <v>1</v>
      </c>
      <c r="XA50" s="220">
        <f t="shared" ca="1" si="789"/>
        <v>0</v>
      </c>
      <c r="XB50" s="220">
        <f t="shared" ca="1" si="790"/>
        <v>0</v>
      </c>
      <c r="XC50" s="235">
        <f t="shared" ca="1" si="537"/>
        <v>0</v>
      </c>
      <c r="XD50" s="235">
        <f t="shared" ca="1" si="538"/>
        <v>0</v>
      </c>
      <c r="XE50" s="242">
        <f t="shared" ca="1" si="539"/>
        <v>0</v>
      </c>
      <c r="XF50" s="241">
        <f t="shared" ca="1" si="578"/>
        <v>1</v>
      </c>
      <c r="XG50" s="220">
        <f t="shared" ca="1" si="791"/>
        <v>0</v>
      </c>
      <c r="XH50" s="220">
        <f t="shared" ca="1" si="792"/>
        <v>0</v>
      </c>
      <c r="XI50" s="235">
        <f t="shared" ca="1" si="542"/>
        <v>0</v>
      </c>
      <c r="XJ50" s="235">
        <f t="shared" ca="1" si="543"/>
        <v>0</v>
      </c>
      <c r="XK50" s="242">
        <f t="shared" ca="1" si="544"/>
        <v>0</v>
      </c>
    </row>
    <row r="51" spans="2:635" x14ac:dyDescent="0.25">
      <c r="B51" s="65">
        <f t="shared" ca="1" si="14"/>
        <v>2066</v>
      </c>
      <c r="C51" s="65" t="s">
        <v>741</v>
      </c>
      <c r="D51" s="77">
        <f t="shared" si="580"/>
        <v>0</v>
      </c>
      <c r="E51" s="77">
        <f t="shared" si="581"/>
        <v>0</v>
      </c>
      <c r="F51" s="77">
        <f t="shared" si="17"/>
        <v>0</v>
      </c>
      <c r="G51" s="77">
        <f t="shared" si="18"/>
        <v>0</v>
      </c>
      <c r="H51" s="15" t="e">
        <f t="shared" ca="1" si="582"/>
        <v>#REF!</v>
      </c>
      <c r="L51" s="326">
        <f t="shared" ca="1" si="583"/>
        <v>3.5000000000000003E-2</v>
      </c>
      <c r="M51" s="327">
        <f t="shared" ca="1" si="584"/>
        <v>3.5000000000000003E-2</v>
      </c>
      <c r="N51" s="322">
        <f t="shared" ca="1" si="579"/>
        <v>-43</v>
      </c>
      <c r="O51" s="322">
        <f t="shared" ca="1" si="585"/>
        <v>0</v>
      </c>
      <c r="P51" s="328">
        <f t="shared" ca="1" si="545"/>
        <v>0</v>
      </c>
      <c r="Q51" s="328">
        <f t="shared" ca="1" si="546"/>
        <v>0</v>
      </c>
      <c r="R51" s="328">
        <f t="shared" ca="1" si="547"/>
        <v>0</v>
      </c>
      <c r="S51" s="329">
        <f t="shared" ca="1" si="586"/>
        <v>0</v>
      </c>
      <c r="T51" s="329">
        <f t="shared" ca="1" si="587"/>
        <v>0</v>
      </c>
      <c r="U51" s="329">
        <f t="shared" ca="1" si="588"/>
        <v>0</v>
      </c>
      <c r="V51" s="320" t="e">
        <f t="shared" ca="1" si="589"/>
        <v>#REF!</v>
      </c>
      <c r="W51" s="320" t="e">
        <f t="shared" ca="1" si="560"/>
        <v>#REF!</v>
      </c>
      <c r="X51" s="320" t="e">
        <f t="shared" ca="1" si="590"/>
        <v>#REF!</v>
      </c>
      <c r="Y51" s="320" t="e">
        <f ca="1">INDEX(SC_ZA_HECMLumpSum,ZAIDX)</f>
        <v>#REF!</v>
      </c>
      <c r="Z51" s="320" t="e">
        <f t="shared" ca="1" si="591"/>
        <v>#REF!</v>
      </c>
      <c r="AA51" s="320">
        <f t="shared" ca="1" si="557"/>
        <v>0</v>
      </c>
      <c r="AB51" s="320" t="e">
        <f t="shared" ca="1" si="558"/>
        <v>#REF!</v>
      </c>
      <c r="AC51" s="330" t="e">
        <f t="shared" ca="1" si="559"/>
        <v>#REF!</v>
      </c>
      <c r="AD51" s="236" t="e">
        <f t="shared" ca="1" si="548"/>
        <v>#REF!</v>
      </c>
      <c r="AE51" s="320" t="e">
        <f t="shared" ca="1" si="561"/>
        <v>#REF!</v>
      </c>
      <c r="AF51" s="320" t="e">
        <f t="shared" ca="1" si="592"/>
        <v>#REF!</v>
      </c>
      <c r="AG51" s="320" t="e">
        <f t="shared" ca="1" si="549"/>
        <v>#REF!</v>
      </c>
      <c r="AH51" s="284" t="e">
        <f t="shared" ca="1" si="550"/>
        <v>#REF!</v>
      </c>
      <c r="AI51" s="318" t="e">
        <f t="shared" ca="1" si="551"/>
        <v>#REF!</v>
      </c>
      <c r="AJ51" s="331">
        <f t="shared" ca="1" si="575"/>
        <v>1</v>
      </c>
      <c r="AK51" s="220">
        <f t="shared" ca="1" si="593"/>
        <v>0</v>
      </c>
      <c r="AL51" s="220">
        <f t="shared" ca="1" si="594"/>
        <v>0</v>
      </c>
      <c r="AM51" s="235">
        <f t="shared" ca="1" si="554"/>
        <v>0</v>
      </c>
      <c r="AN51" s="235">
        <f t="shared" ca="1" si="555"/>
        <v>0</v>
      </c>
      <c r="AO51" s="242">
        <f t="shared" ca="1" si="556"/>
        <v>0</v>
      </c>
      <c r="AP51" s="241">
        <f t="shared" ca="1" si="575"/>
        <v>1</v>
      </c>
      <c r="AQ51" s="220">
        <f t="shared" ca="1" si="595"/>
        <v>0</v>
      </c>
      <c r="AR51" s="220">
        <f t="shared" ca="1" si="596"/>
        <v>0</v>
      </c>
      <c r="AS51" s="235">
        <f t="shared" ca="1" si="43"/>
        <v>0</v>
      </c>
      <c r="AT51" s="235">
        <f t="shared" ca="1" si="44"/>
        <v>0</v>
      </c>
      <c r="AU51" s="242">
        <f t="shared" ca="1" si="45"/>
        <v>0</v>
      </c>
      <c r="AV51" s="241">
        <f t="shared" ca="1" si="575"/>
        <v>1</v>
      </c>
      <c r="AW51" s="220">
        <f t="shared" ca="1" si="597"/>
        <v>0</v>
      </c>
      <c r="AX51" s="220">
        <f t="shared" ca="1" si="598"/>
        <v>0</v>
      </c>
      <c r="AY51" s="235">
        <f t="shared" ca="1" si="48"/>
        <v>0</v>
      </c>
      <c r="AZ51" s="235">
        <f t="shared" ca="1" si="49"/>
        <v>0</v>
      </c>
      <c r="BA51" s="242">
        <f t="shared" ca="1" si="50"/>
        <v>0</v>
      </c>
      <c r="BB51" s="241">
        <f t="shared" ca="1" si="575"/>
        <v>1</v>
      </c>
      <c r="BC51" s="220">
        <f t="shared" ca="1" si="599"/>
        <v>0</v>
      </c>
      <c r="BD51" s="220">
        <f t="shared" ca="1" si="600"/>
        <v>0</v>
      </c>
      <c r="BE51" s="235">
        <f t="shared" ca="1" si="54"/>
        <v>0</v>
      </c>
      <c r="BF51" s="235">
        <f t="shared" ca="1" si="55"/>
        <v>0</v>
      </c>
      <c r="BG51" s="242">
        <f t="shared" ca="1" si="56"/>
        <v>0</v>
      </c>
      <c r="BH51" s="241">
        <f t="shared" ca="1" si="575"/>
        <v>1</v>
      </c>
      <c r="BI51" s="220">
        <f t="shared" ca="1" si="601"/>
        <v>0</v>
      </c>
      <c r="BJ51" s="220">
        <f t="shared" ca="1" si="602"/>
        <v>0</v>
      </c>
      <c r="BK51" s="235">
        <f t="shared" ca="1" si="59"/>
        <v>0</v>
      </c>
      <c r="BL51" s="235">
        <f t="shared" ca="1" si="60"/>
        <v>0</v>
      </c>
      <c r="BM51" s="242">
        <f t="shared" ca="1" si="61"/>
        <v>0</v>
      </c>
      <c r="BN51" s="241">
        <f t="shared" ca="1" si="575"/>
        <v>1</v>
      </c>
      <c r="BO51" s="220">
        <f t="shared" ca="1" si="603"/>
        <v>0</v>
      </c>
      <c r="BP51" s="220">
        <f t="shared" ca="1" si="604"/>
        <v>0</v>
      </c>
      <c r="BQ51" s="235">
        <f t="shared" ca="1" si="64"/>
        <v>0</v>
      </c>
      <c r="BR51" s="235">
        <f t="shared" ca="1" si="65"/>
        <v>0</v>
      </c>
      <c r="BS51" s="242">
        <f t="shared" ca="1" si="66"/>
        <v>0</v>
      </c>
      <c r="BT51" s="241">
        <f t="shared" ca="1" si="575"/>
        <v>1</v>
      </c>
      <c r="BU51" s="220">
        <f t="shared" ca="1" si="605"/>
        <v>0</v>
      </c>
      <c r="BV51" s="220">
        <f t="shared" ca="1" si="606"/>
        <v>0</v>
      </c>
      <c r="BW51" s="235">
        <f t="shared" ca="1" si="69"/>
        <v>0</v>
      </c>
      <c r="BX51" s="235">
        <f t="shared" ca="1" si="70"/>
        <v>0</v>
      </c>
      <c r="BY51" s="242">
        <f t="shared" ca="1" si="71"/>
        <v>0</v>
      </c>
      <c r="BZ51" s="241">
        <f t="shared" ca="1" si="575"/>
        <v>1</v>
      </c>
      <c r="CA51" s="220">
        <f t="shared" ca="1" si="607"/>
        <v>0</v>
      </c>
      <c r="CB51" s="220">
        <f t="shared" ca="1" si="608"/>
        <v>0</v>
      </c>
      <c r="CC51" s="235">
        <f t="shared" ca="1" si="74"/>
        <v>0</v>
      </c>
      <c r="CD51" s="235">
        <f t="shared" ca="1" si="75"/>
        <v>0</v>
      </c>
      <c r="CE51" s="242">
        <f t="shared" ca="1" si="76"/>
        <v>0</v>
      </c>
      <c r="CF51" s="241">
        <f t="shared" ca="1" si="575"/>
        <v>1</v>
      </c>
      <c r="CG51" s="220">
        <f t="shared" ca="1" si="609"/>
        <v>0</v>
      </c>
      <c r="CH51" s="220">
        <f t="shared" ca="1" si="610"/>
        <v>0</v>
      </c>
      <c r="CI51" s="235">
        <f t="shared" ca="1" si="79"/>
        <v>0</v>
      </c>
      <c r="CJ51" s="235">
        <f t="shared" ca="1" si="80"/>
        <v>0</v>
      </c>
      <c r="CK51" s="242">
        <f t="shared" ca="1" si="81"/>
        <v>0</v>
      </c>
      <c r="CL51" s="241">
        <f t="shared" ca="1" si="575"/>
        <v>1</v>
      </c>
      <c r="CM51" s="220">
        <f t="shared" ca="1" si="611"/>
        <v>0</v>
      </c>
      <c r="CN51" s="220">
        <f t="shared" ca="1" si="612"/>
        <v>0</v>
      </c>
      <c r="CO51" s="235">
        <f t="shared" ca="1" si="84"/>
        <v>0</v>
      </c>
      <c r="CP51" s="235">
        <f t="shared" ca="1" si="85"/>
        <v>0</v>
      </c>
      <c r="CQ51" s="242">
        <f t="shared" ca="1" si="86"/>
        <v>0</v>
      </c>
      <c r="CR51" s="241">
        <f t="shared" ca="1" si="575"/>
        <v>1</v>
      </c>
      <c r="CS51" s="220">
        <f t="shared" ca="1" si="613"/>
        <v>0</v>
      </c>
      <c r="CT51" s="220">
        <f t="shared" ca="1" si="614"/>
        <v>0</v>
      </c>
      <c r="CU51" s="235">
        <f t="shared" ca="1" si="89"/>
        <v>0</v>
      </c>
      <c r="CV51" s="235">
        <f t="shared" ca="1" si="90"/>
        <v>0</v>
      </c>
      <c r="CW51" s="242">
        <f t="shared" ca="1" si="91"/>
        <v>0</v>
      </c>
      <c r="CX51" s="241">
        <f t="shared" ca="1" si="568"/>
        <v>1</v>
      </c>
      <c r="CY51" s="220">
        <f t="shared" ca="1" si="615"/>
        <v>0</v>
      </c>
      <c r="CZ51" s="220">
        <f t="shared" ca="1" si="616"/>
        <v>0</v>
      </c>
      <c r="DA51" s="235">
        <f t="shared" ca="1" si="94"/>
        <v>0</v>
      </c>
      <c r="DB51" s="235">
        <f t="shared" ca="1" si="95"/>
        <v>0</v>
      </c>
      <c r="DC51" s="242">
        <f t="shared" ca="1" si="96"/>
        <v>0</v>
      </c>
      <c r="DD51" s="241">
        <f t="shared" ca="1" si="568"/>
        <v>1</v>
      </c>
      <c r="DE51" s="220">
        <f t="shared" ca="1" si="617"/>
        <v>0</v>
      </c>
      <c r="DF51" s="220">
        <f t="shared" ca="1" si="618"/>
        <v>0</v>
      </c>
      <c r="DG51" s="235">
        <f t="shared" ca="1" si="99"/>
        <v>0</v>
      </c>
      <c r="DH51" s="235">
        <f t="shared" ca="1" si="100"/>
        <v>0</v>
      </c>
      <c r="DI51" s="242">
        <f t="shared" ca="1" si="101"/>
        <v>0</v>
      </c>
      <c r="DJ51" s="241">
        <f t="shared" ca="1" si="51"/>
        <v>1</v>
      </c>
      <c r="DK51" s="220">
        <f t="shared" ca="1" si="619"/>
        <v>0</v>
      </c>
      <c r="DL51" s="220">
        <f t="shared" ca="1" si="620"/>
        <v>0</v>
      </c>
      <c r="DM51" s="235">
        <f t="shared" ca="1" si="104"/>
        <v>0</v>
      </c>
      <c r="DN51" s="235">
        <f t="shared" ca="1" si="105"/>
        <v>0</v>
      </c>
      <c r="DO51" s="242">
        <f t="shared" ca="1" si="106"/>
        <v>0</v>
      </c>
      <c r="DP51" s="241">
        <f t="shared" ca="1" si="569"/>
        <v>1</v>
      </c>
      <c r="DQ51" s="220">
        <f t="shared" ca="1" si="621"/>
        <v>0</v>
      </c>
      <c r="DR51" s="220">
        <f t="shared" ca="1" si="622"/>
        <v>0</v>
      </c>
      <c r="DS51" s="235">
        <f t="shared" ca="1" si="110"/>
        <v>0</v>
      </c>
      <c r="DT51" s="235">
        <f t="shared" ca="1" si="111"/>
        <v>0</v>
      </c>
      <c r="DU51" s="242">
        <f t="shared" ca="1" si="112"/>
        <v>0</v>
      </c>
      <c r="DV51" s="241">
        <f t="shared" ca="1" si="569"/>
        <v>1</v>
      </c>
      <c r="DW51" s="220">
        <f t="shared" ca="1" si="623"/>
        <v>0</v>
      </c>
      <c r="DX51" s="220">
        <f t="shared" ca="1" si="624"/>
        <v>0</v>
      </c>
      <c r="DY51" s="235">
        <f t="shared" ca="1" si="115"/>
        <v>0</v>
      </c>
      <c r="DZ51" s="235">
        <f t="shared" ca="1" si="116"/>
        <v>0</v>
      </c>
      <c r="EA51" s="242">
        <f t="shared" ca="1" si="117"/>
        <v>0</v>
      </c>
      <c r="EB51" s="241">
        <f t="shared" ca="1" si="569"/>
        <v>1</v>
      </c>
      <c r="EC51" s="220">
        <f t="shared" ca="1" si="625"/>
        <v>0</v>
      </c>
      <c r="ED51" s="220">
        <f t="shared" ca="1" si="626"/>
        <v>0</v>
      </c>
      <c r="EE51" s="235">
        <f t="shared" ca="1" si="120"/>
        <v>0</v>
      </c>
      <c r="EF51" s="235">
        <f t="shared" ca="1" si="121"/>
        <v>0</v>
      </c>
      <c r="EG51" s="242">
        <f t="shared" ca="1" si="122"/>
        <v>0</v>
      </c>
      <c r="EH51" s="241">
        <f t="shared" ca="1" si="569"/>
        <v>1</v>
      </c>
      <c r="EI51" s="220">
        <f t="shared" ca="1" si="627"/>
        <v>0</v>
      </c>
      <c r="EJ51" s="220">
        <f t="shared" ca="1" si="628"/>
        <v>0</v>
      </c>
      <c r="EK51" s="235">
        <f t="shared" ca="1" si="125"/>
        <v>0</v>
      </c>
      <c r="EL51" s="235">
        <f t="shared" ca="1" si="126"/>
        <v>0</v>
      </c>
      <c r="EM51" s="242">
        <f t="shared" ca="1" si="127"/>
        <v>0</v>
      </c>
      <c r="EN51" s="241">
        <f t="shared" ca="1" si="569"/>
        <v>1</v>
      </c>
      <c r="EO51" s="220">
        <f t="shared" ca="1" si="629"/>
        <v>0</v>
      </c>
      <c r="EP51" s="220">
        <f t="shared" ca="1" si="630"/>
        <v>0</v>
      </c>
      <c r="EQ51" s="235">
        <f t="shared" ca="1" si="130"/>
        <v>0</v>
      </c>
      <c r="ER51" s="235">
        <f t="shared" ca="1" si="131"/>
        <v>0</v>
      </c>
      <c r="ES51" s="242">
        <f t="shared" ca="1" si="132"/>
        <v>0</v>
      </c>
      <c r="ET51" s="241">
        <f t="shared" ca="1" si="569"/>
        <v>1</v>
      </c>
      <c r="EU51" s="220">
        <f t="shared" ca="1" si="631"/>
        <v>0</v>
      </c>
      <c r="EV51" s="220">
        <f t="shared" ca="1" si="632"/>
        <v>0</v>
      </c>
      <c r="EW51" s="235">
        <f t="shared" ca="1" si="135"/>
        <v>0</v>
      </c>
      <c r="EX51" s="235">
        <f t="shared" ca="1" si="136"/>
        <v>0</v>
      </c>
      <c r="EY51" s="242">
        <f t="shared" ca="1" si="137"/>
        <v>0</v>
      </c>
      <c r="EZ51" s="241">
        <f t="shared" ca="1" si="569"/>
        <v>1</v>
      </c>
      <c r="FA51" s="220">
        <f t="shared" ca="1" si="633"/>
        <v>0</v>
      </c>
      <c r="FB51" s="220">
        <f t="shared" ca="1" si="634"/>
        <v>0</v>
      </c>
      <c r="FC51" s="235">
        <f t="shared" ca="1" si="140"/>
        <v>0</v>
      </c>
      <c r="FD51" s="235">
        <f t="shared" ca="1" si="141"/>
        <v>0</v>
      </c>
      <c r="FE51" s="242">
        <f t="shared" ca="1" si="142"/>
        <v>0</v>
      </c>
      <c r="FF51" s="241">
        <f t="shared" ca="1" si="569"/>
        <v>1</v>
      </c>
      <c r="FG51" s="220">
        <f t="shared" ca="1" si="635"/>
        <v>0</v>
      </c>
      <c r="FH51" s="220">
        <f t="shared" ca="1" si="636"/>
        <v>0</v>
      </c>
      <c r="FI51" s="235">
        <f t="shared" ca="1" si="145"/>
        <v>0</v>
      </c>
      <c r="FJ51" s="235">
        <f t="shared" ca="1" si="146"/>
        <v>0</v>
      </c>
      <c r="FK51" s="242">
        <f t="shared" ca="1" si="147"/>
        <v>0</v>
      </c>
      <c r="FL51" s="241">
        <f t="shared" ca="1" si="569"/>
        <v>1</v>
      </c>
      <c r="FM51" s="220">
        <f t="shared" ca="1" si="637"/>
        <v>0</v>
      </c>
      <c r="FN51" s="220">
        <f t="shared" ca="1" si="638"/>
        <v>0</v>
      </c>
      <c r="FO51" s="235">
        <f t="shared" ca="1" si="150"/>
        <v>0</v>
      </c>
      <c r="FP51" s="235">
        <f t="shared" ca="1" si="151"/>
        <v>0</v>
      </c>
      <c r="FQ51" s="242">
        <f t="shared" ca="1" si="152"/>
        <v>0</v>
      </c>
      <c r="FR51" s="241">
        <f t="shared" ca="1" si="569"/>
        <v>1</v>
      </c>
      <c r="FS51" s="220">
        <f t="shared" ca="1" si="639"/>
        <v>0</v>
      </c>
      <c r="FT51" s="220">
        <f t="shared" ca="1" si="640"/>
        <v>0</v>
      </c>
      <c r="FU51" s="235">
        <f t="shared" ca="1" si="155"/>
        <v>0</v>
      </c>
      <c r="FV51" s="235">
        <f t="shared" ca="1" si="156"/>
        <v>0</v>
      </c>
      <c r="FW51" s="242">
        <f t="shared" ca="1" si="157"/>
        <v>0</v>
      </c>
      <c r="FX51" s="241">
        <f t="shared" ca="1" si="569"/>
        <v>1</v>
      </c>
      <c r="FY51" s="220">
        <f t="shared" ca="1" si="641"/>
        <v>0</v>
      </c>
      <c r="FZ51" s="220">
        <f t="shared" ca="1" si="642"/>
        <v>0</v>
      </c>
      <c r="GA51" s="235">
        <f t="shared" ca="1" si="160"/>
        <v>0</v>
      </c>
      <c r="GB51" s="235">
        <f t="shared" ca="1" si="161"/>
        <v>0</v>
      </c>
      <c r="GC51" s="242">
        <f t="shared" ca="1" si="162"/>
        <v>0</v>
      </c>
      <c r="GD51" s="241">
        <f t="shared" ca="1" si="562"/>
        <v>1</v>
      </c>
      <c r="GE51" s="220">
        <f t="shared" ca="1" si="643"/>
        <v>0</v>
      </c>
      <c r="GF51" s="220">
        <f t="shared" ca="1" si="644"/>
        <v>0</v>
      </c>
      <c r="GG51" s="235">
        <f t="shared" ca="1" si="166"/>
        <v>0</v>
      </c>
      <c r="GH51" s="235">
        <f t="shared" ca="1" si="167"/>
        <v>0</v>
      </c>
      <c r="GI51" s="242">
        <f t="shared" ca="1" si="168"/>
        <v>0</v>
      </c>
      <c r="GJ51" s="241">
        <f t="shared" ca="1" si="562"/>
        <v>1</v>
      </c>
      <c r="GK51" s="220">
        <f t="shared" ca="1" si="645"/>
        <v>0</v>
      </c>
      <c r="GL51" s="220">
        <f t="shared" ca="1" si="646"/>
        <v>0</v>
      </c>
      <c r="GM51" s="235">
        <f t="shared" ca="1" si="171"/>
        <v>0</v>
      </c>
      <c r="GN51" s="235">
        <f t="shared" ca="1" si="172"/>
        <v>0</v>
      </c>
      <c r="GO51" s="242">
        <f t="shared" ca="1" si="173"/>
        <v>0</v>
      </c>
      <c r="GP51" s="241">
        <f t="shared" ca="1" si="570"/>
        <v>1</v>
      </c>
      <c r="GQ51" s="220">
        <f t="shared" ca="1" si="647"/>
        <v>0</v>
      </c>
      <c r="GR51" s="220">
        <f t="shared" ca="1" si="648"/>
        <v>0</v>
      </c>
      <c r="GS51" s="235">
        <f t="shared" ca="1" si="176"/>
        <v>0</v>
      </c>
      <c r="GT51" s="235">
        <f t="shared" ca="1" si="177"/>
        <v>0</v>
      </c>
      <c r="GU51" s="242">
        <f t="shared" ca="1" si="178"/>
        <v>0</v>
      </c>
      <c r="GV51" s="241">
        <f t="shared" ca="1" si="570"/>
        <v>1</v>
      </c>
      <c r="GW51" s="220">
        <f t="shared" ca="1" si="649"/>
        <v>0</v>
      </c>
      <c r="GX51" s="220">
        <f t="shared" ca="1" si="650"/>
        <v>0</v>
      </c>
      <c r="GY51" s="235">
        <f t="shared" ca="1" si="181"/>
        <v>0</v>
      </c>
      <c r="GZ51" s="235">
        <f t="shared" ca="1" si="182"/>
        <v>0</v>
      </c>
      <c r="HA51" s="242">
        <f t="shared" ca="1" si="183"/>
        <v>0</v>
      </c>
      <c r="HB51" s="241">
        <f t="shared" ca="1" si="570"/>
        <v>1</v>
      </c>
      <c r="HC51" s="220">
        <f t="shared" ca="1" si="651"/>
        <v>0</v>
      </c>
      <c r="HD51" s="220">
        <f t="shared" ca="1" si="652"/>
        <v>0</v>
      </c>
      <c r="HE51" s="235">
        <f t="shared" ca="1" si="186"/>
        <v>0</v>
      </c>
      <c r="HF51" s="235">
        <f t="shared" ca="1" si="187"/>
        <v>0</v>
      </c>
      <c r="HG51" s="242">
        <f t="shared" ca="1" si="188"/>
        <v>0</v>
      </c>
      <c r="HH51" s="241">
        <f t="shared" ca="1" si="570"/>
        <v>1</v>
      </c>
      <c r="HI51" s="220">
        <f t="shared" ca="1" si="653"/>
        <v>0</v>
      </c>
      <c r="HJ51" s="220">
        <f t="shared" ca="1" si="654"/>
        <v>0</v>
      </c>
      <c r="HK51" s="235">
        <f t="shared" ca="1" si="191"/>
        <v>0</v>
      </c>
      <c r="HL51" s="235">
        <f t="shared" ca="1" si="192"/>
        <v>0</v>
      </c>
      <c r="HM51" s="242">
        <f t="shared" ca="1" si="193"/>
        <v>0</v>
      </c>
      <c r="HN51" s="241">
        <f t="shared" ca="1" si="570"/>
        <v>1</v>
      </c>
      <c r="HO51" s="220">
        <f t="shared" ca="1" si="655"/>
        <v>0</v>
      </c>
      <c r="HP51" s="220">
        <f t="shared" ca="1" si="656"/>
        <v>0</v>
      </c>
      <c r="HQ51" s="235">
        <f t="shared" ca="1" si="196"/>
        <v>0</v>
      </c>
      <c r="HR51" s="235">
        <f t="shared" ca="1" si="197"/>
        <v>0</v>
      </c>
      <c r="HS51" s="242">
        <f t="shared" ca="1" si="198"/>
        <v>0</v>
      </c>
      <c r="HT51" s="241">
        <f t="shared" ca="1" si="570"/>
        <v>1</v>
      </c>
      <c r="HU51" s="220">
        <f t="shared" ca="1" si="657"/>
        <v>0</v>
      </c>
      <c r="HV51" s="220">
        <f t="shared" ca="1" si="658"/>
        <v>0</v>
      </c>
      <c r="HW51" s="235">
        <f t="shared" ca="1" si="201"/>
        <v>0</v>
      </c>
      <c r="HX51" s="235">
        <f t="shared" ca="1" si="202"/>
        <v>0</v>
      </c>
      <c r="HY51" s="242">
        <f t="shared" ca="1" si="203"/>
        <v>0</v>
      </c>
      <c r="HZ51" s="241">
        <f t="shared" ca="1" si="570"/>
        <v>1</v>
      </c>
      <c r="IA51" s="220">
        <f t="shared" ca="1" si="659"/>
        <v>0</v>
      </c>
      <c r="IB51" s="220">
        <f t="shared" ca="1" si="660"/>
        <v>0</v>
      </c>
      <c r="IC51" s="235">
        <f t="shared" ca="1" si="206"/>
        <v>0</v>
      </c>
      <c r="ID51" s="235">
        <f t="shared" ca="1" si="207"/>
        <v>0</v>
      </c>
      <c r="IE51" s="242">
        <f t="shared" ca="1" si="208"/>
        <v>0</v>
      </c>
      <c r="IF51" s="241">
        <f t="shared" ca="1" si="570"/>
        <v>1</v>
      </c>
      <c r="IG51" s="220">
        <f t="shared" ca="1" si="661"/>
        <v>0</v>
      </c>
      <c r="IH51" s="220">
        <f t="shared" ca="1" si="662"/>
        <v>0</v>
      </c>
      <c r="II51" s="235">
        <f t="shared" ca="1" si="211"/>
        <v>0</v>
      </c>
      <c r="IJ51" s="235">
        <f t="shared" ca="1" si="212"/>
        <v>0</v>
      </c>
      <c r="IK51" s="242">
        <f t="shared" ca="1" si="213"/>
        <v>0</v>
      </c>
      <c r="IL51" s="241">
        <f t="shared" ca="1" si="570"/>
        <v>1</v>
      </c>
      <c r="IM51" s="220">
        <f t="shared" ca="1" si="663"/>
        <v>0</v>
      </c>
      <c r="IN51" s="220">
        <f t="shared" ca="1" si="664"/>
        <v>0</v>
      </c>
      <c r="IO51" s="235">
        <f t="shared" ca="1" si="216"/>
        <v>0</v>
      </c>
      <c r="IP51" s="235">
        <f t="shared" ca="1" si="217"/>
        <v>0</v>
      </c>
      <c r="IQ51" s="242">
        <f t="shared" ca="1" si="218"/>
        <v>0</v>
      </c>
      <c r="IR51" s="241">
        <f t="shared" ca="1" si="570"/>
        <v>1</v>
      </c>
      <c r="IS51" s="220">
        <f t="shared" ca="1" si="665"/>
        <v>0</v>
      </c>
      <c r="IT51" s="220">
        <f t="shared" ca="1" si="666"/>
        <v>0</v>
      </c>
      <c r="IU51" s="235">
        <f t="shared" ca="1" si="222"/>
        <v>0</v>
      </c>
      <c r="IV51" s="235">
        <f t="shared" ca="1" si="223"/>
        <v>0</v>
      </c>
      <c r="IW51" s="242">
        <f t="shared" ca="1" si="224"/>
        <v>0</v>
      </c>
      <c r="IX51" s="241">
        <f t="shared" ca="1" si="570"/>
        <v>1</v>
      </c>
      <c r="IY51" s="220">
        <f t="shared" ca="1" si="667"/>
        <v>0</v>
      </c>
      <c r="IZ51" s="220">
        <f t="shared" ca="1" si="668"/>
        <v>0</v>
      </c>
      <c r="JA51" s="235">
        <f t="shared" ca="1" si="227"/>
        <v>0</v>
      </c>
      <c r="JB51" s="235">
        <f t="shared" ca="1" si="228"/>
        <v>0</v>
      </c>
      <c r="JC51" s="242">
        <f t="shared" ca="1" si="229"/>
        <v>0</v>
      </c>
      <c r="JD51" s="241">
        <f t="shared" ca="1" si="563"/>
        <v>1</v>
      </c>
      <c r="JE51" s="220">
        <f t="shared" ca="1" si="669"/>
        <v>0</v>
      </c>
      <c r="JF51" s="220">
        <f t="shared" ca="1" si="670"/>
        <v>0</v>
      </c>
      <c r="JG51" s="235">
        <f t="shared" ca="1" si="232"/>
        <v>0</v>
      </c>
      <c r="JH51" s="235">
        <f t="shared" ca="1" si="233"/>
        <v>0</v>
      </c>
      <c r="JI51" s="242">
        <f t="shared" ca="1" si="234"/>
        <v>0</v>
      </c>
      <c r="JJ51" s="241">
        <f t="shared" ca="1" si="563"/>
        <v>1</v>
      </c>
      <c r="JK51" s="220">
        <f t="shared" ca="1" si="671"/>
        <v>0</v>
      </c>
      <c r="JL51" s="220">
        <f t="shared" ca="1" si="672"/>
        <v>0</v>
      </c>
      <c r="JM51" s="235">
        <f t="shared" ca="1" si="237"/>
        <v>0</v>
      </c>
      <c r="JN51" s="235">
        <f t="shared" ca="1" si="238"/>
        <v>0</v>
      </c>
      <c r="JO51" s="242">
        <f t="shared" ca="1" si="239"/>
        <v>0</v>
      </c>
      <c r="JP51" s="241">
        <f t="shared" ca="1" si="571"/>
        <v>1</v>
      </c>
      <c r="JQ51" s="220">
        <f t="shared" ca="1" si="673"/>
        <v>0</v>
      </c>
      <c r="JR51" s="220">
        <f t="shared" ca="1" si="674"/>
        <v>0</v>
      </c>
      <c r="JS51" s="235">
        <f t="shared" ca="1" si="242"/>
        <v>0</v>
      </c>
      <c r="JT51" s="235">
        <f t="shared" ca="1" si="243"/>
        <v>0</v>
      </c>
      <c r="JU51" s="242">
        <f t="shared" ca="1" si="244"/>
        <v>0</v>
      </c>
      <c r="JV51" s="241">
        <f t="shared" ca="1" si="571"/>
        <v>1</v>
      </c>
      <c r="JW51" s="220">
        <f t="shared" ca="1" si="675"/>
        <v>0</v>
      </c>
      <c r="JX51" s="220">
        <f t="shared" ca="1" si="676"/>
        <v>0</v>
      </c>
      <c r="JY51" s="235">
        <f t="shared" ca="1" si="247"/>
        <v>0</v>
      </c>
      <c r="JZ51" s="235">
        <f t="shared" ca="1" si="248"/>
        <v>0</v>
      </c>
      <c r="KA51" s="242">
        <f t="shared" ca="1" si="249"/>
        <v>0</v>
      </c>
      <c r="KB51" s="241">
        <f t="shared" ca="1" si="571"/>
        <v>1</v>
      </c>
      <c r="KC51" s="220">
        <f t="shared" ca="1" si="677"/>
        <v>0</v>
      </c>
      <c r="KD51" s="220">
        <f t="shared" ca="1" si="678"/>
        <v>0</v>
      </c>
      <c r="KE51" s="235">
        <f t="shared" ca="1" si="252"/>
        <v>0</v>
      </c>
      <c r="KF51" s="235">
        <f t="shared" ca="1" si="253"/>
        <v>0</v>
      </c>
      <c r="KG51" s="242">
        <f t="shared" ca="1" si="254"/>
        <v>0</v>
      </c>
      <c r="KH51" s="241">
        <f t="shared" ca="1" si="571"/>
        <v>1</v>
      </c>
      <c r="KI51" s="220">
        <f t="shared" ca="1" si="679"/>
        <v>0</v>
      </c>
      <c r="KJ51" s="220">
        <f t="shared" ca="1" si="680"/>
        <v>0</v>
      </c>
      <c r="KK51" s="235">
        <f t="shared" ca="1" si="257"/>
        <v>0</v>
      </c>
      <c r="KL51" s="235">
        <f t="shared" ca="1" si="258"/>
        <v>0</v>
      </c>
      <c r="KM51" s="242">
        <f t="shared" ca="1" si="259"/>
        <v>0</v>
      </c>
      <c r="KN51" s="241">
        <f t="shared" ca="1" si="571"/>
        <v>1</v>
      </c>
      <c r="KO51" s="220">
        <f t="shared" ca="1" si="681"/>
        <v>0</v>
      </c>
      <c r="KP51" s="220">
        <f t="shared" ca="1" si="682"/>
        <v>0</v>
      </c>
      <c r="KQ51" s="235">
        <f t="shared" ca="1" si="262"/>
        <v>0</v>
      </c>
      <c r="KR51" s="235">
        <f t="shared" ca="1" si="263"/>
        <v>0</v>
      </c>
      <c r="KS51" s="242">
        <f t="shared" ca="1" si="264"/>
        <v>0</v>
      </c>
      <c r="KT51" s="241">
        <f t="shared" ca="1" si="571"/>
        <v>1</v>
      </c>
      <c r="KU51" s="220">
        <f t="shared" ca="1" si="683"/>
        <v>0</v>
      </c>
      <c r="KV51" s="220">
        <f t="shared" ca="1" si="684"/>
        <v>0</v>
      </c>
      <c r="KW51" s="235">
        <f t="shared" ca="1" si="267"/>
        <v>0</v>
      </c>
      <c r="KX51" s="235">
        <f t="shared" ca="1" si="268"/>
        <v>0</v>
      </c>
      <c r="KY51" s="242">
        <f t="shared" ca="1" si="269"/>
        <v>0</v>
      </c>
      <c r="KZ51" s="241">
        <f t="shared" ca="1" si="571"/>
        <v>1</v>
      </c>
      <c r="LA51" s="220">
        <f t="shared" ca="1" si="685"/>
        <v>0</v>
      </c>
      <c r="LB51" s="220">
        <f t="shared" ca="1" si="686"/>
        <v>0</v>
      </c>
      <c r="LC51" s="235">
        <f t="shared" ca="1" si="272"/>
        <v>0</v>
      </c>
      <c r="LD51" s="235">
        <f t="shared" ca="1" si="273"/>
        <v>0</v>
      </c>
      <c r="LE51" s="242">
        <f t="shared" ca="1" si="274"/>
        <v>0</v>
      </c>
      <c r="LF51" s="241">
        <f t="shared" ca="1" si="571"/>
        <v>1</v>
      </c>
      <c r="LG51" s="220">
        <f t="shared" ca="1" si="687"/>
        <v>0</v>
      </c>
      <c r="LH51" s="220">
        <f t="shared" ca="1" si="688"/>
        <v>0</v>
      </c>
      <c r="LI51" s="235">
        <f t="shared" ca="1" si="278"/>
        <v>0</v>
      </c>
      <c r="LJ51" s="235">
        <f t="shared" ca="1" si="279"/>
        <v>0</v>
      </c>
      <c r="LK51" s="242">
        <f t="shared" ca="1" si="280"/>
        <v>0</v>
      </c>
      <c r="LL51" s="241">
        <f t="shared" ca="1" si="571"/>
        <v>1</v>
      </c>
      <c r="LM51" s="220">
        <f t="shared" ca="1" si="689"/>
        <v>0</v>
      </c>
      <c r="LN51" s="220">
        <f t="shared" ca="1" si="690"/>
        <v>0</v>
      </c>
      <c r="LO51" s="235">
        <f t="shared" ca="1" si="283"/>
        <v>0</v>
      </c>
      <c r="LP51" s="235">
        <f t="shared" ca="1" si="284"/>
        <v>0</v>
      </c>
      <c r="LQ51" s="242">
        <f t="shared" ca="1" si="285"/>
        <v>0</v>
      </c>
      <c r="LR51" s="241">
        <f t="shared" ca="1" si="571"/>
        <v>1</v>
      </c>
      <c r="LS51" s="220">
        <f t="shared" ca="1" si="691"/>
        <v>0</v>
      </c>
      <c r="LT51" s="220">
        <f t="shared" ca="1" si="692"/>
        <v>0</v>
      </c>
      <c r="LU51" s="235">
        <f t="shared" ca="1" si="288"/>
        <v>0</v>
      </c>
      <c r="LV51" s="235">
        <f t="shared" ca="1" si="289"/>
        <v>0</v>
      </c>
      <c r="LW51" s="242">
        <f t="shared" ca="1" si="290"/>
        <v>0</v>
      </c>
      <c r="LX51" s="241">
        <f t="shared" ca="1" si="571"/>
        <v>1</v>
      </c>
      <c r="LY51" s="220">
        <f t="shared" ca="1" si="693"/>
        <v>0</v>
      </c>
      <c r="LZ51" s="220">
        <f t="shared" ca="1" si="694"/>
        <v>0</v>
      </c>
      <c r="MA51" s="235">
        <f t="shared" ca="1" si="293"/>
        <v>0</v>
      </c>
      <c r="MB51" s="235">
        <f t="shared" ca="1" si="294"/>
        <v>0</v>
      </c>
      <c r="MC51" s="242">
        <f t="shared" ca="1" si="295"/>
        <v>0</v>
      </c>
      <c r="MD51" s="241">
        <f t="shared" ca="1" si="564"/>
        <v>1</v>
      </c>
      <c r="ME51" s="220">
        <f t="shared" ca="1" si="695"/>
        <v>0</v>
      </c>
      <c r="MF51" s="220">
        <f t="shared" ca="1" si="696"/>
        <v>0</v>
      </c>
      <c r="MG51" s="235">
        <f t="shared" ca="1" si="298"/>
        <v>0</v>
      </c>
      <c r="MH51" s="235">
        <f t="shared" ca="1" si="299"/>
        <v>0</v>
      </c>
      <c r="MI51" s="242">
        <f t="shared" ca="1" si="300"/>
        <v>0</v>
      </c>
      <c r="MJ51" s="241">
        <f t="shared" ca="1" si="564"/>
        <v>1</v>
      </c>
      <c r="MK51" s="220">
        <f t="shared" ca="1" si="697"/>
        <v>0</v>
      </c>
      <c r="ML51" s="220">
        <f t="shared" ca="1" si="698"/>
        <v>0</v>
      </c>
      <c r="MM51" s="235">
        <f t="shared" ca="1" si="303"/>
        <v>0</v>
      </c>
      <c r="MN51" s="235">
        <f t="shared" ca="1" si="304"/>
        <v>0</v>
      </c>
      <c r="MO51" s="242">
        <f t="shared" ca="1" si="305"/>
        <v>0</v>
      </c>
      <c r="MP51" s="241">
        <f t="shared" ca="1" si="572"/>
        <v>1</v>
      </c>
      <c r="MQ51" s="220">
        <f t="shared" ca="1" si="699"/>
        <v>0</v>
      </c>
      <c r="MR51" s="220">
        <f t="shared" ca="1" si="700"/>
        <v>0</v>
      </c>
      <c r="MS51" s="235">
        <f t="shared" ca="1" si="308"/>
        <v>0</v>
      </c>
      <c r="MT51" s="235">
        <f t="shared" ca="1" si="309"/>
        <v>0</v>
      </c>
      <c r="MU51" s="242">
        <f t="shared" ca="1" si="310"/>
        <v>0</v>
      </c>
      <c r="MV51" s="241">
        <f t="shared" ca="1" si="572"/>
        <v>1</v>
      </c>
      <c r="MW51" s="220">
        <f t="shared" ca="1" si="701"/>
        <v>0</v>
      </c>
      <c r="MX51" s="220">
        <f t="shared" ca="1" si="702"/>
        <v>0</v>
      </c>
      <c r="MY51" s="235">
        <f t="shared" ca="1" si="313"/>
        <v>0</v>
      </c>
      <c r="MZ51" s="235">
        <f t="shared" ca="1" si="314"/>
        <v>0</v>
      </c>
      <c r="NA51" s="242">
        <f t="shared" ca="1" si="315"/>
        <v>0</v>
      </c>
      <c r="NB51" s="241">
        <f t="shared" ca="1" si="572"/>
        <v>1</v>
      </c>
      <c r="NC51" s="220">
        <f t="shared" ca="1" si="703"/>
        <v>0</v>
      </c>
      <c r="ND51" s="220">
        <f t="shared" ca="1" si="704"/>
        <v>0</v>
      </c>
      <c r="NE51" s="235">
        <f t="shared" ca="1" si="318"/>
        <v>0</v>
      </c>
      <c r="NF51" s="235">
        <f t="shared" ca="1" si="319"/>
        <v>0</v>
      </c>
      <c r="NG51" s="242">
        <f t="shared" ca="1" si="320"/>
        <v>0</v>
      </c>
      <c r="NH51" s="241">
        <f t="shared" ca="1" si="572"/>
        <v>1</v>
      </c>
      <c r="NI51" s="220">
        <f t="shared" ca="1" si="705"/>
        <v>0</v>
      </c>
      <c r="NJ51" s="220">
        <f t="shared" ca="1" si="706"/>
        <v>0</v>
      </c>
      <c r="NK51" s="235">
        <f t="shared" ca="1" si="323"/>
        <v>0</v>
      </c>
      <c r="NL51" s="235">
        <f t="shared" ca="1" si="324"/>
        <v>0</v>
      </c>
      <c r="NM51" s="242">
        <f t="shared" ca="1" si="325"/>
        <v>0</v>
      </c>
      <c r="NN51" s="241">
        <f t="shared" ca="1" si="572"/>
        <v>1</v>
      </c>
      <c r="NO51" s="220">
        <f t="shared" ca="1" si="707"/>
        <v>0</v>
      </c>
      <c r="NP51" s="220">
        <f t="shared" ca="1" si="708"/>
        <v>0</v>
      </c>
      <c r="NQ51" s="235">
        <f t="shared" ca="1" si="328"/>
        <v>0</v>
      </c>
      <c r="NR51" s="235">
        <f t="shared" ca="1" si="329"/>
        <v>0</v>
      </c>
      <c r="NS51" s="242">
        <f t="shared" ca="1" si="330"/>
        <v>0</v>
      </c>
      <c r="NT51" s="241">
        <f t="shared" ca="1" si="572"/>
        <v>1</v>
      </c>
      <c r="NU51" s="220">
        <f t="shared" ca="1" si="709"/>
        <v>0</v>
      </c>
      <c r="NV51" s="220">
        <f t="shared" ca="1" si="710"/>
        <v>0</v>
      </c>
      <c r="NW51" s="235">
        <f t="shared" ca="1" si="334"/>
        <v>0</v>
      </c>
      <c r="NX51" s="235">
        <f t="shared" ca="1" si="335"/>
        <v>0</v>
      </c>
      <c r="NY51" s="242">
        <f t="shared" ca="1" si="336"/>
        <v>0</v>
      </c>
      <c r="NZ51" s="241">
        <f t="shared" ca="1" si="572"/>
        <v>1</v>
      </c>
      <c r="OA51" s="220">
        <f t="shared" ca="1" si="711"/>
        <v>0</v>
      </c>
      <c r="OB51" s="220">
        <f t="shared" ca="1" si="712"/>
        <v>0</v>
      </c>
      <c r="OC51" s="235">
        <f t="shared" ca="1" si="339"/>
        <v>0</v>
      </c>
      <c r="OD51" s="235">
        <f t="shared" ca="1" si="340"/>
        <v>0</v>
      </c>
      <c r="OE51" s="242">
        <f t="shared" ca="1" si="341"/>
        <v>0</v>
      </c>
      <c r="OF51" s="241">
        <f t="shared" ca="1" si="572"/>
        <v>1</v>
      </c>
      <c r="OG51" s="220">
        <f t="shared" ca="1" si="713"/>
        <v>0</v>
      </c>
      <c r="OH51" s="220">
        <f t="shared" ca="1" si="714"/>
        <v>0</v>
      </c>
      <c r="OI51" s="235">
        <f t="shared" ca="1" si="344"/>
        <v>0</v>
      </c>
      <c r="OJ51" s="235">
        <f t="shared" ca="1" si="345"/>
        <v>0</v>
      </c>
      <c r="OK51" s="242">
        <f t="shared" ca="1" si="346"/>
        <v>0</v>
      </c>
      <c r="OL51" s="241">
        <f t="shared" ca="1" si="572"/>
        <v>1</v>
      </c>
      <c r="OM51" s="220">
        <f t="shared" ca="1" si="715"/>
        <v>0</v>
      </c>
      <c r="ON51" s="220">
        <f t="shared" ca="1" si="716"/>
        <v>0</v>
      </c>
      <c r="OO51" s="235">
        <f t="shared" ca="1" si="349"/>
        <v>0</v>
      </c>
      <c r="OP51" s="235">
        <f t="shared" ca="1" si="350"/>
        <v>0</v>
      </c>
      <c r="OQ51" s="242">
        <f t="shared" ca="1" si="351"/>
        <v>0</v>
      </c>
      <c r="OR51" s="241">
        <f t="shared" ca="1" si="572"/>
        <v>1</v>
      </c>
      <c r="OS51" s="220">
        <f t="shared" ca="1" si="717"/>
        <v>0</v>
      </c>
      <c r="OT51" s="220">
        <f t="shared" ca="1" si="718"/>
        <v>0</v>
      </c>
      <c r="OU51" s="235">
        <f t="shared" ca="1" si="354"/>
        <v>0</v>
      </c>
      <c r="OV51" s="235">
        <f t="shared" ca="1" si="355"/>
        <v>0</v>
      </c>
      <c r="OW51" s="242">
        <f t="shared" ca="1" si="356"/>
        <v>0</v>
      </c>
      <c r="OX51" s="241">
        <f t="shared" ca="1" si="572"/>
        <v>1</v>
      </c>
      <c r="OY51" s="220">
        <f t="shared" ca="1" si="719"/>
        <v>0</v>
      </c>
      <c r="OZ51" s="220">
        <f t="shared" ca="1" si="720"/>
        <v>0</v>
      </c>
      <c r="PA51" s="235">
        <f t="shared" ca="1" si="359"/>
        <v>0</v>
      </c>
      <c r="PB51" s="235">
        <f t="shared" ca="1" si="360"/>
        <v>0</v>
      </c>
      <c r="PC51" s="242">
        <f t="shared" ca="1" si="361"/>
        <v>0</v>
      </c>
      <c r="PD51" s="241">
        <f t="shared" ca="1" si="565"/>
        <v>1</v>
      </c>
      <c r="PE51" s="220">
        <f t="shared" ca="1" si="721"/>
        <v>0</v>
      </c>
      <c r="PF51" s="220">
        <f t="shared" ca="1" si="722"/>
        <v>0</v>
      </c>
      <c r="PG51" s="235">
        <f t="shared" ca="1" si="364"/>
        <v>0</v>
      </c>
      <c r="PH51" s="235">
        <f t="shared" ca="1" si="365"/>
        <v>0</v>
      </c>
      <c r="PI51" s="242">
        <f t="shared" ca="1" si="366"/>
        <v>0</v>
      </c>
      <c r="PJ51" s="241">
        <f t="shared" ca="1" si="565"/>
        <v>1</v>
      </c>
      <c r="PK51" s="220">
        <f t="shared" ca="1" si="723"/>
        <v>0</v>
      </c>
      <c r="PL51" s="220">
        <f t="shared" ca="1" si="724"/>
        <v>0</v>
      </c>
      <c r="PM51" s="235">
        <f t="shared" ca="1" si="369"/>
        <v>0</v>
      </c>
      <c r="PN51" s="235">
        <f t="shared" ca="1" si="370"/>
        <v>0</v>
      </c>
      <c r="PO51" s="242">
        <f t="shared" ca="1" si="371"/>
        <v>0</v>
      </c>
      <c r="PP51" s="241">
        <f t="shared" ca="1" si="573"/>
        <v>1</v>
      </c>
      <c r="PQ51" s="220">
        <f t="shared" ca="1" si="725"/>
        <v>0</v>
      </c>
      <c r="PR51" s="220">
        <f t="shared" ca="1" si="726"/>
        <v>0</v>
      </c>
      <c r="PS51" s="235">
        <f t="shared" ca="1" si="374"/>
        <v>0</v>
      </c>
      <c r="PT51" s="235">
        <f t="shared" ca="1" si="375"/>
        <v>0</v>
      </c>
      <c r="PU51" s="242">
        <f t="shared" ca="1" si="376"/>
        <v>0</v>
      </c>
      <c r="PV51" s="241">
        <f t="shared" ca="1" si="573"/>
        <v>1</v>
      </c>
      <c r="PW51" s="220">
        <f t="shared" ca="1" si="727"/>
        <v>0</v>
      </c>
      <c r="PX51" s="220">
        <f t="shared" ca="1" si="728"/>
        <v>0</v>
      </c>
      <c r="PY51" s="235">
        <f t="shared" ca="1" si="379"/>
        <v>0</v>
      </c>
      <c r="PZ51" s="235">
        <f t="shared" ca="1" si="380"/>
        <v>0</v>
      </c>
      <c r="QA51" s="242">
        <f t="shared" ca="1" si="381"/>
        <v>0</v>
      </c>
      <c r="QB51" s="241">
        <f t="shared" ca="1" si="573"/>
        <v>1</v>
      </c>
      <c r="QC51" s="220">
        <f t="shared" ca="1" si="729"/>
        <v>0</v>
      </c>
      <c r="QD51" s="220">
        <f t="shared" ca="1" si="730"/>
        <v>0</v>
      </c>
      <c r="QE51" s="235">
        <f t="shared" ca="1" si="384"/>
        <v>0</v>
      </c>
      <c r="QF51" s="235">
        <f t="shared" ca="1" si="385"/>
        <v>0</v>
      </c>
      <c r="QG51" s="242">
        <f t="shared" ca="1" si="386"/>
        <v>0</v>
      </c>
      <c r="QH51" s="241">
        <f t="shared" ca="1" si="573"/>
        <v>1</v>
      </c>
      <c r="QI51" s="220">
        <f t="shared" ca="1" si="731"/>
        <v>0</v>
      </c>
      <c r="QJ51" s="220">
        <f t="shared" ca="1" si="732"/>
        <v>0</v>
      </c>
      <c r="QK51" s="235">
        <f t="shared" ca="1" si="390"/>
        <v>0</v>
      </c>
      <c r="QL51" s="235">
        <f t="shared" ca="1" si="391"/>
        <v>0</v>
      </c>
      <c r="QM51" s="242">
        <f t="shared" ca="1" si="392"/>
        <v>0</v>
      </c>
      <c r="QN51" s="241">
        <f t="shared" ca="1" si="573"/>
        <v>1</v>
      </c>
      <c r="QO51" s="220">
        <f t="shared" ca="1" si="733"/>
        <v>0</v>
      </c>
      <c r="QP51" s="220">
        <f t="shared" ca="1" si="734"/>
        <v>0</v>
      </c>
      <c r="QQ51" s="235">
        <f t="shared" ca="1" si="395"/>
        <v>0</v>
      </c>
      <c r="QR51" s="235">
        <f t="shared" ca="1" si="396"/>
        <v>0</v>
      </c>
      <c r="QS51" s="242">
        <f t="shared" ca="1" si="397"/>
        <v>0</v>
      </c>
      <c r="QT51" s="241">
        <f t="shared" ca="1" si="573"/>
        <v>1</v>
      </c>
      <c r="QU51" s="220">
        <f t="shared" ca="1" si="735"/>
        <v>0</v>
      </c>
      <c r="QV51" s="220">
        <f t="shared" ca="1" si="736"/>
        <v>0</v>
      </c>
      <c r="QW51" s="235">
        <f t="shared" ca="1" si="400"/>
        <v>0</v>
      </c>
      <c r="QX51" s="235">
        <f t="shared" ca="1" si="401"/>
        <v>0</v>
      </c>
      <c r="QY51" s="242">
        <f t="shared" ca="1" si="402"/>
        <v>0</v>
      </c>
      <c r="QZ51" s="241">
        <f t="shared" ca="1" si="573"/>
        <v>1</v>
      </c>
      <c r="RA51" s="220">
        <f t="shared" ca="1" si="737"/>
        <v>0</v>
      </c>
      <c r="RB51" s="220">
        <f t="shared" ca="1" si="738"/>
        <v>0</v>
      </c>
      <c r="RC51" s="235">
        <f t="shared" ca="1" si="405"/>
        <v>0</v>
      </c>
      <c r="RD51" s="235">
        <f t="shared" ca="1" si="406"/>
        <v>0</v>
      </c>
      <c r="RE51" s="242">
        <f t="shared" ca="1" si="407"/>
        <v>0</v>
      </c>
      <c r="RF51" s="241">
        <f t="shared" ca="1" si="573"/>
        <v>1</v>
      </c>
      <c r="RG51" s="220">
        <f t="shared" ca="1" si="739"/>
        <v>0</v>
      </c>
      <c r="RH51" s="220">
        <f t="shared" ca="1" si="740"/>
        <v>0</v>
      </c>
      <c r="RI51" s="235">
        <f t="shared" ca="1" si="410"/>
        <v>0</v>
      </c>
      <c r="RJ51" s="235">
        <f t="shared" ca="1" si="411"/>
        <v>0</v>
      </c>
      <c r="RK51" s="242">
        <f t="shared" ca="1" si="412"/>
        <v>0</v>
      </c>
      <c r="RL51" s="241">
        <f t="shared" ca="1" si="573"/>
        <v>1</v>
      </c>
      <c r="RM51" s="220">
        <f t="shared" ca="1" si="741"/>
        <v>0</v>
      </c>
      <c r="RN51" s="220">
        <f t="shared" ca="1" si="742"/>
        <v>0</v>
      </c>
      <c r="RO51" s="235">
        <f t="shared" ca="1" si="415"/>
        <v>0</v>
      </c>
      <c r="RP51" s="235">
        <f t="shared" ca="1" si="416"/>
        <v>0</v>
      </c>
      <c r="RQ51" s="242">
        <f t="shared" ca="1" si="417"/>
        <v>0</v>
      </c>
      <c r="RR51" s="241">
        <f t="shared" ca="1" si="573"/>
        <v>1</v>
      </c>
      <c r="RS51" s="220">
        <f t="shared" ca="1" si="743"/>
        <v>0</v>
      </c>
      <c r="RT51" s="220">
        <f t="shared" ca="1" si="744"/>
        <v>0</v>
      </c>
      <c r="RU51" s="235">
        <f t="shared" ca="1" si="420"/>
        <v>0</v>
      </c>
      <c r="RV51" s="235">
        <f t="shared" ca="1" si="421"/>
        <v>0</v>
      </c>
      <c r="RW51" s="242">
        <f t="shared" ca="1" si="422"/>
        <v>0</v>
      </c>
      <c r="RX51" s="241">
        <f t="shared" ca="1" si="573"/>
        <v>1</v>
      </c>
      <c r="RY51" s="220">
        <f t="shared" ca="1" si="745"/>
        <v>0</v>
      </c>
      <c r="RZ51" s="220">
        <f t="shared" ca="1" si="746"/>
        <v>0</v>
      </c>
      <c r="SA51" s="235">
        <f t="shared" ca="1" si="425"/>
        <v>0</v>
      </c>
      <c r="SB51" s="235">
        <f t="shared" ca="1" si="426"/>
        <v>0</v>
      </c>
      <c r="SC51" s="242">
        <f t="shared" ca="1" si="427"/>
        <v>0</v>
      </c>
      <c r="SD51" s="241">
        <f t="shared" ca="1" si="566"/>
        <v>1</v>
      </c>
      <c r="SE51" s="220">
        <f t="shared" ca="1" si="747"/>
        <v>0</v>
      </c>
      <c r="SF51" s="220">
        <f t="shared" ca="1" si="748"/>
        <v>0</v>
      </c>
      <c r="SG51" s="235">
        <f t="shared" ca="1" si="430"/>
        <v>0</v>
      </c>
      <c r="SH51" s="235">
        <f t="shared" ca="1" si="431"/>
        <v>0</v>
      </c>
      <c r="SI51" s="242">
        <f t="shared" ca="1" si="432"/>
        <v>0</v>
      </c>
      <c r="SJ51" s="241">
        <f t="shared" ca="1" si="566"/>
        <v>1</v>
      </c>
      <c r="SK51" s="220">
        <f t="shared" ca="1" si="749"/>
        <v>0</v>
      </c>
      <c r="SL51" s="220">
        <f t="shared" ca="1" si="750"/>
        <v>0</v>
      </c>
      <c r="SM51" s="235">
        <f t="shared" ca="1" si="435"/>
        <v>0</v>
      </c>
      <c r="SN51" s="235">
        <f t="shared" ca="1" si="436"/>
        <v>0</v>
      </c>
      <c r="SO51" s="242">
        <f t="shared" ca="1" si="437"/>
        <v>0</v>
      </c>
      <c r="SP51" s="241">
        <f t="shared" ca="1" si="576"/>
        <v>1</v>
      </c>
      <c r="SQ51" s="220">
        <f t="shared" ca="1" si="751"/>
        <v>0</v>
      </c>
      <c r="SR51" s="220">
        <f t="shared" ca="1" si="752"/>
        <v>0</v>
      </c>
      <c r="SS51" s="235">
        <f t="shared" ca="1" si="440"/>
        <v>0</v>
      </c>
      <c r="ST51" s="235">
        <f t="shared" ca="1" si="441"/>
        <v>0</v>
      </c>
      <c r="SU51" s="242">
        <f t="shared" ca="1" si="442"/>
        <v>0</v>
      </c>
      <c r="SV51" s="241">
        <f t="shared" ca="1" si="576"/>
        <v>1</v>
      </c>
      <c r="SW51" s="220">
        <f t="shared" ca="1" si="753"/>
        <v>0</v>
      </c>
      <c r="SX51" s="220">
        <f t="shared" ca="1" si="754"/>
        <v>0</v>
      </c>
      <c r="SY51" s="235">
        <f t="shared" ca="1" si="446"/>
        <v>0</v>
      </c>
      <c r="SZ51" s="235">
        <f t="shared" ca="1" si="447"/>
        <v>0</v>
      </c>
      <c r="TA51" s="242">
        <f t="shared" ca="1" si="448"/>
        <v>0</v>
      </c>
      <c r="TB51" s="241">
        <f t="shared" ca="1" si="576"/>
        <v>1</v>
      </c>
      <c r="TC51" s="220">
        <f t="shared" ca="1" si="755"/>
        <v>0</v>
      </c>
      <c r="TD51" s="220">
        <f t="shared" ca="1" si="756"/>
        <v>0</v>
      </c>
      <c r="TE51" s="235">
        <f t="shared" ca="1" si="451"/>
        <v>0</v>
      </c>
      <c r="TF51" s="235">
        <f t="shared" ca="1" si="452"/>
        <v>0</v>
      </c>
      <c r="TG51" s="242">
        <f t="shared" ca="1" si="453"/>
        <v>0</v>
      </c>
      <c r="TH51" s="241">
        <f t="shared" ca="1" si="576"/>
        <v>1</v>
      </c>
      <c r="TI51" s="220">
        <f t="shared" ca="1" si="757"/>
        <v>0</v>
      </c>
      <c r="TJ51" s="220">
        <f t="shared" ca="1" si="758"/>
        <v>0</v>
      </c>
      <c r="TK51" s="235">
        <f t="shared" ca="1" si="456"/>
        <v>0</v>
      </c>
      <c r="TL51" s="235">
        <f t="shared" ca="1" si="457"/>
        <v>0</v>
      </c>
      <c r="TM51" s="242">
        <f t="shared" ca="1" si="458"/>
        <v>0</v>
      </c>
      <c r="TN51" s="241">
        <f t="shared" ca="1" si="576"/>
        <v>1</v>
      </c>
      <c r="TO51" s="220">
        <f t="shared" ca="1" si="759"/>
        <v>0</v>
      </c>
      <c r="TP51" s="220">
        <f t="shared" ca="1" si="760"/>
        <v>0</v>
      </c>
      <c r="TQ51" s="235">
        <f t="shared" ca="1" si="461"/>
        <v>0</v>
      </c>
      <c r="TR51" s="235">
        <f t="shared" ca="1" si="462"/>
        <v>0</v>
      </c>
      <c r="TS51" s="242">
        <f t="shared" ca="1" si="463"/>
        <v>0</v>
      </c>
      <c r="TT51" s="241">
        <f t="shared" ca="1" si="576"/>
        <v>1</v>
      </c>
      <c r="TU51" s="220">
        <f t="shared" ca="1" si="761"/>
        <v>0</v>
      </c>
      <c r="TV51" s="220">
        <f t="shared" ca="1" si="762"/>
        <v>0</v>
      </c>
      <c r="TW51" s="235">
        <f t="shared" ca="1" si="466"/>
        <v>0</v>
      </c>
      <c r="TX51" s="235">
        <f t="shared" ca="1" si="467"/>
        <v>0</v>
      </c>
      <c r="TY51" s="242">
        <f t="shared" ca="1" si="468"/>
        <v>0</v>
      </c>
      <c r="TZ51" s="241">
        <f t="shared" ca="1" si="576"/>
        <v>1</v>
      </c>
      <c r="UA51" s="220">
        <f t="shared" ca="1" si="763"/>
        <v>0</v>
      </c>
      <c r="UB51" s="220">
        <f t="shared" ca="1" si="764"/>
        <v>0</v>
      </c>
      <c r="UC51" s="235">
        <f t="shared" ca="1" si="471"/>
        <v>0</v>
      </c>
      <c r="UD51" s="235">
        <f t="shared" ca="1" si="472"/>
        <v>0</v>
      </c>
      <c r="UE51" s="242">
        <f t="shared" ca="1" si="473"/>
        <v>0</v>
      </c>
      <c r="UF51" s="241">
        <f t="shared" ca="1" si="576"/>
        <v>1</v>
      </c>
      <c r="UG51" s="220">
        <f t="shared" ca="1" si="765"/>
        <v>0</v>
      </c>
      <c r="UH51" s="220">
        <f t="shared" ca="1" si="766"/>
        <v>0</v>
      </c>
      <c r="UI51" s="235">
        <f t="shared" ca="1" si="476"/>
        <v>0</v>
      </c>
      <c r="UJ51" s="235">
        <f t="shared" ca="1" si="477"/>
        <v>0</v>
      </c>
      <c r="UK51" s="242">
        <f t="shared" ca="1" si="478"/>
        <v>0</v>
      </c>
      <c r="UL51" s="241">
        <f t="shared" ca="1" si="576"/>
        <v>1</v>
      </c>
      <c r="UM51" s="220">
        <f t="shared" ca="1" si="767"/>
        <v>0</v>
      </c>
      <c r="UN51" s="220">
        <f t="shared" ca="1" si="768"/>
        <v>0</v>
      </c>
      <c r="UO51" s="235">
        <f t="shared" ca="1" si="481"/>
        <v>0</v>
      </c>
      <c r="UP51" s="235">
        <f t="shared" ca="1" si="482"/>
        <v>0</v>
      </c>
      <c r="UQ51" s="242">
        <f t="shared" ca="1" si="483"/>
        <v>0</v>
      </c>
      <c r="UR51" s="241">
        <f t="shared" ca="1" si="576"/>
        <v>1</v>
      </c>
      <c r="US51" s="220">
        <f t="shared" ca="1" si="769"/>
        <v>0</v>
      </c>
      <c r="UT51" s="220">
        <f t="shared" ca="1" si="770"/>
        <v>0</v>
      </c>
      <c r="UU51" s="235">
        <f t="shared" ca="1" si="486"/>
        <v>0</v>
      </c>
      <c r="UV51" s="235">
        <f t="shared" ca="1" si="487"/>
        <v>0</v>
      </c>
      <c r="UW51" s="242">
        <f t="shared" ca="1" si="488"/>
        <v>0</v>
      </c>
      <c r="UX51" s="241">
        <f t="shared" ca="1" si="576"/>
        <v>1</v>
      </c>
      <c r="UY51" s="220">
        <f t="shared" ca="1" si="771"/>
        <v>0</v>
      </c>
      <c r="UZ51" s="220">
        <f t="shared" ca="1" si="772"/>
        <v>0</v>
      </c>
      <c r="VA51" s="235">
        <f t="shared" ca="1" si="491"/>
        <v>0</v>
      </c>
      <c r="VB51" s="235">
        <f t="shared" ca="1" si="492"/>
        <v>0</v>
      </c>
      <c r="VC51" s="242">
        <f t="shared" ca="1" si="493"/>
        <v>0</v>
      </c>
      <c r="VD51" s="241">
        <f t="shared" ca="1" si="574"/>
        <v>1</v>
      </c>
      <c r="VE51" s="220">
        <f t="shared" ca="1" si="773"/>
        <v>0</v>
      </c>
      <c r="VF51" s="220">
        <f t="shared" ca="1" si="774"/>
        <v>0</v>
      </c>
      <c r="VG51" s="235">
        <f t="shared" ca="1" si="496"/>
        <v>0</v>
      </c>
      <c r="VH51" s="235">
        <f t="shared" ca="1" si="497"/>
        <v>0</v>
      </c>
      <c r="VI51" s="242">
        <f t="shared" ca="1" si="498"/>
        <v>0</v>
      </c>
      <c r="VJ51" s="241">
        <f t="shared" ca="1" si="567"/>
        <v>1</v>
      </c>
      <c r="VK51" s="220">
        <f t="shared" ca="1" si="775"/>
        <v>0</v>
      </c>
      <c r="VL51" s="220">
        <f t="shared" ca="1" si="776"/>
        <v>0</v>
      </c>
      <c r="VM51" s="235">
        <f t="shared" ca="1" si="502"/>
        <v>0</v>
      </c>
      <c r="VN51" s="235">
        <f t="shared" ca="1" si="503"/>
        <v>0</v>
      </c>
      <c r="VO51" s="242">
        <f t="shared" ca="1" si="504"/>
        <v>0</v>
      </c>
      <c r="VP51" s="241">
        <f t="shared" ca="1" si="567"/>
        <v>1</v>
      </c>
      <c r="VQ51" s="220">
        <f t="shared" ca="1" si="777"/>
        <v>0</v>
      </c>
      <c r="VR51" s="220">
        <f t="shared" ca="1" si="778"/>
        <v>0</v>
      </c>
      <c r="VS51" s="235">
        <f t="shared" ca="1" si="507"/>
        <v>0</v>
      </c>
      <c r="VT51" s="235">
        <f t="shared" ca="1" si="508"/>
        <v>0</v>
      </c>
      <c r="VU51" s="242">
        <f t="shared" ca="1" si="509"/>
        <v>0</v>
      </c>
      <c r="VV51" s="241">
        <f t="shared" ca="1" si="578"/>
        <v>1</v>
      </c>
      <c r="VW51" s="220">
        <f t="shared" ca="1" si="779"/>
        <v>0</v>
      </c>
      <c r="VX51" s="220">
        <f t="shared" ca="1" si="780"/>
        <v>0</v>
      </c>
      <c r="VY51" s="235">
        <f t="shared" ca="1" si="512"/>
        <v>0</v>
      </c>
      <c r="VZ51" s="235">
        <f t="shared" ca="1" si="513"/>
        <v>0</v>
      </c>
      <c r="WA51" s="242">
        <f t="shared" ca="1" si="514"/>
        <v>0</v>
      </c>
      <c r="WB51" s="241">
        <f t="shared" ca="1" si="578"/>
        <v>1</v>
      </c>
      <c r="WC51" s="220">
        <f t="shared" ca="1" si="781"/>
        <v>0</v>
      </c>
      <c r="WD51" s="220">
        <f t="shared" ca="1" si="782"/>
        <v>0</v>
      </c>
      <c r="WE51" s="235">
        <f t="shared" ca="1" si="517"/>
        <v>0</v>
      </c>
      <c r="WF51" s="235">
        <f t="shared" ca="1" si="518"/>
        <v>0</v>
      </c>
      <c r="WG51" s="242">
        <f t="shared" ca="1" si="519"/>
        <v>0</v>
      </c>
      <c r="WH51" s="241">
        <f t="shared" ca="1" si="578"/>
        <v>1</v>
      </c>
      <c r="WI51" s="220">
        <f t="shared" ca="1" si="783"/>
        <v>0</v>
      </c>
      <c r="WJ51" s="220">
        <f t="shared" ca="1" si="784"/>
        <v>0</v>
      </c>
      <c r="WK51" s="235">
        <f t="shared" ca="1" si="522"/>
        <v>0</v>
      </c>
      <c r="WL51" s="235">
        <f t="shared" ca="1" si="523"/>
        <v>0</v>
      </c>
      <c r="WM51" s="242">
        <f t="shared" ca="1" si="524"/>
        <v>0</v>
      </c>
      <c r="WN51" s="241">
        <f t="shared" ca="1" si="578"/>
        <v>1</v>
      </c>
      <c r="WO51" s="220">
        <f t="shared" ca="1" si="785"/>
        <v>0</v>
      </c>
      <c r="WP51" s="220">
        <f t="shared" ca="1" si="786"/>
        <v>0</v>
      </c>
      <c r="WQ51" s="235">
        <f t="shared" ca="1" si="527"/>
        <v>0</v>
      </c>
      <c r="WR51" s="235">
        <f t="shared" ca="1" si="528"/>
        <v>0</v>
      </c>
      <c r="WS51" s="242">
        <f t="shared" ca="1" si="529"/>
        <v>0</v>
      </c>
      <c r="WT51" s="241">
        <f t="shared" ca="1" si="578"/>
        <v>1</v>
      </c>
      <c r="WU51" s="220">
        <f t="shared" ca="1" si="787"/>
        <v>0</v>
      </c>
      <c r="WV51" s="220">
        <f t="shared" ca="1" si="788"/>
        <v>0</v>
      </c>
      <c r="WW51" s="235">
        <f t="shared" ca="1" si="532"/>
        <v>0</v>
      </c>
      <c r="WX51" s="235">
        <f t="shared" ca="1" si="533"/>
        <v>0</v>
      </c>
      <c r="WY51" s="242">
        <f t="shared" ca="1" si="534"/>
        <v>0</v>
      </c>
      <c r="WZ51" s="241">
        <f t="shared" ca="1" si="578"/>
        <v>1</v>
      </c>
      <c r="XA51" s="220">
        <f t="shared" ca="1" si="789"/>
        <v>0</v>
      </c>
      <c r="XB51" s="220">
        <f t="shared" ca="1" si="790"/>
        <v>0</v>
      </c>
      <c r="XC51" s="235">
        <f t="shared" ca="1" si="537"/>
        <v>0</v>
      </c>
      <c r="XD51" s="235">
        <f t="shared" ca="1" si="538"/>
        <v>0</v>
      </c>
      <c r="XE51" s="242">
        <f t="shared" ca="1" si="539"/>
        <v>0</v>
      </c>
      <c r="XF51" s="241">
        <f t="shared" ca="1" si="578"/>
        <v>1</v>
      </c>
      <c r="XG51" s="220">
        <f t="shared" ca="1" si="791"/>
        <v>0</v>
      </c>
      <c r="XH51" s="220">
        <f t="shared" ca="1" si="792"/>
        <v>0</v>
      </c>
      <c r="XI51" s="235">
        <f t="shared" ca="1" si="542"/>
        <v>0</v>
      </c>
      <c r="XJ51" s="235">
        <f t="shared" ca="1" si="543"/>
        <v>0</v>
      </c>
      <c r="XK51" s="242">
        <f t="shared" ca="1" si="544"/>
        <v>0</v>
      </c>
    </row>
    <row r="52" spans="2:635" x14ac:dyDescent="0.25">
      <c r="B52" s="65">
        <f t="shared" ca="1" si="14"/>
        <v>2067</v>
      </c>
      <c r="C52" s="65" t="s">
        <v>741</v>
      </c>
      <c r="D52" s="77">
        <f t="shared" si="580"/>
        <v>0</v>
      </c>
      <c r="E52" s="77">
        <f t="shared" si="581"/>
        <v>0</v>
      </c>
      <c r="F52" s="77" t="b">
        <f t="shared" ref="F52:F70" si="793">IF(INDEX(SC_ShowRetireatee,1),IF($B52&gt;(YEAR(INDEX(SP_BirthDate,1))+INDEX(SP_LifeExp,1)),0,$D52))</f>
        <v>0</v>
      </c>
      <c r="G52" s="77" t="b">
        <f t="shared" ref="G52:G70" si="794">IF(INDEX(SC_ShowRetireatee,2),IF($B52&gt;(YEAR(INDEX(SP_BirthDate,2))+INDEX(SP_LifeExp,2)),0,$E52))</f>
        <v>0</v>
      </c>
      <c r="H52" s="15" t="e">
        <f t="shared" ca="1" si="582"/>
        <v>#REF!</v>
      </c>
      <c r="L52" s="326">
        <f t="shared" ca="1" si="583"/>
        <v>3.5000000000000003E-2</v>
      </c>
      <c r="M52" s="327">
        <f t="shared" ca="1" si="584"/>
        <v>3.5000000000000003E-2</v>
      </c>
      <c r="N52" s="322">
        <f t="shared" ca="1" si="579"/>
        <v>-44</v>
      </c>
      <c r="O52" s="322">
        <f t="shared" ca="1" si="585"/>
        <v>0</v>
      </c>
      <c r="P52" s="328">
        <f t="shared" ca="1" si="545"/>
        <v>26.87829936156087</v>
      </c>
      <c r="Q52" s="328">
        <f t="shared" ca="1" si="546"/>
        <v>26.87829936156087</v>
      </c>
      <c r="R52" s="328">
        <f t="shared" ca="1" si="547"/>
        <v>26.87829936156087</v>
      </c>
      <c r="S52" s="329">
        <f t="shared" ca="1" si="586"/>
        <v>3.8642415640549425E-2</v>
      </c>
      <c r="T52" s="329">
        <f t="shared" ca="1" si="587"/>
        <v>3.8642415640549425E-2</v>
      </c>
      <c r="U52" s="329">
        <f t="shared" ca="1" si="588"/>
        <v>3.8642415640549425E-2</v>
      </c>
      <c r="V52" s="320" t="e">
        <f t="shared" ca="1" si="589"/>
        <v>#REF!</v>
      </c>
      <c r="W52" s="320" t="e">
        <f t="shared" ca="1" si="560"/>
        <v>#REF!</v>
      </c>
      <c r="X52" s="320" t="e">
        <f t="shared" ca="1" si="590"/>
        <v>#REF!</v>
      </c>
      <c r="Y52" s="320" t="e">
        <f ca="1">INDEX(SC_ZA_HECMLumpSum,ZAIDX)</f>
        <v>#REF!</v>
      </c>
      <c r="Z52" s="320" t="e">
        <f t="shared" ca="1" si="591"/>
        <v>#REF!</v>
      </c>
      <c r="AA52" s="320" t="e">
        <f t="shared" ca="1" si="557"/>
        <v>#REF!</v>
      </c>
      <c r="AB52" s="320" t="e">
        <f t="shared" ca="1" si="558"/>
        <v>#REF!</v>
      </c>
      <c r="AC52" s="330" t="e">
        <f t="shared" ca="1" si="559"/>
        <v>#REF!</v>
      </c>
      <c r="AD52" s="236" t="e">
        <f t="shared" ca="1" si="548"/>
        <v>#REF!</v>
      </c>
      <c r="AE52" s="320" t="e">
        <f t="shared" ca="1" si="561"/>
        <v>#REF!</v>
      </c>
      <c r="AF52" s="320" t="e">
        <f t="shared" ca="1" si="592"/>
        <v>#REF!</v>
      </c>
      <c r="AG52" s="320" t="e">
        <f t="shared" ca="1" si="549"/>
        <v>#REF!</v>
      </c>
      <c r="AH52" s="284" t="e">
        <f t="shared" ca="1" si="550"/>
        <v>#REF!</v>
      </c>
      <c r="AI52" s="318" t="e">
        <f t="shared" ca="1" si="551"/>
        <v>#REF!</v>
      </c>
      <c r="AJ52" s="331">
        <f t="shared" ca="1" si="575"/>
        <v>1</v>
      </c>
      <c r="AK52" s="220">
        <f t="shared" ca="1" si="593"/>
        <v>1</v>
      </c>
      <c r="AL52" s="220">
        <f t="shared" ca="1" si="594"/>
        <v>0</v>
      </c>
      <c r="AM52" s="235">
        <f t="shared" ca="1" si="554"/>
        <v>1</v>
      </c>
      <c r="AN52" s="235">
        <f t="shared" ca="1" si="555"/>
        <v>1</v>
      </c>
      <c r="AO52" s="242">
        <f t="shared" ca="1" si="556"/>
        <v>1</v>
      </c>
      <c r="AP52" s="241">
        <f t="shared" ca="1" si="575"/>
        <v>1</v>
      </c>
      <c r="AQ52" s="220">
        <f t="shared" ca="1" si="595"/>
        <v>0.99361699999999997</v>
      </c>
      <c r="AR52" s="220">
        <f t="shared" ca="1" si="596"/>
        <v>0</v>
      </c>
      <c r="AS52" s="235">
        <f t="shared" ca="1" si="43"/>
        <v>0.96001642512077301</v>
      </c>
      <c r="AT52" s="235">
        <f t="shared" ca="1" si="44"/>
        <v>0.96001642512077301</v>
      </c>
      <c r="AU52" s="242">
        <f t="shared" ca="1" si="45"/>
        <v>0.96001642512077301</v>
      </c>
      <c r="AV52" s="241">
        <f t="shared" ca="1" si="575"/>
        <v>1</v>
      </c>
      <c r="AW52" s="220">
        <f t="shared" ca="1" si="597"/>
        <v>0.99316689149899995</v>
      </c>
      <c r="AX52" s="220">
        <f t="shared" ca="1" si="598"/>
        <v>0</v>
      </c>
      <c r="AY52" s="235">
        <f t="shared" ca="1" si="48"/>
        <v>0.92713192046395487</v>
      </c>
      <c r="AZ52" s="235">
        <f t="shared" ca="1" si="49"/>
        <v>0.92713192046395487</v>
      </c>
      <c r="BA52" s="242">
        <f t="shared" ca="1" si="50"/>
        <v>0.92713192046395487</v>
      </c>
      <c r="BB52" s="241">
        <f t="shared" ca="1" si="575"/>
        <v>1</v>
      </c>
      <c r="BC52" s="220">
        <f t="shared" ca="1" si="599"/>
        <v>0.99288681843559723</v>
      </c>
      <c r="BD52" s="220">
        <f t="shared" ca="1" si="600"/>
        <v>0</v>
      </c>
      <c r="BE52" s="235">
        <f t="shared" ca="1" si="54"/>
        <v>0.89552702344191704</v>
      </c>
      <c r="BF52" s="235">
        <f t="shared" ca="1" si="55"/>
        <v>0.89552702344191704</v>
      </c>
      <c r="BG52" s="242">
        <f t="shared" ca="1" si="56"/>
        <v>0.89552702344191704</v>
      </c>
      <c r="BH52" s="241">
        <f t="shared" ca="1" si="575"/>
        <v>1</v>
      </c>
      <c r="BI52" s="220">
        <f t="shared" ca="1" si="601"/>
        <v>0.99265845446735712</v>
      </c>
      <c r="BJ52" s="220">
        <f t="shared" ca="1" si="602"/>
        <v>0</v>
      </c>
      <c r="BK52" s="235">
        <f t="shared" ca="1" si="59"/>
        <v>0.86504449490485558</v>
      </c>
      <c r="BL52" s="235">
        <f t="shared" ca="1" si="60"/>
        <v>0.86504449490485558</v>
      </c>
      <c r="BM52" s="242">
        <f t="shared" ca="1" si="61"/>
        <v>0.86504449490485558</v>
      </c>
      <c r="BN52" s="241">
        <f t="shared" ca="1" si="575"/>
        <v>1</v>
      </c>
      <c r="BO52" s="220">
        <f t="shared" ca="1" si="603"/>
        <v>0.99249069518855215</v>
      </c>
      <c r="BP52" s="220">
        <f t="shared" ca="1" si="604"/>
        <v>0</v>
      </c>
      <c r="BQ52" s="235">
        <f t="shared" ca="1" si="64"/>
        <v>0.83565053370552345</v>
      </c>
      <c r="BR52" s="235">
        <f t="shared" ca="1" si="65"/>
        <v>0.83565053370552345</v>
      </c>
      <c r="BS52" s="242">
        <f t="shared" ca="1" si="66"/>
        <v>0.83565053370552345</v>
      </c>
      <c r="BT52" s="241">
        <f t="shared" ca="1" si="575"/>
        <v>1</v>
      </c>
      <c r="BU52" s="220">
        <f t="shared" ca="1" si="605"/>
        <v>0.99233685913079794</v>
      </c>
      <c r="BV52" s="220">
        <f t="shared" ca="1" si="606"/>
        <v>0</v>
      </c>
      <c r="BW52" s="235">
        <f t="shared" ca="1" si="69"/>
        <v>0.80726667427323584</v>
      </c>
      <c r="BX52" s="235">
        <f t="shared" ca="1" si="70"/>
        <v>0.80726667427323584</v>
      </c>
      <c r="BY52" s="242">
        <f t="shared" ca="1" si="71"/>
        <v>0.80726667427323584</v>
      </c>
      <c r="BZ52" s="241">
        <f t="shared" ca="1" si="575"/>
        <v>1</v>
      </c>
      <c r="CA52" s="220">
        <f t="shared" ca="1" si="607"/>
        <v>0.992192970286224</v>
      </c>
      <c r="CB52" s="220">
        <f t="shared" ca="1" si="608"/>
        <v>0</v>
      </c>
      <c r="CC52" s="235">
        <f t="shared" ca="1" si="74"/>
        <v>0.7798547058990013</v>
      </c>
      <c r="CD52" s="235">
        <f t="shared" ca="1" si="75"/>
        <v>0.7798547058990013</v>
      </c>
      <c r="CE52" s="242">
        <f t="shared" ca="1" si="76"/>
        <v>0.7798547058990013</v>
      </c>
      <c r="CF52" s="241">
        <f t="shared" ca="1" si="575"/>
        <v>1</v>
      </c>
      <c r="CG52" s="220">
        <f t="shared" ca="1" si="609"/>
        <v>0.9920590242352354</v>
      </c>
      <c r="CH52" s="220">
        <f t="shared" ca="1" si="610"/>
        <v>0</v>
      </c>
      <c r="CI52" s="235">
        <f t="shared" ca="1" si="79"/>
        <v>0.75338108745285515</v>
      </c>
      <c r="CJ52" s="235">
        <f t="shared" ca="1" si="80"/>
        <v>0.75338108745285515</v>
      </c>
      <c r="CK52" s="242">
        <f t="shared" ca="1" si="81"/>
        <v>0.75338108745285515</v>
      </c>
      <c r="CL52" s="241">
        <f t="shared" ca="1" si="575"/>
        <v>1</v>
      </c>
      <c r="CM52" s="220">
        <f t="shared" ca="1" si="611"/>
        <v>0.99193997715232718</v>
      </c>
      <c r="CN52" s="220">
        <f t="shared" ca="1" si="612"/>
        <v>0</v>
      </c>
      <c r="CO52" s="235">
        <f t="shared" ca="1" si="84"/>
        <v>0.72781708378972065</v>
      </c>
      <c r="CP52" s="235">
        <f t="shared" ca="1" si="85"/>
        <v>0.72781708378972065</v>
      </c>
      <c r="CQ52" s="242">
        <f t="shared" ca="1" si="86"/>
        <v>0.72781708378972065</v>
      </c>
      <c r="CR52" s="241">
        <f t="shared" ca="1" si="575"/>
        <v>1</v>
      </c>
      <c r="CS52" s="220">
        <f t="shared" ca="1" si="613"/>
        <v>0.99183582345472621</v>
      </c>
      <c r="CT52" s="220">
        <f t="shared" ca="1" si="614"/>
        <v>0</v>
      </c>
      <c r="CU52" s="235">
        <f t="shared" ca="1" si="89"/>
        <v>0.70313107535837949</v>
      </c>
      <c r="CV52" s="235">
        <f t="shared" ca="1" si="90"/>
        <v>0.70313107535837949</v>
      </c>
      <c r="CW52" s="242">
        <f t="shared" ca="1" si="91"/>
        <v>0.70313107535837949</v>
      </c>
      <c r="CX52" s="241">
        <f t="shared" ca="1" si="568"/>
        <v>1</v>
      </c>
      <c r="CY52" s="220">
        <f t="shared" ca="1" si="615"/>
        <v>0.99174259088732142</v>
      </c>
      <c r="CZ52" s="220">
        <f t="shared" ca="1" si="616"/>
        <v>0</v>
      </c>
      <c r="DA52" s="235">
        <f t="shared" ca="1" si="94"/>
        <v>0.6792898367510104</v>
      </c>
      <c r="DB52" s="235">
        <f t="shared" ca="1" si="95"/>
        <v>0.6792898367510104</v>
      </c>
      <c r="DC52" s="242">
        <f t="shared" ca="1" si="96"/>
        <v>0.6792898367510104</v>
      </c>
      <c r="DD52" s="241">
        <f t="shared" ca="1" si="568"/>
        <v>1</v>
      </c>
      <c r="DE52" s="220">
        <f t="shared" ca="1" si="617"/>
        <v>0.99164440837082357</v>
      </c>
      <c r="DF52" s="220">
        <f t="shared" ca="1" si="618"/>
        <v>0</v>
      </c>
      <c r="DG52" s="235">
        <f t="shared" ca="1" si="99"/>
        <v>0.65625370730161559</v>
      </c>
      <c r="DH52" s="235">
        <f t="shared" ca="1" si="100"/>
        <v>0.65625370730161559</v>
      </c>
      <c r="DI52" s="242">
        <f t="shared" ca="1" si="101"/>
        <v>0.65625370730161559</v>
      </c>
      <c r="DJ52" s="241">
        <f t="shared" ca="1" si="51"/>
        <v>1</v>
      </c>
      <c r="DK52" s="220">
        <f t="shared" ca="1" si="619"/>
        <v>0.9915115280201019</v>
      </c>
      <c r="DL52" s="220">
        <f t="shared" ca="1" si="620"/>
        <v>0</v>
      </c>
      <c r="DM52" s="235">
        <f t="shared" ca="1" si="104"/>
        <v>0.63397658870032592</v>
      </c>
      <c r="DN52" s="235">
        <f t="shared" ca="1" si="105"/>
        <v>0.63397658870032592</v>
      </c>
      <c r="DO52" s="242">
        <f t="shared" ca="1" si="106"/>
        <v>0.63397658870032592</v>
      </c>
      <c r="DP52" s="241">
        <f t="shared" ca="1" si="569"/>
        <v>1</v>
      </c>
      <c r="DQ52" s="220">
        <f t="shared" ca="1" si="621"/>
        <v>0.99130628513380181</v>
      </c>
      <c r="DR52" s="220">
        <f t="shared" ca="1" si="622"/>
        <v>0</v>
      </c>
      <c r="DS52" s="235">
        <f t="shared" ca="1" si="110"/>
        <v>0.61241097154247814</v>
      </c>
      <c r="DT52" s="235">
        <f t="shared" ca="1" si="111"/>
        <v>0.61241097154247814</v>
      </c>
      <c r="DU52" s="242">
        <f t="shared" ca="1" si="112"/>
        <v>0.61241097154247814</v>
      </c>
      <c r="DV52" s="241">
        <f t="shared" ca="1" si="569"/>
        <v>1</v>
      </c>
      <c r="DW52" s="220">
        <f t="shared" ca="1" si="623"/>
        <v>0.9909999714916955</v>
      </c>
      <c r="DX52" s="220">
        <f t="shared" ca="1" si="624"/>
        <v>0</v>
      </c>
      <c r="DY52" s="235">
        <f t="shared" ca="1" si="115"/>
        <v>0.59151858604084218</v>
      </c>
      <c r="DZ52" s="235">
        <f t="shared" ca="1" si="116"/>
        <v>0.59151858604084218</v>
      </c>
      <c r="EA52" s="242">
        <f t="shared" ca="1" si="117"/>
        <v>0.59151858604084218</v>
      </c>
      <c r="EB52" s="241">
        <f t="shared" ca="1" si="569"/>
        <v>1</v>
      </c>
      <c r="EC52" s="220">
        <f t="shared" ca="1" si="625"/>
        <v>0.99058474250364048</v>
      </c>
      <c r="ED52" s="220">
        <f t="shared" ca="1" si="626"/>
        <v>0</v>
      </c>
      <c r="EE52" s="235">
        <f t="shared" ca="1" si="120"/>
        <v>0.57127607705632</v>
      </c>
      <c r="EF52" s="235">
        <f t="shared" ca="1" si="121"/>
        <v>0.57127607705632</v>
      </c>
      <c r="EG52" s="242">
        <f t="shared" ca="1" si="122"/>
        <v>0.57127607705632</v>
      </c>
      <c r="EH52" s="241">
        <f t="shared" ca="1" si="569"/>
        <v>1</v>
      </c>
      <c r="EI52" s="220">
        <f t="shared" ca="1" si="627"/>
        <v>0.99005973259011348</v>
      </c>
      <c r="EJ52" s="220">
        <f t="shared" ca="1" si="628"/>
        <v>0</v>
      </c>
      <c r="EK52" s="235">
        <f t="shared" ca="1" si="125"/>
        <v>0.55166502486519819</v>
      </c>
      <c r="EL52" s="235">
        <f t="shared" ca="1" si="126"/>
        <v>0.55166502486519819</v>
      </c>
      <c r="EM52" s="242">
        <f t="shared" ca="1" si="127"/>
        <v>0.55166502486519819</v>
      </c>
      <c r="EN52" s="241">
        <f t="shared" ca="1" si="569"/>
        <v>1</v>
      </c>
      <c r="EO52" s="220">
        <f t="shared" ca="1" si="629"/>
        <v>0.98941124346526699</v>
      </c>
      <c r="EP52" s="220">
        <f t="shared" ca="1" si="630"/>
        <v>0</v>
      </c>
      <c r="EQ52" s="235">
        <f t="shared" ca="1" si="130"/>
        <v>0.53266056451585653</v>
      </c>
      <c r="ER52" s="235">
        <f t="shared" ca="1" si="131"/>
        <v>0.53266056451585653</v>
      </c>
      <c r="ES52" s="242">
        <f t="shared" ca="1" si="132"/>
        <v>0.53266056451585653</v>
      </c>
      <c r="ET52" s="241">
        <f t="shared" ca="1" si="569"/>
        <v>1</v>
      </c>
      <c r="EU52" s="220">
        <f t="shared" ca="1" si="631"/>
        <v>0.98862861917168599</v>
      </c>
      <c r="EV52" s="220">
        <f t="shared" ca="1" si="632"/>
        <v>0</v>
      </c>
      <c r="EW52" s="235">
        <f t="shared" ca="1" si="135"/>
        <v>0.51424080194137645</v>
      </c>
      <c r="EX52" s="235">
        <f t="shared" ca="1" si="136"/>
        <v>0.51424080194137645</v>
      </c>
      <c r="EY52" s="242">
        <f t="shared" ca="1" si="137"/>
        <v>0.51424080194137645</v>
      </c>
      <c r="EZ52" s="241">
        <f t="shared" ca="1" si="569"/>
        <v>1</v>
      </c>
      <c r="FA52" s="220">
        <f t="shared" ca="1" si="633"/>
        <v>0.98770524004137961</v>
      </c>
      <c r="FB52" s="220">
        <f t="shared" ca="1" si="634"/>
        <v>0</v>
      </c>
      <c r="FC52" s="235">
        <f t="shared" ca="1" si="140"/>
        <v>0.49638695751919149</v>
      </c>
      <c r="FD52" s="235">
        <f t="shared" ca="1" si="141"/>
        <v>0.49638695751919149</v>
      </c>
      <c r="FE52" s="242">
        <f t="shared" ca="1" si="142"/>
        <v>0.49638695751919149</v>
      </c>
      <c r="FF52" s="241">
        <f t="shared" ca="1" si="569"/>
        <v>1</v>
      </c>
      <c r="FG52" s="220">
        <f t="shared" ca="1" si="635"/>
        <v>0.98663357985593469</v>
      </c>
      <c r="FH52" s="220">
        <f t="shared" ca="1" si="636"/>
        <v>0</v>
      </c>
      <c r="FI52" s="235">
        <f t="shared" ca="1" si="145"/>
        <v>0.4790805581355394</v>
      </c>
      <c r="FJ52" s="235">
        <f t="shared" ca="1" si="146"/>
        <v>0.4790805581355394</v>
      </c>
      <c r="FK52" s="242">
        <f t="shared" ca="1" si="147"/>
        <v>0.4790805581355394</v>
      </c>
      <c r="FL52" s="241">
        <f t="shared" ca="1" si="569"/>
        <v>1</v>
      </c>
      <c r="FM52" s="220">
        <f t="shared" ca="1" si="637"/>
        <v>0.98542199381987161</v>
      </c>
      <c r="FN52" s="220">
        <f t="shared" ca="1" si="638"/>
        <v>0</v>
      </c>
      <c r="FO52" s="235">
        <f t="shared" ca="1" si="150"/>
        <v>0.46231134996149653</v>
      </c>
      <c r="FP52" s="235">
        <f t="shared" ca="1" si="151"/>
        <v>0.46231134996149653</v>
      </c>
      <c r="FQ52" s="242">
        <f t="shared" ca="1" si="152"/>
        <v>0.46231134996149653</v>
      </c>
      <c r="FR52" s="241">
        <f t="shared" ca="1" si="569"/>
        <v>1</v>
      </c>
      <c r="FS52" s="220">
        <f t="shared" ca="1" si="639"/>
        <v>0.98410251377014679</v>
      </c>
      <c r="FT52" s="220">
        <f t="shared" ca="1" si="640"/>
        <v>0</v>
      </c>
      <c r="FU52" s="235">
        <f t="shared" ca="1" si="155"/>
        <v>0.44607953146270346</v>
      </c>
      <c r="FV52" s="235">
        <f t="shared" ca="1" si="156"/>
        <v>0.44607953146270346</v>
      </c>
      <c r="FW52" s="242">
        <f t="shared" ca="1" si="157"/>
        <v>0.44607953146270346</v>
      </c>
      <c r="FX52" s="241">
        <f t="shared" ca="1" si="569"/>
        <v>1</v>
      </c>
      <c r="FY52" s="220">
        <f t="shared" ca="1" si="641"/>
        <v>0.98272181794332725</v>
      </c>
      <c r="FZ52" s="220">
        <f t="shared" ca="1" si="642"/>
        <v>0</v>
      </c>
      <c r="GA52" s="235">
        <f t="shared" ca="1" si="160"/>
        <v>0.43039003080199167</v>
      </c>
      <c r="GB52" s="235">
        <f t="shared" ca="1" si="161"/>
        <v>0.43039003080199167</v>
      </c>
      <c r="GC52" s="242">
        <f t="shared" ca="1" si="162"/>
        <v>0.43039003080199167</v>
      </c>
      <c r="GD52" s="241">
        <f t="shared" ca="1" si="562"/>
        <v>1</v>
      </c>
      <c r="GE52" s="220">
        <f t="shared" ca="1" si="643"/>
        <v>0.98131357757821447</v>
      </c>
      <c r="GF52" s="220">
        <f t="shared" ca="1" si="644"/>
        <v>0</v>
      </c>
      <c r="GG52" s="235">
        <f t="shared" ca="1" si="166"/>
        <v>0.41523988588198307</v>
      </c>
      <c r="GH52" s="235">
        <f t="shared" ca="1" si="167"/>
        <v>0.41523988588198307</v>
      </c>
      <c r="GI52" s="242">
        <f t="shared" ca="1" si="168"/>
        <v>0.41523988588198307</v>
      </c>
      <c r="GJ52" s="241">
        <f t="shared" ca="1" si="562"/>
        <v>1</v>
      </c>
      <c r="GK52" s="220">
        <f t="shared" ca="1" si="645"/>
        <v>0.97988969157714845</v>
      </c>
      <c r="GL52" s="220">
        <f t="shared" ca="1" si="646"/>
        <v>0</v>
      </c>
      <c r="GM52" s="235">
        <f t="shared" ca="1" si="171"/>
        <v>0.40061581913774713</v>
      </c>
      <c r="GN52" s="235">
        <f t="shared" ca="1" si="172"/>
        <v>0.40061581913774713</v>
      </c>
      <c r="GO52" s="242">
        <f t="shared" ca="1" si="173"/>
        <v>0.40061581913774713</v>
      </c>
      <c r="GP52" s="241">
        <f t="shared" ca="1" si="570"/>
        <v>1</v>
      </c>
      <c r="GQ52" s="220">
        <f t="shared" ca="1" si="647"/>
        <v>0.9784443542820721</v>
      </c>
      <c r="GR52" s="220">
        <f t="shared" ca="1" si="648"/>
        <v>0</v>
      </c>
      <c r="GS52" s="235">
        <f t="shared" ca="1" si="176"/>
        <v>0.38649749836185404</v>
      </c>
      <c r="GT52" s="235">
        <f t="shared" ca="1" si="177"/>
        <v>0.38649749836185404</v>
      </c>
      <c r="GU52" s="242">
        <f t="shared" ca="1" si="178"/>
        <v>0.38649749836185404</v>
      </c>
      <c r="GV52" s="241">
        <f t="shared" ca="1" si="570"/>
        <v>1</v>
      </c>
      <c r="GW52" s="220">
        <f t="shared" ca="1" si="649"/>
        <v>0.97697473086194042</v>
      </c>
      <c r="GX52" s="220">
        <f t="shared" ca="1" si="650"/>
        <v>0</v>
      </c>
      <c r="GY52" s="235">
        <f t="shared" ca="1" si="181"/>
        <v>0.37286664649209134</v>
      </c>
      <c r="GZ52" s="235">
        <f t="shared" ca="1" si="182"/>
        <v>0.37286664649209134</v>
      </c>
      <c r="HA52" s="242">
        <f t="shared" ca="1" si="183"/>
        <v>0.37286664649209134</v>
      </c>
      <c r="HB52" s="241">
        <f t="shared" ca="1" si="570"/>
        <v>1</v>
      </c>
      <c r="HC52" s="220">
        <f t="shared" ca="1" si="651"/>
        <v>0.97547214372587476</v>
      </c>
      <c r="HD52" s="220">
        <f t="shared" ca="1" si="652"/>
        <v>0</v>
      </c>
      <c r="HE52" s="235">
        <f t="shared" ca="1" si="186"/>
        <v>0.35970355322684694</v>
      </c>
      <c r="HF52" s="235">
        <f t="shared" ca="1" si="187"/>
        <v>0.35970355322684694</v>
      </c>
      <c r="HG52" s="242">
        <f t="shared" ca="1" si="188"/>
        <v>0.35970355322684694</v>
      </c>
      <c r="HH52" s="241">
        <f t="shared" ca="1" si="570"/>
        <v>1</v>
      </c>
      <c r="HI52" s="220">
        <f t="shared" ca="1" si="653"/>
        <v>0.9739299222666441</v>
      </c>
      <c r="HJ52" s="220">
        <f t="shared" ca="1" si="654"/>
        <v>0</v>
      </c>
      <c r="HK52" s="235">
        <f t="shared" ca="1" si="191"/>
        <v>0.34699020474318382</v>
      </c>
      <c r="HL52" s="235">
        <f t="shared" ca="1" si="192"/>
        <v>0.34699020474318382</v>
      </c>
      <c r="HM52" s="242">
        <f t="shared" ca="1" si="193"/>
        <v>0.34699020474318382</v>
      </c>
      <c r="HN52" s="241">
        <f t="shared" ca="1" si="570"/>
        <v>1</v>
      </c>
      <c r="HO52" s="220">
        <f t="shared" ca="1" si="655"/>
        <v>0.97234631221303847</v>
      </c>
      <c r="HP52" s="220">
        <f t="shared" ca="1" si="656"/>
        <v>0</v>
      </c>
      <c r="HQ52" s="235">
        <f t="shared" ca="1" si="196"/>
        <v>0.33471110982634922</v>
      </c>
      <c r="HR52" s="235">
        <f t="shared" ca="1" si="197"/>
        <v>0.33471110982634922</v>
      </c>
      <c r="HS52" s="242">
        <f t="shared" ca="1" si="198"/>
        <v>0.33471110982634922</v>
      </c>
      <c r="HT52" s="241">
        <f t="shared" ca="1" si="570"/>
        <v>1</v>
      </c>
      <c r="HU52" s="220">
        <f t="shared" ca="1" si="657"/>
        <v>0.97072346621795491</v>
      </c>
      <c r="HV52" s="220">
        <f t="shared" ca="1" si="658"/>
        <v>0</v>
      </c>
      <c r="HW52" s="235">
        <f t="shared" ca="1" si="201"/>
        <v>0.32285263476719722</v>
      </c>
      <c r="HX52" s="235">
        <f t="shared" ca="1" si="202"/>
        <v>0.32285263476719722</v>
      </c>
      <c r="HY52" s="242">
        <f t="shared" ca="1" si="203"/>
        <v>0.32285263476719722</v>
      </c>
      <c r="HZ52" s="241">
        <f t="shared" ca="1" si="570"/>
        <v>1</v>
      </c>
      <c r="IA52" s="220">
        <f t="shared" ca="1" si="659"/>
        <v>0.96906158764378969</v>
      </c>
      <c r="IB52" s="220">
        <f t="shared" ca="1" si="660"/>
        <v>0</v>
      </c>
      <c r="IC52" s="235">
        <f t="shared" ca="1" si="206"/>
        <v>0.31140088024780266</v>
      </c>
      <c r="ID52" s="235">
        <f t="shared" ca="1" si="207"/>
        <v>0.31140088024780266</v>
      </c>
      <c r="IE52" s="242">
        <f t="shared" ca="1" si="208"/>
        <v>0.31140088024780266</v>
      </c>
      <c r="IF52" s="241">
        <f t="shared" ca="1" si="570"/>
        <v>1</v>
      </c>
      <c r="IG52" s="220">
        <f t="shared" ca="1" si="661"/>
        <v>0.96736088455747493</v>
      </c>
      <c r="IH52" s="220">
        <f t="shared" ca="1" si="662"/>
        <v>0</v>
      </c>
      <c r="II52" s="235">
        <f t="shared" ca="1" si="211"/>
        <v>0.30034238811880948</v>
      </c>
      <c r="IJ52" s="235">
        <f t="shared" ca="1" si="212"/>
        <v>0.30034238811880948</v>
      </c>
      <c r="IK52" s="242">
        <f t="shared" ca="1" si="213"/>
        <v>0.30034238811880948</v>
      </c>
      <c r="IL52" s="241">
        <f t="shared" ca="1" si="570"/>
        <v>1</v>
      </c>
      <c r="IM52" s="220">
        <f t="shared" ca="1" si="663"/>
        <v>0.96561963496527148</v>
      </c>
      <c r="IN52" s="220">
        <f t="shared" ca="1" si="664"/>
        <v>0</v>
      </c>
      <c r="IO52" s="235">
        <f t="shared" ca="1" si="216"/>
        <v>0.28966354765236296</v>
      </c>
      <c r="IP52" s="235">
        <f t="shared" ca="1" si="217"/>
        <v>0.28966354765236296</v>
      </c>
      <c r="IQ52" s="242">
        <f t="shared" ca="1" si="218"/>
        <v>0.28966354765236296</v>
      </c>
      <c r="IR52" s="241">
        <f t="shared" ca="1" si="570"/>
        <v>1</v>
      </c>
      <c r="IS52" s="220">
        <f t="shared" ca="1" si="665"/>
        <v>0.96382841054241086</v>
      </c>
      <c r="IT52" s="220">
        <f t="shared" ca="1" si="666"/>
        <v>0</v>
      </c>
      <c r="IU52" s="235">
        <f t="shared" ca="1" si="222"/>
        <v>0.27934900654248102</v>
      </c>
      <c r="IV52" s="235">
        <f t="shared" ca="1" si="223"/>
        <v>0.27934900654248102</v>
      </c>
      <c r="IW52" s="242">
        <f t="shared" ca="1" si="224"/>
        <v>0.27934900654248102</v>
      </c>
      <c r="IX52" s="241">
        <f t="shared" ca="1" si="570"/>
        <v>1</v>
      </c>
      <c r="IY52" s="220">
        <f t="shared" ca="1" si="667"/>
        <v>0.9619778599941694</v>
      </c>
      <c r="IZ52" s="220">
        <f t="shared" ca="1" si="668"/>
        <v>0</v>
      </c>
      <c r="JA52" s="235">
        <f t="shared" ca="1" si="227"/>
        <v>0.26938420913035699</v>
      </c>
      <c r="JB52" s="235">
        <f t="shared" ca="1" si="228"/>
        <v>0.26938420913035699</v>
      </c>
      <c r="JC52" s="242">
        <f t="shared" ca="1" si="229"/>
        <v>0.26938420913035699</v>
      </c>
      <c r="JD52" s="241">
        <f t="shared" ca="1" si="563"/>
        <v>1</v>
      </c>
      <c r="JE52" s="220">
        <f t="shared" ca="1" si="669"/>
        <v>0.96006544800850102</v>
      </c>
      <c r="JF52" s="220">
        <f t="shared" ca="1" si="670"/>
        <v>0</v>
      </c>
      <c r="JG52" s="235">
        <f t="shared" ca="1" si="232"/>
        <v>0.25975717229237277</v>
      </c>
      <c r="JH52" s="235">
        <f t="shared" ca="1" si="233"/>
        <v>0.25975717229237277</v>
      </c>
      <c r="JI52" s="242">
        <f t="shared" ca="1" si="234"/>
        <v>0.25975717229237277</v>
      </c>
      <c r="JJ52" s="241">
        <f t="shared" ca="1" si="563"/>
        <v>1</v>
      </c>
      <c r="JK52" s="220">
        <f t="shared" ca="1" si="671"/>
        <v>0.9580877131856036</v>
      </c>
      <c r="JL52" s="220">
        <f t="shared" ca="1" si="672"/>
        <v>0</v>
      </c>
      <c r="JM52" s="235">
        <f t="shared" ca="1" si="237"/>
        <v>0.25045610871251262</v>
      </c>
      <c r="JN52" s="235">
        <f t="shared" ca="1" si="238"/>
        <v>0.25045610871251262</v>
      </c>
      <c r="JO52" s="242">
        <f t="shared" ca="1" si="239"/>
        <v>0.25045610871251262</v>
      </c>
      <c r="JP52" s="241">
        <f t="shared" ca="1" si="571"/>
        <v>1</v>
      </c>
      <c r="JQ52" s="220">
        <f t="shared" ca="1" si="673"/>
        <v>0.95603644739167326</v>
      </c>
      <c r="JR52" s="220">
        <f t="shared" ca="1" si="674"/>
        <v>0</v>
      </c>
      <c r="JS52" s="235">
        <f t="shared" ca="1" si="242"/>
        <v>0.24146848520169967</v>
      </c>
      <c r="JT52" s="235">
        <f t="shared" ca="1" si="243"/>
        <v>0.24146848520169967</v>
      </c>
      <c r="JU52" s="242">
        <f t="shared" ca="1" si="244"/>
        <v>0.24146848520169967</v>
      </c>
      <c r="JV52" s="241">
        <f t="shared" ca="1" si="571"/>
        <v>1</v>
      </c>
      <c r="JW52" s="220">
        <f t="shared" ca="1" si="675"/>
        <v>0.95389492574951584</v>
      </c>
      <c r="JX52" s="220">
        <f t="shared" ca="1" si="676"/>
        <v>0</v>
      </c>
      <c r="JY52" s="235">
        <f t="shared" ca="1" si="247"/>
        <v>0.23278028579212359</v>
      </c>
      <c r="JZ52" s="235">
        <f t="shared" ca="1" si="248"/>
        <v>0.23278028579212359</v>
      </c>
      <c r="KA52" s="242">
        <f t="shared" ca="1" si="249"/>
        <v>0.23278028579212359</v>
      </c>
      <c r="KB52" s="241">
        <f t="shared" ca="1" si="571"/>
        <v>1</v>
      </c>
      <c r="KC52" s="220">
        <f t="shared" ca="1" si="677"/>
        <v>0.95164182593489555</v>
      </c>
      <c r="KD52" s="220">
        <f t="shared" ca="1" si="678"/>
        <v>0</v>
      </c>
      <c r="KE52" s="235">
        <f t="shared" ca="1" si="252"/>
        <v>0.22437725483776094</v>
      </c>
      <c r="KF52" s="235">
        <f t="shared" ca="1" si="253"/>
        <v>0.22437725483776094</v>
      </c>
      <c r="KG52" s="242">
        <f t="shared" ca="1" si="254"/>
        <v>0.22437725483776094</v>
      </c>
      <c r="KH52" s="241">
        <f t="shared" ca="1" si="571"/>
        <v>1</v>
      </c>
      <c r="KI52" s="220">
        <f t="shared" ca="1" si="679"/>
        <v>0.94925415659362489</v>
      </c>
      <c r="KJ52" s="220">
        <f t="shared" ca="1" si="680"/>
        <v>0</v>
      </c>
      <c r="KK52" s="235">
        <f t="shared" ca="1" si="257"/>
        <v>0.21624569304866956</v>
      </c>
      <c r="KL52" s="235">
        <f t="shared" ca="1" si="258"/>
        <v>0.21624569304866956</v>
      </c>
      <c r="KM52" s="242">
        <f t="shared" ca="1" si="259"/>
        <v>0.21624569304866956</v>
      </c>
      <c r="KN52" s="241">
        <f t="shared" ca="1" si="571"/>
        <v>1</v>
      </c>
      <c r="KO52" s="220">
        <f t="shared" ca="1" si="681"/>
        <v>0.94670635843732753</v>
      </c>
      <c r="KP52" s="220">
        <f t="shared" ca="1" si="682"/>
        <v>0</v>
      </c>
      <c r="KQ52" s="235">
        <f t="shared" ca="1" si="262"/>
        <v>0.2083722604913304</v>
      </c>
      <c r="KR52" s="235">
        <f t="shared" ca="1" si="263"/>
        <v>0.2083722604913304</v>
      </c>
      <c r="KS52" s="242">
        <f t="shared" ca="1" si="264"/>
        <v>0.2083722604913304</v>
      </c>
      <c r="KT52" s="241">
        <f t="shared" ca="1" si="571"/>
        <v>1</v>
      </c>
      <c r="KU52" s="220">
        <f t="shared" ca="1" si="683"/>
        <v>0.94397037706144371</v>
      </c>
      <c r="KV52" s="220">
        <f t="shared" ca="1" si="684"/>
        <v>0</v>
      </c>
      <c r="KW52" s="235">
        <f t="shared" ca="1" si="267"/>
        <v>0.20074402382464779</v>
      </c>
      <c r="KX52" s="235">
        <f t="shared" ca="1" si="268"/>
        <v>0.20074402382464779</v>
      </c>
      <c r="KY52" s="242">
        <f t="shared" ca="1" si="269"/>
        <v>0.20074402382464779</v>
      </c>
      <c r="KZ52" s="241">
        <f t="shared" ca="1" si="571"/>
        <v>1</v>
      </c>
      <c r="LA52" s="220">
        <f t="shared" ca="1" si="685"/>
        <v>0.94102424551463493</v>
      </c>
      <c r="LB52" s="220">
        <f t="shared" ca="1" si="686"/>
        <v>0</v>
      </c>
      <c r="LC52" s="235">
        <f t="shared" ca="1" si="272"/>
        <v>0.19335024321380778</v>
      </c>
      <c r="LD52" s="235">
        <f t="shared" ca="1" si="273"/>
        <v>0.19335024321380778</v>
      </c>
      <c r="LE52" s="242">
        <f t="shared" ca="1" si="274"/>
        <v>0.19335024321380778</v>
      </c>
      <c r="LF52" s="241">
        <f t="shared" ca="1" si="571"/>
        <v>1</v>
      </c>
      <c r="LG52" s="220">
        <f t="shared" ca="1" si="687"/>
        <v>0.93783793741932242</v>
      </c>
      <c r="LH52" s="220">
        <f t="shared" ca="1" si="688"/>
        <v>0</v>
      </c>
      <c r="LI52" s="235">
        <f t="shared" ca="1" si="278"/>
        <v>0.18617928433844047</v>
      </c>
      <c r="LJ52" s="235">
        <f t="shared" ca="1" si="279"/>
        <v>0.18617928433844047</v>
      </c>
      <c r="LK52" s="242">
        <f t="shared" ca="1" si="280"/>
        <v>0.18617928433844047</v>
      </c>
      <c r="LL52" s="241">
        <f t="shared" ca="1" si="571"/>
        <v>1</v>
      </c>
      <c r="LM52" s="220">
        <f t="shared" ca="1" si="689"/>
        <v>0.93436137218530901</v>
      </c>
      <c r="LN52" s="220">
        <f t="shared" ca="1" si="690"/>
        <v>0</v>
      </c>
      <c r="LO52" s="235">
        <f t="shared" ca="1" si="283"/>
        <v>0.17921653887091585</v>
      </c>
      <c r="LP52" s="235">
        <f t="shared" ca="1" si="284"/>
        <v>0.17921653887091585</v>
      </c>
      <c r="LQ52" s="242">
        <f t="shared" ca="1" si="285"/>
        <v>0.17921653887091585</v>
      </c>
      <c r="LR52" s="241">
        <f t="shared" ca="1" si="571"/>
        <v>1</v>
      </c>
      <c r="LS52" s="220">
        <f t="shared" ca="1" si="691"/>
        <v>0.93053889981169891</v>
      </c>
      <c r="LT52" s="220">
        <f t="shared" ca="1" si="692"/>
        <v>0</v>
      </c>
      <c r="LU52" s="235">
        <f t="shared" ca="1" si="288"/>
        <v>0.17244769469603377</v>
      </c>
      <c r="LV52" s="235">
        <f t="shared" ca="1" si="289"/>
        <v>0.17244769469603377</v>
      </c>
      <c r="LW52" s="242">
        <f t="shared" ca="1" si="290"/>
        <v>0.17244769469603377</v>
      </c>
      <c r="LX52" s="241">
        <f t="shared" ca="1" si="571"/>
        <v>1</v>
      </c>
      <c r="LY52" s="220">
        <f t="shared" ca="1" si="693"/>
        <v>0.92632262805665211</v>
      </c>
      <c r="LZ52" s="220">
        <f t="shared" ca="1" si="694"/>
        <v>0</v>
      </c>
      <c r="MA52" s="235">
        <f t="shared" ca="1" si="293"/>
        <v>0.16586119245542613</v>
      </c>
      <c r="MB52" s="235">
        <f t="shared" ca="1" si="294"/>
        <v>0.16586119245542613</v>
      </c>
      <c r="MC52" s="242">
        <f t="shared" ca="1" si="295"/>
        <v>0.16586119245542613</v>
      </c>
      <c r="MD52" s="241">
        <f t="shared" ca="1" si="564"/>
        <v>1</v>
      </c>
      <c r="ME52" s="220">
        <f t="shared" ca="1" si="695"/>
        <v>0.92167897272220412</v>
      </c>
      <c r="MF52" s="220">
        <f t="shared" ca="1" si="696"/>
        <v>0</v>
      </c>
      <c r="MG52" s="235">
        <f t="shared" ca="1" si="298"/>
        <v>0.15944901478033538</v>
      </c>
      <c r="MH52" s="235">
        <f t="shared" ca="1" si="299"/>
        <v>0.15944901478033538</v>
      </c>
      <c r="MI52" s="242">
        <f t="shared" ca="1" si="300"/>
        <v>0.15944901478033538</v>
      </c>
      <c r="MJ52" s="241">
        <f t="shared" ca="1" si="564"/>
        <v>1</v>
      </c>
      <c r="MK52" s="220">
        <f t="shared" ca="1" si="697"/>
        <v>0.91658761807688671</v>
      </c>
      <c r="ML52" s="220">
        <f t="shared" ca="1" si="698"/>
        <v>0</v>
      </c>
      <c r="MM52" s="235">
        <f t="shared" ca="1" si="303"/>
        <v>0.15320600813786359</v>
      </c>
      <c r="MN52" s="235">
        <f t="shared" ca="1" si="304"/>
        <v>0.15320600813786359</v>
      </c>
      <c r="MO52" s="242">
        <f t="shared" ca="1" si="305"/>
        <v>0.15320600813786359</v>
      </c>
      <c r="MP52" s="241">
        <f t="shared" ca="1" si="572"/>
        <v>1</v>
      </c>
      <c r="MQ52" s="220">
        <f t="shared" ca="1" si="699"/>
        <v>0.91103401369895887</v>
      </c>
      <c r="MR52" s="220">
        <f t="shared" ca="1" si="700"/>
        <v>0</v>
      </c>
      <c r="MS52" s="235">
        <f t="shared" ca="1" si="308"/>
        <v>0.1471282443812138</v>
      </c>
      <c r="MT52" s="235">
        <f t="shared" ca="1" si="309"/>
        <v>0.1471282443812138</v>
      </c>
      <c r="MU52" s="242">
        <f t="shared" ca="1" si="310"/>
        <v>0.1471282443812138</v>
      </c>
      <c r="MV52" s="241">
        <f t="shared" ca="1" si="572"/>
        <v>1</v>
      </c>
      <c r="MW52" s="220">
        <f t="shared" ca="1" si="701"/>
        <v>0.90501116783439506</v>
      </c>
      <c r="MX52" s="220">
        <f t="shared" ca="1" si="702"/>
        <v>0</v>
      </c>
      <c r="MY52" s="235">
        <f t="shared" ca="1" si="313"/>
        <v>0.14121312034551653</v>
      </c>
      <c r="MZ52" s="235">
        <f t="shared" ca="1" si="314"/>
        <v>0.14121312034551653</v>
      </c>
      <c r="NA52" s="242">
        <f t="shared" ca="1" si="315"/>
        <v>0.14121312034551653</v>
      </c>
      <c r="NB52" s="241">
        <f t="shared" ca="1" si="572"/>
        <v>1</v>
      </c>
      <c r="NC52" s="220">
        <f t="shared" ca="1" si="703"/>
        <v>0.89850685257116925</v>
      </c>
      <c r="ND52" s="220">
        <f t="shared" ca="1" si="704"/>
        <v>0</v>
      </c>
      <c r="NE52" s="235">
        <f t="shared" ca="1" si="318"/>
        <v>0.13545721898511429</v>
      </c>
      <c r="NF52" s="235">
        <f t="shared" ca="1" si="319"/>
        <v>0.13545721898511429</v>
      </c>
      <c r="NG52" s="242">
        <f t="shared" ca="1" si="320"/>
        <v>0.13545721898511429</v>
      </c>
      <c r="NH52" s="241">
        <f t="shared" ca="1" si="572"/>
        <v>1</v>
      </c>
      <c r="NI52" s="220">
        <f t="shared" ca="1" si="705"/>
        <v>0.89149849912111412</v>
      </c>
      <c r="NJ52" s="220">
        <f t="shared" ca="1" si="706"/>
        <v>0</v>
      </c>
      <c r="NK52" s="235">
        <f t="shared" ca="1" si="323"/>
        <v>0.12985570306959462</v>
      </c>
      <c r="NL52" s="235">
        <f t="shared" ca="1" si="324"/>
        <v>0.12985570306959462</v>
      </c>
      <c r="NM52" s="242">
        <f t="shared" ca="1" si="325"/>
        <v>0.12985570306959462</v>
      </c>
      <c r="NN52" s="241">
        <f t="shared" ca="1" si="572"/>
        <v>1</v>
      </c>
      <c r="NO52" s="220">
        <f t="shared" ca="1" si="707"/>
        <v>0.88395998781254592</v>
      </c>
      <c r="NP52" s="220">
        <f t="shared" ca="1" si="708"/>
        <v>0</v>
      </c>
      <c r="NQ52" s="235">
        <f t="shared" ca="1" si="328"/>
        <v>0.12440352004293539</v>
      </c>
      <c r="NR52" s="235">
        <f t="shared" ca="1" si="329"/>
        <v>0.12440352004293539</v>
      </c>
      <c r="NS52" s="242">
        <f t="shared" ca="1" si="330"/>
        <v>0.12440352004293539</v>
      </c>
      <c r="NT52" s="241">
        <f t="shared" ca="1" si="572"/>
        <v>1</v>
      </c>
      <c r="NU52" s="220">
        <f t="shared" ca="1" si="709"/>
        <v>0.87587705768398794</v>
      </c>
      <c r="NV52" s="220">
        <f t="shared" ca="1" si="710"/>
        <v>0</v>
      </c>
      <c r="NW52" s="235">
        <f t="shared" ca="1" si="334"/>
        <v>0.11909755966730703</v>
      </c>
      <c r="NX52" s="235">
        <f t="shared" ca="1" si="335"/>
        <v>0.11909755966730703</v>
      </c>
      <c r="NY52" s="242">
        <f t="shared" ca="1" si="336"/>
        <v>0.11909755966730703</v>
      </c>
      <c r="NZ52" s="241">
        <f t="shared" ca="1" si="572"/>
        <v>1</v>
      </c>
      <c r="OA52" s="220">
        <f t="shared" ca="1" si="711"/>
        <v>0.86723653050993543</v>
      </c>
      <c r="OB52" s="220">
        <f t="shared" ca="1" si="712"/>
        <v>0</v>
      </c>
      <c r="OC52" s="235">
        <f t="shared" ca="1" si="339"/>
        <v>0.11393493936346769</v>
      </c>
      <c r="OD52" s="235">
        <f t="shared" ca="1" si="340"/>
        <v>0.11393493936346769</v>
      </c>
      <c r="OE52" s="242">
        <f t="shared" ca="1" si="341"/>
        <v>0.11393493936346769</v>
      </c>
      <c r="OF52" s="241">
        <f t="shared" ca="1" si="572"/>
        <v>1</v>
      </c>
      <c r="OG52" s="220">
        <f t="shared" ca="1" si="713"/>
        <v>0.85802474408285889</v>
      </c>
      <c r="OH52" s="220">
        <f t="shared" ca="1" si="714"/>
        <v>0</v>
      </c>
      <c r="OI52" s="235">
        <f t="shared" ca="1" si="344"/>
        <v>0.10891277530197965</v>
      </c>
      <c r="OJ52" s="235">
        <f t="shared" ca="1" si="345"/>
        <v>0.10891277530197965</v>
      </c>
      <c r="OK52" s="242">
        <f t="shared" ca="1" si="346"/>
        <v>0.10891277530197965</v>
      </c>
      <c r="OL52" s="241">
        <f t="shared" ca="1" si="572"/>
        <v>1</v>
      </c>
      <c r="OM52" s="220">
        <f t="shared" ca="1" si="715"/>
        <v>0.84819349656515752</v>
      </c>
      <c r="ON52" s="220">
        <f t="shared" ca="1" si="716"/>
        <v>0</v>
      </c>
      <c r="OO52" s="235">
        <f t="shared" ca="1" si="349"/>
        <v>0.10402401229233778</v>
      </c>
      <c r="OP52" s="235">
        <f t="shared" ca="1" si="350"/>
        <v>0.10402401229233778</v>
      </c>
      <c r="OQ52" s="242">
        <f t="shared" ca="1" si="351"/>
        <v>0.10402401229233778</v>
      </c>
      <c r="OR52" s="241">
        <f t="shared" ca="1" si="572"/>
        <v>1</v>
      </c>
      <c r="OS52" s="220">
        <f t="shared" ca="1" si="717"/>
        <v>0.83771830688257787</v>
      </c>
      <c r="OT52" s="220">
        <f t="shared" ca="1" si="718"/>
        <v>0</v>
      </c>
      <c r="OU52" s="235">
        <f t="shared" ca="1" si="354"/>
        <v>9.9265039362828419E-2</v>
      </c>
      <c r="OV52" s="235">
        <f t="shared" ca="1" si="355"/>
        <v>9.9265039362828419E-2</v>
      </c>
      <c r="OW52" s="242">
        <f t="shared" ca="1" si="356"/>
        <v>9.9265039362828419E-2</v>
      </c>
      <c r="OX52" s="241">
        <f t="shared" ca="1" si="572"/>
        <v>1</v>
      </c>
      <c r="OY52" s="220">
        <f t="shared" ca="1" si="719"/>
        <v>0.82663110509098692</v>
      </c>
      <c r="OZ52" s="220">
        <f t="shared" ca="1" si="720"/>
        <v>0</v>
      </c>
      <c r="PA52" s="235">
        <f t="shared" ca="1" si="359"/>
        <v>9.4638904895518239E-2</v>
      </c>
      <c r="PB52" s="235">
        <f t="shared" ca="1" si="360"/>
        <v>9.4638904895518239E-2</v>
      </c>
      <c r="PC52" s="242">
        <f t="shared" ca="1" si="361"/>
        <v>9.4638904895518239E-2</v>
      </c>
      <c r="PD52" s="241">
        <f t="shared" ca="1" si="565"/>
        <v>1</v>
      </c>
      <c r="PE52" s="220">
        <f t="shared" ca="1" si="721"/>
        <v>0.81497808640251923</v>
      </c>
      <c r="PF52" s="220">
        <f t="shared" ca="1" si="722"/>
        <v>0</v>
      </c>
      <c r="PG52" s="235">
        <f t="shared" ca="1" si="364"/>
        <v>9.0149546138363415E-2</v>
      </c>
      <c r="PH52" s="235">
        <f t="shared" ca="1" si="365"/>
        <v>9.0149546138363415E-2</v>
      </c>
      <c r="PI52" s="242">
        <f t="shared" ca="1" si="366"/>
        <v>9.0149546138363415E-2</v>
      </c>
      <c r="PJ52" s="241">
        <f t="shared" ca="1" si="565"/>
        <v>1</v>
      </c>
      <c r="PK52" s="220">
        <f t="shared" ca="1" si="723"/>
        <v>0.80277052964629592</v>
      </c>
      <c r="PL52" s="220">
        <f t="shared" ca="1" si="724"/>
        <v>0</v>
      </c>
      <c r="PM52" s="235">
        <f t="shared" ca="1" si="369"/>
        <v>8.5796324721504238E-2</v>
      </c>
      <c r="PN52" s="235">
        <f t="shared" ca="1" si="370"/>
        <v>8.5796324721504238E-2</v>
      </c>
      <c r="PO52" s="242">
        <f t="shared" ca="1" si="371"/>
        <v>8.5796324721504238E-2</v>
      </c>
      <c r="PP52" s="241">
        <f t="shared" ca="1" si="573"/>
        <v>1</v>
      </c>
      <c r="PQ52" s="220">
        <f t="shared" ca="1" si="725"/>
        <v>0.78995269259943357</v>
      </c>
      <c r="PR52" s="220">
        <f t="shared" ca="1" si="726"/>
        <v>0</v>
      </c>
      <c r="PS52" s="235">
        <f t="shared" ca="1" si="374"/>
        <v>8.1571415270218356E-2</v>
      </c>
      <c r="PT52" s="235">
        <f t="shared" ca="1" si="375"/>
        <v>8.1571415270218356E-2</v>
      </c>
      <c r="PU52" s="242">
        <f t="shared" ca="1" si="376"/>
        <v>8.1571415270218356E-2</v>
      </c>
      <c r="PV52" s="241">
        <f t="shared" ca="1" si="573"/>
        <v>1</v>
      </c>
      <c r="PW52" s="220">
        <f t="shared" ca="1" si="727"/>
        <v>0.77643739198174988</v>
      </c>
      <c r="PX52" s="220">
        <f t="shared" ca="1" si="728"/>
        <v>0</v>
      </c>
      <c r="PY52" s="235">
        <f t="shared" ca="1" si="379"/>
        <v>7.7464550653488104E-2</v>
      </c>
      <c r="PZ52" s="235">
        <f t="shared" ca="1" si="380"/>
        <v>7.7464550653488104E-2</v>
      </c>
      <c r="QA52" s="242">
        <f t="shared" ca="1" si="381"/>
        <v>7.7464550653488104E-2</v>
      </c>
      <c r="QB52" s="241">
        <f t="shared" ca="1" si="573"/>
        <v>1</v>
      </c>
      <c r="QC52" s="220">
        <f t="shared" ca="1" si="729"/>
        <v>0.76215715546842155</v>
      </c>
      <c r="QD52" s="220">
        <f t="shared" ca="1" si="730"/>
        <v>0</v>
      </c>
      <c r="QE52" s="235">
        <f t="shared" ca="1" si="384"/>
        <v>7.3468427669438799E-2</v>
      </c>
      <c r="QF52" s="235">
        <f t="shared" ca="1" si="385"/>
        <v>7.3468427669438799E-2</v>
      </c>
      <c r="QG52" s="242">
        <f t="shared" ca="1" si="386"/>
        <v>7.3468427669438799E-2</v>
      </c>
      <c r="QH52" s="241">
        <f t="shared" ca="1" si="573"/>
        <v>1</v>
      </c>
      <c r="QI52" s="220">
        <f t="shared" ca="1" si="731"/>
        <v>0.74703900613254992</v>
      </c>
      <c r="QJ52" s="220">
        <f t="shared" ca="1" si="732"/>
        <v>0</v>
      </c>
      <c r="QK52" s="235">
        <f t="shared" ca="1" si="390"/>
        <v>6.9575949698732195E-2</v>
      </c>
      <c r="QL52" s="235">
        <f t="shared" ca="1" si="391"/>
        <v>6.9575949698732195E-2</v>
      </c>
      <c r="QM52" s="242">
        <f t="shared" ca="1" si="392"/>
        <v>6.9575949698732195E-2</v>
      </c>
      <c r="QN52" s="241">
        <f t="shared" ca="1" si="573"/>
        <v>1</v>
      </c>
      <c r="QO52" s="220">
        <f t="shared" ca="1" si="733"/>
        <v>0.73100381386591473</v>
      </c>
      <c r="QP52" s="220">
        <f t="shared" ca="1" si="734"/>
        <v>0</v>
      </c>
      <c r="QQ52" s="235">
        <f t="shared" ca="1" si="395"/>
        <v>6.5780195109612458E-2</v>
      </c>
      <c r="QR52" s="235">
        <f t="shared" ca="1" si="396"/>
        <v>6.5780195109612458E-2</v>
      </c>
      <c r="QS52" s="242">
        <f t="shared" ca="1" si="397"/>
        <v>6.5780195109612458E-2</v>
      </c>
      <c r="QT52" s="241">
        <f t="shared" ca="1" si="573"/>
        <v>1</v>
      </c>
      <c r="QU52" s="220">
        <f t="shared" ca="1" si="735"/>
        <v>0.71393414380833176</v>
      </c>
      <c r="QV52" s="220">
        <f t="shared" ca="1" si="736"/>
        <v>0</v>
      </c>
      <c r="QW52" s="235">
        <f t="shared" ca="1" si="400"/>
        <v>6.2071653887543876E-2</v>
      </c>
      <c r="QX52" s="235">
        <f t="shared" ca="1" si="401"/>
        <v>6.2071653887543876E-2</v>
      </c>
      <c r="QY52" s="242">
        <f t="shared" ca="1" si="402"/>
        <v>6.2071653887543876E-2</v>
      </c>
      <c r="QZ52" s="241">
        <f t="shared" ca="1" si="573"/>
        <v>1</v>
      </c>
      <c r="RA52" s="220">
        <f t="shared" ca="1" si="737"/>
        <v>0.69574167395580788</v>
      </c>
      <c r="RB52" s="220">
        <f t="shared" ca="1" si="738"/>
        <v>0</v>
      </c>
      <c r="RC52" s="235">
        <f t="shared" ca="1" si="405"/>
        <v>5.8444390341238162E-2</v>
      </c>
      <c r="RD52" s="235">
        <f t="shared" ca="1" si="406"/>
        <v>5.8444390341238162E-2</v>
      </c>
      <c r="RE52" s="242">
        <f t="shared" ca="1" si="407"/>
        <v>5.8444390341238162E-2</v>
      </c>
      <c r="RF52" s="241">
        <f t="shared" ca="1" si="573"/>
        <v>1</v>
      </c>
      <c r="RG52" s="220">
        <f t="shared" ca="1" si="739"/>
        <v>0.67640422986988014</v>
      </c>
      <c r="RH52" s="220">
        <f t="shared" ca="1" si="740"/>
        <v>0</v>
      </c>
      <c r="RI52" s="235">
        <f t="shared" ca="1" si="410"/>
        <v>5.4898538121829751E-2</v>
      </c>
      <c r="RJ52" s="235">
        <f t="shared" ca="1" si="411"/>
        <v>5.4898538121829751E-2</v>
      </c>
      <c r="RK52" s="242">
        <f t="shared" ca="1" si="412"/>
        <v>5.4898538121829751E-2</v>
      </c>
      <c r="RL52" s="241">
        <f t="shared" ca="1" si="573"/>
        <v>1</v>
      </c>
      <c r="RM52" s="220">
        <f t="shared" ca="1" si="741"/>
        <v>0.65592135698096043</v>
      </c>
      <c r="RN52" s="220">
        <f t="shared" ca="1" si="742"/>
        <v>0</v>
      </c>
      <c r="RO52" s="235">
        <f t="shared" ca="1" si="415"/>
        <v>5.1435845981086484E-2</v>
      </c>
      <c r="RP52" s="235">
        <f t="shared" ca="1" si="416"/>
        <v>5.1435845981086484E-2</v>
      </c>
      <c r="RQ52" s="242">
        <f t="shared" ca="1" si="417"/>
        <v>5.1435845981086484E-2</v>
      </c>
      <c r="RR52" s="241">
        <f t="shared" ca="1" si="573"/>
        <v>1</v>
      </c>
      <c r="RS52" s="220">
        <f t="shared" ca="1" si="743"/>
        <v>0.63426152193073515</v>
      </c>
      <c r="RT52" s="220">
        <f t="shared" ca="1" si="744"/>
        <v>0</v>
      </c>
      <c r="RU52" s="235">
        <f t="shared" ca="1" si="420"/>
        <v>4.8055392729564286E-2</v>
      </c>
      <c r="RV52" s="235">
        <f t="shared" ca="1" si="421"/>
        <v>4.8055392729564286E-2</v>
      </c>
      <c r="RW52" s="242">
        <f t="shared" ca="1" si="422"/>
        <v>4.8055392729564286E-2</v>
      </c>
      <c r="RX52" s="241">
        <f t="shared" ca="1" si="573"/>
        <v>1</v>
      </c>
      <c r="RY52" s="220">
        <f t="shared" ca="1" si="745"/>
        <v>0.61130062057532053</v>
      </c>
      <c r="RZ52" s="220">
        <f t="shared" ca="1" si="746"/>
        <v>0</v>
      </c>
      <c r="SA52" s="235">
        <f t="shared" ca="1" si="425"/>
        <v>4.4749506722088245E-2</v>
      </c>
      <c r="SB52" s="235">
        <f t="shared" ca="1" si="426"/>
        <v>4.4749506722088245E-2</v>
      </c>
      <c r="SC52" s="242">
        <f t="shared" ca="1" si="427"/>
        <v>4.4749506722088245E-2</v>
      </c>
      <c r="SD52" s="241">
        <f t="shared" ca="1" si="566"/>
        <v>1</v>
      </c>
      <c r="SE52" s="220">
        <f t="shared" ca="1" si="747"/>
        <v>0.58693540044042947</v>
      </c>
      <c r="SF52" s="220">
        <f t="shared" ca="1" si="748"/>
        <v>0</v>
      </c>
      <c r="SG52" s="235">
        <f t="shared" ca="1" si="430"/>
        <v>4.1512928389525854E-2</v>
      </c>
      <c r="SH52" s="235">
        <f t="shared" ca="1" si="431"/>
        <v>4.1512928389525854E-2</v>
      </c>
      <c r="SI52" s="242">
        <f t="shared" ca="1" si="432"/>
        <v>4.1512928389525854E-2</v>
      </c>
      <c r="SJ52" s="241">
        <f t="shared" ca="1" si="566"/>
        <v>1</v>
      </c>
      <c r="SK52" s="220">
        <f t="shared" ca="1" si="749"/>
        <v>0.56117421877969853</v>
      </c>
      <c r="SL52" s="220">
        <f t="shared" ca="1" si="750"/>
        <v>0</v>
      </c>
      <c r="SM52" s="235">
        <f t="shared" ca="1" si="435"/>
        <v>3.8348680627614658E-2</v>
      </c>
      <c r="SN52" s="235">
        <f t="shared" ca="1" si="436"/>
        <v>3.8348680627614658E-2</v>
      </c>
      <c r="SO52" s="242">
        <f t="shared" ca="1" si="437"/>
        <v>3.8348680627614658E-2</v>
      </c>
      <c r="SP52" s="241">
        <f t="shared" ca="1" si="576"/>
        <v>1</v>
      </c>
      <c r="SQ52" s="220">
        <f t="shared" ca="1" si="751"/>
        <v>0.5340633310962325</v>
      </c>
      <c r="SR52" s="220">
        <f t="shared" ca="1" si="752"/>
        <v>0</v>
      </c>
      <c r="SS52" s="235">
        <f t="shared" ca="1" si="440"/>
        <v>3.5261852674216394E-2</v>
      </c>
      <c r="ST52" s="235">
        <f t="shared" ca="1" si="441"/>
        <v>3.5261852674216394E-2</v>
      </c>
      <c r="SU52" s="242">
        <f t="shared" ca="1" si="442"/>
        <v>3.5261852674216394E-2</v>
      </c>
      <c r="SV52" s="241">
        <f t="shared" ca="1" si="576"/>
        <v>1</v>
      </c>
      <c r="SW52" s="220">
        <f t="shared" ca="1" si="753"/>
        <v>0.50563620810864218</v>
      </c>
      <c r="SX52" s="220">
        <f t="shared" ca="1" si="754"/>
        <v>0</v>
      </c>
      <c r="SY52" s="235">
        <f t="shared" ca="1" si="446"/>
        <v>3.2255975632920972E-2</v>
      </c>
      <c r="SZ52" s="235">
        <f t="shared" ca="1" si="447"/>
        <v>3.2255975632920972E-2</v>
      </c>
      <c r="TA52" s="242">
        <f t="shared" ca="1" si="448"/>
        <v>3.2255975632920972E-2</v>
      </c>
      <c r="TB52" s="241">
        <f t="shared" ca="1" si="576"/>
        <v>1</v>
      </c>
      <c r="TC52" s="220">
        <f t="shared" ca="1" si="755"/>
        <v>0.47585575235966748</v>
      </c>
      <c r="TD52" s="220">
        <f t="shared" ca="1" si="756"/>
        <v>0</v>
      </c>
      <c r="TE52" s="235">
        <f t="shared" ca="1" si="451"/>
        <v>2.9329657426153458E-2</v>
      </c>
      <c r="TF52" s="235">
        <f t="shared" ca="1" si="452"/>
        <v>2.9329657426153458E-2</v>
      </c>
      <c r="TG52" s="242">
        <f t="shared" ca="1" si="453"/>
        <v>2.9329657426153458E-2</v>
      </c>
      <c r="TH52" s="241">
        <f t="shared" ca="1" si="576"/>
        <v>1</v>
      </c>
      <c r="TI52" s="220">
        <f t="shared" ca="1" si="757"/>
        <v>0.4447514411066778</v>
      </c>
      <c r="TJ52" s="220">
        <f t="shared" ca="1" si="758"/>
        <v>0</v>
      </c>
      <c r="TK52" s="235">
        <f t="shared" ca="1" si="456"/>
        <v>2.6485530790814431E-2</v>
      </c>
      <c r="TL52" s="235">
        <f t="shared" ca="1" si="457"/>
        <v>2.6485530790814431E-2</v>
      </c>
      <c r="TM52" s="242">
        <f t="shared" ca="1" si="458"/>
        <v>2.6485530790814431E-2</v>
      </c>
      <c r="TN52" s="241">
        <f t="shared" ca="1" si="576"/>
        <v>1</v>
      </c>
      <c r="TO52" s="220">
        <f t="shared" ca="1" si="759"/>
        <v>0.41251096438941365</v>
      </c>
      <c r="TP52" s="220">
        <f t="shared" ca="1" si="760"/>
        <v>0</v>
      </c>
      <c r="TQ52" s="235">
        <f t="shared" ca="1" si="461"/>
        <v>2.3734848481408222E-2</v>
      </c>
      <c r="TR52" s="235">
        <f t="shared" ca="1" si="462"/>
        <v>2.3734848481408222E-2</v>
      </c>
      <c r="TS52" s="242">
        <f t="shared" ca="1" si="463"/>
        <v>2.3734848481408222E-2</v>
      </c>
      <c r="TT52" s="241">
        <f t="shared" ca="1" si="576"/>
        <v>1</v>
      </c>
      <c r="TU52" s="220">
        <f t="shared" ca="1" si="761"/>
        <v>0.37939128408051637</v>
      </c>
      <c r="TV52" s="220">
        <f t="shared" ca="1" si="762"/>
        <v>0</v>
      </c>
      <c r="TW52" s="235">
        <f t="shared" ca="1" si="466"/>
        <v>2.1091038615007652E-2</v>
      </c>
      <c r="TX52" s="235">
        <f t="shared" ca="1" si="467"/>
        <v>2.1091038615007652E-2</v>
      </c>
      <c r="TY52" s="242">
        <f t="shared" ca="1" si="468"/>
        <v>2.1091038615007652E-2</v>
      </c>
      <c r="TZ52" s="241">
        <f t="shared" ca="1" si="576"/>
        <v>1</v>
      </c>
      <c r="UA52" s="220">
        <f t="shared" ca="1" si="763"/>
        <v>0.34565732866521315</v>
      </c>
      <c r="UB52" s="220">
        <f t="shared" ca="1" si="764"/>
        <v>0</v>
      </c>
      <c r="UC52" s="235">
        <f t="shared" ca="1" si="471"/>
        <v>1.8565901280691431E-2</v>
      </c>
      <c r="UD52" s="235">
        <f t="shared" ca="1" si="472"/>
        <v>1.8565901280691431E-2</v>
      </c>
      <c r="UE52" s="242">
        <f t="shared" ca="1" si="473"/>
        <v>1.8565901280691431E-2</v>
      </c>
      <c r="UF52" s="241">
        <f t="shared" ca="1" si="576"/>
        <v>1</v>
      </c>
      <c r="UG52" s="220">
        <f t="shared" ca="1" si="765"/>
        <v>0.31158381183471112</v>
      </c>
      <c r="UH52" s="220">
        <f t="shared" ca="1" si="766"/>
        <v>0</v>
      </c>
      <c r="UI52" s="235">
        <f t="shared" ca="1" si="476"/>
        <v>1.6169805793281151E-2</v>
      </c>
      <c r="UJ52" s="235">
        <f t="shared" ca="1" si="477"/>
        <v>1.6169805793281151E-2</v>
      </c>
      <c r="UK52" s="242">
        <f t="shared" ca="1" si="478"/>
        <v>1.6169805793281151E-2</v>
      </c>
      <c r="UL52" s="241">
        <f t="shared" ca="1" si="576"/>
        <v>1</v>
      </c>
      <c r="UM52" s="220">
        <f t="shared" ca="1" si="767"/>
        <v>0.27748470263514402</v>
      </c>
      <c r="UN52" s="220">
        <f t="shared" ca="1" si="768"/>
        <v>0</v>
      </c>
      <c r="UO52" s="235">
        <f t="shared" ca="1" si="481"/>
        <v>1.3913250808575896E-2</v>
      </c>
      <c r="UP52" s="235">
        <f t="shared" ca="1" si="482"/>
        <v>1.3913250808575896E-2</v>
      </c>
      <c r="UQ52" s="242">
        <f t="shared" ca="1" si="483"/>
        <v>1.3913250808575896E-2</v>
      </c>
      <c r="UR52" s="241">
        <f t="shared" ca="1" si="576"/>
        <v>1</v>
      </c>
      <c r="US52" s="220">
        <f t="shared" ca="1" si="769"/>
        <v>0.24373729058536042</v>
      </c>
      <c r="UT52" s="220">
        <f t="shared" ca="1" si="770"/>
        <v>0</v>
      </c>
      <c r="UU52" s="235">
        <f t="shared" ca="1" si="486"/>
        <v>1.1807860056509861E-2</v>
      </c>
      <c r="UV52" s="235">
        <f t="shared" ca="1" si="487"/>
        <v>1.1807860056509861E-2</v>
      </c>
      <c r="UW52" s="242">
        <f t="shared" ca="1" si="488"/>
        <v>1.1807860056509861E-2</v>
      </c>
      <c r="UX52" s="241">
        <f t="shared" ca="1" si="576"/>
        <v>1</v>
      </c>
      <c r="UY52" s="220">
        <f t="shared" ca="1" si="771"/>
        <v>0.21078985859319374</v>
      </c>
      <c r="UZ52" s="220">
        <f t="shared" ca="1" si="772"/>
        <v>0</v>
      </c>
      <c r="VA52" s="235">
        <f t="shared" ca="1" si="491"/>
        <v>9.866396874889936E-3</v>
      </c>
      <c r="VB52" s="235">
        <f t="shared" ca="1" si="492"/>
        <v>9.866396874889936E-3</v>
      </c>
      <c r="VC52" s="242">
        <f t="shared" ca="1" si="493"/>
        <v>9.866396874889936E-3</v>
      </c>
      <c r="VD52" s="241">
        <f t="shared" ca="1" si="574"/>
        <v>1</v>
      </c>
      <c r="VE52" s="220">
        <f t="shared" ca="1" si="773"/>
        <v>0.17914840370962801</v>
      </c>
      <c r="VF52" s="220">
        <f t="shared" ca="1" si="774"/>
        <v>0</v>
      </c>
      <c r="VG52" s="235">
        <f t="shared" ca="1" si="496"/>
        <v>8.1017989433788233E-3</v>
      </c>
      <c r="VH52" s="235">
        <f t="shared" ca="1" si="497"/>
        <v>8.1017989433788233E-3</v>
      </c>
      <c r="VI52" s="242">
        <f t="shared" ca="1" si="498"/>
        <v>8.1017989433788233E-3</v>
      </c>
      <c r="VJ52" s="241">
        <f t="shared" ca="1" si="567"/>
        <v>1</v>
      </c>
      <c r="VK52" s="220">
        <f t="shared" ca="1" si="775"/>
        <v>0.14933864677755704</v>
      </c>
      <c r="VL52" s="220">
        <f t="shared" ca="1" si="776"/>
        <v>0</v>
      </c>
      <c r="VM52" s="235">
        <f t="shared" ca="1" si="502"/>
        <v>6.5252984585482295E-3</v>
      </c>
      <c r="VN52" s="235">
        <f t="shared" ca="1" si="503"/>
        <v>6.5252984585482295E-3</v>
      </c>
      <c r="VO52" s="242">
        <f t="shared" ca="1" si="504"/>
        <v>6.5252984585482295E-3</v>
      </c>
      <c r="VP52" s="241">
        <f t="shared" ca="1" si="567"/>
        <v>1</v>
      </c>
      <c r="VQ52" s="220">
        <f t="shared" ca="1" si="777"/>
        <v>0.12186078378642688</v>
      </c>
      <c r="VR52" s="220">
        <f t="shared" ca="1" si="778"/>
        <v>0</v>
      </c>
      <c r="VS52" s="235">
        <f t="shared" ca="1" si="507"/>
        <v>5.1446020464451514E-3</v>
      </c>
      <c r="VT52" s="235">
        <f t="shared" ca="1" si="508"/>
        <v>5.1446020464451514E-3</v>
      </c>
      <c r="VU52" s="242">
        <f t="shared" ca="1" si="509"/>
        <v>5.1446020464451514E-3</v>
      </c>
      <c r="VV52" s="241">
        <f t="shared" ca="1" si="578"/>
        <v>1</v>
      </c>
      <c r="VW52" s="220">
        <f t="shared" ca="1" si="779"/>
        <v>9.714071449143126E-2</v>
      </c>
      <c r="VX52" s="220">
        <f t="shared" ca="1" si="780"/>
        <v>0</v>
      </c>
      <c r="VY52" s="235">
        <f t="shared" ca="1" si="512"/>
        <v>3.9623128486120972E-3</v>
      </c>
      <c r="VZ52" s="235">
        <f t="shared" ca="1" si="513"/>
        <v>3.9623128486120972E-3</v>
      </c>
      <c r="WA52" s="242">
        <f t="shared" ca="1" si="514"/>
        <v>3.9623128486120972E-3</v>
      </c>
      <c r="WB52" s="241">
        <f t="shared" ca="1" si="578"/>
        <v>1</v>
      </c>
      <c r="WC52" s="220">
        <f t="shared" ca="1" si="781"/>
        <v>7.5486980683431834E-2</v>
      </c>
      <c r="WD52" s="220">
        <f t="shared" ca="1" si="782"/>
        <v>0</v>
      </c>
      <c r="WE52" s="235">
        <f t="shared" ca="1" si="517"/>
        <v>2.9749465982754843E-3</v>
      </c>
      <c r="WF52" s="235">
        <f t="shared" ca="1" si="518"/>
        <v>2.9749465982754843E-3</v>
      </c>
      <c r="WG52" s="242">
        <f t="shared" ca="1" si="519"/>
        <v>2.9749465982754843E-3</v>
      </c>
      <c r="WH52" s="241">
        <f t="shared" ca="1" si="578"/>
        <v>1</v>
      </c>
      <c r="WI52" s="220">
        <f t="shared" ca="1" si="783"/>
        <v>5.7061061620490225E-2</v>
      </c>
      <c r="WJ52" s="220">
        <f t="shared" ca="1" si="784"/>
        <v>0</v>
      </c>
      <c r="WK52" s="235">
        <f t="shared" ca="1" si="522"/>
        <v>2.1727342833971291E-3</v>
      </c>
      <c r="WL52" s="235">
        <f t="shared" ca="1" si="523"/>
        <v>2.1727342833971291E-3</v>
      </c>
      <c r="WM52" s="242">
        <f t="shared" ca="1" si="524"/>
        <v>2.1727342833971291E-3</v>
      </c>
      <c r="WN52" s="241">
        <f t="shared" ca="1" si="578"/>
        <v>1</v>
      </c>
      <c r="WO52" s="220">
        <f t="shared" ca="1" si="785"/>
        <v>4.1934687734452851E-2</v>
      </c>
      <c r="WP52" s="220">
        <f t="shared" ca="1" si="786"/>
        <v>0</v>
      </c>
      <c r="WQ52" s="235">
        <f t="shared" ca="1" si="527"/>
        <v>1.5427651975624165E-3</v>
      </c>
      <c r="WR52" s="235">
        <f t="shared" ca="1" si="528"/>
        <v>1.5427651975624165E-3</v>
      </c>
      <c r="WS52" s="242">
        <f t="shared" ca="1" si="529"/>
        <v>1.5427651975624165E-3</v>
      </c>
      <c r="WT52" s="241">
        <f t="shared" ca="1" si="578"/>
        <v>1</v>
      </c>
      <c r="WU52" s="220">
        <f t="shared" ca="1" si="787"/>
        <v>2.9961998908764689E-2</v>
      </c>
      <c r="WV52" s="220">
        <f t="shared" ca="1" si="788"/>
        <v>0</v>
      </c>
      <c r="WW52" s="235">
        <f t="shared" ca="1" si="532"/>
        <v>1.0650177696007403E-3</v>
      </c>
      <c r="WX52" s="235">
        <f t="shared" ca="1" si="533"/>
        <v>1.0650177696007403E-3</v>
      </c>
      <c r="WY52" s="242">
        <f t="shared" ca="1" si="534"/>
        <v>1.0650177696007403E-3</v>
      </c>
      <c r="WZ52" s="241">
        <f t="shared" ca="1" si="578"/>
        <v>1</v>
      </c>
      <c r="XA52" s="220">
        <f t="shared" ca="1" si="789"/>
        <v>2.0825806429510707E-2</v>
      </c>
      <c r="XB52" s="220">
        <f t="shared" ca="1" si="790"/>
        <v>0</v>
      </c>
      <c r="XC52" s="235">
        <f t="shared" ca="1" si="537"/>
        <v>7.1523300597822715E-4</v>
      </c>
      <c r="XD52" s="235">
        <f t="shared" ca="1" si="538"/>
        <v>7.1523300597822715E-4</v>
      </c>
      <c r="XE52" s="242">
        <f t="shared" ca="1" si="539"/>
        <v>7.1523300597822715E-4</v>
      </c>
      <c r="XF52" s="241">
        <f t="shared" ca="1" si="578"/>
        <v>1</v>
      </c>
      <c r="XG52" s="220">
        <f t="shared" ca="1" si="791"/>
        <v>1.410075784309954E-2</v>
      </c>
      <c r="XH52" s="220">
        <f t="shared" ca="1" si="792"/>
        <v>0</v>
      </c>
      <c r="XI52" s="235">
        <f t="shared" ca="1" si="542"/>
        <v>4.6789437576883483E-4</v>
      </c>
      <c r="XJ52" s="235">
        <f t="shared" ca="1" si="543"/>
        <v>4.6789437576883483E-4</v>
      </c>
      <c r="XK52" s="242">
        <f t="shared" ca="1" si="544"/>
        <v>4.6789437576883483E-4</v>
      </c>
    </row>
    <row r="53" spans="2:635" x14ac:dyDescent="0.25">
      <c r="B53" s="65">
        <f t="shared" ca="1" si="14"/>
        <v>2068</v>
      </c>
      <c r="C53" s="65" t="s">
        <v>741</v>
      </c>
      <c r="D53" s="77">
        <f t="shared" si="580"/>
        <v>0</v>
      </c>
      <c r="E53" s="77">
        <f t="shared" si="581"/>
        <v>0</v>
      </c>
      <c r="F53" s="77" t="b">
        <f t="shared" si="793"/>
        <v>0</v>
      </c>
      <c r="G53" s="77" t="b">
        <f t="shared" si="794"/>
        <v>0</v>
      </c>
      <c r="H53" s="15" t="e">
        <f t="shared" ca="1" si="582"/>
        <v>#REF!</v>
      </c>
      <c r="L53" s="326">
        <f t="shared" ca="1" si="583"/>
        <v>3.5000000000000003E-2</v>
      </c>
      <c r="M53" s="327">
        <f t="shared" ca="1" si="584"/>
        <v>3.5000000000000003E-2</v>
      </c>
      <c r="N53" s="322">
        <f t="shared" ca="1" si="579"/>
        <v>-45</v>
      </c>
      <c r="O53" s="322">
        <f t="shared" ca="1" si="585"/>
        <v>0</v>
      </c>
      <c r="P53" s="328">
        <f t="shared" ca="1" si="545"/>
        <v>26.87829936156087</v>
      </c>
      <c r="Q53" s="328">
        <f t="shared" ca="1" si="546"/>
        <v>26.87829936156087</v>
      </c>
      <c r="R53" s="328">
        <f t="shared" ca="1" si="547"/>
        <v>26.87829936156087</v>
      </c>
      <c r="S53" s="329">
        <f t="shared" ca="1" si="586"/>
        <v>3.8642415640549425E-2</v>
      </c>
      <c r="T53" s="329">
        <f t="shared" ca="1" si="587"/>
        <v>3.8642415640549425E-2</v>
      </c>
      <c r="U53" s="329">
        <f t="shared" ca="1" si="588"/>
        <v>3.8642415640549425E-2</v>
      </c>
      <c r="V53" s="320" t="e">
        <f t="shared" ca="1" si="589"/>
        <v>#REF!</v>
      </c>
      <c r="W53" s="320" t="e">
        <f t="shared" ca="1" si="560"/>
        <v>#REF!</v>
      </c>
      <c r="X53" s="320" t="e">
        <f t="shared" ca="1" si="590"/>
        <v>#REF!</v>
      </c>
      <c r="Y53" s="320" t="e">
        <f ca="1">INDEX(SC_ZA_HECMLumpSum,ZAIDX)</f>
        <v>#REF!</v>
      </c>
      <c r="Z53" s="320" t="e">
        <f t="shared" ca="1" si="591"/>
        <v>#REF!</v>
      </c>
      <c r="AA53" s="320" t="e">
        <f t="shared" ca="1" si="557"/>
        <v>#REF!</v>
      </c>
      <c r="AB53" s="320" t="e">
        <f t="shared" ca="1" si="558"/>
        <v>#REF!</v>
      </c>
      <c r="AC53" s="330" t="e">
        <f t="shared" ca="1" si="559"/>
        <v>#REF!</v>
      </c>
      <c r="AD53" s="236" t="e">
        <f t="shared" ca="1" si="548"/>
        <v>#REF!</v>
      </c>
      <c r="AE53" s="320" t="e">
        <f t="shared" ca="1" si="561"/>
        <v>#REF!</v>
      </c>
      <c r="AF53" s="320" t="e">
        <f t="shared" ca="1" si="592"/>
        <v>#REF!</v>
      </c>
      <c r="AG53" s="320" t="e">
        <f t="shared" ca="1" si="549"/>
        <v>#REF!</v>
      </c>
      <c r="AH53" s="284" t="e">
        <f t="shared" ca="1" si="550"/>
        <v>#REF!</v>
      </c>
      <c r="AI53" s="318" t="e">
        <f t="shared" ca="1" si="551"/>
        <v>#REF!</v>
      </c>
      <c r="AJ53" s="331">
        <f t="shared" ca="1" si="575"/>
        <v>1</v>
      </c>
      <c r="AK53" s="220">
        <f t="shared" ca="1" si="593"/>
        <v>1</v>
      </c>
      <c r="AL53" s="220">
        <f t="shared" ca="1" si="594"/>
        <v>0</v>
      </c>
      <c r="AM53" s="235">
        <f t="shared" ca="1" si="554"/>
        <v>1</v>
      </c>
      <c r="AN53" s="235">
        <f t="shared" ca="1" si="555"/>
        <v>1</v>
      </c>
      <c r="AO53" s="242">
        <f t="shared" ca="1" si="556"/>
        <v>1</v>
      </c>
      <c r="AP53" s="241">
        <f t="shared" ca="1" si="575"/>
        <v>1</v>
      </c>
      <c r="AQ53" s="220">
        <f t="shared" ca="1" si="595"/>
        <v>0.99361699999999997</v>
      </c>
      <c r="AR53" s="220">
        <f t="shared" ca="1" si="596"/>
        <v>0</v>
      </c>
      <c r="AS53" s="235">
        <f t="shared" ca="1" si="43"/>
        <v>0.96001642512077301</v>
      </c>
      <c r="AT53" s="235">
        <f t="shared" ca="1" si="44"/>
        <v>0.96001642512077301</v>
      </c>
      <c r="AU53" s="242">
        <f t="shared" ca="1" si="45"/>
        <v>0.96001642512077301</v>
      </c>
      <c r="AV53" s="241">
        <f t="shared" ca="1" si="575"/>
        <v>1</v>
      </c>
      <c r="AW53" s="220">
        <f t="shared" ca="1" si="597"/>
        <v>0.99316689149899995</v>
      </c>
      <c r="AX53" s="220">
        <f t="shared" ca="1" si="598"/>
        <v>0</v>
      </c>
      <c r="AY53" s="235">
        <f t="shared" ca="1" si="48"/>
        <v>0.92713192046395487</v>
      </c>
      <c r="AZ53" s="235">
        <f t="shared" ca="1" si="49"/>
        <v>0.92713192046395487</v>
      </c>
      <c r="BA53" s="242">
        <f t="shared" ca="1" si="50"/>
        <v>0.92713192046395487</v>
      </c>
      <c r="BB53" s="241">
        <f t="shared" ca="1" si="575"/>
        <v>1</v>
      </c>
      <c r="BC53" s="220">
        <f t="shared" ca="1" si="599"/>
        <v>0.99288681843559723</v>
      </c>
      <c r="BD53" s="220">
        <f t="shared" ca="1" si="600"/>
        <v>0</v>
      </c>
      <c r="BE53" s="235">
        <f t="shared" ca="1" si="54"/>
        <v>0.89552702344191704</v>
      </c>
      <c r="BF53" s="235">
        <f t="shared" ca="1" si="55"/>
        <v>0.89552702344191704</v>
      </c>
      <c r="BG53" s="242">
        <f t="shared" ca="1" si="56"/>
        <v>0.89552702344191704</v>
      </c>
      <c r="BH53" s="241">
        <f t="shared" ca="1" si="575"/>
        <v>1</v>
      </c>
      <c r="BI53" s="220">
        <f t="shared" ca="1" si="601"/>
        <v>0.99265845446735712</v>
      </c>
      <c r="BJ53" s="220">
        <f t="shared" ca="1" si="602"/>
        <v>0</v>
      </c>
      <c r="BK53" s="235">
        <f t="shared" ca="1" si="59"/>
        <v>0.86504449490485558</v>
      </c>
      <c r="BL53" s="235">
        <f t="shared" ca="1" si="60"/>
        <v>0.86504449490485558</v>
      </c>
      <c r="BM53" s="242">
        <f t="shared" ca="1" si="61"/>
        <v>0.86504449490485558</v>
      </c>
      <c r="BN53" s="241">
        <f t="shared" ca="1" si="575"/>
        <v>1</v>
      </c>
      <c r="BO53" s="220">
        <f t="shared" ca="1" si="603"/>
        <v>0.99249069518855215</v>
      </c>
      <c r="BP53" s="220">
        <f t="shared" ca="1" si="604"/>
        <v>0</v>
      </c>
      <c r="BQ53" s="235">
        <f t="shared" ca="1" si="64"/>
        <v>0.83565053370552345</v>
      </c>
      <c r="BR53" s="235">
        <f t="shared" ca="1" si="65"/>
        <v>0.83565053370552345</v>
      </c>
      <c r="BS53" s="242">
        <f t="shared" ca="1" si="66"/>
        <v>0.83565053370552345</v>
      </c>
      <c r="BT53" s="241">
        <f t="shared" ca="1" si="575"/>
        <v>1</v>
      </c>
      <c r="BU53" s="220">
        <f t="shared" ca="1" si="605"/>
        <v>0.99233685913079794</v>
      </c>
      <c r="BV53" s="220">
        <f t="shared" ca="1" si="606"/>
        <v>0</v>
      </c>
      <c r="BW53" s="235">
        <f t="shared" ca="1" si="69"/>
        <v>0.80726667427323584</v>
      </c>
      <c r="BX53" s="235">
        <f t="shared" ca="1" si="70"/>
        <v>0.80726667427323584</v>
      </c>
      <c r="BY53" s="242">
        <f t="shared" ca="1" si="71"/>
        <v>0.80726667427323584</v>
      </c>
      <c r="BZ53" s="241">
        <f t="shared" ca="1" si="575"/>
        <v>1</v>
      </c>
      <c r="CA53" s="220">
        <f t="shared" ca="1" si="607"/>
        <v>0.992192970286224</v>
      </c>
      <c r="CB53" s="220">
        <f t="shared" ca="1" si="608"/>
        <v>0</v>
      </c>
      <c r="CC53" s="235">
        <f t="shared" ca="1" si="74"/>
        <v>0.7798547058990013</v>
      </c>
      <c r="CD53" s="235">
        <f t="shared" ca="1" si="75"/>
        <v>0.7798547058990013</v>
      </c>
      <c r="CE53" s="242">
        <f t="shared" ca="1" si="76"/>
        <v>0.7798547058990013</v>
      </c>
      <c r="CF53" s="241">
        <f t="shared" ca="1" si="575"/>
        <v>1</v>
      </c>
      <c r="CG53" s="220">
        <f t="shared" ca="1" si="609"/>
        <v>0.9920590242352354</v>
      </c>
      <c r="CH53" s="220">
        <f t="shared" ca="1" si="610"/>
        <v>0</v>
      </c>
      <c r="CI53" s="235">
        <f t="shared" ca="1" si="79"/>
        <v>0.75338108745285515</v>
      </c>
      <c r="CJ53" s="235">
        <f t="shared" ca="1" si="80"/>
        <v>0.75338108745285515</v>
      </c>
      <c r="CK53" s="242">
        <f t="shared" ca="1" si="81"/>
        <v>0.75338108745285515</v>
      </c>
      <c r="CL53" s="241">
        <f t="shared" ca="1" si="575"/>
        <v>1</v>
      </c>
      <c r="CM53" s="220">
        <f t="shared" ca="1" si="611"/>
        <v>0.99193997715232718</v>
      </c>
      <c r="CN53" s="220">
        <f t="shared" ca="1" si="612"/>
        <v>0</v>
      </c>
      <c r="CO53" s="235">
        <f t="shared" ca="1" si="84"/>
        <v>0.72781708378972065</v>
      </c>
      <c r="CP53" s="235">
        <f t="shared" ca="1" si="85"/>
        <v>0.72781708378972065</v>
      </c>
      <c r="CQ53" s="242">
        <f t="shared" ca="1" si="86"/>
        <v>0.72781708378972065</v>
      </c>
      <c r="CR53" s="241">
        <f t="shared" ca="1" si="575"/>
        <v>1</v>
      </c>
      <c r="CS53" s="220">
        <f t="shared" ca="1" si="613"/>
        <v>0.99183582345472621</v>
      </c>
      <c r="CT53" s="220">
        <f t="shared" ca="1" si="614"/>
        <v>0</v>
      </c>
      <c r="CU53" s="235">
        <f t="shared" ca="1" si="89"/>
        <v>0.70313107535837949</v>
      </c>
      <c r="CV53" s="235">
        <f t="shared" ca="1" si="90"/>
        <v>0.70313107535837949</v>
      </c>
      <c r="CW53" s="242">
        <f t="shared" ca="1" si="91"/>
        <v>0.70313107535837949</v>
      </c>
      <c r="CX53" s="241">
        <f t="shared" ca="1" si="568"/>
        <v>1</v>
      </c>
      <c r="CY53" s="220">
        <f t="shared" ca="1" si="615"/>
        <v>0.99174259088732142</v>
      </c>
      <c r="CZ53" s="220">
        <f t="shared" ca="1" si="616"/>
        <v>0</v>
      </c>
      <c r="DA53" s="235">
        <f t="shared" ca="1" si="94"/>
        <v>0.6792898367510104</v>
      </c>
      <c r="DB53" s="235">
        <f t="shared" ca="1" si="95"/>
        <v>0.6792898367510104</v>
      </c>
      <c r="DC53" s="242">
        <f t="shared" ca="1" si="96"/>
        <v>0.6792898367510104</v>
      </c>
      <c r="DD53" s="241">
        <f t="shared" ca="1" si="568"/>
        <v>1</v>
      </c>
      <c r="DE53" s="220">
        <f t="shared" ca="1" si="617"/>
        <v>0.99164440837082357</v>
      </c>
      <c r="DF53" s="220">
        <f t="shared" ca="1" si="618"/>
        <v>0</v>
      </c>
      <c r="DG53" s="235">
        <f t="shared" ca="1" si="99"/>
        <v>0.65625370730161559</v>
      </c>
      <c r="DH53" s="235">
        <f t="shared" ca="1" si="100"/>
        <v>0.65625370730161559</v>
      </c>
      <c r="DI53" s="242">
        <f t="shared" ca="1" si="101"/>
        <v>0.65625370730161559</v>
      </c>
      <c r="DJ53" s="241">
        <f t="shared" ca="1" si="51"/>
        <v>1</v>
      </c>
      <c r="DK53" s="220">
        <f t="shared" ca="1" si="619"/>
        <v>0.9915115280201019</v>
      </c>
      <c r="DL53" s="220">
        <f t="shared" ca="1" si="620"/>
        <v>0</v>
      </c>
      <c r="DM53" s="235">
        <f t="shared" ca="1" si="104"/>
        <v>0.63397658870032592</v>
      </c>
      <c r="DN53" s="235">
        <f t="shared" ca="1" si="105"/>
        <v>0.63397658870032592</v>
      </c>
      <c r="DO53" s="242">
        <f t="shared" ca="1" si="106"/>
        <v>0.63397658870032592</v>
      </c>
      <c r="DP53" s="241">
        <f t="shared" ca="1" si="569"/>
        <v>1</v>
      </c>
      <c r="DQ53" s="220">
        <f t="shared" ca="1" si="621"/>
        <v>0.99130628513380181</v>
      </c>
      <c r="DR53" s="220">
        <f t="shared" ca="1" si="622"/>
        <v>0</v>
      </c>
      <c r="DS53" s="235">
        <f t="shared" ca="1" si="110"/>
        <v>0.61241097154247814</v>
      </c>
      <c r="DT53" s="235">
        <f t="shared" ca="1" si="111"/>
        <v>0.61241097154247814</v>
      </c>
      <c r="DU53" s="242">
        <f t="shared" ca="1" si="112"/>
        <v>0.61241097154247814</v>
      </c>
      <c r="DV53" s="241">
        <f t="shared" ca="1" si="569"/>
        <v>1</v>
      </c>
      <c r="DW53" s="220">
        <f t="shared" ca="1" si="623"/>
        <v>0.9909999714916955</v>
      </c>
      <c r="DX53" s="220">
        <f t="shared" ca="1" si="624"/>
        <v>0</v>
      </c>
      <c r="DY53" s="235">
        <f t="shared" ca="1" si="115"/>
        <v>0.59151858604084218</v>
      </c>
      <c r="DZ53" s="235">
        <f t="shared" ca="1" si="116"/>
        <v>0.59151858604084218</v>
      </c>
      <c r="EA53" s="242">
        <f t="shared" ca="1" si="117"/>
        <v>0.59151858604084218</v>
      </c>
      <c r="EB53" s="241">
        <f t="shared" ca="1" si="569"/>
        <v>1</v>
      </c>
      <c r="EC53" s="220">
        <f t="shared" ca="1" si="625"/>
        <v>0.99058474250364048</v>
      </c>
      <c r="ED53" s="220">
        <f t="shared" ca="1" si="626"/>
        <v>0</v>
      </c>
      <c r="EE53" s="235">
        <f t="shared" ca="1" si="120"/>
        <v>0.57127607705632</v>
      </c>
      <c r="EF53" s="235">
        <f t="shared" ca="1" si="121"/>
        <v>0.57127607705632</v>
      </c>
      <c r="EG53" s="242">
        <f t="shared" ca="1" si="122"/>
        <v>0.57127607705632</v>
      </c>
      <c r="EH53" s="241">
        <f t="shared" ca="1" si="569"/>
        <v>1</v>
      </c>
      <c r="EI53" s="220">
        <f t="shared" ca="1" si="627"/>
        <v>0.99005973259011348</v>
      </c>
      <c r="EJ53" s="220">
        <f t="shared" ca="1" si="628"/>
        <v>0</v>
      </c>
      <c r="EK53" s="235">
        <f t="shared" ca="1" si="125"/>
        <v>0.55166502486519819</v>
      </c>
      <c r="EL53" s="235">
        <f t="shared" ca="1" si="126"/>
        <v>0.55166502486519819</v>
      </c>
      <c r="EM53" s="242">
        <f t="shared" ca="1" si="127"/>
        <v>0.55166502486519819</v>
      </c>
      <c r="EN53" s="241">
        <f t="shared" ca="1" si="569"/>
        <v>1</v>
      </c>
      <c r="EO53" s="220">
        <f t="shared" ca="1" si="629"/>
        <v>0.98941124346526699</v>
      </c>
      <c r="EP53" s="220">
        <f t="shared" ca="1" si="630"/>
        <v>0</v>
      </c>
      <c r="EQ53" s="235">
        <f t="shared" ca="1" si="130"/>
        <v>0.53266056451585653</v>
      </c>
      <c r="ER53" s="235">
        <f t="shared" ca="1" si="131"/>
        <v>0.53266056451585653</v>
      </c>
      <c r="ES53" s="242">
        <f t="shared" ca="1" si="132"/>
        <v>0.53266056451585653</v>
      </c>
      <c r="ET53" s="241">
        <f t="shared" ca="1" si="569"/>
        <v>1</v>
      </c>
      <c r="EU53" s="220">
        <f t="shared" ca="1" si="631"/>
        <v>0.98862861917168599</v>
      </c>
      <c r="EV53" s="220">
        <f t="shared" ca="1" si="632"/>
        <v>0</v>
      </c>
      <c r="EW53" s="235">
        <f t="shared" ca="1" si="135"/>
        <v>0.51424080194137645</v>
      </c>
      <c r="EX53" s="235">
        <f t="shared" ca="1" si="136"/>
        <v>0.51424080194137645</v>
      </c>
      <c r="EY53" s="242">
        <f t="shared" ca="1" si="137"/>
        <v>0.51424080194137645</v>
      </c>
      <c r="EZ53" s="241">
        <f t="shared" ca="1" si="569"/>
        <v>1</v>
      </c>
      <c r="FA53" s="220">
        <f t="shared" ca="1" si="633"/>
        <v>0.98770524004137961</v>
      </c>
      <c r="FB53" s="220">
        <f t="shared" ca="1" si="634"/>
        <v>0</v>
      </c>
      <c r="FC53" s="235">
        <f t="shared" ca="1" si="140"/>
        <v>0.49638695751919149</v>
      </c>
      <c r="FD53" s="235">
        <f t="shared" ca="1" si="141"/>
        <v>0.49638695751919149</v>
      </c>
      <c r="FE53" s="242">
        <f t="shared" ca="1" si="142"/>
        <v>0.49638695751919149</v>
      </c>
      <c r="FF53" s="241">
        <f t="shared" ca="1" si="569"/>
        <v>1</v>
      </c>
      <c r="FG53" s="220">
        <f t="shared" ca="1" si="635"/>
        <v>0.98663357985593469</v>
      </c>
      <c r="FH53" s="220">
        <f t="shared" ca="1" si="636"/>
        <v>0</v>
      </c>
      <c r="FI53" s="235">
        <f t="shared" ca="1" si="145"/>
        <v>0.4790805581355394</v>
      </c>
      <c r="FJ53" s="235">
        <f t="shared" ca="1" si="146"/>
        <v>0.4790805581355394</v>
      </c>
      <c r="FK53" s="242">
        <f t="shared" ca="1" si="147"/>
        <v>0.4790805581355394</v>
      </c>
      <c r="FL53" s="241">
        <f t="shared" ca="1" si="569"/>
        <v>1</v>
      </c>
      <c r="FM53" s="220">
        <f t="shared" ca="1" si="637"/>
        <v>0.98542199381987161</v>
      </c>
      <c r="FN53" s="220">
        <f t="shared" ca="1" si="638"/>
        <v>0</v>
      </c>
      <c r="FO53" s="235">
        <f t="shared" ca="1" si="150"/>
        <v>0.46231134996149653</v>
      </c>
      <c r="FP53" s="235">
        <f t="shared" ca="1" si="151"/>
        <v>0.46231134996149653</v>
      </c>
      <c r="FQ53" s="242">
        <f t="shared" ca="1" si="152"/>
        <v>0.46231134996149653</v>
      </c>
      <c r="FR53" s="241">
        <f t="shared" ca="1" si="569"/>
        <v>1</v>
      </c>
      <c r="FS53" s="220">
        <f t="shared" ca="1" si="639"/>
        <v>0.98410251377014679</v>
      </c>
      <c r="FT53" s="220">
        <f t="shared" ca="1" si="640"/>
        <v>0</v>
      </c>
      <c r="FU53" s="235">
        <f t="shared" ca="1" si="155"/>
        <v>0.44607953146270346</v>
      </c>
      <c r="FV53" s="235">
        <f t="shared" ca="1" si="156"/>
        <v>0.44607953146270346</v>
      </c>
      <c r="FW53" s="242">
        <f t="shared" ca="1" si="157"/>
        <v>0.44607953146270346</v>
      </c>
      <c r="FX53" s="241">
        <f t="shared" ca="1" si="569"/>
        <v>1</v>
      </c>
      <c r="FY53" s="220">
        <f t="shared" ca="1" si="641"/>
        <v>0.98272181794332725</v>
      </c>
      <c r="FZ53" s="220">
        <f t="shared" ca="1" si="642"/>
        <v>0</v>
      </c>
      <c r="GA53" s="235">
        <f t="shared" ca="1" si="160"/>
        <v>0.43039003080199167</v>
      </c>
      <c r="GB53" s="235">
        <f t="shared" ca="1" si="161"/>
        <v>0.43039003080199167</v>
      </c>
      <c r="GC53" s="242">
        <f t="shared" ca="1" si="162"/>
        <v>0.43039003080199167</v>
      </c>
      <c r="GD53" s="241">
        <f t="shared" ca="1" si="562"/>
        <v>1</v>
      </c>
      <c r="GE53" s="220">
        <f t="shared" ca="1" si="643"/>
        <v>0.98131357757821447</v>
      </c>
      <c r="GF53" s="220">
        <f t="shared" ca="1" si="644"/>
        <v>0</v>
      </c>
      <c r="GG53" s="235">
        <f t="shared" ca="1" si="166"/>
        <v>0.41523988588198307</v>
      </c>
      <c r="GH53" s="235">
        <f t="shared" ca="1" si="167"/>
        <v>0.41523988588198307</v>
      </c>
      <c r="GI53" s="242">
        <f t="shared" ca="1" si="168"/>
        <v>0.41523988588198307</v>
      </c>
      <c r="GJ53" s="241">
        <f t="shared" ca="1" si="562"/>
        <v>1</v>
      </c>
      <c r="GK53" s="220">
        <f t="shared" ca="1" si="645"/>
        <v>0.97988969157714845</v>
      </c>
      <c r="GL53" s="220">
        <f t="shared" ca="1" si="646"/>
        <v>0</v>
      </c>
      <c r="GM53" s="235">
        <f t="shared" ca="1" si="171"/>
        <v>0.40061581913774713</v>
      </c>
      <c r="GN53" s="235">
        <f t="shared" ca="1" si="172"/>
        <v>0.40061581913774713</v>
      </c>
      <c r="GO53" s="242">
        <f t="shared" ca="1" si="173"/>
        <v>0.40061581913774713</v>
      </c>
      <c r="GP53" s="241">
        <f t="shared" ca="1" si="570"/>
        <v>1</v>
      </c>
      <c r="GQ53" s="220">
        <f t="shared" ca="1" si="647"/>
        <v>0.9784443542820721</v>
      </c>
      <c r="GR53" s="220">
        <f t="shared" ca="1" si="648"/>
        <v>0</v>
      </c>
      <c r="GS53" s="235">
        <f t="shared" ca="1" si="176"/>
        <v>0.38649749836185404</v>
      </c>
      <c r="GT53" s="235">
        <f t="shared" ca="1" si="177"/>
        <v>0.38649749836185404</v>
      </c>
      <c r="GU53" s="242">
        <f t="shared" ca="1" si="178"/>
        <v>0.38649749836185404</v>
      </c>
      <c r="GV53" s="241">
        <f t="shared" ca="1" si="570"/>
        <v>1</v>
      </c>
      <c r="GW53" s="220">
        <f t="shared" ca="1" si="649"/>
        <v>0.97697473086194042</v>
      </c>
      <c r="GX53" s="220">
        <f t="shared" ca="1" si="650"/>
        <v>0</v>
      </c>
      <c r="GY53" s="235">
        <f t="shared" ca="1" si="181"/>
        <v>0.37286664649209134</v>
      </c>
      <c r="GZ53" s="235">
        <f t="shared" ca="1" si="182"/>
        <v>0.37286664649209134</v>
      </c>
      <c r="HA53" s="242">
        <f t="shared" ca="1" si="183"/>
        <v>0.37286664649209134</v>
      </c>
      <c r="HB53" s="241">
        <f t="shared" ca="1" si="570"/>
        <v>1</v>
      </c>
      <c r="HC53" s="220">
        <f t="shared" ca="1" si="651"/>
        <v>0.97547214372587476</v>
      </c>
      <c r="HD53" s="220">
        <f t="shared" ca="1" si="652"/>
        <v>0</v>
      </c>
      <c r="HE53" s="235">
        <f t="shared" ca="1" si="186"/>
        <v>0.35970355322684694</v>
      </c>
      <c r="HF53" s="235">
        <f t="shared" ca="1" si="187"/>
        <v>0.35970355322684694</v>
      </c>
      <c r="HG53" s="242">
        <f t="shared" ca="1" si="188"/>
        <v>0.35970355322684694</v>
      </c>
      <c r="HH53" s="241">
        <f t="shared" ca="1" si="570"/>
        <v>1</v>
      </c>
      <c r="HI53" s="220">
        <f t="shared" ca="1" si="653"/>
        <v>0.9739299222666441</v>
      </c>
      <c r="HJ53" s="220">
        <f t="shared" ca="1" si="654"/>
        <v>0</v>
      </c>
      <c r="HK53" s="235">
        <f t="shared" ca="1" si="191"/>
        <v>0.34699020474318382</v>
      </c>
      <c r="HL53" s="235">
        <f t="shared" ca="1" si="192"/>
        <v>0.34699020474318382</v>
      </c>
      <c r="HM53" s="242">
        <f t="shared" ca="1" si="193"/>
        <v>0.34699020474318382</v>
      </c>
      <c r="HN53" s="241">
        <f t="shared" ca="1" si="570"/>
        <v>1</v>
      </c>
      <c r="HO53" s="220">
        <f t="shared" ca="1" si="655"/>
        <v>0.97234631221303847</v>
      </c>
      <c r="HP53" s="220">
        <f t="shared" ca="1" si="656"/>
        <v>0</v>
      </c>
      <c r="HQ53" s="235">
        <f t="shared" ca="1" si="196"/>
        <v>0.33471110982634922</v>
      </c>
      <c r="HR53" s="235">
        <f t="shared" ca="1" si="197"/>
        <v>0.33471110982634922</v>
      </c>
      <c r="HS53" s="242">
        <f t="shared" ca="1" si="198"/>
        <v>0.33471110982634922</v>
      </c>
      <c r="HT53" s="241">
        <f t="shared" ca="1" si="570"/>
        <v>1</v>
      </c>
      <c r="HU53" s="220">
        <f t="shared" ca="1" si="657"/>
        <v>0.97072346621795491</v>
      </c>
      <c r="HV53" s="220">
        <f t="shared" ca="1" si="658"/>
        <v>0</v>
      </c>
      <c r="HW53" s="235">
        <f t="shared" ca="1" si="201"/>
        <v>0.32285263476719722</v>
      </c>
      <c r="HX53" s="235">
        <f t="shared" ca="1" si="202"/>
        <v>0.32285263476719722</v>
      </c>
      <c r="HY53" s="242">
        <f t="shared" ca="1" si="203"/>
        <v>0.32285263476719722</v>
      </c>
      <c r="HZ53" s="241">
        <f t="shared" ca="1" si="570"/>
        <v>1</v>
      </c>
      <c r="IA53" s="220">
        <f t="shared" ca="1" si="659"/>
        <v>0.96906158764378969</v>
      </c>
      <c r="IB53" s="220">
        <f t="shared" ca="1" si="660"/>
        <v>0</v>
      </c>
      <c r="IC53" s="235">
        <f t="shared" ca="1" si="206"/>
        <v>0.31140088024780266</v>
      </c>
      <c r="ID53" s="235">
        <f t="shared" ca="1" si="207"/>
        <v>0.31140088024780266</v>
      </c>
      <c r="IE53" s="242">
        <f t="shared" ca="1" si="208"/>
        <v>0.31140088024780266</v>
      </c>
      <c r="IF53" s="241">
        <f t="shared" ca="1" si="570"/>
        <v>1</v>
      </c>
      <c r="IG53" s="220">
        <f t="shared" ca="1" si="661"/>
        <v>0.96736088455747493</v>
      </c>
      <c r="IH53" s="220">
        <f t="shared" ca="1" si="662"/>
        <v>0</v>
      </c>
      <c r="II53" s="235">
        <f t="shared" ca="1" si="211"/>
        <v>0.30034238811880948</v>
      </c>
      <c r="IJ53" s="235">
        <f t="shared" ca="1" si="212"/>
        <v>0.30034238811880948</v>
      </c>
      <c r="IK53" s="242">
        <f t="shared" ca="1" si="213"/>
        <v>0.30034238811880948</v>
      </c>
      <c r="IL53" s="241">
        <f t="shared" ca="1" si="570"/>
        <v>1</v>
      </c>
      <c r="IM53" s="220">
        <f t="shared" ca="1" si="663"/>
        <v>0.96561963496527148</v>
      </c>
      <c r="IN53" s="220">
        <f t="shared" ca="1" si="664"/>
        <v>0</v>
      </c>
      <c r="IO53" s="235">
        <f t="shared" ca="1" si="216"/>
        <v>0.28966354765236296</v>
      </c>
      <c r="IP53" s="235">
        <f t="shared" ca="1" si="217"/>
        <v>0.28966354765236296</v>
      </c>
      <c r="IQ53" s="242">
        <f t="shared" ca="1" si="218"/>
        <v>0.28966354765236296</v>
      </c>
      <c r="IR53" s="241">
        <f t="shared" ca="1" si="570"/>
        <v>1</v>
      </c>
      <c r="IS53" s="220">
        <f t="shared" ca="1" si="665"/>
        <v>0.96382841054241086</v>
      </c>
      <c r="IT53" s="220">
        <f t="shared" ca="1" si="666"/>
        <v>0</v>
      </c>
      <c r="IU53" s="235">
        <f t="shared" ca="1" si="222"/>
        <v>0.27934900654248102</v>
      </c>
      <c r="IV53" s="235">
        <f t="shared" ca="1" si="223"/>
        <v>0.27934900654248102</v>
      </c>
      <c r="IW53" s="242">
        <f t="shared" ca="1" si="224"/>
        <v>0.27934900654248102</v>
      </c>
      <c r="IX53" s="241">
        <f t="shared" ca="1" si="570"/>
        <v>1</v>
      </c>
      <c r="IY53" s="220">
        <f t="shared" ca="1" si="667"/>
        <v>0.9619778599941694</v>
      </c>
      <c r="IZ53" s="220">
        <f t="shared" ca="1" si="668"/>
        <v>0</v>
      </c>
      <c r="JA53" s="235">
        <f t="shared" ca="1" si="227"/>
        <v>0.26938420913035699</v>
      </c>
      <c r="JB53" s="235">
        <f t="shared" ca="1" si="228"/>
        <v>0.26938420913035699</v>
      </c>
      <c r="JC53" s="242">
        <f t="shared" ca="1" si="229"/>
        <v>0.26938420913035699</v>
      </c>
      <c r="JD53" s="241">
        <f t="shared" ca="1" si="563"/>
        <v>1</v>
      </c>
      <c r="JE53" s="220">
        <f t="shared" ca="1" si="669"/>
        <v>0.96006544800850102</v>
      </c>
      <c r="JF53" s="220">
        <f t="shared" ca="1" si="670"/>
        <v>0</v>
      </c>
      <c r="JG53" s="235">
        <f t="shared" ca="1" si="232"/>
        <v>0.25975717229237277</v>
      </c>
      <c r="JH53" s="235">
        <f t="shared" ca="1" si="233"/>
        <v>0.25975717229237277</v>
      </c>
      <c r="JI53" s="242">
        <f t="shared" ca="1" si="234"/>
        <v>0.25975717229237277</v>
      </c>
      <c r="JJ53" s="241">
        <f t="shared" ca="1" si="563"/>
        <v>1</v>
      </c>
      <c r="JK53" s="220">
        <f t="shared" ca="1" si="671"/>
        <v>0.9580877131856036</v>
      </c>
      <c r="JL53" s="220">
        <f t="shared" ca="1" si="672"/>
        <v>0</v>
      </c>
      <c r="JM53" s="235">
        <f t="shared" ca="1" si="237"/>
        <v>0.25045610871251262</v>
      </c>
      <c r="JN53" s="235">
        <f t="shared" ca="1" si="238"/>
        <v>0.25045610871251262</v>
      </c>
      <c r="JO53" s="242">
        <f t="shared" ca="1" si="239"/>
        <v>0.25045610871251262</v>
      </c>
      <c r="JP53" s="241">
        <f t="shared" ca="1" si="571"/>
        <v>1</v>
      </c>
      <c r="JQ53" s="220">
        <f t="shared" ca="1" si="673"/>
        <v>0.95603644739167326</v>
      </c>
      <c r="JR53" s="220">
        <f t="shared" ca="1" si="674"/>
        <v>0</v>
      </c>
      <c r="JS53" s="235">
        <f t="shared" ca="1" si="242"/>
        <v>0.24146848520169967</v>
      </c>
      <c r="JT53" s="235">
        <f t="shared" ca="1" si="243"/>
        <v>0.24146848520169967</v>
      </c>
      <c r="JU53" s="242">
        <f t="shared" ca="1" si="244"/>
        <v>0.24146848520169967</v>
      </c>
      <c r="JV53" s="241">
        <f t="shared" ca="1" si="571"/>
        <v>1</v>
      </c>
      <c r="JW53" s="220">
        <f t="shared" ca="1" si="675"/>
        <v>0.95389492574951584</v>
      </c>
      <c r="JX53" s="220">
        <f t="shared" ca="1" si="676"/>
        <v>0</v>
      </c>
      <c r="JY53" s="235">
        <f t="shared" ca="1" si="247"/>
        <v>0.23278028579212359</v>
      </c>
      <c r="JZ53" s="235">
        <f t="shared" ca="1" si="248"/>
        <v>0.23278028579212359</v>
      </c>
      <c r="KA53" s="242">
        <f t="shared" ca="1" si="249"/>
        <v>0.23278028579212359</v>
      </c>
      <c r="KB53" s="241">
        <f t="shared" ca="1" si="571"/>
        <v>1</v>
      </c>
      <c r="KC53" s="220">
        <f t="shared" ca="1" si="677"/>
        <v>0.95164182593489555</v>
      </c>
      <c r="KD53" s="220">
        <f t="shared" ca="1" si="678"/>
        <v>0</v>
      </c>
      <c r="KE53" s="235">
        <f t="shared" ca="1" si="252"/>
        <v>0.22437725483776094</v>
      </c>
      <c r="KF53" s="235">
        <f t="shared" ca="1" si="253"/>
        <v>0.22437725483776094</v>
      </c>
      <c r="KG53" s="242">
        <f t="shared" ca="1" si="254"/>
        <v>0.22437725483776094</v>
      </c>
      <c r="KH53" s="241">
        <f t="shared" ca="1" si="571"/>
        <v>1</v>
      </c>
      <c r="KI53" s="220">
        <f t="shared" ca="1" si="679"/>
        <v>0.94925415659362489</v>
      </c>
      <c r="KJ53" s="220">
        <f t="shared" ca="1" si="680"/>
        <v>0</v>
      </c>
      <c r="KK53" s="235">
        <f t="shared" ca="1" si="257"/>
        <v>0.21624569304866956</v>
      </c>
      <c r="KL53" s="235">
        <f t="shared" ca="1" si="258"/>
        <v>0.21624569304866956</v>
      </c>
      <c r="KM53" s="242">
        <f t="shared" ca="1" si="259"/>
        <v>0.21624569304866956</v>
      </c>
      <c r="KN53" s="241">
        <f t="shared" ca="1" si="571"/>
        <v>1</v>
      </c>
      <c r="KO53" s="220">
        <f t="shared" ca="1" si="681"/>
        <v>0.94670635843732753</v>
      </c>
      <c r="KP53" s="220">
        <f t="shared" ca="1" si="682"/>
        <v>0</v>
      </c>
      <c r="KQ53" s="235">
        <f t="shared" ca="1" si="262"/>
        <v>0.2083722604913304</v>
      </c>
      <c r="KR53" s="235">
        <f t="shared" ca="1" si="263"/>
        <v>0.2083722604913304</v>
      </c>
      <c r="KS53" s="242">
        <f t="shared" ca="1" si="264"/>
        <v>0.2083722604913304</v>
      </c>
      <c r="KT53" s="241">
        <f t="shared" ca="1" si="571"/>
        <v>1</v>
      </c>
      <c r="KU53" s="220">
        <f t="shared" ca="1" si="683"/>
        <v>0.94397037706144371</v>
      </c>
      <c r="KV53" s="220">
        <f t="shared" ca="1" si="684"/>
        <v>0</v>
      </c>
      <c r="KW53" s="235">
        <f t="shared" ca="1" si="267"/>
        <v>0.20074402382464779</v>
      </c>
      <c r="KX53" s="235">
        <f t="shared" ca="1" si="268"/>
        <v>0.20074402382464779</v>
      </c>
      <c r="KY53" s="242">
        <f t="shared" ca="1" si="269"/>
        <v>0.20074402382464779</v>
      </c>
      <c r="KZ53" s="241">
        <f t="shared" ca="1" si="571"/>
        <v>1</v>
      </c>
      <c r="LA53" s="220">
        <f t="shared" ca="1" si="685"/>
        <v>0.94102424551463493</v>
      </c>
      <c r="LB53" s="220">
        <f t="shared" ca="1" si="686"/>
        <v>0</v>
      </c>
      <c r="LC53" s="235">
        <f t="shared" ca="1" si="272"/>
        <v>0.19335024321380778</v>
      </c>
      <c r="LD53" s="235">
        <f t="shared" ca="1" si="273"/>
        <v>0.19335024321380778</v>
      </c>
      <c r="LE53" s="242">
        <f t="shared" ca="1" si="274"/>
        <v>0.19335024321380778</v>
      </c>
      <c r="LF53" s="241">
        <f t="shared" ca="1" si="571"/>
        <v>1</v>
      </c>
      <c r="LG53" s="220">
        <f t="shared" ca="1" si="687"/>
        <v>0.93783793741932242</v>
      </c>
      <c r="LH53" s="220">
        <f t="shared" ca="1" si="688"/>
        <v>0</v>
      </c>
      <c r="LI53" s="235">
        <f t="shared" ca="1" si="278"/>
        <v>0.18617928433844047</v>
      </c>
      <c r="LJ53" s="235">
        <f t="shared" ca="1" si="279"/>
        <v>0.18617928433844047</v>
      </c>
      <c r="LK53" s="242">
        <f t="shared" ca="1" si="280"/>
        <v>0.18617928433844047</v>
      </c>
      <c r="LL53" s="241">
        <f t="shared" ca="1" si="571"/>
        <v>1</v>
      </c>
      <c r="LM53" s="220">
        <f t="shared" ca="1" si="689"/>
        <v>0.93436137218530901</v>
      </c>
      <c r="LN53" s="220">
        <f t="shared" ca="1" si="690"/>
        <v>0</v>
      </c>
      <c r="LO53" s="235">
        <f t="shared" ca="1" si="283"/>
        <v>0.17921653887091585</v>
      </c>
      <c r="LP53" s="235">
        <f t="shared" ca="1" si="284"/>
        <v>0.17921653887091585</v>
      </c>
      <c r="LQ53" s="242">
        <f t="shared" ca="1" si="285"/>
        <v>0.17921653887091585</v>
      </c>
      <c r="LR53" s="241">
        <f t="shared" ca="1" si="571"/>
        <v>1</v>
      </c>
      <c r="LS53" s="220">
        <f t="shared" ca="1" si="691"/>
        <v>0.93053889981169891</v>
      </c>
      <c r="LT53" s="220">
        <f t="shared" ca="1" si="692"/>
        <v>0</v>
      </c>
      <c r="LU53" s="235">
        <f t="shared" ca="1" si="288"/>
        <v>0.17244769469603377</v>
      </c>
      <c r="LV53" s="235">
        <f t="shared" ca="1" si="289"/>
        <v>0.17244769469603377</v>
      </c>
      <c r="LW53" s="242">
        <f t="shared" ca="1" si="290"/>
        <v>0.17244769469603377</v>
      </c>
      <c r="LX53" s="241">
        <f t="shared" ca="1" si="571"/>
        <v>1</v>
      </c>
      <c r="LY53" s="220">
        <f t="shared" ca="1" si="693"/>
        <v>0.92632262805665211</v>
      </c>
      <c r="LZ53" s="220">
        <f t="shared" ca="1" si="694"/>
        <v>0</v>
      </c>
      <c r="MA53" s="235">
        <f t="shared" ca="1" si="293"/>
        <v>0.16586119245542613</v>
      </c>
      <c r="MB53" s="235">
        <f t="shared" ca="1" si="294"/>
        <v>0.16586119245542613</v>
      </c>
      <c r="MC53" s="242">
        <f t="shared" ca="1" si="295"/>
        <v>0.16586119245542613</v>
      </c>
      <c r="MD53" s="241">
        <f t="shared" ca="1" si="564"/>
        <v>1</v>
      </c>
      <c r="ME53" s="220">
        <f t="shared" ca="1" si="695"/>
        <v>0.92167897272220412</v>
      </c>
      <c r="MF53" s="220">
        <f t="shared" ca="1" si="696"/>
        <v>0</v>
      </c>
      <c r="MG53" s="235">
        <f t="shared" ca="1" si="298"/>
        <v>0.15944901478033538</v>
      </c>
      <c r="MH53" s="235">
        <f t="shared" ca="1" si="299"/>
        <v>0.15944901478033538</v>
      </c>
      <c r="MI53" s="242">
        <f t="shared" ca="1" si="300"/>
        <v>0.15944901478033538</v>
      </c>
      <c r="MJ53" s="241">
        <f t="shared" ca="1" si="564"/>
        <v>1</v>
      </c>
      <c r="MK53" s="220">
        <f t="shared" ca="1" si="697"/>
        <v>0.91658761807688671</v>
      </c>
      <c r="ML53" s="220">
        <f t="shared" ca="1" si="698"/>
        <v>0</v>
      </c>
      <c r="MM53" s="235">
        <f t="shared" ca="1" si="303"/>
        <v>0.15320600813786359</v>
      </c>
      <c r="MN53" s="235">
        <f t="shared" ca="1" si="304"/>
        <v>0.15320600813786359</v>
      </c>
      <c r="MO53" s="242">
        <f t="shared" ca="1" si="305"/>
        <v>0.15320600813786359</v>
      </c>
      <c r="MP53" s="241">
        <f t="shared" ca="1" si="572"/>
        <v>1</v>
      </c>
      <c r="MQ53" s="220">
        <f t="shared" ca="1" si="699"/>
        <v>0.91103401369895887</v>
      </c>
      <c r="MR53" s="220">
        <f t="shared" ca="1" si="700"/>
        <v>0</v>
      </c>
      <c r="MS53" s="235">
        <f t="shared" ca="1" si="308"/>
        <v>0.1471282443812138</v>
      </c>
      <c r="MT53" s="235">
        <f t="shared" ca="1" si="309"/>
        <v>0.1471282443812138</v>
      </c>
      <c r="MU53" s="242">
        <f t="shared" ca="1" si="310"/>
        <v>0.1471282443812138</v>
      </c>
      <c r="MV53" s="241">
        <f t="shared" ca="1" si="572"/>
        <v>1</v>
      </c>
      <c r="MW53" s="220">
        <f t="shared" ca="1" si="701"/>
        <v>0.90501116783439506</v>
      </c>
      <c r="MX53" s="220">
        <f t="shared" ca="1" si="702"/>
        <v>0</v>
      </c>
      <c r="MY53" s="235">
        <f t="shared" ca="1" si="313"/>
        <v>0.14121312034551653</v>
      </c>
      <c r="MZ53" s="235">
        <f t="shared" ca="1" si="314"/>
        <v>0.14121312034551653</v>
      </c>
      <c r="NA53" s="242">
        <f t="shared" ca="1" si="315"/>
        <v>0.14121312034551653</v>
      </c>
      <c r="NB53" s="241">
        <f t="shared" ca="1" si="572"/>
        <v>1</v>
      </c>
      <c r="NC53" s="220">
        <f t="shared" ca="1" si="703"/>
        <v>0.89850685257116925</v>
      </c>
      <c r="ND53" s="220">
        <f t="shared" ca="1" si="704"/>
        <v>0</v>
      </c>
      <c r="NE53" s="235">
        <f t="shared" ca="1" si="318"/>
        <v>0.13545721898511429</v>
      </c>
      <c r="NF53" s="235">
        <f t="shared" ca="1" si="319"/>
        <v>0.13545721898511429</v>
      </c>
      <c r="NG53" s="242">
        <f t="shared" ca="1" si="320"/>
        <v>0.13545721898511429</v>
      </c>
      <c r="NH53" s="241">
        <f t="shared" ca="1" si="572"/>
        <v>1</v>
      </c>
      <c r="NI53" s="220">
        <f t="shared" ca="1" si="705"/>
        <v>0.89149849912111412</v>
      </c>
      <c r="NJ53" s="220">
        <f t="shared" ca="1" si="706"/>
        <v>0</v>
      </c>
      <c r="NK53" s="235">
        <f t="shared" ca="1" si="323"/>
        <v>0.12985570306959462</v>
      </c>
      <c r="NL53" s="235">
        <f t="shared" ca="1" si="324"/>
        <v>0.12985570306959462</v>
      </c>
      <c r="NM53" s="242">
        <f t="shared" ca="1" si="325"/>
        <v>0.12985570306959462</v>
      </c>
      <c r="NN53" s="241">
        <f t="shared" ca="1" si="572"/>
        <v>1</v>
      </c>
      <c r="NO53" s="220">
        <f t="shared" ca="1" si="707"/>
        <v>0.88395998781254592</v>
      </c>
      <c r="NP53" s="220">
        <f t="shared" ca="1" si="708"/>
        <v>0</v>
      </c>
      <c r="NQ53" s="235">
        <f t="shared" ca="1" si="328"/>
        <v>0.12440352004293539</v>
      </c>
      <c r="NR53" s="235">
        <f t="shared" ca="1" si="329"/>
        <v>0.12440352004293539</v>
      </c>
      <c r="NS53" s="242">
        <f t="shared" ca="1" si="330"/>
        <v>0.12440352004293539</v>
      </c>
      <c r="NT53" s="241">
        <f t="shared" ca="1" si="572"/>
        <v>1</v>
      </c>
      <c r="NU53" s="220">
        <f t="shared" ca="1" si="709"/>
        <v>0.87587705768398794</v>
      </c>
      <c r="NV53" s="220">
        <f t="shared" ca="1" si="710"/>
        <v>0</v>
      </c>
      <c r="NW53" s="235">
        <f t="shared" ca="1" si="334"/>
        <v>0.11909755966730703</v>
      </c>
      <c r="NX53" s="235">
        <f t="shared" ca="1" si="335"/>
        <v>0.11909755966730703</v>
      </c>
      <c r="NY53" s="242">
        <f t="shared" ca="1" si="336"/>
        <v>0.11909755966730703</v>
      </c>
      <c r="NZ53" s="241">
        <f t="shared" ca="1" si="572"/>
        <v>1</v>
      </c>
      <c r="OA53" s="220">
        <f t="shared" ca="1" si="711"/>
        <v>0.86723653050993543</v>
      </c>
      <c r="OB53" s="220">
        <f t="shared" ca="1" si="712"/>
        <v>0</v>
      </c>
      <c r="OC53" s="235">
        <f t="shared" ca="1" si="339"/>
        <v>0.11393493936346769</v>
      </c>
      <c r="OD53" s="235">
        <f t="shared" ca="1" si="340"/>
        <v>0.11393493936346769</v>
      </c>
      <c r="OE53" s="242">
        <f t="shared" ca="1" si="341"/>
        <v>0.11393493936346769</v>
      </c>
      <c r="OF53" s="241">
        <f t="shared" ca="1" si="572"/>
        <v>1</v>
      </c>
      <c r="OG53" s="220">
        <f t="shared" ca="1" si="713"/>
        <v>0.85802474408285889</v>
      </c>
      <c r="OH53" s="220">
        <f t="shared" ca="1" si="714"/>
        <v>0</v>
      </c>
      <c r="OI53" s="235">
        <f t="shared" ca="1" si="344"/>
        <v>0.10891277530197965</v>
      </c>
      <c r="OJ53" s="235">
        <f t="shared" ca="1" si="345"/>
        <v>0.10891277530197965</v>
      </c>
      <c r="OK53" s="242">
        <f t="shared" ca="1" si="346"/>
        <v>0.10891277530197965</v>
      </c>
      <c r="OL53" s="241">
        <f t="shared" ca="1" si="572"/>
        <v>1</v>
      </c>
      <c r="OM53" s="220">
        <f t="shared" ca="1" si="715"/>
        <v>0.84819349656515752</v>
      </c>
      <c r="ON53" s="220">
        <f t="shared" ca="1" si="716"/>
        <v>0</v>
      </c>
      <c r="OO53" s="235">
        <f t="shared" ca="1" si="349"/>
        <v>0.10402401229233778</v>
      </c>
      <c r="OP53" s="235">
        <f t="shared" ca="1" si="350"/>
        <v>0.10402401229233778</v>
      </c>
      <c r="OQ53" s="242">
        <f t="shared" ca="1" si="351"/>
        <v>0.10402401229233778</v>
      </c>
      <c r="OR53" s="241">
        <f t="shared" ca="1" si="572"/>
        <v>1</v>
      </c>
      <c r="OS53" s="220">
        <f t="shared" ca="1" si="717"/>
        <v>0.83771830688257787</v>
      </c>
      <c r="OT53" s="220">
        <f t="shared" ca="1" si="718"/>
        <v>0</v>
      </c>
      <c r="OU53" s="235">
        <f t="shared" ca="1" si="354"/>
        <v>9.9265039362828419E-2</v>
      </c>
      <c r="OV53" s="235">
        <f t="shared" ca="1" si="355"/>
        <v>9.9265039362828419E-2</v>
      </c>
      <c r="OW53" s="242">
        <f t="shared" ca="1" si="356"/>
        <v>9.9265039362828419E-2</v>
      </c>
      <c r="OX53" s="241">
        <f t="shared" ca="1" si="572"/>
        <v>1</v>
      </c>
      <c r="OY53" s="220">
        <f t="shared" ca="1" si="719"/>
        <v>0.82663110509098692</v>
      </c>
      <c r="OZ53" s="220">
        <f t="shared" ca="1" si="720"/>
        <v>0</v>
      </c>
      <c r="PA53" s="235">
        <f t="shared" ca="1" si="359"/>
        <v>9.4638904895518239E-2</v>
      </c>
      <c r="PB53" s="235">
        <f t="shared" ca="1" si="360"/>
        <v>9.4638904895518239E-2</v>
      </c>
      <c r="PC53" s="242">
        <f t="shared" ca="1" si="361"/>
        <v>9.4638904895518239E-2</v>
      </c>
      <c r="PD53" s="241">
        <f t="shared" ca="1" si="565"/>
        <v>1</v>
      </c>
      <c r="PE53" s="220">
        <f t="shared" ca="1" si="721"/>
        <v>0.81497808640251923</v>
      </c>
      <c r="PF53" s="220">
        <f t="shared" ca="1" si="722"/>
        <v>0</v>
      </c>
      <c r="PG53" s="235">
        <f t="shared" ca="1" si="364"/>
        <v>9.0149546138363415E-2</v>
      </c>
      <c r="PH53" s="235">
        <f t="shared" ca="1" si="365"/>
        <v>9.0149546138363415E-2</v>
      </c>
      <c r="PI53" s="242">
        <f t="shared" ca="1" si="366"/>
        <v>9.0149546138363415E-2</v>
      </c>
      <c r="PJ53" s="241">
        <f t="shared" ca="1" si="565"/>
        <v>1</v>
      </c>
      <c r="PK53" s="220">
        <f t="shared" ca="1" si="723"/>
        <v>0.80277052964629592</v>
      </c>
      <c r="PL53" s="220">
        <f t="shared" ca="1" si="724"/>
        <v>0</v>
      </c>
      <c r="PM53" s="235">
        <f t="shared" ca="1" si="369"/>
        <v>8.5796324721504238E-2</v>
      </c>
      <c r="PN53" s="235">
        <f t="shared" ca="1" si="370"/>
        <v>8.5796324721504238E-2</v>
      </c>
      <c r="PO53" s="242">
        <f t="shared" ca="1" si="371"/>
        <v>8.5796324721504238E-2</v>
      </c>
      <c r="PP53" s="241">
        <f t="shared" ca="1" si="573"/>
        <v>1</v>
      </c>
      <c r="PQ53" s="220">
        <f t="shared" ca="1" si="725"/>
        <v>0.78995269259943357</v>
      </c>
      <c r="PR53" s="220">
        <f t="shared" ca="1" si="726"/>
        <v>0</v>
      </c>
      <c r="PS53" s="235">
        <f t="shared" ca="1" si="374"/>
        <v>8.1571415270218356E-2</v>
      </c>
      <c r="PT53" s="235">
        <f t="shared" ca="1" si="375"/>
        <v>8.1571415270218356E-2</v>
      </c>
      <c r="PU53" s="242">
        <f t="shared" ca="1" si="376"/>
        <v>8.1571415270218356E-2</v>
      </c>
      <c r="PV53" s="241">
        <f t="shared" ca="1" si="573"/>
        <v>1</v>
      </c>
      <c r="PW53" s="220">
        <f t="shared" ca="1" si="727"/>
        <v>0.77643739198174988</v>
      </c>
      <c r="PX53" s="220">
        <f t="shared" ca="1" si="728"/>
        <v>0</v>
      </c>
      <c r="PY53" s="235">
        <f t="shared" ca="1" si="379"/>
        <v>7.7464550653488104E-2</v>
      </c>
      <c r="PZ53" s="235">
        <f t="shared" ca="1" si="380"/>
        <v>7.7464550653488104E-2</v>
      </c>
      <c r="QA53" s="242">
        <f t="shared" ca="1" si="381"/>
        <v>7.7464550653488104E-2</v>
      </c>
      <c r="QB53" s="241">
        <f t="shared" ca="1" si="573"/>
        <v>1</v>
      </c>
      <c r="QC53" s="220">
        <f t="shared" ca="1" si="729"/>
        <v>0.76215715546842155</v>
      </c>
      <c r="QD53" s="220">
        <f t="shared" ca="1" si="730"/>
        <v>0</v>
      </c>
      <c r="QE53" s="235">
        <f t="shared" ca="1" si="384"/>
        <v>7.3468427669438799E-2</v>
      </c>
      <c r="QF53" s="235">
        <f t="shared" ca="1" si="385"/>
        <v>7.3468427669438799E-2</v>
      </c>
      <c r="QG53" s="242">
        <f t="shared" ca="1" si="386"/>
        <v>7.3468427669438799E-2</v>
      </c>
      <c r="QH53" s="241">
        <f t="shared" ca="1" si="573"/>
        <v>1</v>
      </c>
      <c r="QI53" s="220">
        <f t="shared" ca="1" si="731"/>
        <v>0.74703900613254992</v>
      </c>
      <c r="QJ53" s="220">
        <f t="shared" ca="1" si="732"/>
        <v>0</v>
      </c>
      <c r="QK53" s="235">
        <f t="shared" ca="1" si="390"/>
        <v>6.9575949698732195E-2</v>
      </c>
      <c r="QL53" s="235">
        <f t="shared" ca="1" si="391"/>
        <v>6.9575949698732195E-2</v>
      </c>
      <c r="QM53" s="242">
        <f t="shared" ca="1" si="392"/>
        <v>6.9575949698732195E-2</v>
      </c>
      <c r="QN53" s="241">
        <f t="shared" ca="1" si="573"/>
        <v>1</v>
      </c>
      <c r="QO53" s="220">
        <f t="shared" ca="1" si="733"/>
        <v>0.73100381386591473</v>
      </c>
      <c r="QP53" s="220">
        <f t="shared" ca="1" si="734"/>
        <v>0</v>
      </c>
      <c r="QQ53" s="235">
        <f t="shared" ca="1" si="395"/>
        <v>6.5780195109612458E-2</v>
      </c>
      <c r="QR53" s="235">
        <f t="shared" ca="1" si="396"/>
        <v>6.5780195109612458E-2</v>
      </c>
      <c r="QS53" s="242">
        <f t="shared" ca="1" si="397"/>
        <v>6.5780195109612458E-2</v>
      </c>
      <c r="QT53" s="241">
        <f t="shared" ca="1" si="573"/>
        <v>1</v>
      </c>
      <c r="QU53" s="220">
        <f t="shared" ca="1" si="735"/>
        <v>0.71393414380833176</v>
      </c>
      <c r="QV53" s="220">
        <f t="shared" ca="1" si="736"/>
        <v>0</v>
      </c>
      <c r="QW53" s="235">
        <f t="shared" ca="1" si="400"/>
        <v>6.2071653887543876E-2</v>
      </c>
      <c r="QX53" s="235">
        <f t="shared" ca="1" si="401"/>
        <v>6.2071653887543876E-2</v>
      </c>
      <c r="QY53" s="242">
        <f t="shared" ca="1" si="402"/>
        <v>6.2071653887543876E-2</v>
      </c>
      <c r="QZ53" s="241">
        <f t="shared" ca="1" si="573"/>
        <v>1</v>
      </c>
      <c r="RA53" s="220">
        <f t="shared" ca="1" si="737"/>
        <v>0.69574167395580788</v>
      </c>
      <c r="RB53" s="220">
        <f t="shared" ca="1" si="738"/>
        <v>0</v>
      </c>
      <c r="RC53" s="235">
        <f t="shared" ca="1" si="405"/>
        <v>5.8444390341238162E-2</v>
      </c>
      <c r="RD53" s="235">
        <f t="shared" ca="1" si="406"/>
        <v>5.8444390341238162E-2</v>
      </c>
      <c r="RE53" s="242">
        <f t="shared" ca="1" si="407"/>
        <v>5.8444390341238162E-2</v>
      </c>
      <c r="RF53" s="241">
        <f t="shared" ca="1" si="573"/>
        <v>1</v>
      </c>
      <c r="RG53" s="220">
        <f t="shared" ca="1" si="739"/>
        <v>0.67640422986988014</v>
      </c>
      <c r="RH53" s="220">
        <f t="shared" ca="1" si="740"/>
        <v>0</v>
      </c>
      <c r="RI53" s="235">
        <f t="shared" ca="1" si="410"/>
        <v>5.4898538121829751E-2</v>
      </c>
      <c r="RJ53" s="235">
        <f t="shared" ca="1" si="411"/>
        <v>5.4898538121829751E-2</v>
      </c>
      <c r="RK53" s="242">
        <f t="shared" ca="1" si="412"/>
        <v>5.4898538121829751E-2</v>
      </c>
      <c r="RL53" s="241">
        <f t="shared" ca="1" si="573"/>
        <v>1</v>
      </c>
      <c r="RM53" s="220">
        <f t="shared" ca="1" si="741"/>
        <v>0.65592135698096043</v>
      </c>
      <c r="RN53" s="220">
        <f t="shared" ca="1" si="742"/>
        <v>0</v>
      </c>
      <c r="RO53" s="235">
        <f t="shared" ca="1" si="415"/>
        <v>5.1435845981086484E-2</v>
      </c>
      <c r="RP53" s="235">
        <f t="shared" ca="1" si="416"/>
        <v>5.1435845981086484E-2</v>
      </c>
      <c r="RQ53" s="242">
        <f t="shared" ca="1" si="417"/>
        <v>5.1435845981086484E-2</v>
      </c>
      <c r="RR53" s="241">
        <f t="shared" ca="1" si="573"/>
        <v>1</v>
      </c>
      <c r="RS53" s="220">
        <f t="shared" ca="1" si="743"/>
        <v>0.63426152193073515</v>
      </c>
      <c r="RT53" s="220">
        <f t="shared" ca="1" si="744"/>
        <v>0</v>
      </c>
      <c r="RU53" s="235">
        <f t="shared" ca="1" si="420"/>
        <v>4.8055392729564286E-2</v>
      </c>
      <c r="RV53" s="235">
        <f t="shared" ca="1" si="421"/>
        <v>4.8055392729564286E-2</v>
      </c>
      <c r="RW53" s="242">
        <f t="shared" ca="1" si="422"/>
        <v>4.8055392729564286E-2</v>
      </c>
      <c r="RX53" s="241">
        <f t="shared" ca="1" si="573"/>
        <v>1</v>
      </c>
      <c r="RY53" s="220">
        <f t="shared" ca="1" si="745"/>
        <v>0.61130062057532053</v>
      </c>
      <c r="RZ53" s="220">
        <f t="shared" ca="1" si="746"/>
        <v>0</v>
      </c>
      <c r="SA53" s="235">
        <f t="shared" ca="1" si="425"/>
        <v>4.4749506722088245E-2</v>
      </c>
      <c r="SB53" s="235">
        <f t="shared" ca="1" si="426"/>
        <v>4.4749506722088245E-2</v>
      </c>
      <c r="SC53" s="242">
        <f t="shared" ca="1" si="427"/>
        <v>4.4749506722088245E-2</v>
      </c>
      <c r="SD53" s="241">
        <f t="shared" ca="1" si="566"/>
        <v>1</v>
      </c>
      <c r="SE53" s="220">
        <f t="shared" ca="1" si="747"/>
        <v>0.58693540044042947</v>
      </c>
      <c r="SF53" s="220">
        <f t="shared" ca="1" si="748"/>
        <v>0</v>
      </c>
      <c r="SG53" s="235">
        <f t="shared" ca="1" si="430"/>
        <v>4.1512928389525854E-2</v>
      </c>
      <c r="SH53" s="235">
        <f t="shared" ca="1" si="431"/>
        <v>4.1512928389525854E-2</v>
      </c>
      <c r="SI53" s="242">
        <f t="shared" ca="1" si="432"/>
        <v>4.1512928389525854E-2</v>
      </c>
      <c r="SJ53" s="241">
        <f t="shared" ca="1" si="566"/>
        <v>1</v>
      </c>
      <c r="SK53" s="220">
        <f t="shared" ca="1" si="749"/>
        <v>0.56117421877969853</v>
      </c>
      <c r="SL53" s="220">
        <f t="shared" ca="1" si="750"/>
        <v>0</v>
      </c>
      <c r="SM53" s="235">
        <f t="shared" ca="1" si="435"/>
        <v>3.8348680627614658E-2</v>
      </c>
      <c r="SN53" s="235">
        <f t="shared" ca="1" si="436"/>
        <v>3.8348680627614658E-2</v>
      </c>
      <c r="SO53" s="242">
        <f t="shared" ca="1" si="437"/>
        <v>3.8348680627614658E-2</v>
      </c>
      <c r="SP53" s="241">
        <f t="shared" ca="1" si="576"/>
        <v>1</v>
      </c>
      <c r="SQ53" s="220">
        <f t="shared" ca="1" si="751"/>
        <v>0.5340633310962325</v>
      </c>
      <c r="SR53" s="220">
        <f t="shared" ca="1" si="752"/>
        <v>0</v>
      </c>
      <c r="SS53" s="235">
        <f t="shared" ca="1" si="440"/>
        <v>3.5261852674216394E-2</v>
      </c>
      <c r="ST53" s="235">
        <f t="shared" ca="1" si="441"/>
        <v>3.5261852674216394E-2</v>
      </c>
      <c r="SU53" s="242">
        <f t="shared" ca="1" si="442"/>
        <v>3.5261852674216394E-2</v>
      </c>
      <c r="SV53" s="241">
        <f t="shared" ca="1" si="576"/>
        <v>1</v>
      </c>
      <c r="SW53" s="220">
        <f t="shared" ca="1" si="753"/>
        <v>0.50563620810864218</v>
      </c>
      <c r="SX53" s="220">
        <f t="shared" ca="1" si="754"/>
        <v>0</v>
      </c>
      <c r="SY53" s="235">
        <f t="shared" ca="1" si="446"/>
        <v>3.2255975632920972E-2</v>
      </c>
      <c r="SZ53" s="235">
        <f t="shared" ca="1" si="447"/>
        <v>3.2255975632920972E-2</v>
      </c>
      <c r="TA53" s="242">
        <f t="shared" ca="1" si="448"/>
        <v>3.2255975632920972E-2</v>
      </c>
      <c r="TB53" s="241">
        <f t="shared" ca="1" si="576"/>
        <v>1</v>
      </c>
      <c r="TC53" s="220">
        <f t="shared" ca="1" si="755"/>
        <v>0.47585575235966748</v>
      </c>
      <c r="TD53" s="220">
        <f t="shared" ca="1" si="756"/>
        <v>0</v>
      </c>
      <c r="TE53" s="235">
        <f t="shared" ca="1" si="451"/>
        <v>2.9329657426153458E-2</v>
      </c>
      <c r="TF53" s="235">
        <f t="shared" ca="1" si="452"/>
        <v>2.9329657426153458E-2</v>
      </c>
      <c r="TG53" s="242">
        <f t="shared" ca="1" si="453"/>
        <v>2.9329657426153458E-2</v>
      </c>
      <c r="TH53" s="241">
        <f t="shared" ca="1" si="576"/>
        <v>1</v>
      </c>
      <c r="TI53" s="220">
        <f t="shared" ca="1" si="757"/>
        <v>0.4447514411066778</v>
      </c>
      <c r="TJ53" s="220">
        <f t="shared" ca="1" si="758"/>
        <v>0</v>
      </c>
      <c r="TK53" s="235">
        <f t="shared" ca="1" si="456"/>
        <v>2.6485530790814431E-2</v>
      </c>
      <c r="TL53" s="235">
        <f t="shared" ca="1" si="457"/>
        <v>2.6485530790814431E-2</v>
      </c>
      <c r="TM53" s="242">
        <f t="shared" ca="1" si="458"/>
        <v>2.6485530790814431E-2</v>
      </c>
      <c r="TN53" s="241">
        <f t="shared" ca="1" si="576"/>
        <v>1</v>
      </c>
      <c r="TO53" s="220">
        <f t="shared" ca="1" si="759"/>
        <v>0.41251096438941365</v>
      </c>
      <c r="TP53" s="220">
        <f t="shared" ca="1" si="760"/>
        <v>0</v>
      </c>
      <c r="TQ53" s="235">
        <f t="shared" ca="1" si="461"/>
        <v>2.3734848481408222E-2</v>
      </c>
      <c r="TR53" s="235">
        <f t="shared" ca="1" si="462"/>
        <v>2.3734848481408222E-2</v>
      </c>
      <c r="TS53" s="242">
        <f t="shared" ca="1" si="463"/>
        <v>2.3734848481408222E-2</v>
      </c>
      <c r="TT53" s="241">
        <f t="shared" ca="1" si="576"/>
        <v>1</v>
      </c>
      <c r="TU53" s="220">
        <f t="shared" ca="1" si="761"/>
        <v>0.37939128408051637</v>
      </c>
      <c r="TV53" s="220">
        <f t="shared" ca="1" si="762"/>
        <v>0</v>
      </c>
      <c r="TW53" s="235">
        <f t="shared" ca="1" si="466"/>
        <v>2.1091038615007652E-2</v>
      </c>
      <c r="TX53" s="235">
        <f t="shared" ca="1" si="467"/>
        <v>2.1091038615007652E-2</v>
      </c>
      <c r="TY53" s="242">
        <f t="shared" ca="1" si="468"/>
        <v>2.1091038615007652E-2</v>
      </c>
      <c r="TZ53" s="241">
        <f t="shared" ca="1" si="576"/>
        <v>1</v>
      </c>
      <c r="UA53" s="220">
        <f t="shared" ca="1" si="763"/>
        <v>0.34565732866521315</v>
      </c>
      <c r="UB53" s="220">
        <f t="shared" ca="1" si="764"/>
        <v>0</v>
      </c>
      <c r="UC53" s="235">
        <f t="shared" ca="1" si="471"/>
        <v>1.8565901280691431E-2</v>
      </c>
      <c r="UD53" s="235">
        <f t="shared" ca="1" si="472"/>
        <v>1.8565901280691431E-2</v>
      </c>
      <c r="UE53" s="242">
        <f t="shared" ca="1" si="473"/>
        <v>1.8565901280691431E-2</v>
      </c>
      <c r="UF53" s="241">
        <f t="shared" ca="1" si="576"/>
        <v>1</v>
      </c>
      <c r="UG53" s="220">
        <f t="shared" ca="1" si="765"/>
        <v>0.31158381183471112</v>
      </c>
      <c r="UH53" s="220">
        <f t="shared" ca="1" si="766"/>
        <v>0</v>
      </c>
      <c r="UI53" s="235">
        <f t="shared" ca="1" si="476"/>
        <v>1.6169805793281151E-2</v>
      </c>
      <c r="UJ53" s="235">
        <f t="shared" ca="1" si="477"/>
        <v>1.6169805793281151E-2</v>
      </c>
      <c r="UK53" s="242">
        <f t="shared" ca="1" si="478"/>
        <v>1.6169805793281151E-2</v>
      </c>
      <c r="UL53" s="241">
        <f t="shared" ca="1" si="576"/>
        <v>1</v>
      </c>
      <c r="UM53" s="220">
        <f t="shared" ca="1" si="767"/>
        <v>0.27748470263514402</v>
      </c>
      <c r="UN53" s="220">
        <f t="shared" ca="1" si="768"/>
        <v>0</v>
      </c>
      <c r="UO53" s="235">
        <f t="shared" ca="1" si="481"/>
        <v>1.3913250808575896E-2</v>
      </c>
      <c r="UP53" s="235">
        <f t="shared" ca="1" si="482"/>
        <v>1.3913250808575896E-2</v>
      </c>
      <c r="UQ53" s="242">
        <f t="shared" ca="1" si="483"/>
        <v>1.3913250808575896E-2</v>
      </c>
      <c r="UR53" s="241">
        <f t="shared" ca="1" si="576"/>
        <v>1</v>
      </c>
      <c r="US53" s="220">
        <f t="shared" ca="1" si="769"/>
        <v>0.24373729058536042</v>
      </c>
      <c r="UT53" s="220">
        <f t="shared" ca="1" si="770"/>
        <v>0</v>
      </c>
      <c r="UU53" s="235">
        <f t="shared" ca="1" si="486"/>
        <v>1.1807860056509861E-2</v>
      </c>
      <c r="UV53" s="235">
        <f t="shared" ca="1" si="487"/>
        <v>1.1807860056509861E-2</v>
      </c>
      <c r="UW53" s="242">
        <f t="shared" ca="1" si="488"/>
        <v>1.1807860056509861E-2</v>
      </c>
      <c r="UX53" s="241">
        <f t="shared" ca="1" si="576"/>
        <v>1</v>
      </c>
      <c r="UY53" s="220">
        <f t="shared" ca="1" si="771"/>
        <v>0.21078985859319374</v>
      </c>
      <c r="UZ53" s="220">
        <f t="shared" ca="1" si="772"/>
        <v>0</v>
      </c>
      <c r="VA53" s="235">
        <f t="shared" ca="1" si="491"/>
        <v>9.866396874889936E-3</v>
      </c>
      <c r="VB53" s="235">
        <f t="shared" ca="1" si="492"/>
        <v>9.866396874889936E-3</v>
      </c>
      <c r="VC53" s="242">
        <f t="shared" ca="1" si="493"/>
        <v>9.866396874889936E-3</v>
      </c>
      <c r="VD53" s="241">
        <f t="shared" ca="1" si="574"/>
        <v>1</v>
      </c>
      <c r="VE53" s="220">
        <f t="shared" ca="1" si="773"/>
        <v>0.17914840370962801</v>
      </c>
      <c r="VF53" s="220">
        <f t="shared" ca="1" si="774"/>
        <v>0</v>
      </c>
      <c r="VG53" s="235">
        <f t="shared" ca="1" si="496"/>
        <v>8.1017989433788233E-3</v>
      </c>
      <c r="VH53" s="235">
        <f t="shared" ca="1" si="497"/>
        <v>8.1017989433788233E-3</v>
      </c>
      <c r="VI53" s="242">
        <f t="shared" ca="1" si="498"/>
        <v>8.1017989433788233E-3</v>
      </c>
      <c r="VJ53" s="241">
        <f t="shared" ca="1" si="567"/>
        <v>1</v>
      </c>
      <c r="VK53" s="220">
        <f t="shared" ca="1" si="775"/>
        <v>0.14933864677755704</v>
      </c>
      <c r="VL53" s="220">
        <f t="shared" ca="1" si="776"/>
        <v>0</v>
      </c>
      <c r="VM53" s="235">
        <f t="shared" ca="1" si="502"/>
        <v>6.5252984585482295E-3</v>
      </c>
      <c r="VN53" s="235">
        <f t="shared" ca="1" si="503"/>
        <v>6.5252984585482295E-3</v>
      </c>
      <c r="VO53" s="242">
        <f t="shared" ca="1" si="504"/>
        <v>6.5252984585482295E-3</v>
      </c>
      <c r="VP53" s="241">
        <f t="shared" ca="1" si="567"/>
        <v>1</v>
      </c>
      <c r="VQ53" s="220">
        <f t="shared" ca="1" si="777"/>
        <v>0.12186078378642688</v>
      </c>
      <c r="VR53" s="220">
        <f t="shared" ca="1" si="778"/>
        <v>0</v>
      </c>
      <c r="VS53" s="235">
        <f t="shared" ca="1" si="507"/>
        <v>5.1446020464451514E-3</v>
      </c>
      <c r="VT53" s="235">
        <f t="shared" ca="1" si="508"/>
        <v>5.1446020464451514E-3</v>
      </c>
      <c r="VU53" s="242">
        <f t="shared" ca="1" si="509"/>
        <v>5.1446020464451514E-3</v>
      </c>
      <c r="VV53" s="241">
        <f t="shared" ca="1" si="578"/>
        <v>1</v>
      </c>
      <c r="VW53" s="220">
        <f t="shared" ca="1" si="779"/>
        <v>9.714071449143126E-2</v>
      </c>
      <c r="VX53" s="220">
        <f t="shared" ca="1" si="780"/>
        <v>0</v>
      </c>
      <c r="VY53" s="235">
        <f t="shared" ca="1" si="512"/>
        <v>3.9623128486120972E-3</v>
      </c>
      <c r="VZ53" s="235">
        <f t="shared" ca="1" si="513"/>
        <v>3.9623128486120972E-3</v>
      </c>
      <c r="WA53" s="242">
        <f t="shared" ca="1" si="514"/>
        <v>3.9623128486120972E-3</v>
      </c>
      <c r="WB53" s="241">
        <f t="shared" ca="1" si="578"/>
        <v>1</v>
      </c>
      <c r="WC53" s="220">
        <f t="shared" ca="1" si="781"/>
        <v>7.5486980683431834E-2</v>
      </c>
      <c r="WD53" s="220">
        <f t="shared" ca="1" si="782"/>
        <v>0</v>
      </c>
      <c r="WE53" s="235">
        <f t="shared" ca="1" si="517"/>
        <v>2.9749465982754843E-3</v>
      </c>
      <c r="WF53" s="235">
        <f t="shared" ca="1" si="518"/>
        <v>2.9749465982754843E-3</v>
      </c>
      <c r="WG53" s="242">
        <f t="shared" ca="1" si="519"/>
        <v>2.9749465982754843E-3</v>
      </c>
      <c r="WH53" s="241">
        <f t="shared" ca="1" si="578"/>
        <v>1</v>
      </c>
      <c r="WI53" s="220">
        <f t="shared" ca="1" si="783"/>
        <v>5.7061061620490225E-2</v>
      </c>
      <c r="WJ53" s="220">
        <f t="shared" ca="1" si="784"/>
        <v>0</v>
      </c>
      <c r="WK53" s="235">
        <f t="shared" ca="1" si="522"/>
        <v>2.1727342833971291E-3</v>
      </c>
      <c r="WL53" s="235">
        <f t="shared" ca="1" si="523"/>
        <v>2.1727342833971291E-3</v>
      </c>
      <c r="WM53" s="242">
        <f t="shared" ca="1" si="524"/>
        <v>2.1727342833971291E-3</v>
      </c>
      <c r="WN53" s="241">
        <f t="shared" ca="1" si="578"/>
        <v>1</v>
      </c>
      <c r="WO53" s="220">
        <f t="shared" ca="1" si="785"/>
        <v>4.1934687734452851E-2</v>
      </c>
      <c r="WP53" s="220">
        <f t="shared" ca="1" si="786"/>
        <v>0</v>
      </c>
      <c r="WQ53" s="235">
        <f t="shared" ca="1" si="527"/>
        <v>1.5427651975624165E-3</v>
      </c>
      <c r="WR53" s="235">
        <f t="shared" ca="1" si="528"/>
        <v>1.5427651975624165E-3</v>
      </c>
      <c r="WS53" s="242">
        <f t="shared" ca="1" si="529"/>
        <v>1.5427651975624165E-3</v>
      </c>
      <c r="WT53" s="241">
        <f t="shared" ca="1" si="578"/>
        <v>1</v>
      </c>
      <c r="WU53" s="220">
        <f t="shared" ca="1" si="787"/>
        <v>2.9961998908764689E-2</v>
      </c>
      <c r="WV53" s="220">
        <f t="shared" ca="1" si="788"/>
        <v>0</v>
      </c>
      <c r="WW53" s="235">
        <f t="shared" ca="1" si="532"/>
        <v>1.0650177696007403E-3</v>
      </c>
      <c r="WX53" s="235">
        <f t="shared" ca="1" si="533"/>
        <v>1.0650177696007403E-3</v>
      </c>
      <c r="WY53" s="242">
        <f t="shared" ca="1" si="534"/>
        <v>1.0650177696007403E-3</v>
      </c>
      <c r="WZ53" s="241">
        <f t="shared" ca="1" si="578"/>
        <v>1</v>
      </c>
      <c r="XA53" s="220">
        <f t="shared" ca="1" si="789"/>
        <v>2.0825806429510707E-2</v>
      </c>
      <c r="XB53" s="220">
        <f t="shared" ca="1" si="790"/>
        <v>0</v>
      </c>
      <c r="XC53" s="235">
        <f t="shared" ca="1" si="537"/>
        <v>7.1523300597822715E-4</v>
      </c>
      <c r="XD53" s="235">
        <f t="shared" ca="1" si="538"/>
        <v>7.1523300597822715E-4</v>
      </c>
      <c r="XE53" s="242">
        <f t="shared" ca="1" si="539"/>
        <v>7.1523300597822715E-4</v>
      </c>
      <c r="XF53" s="241">
        <f t="shared" ca="1" si="578"/>
        <v>1</v>
      </c>
      <c r="XG53" s="220">
        <f t="shared" ca="1" si="791"/>
        <v>1.410075784309954E-2</v>
      </c>
      <c r="XH53" s="220">
        <f t="shared" ca="1" si="792"/>
        <v>0</v>
      </c>
      <c r="XI53" s="235">
        <f t="shared" ca="1" si="542"/>
        <v>4.6789437576883483E-4</v>
      </c>
      <c r="XJ53" s="235">
        <f t="shared" ca="1" si="543"/>
        <v>4.6789437576883483E-4</v>
      </c>
      <c r="XK53" s="242">
        <f t="shared" ca="1" si="544"/>
        <v>4.6789437576883483E-4</v>
      </c>
    </row>
    <row r="54" spans="2:635" x14ac:dyDescent="0.25">
      <c r="B54" s="65">
        <f t="shared" ca="1" si="14"/>
        <v>2069</v>
      </c>
      <c r="C54" s="65" t="s">
        <v>741</v>
      </c>
      <c r="D54" s="77">
        <f t="shared" si="580"/>
        <v>0</v>
      </c>
      <c r="E54" s="77">
        <f t="shared" si="581"/>
        <v>0</v>
      </c>
      <c r="F54" s="77" t="b">
        <f t="shared" si="793"/>
        <v>0</v>
      </c>
      <c r="G54" s="77" t="b">
        <f t="shared" si="794"/>
        <v>0</v>
      </c>
      <c r="H54" s="15" t="e">
        <f t="shared" ca="1" si="582"/>
        <v>#REF!</v>
      </c>
      <c r="L54" s="326">
        <f t="shared" ca="1" si="583"/>
        <v>3.5000000000000003E-2</v>
      </c>
      <c r="M54" s="327">
        <f t="shared" ca="1" si="584"/>
        <v>3.5000000000000003E-2</v>
      </c>
      <c r="N54" s="322">
        <f t="shared" ca="1" si="579"/>
        <v>-46</v>
      </c>
      <c r="O54" s="322">
        <f t="shared" ca="1" si="585"/>
        <v>0</v>
      </c>
      <c r="P54" s="328">
        <f t="shared" ca="1" si="545"/>
        <v>26.87829936156087</v>
      </c>
      <c r="Q54" s="328">
        <f t="shared" ca="1" si="546"/>
        <v>26.87829936156087</v>
      </c>
      <c r="R54" s="328">
        <f t="shared" ca="1" si="547"/>
        <v>26.87829936156087</v>
      </c>
      <c r="S54" s="329">
        <f t="shared" ca="1" si="586"/>
        <v>3.8642415640549425E-2</v>
      </c>
      <c r="T54" s="329">
        <f t="shared" ca="1" si="587"/>
        <v>3.8642415640549425E-2</v>
      </c>
      <c r="U54" s="329">
        <f t="shared" ca="1" si="588"/>
        <v>3.8642415640549425E-2</v>
      </c>
      <c r="V54" s="320" t="e">
        <f t="shared" ca="1" si="589"/>
        <v>#REF!</v>
      </c>
      <c r="W54" s="320" t="e">
        <f t="shared" ca="1" si="560"/>
        <v>#REF!</v>
      </c>
      <c r="X54" s="320" t="e">
        <f t="shared" ca="1" si="590"/>
        <v>#REF!</v>
      </c>
      <c r="Y54" s="320" t="e">
        <f ca="1">INDEX(SC_ZA_HECMLumpSum,ZAIDX)</f>
        <v>#REF!</v>
      </c>
      <c r="Z54" s="320" t="e">
        <f t="shared" ca="1" si="591"/>
        <v>#REF!</v>
      </c>
      <c r="AA54" s="320" t="e">
        <f t="shared" ca="1" si="557"/>
        <v>#REF!</v>
      </c>
      <c r="AB54" s="320" t="e">
        <f t="shared" ca="1" si="558"/>
        <v>#REF!</v>
      </c>
      <c r="AC54" s="330" t="e">
        <f t="shared" ca="1" si="559"/>
        <v>#REF!</v>
      </c>
      <c r="AD54" s="236" t="e">
        <f t="shared" ca="1" si="548"/>
        <v>#REF!</v>
      </c>
      <c r="AE54" s="320" t="e">
        <f t="shared" ca="1" si="561"/>
        <v>#REF!</v>
      </c>
      <c r="AF54" s="320" t="e">
        <f t="shared" ca="1" si="592"/>
        <v>#REF!</v>
      </c>
      <c r="AG54" s="320" t="e">
        <f t="shared" ca="1" si="549"/>
        <v>#REF!</v>
      </c>
      <c r="AH54" s="284" t="e">
        <f t="shared" ca="1" si="550"/>
        <v>#REF!</v>
      </c>
      <c r="AI54" s="318" t="e">
        <f t="shared" ca="1" si="551"/>
        <v>#REF!</v>
      </c>
      <c r="AJ54" s="331">
        <f t="shared" ca="1" si="575"/>
        <v>1</v>
      </c>
      <c r="AK54" s="220">
        <f t="shared" ca="1" si="593"/>
        <v>1</v>
      </c>
      <c r="AL54" s="220">
        <f t="shared" ca="1" si="594"/>
        <v>0</v>
      </c>
      <c r="AM54" s="235">
        <f t="shared" ca="1" si="554"/>
        <v>1</v>
      </c>
      <c r="AN54" s="235">
        <f t="shared" ca="1" si="555"/>
        <v>1</v>
      </c>
      <c r="AO54" s="242">
        <f t="shared" ca="1" si="556"/>
        <v>1</v>
      </c>
      <c r="AP54" s="241">
        <f t="shared" ca="1" si="575"/>
        <v>1</v>
      </c>
      <c r="AQ54" s="220">
        <f t="shared" ca="1" si="595"/>
        <v>0.99361699999999997</v>
      </c>
      <c r="AR54" s="220">
        <f t="shared" ca="1" si="596"/>
        <v>0</v>
      </c>
      <c r="AS54" s="235">
        <f t="shared" ca="1" si="43"/>
        <v>0.96001642512077301</v>
      </c>
      <c r="AT54" s="235">
        <f t="shared" ca="1" si="44"/>
        <v>0.96001642512077301</v>
      </c>
      <c r="AU54" s="242">
        <f t="shared" ca="1" si="45"/>
        <v>0.96001642512077301</v>
      </c>
      <c r="AV54" s="241">
        <f t="shared" ca="1" si="575"/>
        <v>1</v>
      </c>
      <c r="AW54" s="220">
        <f t="shared" ca="1" si="597"/>
        <v>0.99316689149899995</v>
      </c>
      <c r="AX54" s="220">
        <f t="shared" ca="1" si="598"/>
        <v>0</v>
      </c>
      <c r="AY54" s="235">
        <f t="shared" ca="1" si="48"/>
        <v>0.92713192046395487</v>
      </c>
      <c r="AZ54" s="235">
        <f t="shared" ca="1" si="49"/>
        <v>0.92713192046395487</v>
      </c>
      <c r="BA54" s="242">
        <f t="shared" ca="1" si="50"/>
        <v>0.92713192046395487</v>
      </c>
      <c r="BB54" s="241">
        <f t="shared" ca="1" si="575"/>
        <v>1</v>
      </c>
      <c r="BC54" s="220">
        <f t="shared" ca="1" si="599"/>
        <v>0.99288681843559723</v>
      </c>
      <c r="BD54" s="220">
        <f t="shared" ca="1" si="600"/>
        <v>0</v>
      </c>
      <c r="BE54" s="235">
        <f t="shared" ca="1" si="54"/>
        <v>0.89552702344191704</v>
      </c>
      <c r="BF54" s="235">
        <f t="shared" ca="1" si="55"/>
        <v>0.89552702344191704</v>
      </c>
      <c r="BG54" s="242">
        <f t="shared" ca="1" si="56"/>
        <v>0.89552702344191704</v>
      </c>
      <c r="BH54" s="241">
        <f t="shared" ca="1" si="575"/>
        <v>1</v>
      </c>
      <c r="BI54" s="220">
        <f t="shared" ca="1" si="601"/>
        <v>0.99265845446735712</v>
      </c>
      <c r="BJ54" s="220">
        <f t="shared" ca="1" si="602"/>
        <v>0</v>
      </c>
      <c r="BK54" s="235">
        <f t="shared" ca="1" si="59"/>
        <v>0.86504449490485558</v>
      </c>
      <c r="BL54" s="235">
        <f t="shared" ca="1" si="60"/>
        <v>0.86504449490485558</v>
      </c>
      <c r="BM54" s="242">
        <f t="shared" ca="1" si="61"/>
        <v>0.86504449490485558</v>
      </c>
      <c r="BN54" s="241">
        <f t="shared" ca="1" si="575"/>
        <v>1</v>
      </c>
      <c r="BO54" s="220">
        <f t="shared" ca="1" si="603"/>
        <v>0.99249069518855215</v>
      </c>
      <c r="BP54" s="220">
        <f t="shared" ca="1" si="604"/>
        <v>0</v>
      </c>
      <c r="BQ54" s="235">
        <f t="shared" ca="1" si="64"/>
        <v>0.83565053370552345</v>
      </c>
      <c r="BR54" s="235">
        <f t="shared" ca="1" si="65"/>
        <v>0.83565053370552345</v>
      </c>
      <c r="BS54" s="242">
        <f t="shared" ca="1" si="66"/>
        <v>0.83565053370552345</v>
      </c>
      <c r="BT54" s="241">
        <f t="shared" ca="1" si="575"/>
        <v>1</v>
      </c>
      <c r="BU54" s="220">
        <f t="shared" ca="1" si="605"/>
        <v>0.99233685913079794</v>
      </c>
      <c r="BV54" s="220">
        <f t="shared" ca="1" si="606"/>
        <v>0</v>
      </c>
      <c r="BW54" s="235">
        <f t="shared" ca="1" si="69"/>
        <v>0.80726667427323584</v>
      </c>
      <c r="BX54" s="235">
        <f t="shared" ca="1" si="70"/>
        <v>0.80726667427323584</v>
      </c>
      <c r="BY54" s="242">
        <f t="shared" ca="1" si="71"/>
        <v>0.80726667427323584</v>
      </c>
      <c r="BZ54" s="241">
        <f t="shared" ca="1" si="575"/>
        <v>1</v>
      </c>
      <c r="CA54" s="220">
        <f t="shared" ca="1" si="607"/>
        <v>0.992192970286224</v>
      </c>
      <c r="CB54" s="220">
        <f t="shared" ca="1" si="608"/>
        <v>0</v>
      </c>
      <c r="CC54" s="235">
        <f t="shared" ca="1" si="74"/>
        <v>0.7798547058990013</v>
      </c>
      <c r="CD54" s="235">
        <f t="shared" ca="1" si="75"/>
        <v>0.7798547058990013</v>
      </c>
      <c r="CE54" s="242">
        <f t="shared" ca="1" si="76"/>
        <v>0.7798547058990013</v>
      </c>
      <c r="CF54" s="241">
        <f t="shared" ca="1" si="575"/>
        <v>1</v>
      </c>
      <c r="CG54" s="220">
        <f t="shared" ca="1" si="609"/>
        <v>0.9920590242352354</v>
      </c>
      <c r="CH54" s="220">
        <f t="shared" ca="1" si="610"/>
        <v>0</v>
      </c>
      <c r="CI54" s="235">
        <f t="shared" ca="1" si="79"/>
        <v>0.75338108745285515</v>
      </c>
      <c r="CJ54" s="235">
        <f t="shared" ca="1" si="80"/>
        <v>0.75338108745285515</v>
      </c>
      <c r="CK54" s="242">
        <f t="shared" ca="1" si="81"/>
        <v>0.75338108745285515</v>
      </c>
      <c r="CL54" s="241">
        <f t="shared" ca="1" si="575"/>
        <v>1</v>
      </c>
      <c r="CM54" s="220">
        <f t="shared" ca="1" si="611"/>
        <v>0.99193997715232718</v>
      </c>
      <c r="CN54" s="220">
        <f t="shared" ca="1" si="612"/>
        <v>0</v>
      </c>
      <c r="CO54" s="235">
        <f t="shared" ca="1" si="84"/>
        <v>0.72781708378972065</v>
      </c>
      <c r="CP54" s="235">
        <f t="shared" ca="1" si="85"/>
        <v>0.72781708378972065</v>
      </c>
      <c r="CQ54" s="242">
        <f t="shared" ca="1" si="86"/>
        <v>0.72781708378972065</v>
      </c>
      <c r="CR54" s="241">
        <f t="shared" ca="1" si="575"/>
        <v>1</v>
      </c>
      <c r="CS54" s="220">
        <f t="shared" ca="1" si="613"/>
        <v>0.99183582345472621</v>
      </c>
      <c r="CT54" s="220">
        <f t="shared" ca="1" si="614"/>
        <v>0</v>
      </c>
      <c r="CU54" s="235">
        <f t="shared" ca="1" si="89"/>
        <v>0.70313107535837949</v>
      </c>
      <c r="CV54" s="235">
        <f t="shared" ca="1" si="90"/>
        <v>0.70313107535837949</v>
      </c>
      <c r="CW54" s="242">
        <f t="shared" ca="1" si="91"/>
        <v>0.70313107535837949</v>
      </c>
      <c r="CX54" s="241">
        <f t="shared" ca="1" si="568"/>
        <v>1</v>
      </c>
      <c r="CY54" s="220">
        <f t="shared" ca="1" si="615"/>
        <v>0.99174259088732142</v>
      </c>
      <c r="CZ54" s="220">
        <f t="shared" ca="1" si="616"/>
        <v>0</v>
      </c>
      <c r="DA54" s="235">
        <f t="shared" ca="1" si="94"/>
        <v>0.6792898367510104</v>
      </c>
      <c r="DB54" s="235">
        <f t="shared" ca="1" si="95"/>
        <v>0.6792898367510104</v>
      </c>
      <c r="DC54" s="242">
        <f t="shared" ca="1" si="96"/>
        <v>0.6792898367510104</v>
      </c>
      <c r="DD54" s="241">
        <f t="shared" ca="1" si="568"/>
        <v>1</v>
      </c>
      <c r="DE54" s="220">
        <f t="shared" ca="1" si="617"/>
        <v>0.99164440837082357</v>
      </c>
      <c r="DF54" s="220">
        <f t="shared" ca="1" si="618"/>
        <v>0</v>
      </c>
      <c r="DG54" s="235">
        <f t="shared" ca="1" si="99"/>
        <v>0.65625370730161559</v>
      </c>
      <c r="DH54" s="235">
        <f t="shared" ca="1" si="100"/>
        <v>0.65625370730161559</v>
      </c>
      <c r="DI54" s="242">
        <f t="shared" ca="1" si="101"/>
        <v>0.65625370730161559</v>
      </c>
      <c r="DJ54" s="241">
        <f t="shared" ca="1" si="51"/>
        <v>1</v>
      </c>
      <c r="DK54" s="220">
        <f t="shared" ca="1" si="619"/>
        <v>0.9915115280201019</v>
      </c>
      <c r="DL54" s="220">
        <f t="shared" ca="1" si="620"/>
        <v>0</v>
      </c>
      <c r="DM54" s="235">
        <f t="shared" ca="1" si="104"/>
        <v>0.63397658870032592</v>
      </c>
      <c r="DN54" s="235">
        <f t="shared" ca="1" si="105"/>
        <v>0.63397658870032592</v>
      </c>
      <c r="DO54" s="242">
        <f t="shared" ca="1" si="106"/>
        <v>0.63397658870032592</v>
      </c>
      <c r="DP54" s="241">
        <f t="shared" ca="1" si="569"/>
        <v>1</v>
      </c>
      <c r="DQ54" s="220">
        <f t="shared" ca="1" si="621"/>
        <v>0.99130628513380181</v>
      </c>
      <c r="DR54" s="220">
        <f t="shared" ca="1" si="622"/>
        <v>0</v>
      </c>
      <c r="DS54" s="235">
        <f t="shared" ca="1" si="110"/>
        <v>0.61241097154247814</v>
      </c>
      <c r="DT54" s="235">
        <f t="shared" ca="1" si="111"/>
        <v>0.61241097154247814</v>
      </c>
      <c r="DU54" s="242">
        <f t="shared" ca="1" si="112"/>
        <v>0.61241097154247814</v>
      </c>
      <c r="DV54" s="241">
        <f t="shared" ca="1" si="569"/>
        <v>1</v>
      </c>
      <c r="DW54" s="220">
        <f t="shared" ca="1" si="623"/>
        <v>0.9909999714916955</v>
      </c>
      <c r="DX54" s="220">
        <f t="shared" ca="1" si="624"/>
        <v>0</v>
      </c>
      <c r="DY54" s="235">
        <f t="shared" ca="1" si="115"/>
        <v>0.59151858604084218</v>
      </c>
      <c r="DZ54" s="235">
        <f t="shared" ca="1" si="116"/>
        <v>0.59151858604084218</v>
      </c>
      <c r="EA54" s="242">
        <f t="shared" ca="1" si="117"/>
        <v>0.59151858604084218</v>
      </c>
      <c r="EB54" s="241">
        <f t="shared" ref="EB54:GJ86" ca="1" si="795">IF(($B54+EB$2)&lt;SC_TargetRY,0,IF(($B54+EB$2)=SC_TargetRY,SC_AnnyPmntPr,IF(SP_AnnyTerms="Life",1,IF(($B54+EB$2)=(SC_TargetRY+SP_AnnyPeriod),SC_AnnyPmntPr-1,IF(($B54+EB$2)&gt;(SC_TargetRY+SP_AnnyPeriod),0,1)))))</f>
        <v>1</v>
      </c>
      <c r="EC54" s="220">
        <f t="shared" ca="1" si="625"/>
        <v>0.99058474250364048</v>
      </c>
      <c r="ED54" s="220">
        <f t="shared" ca="1" si="626"/>
        <v>0</v>
      </c>
      <c r="EE54" s="235">
        <f t="shared" ca="1" si="120"/>
        <v>0.57127607705632</v>
      </c>
      <c r="EF54" s="235">
        <f t="shared" ca="1" si="121"/>
        <v>0.57127607705632</v>
      </c>
      <c r="EG54" s="242">
        <f t="shared" ca="1" si="122"/>
        <v>0.57127607705632</v>
      </c>
      <c r="EH54" s="241">
        <f t="shared" ca="1" si="795"/>
        <v>1</v>
      </c>
      <c r="EI54" s="220">
        <f t="shared" ca="1" si="627"/>
        <v>0.99005973259011348</v>
      </c>
      <c r="EJ54" s="220">
        <f t="shared" ca="1" si="628"/>
        <v>0</v>
      </c>
      <c r="EK54" s="235">
        <f t="shared" ca="1" si="125"/>
        <v>0.55166502486519819</v>
      </c>
      <c r="EL54" s="235">
        <f t="shared" ca="1" si="126"/>
        <v>0.55166502486519819</v>
      </c>
      <c r="EM54" s="242">
        <f t="shared" ca="1" si="127"/>
        <v>0.55166502486519819</v>
      </c>
      <c r="EN54" s="241">
        <f t="shared" ca="1" si="795"/>
        <v>1</v>
      </c>
      <c r="EO54" s="220">
        <f t="shared" ca="1" si="629"/>
        <v>0.98941124346526699</v>
      </c>
      <c r="EP54" s="220">
        <f t="shared" ca="1" si="630"/>
        <v>0</v>
      </c>
      <c r="EQ54" s="235">
        <f t="shared" ca="1" si="130"/>
        <v>0.53266056451585653</v>
      </c>
      <c r="ER54" s="235">
        <f t="shared" ca="1" si="131"/>
        <v>0.53266056451585653</v>
      </c>
      <c r="ES54" s="242">
        <f t="shared" ca="1" si="132"/>
        <v>0.53266056451585653</v>
      </c>
      <c r="ET54" s="241">
        <f t="shared" ca="1" si="795"/>
        <v>1</v>
      </c>
      <c r="EU54" s="220">
        <f t="shared" ca="1" si="631"/>
        <v>0.98862861917168599</v>
      </c>
      <c r="EV54" s="220">
        <f t="shared" ca="1" si="632"/>
        <v>0</v>
      </c>
      <c r="EW54" s="235">
        <f t="shared" ca="1" si="135"/>
        <v>0.51424080194137645</v>
      </c>
      <c r="EX54" s="235">
        <f t="shared" ca="1" si="136"/>
        <v>0.51424080194137645</v>
      </c>
      <c r="EY54" s="242">
        <f t="shared" ca="1" si="137"/>
        <v>0.51424080194137645</v>
      </c>
      <c r="EZ54" s="241">
        <f t="shared" ca="1" si="795"/>
        <v>1</v>
      </c>
      <c r="FA54" s="220">
        <f t="shared" ca="1" si="633"/>
        <v>0.98770524004137961</v>
      </c>
      <c r="FB54" s="220">
        <f t="shared" ca="1" si="634"/>
        <v>0</v>
      </c>
      <c r="FC54" s="235">
        <f t="shared" ca="1" si="140"/>
        <v>0.49638695751919149</v>
      </c>
      <c r="FD54" s="235">
        <f t="shared" ca="1" si="141"/>
        <v>0.49638695751919149</v>
      </c>
      <c r="FE54" s="242">
        <f t="shared" ca="1" si="142"/>
        <v>0.49638695751919149</v>
      </c>
      <c r="FF54" s="241">
        <f t="shared" ca="1" si="795"/>
        <v>1</v>
      </c>
      <c r="FG54" s="220">
        <f t="shared" ca="1" si="635"/>
        <v>0.98663357985593469</v>
      </c>
      <c r="FH54" s="220">
        <f t="shared" ca="1" si="636"/>
        <v>0</v>
      </c>
      <c r="FI54" s="235">
        <f t="shared" ca="1" si="145"/>
        <v>0.4790805581355394</v>
      </c>
      <c r="FJ54" s="235">
        <f t="shared" ca="1" si="146"/>
        <v>0.4790805581355394</v>
      </c>
      <c r="FK54" s="242">
        <f t="shared" ca="1" si="147"/>
        <v>0.4790805581355394</v>
      </c>
      <c r="FL54" s="241">
        <f t="shared" ca="1" si="795"/>
        <v>1</v>
      </c>
      <c r="FM54" s="220">
        <f t="shared" ca="1" si="637"/>
        <v>0.98542199381987161</v>
      </c>
      <c r="FN54" s="220">
        <f t="shared" ca="1" si="638"/>
        <v>0</v>
      </c>
      <c r="FO54" s="235">
        <f t="shared" ca="1" si="150"/>
        <v>0.46231134996149653</v>
      </c>
      <c r="FP54" s="235">
        <f t="shared" ca="1" si="151"/>
        <v>0.46231134996149653</v>
      </c>
      <c r="FQ54" s="242">
        <f t="shared" ca="1" si="152"/>
        <v>0.46231134996149653</v>
      </c>
      <c r="FR54" s="241">
        <f t="shared" ca="1" si="795"/>
        <v>1</v>
      </c>
      <c r="FS54" s="220">
        <f t="shared" ca="1" si="639"/>
        <v>0.98410251377014679</v>
      </c>
      <c r="FT54" s="220">
        <f t="shared" ca="1" si="640"/>
        <v>0</v>
      </c>
      <c r="FU54" s="235">
        <f t="shared" ca="1" si="155"/>
        <v>0.44607953146270346</v>
      </c>
      <c r="FV54" s="235">
        <f t="shared" ca="1" si="156"/>
        <v>0.44607953146270346</v>
      </c>
      <c r="FW54" s="242">
        <f t="shared" ca="1" si="157"/>
        <v>0.44607953146270346</v>
      </c>
      <c r="FX54" s="241">
        <f t="shared" ca="1" si="795"/>
        <v>1</v>
      </c>
      <c r="FY54" s="220">
        <f t="shared" ca="1" si="641"/>
        <v>0.98272181794332725</v>
      </c>
      <c r="FZ54" s="220">
        <f t="shared" ca="1" si="642"/>
        <v>0</v>
      </c>
      <c r="GA54" s="235">
        <f t="shared" ca="1" si="160"/>
        <v>0.43039003080199167</v>
      </c>
      <c r="GB54" s="235">
        <f t="shared" ca="1" si="161"/>
        <v>0.43039003080199167</v>
      </c>
      <c r="GC54" s="242">
        <f t="shared" ca="1" si="162"/>
        <v>0.43039003080199167</v>
      </c>
      <c r="GD54" s="241">
        <f t="shared" ca="1" si="795"/>
        <v>1</v>
      </c>
      <c r="GE54" s="220">
        <f t="shared" ca="1" si="643"/>
        <v>0.98131357757821447</v>
      </c>
      <c r="GF54" s="220">
        <f t="shared" ca="1" si="644"/>
        <v>0</v>
      </c>
      <c r="GG54" s="235">
        <f t="shared" ca="1" si="166"/>
        <v>0.41523988588198307</v>
      </c>
      <c r="GH54" s="235">
        <f t="shared" ca="1" si="167"/>
        <v>0.41523988588198307</v>
      </c>
      <c r="GI54" s="242">
        <f t="shared" ca="1" si="168"/>
        <v>0.41523988588198307</v>
      </c>
      <c r="GJ54" s="241">
        <f t="shared" ca="1" si="795"/>
        <v>1</v>
      </c>
      <c r="GK54" s="220">
        <f t="shared" ca="1" si="645"/>
        <v>0.97988969157714845</v>
      </c>
      <c r="GL54" s="220">
        <f t="shared" ca="1" si="646"/>
        <v>0</v>
      </c>
      <c r="GM54" s="235">
        <f t="shared" ca="1" si="171"/>
        <v>0.40061581913774713</v>
      </c>
      <c r="GN54" s="235">
        <f t="shared" ca="1" si="172"/>
        <v>0.40061581913774713</v>
      </c>
      <c r="GO54" s="242">
        <f t="shared" ca="1" si="173"/>
        <v>0.40061581913774713</v>
      </c>
      <c r="GP54" s="241">
        <f t="shared" ca="1" si="570"/>
        <v>1</v>
      </c>
      <c r="GQ54" s="220">
        <f t="shared" ca="1" si="647"/>
        <v>0.9784443542820721</v>
      </c>
      <c r="GR54" s="220">
        <f t="shared" ca="1" si="648"/>
        <v>0</v>
      </c>
      <c r="GS54" s="235">
        <f t="shared" ca="1" si="176"/>
        <v>0.38649749836185404</v>
      </c>
      <c r="GT54" s="235">
        <f t="shared" ca="1" si="177"/>
        <v>0.38649749836185404</v>
      </c>
      <c r="GU54" s="242">
        <f t="shared" ca="1" si="178"/>
        <v>0.38649749836185404</v>
      </c>
      <c r="GV54" s="241">
        <f t="shared" ca="1" si="570"/>
        <v>1</v>
      </c>
      <c r="GW54" s="220">
        <f t="shared" ca="1" si="649"/>
        <v>0.97697473086194042</v>
      </c>
      <c r="GX54" s="220">
        <f t="shared" ca="1" si="650"/>
        <v>0</v>
      </c>
      <c r="GY54" s="235">
        <f t="shared" ca="1" si="181"/>
        <v>0.37286664649209134</v>
      </c>
      <c r="GZ54" s="235">
        <f t="shared" ca="1" si="182"/>
        <v>0.37286664649209134</v>
      </c>
      <c r="HA54" s="242">
        <f t="shared" ca="1" si="183"/>
        <v>0.37286664649209134</v>
      </c>
      <c r="HB54" s="241">
        <f t="shared" ref="HB54:JJ77" ca="1" si="796">IF(($B54+HB$2)&lt;SC_TargetRY,0,IF(($B54+HB$2)=SC_TargetRY,SC_AnnyPmntPr,IF(SP_AnnyTerms="Life",1,IF(($B54+HB$2)=(SC_TargetRY+SP_AnnyPeriod),SC_AnnyPmntPr-1,IF(($B54+HB$2)&gt;(SC_TargetRY+SP_AnnyPeriod),0,1)))))</f>
        <v>1</v>
      </c>
      <c r="HC54" s="220">
        <f t="shared" ca="1" si="651"/>
        <v>0.97547214372587476</v>
      </c>
      <c r="HD54" s="220">
        <f t="shared" ca="1" si="652"/>
        <v>0</v>
      </c>
      <c r="HE54" s="235">
        <f t="shared" ca="1" si="186"/>
        <v>0.35970355322684694</v>
      </c>
      <c r="HF54" s="235">
        <f t="shared" ca="1" si="187"/>
        <v>0.35970355322684694</v>
      </c>
      <c r="HG54" s="242">
        <f t="shared" ca="1" si="188"/>
        <v>0.35970355322684694</v>
      </c>
      <c r="HH54" s="241">
        <f t="shared" ca="1" si="796"/>
        <v>1</v>
      </c>
      <c r="HI54" s="220">
        <f t="shared" ca="1" si="653"/>
        <v>0.9739299222666441</v>
      </c>
      <c r="HJ54" s="220">
        <f t="shared" ca="1" si="654"/>
        <v>0</v>
      </c>
      <c r="HK54" s="235">
        <f t="shared" ca="1" si="191"/>
        <v>0.34699020474318382</v>
      </c>
      <c r="HL54" s="235">
        <f t="shared" ca="1" si="192"/>
        <v>0.34699020474318382</v>
      </c>
      <c r="HM54" s="242">
        <f t="shared" ca="1" si="193"/>
        <v>0.34699020474318382</v>
      </c>
      <c r="HN54" s="241">
        <f t="shared" ca="1" si="796"/>
        <v>1</v>
      </c>
      <c r="HO54" s="220">
        <f t="shared" ca="1" si="655"/>
        <v>0.97234631221303847</v>
      </c>
      <c r="HP54" s="220">
        <f t="shared" ca="1" si="656"/>
        <v>0</v>
      </c>
      <c r="HQ54" s="235">
        <f t="shared" ca="1" si="196"/>
        <v>0.33471110982634922</v>
      </c>
      <c r="HR54" s="235">
        <f t="shared" ca="1" si="197"/>
        <v>0.33471110982634922</v>
      </c>
      <c r="HS54" s="242">
        <f t="shared" ca="1" si="198"/>
        <v>0.33471110982634922</v>
      </c>
      <c r="HT54" s="241">
        <f t="shared" ca="1" si="796"/>
        <v>1</v>
      </c>
      <c r="HU54" s="220">
        <f t="shared" ca="1" si="657"/>
        <v>0.97072346621795491</v>
      </c>
      <c r="HV54" s="220">
        <f t="shared" ca="1" si="658"/>
        <v>0</v>
      </c>
      <c r="HW54" s="235">
        <f t="shared" ca="1" si="201"/>
        <v>0.32285263476719722</v>
      </c>
      <c r="HX54" s="235">
        <f t="shared" ca="1" si="202"/>
        <v>0.32285263476719722</v>
      </c>
      <c r="HY54" s="242">
        <f t="shared" ca="1" si="203"/>
        <v>0.32285263476719722</v>
      </c>
      <c r="HZ54" s="241">
        <f t="shared" ca="1" si="796"/>
        <v>1</v>
      </c>
      <c r="IA54" s="220">
        <f t="shared" ca="1" si="659"/>
        <v>0.96906158764378969</v>
      </c>
      <c r="IB54" s="220">
        <f t="shared" ca="1" si="660"/>
        <v>0</v>
      </c>
      <c r="IC54" s="235">
        <f t="shared" ca="1" si="206"/>
        <v>0.31140088024780266</v>
      </c>
      <c r="ID54" s="235">
        <f t="shared" ca="1" si="207"/>
        <v>0.31140088024780266</v>
      </c>
      <c r="IE54" s="242">
        <f t="shared" ca="1" si="208"/>
        <v>0.31140088024780266</v>
      </c>
      <c r="IF54" s="241">
        <f t="shared" ca="1" si="796"/>
        <v>1</v>
      </c>
      <c r="IG54" s="220">
        <f t="shared" ca="1" si="661"/>
        <v>0.96736088455747493</v>
      </c>
      <c r="IH54" s="220">
        <f t="shared" ca="1" si="662"/>
        <v>0</v>
      </c>
      <c r="II54" s="235">
        <f t="shared" ca="1" si="211"/>
        <v>0.30034238811880948</v>
      </c>
      <c r="IJ54" s="235">
        <f t="shared" ca="1" si="212"/>
        <v>0.30034238811880948</v>
      </c>
      <c r="IK54" s="242">
        <f t="shared" ca="1" si="213"/>
        <v>0.30034238811880948</v>
      </c>
      <c r="IL54" s="241">
        <f t="shared" ca="1" si="796"/>
        <v>1</v>
      </c>
      <c r="IM54" s="220">
        <f t="shared" ca="1" si="663"/>
        <v>0.96561963496527148</v>
      </c>
      <c r="IN54" s="220">
        <f t="shared" ca="1" si="664"/>
        <v>0</v>
      </c>
      <c r="IO54" s="235">
        <f t="shared" ca="1" si="216"/>
        <v>0.28966354765236296</v>
      </c>
      <c r="IP54" s="235">
        <f t="shared" ca="1" si="217"/>
        <v>0.28966354765236296</v>
      </c>
      <c r="IQ54" s="242">
        <f t="shared" ca="1" si="218"/>
        <v>0.28966354765236296</v>
      </c>
      <c r="IR54" s="241">
        <f t="shared" ca="1" si="796"/>
        <v>1</v>
      </c>
      <c r="IS54" s="220">
        <f t="shared" ca="1" si="665"/>
        <v>0.96382841054241086</v>
      </c>
      <c r="IT54" s="220">
        <f t="shared" ca="1" si="666"/>
        <v>0</v>
      </c>
      <c r="IU54" s="235">
        <f t="shared" ca="1" si="222"/>
        <v>0.27934900654248102</v>
      </c>
      <c r="IV54" s="235">
        <f t="shared" ca="1" si="223"/>
        <v>0.27934900654248102</v>
      </c>
      <c r="IW54" s="242">
        <f t="shared" ca="1" si="224"/>
        <v>0.27934900654248102</v>
      </c>
      <c r="IX54" s="241">
        <f t="shared" ca="1" si="796"/>
        <v>1</v>
      </c>
      <c r="IY54" s="220">
        <f t="shared" ca="1" si="667"/>
        <v>0.9619778599941694</v>
      </c>
      <c r="IZ54" s="220">
        <f t="shared" ca="1" si="668"/>
        <v>0</v>
      </c>
      <c r="JA54" s="235">
        <f t="shared" ca="1" si="227"/>
        <v>0.26938420913035699</v>
      </c>
      <c r="JB54" s="235">
        <f t="shared" ca="1" si="228"/>
        <v>0.26938420913035699</v>
      </c>
      <c r="JC54" s="242">
        <f t="shared" ca="1" si="229"/>
        <v>0.26938420913035699</v>
      </c>
      <c r="JD54" s="241">
        <f t="shared" ca="1" si="796"/>
        <v>1</v>
      </c>
      <c r="JE54" s="220">
        <f t="shared" ca="1" si="669"/>
        <v>0.96006544800850102</v>
      </c>
      <c r="JF54" s="220">
        <f t="shared" ca="1" si="670"/>
        <v>0</v>
      </c>
      <c r="JG54" s="235">
        <f t="shared" ca="1" si="232"/>
        <v>0.25975717229237277</v>
      </c>
      <c r="JH54" s="235">
        <f t="shared" ca="1" si="233"/>
        <v>0.25975717229237277</v>
      </c>
      <c r="JI54" s="242">
        <f t="shared" ca="1" si="234"/>
        <v>0.25975717229237277</v>
      </c>
      <c r="JJ54" s="241">
        <f t="shared" ca="1" si="796"/>
        <v>1</v>
      </c>
      <c r="JK54" s="220">
        <f t="shared" ca="1" si="671"/>
        <v>0.9580877131856036</v>
      </c>
      <c r="JL54" s="220">
        <f t="shared" ca="1" si="672"/>
        <v>0</v>
      </c>
      <c r="JM54" s="235">
        <f t="shared" ca="1" si="237"/>
        <v>0.25045610871251262</v>
      </c>
      <c r="JN54" s="235">
        <f t="shared" ca="1" si="238"/>
        <v>0.25045610871251262</v>
      </c>
      <c r="JO54" s="242">
        <f t="shared" ca="1" si="239"/>
        <v>0.25045610871251262</v>
      </c>
      <c r="JP54" s="241">
        <f t="shared" ca="1" si="571"/>
        <v>1</v>
      </c>
      <c r="JQ54" s="220">
        <f t="shared" ca="1" si="673"/>
        <v>0.95603644739167326</v>
      </c>
      <c r="JR54" s="220">
        <f t="shared" ca="1" si="674"/>
        <v>0</v>
      </c>
      <c r="JS54" s="235">
        <f t="shared" ca="1" si="242"/>
        <v>0.24146848520169967</v>
      </c>
      <c r="JT54" s="235">
        <f t="shared" ca="1" si="243"/>
        <v>0.24146848520169967</v>
      </c>
      <c r="JU54" s="242">
        <f t="shared" ca="1" si="244"/>
        <v>0.24146848520169967</v>
      </c>
      <c r="JV54" s="241">
        <f t="shared" ca="1" si="571"/>
        <v>1</v>
      </c>
      <c r="JW54" s="220">
        <f t="shared" ca="1" si="675"/>
        <v>0.95389492574951584</v>
      </c>
      <c r="JX54" s="220">
        <f t="shared" ca="1" si="676"/>
        <v>0</v>
      </c>
      <c r="JY54" s="235">
        <f t="shared" ca="1" si="247"/>
        <v>0.23278028579212359</v>
      </c>
      <c r="JZ54" s="235">
        <f t="shared" ca="1" si="248"/>
        <v>0.23278028579212359</v>
      </c>
      <c r="KA54" s="242">
        <f t="shared" ca="1" si="249"/>
        <v>0.23278028579212359</v>
      </c>
      <c r="KB54" s="241">
        <f t="shared" ref="KB54:MJ77" ca="1" si="797">IF(($B54+KB$2)&lt;SC_TargetRY,0,IF(($B54+KB$2)=SC_TargetRY,SC_AnnyPmntPr,IF(SP_AnnyTerms="Life",1,IF(($B54+KB$2)=(SC_TargetRY+SP_AnnyPeriod),SC_AnnyPmntPr-1,IF(($B54+KB$2)&gt;(SC_TargetRY+SP_AnnyPeriod),0,1)))))</f>
        <v>1</v>
      </c>
      <c r="KC54" s="220">
        <f t="shared" ca="1" si="677"/>
        <v>0.95164182593489555</v>
      </c>
      <c r="KD54" s="220">
        <f t="shared" ca="1" si="678"/>
        <v>0</v>
      </c>
      <c r="KE54" s="235">
        <f t="shared" ca="1" si="252"/>
        <v>0.22437725483776094</v>
      </c>
      <c r="KF54" s="235">
        <f t="shared" ca="1" si="253"/>
        <v>0.22437725483776094</v>
      </c>
      <c r="KG54" s="242">
        <f t="shared" ca="1" si="254"/>
        <v>0.22437725483776094</v>
      </c>
      <c r="KH54" s="241">
        <f t="shared" ca="1" si="797"/>
        <v>1</v>
      </c>
      <c r="KI54" s="220">
        <f t="shared" ca="1" si="679"/>
        <v>0.94925415659362489</v>
      </c>
      <c r="KJ54" s="220">
        <f t="shared" ca="1" si="680"/>
        <v>0</v>
      </c>
      <c r="KK54" s="235">
        <f t="shared" ca="1" si="257"/>
        <v>0.21624569304866956</v>
      </c>
      <c r="KL54" s="235">
        <f t="shared" ca="1" si="258"/>
        <v>0.21624569304866956</v>
      </c>
      <c r="KM54" s="242">
        <f t="shared" ca="1" si="259"/>
        <v>0.21624569304866956</v>
      </c>
      <c r="KN54" s="241">
        <f t="shared" ca="1" si="797"/>
        <v>1</v>
      </c>
      <c r="KO54" s="220">
        <f t="shared" ca="1" si="681"/>
        <v>0.94670635843732753</v>
      </c>
      <c r="KP54" s="220">
        <f t="shared" ca="1" si="682"/>
        <v>0</v>
      </c>
      <c r="KQ54" s="235">
        <f t="shared" ca="1" si="262"/>
        <v>0.2083722604913304</v>
      </c>
      <c r="KR54" s="235">
        <f t="shared" ca="1" si="263"/>
        <v>0.2083722604913304</v>
      </c>
      <c r="KS54" s="242">
        <f t="shared" ca="1" si="264"/>
        <v>0.2083722604913304</v>
      </c>
      <c r="KT54" s="241">
        <f t="shared" ca="1" si="797"/>
        <v>1</v>
      </c>
      <c r="KU54" s="220">
        <f t="shared" ca="1" si="683"/>
        <v>0.94397037706144371</v>
      </c>
      <c r="KV54" s="220">
        <f t="shared" ca="1" si="684"/>
        <v>0</v>
      </c>
      <c r="KW54" s="235">
        <f t="shared" ca="1" si="267"/>
        <v>0.20074402382464779</v>
      </c>
      <c r="KX54" s="235">
        <f t="shared" ca="1" si="268"/>
        <v>0.20074402382464779</v>
      </c>
      <c r="KY54" s="242">
        <f t="shared" ca="1" si="269"/>
        <v>0.20074402382464779</v>
      </c>
      <c r="KZ54" s="241">
        <f t="shared" ca="1" si="797"/>
        <v>1</v>
      </c>
      <c r="LA54" s="220">
        <f t="shared" ca="1" si="685"/>
        <v>0.94102424551463493</v>
      </c>
      <c r="LB54" s="220">
        <f t="shared" ca="1" si="686"/>
        <v>0</v>
      </c>
      <c r="LC54" s="235">
        <f t="shared" ca="1" si="272"/>
        <v>0.19335024321380778</v>
      </c>
      <c r="LD54" s="235">
        <f t="shared" ca="1" si="273"/>
        <v>0.19335024321380778</v>
      </c>
      <c r="LE54" s="242">
        <f t="shared" ca="1" si="274"/>
        <v>0.19335024321380778</v>
      </c>
      <c r="LF54" s="241">
        <f t="shared" ca="1" si="797"/>
        <v>1</v>
      </c>
      <c r="LG54" s="220">
        <f t="shared" ca="1" si="687"/>
        <v>0.93783793741932242</v>
      </c>
      <c r="LH54" s="220">
        <f t="shared" ca="1" si="688"/>
        <v>0</v>
      </c>
      <c r="LI54" s="235">
        <f t="shared" ca="1" si="278"/>
        <v>0.18617928433844047</v>
      </c>
      <c r="LJ54" s="235">
        <f t="shared" ca="1" si="279"/>
        <v>0.18617928433844047</v>
      </c>
      <c r="LK54" s="242">
        <f t="shared" ca="1" si="280"/>
        <v>0.18617928433844047</v>
      </c>
      <c r="LL54" s="241">
        <f t="shared" ca="1" si="797"/>
        <v>1</v>
      </c>
      <c r="LM54" s="220">
        <f t="shared" ca="1" si="689"/>
        <v>0.93436137218530901</v>
      </c>
      <c r="LN54" s="220">
        <f t="shared" ca="1" si="690"/>
        <v>0</v>
      </c>
      <c r="LO54" s="235">
        <f t="shared" ca="1" si="283"/>
        <v>0.17921653887091585</v>
      </c>
      <c r="LP54" s="235">
        <f t="shared" ca="1" si="284"/>
        <v>0.17921653887091585</v>
      </c>
      <c r="LQ54" s="242">
        <f t="shared" ca="1" si="285"/>
        <v>0.17921653887091585</v>
      </c>
      <c r="LR54" s="241">
        <f t="shared" ca="1" si="797"/>
        <v>1</v>
      </c>
      <c r="LS54" s="220">
        <f t="shared" ca="1" si="691"/>
        <v>0.93053889981169891</v>
      </c>
      <c r="LT54" s="220">
        <f t="shared" ca="1" si="692"/>
        <v>0</v>
      </c>
      <c r="LU54" s="235">
        <f t="shared" ca="1" si="288"/>
        <v>0.17244769469603377</v>
      </c>
      <c r="LV54" s="235">
        <f t="shared" ca="1" si="289"/>
        <v>0.17244769469603377</v>
      </c>
      <c r="LW54" s="242">
        <f t="shared" ca="1" si="290"/>
        <v>0.17244769469603377</v>
      </c>
      <c r="LX54" s="241">
        <f t="shared" ca="1" si="797"/>
        <v>1</v>
      </c>
      <c r="LY54" s="220">
        <f t="shared" ca="1" si="693"/>
        <v>0.92632262805665211</v>
      </c>
      <c r="LZ54" s="220">
        <f t="shared" ca="1" si="694"/>
        <v>0</v>
      </c>
      <c r="MA54" s="235">
        <f t="shared" ca="1" si="293"/>
        <v>0.16586119245542613</v>
      </c>
      <c r="MB54" s="235">
        <f t="shared" ca="1" si="294"/>
        <v>0.16586119245542613</v>
      </c>
      <c r="MC54" s="242">
        <f t="shared" ca="1" si="295"/>
        <v>0.16586119245542613</v>
      </c>
      <c r="MD54" s="241">
        <f t="shared" ca="1" si="797"/>
        <v>1</v>
      </c>
      <c r="ME54" s="220">
        <f t="shared" ca="1" si="695"/>
        <v>0.92167897272220412</v>
      </c>
      <c r="MF54" s="220">
        <f t="shared" ca="1" si="696"/>
        <v>0</v>
      </c>
      <c r="MG54" s="235">
        <f t="shared" ca="1" si="298"/>
        <v>0.15944901478033538</v>
      </c>
      <c r="MH54" s="235">
        <f t="shared" ca="1" si="299"/>
        <v>0.15944901478033538</v>
      </c>
      <c r="MI54" s="242">
        <f t="shared" ca="1" si="300"/>
        <v>0.15944901478033538</v>
      </c>
      <c r="MJ54" s="241">
        <f t="shared" ca="1" si="797"/>
        <v>1</v>
      </c>
      <c r="MK54" s="220">
        <f t="shared" ca="1" si="697"/>
        <v>0.91658761807688671</v>
      </c>
      <c r="ML54" s="220">
        <f t="shared" ca="1" si="698"/>
        <v>0</v>
      </c>
      <c r="MM54" s="235">
        <f t="shared" ca="1" si="303"/>
        <v>0.15320600813786359</v>
      </c>
      <c r="MN54" s="235">
        <f t="shared" ca="1" si="304"/>
        <v>0.15320600813786359</v>
      </c>
      <c r="MO54" s="242">
        <f t="shared" ca="1" si="305"/>
        <v>0.15320600813786359</v>
      </c>
      <c r="MP54" s="241">
        <f t="shared" ca="1" si="572"/>
        <v>1</v>
      </c>
      <c r="MQ54" s="220">
        <f t="shared" ca="1" si="699"/>
        <v>0.91103401369895887</v>
      </c>
      <c r="MR54" s="220">
        <f t="shared" ca="1" si="700"/>
        <v>0</v>
      </c>
      <c r="MS54" s="235">
        <f t="shared" ca="1" si="308"/>
        <v>0.1471282443812138</v>
      </c>
      <c r="MT54" s="235">
        <f t="shared" ca="1" si="309"/>
        <v>0.1471282443812138</v>
      </c>
      <c r="MU54" s="242">
        <f t="shared" ca="1" si="310"/>
        <v>0.1471282443812138</v>
      </c>
      <c r="MV54" s="241">
        <f t="shared" ca="1" si="572"/>
        <v>1</v>
      </c>
      <c r="MW54" s="220">
        <f t="shared" ca="1" si="701"/>
        <v>0.90501116783439506</v>
      </c>
      <c r="MX54" s="220">
        <f t="shared" ca="1" si="702"/>
        <v>0</v>
      </c>
      <c r="MY54" s="235">
        <f t="shared" ca="1" si="313"/>
        <v>0.14121312034551653</v>
      </c>
      <c r="MZ54" s="235">
        <f t="shared" ca="1" si="314"/>
        <v>0.14121312034551653</v>
      </c>
      <c r="NA54" s="242">
        <f t="shared" ca="1" si="315"/>
        <v>0.14121312034551653</v>
      </c>
      <c r="NB54" s="241">
        <f t="shared" ref="NB54:PJ77" ca="1" si="798">IF(($B54+NB$2)&lt;SC_TargetRY,0,IF(($B54+NB$2)=SC_TargetRY,SC_AnnyPmntPr,IF(SP_AnnyTerms="Life",1,IF(($B54+NB$2)=(SC_TargetRY+SP_AnnyPeriod),SC_AnnyPmntPr-1,IF(($B54+NB$2)&gt;(SC_TargetRY+SP_AnnyPeriod),0,1)))))</f>
        <v>1</v>
      </c>
      <c r="NC54" s="220">
        <f t="shared" ca="1" si="703"/>
        <v>0.89850685257116925</v>
      </c>
      <c r="ND54" s="220">
        <f t="shared" ca="1" si="704"/>
        <v>0</v>
      </c>
      <c r="NE54" s="235">
        <f t="shared" ca="1" si="318"/>
        <v>0.13545721898511429</v>
      </c>
      <c r="NF54" s="235">
        <f t="shared" ca="1" si="319"/>
        <v>0.13545721898511429</v>
      </c>
      <c r="NG54" s="242">
        <f t="shared" ca="1" si="320"/>
        <v>0.13545721898511429</v>
      </c>
      <c r="NH54" s="241">
        <f t="shared" ca="1" si="798"/>
        <v>1</v>
      </c>
      <c r="NI54" s="220">
        <f t="shared" ca="1" si="705"/>
        <v>0.89149849912111412</v>
      </c>
      <c r="NJ54" s="220">
        <f t="shared" ca="1" si="706"/>
        <v>0</v>
      </c>
      <c r="NK54" s="235">
        <f t="shared" ca="1" si="323"/>
        <v>0.12985570306959462</v>
      </c>
      <c r="NL54" s="235">
        <f t="shared" ca="1" si="324"/>
        <v>0.12985570306959462</v>
      </c>
      <c r="NM54" s="242">
        <f t="shared" ca="1" si="325"/>
        <v>0.12985570306959462</v>
      </c>
      <c r="NN54" s="241">
        <f t="shared" ca="1" si="798"/>
        <v>1</v>
      </c>
      <c r="NO54" s="220">
        <f t="shared" ca="1" si="707"/>
        <v>0.88395998781254592</v>
      </c>
      <c r="NP54" s="220">
        <f t="shared" ca="1" si="708"/>
        <v>0</v>
      </c>
      <c r="NQ54" s="235">
        <f t="shared" ca="1" si="328"/>
        <v>0.12440352004293539</v>
      </c>
      <c r="NR54" s="235">
        <f t="shared" ca="1" si="329"/>
        <v>0.12440352004293539</v>
      </c>
      <c r="NS54" s="242">
        <f t="shared" ca="1" si="330"/>
        <v>0.12440352004293539</v>
      </c>
      <c r="NT54" s="241">
        <f t="shared" ca="1" si="798"/>
        <v>1</v>
      </c>
      <c r="NU54" s="220">
        <f t="shared" ca="1" si="709"/>
        <v>0.87587705768398794</v>
      </c>
      <c r="NV54" s="220">
        <f t="shared" ca="1" si="710"/>
        <v>0</v>
      </c>
      <c r="NW54" s="235">
        <f t="shared" ca="1" si="334"/>
        <v>0.11909755966730703</v>
      </c>
      <c r="NX54" s="235">
        <f t="shared" ca="1" si="335"/>
        <v>0.11909755966730703</v>
      </c>
      <c r="NY54" s="242">
        <f t="shared" ca="1" si="336"/>
        <v>0.11909755966730703</v>
      </c>
      <c r="NZ54" s="241">
        <f t="shared" ca="1" si="798"/>
        <v>1</v>
      </c>
      <c r="OA54" s="220">
        <f t="shared" ca="1" si="711"/>
        <v>0.86723653050993543</v>
      </c>
      <c r="OB54" s="220">
        <f t="shared" ca="1" si="712"/>
        <v>0</v>
      </c>
      <c r="OC54" s="235">
        <f t="shared" ca="1" si="339"/>
        <v>0.11393493936346769</v>
      </c>
      <c r="OD54" s="235">
        <f t="shared" ca="1" si="340"/>
        <v>0.11393493936346769</v>
      </c>
      <c r="OE54" s="242">
        <f t="shared" ca="1" si="341"/>
        <v>0.11393493936346769</v>
      </c>
      <c r="OF54" s="241">
        <f t="shared" ca="1" si="798"/>
        <v>1</v>
      </c>
      <c r="OG54" s="220">
        <f t="shared" ca="1" si="713"/>
        <v>0.85802474408285889</v>
      </c>
      <c r="OH54" s="220">
        <f t="shared" ca="1" si="714"/>
        <v>0</v>
      </c>
      <c r="OI54" s="235">
        <f t="shared" ca="1" si="344"/>
        <v>0.10891277530197965</v>
      </c>
      <c r="OJ54" s="235">
        <f t="shared" ca="1" si="345"/>
        <v>0.10891277530197965</v>
      </c>
      <c r="OK54" s="242">
        <f t="shared" ca="1" si="346"/>
        <v>0.10891277530197965</v>
      </c>
      <c r="OL54" s="241">
        <f t="shared" ca="1" si="798"/>
        <v>1</v>
      </c>
      <c r="OM54" s="220">
        <f t="shared" ca="1" si="715"/>
        <v>0.84819349656515752</v>
      </c>
      <c r="ON54" s="220">
        <f t="shared" ca="1" si="716"/>
        <v>0</v>
      </c>
      <c r="OO54" s="235">
        <f t="shared" ca="1" si="349"/>
        <v>0.10402401229233778</v>
      </c>
      <c r="OP54" s="235">
        <f t="shared" ca="1" si="350"/>
        <v>0.10402401229233778</v>
      </c>
      <c r="OQ54" s="242">
        <f t="shared" ca="1" si="351"/>
        <v>0.10402401229233778</v>
      </c>
      <c r="OR54" s="241">
        <f t="shared" ca="1" si="798"/>
        <v>1</v>
      </c>
      <c r="OS54" s="220">
        <f t="shared" ca="1" si="717"/>
        <v>0.83771830688257787</v>
      </c>
      <c r="OT54" s="220">
        <f t="shared" ca="1" si="718"/>
        <v>0</v>
      </c>
      <c r="OU54" s="235">
        <f t="shared" ca="1" si="354"/>
        <v>9.9265039362828419E-2</v>
      </c>
      <c r="OV54" s="235">
        <f t="shared" ca="1" si="355"/>
        <v>9.9265039362828419E-2</v>
      </c>
      <c r="OW54" s="242">
        <f t="shared" ca="1" si="356"/>
        <v>9.9265039362828419E-2</v>
      </c>
      <c r="OX54" s="241">
        <f t="shared" ca="1" si="798"/>
        <v>1</v>
      </c>
      <c r="OY54" s="220">
        <f t="shared" ca="1" si="719"/>
        <v>0.82663110509098692</v>
      </c>
      <c r="OZ54" s="220">
        <f t="shared" ca="1" si="720"/>
        <v>0</v>
      </c>
      <c r="PA54" s="235">
        <f t="shared" ca="1" si="359"/>
        <v>9.4638904895518239E-2</v>
      </c>
      <c r="PB54" s="235">
        <f t="shared" ca="1" si="360"/>
        <v>9.4638904895518239E-2</v>
      </c>
      <c r="PC54" s="242">
        <f t="shared" ca="1" si="361"/>
        <v>9.4638904895518239E-2</v>
      </c>
      <c r="PD54" s="241">
        <f t="shared" ca="1" si="798"/>
        <v>1</v>
      </c>
      <c r="PE54" s="220">
        <f t="shared" ca="1" si="721"/>
        <v>0.81497808640251923</v>
      </c>
      <c r="PF54" s="220">
        <f t="shared" ca="1" si="722"/>
        <v>0</v>
      </c>
      <c r="PG54" s="235">
        <f t="shared" ca="1" si="364"/>
        <v>9.0149546138363415E-2</v>
      </c>
      <c r="PH54" s="235">
        <f t="shared" ca="1" si="365"/>
        <v>9.0149546138363415E-2</v>
      </c>
      <c r="PI54" s="242">
        <f t="shared" ca="1" si="366"/>
        <v>9.0149546138363415E-2</v>
      </c>
      <c r="PJ54" s="241">
        <f t="shared" ca="1" si="798"/>
        <v>1</v>
      </c>
      <c r="PK54" s="220">
        <f t="shared" ca="1" si="723"/>
        <v>0.80277052964629592</v>
      </c>
      <c r="PL54" s="220">
        <f t="shared" ca="1" si="724"/>
        <v>0</v>
      </c>
      <c r="PM54" s="235">
        <f t="shared" ca="1" si="369"/>
        <v>8.5796324721504238E-2</v>
      </c>
      <c r="PN54" s="235">
        <f t="shared" ca="1" si="370"/>
        <v>8.5796324721504238E-2</v>
      </c>
      <c r="PO54" s="242">
        <f t="shared" ca="1" si="371"/>
        <v>8.5796324721504238E-2</v>
      </c>
      <c r="PP54" s="241">
        <f t="shared" ca="1" si="573"/>
        <v>1</v>
      </c>
      <c r="PQ54" s="220">
        <f t="shared" ca="1" si="725"/>
        <v>0.78995269259943357</v>
      </c>
      <c r="PR54" s="220">
        <f t="shared" ca="1" si="726"/>
        <v>0</v>
      </c>
      <c r="PS54" s="235">
        <f t="shared" ca="1" si="374"/>
        <v>8.1571415270218356E-2</v>
      </c>
      <c r="PT54" s="235">
        <f t="shared" ca="1" si="375"/>
        <v>8.1571415270218356E-2</v>
      </c>
      <c r="PU54" s="242">
        <f t="shared" ca="1" si="376"/>
        <v>8.1571415270218356E-2</v>
      </c>
      <c r="PV54" s="241">
        <f t="shared" ca="1" si="573"/>
        <v>1</v>
      </c>
      <c r="PW54" s="220">
        <f t="shared" ca="1" si="727"/>
        <v>0.77643739198174988</v>
      </c>
      <c r="PX54" s="220">
        <f t="shared" ca="1" si="728"/>
        <v>0</v>
      </c>
      <c r="PY54" s="235">
        <f t="shared" ca="1" si="379"/>
        <v>7.7464550653488104E-2</v>
      </c>
      <c r="PZ54" s="235">
        <f t="shared" ca="1" si="380"/>
        <v>7.7464550653488104E-2</v>
      </c>
      <c r="QA54" s="242">
        <f t="shared" ca="1" si="381"/>
        <v>7.7464550653488104E-2</v>
      </c>
      <c r="QB54" s="241">
        <f t="shared" ref="QB54:SJ77" ca="1" si="799">IF(($B54+QB$2)&lt;SC_TargetRY,0,IF(($B54+QB$2)=SC_TargetRY,SC_AnnyPmntPr,IF(SP_AnnyTerms="Life",1,IF(($B54+QB$2)=(SC_TargetRY+SP_AnnyPeriod),SC_AnnyPmntPr-1,IF(($B54+QB$2)&gt;(SC_TargetRY+SP_AnnyPeriod),0,1)))))</f>
        <v>1</v>
      </c>
      <c r="QC54" s="220">
        <f t="shared" ca="1" si="729"/>
        <v>0.76215715546842155</v>
      </c>
      <c r="QD54" s="220">
        <f t="shared" ca="1" si="730"/>
        <v>0</v>
      </c>
      <c r="QE54" s="235">
        <f t="shared" ca="1" si="384"/>
        <v>7.3468427669438799E-2</v>
      </c>
      <c r="QF54" s="235">
        <f t="shared" ca="1" si="385"/>
        <v>7.3468427669438799E-2</v>
      </c>
      <c r="QG54" s="242">
        <f t="shared" ca="1" si="386"/>
        <v>7.3468427669438799E-2</v>
      </c>
      <c r="QH54" s="241">
        <f t="shared" ca="1" si="799"/>
        <v>1</v>
      </c>
      <c r="QI54" s="220">
        <f t="shared" ca="1" si="731"/>
        <v>0.74703900613254992</v>
      </c>
      <c r="QJ54" s="220">
        <f t="shared" ca="1" si="732"/>
        <v>0</v>
      </c>
      <c r="QK54" s="235">
        <f t="shared" ca="1" si="390"/>
        <v>6.9575949698732195E-2</v>
      </c>
      <c r="QL54" s="235">
        <f t="shared" ca="1" si="391"/>
        <v>6.9575949698732195E-2</v>
      </c>
      <c r="QM54" s="242">
        <f t="shared" ca="1" si="392"/>
        <v>6.9575949698732195E-2</v>
      </c>
      <c r="QN54" s="241">
        <f t="shared" ca="1" si="799"/>
        <v>1</v>
      </c>
      <c r="QO54" s="220">
        <f t="shared" ca="1" si="733"/>
        <v>0.73100381386591473</v>
      </c>
      <c r="QP54" s="220">
        <f t="shared" ca="1" si="734"/>
        <v>0</v>
      </c>
      <c r="QQ54" s="235">
        <f t="shared" ca="1" si="395"/>
        <v>6.5780195109612458E-2</v>
      </c>
      <c r="QR54" s="235">
        <f t="shared" ca="1" si="396"/>
        <v>6.5780195109612458E-2</v>
      </c>
      <c r="QS54" s="242">
        <f t="shared" ca="1" si="397"/>
        <v>6.5780195109612458E-2</v>
      </c>
      <c r="QT54" s="241">
        <f t="shared" ca="1" si="799"/>
        <v>1</v>
      </c>
      <c r="QU54" s="220">
        <f t="shared" ca="1" si="735"/>
        <v>0.71393414380833176</v>
      </c>
      <c r="QV54" s="220">
        <f t="shared" ca="1" si="736"/>
        <v>0</v>
      </c>
      <c r="QW54" s="235">
        <f t="shared" ca="1" si="400"/>
        <v>6.2071653887543876E-2</v>
      </c>
      <c r="QX54" s="235">
        <f t="shared" ca="1" si="401"/>
        <v>6.2071653887543876E-2</v>
      </c>
      <c r="QY54" s="242">
        <f t="shared" ca="1" si="402"/>
        <v>6.2071653887543876E-2</v>
      </c>
      <c r="QZ54" s="241">
        <f t="shared" ca="1" si="799"/>
        <v>1</v>
      </c>
      <c r="RA54" s="220">
        <f t="shared" ca="1" si="737"/>
        <v>0.69574167395580788</v>
      </c>
      <c r="RB54" s="220">
        <f t="shared" ca="1" si="738"/>
        <v>0</v>
      </c>
      <c r="RC54" s="235">
        <f t="shared" ca="1" si="405"/>
        <v>5.8444390341238162E-2</v>
      </c>
      <c r="RD54" s="235">
        <f t="shared" ca="1" si="406"/>
        <v>5.8444390341238162E-2</v>
      </c>
      <c r="RE54" s="242">
        <f t="shared" ca="1" si="407"/>
        <v>5.8444390341238162E-2</v>
      </c>
      <c r="RF54" s="241">
        <f t="shared" ca="1" si="799"/>
        <v>1</v>
      </c>
      <c r="RG54" s="220">
        <f t="shared" ca="1" si="739"/>
        <v>0.67640422986988014</v>
      </c>
      <c r="RH54" s="220">
        <f t="shared" ca="1" si="740"/>
        <v>0</v>
      </c>
      <c r="RI54" s="235">
        <f t="shared" ca="1" si="410"/>
        <v>5.4898538121829751E-2</v>
      </c>
      <c r="RJ54" s="235">
        <f t="shared" ca="1" si="411"/>
        <v>5.4898538121829751E-2</v>
      </c>
      <c r="RK54" s="242">
        <f t="shared" ca="1" si="412"/>
        <v>5.4898538121829751E-2</v>
      </c>
      <c r="RL54" s="241">
        <f t="shared" ca="1" si="799"/>
        <v>1</v>
      </c>
      <c r="RM54" s="220">
        <f t="shared" ca="1" si="741"/>
        <v>0.65592135698096043</v>
      </c>
      <c r="RN54" s="220">
        <f t="shared" ca="1" si="742"/>
        <v>0</v>
      </c>
      <c r="RO54" s="235">
        <f t="shared" ca="1" si="415"/>
        <v>5.1435845981086484E-2</v>
      </c>
      <c r="RP54" s="235">
        <f t="shared" ca="1" si="416"/>
        <v>5.1435845981086484E-2</v>
      </c>
      <c r="RQ54" s="242">
        <f t="shared" ca="1" si="417"/>
        <v>5.1435845981086484E-2</v>
      </c>
      <c r="RR54" s="241">
        <f t="shared" ca="1" si="799"/>
        <v>1</v>
      </c>
      <c r="RS54" s="220">
        <f t="shared" ca="1" si="743"/>
        <v>0.63426152193073515</v>
      </c>
      <c r="RT54" s="220">
        <f t="shared" ca="1" si="744"/>
        <v>0</v>
      </c>
      <c r="RU54" s="235">
        <f t="shared" ca="1" si="420"/>
        <v>4.8055392729564286E-2</v>
      </c>
      <c r="RV54" s="235">
        <f t="shared" ca="1" si="421"/>
        <v>4.8055392729564286E-2</v>
      </c>
      <c r="RW54" s="242">
        <f t="shared" ca="1" si="422"/>
        <v>4.8055392729564286E-2</v>
      </c>
      <c r="RX54" s="241">
        <f t="shared" ca="1" si="799"/>
        <v>1</v>
      </c>
      <c r="RY54" s="220">
        <f t="shared" ca="1" si="745"/>
        <v>0.61130062057532053</v>
      </c>
      <c r="RZ54" s="220">
        <f t="shared" ca="1" si="746"/>
        <v>0</v>
      </c>
      <c r="SA54" s="235">
        <f t="shared" ca="1" si="425"/>
        <v>4.4749506722088245E-2</v>
      </c>
      <c r="SB54" s="235">
        <f t="shared" ca="1" si="426"/>
        <v>4.4749506722088245E-2</v>
      </c>
      <c r="SC54" s="242">
        <f t="shared" ca="1" si="427"/>
        <v>4.4749506722088245E-2</v>
      </c>
      <c r="SD54" s="241">
        <f t="shared" ca="1" si="799"/>
        <v>1</v>
      </c>
      <c r="SE54" s="220">
        <f t="shared" ca="1" si="747"/>
        <v>0.58693540044042947</v>
      </c>
      <c r="SF54" s="220">
        <f t="shared" ca="1" si="748"/>
        <v>0</v>
      </c>
      <c r="SG54" s="235">
        <f t="shared" ca="1" si="430"/>
        <v>4.1512928389525854E-2</v>
      </c>
      <c r="SH54" s="235">
        <f t="shared" ca="1" si="431"/>
        <v>4.1512928389525854E-2</v>
      </c>
      <c r="SI54" s="242">
        <f t="shared" ca="1" si="432"/>
        <v>4.1512928389525854E-2</v>
      </c>
      <c r="SJ54" s="241">
        <f t="shared" ca="1" si="799"/>
        <v>1</v>
      </c>
      <c r="SK54" s="220">
        <f t="shared" ca="1" si="749"/>
        <v>0.56117421877969853</v>
      </c>
      <c r="SL54" s="220">
        <f t="shared" ca="1" si="750"/>
        <v>0</v>
      </c>
      <c r="SM54" s="235">
        <f t="shared" ca="1" si="435"/>
        <v>3.8348680627614658E-2</v>
      </c>
      <c r="SN54" s="235">
        <f t="shared" ca="1" si="436"/>
        <v>3.8348680627614658E-2</v>
      </c>
      <c r="SO54" s="242">
        <f t="shared" ca="1" si="437"/>
        <v>3.8348680627614658E-2</v>
      </c>
      <c r="SP54" s="241">
        <f t="shared" ca="1" si="576"/>
        <v>1</v>
      </c>
      <c r="SQ54" s="220">
        <f t="shared" ca="1" si="751"/>
        <v>0.5340633310962325</v>
      </c>
      <c r="SR54" s="220">
        <f t="shared" ca="1" si="752"/>
        <v>0</v>
      </c>
      <c r="SS54" s="235">
        <f t="shared" ca="1" si="440"/>
        <v>3.5261852674216394E-2</v>
      </c>
      <c r="ST54" s="235">
        <f t="shared" ca="1" si="441"/>
        <v>3.5261852674216394E-2</v>
      </c>
      <c r="SU54" s="242">
        <f t="shared" ca="1" si="442"/>
        <v>3.5261852674216394E-2</v>
      </c>
      <c r="SV54" s="241">
        <f t="shared" ca="1" si="576"/>
        <v>1</v>
      </c>
      <c r="SW54" s="220">
        <f t="shared" ca="1" si="753"/>
        <v>0.50563620810864218</v>
      </c>
      <c r="SX54" s="220">
        <f t="shared" ca="1" si="754"/>
        <v>0</v>
      </c>
      <c r="SY54" s="235">
        <f t="shared" ca="1" si="446"/>
        <v>3.2255975632920972E-2</v>
      </c>
      <c r="SZ54" s="235">
        <f t="shared" ca="1" si="447"/>
        <v>3.2255975632920972E-2</v>
      </c>
      <c r="TA54" s="242">
        <f t="shared" ca="1" si="448"/>
        <v>3.2255975632920972E-2</v>
      </c>
      <c r="TB54" s="241">
        <f t="shared" ca="1" si="576"/>
        <v>1</v>
      </c>
      <c r="TC54" s="220">
        <f t="shared" ca="1" si="755"/>
        <v>0.47585575235966748</v>
      </c>
      <c r="TD54" s="220">
        <f t="shared" ca="1" si="756"/>
        <v>0</v>
      </c>
      <c r="TE54" s="235">
        <f t="shared" ca="1" si="451"/>
        <v>2.9329657426153458E-2</v>
      </c>
      <c r="TF54" s="235">
        <f t="shared" ca="1" si="452"/>
        <v>2.9329657426153458E-2</v>
      </c>
      <c r="TG54" s="242">
        <f t="shared" ca="1" si="453"/>
        <v>2.9329657426153458E-2</v>
      </c>
      <c r="TH54" s="241">
        <f t="shared" ca="1" si="576"/>
        <v>1</v>
      </c>
      <c r="TI54" s="220">
        <f t="shared" ca="1" si="757"/>
        <v>0.4447514411066778</v>
      </c>
      <c r="TJ54" s="220">
        <f t="shared" ca="1" si="758"/>
        <v>0</v>
      </c>
      <c r="TK54" s="235">
        <f t="shared" ca="1" si="456"/>
        <v>2.6485530790814431E-2</v>
      </c>
      <c r="TL54" s="235">
        <f t="shared" ca="1" si="457"/>
        <v>2.6485530790814431E-2</v>
      </c>
      <c r="TM54" s="242">
        <f t="shared" ca="1" si="458"/>
        <v>2.6485530790814431E-2</v>
      </c>
      <c r="TN54" s="241">
        <f t="shared" ca="1" si="576"/>
        <v>1</v>
      </c>
      <c r="TO54" s="220">
        <f t="shared" ca="1" si="759"/>
        <v>0.41251096438941365</v>
      </c>
      <c r="TP54" s="220">
        <f t="shared" ca="1" si="760"/>
        <v>0</v>
      </c>
      <c r="TQ54" s="235">
        <f t="shared" ca="1" si="461"/>
        <v>2.3734848481408222E-2</v>
      </c>
      <c r="TR54" s="235">
        <f t="shared" ca="1" si="462"/>
        <v>2.3734848481408222E-2</v>
      </c>
      <c r="TS54" s="242">
        <f t="shared" ca="1" si="463"/>
        <v>2.3734848481408222E-2</v>
      </c>
      <c r="TT54" s="241">
        <f t="shared" ca="1" si="576"/>
        <v>1</v>
      </c>
      <c r="TU54" s="220">
        <f t="shared" ca="1" si="761"/>
        <v>0.37939128408051637</v>
      </c>
      <c r="TV54" s="220">
        <f t="shared" ca="1" si="762"/>
        <v>0</v>
      </c>
      <c r="TW54" s="235">
        <f t="shared" ca="1" si="466"/>
        <v>2.1091038615007652E-2</v>
      </c>
      <c r="TX54" s="235">
        <f t="shared" ca="1" si="467"/>
        <v>2.1091038615007652E-2</v>
      </c>
      <c r="TY54" s="242">
        <f t="shared" ca="1" si="468"/>
        <v>2.1091038615007652E-2</v>
      </c>
      <c r="TZ54" s="241">
        <f t="shared" ca="1" si="576"/>
        <v>1</v>
      </c>
      <c r="UA54" s="220">
        <f t="shared" ca="1" si="763"/>
        <v>0.34565732866521315</v>
      </c>
      <c r="UB54" s="220">
        <f t="shared" ca="1" si="764"/>
        <v>0</v>
      </c>
      <c r="UC54" s="235">
        <f t="shared" ca="1" si="471"/>
        <v>1.8565901280691431E-2</v>
      </c>
      <c r="UD54" s="235">
        <f t="shared" ca="1" si="472"/>
        <v>1.8565901280691431E-2</v>
      </c>
      <c r="UE54" s="242">
        <f t="shared" ca="1" si="473"/>
        <v>1.8565901280691431E-2</v>
      </c>
      <c r="UF54" s="241">
        <f t="shared" ca="1" si="576"/>
        <v>1</v>
      </c>
      <c r="UG54" s="220">
        <f t="shared" ca="1" si="765"/>
        <v>0.31158381183471112</v>
      </c>
      <c r="UH54" s="220">
        <f t="shared" ca="1" si="766"/>
        <v>0</v>
      </c>
      <c r="UI54" s="235">
        <f t="shared" ca="1" si="476"/>
        <v>1.6169805793281151E-2</v>
      </c>
      <c r="UJ54" s="235">
        <f t="shared" ca="1" si="477"/>
        <v>1.6169805793281151E-2</v>
      </c>
      <c r="UK54" s="242">
        <f t="shared" ca="1" si="478"/>
        <v>1.6169805793281151E-2</v>
      </c>
      <c r="UL54" s="241">
        <f t="shared" ca="1" si="576"/>
        <v>1</v>
      </c>
      <c r="UM54" s="220">
        <f t="shared" ca="1" si="767"/>
        <v>0.27748470263514402</v>
      </c>
      <c r="UN54" s="220">
        <f t="shared" ca="1" si="768"/>
        <v>0</v>
      </c>
      <c r="UO54" s="235">
        <f t="shared" ca="1" si="481"/>
        <v>1.3913250808575896E-2</v>
      </c>
      <c r="UP54" s="235">
        <f t="shared" ca="1" si="482"/>
        <v>1.3913250808575896E-2</v>
      </c>
      <c r="UQ54" s="242">
        <f t="shared" ca="1" si="483"/>
        <v>1.3913250808575896E-2</v>
      </c>
      <c r="UR54" s="241">
        <f t="shared" ca="1" si="576"/>
        <v>1</v>
      </c>
      <c r="US54" s="220">
        <f t="shared" ca="1" si="769"/>
        <v>0.24373729058536042</v>
      </c>
      <c r="UT54" s="220">
        <f t="shared" ca="1" si="770"/>
        <v>0</v>
      </c>
      <c r="UU54" s="235">
        <f t="shared" ca="1" si="486"/>
        <v>1.1807860056509861E-2</v>
      </c>
      <c r="UV54" s="235">
        <f t="shared" ca="1" si="487"/>
        <v>1.1807860056509861E-2</v>
      </c>
      <c r="UW54" s="242">
        <f t="shared" ca="1" si="488"/>
        <v>1.1807860056509861E-2</v>
      </c>
      <c r="UX54" s="241">
        <f t="shared" ca="1" si="576"/>
        <v>1</v>
      </c>
      <c r="UY54" s="220">
        <f t="shared" ca="1" si="771"/>
        <v>0.21078985859319374</v>
      </c>
      <c r="UZ54" s="220">
        <f t="shared" ca="1" si="772"/>
        <v>0</v>
      </c>
      <c r="VA54" s="235">
        <f t="shared" ca="1" si="491"/>
        <v>9.866396874889936E-3</v>
      </c>
      <c r="VB54" s="235">
        <f t="shared" ca="1" si="492"/>
        <v>9.866396874889936E-3</v>
      </c>
      <c r="VC54" s="242">
        <f t="shared" ca="1" si="493"/>
        <v>9.866396874889936E-3</v>
      </c>
      <c r="VD54" s="241">
        <f t="shared" ca="1" si="574"/>
        <v>1</v>
      </c>
      <c r="VE54" s="220">
        <f t="shared" ca="1" si="773"/>
        <v>0.17914840370962801</v>
      </c>
      <c r="VF54" s="220">
        <f t="shared" ca="1" si="774"/>
        <v>0</v>
      </c>
      <c r="VG54" s="235">
        <f t="shared" ca="1" si="496"/>
        <v>8.1017989433788233E-3</v>
      </c>
      <c r="VH54" s="235">
        <f t="shared" ca="1" si="497"/>
        <v>8.1017989433788233E-3</v>
      </c>
      <c r="VI54" s="242">
        <f t="shared" ca="1" si="498"/>
        <v>8.1017989433788233E-3</v>
      </c>
      <c r="VJ54" s="241">
        <f t="shared" ca="1" si="567"/>
        <v>1</v>
      </c>
      <c r="VK54" s="220">
        <f t="shared" ca="1" si="775"/>
        <v>0.14933864677755704</v>
      </c>
      <c r="VL54" s="220">
        <f t="shared" ca="1" si="776"/>
        <v>0</v>
      </c>
      <c r="VM54" s="235">
        <f t="shared" ca="1" si="502"/>
        <v>6.5252984585482295E-3</v>
      </c>
      <c r="VN54" s="235">
        <f t="shared" ca="1" si="503"/>
        <v>6.5252984585482295E-3</v>
      </c>
      <c r="VO54" s="242">
        <f t="shared" ca="1" si="504"/>
        <v>6.5252984585482295E-3</v>
      </c>
      <c r="VP54" s="241">
        <f t="shared" ca="1" si="567"/>
        <v>1</v>
      </c>
      <c r="VQ54" s="220">
        <f t="shared" ca="1" si="777"/>
        <v>0.12186078378642688</v>
      </c>
      <c r="VR54" s="220">
        <f t="shared" ca="1" si="778"/>
        <v>0</v>
      </c>
      <c r="VS54" s="235">
        <f t="shared" ca="1" si="507"/>
        <v>5.1446020464451514E-3</v>
      </c>
      <c r="VT54" s="235">
        <f t="shared" ca="1" si="508"/>
        <v>5.1446020464451514E-3</v>
      </c>
      <c r="VU54" s="242">
        <f t="shared" ca="1" si="509"/>
        <v>5.1446020464451514E-3</v>
      </c>
      <c r="VV54" s="241">
        <f t="shared" ca="1" si="578"/>
        <v>1</v>
      </c>
      <c r="VW54" s="220">
        <f t="shared" ca="1" si="779"/>
        <v>9.714071449143126E-2</v>
      </c>
      <c r="VX54" s="220">
        <f t="shared" ca="1" si="780"/>
        <v>0</v>
      </c>
      <c r="VY54" s="235">
        <f t="shared" ca="1" si="512"/>
        <v>3.9623128486120972E-3</v>
      </c>
      <c r="VZ54" s="235">
        <f t="shared" ca="1" si="513"/>
        <v>3.9623128486120972E-3</v>
      </c>
      <c r="WA54" s="242">
        <f t="shared" ca="1" si="514"/>
        <v>3.9623128486120972E-3</v>
      </c>
      <c r="WB54" s="241">
        <f t="shared" ca="1" si="578"/>
        <v>1</v>
      </c>
      <c r="WC54" s="220">
        <f t="shared" ca="1" si="781"/>
        <v>7.5486980683431834E-2</v>
      </c>
      <c r="WD54" s="220">
        <f t="shared" ca="1" si="782"/>
        <v>0</v>
      </c>
      <c r="WE54" s="235">
        <f t="shared" ca="1" si="517"/>
        <v>2.9749465982754843E-3</v>
      </c>
      <c r="WF54" s="235">
        <f t="shared" ca="1" si="518"/>
        <v>2.9749465982754843E-3</v>
      </c>
      <c r="WG54" s="242">
        <f t="shared" ca="1" si="519"/>
        <v>2.9749465982754843E-3</v>
      </c>
      <c r="WH54" s="241">
        <f t="shared" ca="1" si="578"/>
        <v>1</v>
      </c>
      <c r="WI54" s="220">
        <f t="shared" ca="1" si="783"/>
        <v>5.7061061620490225E-2</v>
      </c>
      <c r="WJ54" s="220">
        <f t="shared" ca="1" si="784"/>
        <v>0</v>
      </c>
      <c r="WK54" s="235">
        <f t="shared" ca="1" si="522"/>
        <v>2.1727342833971291E-3</v>
      </c>
      <c r="WL54" s="235">
        <f t="shared" ca="1" si="523"/>
        <v>2.1727342833971291E-3</v>
      </c>
      <c r="WM54" s="242">
        <f t="shared" ca="1" si="524"/>
        <v>2.1727342833971291E-3</v>
      </c>
      <c r="WN54" s="241">
        <f t="shared" ca="1" si="578"/>
        <v>1</v>
      </c>
      <c r="WO54" s="220">
        <f t="shared" ca="1" si="785"/>
        <v>4.1934687734452851E-2</v>
      </c>
      <c r="WP54" s="220">
        <f t="shared" ca="1" si="786"/>
        <v>0</v>
      </c>
      <c r="WQ54" s="235">
        <f t="shared" ca="1" si="527"/>
        <v>1.5427651975624165E-3</v>
      </c>
      <c r="WR54" s="235">
        <f t="shared" ca="1" si="528"/>
        <v>1.5427651975624165E-3</v>
      </c>
      <c r="WS54" s="242">
        <f t="shared" ca="1" si="529"/>
        <v>1.5427651975624165E-3</v>
      </c>
      <c r="WT54" s="241">
        <f t="shared" ca="1" si="578"/>
        <v>1</v>
      </c>
      <c r="WU54" s="220">
        <f t="shared" ca="1" si="787"/>
        <v>2.9961998908764689E-2</v>
      </c>
      <c r="WV54" s="220">
        <f t="shared" ca="1" si="788"/>
        <v>0</v>
      </c>
      <c r="WW54" s="235">
        <f t="shared" ca="1" si="532"/>
        <v>1.0650177696007403E-3</v>
      </c>
      <c r="WX54" s="235">
        <f t="shared" ca="1" si="533"/>
        <v>1.0650177696007403E-3</v>
      </c>
      <c r="WY54" s="242">
        <f t="shared" ca="1" si="534"/>
        <v>1.0650177696007403E-3</v>
      </c>
      <c r="WZ54" s="241">
        <f t="shared" ca="1" si="578"/>
        <v>1</v>
      </c>
      <c r="XA54" s="220">
        <f t="shared" ca="1" si="789"/>
        <v>2.0825806429510707E-2</v>
      </c>
      <c r="XB54" s="220">
        <f t="shared" ca="1" si="790"/>
        <v>0</v>
      </c>
      <c r="XC54" s="235">
        <f t="shared" ca="1" si="537"/>
        <v>7.1523300597822715E-4</v>
      </c>
      <c r="XD54" s="235">
        <f t="shared" ca="1" si="538"/>
        <v>7.1523300597822715E-4</v>
      </c>
      <c r="XE54" s="242">
        <f t="shared" ca="1" si="539"/>
        <v>7.1523300597822715E-4</v>
      </c>
      <c r="XF54" s="241">
        <f t="shared" ca="1" si="578"/>
        <v>1</v>
      </c>
      <c r="XG54" s="220">
        <f t="shared" ca="1" si="791"/>
        <v>1.410075784309954E-2</v>
      </c>
      <c r="XH54" s="220">
        <f t="shared" ca="1" si="792"/>
        <v>0</v>
      </c>
      <c r="XI54" s="235">
        <f t="shared" ca="1" si="542"/>
        <v>4.6789437576883483E-4</v>
      </c>
      <c r="XJ54" s="235">
        <f t="shared" ca="1" si="543"/>
        <v>4.6789437576883483E-4</v>
      </c>
      <c r="XK54" s="242">
        <f t="shared" ca="1" si="544"/>
        <v>4.6789437576883483E-4</v>
      </c>
    </row>
    <row r="55" spans="2:635" x14ac:dyDescent="0.25">
      <c r="B55" s="65">
        <f t="shared" ca="1" si="14"/>
        <v>2070</v>
      </c>
      <c r="C55" s="65" t="s">
        <v>741</v>
      </c>
      <c r="D55" s="77">
        <f t="shared" si="580"/>
        <v>0</v>
      </c>
      <c r="E55" s="77">
        <f t="shared" si="581"/>
        <v>0</v>
      </c>
      <c r="F55" s="77" t="b">
        <f t="shared" si="793"/>
        <v>0</v>
      </c>
      <c r="G55" s="77" t="b">
        <f t="shared" si="794"/>
        <v>0</v>
      </c>
      <c r="H55" s="15" t="e">
        <f t="shared" ca="1" si="582"/>
        <v>#REF!</v>
      </c>
      <c r="L55" s="326">
        <f t="shared" ca="1" si="583"/>
        <v>3.5000000000000003E-2</v>
      </c>
      <c r="M55" s="327">
        <f t="shared" ca="1" si="584"/>
        <v>3.5000000000000003E-2</v>
      </c>
      <c r="N55" s="322">
        <f t="shared" ca="1" si="579"/>
        <v>-47</v>
      </c>
      <c r="O55" s="322">
        <f t="shared" ca="1" si="585"/>
        <v>0</v>
      </c>
      <c r="P55" s="328">
        <f t="shared" ca="1" si="545"/>
        <v>26.87829936156087</v>
      </c>
      <c r="Q55" s="328">
        <f t="shared" ca="1" si="546"/>
        <v>26.87829936156087</v>
      </c>
      <c r="R55" s="328">
        <f t="shared" ca="1" si="547"/>
        <v>26.87829936156087</v>
      </c>
      <c r="S55" s="329">
        <f t="shared" ca="1" si="586"/>
        <v>3.8642415640549425E-2</v>
      </c>
      <c r="T55" s="329">
        <f t="shared" ca="1" si="587"/>
        <v>3.8642415640549425E-2</v>
      </c>
      <c r="U55" s="329">
        <f t="shared" ca="1" si="588"/>
        <v>3.8642415640549425E-2</v>
      </c>
      <c r="V55" s="320" t="e">
        <f t="shared" ca="1" si="589"/>
        <v>#REF!</v>
      </c>
      <c r="W55" s="320" t="e">
        <f t="shared" ca="1" si="560"/>
        <v>#REF!</v>
      </c>
      <c r="X55" s="320" t="e">
        <f t="shared" ca="1" si="590"/>
        <v>#REF!</v>
      </c>
      <c r="Y55" s="320" t="e">
        <f ca="1">INDEX(SC_ZA_HECMLumpSum,ZAIDX)</f>
        <v>#REF!</v>
      </c>
      <c r="Z55" s="320" t="e">
        <f t="shared" ca="1" si="591"/>
        <v>#REF!</v>
      </c>
      <c r="AA55" s="320" t="e">
        <f t="shared" ca="1" si="557"/>
        <v>#REF!</v>
      </c>
      <c r="AB55" s="320" t="e">
        <f t="shared" ca="1" si="558"/>
        <v>#REF!</v>
      </c>
      <c r="AC55" s="330" t="e">
        <f t="shared" ca="1" si="559"/>
        <v>#REF!</v>
      </c>
      <c r="AD55" s="236" t="e">
        <f t="shared" ca="1" si="548"/>
        <v>#REF!</v>
      </c>
      <c r="AE55" s="320" t="e">
        <f t="shared" ca="1" si="561"/>
        <v>#REF!</v>
      </c>
      <c r="AF55" s="320" t="e">
        <f t="shared" ca="1" si="592"/>
        <v>#REF!</v>
      </c>
      <c r="AG55" s="320" t="e">
        <f t="shared" ca="1" si="549"/>
        <v>#REF!</v>
      </c>
      <c r="AH55" s="284" t="e">
        <f t="shared" ca="1" si="550"/>
        <v>#REF!</v>
      </c>
      <c r="AI55" s="318" t="e">
        <f t="shared" ca="1" si="551"/>
        <v>#REF!</v>
      </c>
      <c r="AJ55" s="331">
        <f t="shared" ca="1" si="575"/>
        <v>1</v>
      </c>
      <c r="AK55" s="220">
        <f t="shared" ca="1" si="593"/>
        <v>1</v>
      </c>
      <c r="AL55" s="220">
        <f t="shared" ca="1" si="594"/>
        <v>0</v>
      </c>
      <c r="AM55" s="235">
        <f t="shared" ca="1" si="554"/>
        <v>1</v>
      </c>
      <c r="AN55" s="235">
        <f t="shared" ca="1" si="555"/>
        <v>1</v>
      </c>
      <c r="AO55" s="242">
        <f t="shared" ca="1" si="556"/>
        <v>1</v>
      </c>
      <c r="AP55" s="241">
        <f t="shared" ca="1" si="575"/>
        <v>1</v>
      </c>
      <c r="AQ55" s="220">
        <f t="shared" ca="1" si="595"/>
        <v>0.99361699999999997</v>
      </c>
      <c r="AR55" s="220">
        <f t="shared" ca="1" si="596"/>
        <v>0</v>
      </c>
      <c r="AS55" s="235">
        <f t="shared" ca="1" si="43"/>
        <v>0.96001642512077301</v>
      </c>
      <c r="AT55" s="235">
        <f t="shared" ca="1" si="44"/>
        <v>0.96001642512077301</v>
      </c>
      <c r="AU55" s="242">
        <f t="shared" ca="1" si="45"/>
        <v>0.96001642512077301</v>
      </c>
      <c r="AV55" s="241">
        <f t="shared" ref="AV55:DD78" ca="1" si="800">IF(($B55+AV$2)&lt;SC_TargetRY,0,IF(($B55+AV$2)=SC_TargetRY,SC_AnnyPmntPr,IF(SP_AnnyTerms="Life",1,IF(($B55+AV$2)=(SC_TargetRY+SP_AnnyPeriod),SC_AnnyPmntPr-1,IF(($B55+AV$2)&gt;(SC_TargetRY+SP_AnnyPeriod),0,1)))))</f>
        <v>1</v>
      </c>
      <c r="AW55" s="220">
        <f t="shared" ca="1" si="597"/>
        <v>0.99316689149899995</v>
      </c>
      <c r="AX55" s="220">
        <f t="shared" ca="1" si="598"/>
        <v>0</v>
      </c>
      <c r="AY55" s="235">
        <f t="shared" ca="1" si="48"/>
        <v>0.92713192046395487</v>
      </c>
      <c r="AZ55" s="235">
        <f t="shared" ca="1" si="49"/>
        <v>0.92713192046395487</v>
      </c>
      <c r="BA55" s="242">
        <f t="shared" ca="1" si="50"/>
        <v>0.92713192046395487</v>
      </c>
      <c r="BB55" s="241">
        <f t="shared" ca="1" si="800"/>
        <v>1</v>
      </c>
      <c r="BC55" s="220">
        <f t="shared" ca="1" si="599"/>
        <v>0.99288681843559723</v>
      </c>
      <c r="BD55" s="220">
        <f t="shared" ca="1" si="600"/>
        <v>0</v>
      </c>
      <c r="BE55" s="235">
        <f t="shared" ca="1" si="54"/>
        <v>0.89552702344191704</v>
      </c>
      <c r="BF55" s="235">
        <f t="shared" ca="1" si="55"/>
        <v>0.89552702344191704</v>
      </c>
      <c r="BG55" s="242">
        <f t="shared" ca="1" si="56"/>
        <v>0.89552702344191704</v>
      </c>
      <c r="BH55" s="241">
        <f t="shared" ca="1" si="800"/>
        <v>1</v>
      </c>
      <c r="BI55" s="220">
        <f t="shared" ca="1" si="601"/>
        <v>0.99265845446735712</v>
      </c>
      <c r="BJ55" s="220">
        <f t="shared" ca="1" si="602"/>
        <v>0</v>
      </c>
      <c r="BK55" s="235">
        <f t="shared" ca="1" si="59"/>
        <v>0.86504449490485558</v>
      </c>
      <c r="BL55" s="235">
        <f t="shared" ca="1" si="60"/>
        <v>0.86504449490485558</v>
      </c>
      <c r="BM55" s="242">
        <f t="shared" ca="1" si="61"/>
        <v>0.86504449490485558</v>
      </c>
      <c r="BN55" s="241">
        <f t="shared" ca="1" si="800"/>
        <v>1</v>
      </c>
      <c r="BO55" s="220">
        <f t="shared" ca="1" si="603"/>
        <v>0.99249069518855215</v>
      </c>
      <c r="BP55" s="220">
        <f t="shared" ca="1" si="604"/>
        <v>0</v>
      </c>
      <c r="BQ55" s="235">
        <f t="shared" ca="1" si="64"/>
        <v>0.83565053370552345</v>
      </c>
      <c r="BR55" s="235">
        <f t="shared" ca="1" si="65"/>
        <v>0.83565053370552345</v>
      </c>
      <c r="BS55" s="242">
        <f t="shared" ca="1" si="66"/>
        <v>0.83565053370552345</v>
      </c>
      <c r="BT55" s="241">
        <f t="shared" ca="1" si="800"/>
        <v>1</v>
      </c>
      <c r="BU55" s="220">
        <f t="shared" ca="1" si="605"/>
        <v>0.99233685913079794</v>
      </c>
      <c r="BV55" s="220">
        <f t="shared" ca="1" si="606"/>
        <v>0</v>
      </c>
      <c r="BW55" s="235">
        <f t="shared" ca="1" si="69"/>
        <v>0.80726667427323584</v>
      </c>
      <c r="BX55" s="235">
        <f t="shared" ca="1" si="70"/>
        <v>0.80726667427323584</v>
      </c>
      <c r="BY55" s="242">
        <f t="shared" ca="1" si="71"/>
        <v>0.80726667427323584</v>
      </c>
      <c r="BZ55" s="241">
        <f t="shared" ca="1" si="800"/>
        <v>1</v>
      </c>
      <c r="CA55" s="220">
        <f t="shared" ca="1" si="607"/>
        <v>0.992192970286224</v>
      </c>
      <c r="CB55" s="220">
        <f t="shared" ca="1" si="608"/>
        <v>0</v>
      </c>
      <c r="CC55" s="235">
        <f t="shared" ca="1" si="74"/>
        <v>0.7798547058990013</v>
      </c>
      <c r="CD55" s="235">
        <f t="shared" ca="1" si="75"/>
        <v>0.7798547058990013</v>
      </c>
      <c r="CE55" s="242">
        <f t="shared" ca="1" si="76"/>
        <v>0.7798547058990013</v>
      </c>
      <c r="CF55" s="241">
        <f t="shared" ca="1" si="800"/>
        <v>1</v>
      </c>
      <c r="CG55" s="220">
        <f t="shared" ca="1" si="609"/>
        <v>0.9920590242352354</v>
      </c>
      <c r="CH55" s="220">
        <f t="shared" ca="1" si="610"/>
        <v>0</v>
      </c>
      <c r="CI55" s="235">
        <f t="shared" ca="1" si="79"/>
        <v>0.75338108745285515</v>
      </c>
      <c r="CJ55" s="235">
        <f t="shared" ca="1" si="80"/>
        <v>0.75338108745285515</v>
      </c>
      <c r="CK55" s="242">
        <f t="shared" ca="1" si="81"/>
        <v>0.75338108745285515</v>
      </c>
      <c r="CL55" s="241">
        <f t="shared" ca="1" si="800"/>
        <v>1</v>
      </c>
      <c r="CM55" s="220">
        <f t="shared" ca="1" si="611"/>
        <v>0.99193997715232718</v>
      </c>
      <c r="CN55" s="220">
        <f t="shared" ca="1" si="612"/>
        <v>0</v>
      </c>
      <c r="CO55" s="235">
        <f t="shared" ca="1" si="84"/>
        <v>0.72781708378972065</v>
      </c>
      <c r="CP55" s="235">
        <f t="shared" ca="1" si="85"/>
        <v>0.72781708378972065</v>
      </c>
      <c r="CQ55" s="242">
        <f t="shared" ca="1" si="86"/>
        <v>0.72781708378972065</v>
      </c>
      <c r="CR55" s="241">
        <f t="shared" ca="1" si="800"/>
        <v>1</v>
      </c>
      <c r="CS55" s="220">
        <f t="shared" ca="1" si="613"/>
        <v>0.99183582345472621</v>
      </c>
      <c r="CT55" s="220">
        <f t="shared" ca="1" si="614"/>
        <v>0</v>
      </c>
      <c r="CU55" s="235">
        <f t="shared" ca="1" si="89"/>
        <v>0.70313107535837949</v>
      </c>
      <c r="CV55" s="235">
        <f t="shared" ca="1" si="90"/>
        <v>0.70313107535837949</v>
      </c>
      <c r="CW55" s="242">
        <f t="shared" ca="1" si="91"/>
        <v>0.70313107535837949</v>
      </c>
      <c r="CX55" s="241">
        <f t="shared" ca="1" si="800"/>
        <v>1</v>
      </c>
      <c r="CY55" s="220">
        <f t="shared" ca="1" si="615"/>
        <v>0.99174259088732142</v>
      </c>
      <c r="CZ55" s="220">
        <f t="shared" ca="1" si="616"/>
        <v>0</v>
      </c>
      <c r="DA55" s="235">
        <f t="shared" ca="1" si="94"/>
        <v>0.6792898367510104</v>
      </c>
      <c r="DB55" s="235">
        <f t="shared" ca="1" si="95"/>
        <v>0.6792898367510104</v>
      </c>
      <c r="DC55" s="242">
        <f t="shared" ca="1" si="96"/>
        <v>0.6792898367510104</v>
      </c>
      <c r="DD55" s="241">
        <f t="shared" ca="1" si="800"/>
        <v>1</v>
      </c>
      <c r="DE55" s="220">
        <f t="shared" ca="1" si="617"/>
        <v>0.99164440837082357</v>
      </c>
      <c r="DF55" s="220">
        <f t="shared" ca="1" si="618"/>
        <v>0</v>
      </c>
      <c r="DG55" s="235">
        <f t="shared" ca="1" si="99"/>
        <v>0.65625370730161559</v>
      </c>
      <c r="DH55" s="235">
        <f t="shared" ca="1" si="100"/>
        <v>0.65625370730161559</v>
      </c>
      <c r="DI55" s="242">
        <f t="shared" ca="1" si="101"/>
        <v>0.65625370730161559</v>
      </c>
      <c r="DJ55" s="241">
        <f t="shared" ca="1" si="51"/>
        <v>1</v>
      </c>
      <c r="DK55" s="220">
        <f t="shared" ca="1" si="619"/>
        <v>0.9915115280201019</v>
      </c>
      <c r="DL55" s="220">
        <f t="shared" ca="1" si="620"/>
        <v>0</v>
      </c>
      <c r="DM55" s="235">
        <f t="shared" ca="1" si="104"/>
        <v>0.63397658870032592</v>
      </c>
      <c r="DN55" s="235">
        <f t="shared" ca="1" si="105"/>
        <v>0.63397658870032592</v>
      </c>
      <c r="DO55" s="242">
        <f t="shared" ca="1" si="106"/>
        <v>0.63397658870032592</v>
      </c>
      <c r="DP55" s="241">
        <f t="shared" ref="DP55:FX86" ca="1" si="801">IF(($B55+DP$2)&lt;SC_TargetRY,0,IF(($B55+DP$2)=SC_TargetRY,SC_AnnyPmntPr,IF(SP_AnnyTerms="Life",1,IF(($B55+DP$2)=(SC_TargetRY+SP_AnnyPeriod),SC_AnnyPmntPr-1,IF(($B55+DP$2)&gt;(SC_TargetRY+SP_AnnyPeriod),0,1)))))</f>
        <v>1</v>
      </c>
      <c r="DQ55" s="220">
        <f t="shared" ca="1" si="621"/>
        <v>0.99130628513380181</v>
      </c>
      <c r="DR55" s="220">
        <f t="shared" ca="1" si="622"/>
        <v>0</v>
      </c>
      <c r="DS55" s="235">
        <f t="shared" ca="1" si="110"/>
        <v>0.61241097154247814</v>
      </c>
      <c r="DT55" s="235">
        <f t="shared" ca="1" si="111"/>
        <v>0.61241097154247814</v>
      </c>
      <c r="DU55" s="242">
        <f t="shared" ca="1" si="112"/>
        <v>0.61241097154247814</v>
      </c>
      <c r="DV55" s="241">
        <f t="shared" ca="1" si="801"/>
        <v>1</v>
      </c>
      <c r="DW55" s="220">
        <f t="shared" ca="1" si="623"/>
        <v>0.9909999714916955</v>
      </c>
      <c r="DX55" s="220">
        <f t="shared" ca="1" si="624"/>
        <v>0</v>
      </c>
      <c r="DY55" s="235">
        <f t="shared" ca="1" si="115"/>
        <v>0.59151858604084218</v>
      </c>
      <c r="DZ55" s="235">
        <f t="shared" ca="1" si="116"/>
        <v>0.59151858604084218</v>
      </c>
      <c r="EA55" s="242">
        <f t="shared" ca="1" si="117"/>
        <v>0.59151858604084218</v>
      </c>
      <c r="EB55" s="241">
        <f t="shared" ca="1" si="801"/>
        <v>1</v>
      </c>
      <c r="EC55" s="220">
        <f t="shared" ca="1" si="625"/>
        <v>0.99058474250364048</v>
      </c>
      <c r="ED55" s="220">
        <f t="shared" ca="1" si="626"/>
        <v>0</v>
      </c>
      <c r="EE55" s="235">
        <f t="shared" ca="1" si="120"/>
        <v>0.57127607705632</v>
      </c>
      <c r="EF55" s="235">
        <f t="shared" ca="1" si="121"/>
        <v>0.57127607705632</v>
      </c>
      <c r="EG55" s="242">
        <f t="shared" ca="1" si="122"/>
        <v>0.57127607705632</v>
      </c>
      <c r="EH55" s="241">
        <f t="shared" ca="1" si="801"/>
        <v>1</v>
      </c>
      <c r="EI55" s="220">
        <f t="shared" ca="1" si="627"/>
        <v>0.99005973259011348</v>
      </c>
      <c r="EJ55" s="220">
        <f t="shared" ca="1" si="628"/>
        <v>0</v>
      </c>
      <c r="EK55" s="235">
        <f t="shared" ca="1" si="125"/>
        <v>0.55166502486519819</v>
      </c>
      <c r="EL55" s="235">
        <f t="shared" ca="1" si="126"/>
        <v>0.55166502486519819</v>
      </c>
      <c r="EM55" s="242">
        <f t="shared" ca="1" si="127"/>
        <v>0.55166502486519819</v>
      </c>
      <c r="EN55" s="241">
        <f t="shared" ca="1" si="801"/>
        <v>1</v>
      </c>
      <c r="EO55" s="220">
        <f t="shared" ca="1" si="629"/>
        <v>0.98941124346526699</v>
      </c>
      <c r="EP55" s="220">
        <f t="shared" ca="1" si="630"/>
        <v>0</v>
      </c>
      <c r="EQ55" s="235">
        <f t="shared" ca="1" si="130"/>
        <v>0.53266056451585653</v>
      </c>
      <c r="ER55" s="235">
        <f t="shared" ca="1" si="131"/>
        <v>0.53266056451585653</v>
      </c>
      <c r="ES55" s="242">
        <f t="shared" ca="1" si="132"/>
        <v>0.53266056451585653</v>
      </c>
      <c r="ET55" s="241">
        <f t="shared" ca="1" si="801"/>
        <v>1</v>
      </c>
      <c r="EU55" s="220">
        <f t="shared" ca="1" si="631"/>
        <v>0.98862861917168599</v>
      </c>
      <c r="EV55" s="220">
        <f t="shared" ca="1" si="632"/>
        <v>0</v>
      </c>
      <c r="EW55" s="235">
        <f t="shared" ca="1" si="135"/>
        <v>0.51424080194137645</v>
      </c>
      <c r="EX55" s="235">
        <f t="shared" ca="1" si="136"/>
        <v>0.51424080194137645</v>
      </c>
      <c r="EY55" s="242">
        <f t="shared" ca="1" si="137"/>
        <v>0.51424080194137645</v>
      </c>
      <c r="EZ55" s="241">
        <f t="shared" ca="1" si="801"/>
        <v>1</v>
      </c>
      <c r="FA55" s="220">
        <f t="shared" ca="1" si="633"/>
        <v>0.98770524004137961</v>
      </c>
      <c r="FB55" s="220">
        <f t="shared" ca="1" si="634"/>
        <v>0</v>
      </c>
      <c r="FC55" s="235">
        <f t="shared" ca="1" si="140"/>
        <v>0.49638695751919149</v>
      </c>
      <c r="FD55" s="235">
        <f t="shared" ca="1" si="141"/>
        <v>0.49638695751919149</v>
      </c>
      <c r="FE55" s="242">
        <f t="shared" ca="1" si="142"/>
        <v>0.49638695751919149</v>
      </c>
      <c r="FF55" s="241">
        <f t="shared" ca="1" si="801"/>
        <v>1</v>
      </c>
      <c r="FG55" s="220">
        <f t="shared" ca="1" si="635"/>
        <v>0.98663357985593469</v>
      </c>
      <c r="FH55" s="220">
        <f t="shared" ca="1" si="636"/>
        <v>0</v>
      </c>
      <c r="FI55" s="235">
        <f t="shared" ca="1" si="145"/>
        <v>0.4790805581355394</v>
      </c>
      <c r="FJ55" s="235">
        <f t="shared" ca="1" si="146"/>
        <v>0.4790805581355394</v>
      </c>
      <c r="FK55" s="242">
        <f t="shared" ca="1" si="147"/>
        <v>0.4790805581355394</v>
      </c>
      <c r="FL55" s="241">
        <f t="shared" ca="1" si="801"/>
        <v>1</v>
      </c>
      <c r="FM55" s="220">
        <f t="shared" ca="1" si="637"/>
        <v>0.98542199381987161</v>
      </c>
      <c r="FN55" s="220">
        <f t="shared" ca="1" si="638"/>
        <v>0</v>
      </c>
      <c r="FO55" s="235">
        <f t="shared" ca="1" si="150"/>
        <v>0.46231134996149653</v>
      </c>
      <c r="FP55" s="235">
        <f t="shared" ca="1" si="151"/>
        <v>0.46231134996149653</v>
      </c>
      <c r="FQ55" s="242">
        <f t="shared" ca="1" si="152"/>
        <v>0.46231134996149653</v>
      </c>
      <c r="FR55" s="241">
        <f t="shared" ca="1" si="801"/>
        <v>1</v>
      </c>
      <c r="FS55" s="220">
        <f t="shared" ca="1" si="639"/>
        <v>0.98410251377014679</v>
      </c>
      <c r="FT55" s="220">
        <f t="shared" ca="1" si="640"/>
        <v>0</v>
      </c>
      <c r="FU55" s="235">
        <f t="shared" ca="1" si="155"/>
        <v>0.44607953146270346</v>
      </c>
      <c r="FV55" s="235">
        <f t="shared" ca="1" si="156"/>
        <v>0.44607953146270346</v>
      </c>
      <c r="FW55" s="242">
        <f t="shared" ca="1" si="157"/>
        <v>0.44607953146270346</v>
      </c>
      <c r="FX55" s="241">
        <f t="shared" ca="1" si="801"/>
        <v>1</v>
      </c>
      <c r="FY55" s="220">
        <f t="shared" ca="1" si="641"/>
        <v>0.98272181794332725</v>
      </c>
      <c r="FZ55" s="220">
        <f t="shared" ca="1" si="642"/>
        <v>0</v>
      </c>
      <c r="GA55" s="235">
        <f t="shared" ca="1" si="160"/>
        <v>0.43039003080199167</v>
      </c>
      <c r="GB55" s="235">
        <f t="shared" ca="1" si="161"/>
        <v>0.43039003080199167</v>
      </c>
      <c r="GC55" s="242">
        <f t="shared" ca="1" si="162"/>
        <v>0.43039003080199167</v>
      </c>
      <c r="GD55" s="241">
        <f t="shared" ca="1" si="795"/>
        <v>1</v>
      </c>
      <c r="GE55" s="220">
        <f t="shared" ca="1" si="643"/>
        <v>0.98131357757821447</v>
      </c>
      <c r="GF55" s="220">
        <f t="shared" ca="1" si="644"/>
        <v>0</v>
      </c>
      <c r="GG55" s="235">
        <f t="shared" ca="1" si="166"/>
        <v>0.41523988588198307</v>
      </c>
      <c r="GH55" s="235">
        <f t="shared" ca="1" si="167"/>
        <v>0.41523988588198307</v>
      </c>
      <c r="GI55" s="242">
        <f t="shared" ca="1" si="168"/>
        <v>0.41523988588198307</v>
      </c>
      <c r="GJ55" s="241">
        <f t="shared" ca="1" si="795"/>
        <v>1</v>
      </c>
      <c r="GK55" s="220">
        <f t="shared" ca="1" si="645"/>
        <v>0.97988969157714845</v>
      </c>
      <c r="GL55" s="220">
        <f t="shared" ca="1" si="646"/>
        <v>0</v>
      </c>
      <c r="GM55" s="235">
        <f t="shared" ca="1" si="171"/>
        <v>0.40061581913774713</v>
      </c>
      <c r="GN55" s="235">
        <f t="shared" ca="1" si="172"/>
        <v>0.40061581913774713</v>
      </c>
      <c r="GO55" s="242">
        <f t="shared" ca="1" si="173"/>
        <v>0.40061581913774713</v>
      </c>
      <c r="GP55" s="241">
        <f t="shared" ref="GP55:IX78" ca="1" si="802">IF(($B55+GP$2)&lt;SC_TargetRY,0,IF(($B55+GP$2)=SC_TargetRY,SC_AnnyPmntPr,IF(SP_AnnyTerms="Life",1,IF(($B55+GP$2)=(SC_TargetRY+SP_AnnyPeriod),SC_AnnyPmntPr-1,IF(($B55+GP$2)&gt;(SC_TargetRY+SP_AnnyPeriod),0,1)))))</f>
        <v>1</v>
      </c>
      <c r="GQ55" s="220">
        <f t="shared" ca="1" si="647"/>
        <v>0.9784443542820721</v>
      </c>
      <c r="GR55" s="220">
        <f t="shared" ca="1" si="648"/>
        <v>0</v>
      </c>
      <c r="GS55" s="235">
        <f t="shared" ca="1" si="176"/>
        <v>0.38649749836185404</v>
      </c>
      <c r="GT55" s="235">
        <f t="shared" ca="1" si="177"/>
        <v>0.38649749836185404</v>
      </c>
      <c r="GU55" s="242">
        <f t="shared" ca="1" si="178"/>
        <v>0.38649749836185404</v>
      </c>
      <c r="GV55" s="241">
        <f t="shared" ca="1" si="802"/>
        <v>1</v>
      </c>
      <c r="GW55" s="220">
        <f t="shared" ca="1" si="649"/>
        <v>0.97697473086194042</v>
      </c>
      <c r="GX55" s="220">
        <f t="shared" ca="1" si="650"/>
        <v>0</v>
      </c>
      <c r="GY55" s="235">
        <f t="shared" ca="1" si="181"/>
        <v>0.37286664649209134</v>
      </c>
      <c r="GZ55" s="235">
        <f t="shared" ca="1" si="182"/>
        <v>0.37286664649209134</v>
      </c>
      <c r="HA55" s="242">
        <f t="shared" ca="1" si="183"/>
        <v>0.37286664649209134</v>
      </c>
      <c r="HB55" s="241">
        <f t="shared" ca="1" si="802"/>
        <v>1</v>
      </c>
      <c r="HC55" s="220">
        <f t="shared" ca="1" si="651"/>
        <v>0.97547214372587476</v>
      </c>
      <c r="HD55" s="220">
        <f t="shared" ca="1" si="652"/>
        <v>0</v>
      </c>
      <c r="HE55" s="235">
        <f t="shared" ca="1" si="186"/>
        <v>0.35970355322684694</v>
      </c>
      <c r="HF55" s="235">
        <f t="shared" ca="1" si="187"/>
        <v>0.35970355322684694</v>
      </c>
      <c r="HG55" s="242">
        <f t="shared" ca="1" si="188"/>
        <v>0.35970355322684694</v>
      </c>
      <c r="HH55" s="241">
        <f t="shared" ca="1" si="802"/>
        <v>1</v>
      </c>
      <c r="HI55" s="220">
        <f t="shared" ca="1" si="653"/>
        <v>0.9739299222666441</v>
      </c>
      <c r="HJ55" s="220">
        <f t="shared" ca="1" si="654"/>
        <v>0</v>
      </c>
      <c r="HK55" s="235">
        <f t="shared" ca="1" si="191"/>
        <v>0.34699020474318382</v>
      </c>
      <c r="HL55" s="235">
        <f t="shared" ca="1" si="192"/>
        <v>0.34699020474318382</v>
      </c>
      <c r="HM55" s="242">
        <f t="shared" ca="1" si="193"/>
        <v>0.34699020474318382</v>
      </c>
      <c r="HN55" s="241">
        <f t="shared" ca="1" si="802"/>
        <v>1</v>
      </c>
      <c r="HO55" s="220">
        <f t="shared" ca="1" si="655"/>
        <v>0.97234631221303847</v>
      </c>
      <c r="HP55" s="220">
        <f t="shared" ca="1" si="656"/>
        <v>0</v>
      </c>
      <c r="HQ55" s="235">
        <f t="shared" ca="1" si="196"/>
        <v>0.33471110982634922</v>
      </c>
      <c r="HR55" s="235">
        <f t="shared" ca="1" si="197"/>
        <v>0.33471110982634922</v>
      </c>
      <c r="HS55" s="242">
        <f t="shared" ca="1" si="198"/>
        <v>0.33471110982634922</v>
      </c>
      <c r="HT55" s="241">
        <f t="shared" ca="1" si="802"/>
        <v>1</v>
      </c>
      <c r="HU55" s="220">
        <f t="shared" ca="1" si="657"/>
        <v>0.97072346621795491</v>
      </c>
      <c r="HV55" s="220">
        <f t="shared" ca="1" si="658"/>
        <v>0</v>
      </c>
      <c r="HW55" s="235">
        <f t="shared" ca="1" si="201"/>
        <v>0.32285263476719722</v>
      </c>
      <c r="HX55" s="235">
        <f t="shared" ca="1" si="202"/>
        <v>0.32285263476719722</v>
      </c>
      <c r="HY55" s="242">
        <f t="shared" ca="1" si="203"/>
        <v>0.32285263476719722</v>
      </c>
      <c r="HZ55" s="241">
        <f t="shared" ca="1" si="802"/>
        <v>1</v>
      </c>
      <c r="IA55" s="220">
        <f t="shared" ca="1" si="659"/>
        <v>0.96906158764378969</v>
      </c>
      <c r="IB55" s="220">
        <f t="shared" ca="1" si="660"/>
        <v>0</v>
      </c>
      <c r="IC55" s="235">
        <f t="shared" ca="1" si="206"/>
        <v>0.31140088024780266</v>
      </c>
      <c r="ID55" s="235">
        <f t="shared" ca="1" si="207"/>
        <v>0.31140088024780266</v>
      </c>
      <c r="IE55" s="242">
        <f t="shared" ca="1" si="208"/>
        <v>0.31140088024780266</v>
      </c>
      <c r="IF55" s="241">
        <f t="shared" ca="1" si="802"/>
        <v>1</v>
      </c>
      <c r="IG55" s="220">
        <f t="shared" ca="1" si="661"/>
        <v>0.96736088455747493</v>
      </c>
      <c r="IH55" s="220">
        <f t="shared" ca="1" si="662"/>
        <v>0</v>
      </c>
      <c r="II55" s="235">
        <f t="shared" ca="1" si="211"/>
        <v>0.30034238811880948</v>
      </c>
      <c r="IJ55" s="235">
        <f t="shared" ca="1" si="212"/>
        <v>0.30034238811880948</v>
      </c>
      <c r="IK55" s="242">
        <f t="shared" ca="1" si="213"/>
        <v>0.30034238811880948</v>
      </c>
      <c r="IL55" s="241">
        <f t="shared" ca="1" si="802"/>
        <v>1</v>
      </c>
      <c r="IM55" s="220">
        <f t="shared" ca="1" si="663"/>
        <v>0.96561963496527148</v>
      </c>
      <c r="IN55" s="220">
        <f t="shared" ca="1" si="664"/>
        <v>0</v>
      </c>
      <c r="IO55" s="235">
        <f t="shared" ca="1" si="216"/>
        <v>0.28966354765236296</v>
      </c>
      <c r="IP55" s="235">
        <f t="shared" ca="1" si="217"/>
        <v>0.28966354765236296</v>
      </c>
      <c r="IQ55" s="242">
        <f t="shared" ca="1" si="218"/>
        <v>0.28966354765236296</v>
      </c>
      <c r="IR55" s="241">
        <f t="shared" ca="1" si="802"/>
        <v>1</v>
      </c>
      <c r="IS55" s="220">
        <f t="shared" ca="1" si="665"/>
        <v>0.96382841054241086</v>
      </c>
      <c r="IT55" s="220">
        <f t="shared" ca="1" si="666"/>
        <v>0</v>
      </c>
      <c r="IU55" s="235">
        <f t="shared" ca="1" si="222"/>
        <v>0.27934900654248102</v>
      </c>
      <c r="IV55" s="235">
        <f t="shared" ca="1" si="223"/>
        <v>0.27934900654248102</v>
      </c>
      <c r="IW55" s="242">
        <f t="shared" ca="1" si="224"/>
        <v>0.27934900654248102</v>
      </c>
      <c r="IX55" s="241">
        <f t="shared" ca="1" si="802"/>
        <v>1</v>
      </c>
      <c r="IY55" s="220">
        <f t="shared" ca="1" si="667"/>
        <v>0.9619778599941694</v>
      </c>
      <c r="IZ55" s="220">
        <f t="shared" ca="1" si="668"/>
        <v>0</v>
      </c>
      <c r="JA55" s="235">
        <f t="shared" ca="1" si="227"/>
        <v>0.26938420913035699</v>
      </c>
      <c r="JB55" s="235">
        <f t="shared" ca="1" si="228"/>
        <v>0.26938420913035699</v>
      </c>
      <c r="JC55" s="242">
        <f t="shared" ca="1" si="229"/>
        <v>0.26938420913035699</v>
      </c>
      <c r="JD55" s="241">
        <f t="shared" ca="1" si="796"/>
        <v>1</v>
      </c>
      <c r="JE55" s="220">
        <f t="shared" ca="1" si="669"/>
        <v>0.96006544800850102</v>
      </c>
      <c r="JF55" s="220">
        <f t="shared" ca="1" si="670"/>
        <v>0</v>
      </c>
      <c r="JG55" s="235">
        <f t="shared" ca="1" si="232"/>
        <v>0.25975717229237277</v>
      </c>
      <c r="JH55" s="235">
        <f t="shared" ca="1" si="233"/>
        <v>0.25975717229237277</v>
      </c>
      <c r="JI55" s="242">
        <f t="shared" ca="1" si="234"/>
        <v>0.25975717229237277</v>
      </c>
      <c r="JJ55" s="241">
        <f t="shared" ca="1" si="796"/>
        <v>1</v>
      </c>
      <c r="JK55" s="220">
        <f t="shared" ca="1" si="671"/>
        <v>0.9580877131856036</v>
      </c>
      <c r="JL55" s="220">
        <f t="shared" ca="1" si="672"/>
        <v>0</v>
      </c>
      <c r="JM55" s="235">
        <f t="shared" ca="1" si="237"/>
        <v>0.25045610871251262</v>
      </c>
      <c r="JN55" s="235">
        <f t="shared" ca="1" si="238"/>
        <v>0.25045610871251262</v>
      </c>
      <c r="JO55" s="242">
        <f t="shared" ca="1" si="239"/>
        <v>0.25045610871251262</v>
      </c>
      <c r="JP55" s="241">
        <f t="shared" ref="JP55:LX78" ca="1" si="803">IF(($B55+JP$2)&lt;SC_TargetRY,0,IF(($B55+JP$2)=SC_TargetRY,SC_AnnyPmntPr,IF(SP_AnnyTerms="Life",1,IF(($B55+JP$2)=(SC_TargetRY+SP_AnnyPeriod),SC_AnnyPmntPr-1,IF(($B55+JP$2)&gt;(SC_TargetRY+SP_AnnyPeriod),0,1)))))</f>
        <v>1</v>
      </c>
      <c r="JQ55" s="220">
        <f t="shared" ca="1" si="673"/>
        <v>0.95603644739167326</v>
      </c>
      <c r="JR55" s="220">
        <f t="shared" ca="1" si="674"/>
        <v>0</v>
      </c>
      <c r="JS55" s="235">
        <f t="shared" ca="1" si="242"/>
        <v>0.24146848520169967</v>
      </c>
      <c r="JT55" s="235">
        <f t="shared" ca="1" si="243"/>
        <v>0.24146848520169967</v>
      </c>
      <c r="JU55" s="242">
        <f t="shared" ca="1" si="244"/>
        <v>0.24146848520169967</v>
      </c>
      <c r="JV55" s="241">
        <f t="shared" ca="1" si="803"/>
        <v>1</v>
      </c>
      <c r="JW55" s="220">
        <f t="shared" ca="1" si="675"/>
        <v>0.95389492574951584</v>
      </c>
      <c r="JX55" s="220">
        <f t="shared" ca="1" si="676"/>
        <v>0</v>
      </c>
      <c r="JY55" s="235">
        <f t="shared" ca="1" si="247"/>
        <v>0.23278028579212359</v>
      </c>
      <c r="JZ55" s="235">
        <f t="shared" ca="1" si="248"/>
        <v>0.23278028579212359</v>
      </c>
      <c r="KA55" s="242">
        <f t="shared" ca="1" si="249"/>
        <v>0.23278028579212359</v>
      </c>
      <c r="KB55" s="241">
        <f t="shared" ca="1" si="803"/>
        <v>1</v>
      </c>
      <c r="KC55" s="220">
        <f t="shared" ca="1" si="677"/>
        <v>0.95164182593489555</v>
      </c>
      <c r="KD55" s="220">
        <f t="shared" ca="1" si="678"/>
        <v>0</v>
      </c>
      <c r="KE55" s="235">
        <f t="shared" ca="1" si="252"/>
        <v>0.22437725483776094</v>
      </c>
      <c r="KF55" s="235">
        <f t="shared" ca="1" si="253"/>
        <v>0.22437725483776094</v>
      </c>
      <c r="KG55" s="242">
        <f t="shared" ca="1" si="254"/>
        <v>0.22437725483776094</v>
      </c>
      <c r="KH55" s="241">
        <f t="shared" ca="1" si="803"/>
        <v>1</v>
      </c>
      <c r="KI55" s="220">
        <f t="shared" ca="1" si="679"/>
        <v>0.94925415659362489</v>
      </c>
      <c r="KJ55" s="220">
        <f t="shared" ca="1" si="680"/>
        <v>0</v>
      </c>
      <c r="KK55" s="235">
        <f t="shared" ca="1" si="257"/>
        <v>0.21624569304866956</v>
      </c>
      <c r="KL55" s="235">
        <f t="shared" ca="1" si="258"/>
        <v>0.21624569304866956</v>
      </c>
      <c r="KM55" s="242">
        <f t="shared" ca="1" si="259"/>
        <v>0.21624569304866956</v>
      </c>
      <c r="KN55" s="241">
        <f t="shared" ca="1" si="803"/>
        <v>1</v>
      </c>
      <c r="KO55" s="220">
        <f t="shared" ca="1" si="681"/>
        <v>0.94670635843732753</v>
      </c>
      <c r="KP55" s="220">
        <f t="shared" ca="1" si="682"/>
        <v>0</v>
      </c>
      <c r="KQ55" s="235">
        <f t="shared" ca="1" si="262"/>
        <v>0.2083722604913304</v>
      </c>
      <c r="KR55" s="235">
        <f t="shared" ca="1" si="263"/>
        <v>0.2083722604913304</v>
      </c>
      <c r="KS55" s="242">
        <f t="shared" ca="1" si="264"/>
        <v>0.2083722604913304</v>
      </c>
      <c r="KT55" s="241">
        <f t="shared" ca="1" si="803"/>
        <v>1</v>
      </c>
      <c r="KU55" s="220">
        <f t="shared" ca="1" si="683"/>
        <v>0.94397037706144371</v>
      </c>
      <c r="KV55" s="220">
        <f t="shared" ca="1" si="684"/>
        <v>0</v>
      </c>
      <c r="KW55" s="235">
        <f t="shared" ca="1" si="267"/>
        <v>0.20074402382464779</v>
      </c>
      <c r="KX55" s="235">
        <f t="shared" ca="1" si="268"/>
        <v>0.20074402382464779</v>
      </c>
      <c r="KY55" s="242">
        <f t="shared" ca="1" si="269"/>
        <v>0.20074402382464779</v>
      </c>
      <c r="KZ55" s="241">
        <f t="shared" ca="1" si="803"/>
        <v>1</v>
      </c>
      <c r="LA55" s="220">
        <f t="shared" ca="1" si="685"/>
        <v>0.94102424551463493</v>
      </c>
      <c r="LB55" s="220">
        <f t="shared" ca="1" si="686"/>
        <v>0</v>
      </c>
      <c r="LC55" s="235">
        <f t="shared" ca="1" si="272"/>
        <v>0.19335024321380778</v>
      </c>
      <c r="LD55" s="235">
        <f t="shared" ca="1" si="273"/>
        <v>0.19335024321380778</v>
      </c>
      <c r="LE55" s="242">
        <f t="shared" ca="1" si="274"/>
        <v>0.19335024321380778</v>
      </c>
      <c r="LF55" s="241">
        <f t="shared" ca="1" si="803"/>
        <v>1</v>
      </c>
      <c r="LG55" s="220">
        <f t="shared" ca="1" si="687"/>
        <v>0.93783793741932242</v>
      </c>
      <c r="LH55" s="220">
        <f t="shared" ca="1" si="688"/>
        <v>0</v>
      </c>
      <c r="LI55" s="235">
        <f t="shared" ca="1" si="278"/>
        <v>0.18617928433844047</v>
      </c>
      <c r="LJ55" s="235">
        <f t="shared" ca="1" si="279"/>
        <v>0.18617928433844047</v>
      </c>
      <c r="LK55" s="242">
        <f t="shared" ca="1" si="280"/>
        <v>0.18617928433844047</v>
      </c>
      <c r="LL55" s="241">
        <f t="shared" ca="1" si="803"/>
        <v>1</v>
      </c>
      <c r="LM55" s="220">
        <f t="shared" ca="1" si="689"/>
        <v>0.93436137218530901</v>
      </c>
      <c r="LN55" s="220">
        <f t="shared" ca="1" si="690"/>
        <v>0</v>
      </c>
      <c r="LO55" s="235">
        <f t="shared" ca="1" si="283"/>
        <v>0.17921653887091585</v>
      </c>
      <c r="LP55" s="235">
        <f t="shared" ca="1" si="284"/>
        <v>0.17921653887091585</v>
      </c>
      <c r="LQ55" s="242">
        <f t="shared" ca="1" si="285"/>
        <v>0.17921653887091585</v>
      </c>
      <c r="LR55" s="241">
        <f t="shared" ca="1" si="803"/>
        <v>1</v>
      </c>
      <c r="LS55" s="220">
        <f t="shared" ca="1" si="691"/>
        <v>0.93053889981169891</v>
      </c>
      <c r="LT55" s="220">
        <f t="shared" ca="1" si="692"/>
        <v>0</v>
      </c>
      <c r="LU55" s="235">
        <f t="shared" ca="1" si="288"/>
        <v>0.17244769469603377</v>
      </c>
      <c r="LV55" s="235">
        <f t="shared" ca="1" si="289"/>
        <v>0.17244769469603377</v>
      </c>
      <c r="LW55" s="242">
        <f t="shared" ca="1" si="290"/>
        <v>0.17244769469603377</v>
      </c>
      <c r="LX55" s="241">
        <f t="shared" ca="1" si="803"/>
        <v>1</v>
      </c>
      <c r="LY55" s="220">
        <f t="shared" ca="1" si="693"/>
        <v>0.92632262805665211</v>
      </c>
      <c r="LZ55" s="220">
        <f t="shared" ca="1" si="694"/>
        <v>0</v>
      </c>
      <c r="MA55" s="235">
        <f t="shared" ca="1" si="293"/>
        <v>0.16586119245542613</v>
      </c>
      <c r="MB55" s="235">
        <f t="shared" ca="1" si="294"/>
        <v>0.16586119245542613</v>
      </c>
      <c r="MC55" s="242">
        <f t="shared" ca="1" si="295"/>
        <v>0.16586119245542613</v>
      </c>
      <c r="MD55" s="241">
        <f t="shared" ca="1" si="797"/>
        <v>1</v>
      </c>
      <c r="ME55" s="220">
        <f t="shared" ca="1" si="695"/>
        <v>0.92167897272220412</v>
      </c>
      <c r="MF55" s="220">
        <f t="shared" ca="1" si="696"/>
        <v>0</v>
      </c>
      <c r="MG55" s="235">
        <f t="shared" ca="1" si="298"/>
        <v>0.15944901478033538</v>
      </c>
      <c r="MH55" s="235">
        <f t="shared" ca="1" si="299"/>
        <v>0.15944901478033538</v>
      </c>
      <c r="MI55" s="242">
        <f t="shared" ca="1" si="300"/>
        <v>0.15944901478033538</v>
      </c>
      <c r="MJ55" s="241">
        <f t="shared" ca="1" si="797"/>
        <v>1</v>
      </c>
      <c r="MK55" s="220">
        <f t="shared" ca="1" si="697"/>
        <v>0.91658761807688671</v>
      </c>
      <c r="ML55" s="220">
        <f t="shared" ca="1" si="698"/>
        <v>0</v>
      </c>
      <c r="MM55" s="235">
        <f t="shared" ca="1" si="303"/>
        <v>0.15320600813786359</v>
      </c>
      <c r="MN55" s="235">
        <f t="shared" ca="1" si="304"/>
        <v>0.15320600813786359</v>
      </c>
      <c r="MO55" s="242">
        <f t="shared" ca="1" si="305"/>
        <v>0.15320600813786359</v>
      </c>
      <c r="MP55" s="241">
        <f t="shared" ref="MP55:OX78" ca="1" si="804">IF(($B55+MP$2)&lt;SC_TargetRY,0,IF(($B55+MP$2)=SC_TargetRY,SC_AnnyPmntPr,IF(SP_AnnyTerms="Life",1,IF(($B55+MP$2)=(SC_TargetRY+SP_AnnyPeriod),SC_AnnyPmntPr-1,IF(($B55+MP$2)&gt;(SC_TargetRY+SP_AnnyPeriod),0,1)))))</f>
        <v>1</v>
      </c>
      <c r="MQ55" s="220">
        <f t="shared" ca="1" si="699"/>
        <v>0.91103401369895887</v>
      </c>
      <c r="MR55" s="220">
        <f t="shared" ca="1" si="700"/>
        <v>0</v>
      </c>
      <c r="MS55" s="235">
        <f t="shared" ca="1" si="308"/>
        <v>0.1471282443812138</v>
      </c>
      <c r="MT55" s="235">
        <f t="shared" ca="1" si="309"/>
        <v>0.1471282443812138</v>
      </c>
      <c r="MU55" s="242">
        <f t="shared" ca="1" si="310"/>
        <v>0.1471282443812138</v>
      </c>
      <c r="MV55" s="241">
        <f t="shared" ca="1" si="804"/>
        <v>1</v>
      </c>
      <c r="MW55" s="220">
        <f t="shared" ca="1" si="701"/>
        <v>0.90501116783439506</v>
      </c>
      <c r="MX55" s="220">
        <f t="shared" ca="1" si="702"/>
        <v>0</v>
      </c>
      <c r="MY55" s="235">
        <f t="shared" ca="1" si="313"/>
        <v>0.14121312034551653</v>
      </c>
      <c r="MZ55" s="235">
        <f t="shared" ca="1" si="314"/>
        <v>0.14121312034551653</v>
      </c>
      <c r="NA55" s="242">
        <f t="shared" ca="1" si="315"/>
        <v>0.14121312034551653</v>
      </c>
      <c r="NB55" s="241">
        <f t="shared" ca="1" si="804"/>
        <v>1</v>
      </c>
      <c r="NC55" s="220">
        <f t="shared" ca="1" si="703"/>
        <v>0.89850685257116925</v>
      </c>
      <c r="ND55" s="220">
        <f t="shared" ca="1" si="704"/>
        <v>0</v>
      </c>
      <c r="NE55" s="235">
        <f t="shared" ca="1" si="318"/>
        <v>0.13545721898511429</v>
      </c>
      <c r="NF55" s="235">
        <f t="shared" ca="1" si="319"/>
        <v>0.13545721898511429</v>
      </c>
      <c r="NG55" s="242">
        <f t="shared" ca="1" si="320"/>
        <v>0.13545721898511429</v>
      </c>
      <c r="NH55" s="241">
        <f t="shared" ca="1" si="804"/>
        <v>1</v>
      </c>
      <c r="NI55" s="220">
        <f t="shared" ca="1" si="705"/>
        <v>0.89149849912111412</v>
      </c>
      <c r="NJ55" s="220">
        <f t="shared" ca="1" si="706"/>
        <v>0</v>
      </c>
      <c r="NK55" s="235">
        <f t="shared" ca="1" si="323"/>
        <v>0.12985570306959462</v>
      </c>
      <c r="NL55" s="235">
        <f t="shared" ca="1" si="324"/>
        <v>0.12985570306959462</v>
      </c>
      <c r="NM55" s="242">
        <f t="shared" ca="1" si="325"/>
        <v>0.12985570306959462</v>
      </c>
      <c r="NN55" s="241">
        <f t="shared" ca="1" si="804"/>
        <v>1</v>
      </c>
      <c r="NO55" s="220">
        <f t="shared" ca="1" si="707"/>
        <v>0.88395998781254592</v>
      </c>
      <c r="NP55" s="220">
        <f t="shared" ca="1" si="708"/>
        <v>0</v>
      </c>
      <c r="NQ55" s="235">
        <f t="shared" ca="1" si="328"/>
        <v>0.12440352004293539</v>
      </c>
      <c r="NR55" s="235">
        <f t="shared" ca="1" si="329"/>
        <v>0.12440352004293539</v>
      </c>
      <c r="NS55" s="242">
        <f t="shared" ca="1" si="330"/>
        <v>0.12440352004293539</v>
      </c>
      <c r="NT55" s="241">
        <f t="shared" ca="1" si="804"/>
        <v>1</v>
      </c>
      <c r="NU55" s="220">
        <f t="shared" ca="1" si="709"/>
        <v>0.87587705768398794</v>
      </c>
      <c r="NV55" s="220">
        <f t="shared" ca="1" si="710"/>
        <v>0</v>
      </c>
      <c r="NW55" s="235">
        <f t="shared" ca="1" si="334"/>
        <v>0.11909755966730703</v>
      </c>
      <c r="NX55" s="235">
        <f t="shared" ca="1" si="335"/>
        <v>0.11909755966730703</v>
      </c>
      <c r="NY55" s="242">
        <f t="shared" ca="1" si="336"/>
        <v>0.11909755966730703</v>
      </c>
      <c r="NZ55" s="241">
        <f t="shared" ca="1" si="804"/>
        <v>1</v>
      </c>
      <c r="OA55" s="220">
        <f t="shared" ca="1" si="711"/>
        <v>0.86723653050993543</v>
      </c>
      <c r="OB55" s="220">
        <f t="shared" ca="1" si="712"/>
        <v>0</v>
      </c>
      <c r="OC55" s="235">
        <f t="shared" ca="1" si="339"/>
        <v>0.11393493936346769</v>
      </c>
      <c r="OD55" s="235">
        <f t="shared" ca="1" si="340"/>
        <v>0.11393493936346769</v>
      </c>
      <c r="OE55" s="242">
        <f t="shared" ca="1" si="341"/>
        <v>0.11393493936346769</v>
      </c>
      <c r="OF55" s="241">
        <f t="shared" ca="1" si="804"/>
        <v>1</v>
      </c>
      <c r="OG55" s="220">
        <f t="shared" ca="1" si="713"/>
        <v>0.85802474408285889</v>
      </c>
      <c r="OH55" s="220">
        <f t="shared" ca="1" si="714"/>
        <v>0</v>
      </c>
      <c r="OI55" s="235">
        <f t="shared" ca="1" si="344"/>
        <v>0.10891277530197965</v>
      </c>
      <c r="OJ55" s="235">
        <f t="shared" ca="1" si="345"/>
        <v>0.10891277530197965</v>
      </c>
      <c r="OK55" s="242">
        <f t="shared" ca="1" si="346"/>
        <v>0.10891277530197965</v>
      </c>
      <c r="OL55" s="241">
        <f t="shared" ca="1" si="804"/>
        <v>1</v>
      </c>
      <c r="OM55" s="220">
        <f t="shared" ca="1" si="715"/>
        <v>0.84819349656515752</v>
      </c>
      <c r="ON55" s="220">
        <f t="shared" ca="1" si="716"/>
        <v>0</v>
      </c>
      <c r="OO55" s="235">
        <f t="shared" ca="1" si="349"/>
        <v>0.10402401229233778</v>
      </c>
      <c r="OP55" s="235">
        <f t="shared" ca="1" si="350"/>
        <v>0.10402401229233778</v>
      </c>
      <c r="OQ55" s="242">
        <f t="shared" ca="1" si="351"/>
        <v>0.10402401229233778</v>
      </c>
      <c r="OR55" s="241">
        <f t="shared" ca="1" si="804"/>
        <v>1</v>
      </c>
      <c r="OS55" s="220">
        <f t="shared" ca="1" si="717"/>
        <v>0.83771830688257787</v>
      </c>
      <c r="OT55" s="220">
        <f t="shared" ca="1" si="718"/>
        <v>0</v>
      </c>
      <c r="OU55" s="235">
        <f t="shared" ca="1" si="354"/>
        <v>9.9265039362828419E-2</v>
      </c>
      <c r="OV55" s="235">
        <f t="shared" ca="1" si="355"/>
        <v>9.9265039362828419E-2</v>
      </c>
      <c r="OW55" s="242">
        <f t="shared" ca="1" si="356"/>
        <v>9.9265039362828419E-2</v>
      </c>
      <c r="OX55" s="241">
        <f t="shared" ca="1" si="804"/>
        <v>1</v>
      </c>
      <c r="OY55" s="220">
        <f t="shared" ca="1" si="719"/>
        <v>0.82663110509098692</v>
      </c>
      <c r="OZ55" s="220">
        <f t="shared" ca="1" si="720"/>
        <v>0</v>
      </c>
      <c r="PA55" s="235">
        <f t="shared" ca="1" si="359"/>
        <v>9.4638904895518239E-2</v>
      </c>
      <c r="PB55" s="235">
        <f t="shared" ca="1" si="360"/>
        <v>9.4638904895518239E-2</v>
      </c>
      <c r="PC55" s="242">
        <f t="shared" ca="1" si="361"/>
        <v>9.4638904895518239E-2</v>
      </c>
      <c r="PD55" s="241">
        <f t="shared" ca="1" si="798"/>
        <v>1</v>
      </c>
      <c r="PE55" s="220">
        <f t="shared" ca="1" si="721"/>
        <v>0.81497808640251923</v>
      </c>
      <c r="PF55" s="220">
        <f t="shared" ca="1" si="722"/>
        <v>0</v>
      </c>
      <c r="PG55" s="235">
        <f t="shared" ca="1" si="364"/>
        <v>9.0149546138363415E-2</v>
      </c>
      <c r="PH55" s="235">
        <f t="shared" ca="1" si="365"/>
        <v>9.0149546138363415E-2</v>
      </c>
      <c r="PI55" s="242">
        <f t="shared" ca="1" si="366"/>
        <v>9.0149546138363415E-2</v>
      </c>
      <c r="PJ55" s="241">
        <f t="shared" ca="1" si="798"/>
        <v>1</v>
      </c>
      <c r="PK55" s="220">
        <f t="shared" ca="1" si="723"/>
        <v>0.80277052964629592</v>
      </c>
      <c r="PL55" s="220">
        <f t="shared" ca="1" si="724"/>
        <v>0</v>
      </c>
      <c r="PM55" s="235">
        <f t="shared" ca="1" si="369"/>
        <v>8.5796324721504238E-2</v>
      </c>
      <c r="PN55" s="235">
        <f t="shared" ca="1" si="370"/>
        <v>8.5796324721504238E-2</v>
      </c>
      <c r="PO55" s="242">
        <f t="shared" ca="1" si="371"/>
        <v>8.5796324721504238E-2</v>
      </c>
      <c r="PP55" s="241">
        <f t="shared" ref="PP55:RX78" ca="1" si="805">IF(($B55+PP$2)&lt;SC_TargetRY,0,IF(($B55+PP$2)=SC_TargetRY,SC_AnnyPmntPr,IF(SP_AnnyTerms="Life",1,IF(($B55+PP$2)=(SC_TargetRY+SP_AnnyPeriod),SC_AnnyPmntPr-1,IF(($B55+PP$2)&gt;(SC_TargetRY+SP_AnnyPeriod),0,1)))))</f>
        <v>1</v>
      </c>
      <c r="PQ55" s="220">
        <f t="shared" ca="1" si="725"/>
        <v>0.78995269259943357</v>
      </c>
      <c r="PR55" s="220">
        <f t="shared" ca="1" si="726"/>
        <v>0</v>
      </c>
      <c r="PS55" s="235">
        <f t="shared" ca="1" si="374"/>
        <v>8.1571415270218356E-2</v>
      </c>
      <c r="PT55" s="235">
        <f t="shared" ca="1" si="375"/>
        <v>8.1571415270218356E-2</v>
      </c>
      <c r="PU55" s="242">
        <f t="shared" ca="1" si="376"/>
        <v>8.1571415270218356E-2</v>
      </c>
      <c r="PV55" s="241">
        <f t="shared" ca="1" si="805"/>
        <v>1</v>
      </c>
      <c r="PW55" s="220">
        <f t="shared" ca="1" si="727"/>
        <v>0.77643739198174988</v>
      </c>
      <c r="PX55" s="220">
        <f t="shared" ca="1" si="728"/>
        <v>0</v>
      </c>
      <c r="PY55" s="235">
        <f t="shared" ca="1" si="379"/>
        <v>7.7464550653488104E-2</v>
      </c>
      <c r="PZ55" s="235">
        <f t="shared" ca="1" si="380"/>
        <v>7.7464550653488104E-2</v>
      </c>
      <c r="QA55" s="242">
        <f t="shared" ca="1" si="381"/>
        <v>7.7464550653488104E-2</v>
      </c>
      <c r="QB55" s="241">
        <f t="shared" ca="1" si="805"/>
        <v>1</v>
      </c>
      <c r="QC55" s="220">
        <f t="shared" ca="1" si="729"/>
        <v>0.76215715546842155</v>
      </c>
      <c r="QD55" s="220">
        <f t="shared" ca="1" si="730"/>
        <v>0</v>
      </c>
      <c r="QE55" s="235">
        <f t="shared" ca="1" si="384"/>
        <v>7.3468427669438799E-2</v>
      </c>
      <c r="QF55" s="235">
        <f t="shared" ca="1" si="385"/>
        <v>7.3468427669438799E-2</v>
      </c>
      <c r="QG55" s="242">
        <f t="shared" ca="1" si="386"/>
        <v>7.3468427669438799E-2</v>
      </c>
      <c r="QH55" s="241">
        <f t="shared" ca="1" si="805"/>
        <v>1</v>
      </c>
      <c r="QI55" s="220">
        <f t="shared" ca="1" si="731"/>
        <v>0.74703900613254992</v>
      </c>
      <c r="QJ55" s="220">
        <f t="shared" ca="1" si="732"/>
        <v>0</v>
      </c>
      <c r="QK55" s="235">
        <f t="shared" ca="1" si="390"/>
        <v>6.9575949698732195E-2</v>
      </c>
      <c r="QL55" s="235">
        <f t="shared" ca="1" si="391"/>
        <v>6.9575949698732195E-2</v>
      </c>
      <c r="QM55" s="242">
        <f t="shared" ca="1" si="392"/>
        <v>6.9575949698732195E-2</v>
      </c>
      <c r="QN55" s="241">
        <f t="shared" ca="1" si="805"/>
        <v>1</v>
      </c>
      <c r="QO55" s="220">
        <f t="shared" ca="1" si="733"/>
        <v>0.73100381386591473</v>
      </c>
      <c r="QP55" s="220">
        <f t="shared" ca="1" si="734"/>
        <v>0</v>
      </c>
      <c r="QQ55" s="235">
        <f t="shared" ca="1" si="395"/>
        <v>6.5780195109612458E-2</v>
      </c>
      <c r="QR55" s="235">
        <f t="shared" ca="1" si="396"/>
        <v>6.5780195109612458E-2</v>
      </c>
      <c r="QS55" s="242">
        <f t="shared" ca="1" si="397"/>
        <v>6.5780195109612458E-2</v>
      </c>
      <c r="QT55" s="241">
        <f t="shared" ca="1" si="805"/>
        <v>1</v>
      </c>
      <c r="QU55" s="220">
        <f t="shared" ca="1" si="735"/>
        <v>0.71393414380833176</v>
      </c>
      <c r="QV55" s="220">
        <f t="shared" ca="1" si="736"/>
        <v>0</v>
      </c>
      <c r="QW55" s="235">
        <f t="shared" ca="1" si="400"/>
        <v>6.2071653887543876E-2</v>
      </c>
      <c r="QX55" s="235">
        <f t="shared" ca="1" si="401"/>
        <v>6.2071653887543876E-2</v>
      </c>
      <c r="QY55" s="242">
        <f t="shared" ca="1" si="402"/>
        <v>6.2071653887543876E-2</v>
      </c>
      <c r="QZ55" s="241">
        <f t="shared" ca="1" si="805"/>
        <v>1</v>
      </c>
      <c r="RA55" s="220">
        <f t="shared" ca="1" si="737"/>
        <v>0.69574167395580788</v>
      </c>
      <c r="RB55" s="220">
        <f t="shared" ca="1" si="738"/>
        <v>0</v>
      </c>
      <c r="RC55" s="235">
        <f t="shared" ca="1" si="405"/>
        <v>5.8444390341238162E-2</v>
      </c>
      <c r="RD55" s="235">
        <f t="shared" ca="1" si="406"/>
        <v>5.8444390341238162E-2</v>
      </c>
      <c r="RE55" s="242">
        <f t="shared" ca="1" si="407"/>
        <v>5.8444390341238162E-2</v>
      </c>
      <c r="RF55" s="241">
        <f t="shared" ca="1" si="805"/>
        <v>1</v>
      </c>
      <c r="RG55" s="220">
        <f t="shared" ca="1" si="739"/>
        <v>0.67640422986988014</v>
      </c>
      <c r="RH55" s="220">
        <f t="shared" ca="1" si="740"/>
        <v>0</v>
      </c>
      <c r="RI55" s="235">
        <f t="shared" ca="1" si="410"/>
        <v>5.4898538121829751E-2</v>
      </c>
      <c r="RJ55" s="235">
        <f t="shared" ca="1" si="411"/>
        <v>5.4898538121829751E-2</v>
      </c>
      <c r="RK55" s="242">
        <f t="shared" ca="1" si="412"/>
        <v>5.4898538121829751E-2</v>
      </c>
      <c r="RL55" s="241">
        <f t="shared" ca="1" si="805"/>
        <v>1</v>
      </c>
      <c r="RM55" s="220">
        <f t="shared" ca="1" si="741"/>
        <v>0.65592135698096043</v>
      </c>
      <c r="RN55" s="220">
        <f t="shared" ca="1" si="742"/>
        <v>0</v>
      </c>
      <c r="RO55" s="235">
        <f t="shared" ca="1" si="415"/>
        <v>5.1435845981086484E-2</v>
      </c>
      <c r="RP55" s="235">
        <f t="shared" ca="1" si="416"/>
        <v>5.1435845981086484E-2</v>
      </c>
      <c r="RQ55" s="242">
        <f t="shared" ca="1" si="417"/>
        <v>5.1435845981086484E-2</v>
      </c>
      <c r="RR55" s="241">
        <f t="shared" ca="1" si="805"/>
        <v>1</v>
      </c>
      <c r="RS55" s="220">
        <f t="shared" ca="1" si="743"/>
        <v>0.63426152193073515</v>
      </c>
      <c r="RT55" s="220">
        <f t="shared" ca="1" si="744"/>
        <v>0</v>
      </c>
      <c r="RU55" s="235">
        <f t="shared" ca="1" si="420"/>
        <v>4.8055392729564286E-2</v>
      </c>
      <c r="RV55" s="235">
        <f t="shared" ca="1" si="421"/>
        <v>4.8055392729564286E-2</v>
      </c>
      <c r="RW55" s="242">
        <f t="shared" ca="1" si="422"/>
        <v>4.8055392729564286E-2</v>
      </c>
      <c r="RX55" s="241">
        <f t="shared" ca="1" si="805"/>
        <v>1</v>
      </c>
      <c r="RY55" s="220">
        <f t="shared" ca="1" si="745"/>
        <v>0.61130062057532053</v>
      </c>
      <c r="RZ55" s="220">
        <f t="shared" ca="1" si="746"/>
        <v>0</v>
      </c>
      <c r="SA55" s="235">
        <f t="shared" ca="1" si="425"/>
        <v>4.4749506722088245E-2</v>
      </c>
      <c r="SB55" s="235">
        <f t="shared" ca="1" si="426"/>
        <v>4.4749506722088245E-2</v>
      </c>
      <c r="SC55" s="242">
        <f t="shared" ca="1" si="427"/>
        <v>4.4749506722088245E-2</v>
      </c>
      <c r="SD55" s="241">
        <f t="shared" ca="1" si="799"/>
        <v>1</v>
      </c>
      <c r="SE55" s="220">
        <f t="shared" ca="1" si="747"/>
        <v>0.58693540044042947</v>
      </c>
      <c r="SF55" s="220">
        <f t="shared" ca="1" si="748"/>
        <v>0</v>
      </c>
      <c r="SG55" s="235">
        <f t="shared" ca="1" si="430"/>
        <v>4.1512928389525854E-2</v>
      </c>
      <c r="SH55" s="235">
        <f t="shared" ca="1" si="431"/>
        <v>4.1512928389525854E-2</v>
      </c>
      <c r="SI55" s="242">
        <f t="shared" ca="1" si="432"/>
        <v>4.1512928389525854E-2</v>
      </c>
      <c r="SJ55" s="241">
        <f t="shared" ca="1" si="799"/>
        <v>1</v>
      </c>
      <c r="SK55" s="220">
        <f t="shared" ca="1" si="749"/>
        <v>0.56117421877969853</v>
      </c>
      <c r="SL55" s="220">
        <f t="shared" ca="1" si="750"/>
        <v>0</v>
      </c>
      <c r="SM55" s="235">
        <f t="shared" ca="1" si="435"/>
        <v>3.8348680627614658E-2</v>
      </c>
      <c r="SN55" s="235">
        <f t="shared" ca="1" si="436"/>
        <v>3.8348680627614658E-2</v>
      </c>
      <c r="SO55" s="242">
        <f t="shared" ca="1" si="437"/>
        <v>3.8348680627614658E-2</v>
      </c>
      <c r="SP55" s="241">
        <f t="shared" ca="1" si="576"/>
        <v>1</v>
      </c>
      <c r="SQ55" s="220">
        <f t="shared" ca="1" si="751"/>
        <v>0.5340633310962325</v>
      </c>
      <c r="SR55" s="220">
        <f t="shared" ca="1" si="752"/>
        <v>0</v>
      </c>
      <c r="SS55" s="235">
        <f t="shared" ca="1" si="440"/>
        <v>3.5261852674216394E-2</v>
      </c>
      <c r="ST55" s="235">
        <f t="shared" ca="1" si="441"/>
        <v>3.5261852674216394E-2</v>
      </c>
      <c r="SU55" s="242">
        <f t="shared" ca="1" si="442"/>
        <v>3.5261852674216394E-2</v>
      </c>
      <c r="SV55" s="241">
        <f t="shared" ca="1" si="576"/>
        <v>1</v>
      </c>
      <c r="SW55" s="220">
        <f t="shared" ca="1" si="753"/>
        <v>0.50563620810864218</v>
      </c>
      <c r="SX55" s="220">
        <f t="shared" ca="1" si="754"/>
        <v>0</v>
      </c>
      <c r="SY55" s="235">
        <f t="shared" ca="1" si="446"/>
        <v>3.2255975632920972E-2</v>
      </c>
      <c r="SZ55" s="235">
        <f t="shared" ca="1" si="447"/>
        <v>3.2255975632920972E-2</v>
      </c>
      <c r="TA55" s="242">
        <f t="shared" ca="1" si="448"/>
        <v>3.2255975632920972E-2</v>
      </c>
      <c r="TB55" s="241">
        <f t="shared" ref="TB55:VJ78" ca="1" si="806">IF(($B55+TB$2)&lt;SC_TargetRY,0,IF(($B55+TB$2)=SC_TargetRY,SC_AnnyPmntPr,IF(SP_AnnyTerms="Life",1,IF(($B55+TB$2)=(SC_TargetRY+SP_AnnyPeriod),SC_AnnyPmntPr-1,IF(($B55+TB$2)&gt;(SC_TargetRY+SP_AnnyPeriod),0,1)))))</f>
        <v>1</v>
      </c>
      <c r="TC55" s="220">
        <f t="shared" ca="1" si="755"/>
        <v>0.47585575235966748</v>
      </c>
      <c r="TD55" s="220">
        <f t="shared" ca="1" si="756"/>
        <v>0</v>
      </c>
      <c r="TE55" s="235">
        <f t="shared" ca="1" si="451"/>
        <v>2.9329657426153458E-2</v>
      </c>
      <c r="TF55" s="235">
        <f t="shared" ca="1" si="452"/>
        <v>2.9329657426153458E-2</v>
      </c>
      <c r="TG55" s="242">
        <f t="shared" ca="1" si="453"/>
        <v>2.9329657426153458E-2</v>
      </c>
      <c r="TH55" s="241">
        <f t="shared" ca="1" si="806"/>
        <v>1</v>
      </c>
      <c r="TI55" s="220">
        <f t="shared" ca="1" si="757"/>
        <v>0.4447514411066778</v>
      </c>
      <c r="TJ55" s="220">
        <f t="shared" ca="1" si="758"/>
        <v>0</v>
      </c>
      <c r="TK55" s="235">
        <f t="shared" ca="1" si="456"/>
        <v>2.6485530790814431E-2</v>
      </c>
      <c r="TL55" s="235">
        <f t="shared" ca="1" si="457"/>
        <v>2.6485530790814431E-2</v>
      </c>
      <c r="TM55" s="242">
        <f t="shared" ca="1" si="458"/>
        <v>2.6485530790814431E-2</v>
      </c>
      <c r="TN55" s="241">
        <f t="shared" ca="1" si="806"/>
        <v>1</v>
      </c>
      <c r="TO55" s="220">
        <f t="shared" ca="1" si="759"/>
        <v>0.41251096438941365</v>
      </c>
      <c r="TP55" s="220">
        <f t="shared" ca="1" si="760"/>
        <v>0</v>
      </c>
      <c r="TQ55" s="235">
        <f t="shared" ca="1" si="461"/>
        <v>2.3734848481408222E-2</v>
      </c>
      <c r="TR55" s="235">
        <f t="shared" ca="1" si="462"/>
        <v>2.3734848481408222E-2</v>
      </c>
      <c r="TS55" s="242">
        <f t="shared" ca="1" si="463"/>
        <v>2.3734848481408222E-2</v>
      </c>
      <c r="TT55" s="241">
        <f t="shared" ca="1" si="806"/>
        <v>1</v>
      </c>
      <c r="TU55" s="220">
        <f t="shared" ca="1" si="761"/>
        <v>0.37939128408051637</v>
      </c>
      <c r="TV55" s="220">
        <f t="shared" ca="1" si="762"/>
        <v>0</v>
      </c>
      <c r="TW55" s="235">
        <f t="shared" ca="1" si="466"/>
        <v>2.1091038615007652E-2</v>
      </c>
      <c r="TX55" s="235">
        <f t="shared" ca="1" si="467"/>
        <v>2.1091038615007652E-2</v>
      </c>
      <c r="TY55" s="242">
        <f t="shared" ca="1" si="468"/>
        <v>2.1091038615007652E-2</v>
      </c>
      <c r="TZ55" s="241">
        <f t="shared" ca="1" si="806"/>
        <v>1</v>
      </c>
      <c r="UA55" s="220">
        <f t="shared" ca="1" si="763"/>
        <v>0.34565732866521315</v>
      </c>
      <c r="UB55" s="220">
        <f t="shared" ca="1" si="764"/>
        <v>0</v>
      </c>
      <c r="UC55" s="235">
        <f t="shared" ca="1" si="471"/>
        <v>1.8565901280691431E-2</v>
      </c>
      <c r="UD55" s="235">
        <f t="shared" ca="1" si="472"/>
        <v>1.8565901280691431E-2</v>
      </c>
      <c r="UE55" s="242">
        <f t="shared" ca="1" si="473"/>
        <v>1.8565901280691431E-2</v>
      </c>
      <c r="UF55" s="241">
        <f t="shared" ca="1" si="806"/>
        <v>1</v>
      </c>
      <c r="UG55" s="220">
        <f t="shared" ca="1" si="765"/>
        <v>0.31158381183471112</v>
      </c>
      <c r="UH55" s="220">
        <f t="shared" ca="1" si="766"/>
        <v>0</v>
      </c>
      <c r="UI55" s="235">
        <f t="shared" ca="1" si="476"/>
        <v>1.6169805793281151E-2</v>
      </c>
      <c r="UJ55" s="235">
        <f t="shared" ca="1" si="477"/>
        <v>1.6169805793281151E-2</v>
      </c>
      <c r="UK55" s="242">
        <f t="shared" ca="1" si="478"/>
        <v>1.6169805793281151E-2</v>
      </c>
      <c r="UL55" s="241">
        <f t="shared" ca="1" si="806"/>
        <v>1</v>
      </c>
      <c r="UM55" s="220">
        <f t="shared" ca="1" si="767"/>
        <v>0.27748470263514402</v>
      </c>
      <c r="UN55" s="220">
        <f t="shared" ca="1" si="768"/>
        <v>0</v>
      </c>
      <c r="UO55" s="235">
        <f t="shared" ca="1" si="481"/>
        <v>1.3913250808575896E-2</v>
      </c>
      <c r="UP55" s="235">
        <f t="shared" ca="1" si="482"/>
        <v>1.3913250808575896E-2</v>
      </c>
      <c r="UQ55" s="242">
        <f t="shared" ca="1" si="483"/>
        <v>1.3913250808575896E-2</v>
      </c>
      <c r="UR55" s="241">
        <f t="shared" ca="1" si="806"/>
        <v>1</v>
      </c>
      <c r="US55" s="220">
        <f t="shared" ca="1" si="769"/>
        <v>0.24373729058536042</v>
      </c>
      <c r="UT55" s="220">
        <f t="shared" ca="1" si="770"/>
        <v>0</v>
      </c>
      <c r="UU55" s="235">
        <f t="shared" ca="1" si="486"/>
        <v>1.1807860056509861E-2</v>
      </c>
      <c r="UV55" s="235">
        <f t="shared" ca="1" si="487"/>
        <v>1.1807860056509861E-2</v>
      </c>
      <c r="UW55" s="242">
        <f t="shared" ca="1" si="488"/>
        <v>1.1807860056509861E-2</v>
      </c>
      <c r="UX55" s="241">
        <f t="shared" ca="1" si="806"/>
        <v>1</v>
      </c>
      <c r="UY55" s="220">
        <f t="shared" ca="1" si="771"/>
        <v>0.21078985859319374</v>
      </c>
      <c r="UZ55" s="220">
        <f t="shared" ca="1" si="772"/>
        <v>0</v>
      </c>
      <c r="VA55" s="235">
        <f t="shared" ca="1" si="491"/>
        <v>9.866396874889936E-3</v>
      </c>
      <c r="VB55" s="235">
        <f t="shared" ca="1" si="492"/>
        <v>9.866396874889936E-3</v>
      </c>
      <c r="VC55" s="242">
        <f t="shared" ca="1" si="493"/>
        <v>9.866396874889936E-3</v>
      </c>
      <c r="VD55" s="241">
        <f t="shared" ca="1" si="806"/>
        <v>1</v>
      </c>
      <c r="VE55" s="220">
        <f t="shared" ca="1" si="773"/>
        <v>0.17914840370962801</v>
      </c>
      <c r="VF55" s="220">
        <f t="shared" ca="1" si="774"/>
        <v>0</v>
      </c>
      <c r="VG55" s="235">
        <f t="shared" ca="1" si="496"/>
        <v>8.1017989433788233E-3</v>
      </c>
      <c r="VH55" s="235">
        <f t="shared" ca="1" si="497"/>
        <v>8.1017989433788233E-3</v>
      </c>
      <c r="VI55" s="242">
        <f t="shared" ca="1" si="498"/>
        <v>8.1017989433788233E-3</v>
      </c>
      <c r="VJ55" s="241">
        <f t="shared" ca="1" si="806"/>
        <v>1</v>
      </c>
      <c r="VK55" s="220">
        <f t="shared" ca="1" si="775"/>
        <v>0.14933864677755704</v>
      </c>
      <c r="VL55" s="220">
        <f t="shared" ca="1" si="776"/>
        <v>0</v>
      </c>
      <c r="VM55" s="235">
        <f t="shared" ca="1" si="502"/>
        <v>6.5252984585482295E-3</v>
      </c>
      <c r="VN55" s="235">
        <f t="shared" ca="1" si="503"/>
        <v>6.5252984585482295E-3</v>
      </c>
      <c r="VO55" s="242">
        <f t="shared" ca="1" si="504"/>
        <v>6.5252984585482295E-3</v>
      </c>
      <c r="VP55" s="241">
        <f t="shared" ca="1" si="567"/>
        <v>1</v>
      </c>
      <c r="VQ55" s="220">
        <f t="shared" ca="1" si="777"/>
        <v>0.12186078378642688</v>
      </c>
      <c r="VR55" s="220">
        <f t="shared" ca="1" si="778"/>
        <v>0</v>
      </c>
      <c r="VS55" s="235">
        <f t="shared" ca="1" si="507"/>
        <v>5.1446020464451514E-3</v>
      </c>
      <c r="VT55" s="235">
        <f t="shared" ca="1" si="508"/>
        <v>5.1446020464451514E-3</v>
      </c>
      <c r="VU55" s="242">
        <f t="shared" ca="1" si="509"/>
        <v>5.1446020464451514E-3</v>
      </c>
      <c r="VV55" s="241">
        <f t="shared" ca="1" si="578"/>
        <v>1</v>
      </c>
      <c r="VW55" s="220">
        <f t="shared" ca="1" si="779"/>
        <v>9.714071449143126E-2</v>
      </c>
      <c r="VX55" s="220">
        <f t="shared" ca="1" si="780"/>
        <v>0</v>
      </c>
      <c r="VY55" s="235">
        <f t="shared" ca="1" si="512"/>
        <v>3.9623128486120972E-3</v>
      </c>
      <c r="VZ55" s="235">
        <f t="shared" ca="1" si="513"/>
        <v>3.9623128486120972E-3</v>
      </c>
      <c r="WA55" s="242">
        <f t="shared" ca="1" si="514"/>
        <v>3.9623128486120972E-3</v>
      </c>
      <c r="WB55" s="241">
        <f t="shared" ca="1" si="578"/>
        <v>1</v>
      </c>
      <c r="WC55" s="220">
        <f t="shared" ca="1" si="781"/>
        <v>7.5486980683431834E-2</v>
      </c>
      <c r="WD55" s="220">
        <f t="shared" ca="1" si="782"/>
        <v>0</v>
      </c>
      <c r="WE55" s="235">
        <f t="shared" ca="1" si="517"/>
        <v>2.9749465982754843E-3</v>
      </c>
      <c r="WF55" s="235">
        <f t="shared" ca="1" si="518"/>
        <v>2.9749465982754843E-3</v>
      </c>
      <c r="WG55" s="242">
        <f t="shared" ca="1" si="519"/>
        <v>2.9749465982754843E-3</v>
      </c>
      <c r="WH55" s="241">
        <f t="shared" ca="1" si="578"/>
        <v>1</v>
      </c>
      <c r="WI55" s="220">
        <f t="shared" ca="1" si="783"/>
        <v>5.7061061620490225E-2</v>
      </c>
      <c r="WJ55" s="220">
        <f t="shared" ca="1" si="784"/>
        <v>0</v>
      </c>
      <c r="WK55" s="235">
        <f t="shared" ca="1" si="522"/>
        <v>2.1727342833971291E-3</v>
      </c>
      <c r="WL55" s="235">
        <f t="shared" ca="1" si="523"/>
        <v>2.1727342833971291E-3</v>
      </c>
      <c r="WM55" s="242">
        <f t="shared" ca="1" si="524"/>
        <v>2.1727342833971291E-3</v>
      </c>
      <c r="WN55" s="241">
        <f t="shared" ca="1" si="578"/>
        <v>1</v>
      </c>
      <c r="WO55" s="220">
        <f t="shared" ca="1" si="785"/>
        <v>4.1934687734452851E-2</v>
      </c>
      <c r="WP55" s="220">
        <f t="shared" ca="1" si="786"/>
        <v>0</v>
      </c>
      <c r="WQ55" s="235">
        <f t="shared" ca="1" si="527"/>
        <v>1.5427651975624165E-3</v>
      </c>
      <c r="WR55" s="235">
        <f t="shared" ca="1" si="528"/>
        <v>1.5427651975624165E-3</v>
      </c>
      <c r="WS55" s="242">
        <f t="shared" ca="1" si="529"/>
        <v>1.5427651975624165E-3</v>
      </c>
      <c r="WT55" s="241">
        <f t="shared" ca="1" si="578"/>
        <v>1</v>
      </c>
      <c r="WU55" s="220">
        <f t="shared" ca="1" si="787"/>
        <v>2.9961998908764689E-2</v>
      </c>
      <c r="WV55" s="220">
        <f t="shared" ca="1" si="788"/>
        <v>0</v>
      </c>
      <c r="WW55" s="235">
        <f t="shared" ca="1" si="532"/>
        <v>1.0650177696007403E-3</v>
      </c>
      <c r="WX55" s="235">
        <f t="shared" ca="1" si="533"/>
        <v>1.0650177696007403E-3</v>
      </c>
      <c r="WY55" s="242">
        <f t="shared" ca="1" si="534"/>
        <v>1.0650177696007403E-3</v>
      </c>
      <c r="WZ55" s="241">
        <f t="shared" ca="1" si="578"/>
        <v>1</v>
      </c>
      <c r="XA55" s="220">
        <f t="shared" ca="1" si="789"/>
        <v>2.0825806429510707E-2</v>
      </c>
      <c r="XB55" s="220">
        <f t="shared" ca="1" si="790"/>
        <v>0</v>
      </c>
      <c r="XC55" s="235">
        <f t="shared" ca="1" si="537"/>
        <v>7.1523300597822715E-4</v>
      </c>
      <c r="XD55" s="235">
        <f t="shared" ca="1" si="538"/>
        <v>7.1523300597822715E-4</v>
      </c>
      <c r="XE55" s="242">
        <f t="shared" ca="1" si="539"/>
        <v>7.1523300597822715E-4</v>
      </c>
      <c r="XF55" s="241">
        <f t="shared" ca="1" si="578"/>
        <v>1</v>
      </c>
      <c r="XG55" s="220">
        <f t="shared" ca="1" si="791"/>
        <v>1.410075784309954E-2</v>
      </c>
      <c r="XH55" s="220">
        <f t="shared" ca="1" si="792"/>
        <v>0</v>
      </c>
      <c r="XI55" s="235">
        <f t="shared" ca="1" si="542"/>
        <v>4.6789437576883483E-4</v>
      </c>
      <c r="XJ55" s="235">
        <f t="shared" ca="1" si="543"/>
        <v>4.6789437576883483E-4</v>
      </c>
      <c r="XK55" s="242">
        <f t="shared" ca="1" si="544"/>
        <v>4.6789437576883483E-4</v>
      </c>
    </row>
    <row r="56" spans="2:635" x14ac:dyDescent="0.25">
      <c r="B56" s="65">
        <f t="shared" ca="1" si="14"/>
        <v>2071</v>
      </c>
      <c r="C56" s="65" t="s">
        <v>741</v>
      </c>
      <c r="D56" s="77">
        <f t="shared" si="580"/>
        <v>0</v>
      </c>
      <c r="E56" s="77">
        <f t="shared" si="581"/>
        <v>0</v>
      </c>
      <c r="F56" s="77" t="b">
        <f t="shared" si="793"/>
        <v>0</v>
      </c>
      <c r="G56" s="77" t="b">
        <f t="shared" si="794"/>
        <v>0</v>
      </c>
      <c r="H56" s="15" t="e">
        <f t="shared" ca="1" si="582"/>
        <v>#REF!</v>
      </c>
      <c r="L56" s="326">
        <f t="shared" ca="1" si="583"/>
        <v>3.5000000000000003E-2</v>
      </c>
      <c r="M56" s="327">
        <f t="shared" ca="1" si="584"/>
        <v>3.5000000000000003E-2</v>
      </c>
      <c r="N56" s="322">
        <f t="shared" ca="1" si="579"/>
        <v>-48</v>
      </c>
      <c r="O56" s="322">
        <f t="shared" ca="1" si="585"/>
        <v>0</v>
      </c>
      <c r="P56" s="328">
        <f t="shared" ca="1" si="545"/>
        <v>26.87829936156087</v>
      </c>
      <c r="Q56" s="328">
        <f t="shared" ca="1" si="546"/>
        <v>26.87829936156087</v>
      </c>
      <c r="R56" s="328">
        <f t="shared" ca="1" si="547"/>
        <v>26.87829936156087</v>
      </c>
      <c r="S56" s="329">
        <f t="shared" ca="1" si="586"/>
        <v>3.8642415640549425E-2</v>
      </c>
      <c r="T56" s="329">
        <f t="shared" ca="1" si="587"/>
        <v>3.8642415640549425E-2</v>
      </c>
      <c r="U56" s="329">
        <f t="shared" ca="1" si="588"/>
        <v>3.8642415640549425E-2</v>
      </c>
      <c r="V56" s="320" t="e">
        <f t="shared" ca="1" si="589"/>
        <v>#REF!</v>
      </c>
      <c r="W56" s="320" t="e">
        <f t="shared" ca="1" si="560"/>
        <v>#REF!</v>
      </c>
      <c r="X56" s="320" t="e">
        <f t="shared" ca="1" si="590"/>
        <v>#REF!</v>
      </c>
      <c r="Y56" s="320" t="e">
        <f ca="1">INDEX(SC_ZA_HECMLumpSum,ZAIDX)</f>
        <v>#REF!</v>
      </c>
      <c r="Z56" s="320" t="e">
        <f t="shared" ca="1" si="591"/>
        <v>#REF!</v>
      </c>
      <c r="AA56" s="320" t="e">
        <f t="shared" ca="1" si="557"/>
        <v>#REF!</v>
      </c>
      <c r="AB56" s="320" t="e">
        <f t="shared" ca="1" si="558"/>
        <v>#REF!</v>
      </c>
      <c r="AC56" s="330" t="e">
        <f t="shared" ca="1" si="559"/>
        <v>#REF!</v>
      </c>
      <c r="AD56" s="236" t="e">
        <f t="shared" ca="1" si="548"/>
        <v>#REF!</v>
      </c>
      <c r="AE56" s="320" t="e">
        <f t="shared" ca="1" si="561"/>
        <v>#REF!</v>
      </c>
      <c r="AF56" s="320" t="e">
        <f t="shared" ca="1" si="592"/>
        <v>#REF!</v>
      </c>
      <c r="AG56" s="320" t="e">
        <f t="shared" ca="1" si="549"/>
        <v>#REF!</v>
      </c>
      <c r="AH56" s="284" t="e">
        <f t="shared" ca="1" si="550"/>
        <v>#REF!</v>
      </c>
      <c r="AI56" s="318" t="e">
        <f t="shared" ca="1" si="551"/>
        <v>#REF!</v>
      </c>
      <c r="AJ56" s="331">
        <f t="shared" ref="AJ56:CR79" ca="1" si="807">IF(($B56+AJ$2)&lt;SC_TargetRY,0,IF(($B56+AJ$2)=SC_TargetRY,SC_AnnyPmntPr,IF(SP_AnnyTerms="Life",1,IF(($B56+AJ$2)=(SC_TargetRY+SP_AnnyPeriod),SC_AnnyPmntPr-1,IF(($B56+AJ$2)&gt;(SC_TargetRY+SP_AnnyPeriod),0,1)))))</f>
        <v>1</v>
      </c>
      <c r="AK56" s="220">
        <f t="shared" ca="1" si="593"/>
        <v>1</v>
      </c>
      <c r="AL56" s="220">
        <f t="shared" ca="1" si="594"/>
        <v>0</v>
      </c>
      <c r="AM56" s="235">
        <f t="shared" ca="1" si="554"/>
        <v>1</v>
      </c>
      <c r="AN56" s="235">
        <f t="shared" ca="1" si="555"/>
        <v>1</v>
      </c>
      <c r="AO56" s="242">
        <f t="shared" ca="1" si="556"/>
        <v>1</v>
      </c>
      <c r="AP56" s="241">
        <f t="shared" ca="1" si="807"/>
        <v>1</v>
      </c>
      <c r="AQ56" s="220">
        <f t="shared" ca="1" si="595"/>
        <v>0.99361699999999997</v>
      </c>
      <c r="AR56" s="220">
        <f t="shared" ca="1" si="596"/>
        <v>0</v>
      </c>
      <c r="AS56" s="235">
        <f t="shared" ca="1" si="43"/>
        <v>0.96001642512077301</v>
      </c>
      <c r="AT56" s="235">
        <f t="shared" ca="1" si="44"/>
        <v>0.96001642512077301</v>
      </c>
      <c r="AU56" s="242">
        <f t="shared" ca="1" si="45"/>
        <v>0.96001642512077301</v>
      </c>
      <c r="AV56" s="241">
        <f t="shared" ca="1" si="807"/>
        <v>1</v>
      </c>
      <c r="AW56" s="220">
        <f t="shared" ca="1" si="597"/>
        <v>0.99316689149899995</v>
      </c>
      <c r="AX56" s="220">
        <f t="shared" ca="1" si="598"/>
        <v>0</v>
      </c>
      <c r="AY56" s="235">
        <f t="shared" ca="1" si="48"/>
        <v>0.92713192046395487</v>
      </c>
      <c r="AZ56" s="235">
        <f t="shared" ca="1" si="49"/>
        <v>0.92713192046395487</v>
      </c>
      <c r="BA56" s="242">
        <f t="shared" ca="1" si="50"/>
        <v>0.92713192046395487</v>
      </c>
      <c r="BB56" s="241">
        <f t="shared" ca="1" si="807"/>
        <v>1</v>
      </c>
      <c r="BC56" s="220">
        <f t="shared" ca="1" si="599"/>
        <v>0.99288681843559723</v>
      </c>
      <c r="BD56" s="220">
        <f t="shared" ca="1" si="600"/>
        <v>0</v>
      </c>
      <c r="BE56" s="235">
        <f t="shared" ca="1" si="54"/>
        <v>0.89552702344191704</v>
      </c>
      <c r="BF56" s="235">
        <f t="shared" ca="1" si="55"/>
        <v>0.89552702344191704</v>
      </c>
      <c r="BG56" s="242">
        <f t="shared" ca="1" si="56"/>
        <v>0.89552702344191704</v>
      </c>
      <c r="BH56" s="241">
        <f t="shared" ca="1" si="807"/>
        <v>1</v>
      </c>
      <c r="BI56" s="220">
        <f t="shared" ca="1" si="601"/>
        <v>0.99265845446735712</v>
      </c>
      <c r="BJ56" s="220">
        <f t="shared" ca="1" si="602"/>
        <v>0</v>
      </c>
      <c r="BK56" s="235">
        <f t="shared" ca="1" si="59"/>
        <v>0.86504449490485558</v>
      </c>
      <c r="BL56" s="235">
        <f t="shared" ca="1" si="60"/>
        <v>0.86504449490485558</v>
      </c>
      <c r="BM56" s="242">
        <f t="shared" ca="1" si="61"/>
        <v>0.86504449490485558</v>
      </c>
      <c r="BN56" s="241">
        <f t="shared" ca="1" si="807"/>
        <v>1</v>
      </c>
      <c r="BO56" s="220">
        <f t="shared" ca="1" si="603"/>
        <v>0.99249069518855215</v>
      </c>
      <c r="BP56" s="220">
        <f t="shared" ca="1" si="604"/>
        <v>0</v>
      </c>
      <c r="BQ56" s="235">
        <f t="shared" ca="1" si="64"/>
        <v>0.83565053370552345</v>
      </c>
      <c r="BR56" s="235">
        <f t="shared" ca="1" si="65"/>
        <v>0.83565053370552345</v>
      </c>
      <c r="BS56" s="242">
        <f t="shared" ca="1" si="66"/>
        <v>0.83565053370552345</v>
      </c>
      <c r="BT56" s="241">
        <f t="shared" ca="1" si="807"/>
        <v>1</v>
      </c>
      <c r="BU56" s="220">
        <f t="shared" ca="1" si="605"/>
        <v>0.99233685913079794</v>
      </c>
      <c r="BV56" s="220">
        <f t="shared" ca="1" si="606"/>
        <v>0</v>
      </c>
      <c r="BW56" s="235">
        <f t="shared" ca="1" si="69"/>
        <v>0.80726667427323584</v>
      </c>
      <c r="BX56" s="235">
        <f t="shared" ca="1" si="70"/>
        <v>0.80726667427323584</v>
      </c>
      <c r="BY56" s="242">
        <f t="shared" ca="1" si="71"/>
        <v>0.80726667427323584</v>
      </c>
      <c r="BZ56" s="241">
        <f t="shared" ca="1" si="807"/>
        <v>1</v>
      </c>
      <c r="CA56" s="220">
        <f t="shared" ca="1" si="607"/>
        <v>0.992192970286224</v>
      </c>
      <c r="CB56" s="220">
        <f t="shared" ca="1" si="608"/>
        <v>0</v>
      </c>
      <c r="CC56" s="235">
        <f t="shared" ca="1" si="74"/>
        <v>0.7798547058990013</v>
      </c>
      <c r="CD56" s="235">
        <f t="shared" ca="1" si="75"/>
        <v>0.7798547058990013</v>
      </c>
      <c r="CE56" s="242">
        <f t="shared" ca="1" si="76"/>
        <v>0.7798547058990013</v>
      </c>
      <c r="CF56" s="241">
        <f t="shared" ca="1" si="807"/>
        <v>1</v>
      </c>
      <c r="CG56" s="220">
        <f t="shared" ca="1" si="609"/>
        <v>0.9920590242352354</v>
      </c>
      <c r="CH56" s="220">
        <f t="shared" ca="1" si="610"/>
        <v>0</v>
      </c>
      <c r="CI56" s="235">
        <f t="shared" ca="1" si="79"/>
        <v>0.75338108745285515</v>
      </c>
      <c r="CJ56" s="235">
        <f t="shared" ca="1" si="80"/>
        <v>0.75338108745285515</v>
      </c>
      <c r="CK56" s="242">
        <f t="shared" ca="1" si="81"/>
        <v>0.75338108745285515</v>
      </c>
      <c r="CL56" s="241">
        <f t="shared" ca="1" si="807"/>
        <v>1</v>
      </c>
      <c r="CM56" s="220">
        <f t="shared" ca="1" si="611"/>
        <v>0.99193997715232718</v>
      </c>
      <c r="CN56" s="220">
        <f t="shared" ca="1" si="612"/>
        <v>0</v>
      </c>
      <c r="CO56" s="235">
        <f t="shared" ca="1" si="84"/>
        <v>0.72781708378972065</v>
      </c>
      <c r="CP56" s="235">
        <f t="shared" ca="1" si="85"/>
        <v>0.72781708378972065</v>
      </c>
      <c r="CQ56" s="242">
        <f t="shared" ca="1" si="86"/>
        <v>0.72781708378972065</v>
      </c>
      <c r="CR56" s="241">
        <f t="shared" ca="1" si="807"/>
        <v>1</v>
      </c>
      <c r="CS56" s="220">
        <f t="shared" ca="1" si="613"/>
        <v>0.99183582345472621</v>
      </c>
      <c r="CT56" s="220">
        <f t="shared" ca="1" si="614"/>
        <v>0</v>
      </c>
      <c r="CU56" s="235">
        <f t="shared" ca="1" si="89"/>
        <v>0.70313107535837949</v>
      </c>
      <c r="CV56" s="235">
        <f t="shared" ca="1" si="90"/>
        <v>0.70313107535837949</v>
      </c>
      <c r="CW56" s="242">
        <f t="shared" ca="1" si="91"/>
        <v>0.70313107535837949</v>
      </c>
      <c r="CX56" s="241">
        <f t="shared" ca="1" si="800"/>
        <v>1</v>
      </c>
      <c r="CY56" s="220">
        <f t="shared" ca="1" si="615"/>
        <v>0.99174259088732142</v>
      </c>
      <c r="CZ56" s="220">
        <f t="shared" ca="1" si="616"/>
        <v>0</v>
      </c>
      <c r="DA56" s="235">
        <f t="shared" ca="1" si="94"/>
        <v>0.6792898367510104</v>
      </c>
      <c r="DB56" s="235">
        <f t="shared" ca="1" si="95"/>
        <v>0.6792898367510104</v>
      </c>
      <c r="DC56" s="242">
        <f t="shared" ca="1" si="96"/>
        <v>0.6792898367510104</v>
      </c>
      <c r="DD56" s="241">
        <f t="shared" ca="1" si="800"/>
        <v>1</v>
      </c>
      <c r="DE56" s="220">
        <f t="shared" ca="1" si="617"/>
        <v>0.99164440837082357</v>
      </c>
      <c r="DF56" s="220">
        <f t="shared" ca="1" si="618"/>
        <v>0</v>
      </c>
      <c r="DG56" s="235">
        <f t="shared" ca="1" si="99"/>
        <v>0.65625370730161559</v>
      </c>
      <c r="DH56" s="235">
        <f t="shared" ca="1" si="100"/>
        <v>0.65625370730161559</v>
      </c>
      <c r="DI56" s="242">
        <f t="shared" ca="1" si="101"/>
        <v>0.65625370730161559</v>
      </c>
      <c r="DJ56" s="241">
        <f t="shared" ca="1" si="51"/>
        <v>1</v>
      </c>
      <c r="DK56" s="220">
        <f t="shared" ca="1" si="619"/>
        <v>0.9915115280201019</v>
      </c>
      <c r="DL56" s="220">
        <f t="shared" ca="1" si="620"/>
        <v>0</v>
      </c>
      <c r="DM56" s="235">
        <f t="shared" ca="1" si="104"/>
        <v>0.63397658870032592</v>
      </c>
      <c r="DN56" s="235">
        <f t="shared" ca="1" si="105"/>
        <v>0.63397658870032592</v>
      </c>
      <c r="DO56" s="242">
        <f t="shared" ca="1" si="106"/>
        <v>0.63397658870032592</v>
      </c>
      <c r="DP56" s="241">
        <f t="shared" ca="1" si="801"/>
        <v>1</v>
      </c>
      <c r="DQ56" s="220">
        <f t="shared" ca="1" si="621"/>
        <v>0.99130628513380181</v>
      </c>
      <c r="DR56" s="220">
        <f t="shared" ca="1" si="622"/>
        <v>0</v>
      </c>
      <c r="DS56" s="235">
        <f t="shared" ca="1" si="110"/>
        <v>0.61241097154247814</v>
      </c>
      <c r="DT56" s="235">
        <f t="shared" ca="1" si="111"/>
        <v>0.61241097154247814</v>
      </c>
      <c r="DU56" s="242">
        <f t="shared" ca="1" si="112"/>
        <v>0.61241097154247814</v>
      </c>
      <c r="DV56" s="241">
        <f t="shared" ca="1" si="801"/>
        <v>1</v>
      </c>
      <c r="DW56" s="220">
        <f t="shared" ca="1" si="623"/>
        <v>0.9909999714916955</v>
      </c>
      <c r="DX56" s="220">
        <f t="shared" ca="1" si="624"/>
        <v>0</v>
      </c>
      <c r="DY56" s="235">
        <f t="shared" ca="1" si="115"/>
        <v>0.59151858604084218</v>
      </c>
      <c r="DZ56" s="235">
        <f t="shared" ca="1" si="116"/>
        <v>0.59151858604084218</v>
      </c>
      <c r="EA56" s="242">
        <f t="shared" ca="1" si="117"/>
        <v>0.59151858604084218</v>
      </c>
      <c r="EB56" s="241">
        <f t="shared" ca="1" si="801"/>
        <v>1</v>
      </c>
      <c r="EC56" s="220">
        <f t="shared" ca="1" si="625"/>
        <v>0.99058474250364048</v>
      </c>
      <c r="ED56" s="220">
        <f t="shared" ca="1" si="626"/>
        <v>0</v>
      </c>
      <c r="EE56" s="235">
        <f t="shared" ca="1" si="120"/>
        <v>0.57127607705632</v>
      </c>
      <c r="EF56" s="235">
        <f t="shared" ca="1" si="121"/>
        <v>0.57127607705632</v>
      </c>
      <c r="EG56" s="242">
        <f t="shared" ca="1" si="122"/>
        <v>0.57127607705632</v>
      </c>
      <c r="EH56" s="241">
        <f t="shared" ca="1" si="801"/>
        <v>1</v>
      </c>
      <c r="EI56" s="220">
        <f t="shared" ca="1" si="627"/>
        <v>0.99005973259011348</v>
      </c>
      <c r="EJ56" s="220">
        <f t="shared" ca="1" si="628"/>
        <v>0</v>
      </c>
      <c r="EK56" s="235">
        <f t="shared" ca="1" si="125"/>
        <v>0.55166502486519819</v>
      </c>
      <c r="EL56" s="235">
        <f t="shared" ca="1" si="126"/>
        <v>0.55166502486519819</v>
      </c>
      <c r="EM56" s="242">
        <f t="shared" ca="1" si="127"/>
        <v>0.55166502486519819</v>
      </c>
      <c r="EN56" s="241">
        <f t="shared" ca="1" si="801"/>
        <v>1</v>
      </c>
      <c r="EO56" s="220">
        <f t="shared" ca="1" si="629"/>
        <v>0.98941124346526699</v>
      </c>
      <c r="EP56" s="220">
        <f t="shared" ca="1" si="630"/>
        <v>0</v>
      </c>
      <c r="EQ56" s="235">
        <f t="shared" ca="1" si="130"/>
        <v>0.53266056451585653</v>
      </c>
      <c r="ER56" s="235">
        <f t="shared" ca="1" si="131"/>
        <v>0.53266056451585653</v>
      </c>
      <c r="ES56" s="242">
        <f t="shared" ca="1" si="132"/>
        <v>0.53266056451585653</v>
      </c>
      <c r="ET56" s="241">
        <f t="shared" ca="1" si="801"/>
        <v>1</v>
      </c>
      <c r="EU56" s="220">
        <f t="shared" ca="1" si="631"/>
        <v>0.98862861917168599</v>
      </c>
      <c r="EV56" s="220">
        <f t="shared" ca="1" si="632"/>
        <v>0</v>
      </c>
      <c r="EW56" s="235">
        <f t="shared" ca="1" si="135"/>
        <v>0.51424080194137645</v>
      </c>
      <c r="EX56" s="235">
        <f t="shared" ca="1" si="136"/>
        <v>0.51424080194137645</v>
      </c>
      <c r="EY56" s="242">
        <f t="shared" ca="1" si="137"/>
        <v>0.51424080194137645</v>
      </c>
      <c r="EZ56" s="241">
        <f t="shared" ca="1" si="801"/>
        <v>1</v>
      </c>
      <c r="FA56" s="220">
        <f t="shared" ca="1" si="633"/>
        <v>0.98770524004137961</v>
      </c>
      <c r="FB56" s="220">
        <f t="shared" ca="1" si="634"/>
        <v>0</v>
      </c>
      <c r="FC56" s="235">
        <f t="shared" ca="1" si="140"/>
        <v>0.49638695751919149</v>
      </c>
      <c r="FD56" s="235">
        <f t="shared" ca="1" si="141"/>
        <v>0.49638695751919149</v>
      </c>
      <c r="FE56" s="242">
        <f t="shared" ca="1" si="142"/>
        <v>0.49638695751919149</v>
      </c>
      <c r="FF56" s="241">
        <f t="shared" ca="1" si="801"/>
        <v>1</v>
      </c>
      <c r="FG56" s="220">
        <f t="shared" ca="1" si="635"/>
        <v>0.98663357985593469</v>
      </c>
      <c r="FH56" s="220">
        <f t="shared" ca="1" si="636"/>
        <v>0</v>
      </c>
      <c r="FI56" s="235">
        <f t="shared" ca="1" si="145"/>
        <v>0.4790805581355394</v>
      </c>
      <c r="FJ56" s="235">
        <f t="shared" ca="1" si="146"/>
        <v>0.4790805581355394</v>
      </c>
      <c r="FK56" s="242">
        <f t="shared" ca="1" si="147"/>
        <v>0.4790805581355394</v>
      </c>
      <c r="FL56" s="241">
        <f t="shared" ca="1" si="801"/>
        <v>1</v>
      </c>
      <c r="FM56" s="220">
        <f t="shared" ca="1" si="637"/>
        <v>0.98542199381987161</v>
      </c>
      <c r="FN56" s="220">
        <f t="shared" ca="1" si="638"/>
        <v>0</v>
      </c>
      <c r="FO56" s="235">
        <f t="shared" ca="1" si="150"/>
        <v>0.46231134996149653</v>
      </c>
      <c r="FP56" s="235">
        <f t="shared" ca="1" si="151"/>
        <v>0.46231134996149653</v>
      </c>
      <c r="FQ56" s="242">
        <f t="shared" ca="1" si="152"/>
        <v>0.46231134996149653</v>
      </c>
      <c r="FR56" s="241">
        <f t="shared" ca="1" si="801"/>
        <v>1</v>
      </c>
      <c r="FS56" s="220">
        <f t="shared" ca="1" si="639"/>
        <v>0.98410251377014679</v>
      </c>
      <c r="FT56" s="220">
        <f t="shared" ca="1" si="640"/>
        <v>0</v>
      </c>
      <c r="FU56" s="235">
        <f t="shared" ca="1" si="155"/>
        <v>0.44607953146270346</v>
      </c>
      <c r="FV56" s="235">
        <f t="shared" ca="1" si="156"/>
        <v>0.44607953146270346</v>
      </c>
      <c r="FW56" s="242">
        <f t="shared" ca="1" si="157"/>
        <v>0.44607953146270346</v>
      </c>
      <c r="FX56" s="241">
        <f t="shared" ca="1" si="801"/>
        <v>1</v>
      </c>
      <c r="FY56" s="220">
        <f t="shared" ca="1" si="641"/>
        <v>0.98272181794332725</v>
      </c>
      <c r="FZ56" s="220">
        <f t="shared" ca="1" si="642"/>
        <v>0</v>
      </c>
      <c r="GA56" s="235">
        <f t="shared" ca="1" si="160"/>
        <v>0.43039003080199167</v>
      </c>
      <c r="GB56" s="235">
        <f t="shared" ca="1" si="161"/>
        <v>0.43039003080199167</v>
      </c>
      <c r="GC56" s="242">
        <f t="shared" ca="1" si="162"/>
        <v>0.43039003080199167</v>
      </c>
      <c r="GD56" s="241">
        <f t="shared" ca="1" si="795"/>
        <v>1</v>
      </c>
      <c r="GE56" s="220">
        <f t="shared" ca="1" si="643"/>
        <v>0.98131357757821447</v>
      </c>
      <c r="GF56" s="220">
        <f t="shared" ca="1" si="644"/>
        <v>0</v>
      </c>
      <c r="GG56" s="235">
        <f t="shared" ca="1" si="166"/>
        <v>0.41523988588198307</v>
      </c>
      <c r="GH56" s="235">
        <f t="shared" ca="1" si="167"/>
        <v>0.41523988588198307</v>
      </c>
      <c r="GI56" s="242">
        <f t="shared" ca="1" si="168"/>
        <v>0.41523988588198307</v>
      </c>
      <c r="GJ56" s="241">
        <f t="shared" ca="1" si="795"/>
        <v>1</v>
      </c>
      <c r="GK56" s="220">
        <f t="shared" ca="1" si="645"/>
        <v>0.97988969157714845</v>
      </c>
      <c r="GL56" s="220">
        <f t="shared" ca="1" si="646"/>
        <v>0</v>
      </c>
      <c r="GM56" s="235">
        <f t="shared" ca="1" si="171"/>
        <v>0.40061581913774713</v>
      </c>
      <c r="GN56" s="235">
        <f t="shared" ca="1" si="172"/>
        <v>0.40061581913774713</v>
      </c>
      <c r="GO56" s="242">
        <f t="shared" ca="1" si="173"/>
        <v>0.40061581913774713</v>
      </c>
      <c r="GP56" s="241">
        <f t="shared" ca="1" si="802"/>
        <v>1</v>
      </c>
      <c r="GQ56" s="220">
        <f t="shared" ca="1" si="647"/>
        <v>0.9784443542820721</v>
      </c>
      <c r="GR56" s="220">
        <f t="shared" ca="1" si="648"/>
        <v>0</v>
      </c>
      <c r="GS56" s="235">
        <f t="shared" ca="1" si="176"/>
        <v>0.38649749836185404</v>
      </c>
      <c r="GT56" s="235">
        <f t="shared" ca="1" si="177"/>
        <v>0.38649749836185404</v>
      </c>
      <c r="GU56" s="242">
        <f t="shared" ca="1" si="178"/>
        <v>0.38649749836185404</v>
      </c>
      <c r="GV56" s="241">
        <f t="shared" ca="1" si="802"/>
        <v>1</v>
      </c>
      <c r="GW56" s="220">
        <f t="shared" ca="1" si="649"/>
        <v>0.97697473086194042</v>
      </c>
      <c r="GX56" s="220">
        <f t="shared" ca="1" si="650"/>
        <v>0</v>
      </c>
      <c r="GY56" s="235">
        <f t="shared" ca="1" si="181"/>
        <v>0.37286664649209134</v>
      </c>
      <c r="GZ56" s="235">
        <f t="shared" ca="1" si="182"/>
        <v>0.37286664649209134</v>
      </c>
      <c r="HA56" s="242">
        <f t="shared" ca="1" si="183"/>
        <v>0.37286664649209134</v>
      </c>
      <c r="HB56" s="241">
        <f t="shared" ca="1" si="802"/>
        <v>1</v>
      </c>
      <c r="HC56" s="220">
        <f t="shared" ca="1" si="651"/>
        <v>0.97547214372587476</v>
      </c>
      <c r="HD56" s="220">
        <f t="shared" ca="1" si="652"/>
        <v>0</v>
      </c>
      <c r="HE56" s="235">
        <f t="shared" ca="1" si="186"/>
        <v>0.35970355322684694</v>
      </c>
      <c r="HF56" s="235">
        <f t="shared" ca="1" si="187"/>
        <v>0.35970355322684694</v>
      </c>
      <c r="HG56" s="242">
        <f t="shared" ca="1" si="188"/>
        <v>0.35970355322684694</v>
      </c>
      <c r="HH56" s="241">
        <f t="shared" ca="1" si="802"/>
        <v>1</v>
      </c>
      <c r="HI56" s="220">
        <f t="shared" ca="1" si="653"/>
        <v>0.9739299222666441</v>
      </c>
      <c r="HJ56" s="220">
        <f t="shared" ca="1" si="654"/>
        <v>0</v>
      </c>
      <c r="HK56" s="235">
        <f t="shared" ca="1" si="191"/>
        <v>0.34699020474318382</v>
      </c>
      <c r="HL56" s="235">
        <f t="shared" ca="1" si="192"/>
        <v>0.34699020474318382</v>
      </c>
      <c r="HM56" s="242">
        <f t="shared" ca="1" si="193"/>
        <v>0.34699020474318382</v>
      </c>
      <c r="HN56" s="241">
        <f t="shared" ca="1" si="802"/>
        <v>1</v>
      </c>
      <c r="HO56" s="220">
        <f t="shared" ca="1" si="655"/>
        <v>0.97234631221303847</v>
      </c>
      <c r="HP56" s="220">
        <f t="shared" ca="1" si="656"/>
        <v>0</v>
      </c>
      <c r="HQ56" s="235">
        <f t="shared" ca="1" si="196"/>
        <v>0.33471110982634922</v>
      </c>
      <c r="HR56" s="235">
        <f t="shared" ca="1" si="197"/>
        <v>0.33471110982634922</v>
      </c>
      <c r="HS56" s="242">
        <f t="shared" ca="1" si="198"/>
        <v>0.33471110982634922</v>
      </c>
      <c r="HT56" s="241">
        <f t="shared" ca="1" si="802"/>
        <v>1</v>
      </c>
      <c r="HU56" s="220">
        <f t="shared" ca="1" si="657"/>
        <v>0.97072346621795491</v>
      </c>
      <c r="HV56" s="220">
        <f t="shared" ca="1" si="658"/>
        <v>0</v>
      </c>
      <c r="HW56" s="235">
        <f t="shared" ca="1" si="201"/>
        <v>0.32285263476719722</v>
      </c>
      <c r="HX56" s="235">
        <f t="shared" ca="1" si="202"/>
        <v>0.32285263476719722</v>
      </c>
      <c r="HY56" s="242">
        <f t="shared" ca="1" si="203"/>
        <v>0.32285263476719722</v>
      </c>
      <c r="HZ56" s="241">
        <f t="shared" ca="1" si="802"/>
        <v>1</v>
      </c>
      <c r="IA56" s="220">
        <f t="shared" ca="1" si="659"/>
        <v>0.96906158764378969</v>
      </c>
      <c r="IB56" s="220">
        <f t="shared" ca="1" si="660"/>
        <v>0</v>
      </c>
      <c r="IC56" s="235">
        <f t="shared" ca="1" si="206"/>
        <v>0.31140088024780266</v>
      </c>
      <c r="ID56" s="235">
        <f t="shared" ca="1" si="207"/>
        <v>0.31140088024780266</v>
      </c>
      <c r="IE56" s="242">
        <f t="shared" ca="1" si="208"/>
        <v>0.31140088024780266</v>
      </c>
      <c r="IF56" s="241">
        <f t="shared" ca="1" si="802"/>
        <v>1</v>
      </c>
      <c r="IG56" s="220">
        <f t="shared" ca="1" si="661"/>
        <v>0.96736088455747493</v>
      </c>
      <c r="IH56" s="220">
        <f t="shared" ca="1" si="662"/>
        <v>0</v>
      </c>
      <c r="II56" s="235">
        <f t="shared" ca="1" si="211"/>
        <v>0.30034238811880948</v>
      </c>
      <c r="IJ56" s="235">
        <f t="shared" ca="1" si="212"/>
        <v>0.30034238811880948</v>
      </c>
      <c r="IK56" s="242">
        <f t="shared" ca="1" si="213"/>
        <v>0.30034238811880948</v>
      </c>
      <c r="IL56" s="241">
        <f t="shared" ca="1" si="802"/>
        <v>1</v>
      </c>
      <c r="IM56" s="220">
        <f t="shared" ca="1" si="663"/>
        <v>0.96561963496527148</v>
      </c>
      <c r="IN56" s="220">
        <f t="shared" ca="1" si="664"/>
        <v>0</v>
      </c>
      <c r="IO56" s="235">
        <f t="shared" ca="1" si="216"/>
        <v>0.28966354765236296</v>
      </c>
      <c r="IP56" s="235">
        <f t="shared" ca="1" si="217"/>
        <v>0.28966354765236296</v>
      </c>
      <c r="IQ56" s="242">
        <f t="shared" ca="1" si="218"/>
        <v>0.28966354765236296</v>
      </c>
      <c r="IR56" s="241">
        <f t="shared" ca="1" si="802"/>
        <v>1</v>
      </c>
      <c r="IS56" s="220">
        <f t="shared" ca="1" si="665"/>
        <v>0.96382841054241086</v>
      </c>
      <c r="IT56" s="220">
        <f t="shared" ca="1" si="666"/>
        <v>0</v>
      </c>
      <c r="IU56" s="235">
        <f t="shared" ca="1" si="222"/>
        <v>0.27934900654248102</v>
      </c>
      <c r="IV56" s="235">
        <f t="shared" ca="1" si="223"/>
        <v>0.27934900654248102</v>
      </c>
      <c r="IW56" s="242">
        <f t="shared" ca="1" si="224"/>
        <v>0.27934900654248102</v>
      </c>
      <c r="IX56" s="241">
        <f t="shared" ca="1" si="802"/>
        <v>1</v>
      </c>
      <c r="IY56" s="220">
        <f t="shared" ca="1" si="667"/>
        <v>0.9619778599941694</v>
      </c>
      <c r="IZ56" s="220">
        <f t="shared" ca="1" si="668"/>
        <v>0</v>
      </c>
      <c r="JA56" s="235">
        <f t="shared" ca="1" si="227"/>
        <v>0.26938420913035699</v>
      </c>
      <c r="JB56" s="235">
        <f t="shared" ca="1" si="228"/>
        <v>0.26938420913035699</v>
      </c>
      <c r="JC56" s="242">
        <f t="shared" ca="1" si="229"/>
        <v>0.26938420913035699</v>
      </c>
      <c r="JD56" s="241">
        <f t="shared" ca="1" si="796"/>
        <v>1</v>
      </c>
      <c r="JE56" s="220">
        <f t="shared" ca="1" si="669"/>
        <v>0.96006544800850102</v>
      </c>
      <c r="JF56" s="220">
        <f t="shared" ca="1" si="670"/>
        <v>0</v>
      </c>
      <c r="JG56" s="235">
        <f t="shared" ca="1" si="232"/>
        <v>0.25975717229237277</v>
      </c>
      <c r="JH56" s="235">
        <f t="shared" ca="1" si="233"/>
        <v>0.25975717229237277</v>
      </c>
      <c r="JI56" s="242">
        <f t="shared" ca="1" si="234"/>
        <v>0.25975717229237277</v>
      </c>
      <c r="JJ56" s="241">
        <f t="shared" ca="1" si="796"/>
        <v>1</v>
      </c>
      <c r="JK56" s="220">
        <f t="shared" ca="1" si="671"/>
        <v>0.9580877131856036</v>
      </c>
      <c r="JL56" s="220">
        <f t="shared" ca="1" si="672"/>
        <v>0</v>
      </c>
      <c r="JM56" s="235">
        <f t="shared" ca="1" si="237"/>
        <v>0.25045610871251262</v>
      </c>
      <c r="JN56" s="235">
        <f t="shared" ca="1" si="238"/>
        <v>0.25045610871251262</v>
      </c>
      <c r="JO56" s="242">
        <f t="shared" ca="1" si="239"/>
        <v>0.25045610871251262</v>
      </c>
      <c r="JP56" s="241">
        <f t="shared" ca="1" si="803"/>
        <v>1</v>
      </c>
      <c r="JQ56" s="220">
        <f t="shared" ca="1" si="673"/>
        <v>0.95603644739167326</v>
      </c>
      <c r="JR56" s="220">
        <f t="shared" ca="1" si="674"/>
        <v>0</v>
      </c>
      <c r="JS56" s="235">
        <f t="shared" ca="1" si="242"/>
        <v>0.24146848520169967</v>
      </c>
      <c r="JT56" s="235">
        <f t="shared" ca="1" si="243"/>
        <v>0.24146848520169967</v>
      </c>
      <c r="JU56" s="242">
        <f t="shared" ca="1" si="244"/>
        <v>0.24146848520169967</v>
      </c>
      <c r="JV56" s="241">
        <f t="shared" ca="1" si="803"/>
        <v>1</v>
      </c>
      <c r="JW56" s="220">
        <f t="shared" ca="1" si="675"/>
        <v>0.95389492574951584</v>
      </c>
      <c r="JX56" s="220">
        <f t="shared" ca="1" si="676"/>
        <v>0</v>
      </c>
      <c r="JY56" s="235">
        <f t="shared" ca="1" si="247"/>
        <v>0.23278028579212359</v>
      </c>
      <c r="JZ56" s="235">
        <f t="shared" ca="1" si="248"/>
        <v>0.23278028579212359</v>
      </c>
      <c r="KA56" s="242">
        <f t="shared" ca="1" si="249"/>
        <v>0.23278028579212359</v>
      </c>
      <c r="KB56" s="241">
        <f t="shared" ca="1" si="803"/>
        <v>1</v>
      </c>
      <c r="KC56" s="220">
        <f t="shared" ca="1" si="677"/>
        <v>0.95164182593489555</v>
      </c>
      <c r="KD56" s="220">
        <f t="shared" ca="1" si="678"/>
        <v>0</v>
      </c>
      <c r="KE56" s="235">
        <f t="shared" ca="1" si="252"/>
        <v>0.22437725483776094</v>
      </c>
      <c r="KF56" s="235">
        <f t="shared" ca="1" si="253"/>
        <v>0.22437725483776094</v>
      </c>
      <c r="KG56" s="242">
        <f t="shared" ca="1" si="254"/>
        <v>0.22437725483776094</v>
      </c>
      <c r="KH56" s="241">
        <f t="shared" ca="1" si="803"/>
        <v>1</v>
      </c>
      <c r="KI56" s="220">
        <f t="shared" ca="1" si="679"/>
        <v>0.94925415659362489</v>
      </c>
      <c r="KJ56" s="220">
        <f t="shared" ca="1" si="680"/>
        <v>0</v>
      </c>
      <c r="KK56" s="235">
        <f t="shared" ca="1" si="257"/>
        <v>0.21624569304866956</v>
      </c>
      <c r="KL56" s="235">
        <f t="shared" ca="1" si="258"/>
        <v>0.21624569304866956</v>
      </c>
      <c r="KM56" s="242">
        <f t="shared" ca="1" si="259"/>
        <v>0.21624569304866956</v>
      </c>
      <c r="KN56" s="241">
        <f t="shared" ca="1" si="803"/>
        <v>1</v>
      </c>
      <c r="KO56" s="220">
        <f t="shared" ca="1" si="681"/>
        <v>0.94670635843732753</v>
      </c>
      <c r="KP56" s="220">
        <f t="shared" ca="1" si="682"/>
        <v>0</v>
      </c>
      <c r="KQ56" s="235">
        <f t="shared" ca="1" si="262"/>
        <v>0.2083722604913304</v>
      </c>
      <c r="KR56" s="235">
        <f t="shared" ca="1" si="263"/>
        <v>0.2083722604913304</v>
      </c>
      <c r="KS56" s="242">
        <f t="shared" ca="1" si="264"/>
        <v>0.2083722604913304</v>
      </c>
      <c r="KT56" s="241">
        <f t="shared" ca="1" si="803"/>
        <v>1</v>
      </c>
      <c r="KU56" s="220">
        <f t="shared" ca="1" si="683"/>
        <v>0.94397037706144371</v>
      </c>
      <c r="KV56" s="220">
        <f t="shared" ca="1" si="684"/>
        <v>0</v>
      </c>
      <c r="KW56" s="235">
        <f t="shared" ca="1" si="267"/>
        <v>0.20074402382464779</v>
      </c>
      <c r="KX56" s="235">
        <f t="shared" ca="1" si="268"/>
        <v>0.20074402382464779</v>
      </c>
      <c r="KY56" s="242">
        <f t="shared" ca="1" si="269"/>
        <v>0.20074402382464779</v>
      </c>
      <c r="KZ56" s="241">
        <f t="shared" ca="1" si="803"/>
        <v>1</v>
      </c>
      <c r="LA56" s="220">
        <f t="shared" ca="1" si="685"/>
        <v>0.94102424551463493</v>
      </c>
      <c r="LB56" s="220">
        <f t="shared" ca="1" si="686"/>
        <v>0</v>
      </c>
      <c r="LC56" s="235">
        <f t="shared" ca="1" si="272"/>
        <v>0.19335024321380778</v>
      </c>
      <c r="LD56" s="235">
        <f t="shared" ca="1" si="273"/>
        <v>0.19335024321380778</v>
      </c>
      <c r="LE56" s="242">
        <f t="shared" ca="1" si="274"/>
        <v>0.19335024321380778</v>
      </c>
      <c r="LF56" s="241">
        <f t="shared" ca="1" si="803"/>
        <v>1</v>
      </c>
      <c r="LG56" s="220">
        <f t="shared" ca="1" si="687"/>
        <v>0.93783793741932242</v>
      </c>
      <c r="LH56" s="220">
        <f t="shared" ca="1" si="688"/>
        <v>0</v>
      </c>
      <c r="LI56" s="235">
        <f t="shared" ca="1" si="278"/>
        <v>0.18617928433844047</v>
      </c>
      <c r="LJ56" s="235">
        <f t="shared" ca="1" si="279"/>
        <v>0.18617928433844047</v>
      </c>
      <c r="LK56" s="242">
        <f t="shared" ca="1" si="280"/>
        <v>0.18617928433844047</v>
      </c>
      <c r="LL56" s="241">
        <f t="shared" ca="1" si="803"/>
        <v>1</v>
      </c>
      <c r="LM56" s="220">
        <f t="shared" ca="1" si="689"/>
        <v>0.93436137218530901</v>
      </c>
      <c r="LN56" s="220">
        <f t="shared" ca="1" si="690"/>
        <v>0</v>
      </c>
      <c r="LO56" s="235">
        <f t="shared" ca="1" si="283"/>
        <v>0.17921653887091585</v>
      </c>
      <c r="LP56" s="235">
        <f t="shared" ca="1" si="284"/>
        <v>0.17921653887091585</v>
      </c>
      <c r="LQ56" s="242">
        <f t="shared" ca="1" si="285"/>
        <v>0.17921653887091585</v>
      </c>
      <c r="LR56" s="241">
        <f t="shared" ca="1" si="803"/>
        <v>1</v>
      </c>
      <c r="LS56" s="220">
        <f t="shared" ca="1" si="691"/>
        <v>0.93053889981169891</v>
      </c>
      <c r="LT56" s="220">
        <f t="shared" ca="1" si="692"/>
        <v>0</v>
      </c>
      <c r="LU56" s="235">
        <f t="shared" ca="1" si="288"/>
        <v>0.17244769469603377</v>
      </c>
      <c r="LV56" s="235">
        <f t="shared" ca="1" si="289"/>
        <v>0.17244769469603377</v>
      </c>
      <c r="LW56" s="242">
        <f t="shared" ca="1" si="290"/>
        <v>0.17244769469603377</v>
      </c>
      <c r="LX56" s="241">
        <f t="shared" ca="1" si="803"/>
        <v>1</v>
      </c>
      <c r="LY56" s="220">
        <f t="shared" ca="1" si="693"/>
        <v>0.92632262805665211</v>
      </c>
      <c r="LZ56" s="220">
        <f t="shared" ca="1" si="694"/>
        <v>0</v>
      </c>
      <c r="MA56" s="235">
        <f t="shared" ca="1" si="293"/>
        <v>0.16586119245542613</v>
      </c>
      <c r="MB56" s="235">
        <f t="shared" ca="1" si="294"/>
        <v>0.16586119245542613</v>
      </c>
      <c r="MC56" s="242">
        <f t="shared" ca="1" si="295"/>
        <v>0.16586119245542613</v>
      </c>
      <c r="MD56" s="241">
        <f t="shared" ca="1" si="797"/>
        <v>1</v>
      </c>
      <c r="ME56" s="220">
        <f t="shared" ca="1" si="695"/>
        <v>0.92167897272220412</v>
      </c>
      <c r="MF56" s="220">
        <f t="shared" ca="1" si="696"/>
        <v>0</v>
      </c>
      <c r="MG56" s="235">
        <f t="shared" ca="1" si="298"/>
        <v>0.15944901478033538</v>
      </c>
      <c r="MH56" s="235">
        <f t="shared" ca="1" si="299"/>
        <v>0.15944901478033538</v>
      </c>
      <c r="MI56" s="242">
        <f t="shared" ca="1" si="300"/>
        <v>0.15944901478033538</v>
      </c>
      <c r="MJ56" s="241">
        <f t="shared" ca="1" si="797"/>
        <v>1</v>
      </c>
      <c r="MK56" s="220">
        <f t="shared" ca="1" si="697"/>
        <v>0.91658761807688671</v>
      </c>
      <c r="ML56" s="220">
        <f t="shared" ca="1" si="698"/>
        <v>0</v>
      </c>
      <c r="MM56" s="235">
        <f t="shared" ca="1" si="303"/>
        <v>0.15320600813786359</v>
      </c>
      <c r="MN56" s="235">
        <f t="shared" ca="1" si="304"/>
        <v>0.15320600813786359</v>
      </c>
      <c r="MO56" s="242">
        <f t="shared" ca="1" si="305"/>
        <v>0.15320600813786359</v>
      </c>
      <c r="MP56" s="241">
        <f t="shared" ca="1" si="804"/>
        <v>1</v>
      </c>
      <c r="MQ56" s="220">
        <f t="shared" ca="1" si="699"/>
        <v>0.91103401369895887</v>
      </c>
      <c r="MR56" s="220">
        <f t="shared" ca="1" si="700"/>
        <v>0</v>
      </c>
      <c r="MS56" s="235">
        <f t="shared" ca="1" si="308"/>
        <v>0.1471282443812138</v>
      </c>
      <c r="MT56" s="235">
        <f t="shared" ca="1" si="309"/>
        <v>0.1471282443812138</v>
      </c>
      <c r="MU56" s="242">
        <f t="shared" ca="1" si="310"/>
        <v>0.1471282443812138</v>
      </c>
      <c r="MV56" s="241">
        <f t="shared" ca="1" si="804"/>
        <v>1</v>
      </c>
      <c r="MW56" s="220">
        <f t="shared" ca="1" si="701"/>
        <v>0.90501116783439506</v>
      </c>
      <c r="MX56" s="220">
        <f t="shared" ca="1" si="702"/>
        <v>0</v>
      </c>
      <c r="MY56" s="235">
        <f t="shared" ca="1" si="313"/>
        <v>0.14121312034551653</v>
      </c>
      <c r="MZ56" s="235">
        <f t="shared" ca="1" si="314"/>
        <v>0.14121312034551653</v>
      </c>
      <c r="NA56" s="242">
        <f t="shared" ca="1" si="315"/>
        <v>0.14121312034551653</v>
      </c>
      <c r="NB56" s="241">
        <f t="shared" ca="1" si="804"/>
        <v>1</v>
      </c>
      <c r="NC56" s="220">
        <f t="shared" ca="1" si="703"/>
        <v>0.89850685257116925</v>
      </c>
      <c r="ND56" s="220">
        <f t="shared" ca="1" si="704"/>
        <v>0</v>
      </c>
      <c r="NE56" s="235">
        <f t="shared" ca="1" si="318"/>
        <v>0.13545721898511429</v>
      </c>
      <c r="NF56" s="235">
        <f t="shared" ca="1" si="319"/>
        <v>0.13545721898511429</v>
      </c>
      <c r="NG56" s="242">
        <f t="shared" ca="1" si="320"/>
        <v>0.13545721898511429</v>
      </c>
      <c r="NH56" s="241">
        <f t="shared" ca="1" si="804"/>
        <v>1</v>
      </c>
      <c r="NI56" s="220">
        <f t="shared" ca="1" si="705"/>
        <v>0.89149849912111412</v>
      </c>
      <c r="NJ56" s="220">
        <f t="shared" ca="1" si="706"/>
        <v>0</v>
      </c>
      <c r="NK56" s="235">
        <f t="shared" ca="1" si="323"/>
        <v>0.12985570306959462</v>
      </c>
      <c r="NL56" s="235">
        <f t="shared" ca="1" si="324"/>
        <v>0.12985570306959462</v>
      </c>
      <c r="NM56" s="242">
        <f t="shared" ca="1" si="325"/>
        <v>0.12985570306959462</v>
      </c>
      <c r="NN56" s="241">
        <f t="shared" ca="1" si="804"/>
        <v>1</v>
      </c>
      <c r="NO56" s="220">
        <f t="shared" ca="1" si="707"/>
        <v>0.88395998781254592</v>
      </c>
      <c r="NP56" s="220">
        <f t="shared" ca="1" si="708"/>
        <v>0</v>
      </c>
      <c r="NQ56" s="235">
        <f t="shared" ca="1" si="328"/>
        <v>0.12440352004293539</v>
      </c>
      <c r="NR56" s="235">
        <f t="shared" ca="1" si="329"/>
        <v>0.12440352004293539</v>
      </c>
      <c r="NS56" s="242">
        <f t="shared" ca="1" si="330"/>
        <v>0.12440352004293539</v>
      </c>
      <c r="NT56" s="241">
        <f t="shared" ca="1" si="804"/>
        <v>1</v>
      </c>
      <c r="NU56" s="220">
        <f t="shared" ca="1" si="709"/>
        <v>0.87587705768398794</v>
      </c>
      <c r="NV56" s="220">
        <f t="shared" ca="1" si="710"/>
        <v>0</v>
      </c>
      <c r="NW56" s="235">
        <f t="shared" ca="1" si="334"/>
        <v>0.11909755966730703</v>
      </c>
      <c r="NX56" s="235">
        <f t="shared" ca="1" si="335"/>
        <v>0.11909755966730703</v>
      </c>
      <c r="NY56" s="242">
        <f t="shared" ca="1" si="336"/>
        <v>0.11909755966730703</v>
      </c>
      <c r="NZ56" s="241">
        <f t="shared" ca="1" si="804"/>
        <v>1</v>
      </c>
      <c r="OA56" s="220">
        <f t="shared" ca="1" si="711"/>
        <v>0.86723653050993543</v>
      </c>
      <c r="OB56" s="220">
        <f t="shared" ca="1" si="712"/>
        <v>0</v>
      </c>
      <c r="OC56" s="235">
        <f t="shared" ca="1" si="339"/>
        <v>0.11393493936346769</v>
      </c>
      <c r="OD56" s="235">
        <f t="shared" ca="1" si="340"/>
        <v>0.11393493936346769</v>
      </c>
      <c r="OE56" s="242">
        <f t="shared" ca="1" si="341"/>
        <v>0.11393493936346769</v>
      </c>
      <c r="OF56" s="241">
        <f t="shared" ca="1" si="804"/>
        <v>1</v>
      </c>
      <c r="OG56" s="220">
        <f t="shared" ca="1" si="713"/>
        <v>0.85802474408285889</v>
      </c>
      <c r="OH56" s="220">
        <f t="shared" ca="1" si="714"/>
        <v>0</v>
      </c>
      <c r="OI56" s="235">
        <f t="shared" ca="1" si="344"/>
        <v>0.10891277530197965</v>
      </c>
      <c r="OJ56" s="235">
        <f t="shared" ca="1" si="345"/>
        <v>0.10891277530197965</v>
      </c>
      <c r="OK56" s="242">
        <f t="shared" ca="1" si="346"/>
        <v>0.10891277530197965</v>
      </c>
      <c r="OL56" s="241">
        <f t="shared" ca="1" si="804"/>
        <v>1</v>
      </c>
      <c r="OM56" s="220">
        <f t="shared" ca="1" si="715"/>
        <v>0.84819349656515752</v>
      </c>
      <c r="ON56" s="220">
        <f t="shared" ca="1" si="716"/>
        <v>0</v>
      </c>
      <c r="OO56" s="235">
        <f t="shared" ca="1" si="349"/>
        <v>0.10402401229233778</v>
      </c>
      <c r="OP56" s="235">
        <f t="shared" ca="1" si="350"/>
        <v>0.10402401229233778</v>
      </c>
      <c r="OQ56" s="242">
        <f t="shared" ca="1" si="351"/>
        <v>0.10402401229233778</v>
      </c>
      <c r="OR56" s="241">
        <f t="shared" ca="1" si="804"/>
        <v>1</v>
      </c>
      <c r="OS56" s="220">
        <f t="shared" ca="1" si="717"/>
        <v>0.83771830688257787</v>
      </c>
      <c r="OT56" s="220">
        <f t="shared" ca="1" si="718"/>
        <v>0</v>
      </c>
      <c r="OU56" s="235">
        <f t="shared" ca="1" si="354"/>
        <v>9.9265039362828419E-2</v>
      </c>
      <c r="OV56" s="235">
        <f t="shared" ca="1" si="355"/>
        <v>9.9265039362828419E-2</v>
      </c>
      <c r="OW56" s="242">
        <f t="shared" ca="1" si="356"/>
        <v>9.9265039362828419E-2</v>
      </c>
      <c r="OX56" s="241">
        <f t="shared" ca="1" si="804"/>
        <v>1</v>
      </c>
      <c r="OY56" s="220">
        <f t="shared" ca="1" si="719"/>
        <v>0.82663110509098692</v>
      </c>
      <c r="OZ56" s="220">
        <f t="shared" ca="1" si="720"/>
        <v>0</v>
      </c>
      <c r="PA56" s="235">
        <f t="shared" ca="1" si="359"/>
        <v>9.4638904895518239E-2</v>
      </c>
      <c r="PB56" s="235">
        <f t="shared" ca="1" si="360"/>
        <v>9.4638904895518239E-2</v>
      </c>
      <c r="PC56" s="242">
        <f t="shared" ca="1" si="361"/>
        <v>9.4638904895518239E-2</v>
      </c>
      <c r="PD56" s="241">
        <f t="shared" ca="1" si="798"/>
        <v>1</v>
      </c>
      <c r="PE56" s="220">
        <f t="shared" ca="1" si="721"/>
        <v>0.81497808640251923</v>
      </c>
      <c r="PF56" s="220">
        <f t="shared" ca="1" si="722"/>
        <v>0</v>
      </c>
      <c r="PG56" s="235">
        <f t="shared" ca="1" si="364"/>
        <v>9.0149546138363415E-2</v>
      </c>
      <c r="PH56" s="235">
        <f t="shared" ca="1" si="365"/>
        <v>9.0149546138363415E-2</v>
      </c>
      <c r="PI56" s="242">
        <f t="shared" ca="1" si="366"/>
        <v>9.0149546138363415E-2</v>
      </c>
      <c r="PJ56" s="241">
        <f t="shared" ca="1" si="798"/>
        <v>1</v>
      </c>
      <c r="PK56" s="220">
        <f t="shared" ca="1" si="723"/>
        <v>0.80277052964629592</v>
      </c>
      <c r="PL56" s="220">
        <f t="shared" ca="1" si="724"/>
        <v>0</v>
      </c>
      <c r="PM56" s="235">
        <f t="shared" ca="1" si="369"/>
        <v>8.5796324721504238E-2</v>
      </c>
      <c r="PN56" s="235">
        <f t="shared" ca="1" si="370"/>
        <v>8.5796324721504238E-2</v>
      </c>
      <c r="PO56" s="242">
        <f t="shared" ca="1" si="371"/>
        <v>8.5796324721504238E-2</v>
      </c>
      <c r="PP56" s="241">
        <f t="shared" ca="1" si="805"/>
        <v>1</v>
      </c>
      <c r="PQ56" s="220">
        <f t="shared" ca="1" si="725"/>
        <v>0.78995269259943357</v>
      </c>
      <c r="PR56" s="220">
        <f t="shared" ca="1" si="726"/>
        <v>0</v>
      </c>
      <c r="PS56" s="235">
        <f t="shared" ca="1" si="374"/>
        <v>8.1571415270218356E-2</v>
      </c>
      <c r="PT56" s="235">
        <f t="shared" ca="1" si="375"/>
        <v>8.1571415270218356E-2</v>
      </c>
      <c r="PU56" s="242">
        <f t="shared" ca="1" si="376"/>
        <v>8.1571415270218356E-2</v>
      </c>
      <c r="PV56" s="241">
        <f t="shared" ca="1" si="805"/>
        <v>1</v>
      </c>
      <c r="PW56" s="220">
        <f t="shared" ca="1" si="727"/>
        <v>0.77643739198174988</v>
      </c>
      <c r="PX56" s="220">
        <f t="shared" ca="1" si="728"/>
        <v>0</v>
      </c>
      <c r="PY56" s="235">
        <f t="shared" ca="1" si="379"/>
        <v>7.7464550653488104E-2</v>
      </c>
      <c r="PZ56" s="235">
        <f t="shared" ca="1" si="380"/>
        <v>7.7464550653488104E-2</v>
      </c>
      <c r="QA56" s="242">
        <f t="shared" ca="1" si="381"/>
        <v>7.7464550653488104E-2</v>
      </c>
      <c r="QB56" s="241">
        <f t="shared" ca="1" si="805"/>
        <v>1</v>
      </c>
      <c r="QC56" s="220">
        <f t="shared" ca="1" si="729"/>
        <v>0.76215715546842155</v>
      </c>
      <c r="QD56" s="220">
        <f t="shared" ca="1" si="730"/>
        <v>0</v>
      </c>
      <c r="QE56" s="235">
        <f t="shared" ca="1" si="384"/>
        <v>7.3468427669438799E-2</v>
      </c>
      <c r="QF56" s="235">
        <f t="shared" ca="1" si="385"/>
        <v>7.3468427669438799E-2</v>
      </c>
      <c r="QG56" s="242">
        <f t="shared" ca="1" si="386"/>
        <v>7.3468427669438799E-2</v>
      </c>
      <c r="QH56" s="241">
        <f t="shared" ca="1" si="805"/>
        <v>1</v>
      </c>
      <c r="QI56" s="220">
        <f t="shared" ca="1" si="731"/>
        <v>0.74703900613254992</v>
      </c>
      <c r="QJ56" s="220">
        <f t="shared" ca="1" si="732"/>
        <v>0</v>
      </c>
      <c r="QK56" s="235">
        <f t="shared" ca="1" si="390"/>
        <v>6.9575949698732195E-2</v>
      </c>
      <c r="QL56" s="235">
        <f t="shared" ca="1" si="391"/>
        <v>6.9575949698732195E-2</v>
      </c>
      <c r="QM56" s="242">
        <f t="shared" ca="1" si="392"/>
        <v>6.9575949698732195E-2</v>
      </c>
      <c r="QN56" s="241">
        <f t="shared" ca="1" si="805"/>
        <v>1</v>
      </c>
      <c r="QO56" s="220">
        <f t="shared" ca="1" si="733"/>
        <v>0.73100381386591473</v>
      </c>
      <c r="QP56" s="220">
        <f t="shared" ca="1" si="734"/>
        <v>0</v>
      </c>
      <c r="QQ56" s="235">
        <f t="shared" ca="1" si="395"/>
        <v>6.5780195109612458E-2</v>
      </c>
      <c r="QR56" s="235">
        <f t="shared" ca="1" si="396"/>
        <v>6.5780195109612458E-2</v>
      </c>
      <c r="QS56" s="242">
        <f t="shared" ca="1" si="397"/>
        <v>6.5780195109612458E-2</v>
      </c>
      <c r="QT56" s="241">
        <f t="shared" ca="1" si="805"/>
        <v>1</v>
      </c>
      <c r="QU56" s="220">
        <f t="shared" ca="1" si="735"/>
        <v>0.71393414380833176</v>
      </c>
      <c r="QV56" s="220">
        <f t="shared" ca="1" si="736"/>
        <v>0</v>
      </c>
      <c r="QW56" s="235">
        <f t="shared" ca="1" si="400"/>
        <v>6.2071653887543876E-2</v>
      </c>
      <c r="QX56" s="235">
        <f t="shared" ca="1" si="401"/>
        <v>6.2071653887543876E-2</v>
      </c>
      <c r="QY56" s="242">
        <f t="shared" ca="1" si="402"/>
        <v>6.2071653887543876E-2</v>
      </c>
      <c r="QZ56" s="241">
        <f t="shared" ca="1" si="805"/>
        <v>1</v>
      </c>
      <c r="RA56" s="220">
        <f t="shared" ca="1" si="737"/>
        <v>0.69574167395580788</v>
      </c>
      <c r="RB56" s="220">
        <f t="shared" ca="1" si="738"/>
        <v>0</v>
      </c>
      <c r="RC56" s="235">
        <f t="shared" ca="1" si="405"/>
        <v>5.8444390341238162E-2</v>
      </c>
      <c r="RD56" s="235">
        <f t="shared" ca="1" si="406"/>
        <v>5.8444390341238162E-2</v>
      </c>
      <c r="RE56" s="242">
        <f t="shared" ca="1" si="407"/>
        <v>5.8444390341238162E-2</v>
      </c>
      <c r="RF56" s="241">
        <f t="shared" ca="1" si="805"/>
        <v>1</v>
      </c>
      <c r="RG56" s="220">
        <f t="shared" ca="1" si="739"/>
        <v>0.67640422986988014</v>
      </c>
      <c r="RH56" s="220">
        <f t="shared" ca="1" si="740"/>
        <v>0</v>
      </c>
      <c r="RI56" s="235">
        <f t="shared" ca="1" si="410"/>
        <v>5.4898538121829751E-2</v>
      </c>
      <c r="RJ56" s="235">
        <f t="shared" ca="1" si="411"/>
        <v>5.4898538121829751E-2</v>
      </c>
      <c r="RK56" s="242">
        <f t="shared" ca="1" si="412"/>
        <v>5.4898538121829751E-2</v>
      </c>
      <c r="RL56" s="241">
        <f t="shared" ca="1" si="805"/>
        <v>1</v>
      </c>
      <c r="RM56" s="220">
        <f t="shared" ca="1" si="741"/>
        <v>0.65592135698096043</v>
      </c>
      <c r="RN56" s="220">
        <f t="shared" ca="1" si="742"/>
        <v>0</v>
      </c>
      <c r="RO56" s="235">
        <f t="shared" ca="1" si="415"/>
        <v>5.1435845981086484E-2</v>
      </c>
      <c r="RP56" s="235">
        <f t="shared" ca="1" si="416"/>
        <v>5.1435845981086484E-2</v>
      </c>
      <c r="RQ56" s="242">
        <f t="shared" ca="1" si="417"/>
        <v>5.1435845981086484E-2</v>
      </c>
      <c r="RR56" s="241">
        <f t="shared" ca="1" si="805"/>
        <v>1</v>
      </c>
      <c r="RS56" s="220">
        <f t="shared" ca="1" si="743"/>
        <v>0.63426152193073515</v>
      </c>
      <c r="RT56" s="220">
        <f t="shared" ca="1" si="744"/>
        <v>0</v>
      </c>
      <c r="RU56" s="235">
        <f t="shared" ca="1" si="420"/>
        <v>4.8055392729564286E-2</v>
      </c>
      <c r="RV56" s="235">
        <f t="shared" ca="1" si="421"/>
        <v>4.8055392729564286E-2</v>
      </c>
      <c r="RW56" s="242">
        <f t="shared" ca="1" si="422"/>
        <v>4.8055392729564286E-2</v>
      </c>
      <c r="RX56" s="241">
        <f t="shared" ca="1" si="805"/>
        <v>1</v>
      </c>
      <c r="RY56" s="220">
        <f t="shared" ca="1" si="745"/>
        <v>0.61130062057532053</v>
      </c>
      <c r="RZ56" s="220">
        <f t="shared" ca="1" si="746"/>
        <v>0</v>
      </c>
      <c r="SA56" s="235">
        <f t="shared" ca="1" si="425"/>
        <v>4.4749506722088245E-2</v>
      </c>
      <c r="SB56" s="235">
        <f t="shared" ca="1" si="426"/>
        <v>4.4749506722088245E-2</v>
      </c>
      <c r="SC56" s="242">
        <f t="shared" ca="1" si="427"/>
        <v>4.4749506722088245E-2</v>
      </c>
      <c r="SD56" s="241">
        <f t="shared" ca="1" si="799"/>
        <v>1</v>
      </c>
      <c r="SE56" s="220">
        <f t="shared" ca="1" si="747"/>
        <v>0.58693540044042947</v>
      </c>
      <c r="SF56" s="220">
        <f t="shared" ca="1" si="748"/>
        <v>0</v>
      </c>
      <c r="SG56" s="235">
        <f t="shared" ca="1" si="430"/>
        <v>4.1512928389525854E-2</v>
      </c>
      <c r="SH56" s="235">
        <f t="shared" ca="1" si="431"/>
        <v>4.1512928389525854E-2</v>
      </c>
      <c r="SI56" s="242">
        <f t="shared" ca="1" si="432"/>
        <v>4.1512928389525854E-2</v>
      </c>
      <c r="SJ56" s="241">
        <f t="shared" ca="1" si="799"/>
        <v>1</v>
      </c>
      <c r="SK56" s="220">
        <f t="shared" ca="1" si="749"/>
        <v>0.56117421877969853</v>
      </c>
      <c r="SL56" s="220">
        <f t="shared" ca="1" si="750"/>
        <v>0</v>
      </c>
      <c r="SM56" s="235">
        <f t="shared" ca="1" si="435"/>
        <v>3.8348680627614658E-2</v>
      </c>
      <c r="SN56" s="235">
        <f t="shared" ca="1" si="436"/>
        <v>3.8348680627614658E-2</v>
      </c>
      <c r="SO56" s="242">
        <f t="shared" ca="1" si="437"/>
        <v>3.8348680627614658E-2</v>
      </c>
      <c r="SP56" s="241">
        <f t="shared" ref="SP56:UX79" ca="1" si="808">IF(($B56+SP$2)&lt;SC_TargetRY,0,IF(($B56+SP$2)=SC_TargetRY,SC_AnnyPmntPr,IF(SP_AnnyTerms="Life",1,IF(($B56+SP$2)=(SC_TargetRY+SP_AnnyPeriod),SC_AnnyPmntPr-1,IF(($B56+SP$2)&gt;(SC_TargetRY+SP_AnnyPeriod),0,1)))))</f>
        <v>1</v>
      </c>
      <c r="SQ56" s="220">
        <f t="shared" ca="1" si="751"/>
        <v>0.5340633310962325</v>
      </c>
      <c r="SR56" s="220">
        <f t="shared" ca="1" si="752"/>
        <v>0</v>
      </c>
      <c r="SS56" s="235">
        <f t="shared" ca="1" si="440"/>
        <v>3.5261852674216394E-2</v>
      </c>
      <c r="ST56" s="235">
        <f t="shared" ca="1" si="441"/>
        <v>3.5261852674216394E-2</v>
      </c>
      <c r="SU56" s="242">
        <f t="shared" ca="1" si="442"/>
        <v>3.5261852674216394E-2</v>
      </c>
      <c r="SV56" s="241">
        <f t="shared" ca="1" si="808"/>
        <v>1</v>
      </c>
      <c r="SW56" s="220">
        <f t="shared" ca="1" si="753"/>
        <v>0.50563620810864218</v>
      </c>
      <c r="SX56" s="220">
        <f t="shared" ca="1" si="754"/>
        <v>0</v>
      </c>
      <c r="SY56" s="235">
        <f t="shared" ca="1" si="446"/>
        <v>3.2255975632920972E-2</v>
      </c>
      <c r="SZ56" s="235">
        <f t="shared" ca="1" si="447"/>
        <v>3.2255975632920972E-2</v>
      </c>
      <c r="TA56" s="242">
        <f t="shared" ca="1" si="448"/>
        <v>3.2255975632920972E-2</v>
      </c>
      <c r="TB56" s="241">
        <f t="shared" ca="1" si="808"/>
        <v>1</v>
      </c>
      <c r="TC56" s="220">
        <f t="shared" ca="1" si="755"/>
        <v>0.47585575235966748</v>
      </c>
      <c r="TD56" s="220">
        <f t="shared" ca="1" si="756"/>
        <v>0</v>
      </c>
      <c r="TE56" s="235">
        <f t="shared" ca="1" si="451"/>
        <v>2.9329657426153458E-2</v>
      </c>
      <c r="TF56" s="235">
        <f t="shared" ca="1" si="452"/>
        <v>2.9329657426153458E-2</v>
      </c>
      <c r="TG56" s="242">
        <f t="shared" ca="1" si="453"/>
        <v>2.9329657426153458E-2</v>
      </c>
      <c r="TH56" s="241">
        <f t="shared" ca="1" si="808"/>
        <v>1</v>
      </c>
      <c r="TI56" s="220">
        <f t="shared" ca="1" si="757"/>
        <v>0.4447514411066778</v>
      </c>
      <c r="TJ56" s="220">
        <f t="shared" ca="1" si="758"/>
        <v>0</v>
      </c>
      <c r="TK56" s="235">
        <f t="shared" ca="1" si="456"/>
        <v>2.6485530790814431E-2</v>
      </c>
      <c r="TL56" s="235">
        <f t="shared" ca="1" si="457"/>
        <v>2.6485530790814431E-2</v>
      </c>
      <c r="TM56" s="242">
        <f t="shared" ca="1" si="458"/>
        <v>2.6485530790814431E-2</v>
      </c>
      <c r="TN56" s="241">
        <f t="shared" ca="1" si="808"/>
        <v>1</v>
      </c>
      <c r="TO56" s="220">
        <f t="shared" ca="1" si="759"/>
        <v>0.41251096438941365</v>
      </c>
      <c r="TP56" s="220">
        <f t="shared" ca="1" si="760"/>
        <v>0</v>
      </c>
      <c r="TQ56" s="235">
        <f t="shared" ca="1" si="461"/>
        <v>2.3734848481408222E-2</v>
      </c>
      <c r="TR56" s="235">
        <f t="shared" ca="1" si="462"/>
        <v>2.3734848481408222E-2</v>
      </c>
      <c r="TS56" s="242">
        <f t="shared" ca="1" si="463"/>
        <v>2.3734848481408222E-2</v>
      </c>
      <c r="TT56" s="241">
        <f t="shared" ca="1" si="808"/>
        <v>1</v>
      </c>
      <c r="TU56" s="220">
        <f t="shared" ca="1" si="761"/>
        <v>0.37939128408051637</v>
      </c>
      <c r="TV56" s="220">
        <f t="shared" ca="1" si="762"/>
        <v>0</v>
      </c>
      <c r="TW56" s="235">
        <f t="shared" ca="1" si="466"/>
        <v>2.1091038615007652E-2</v>
      </c>
      <c r="TX56" s="235">
        <f t="shared" ca="1" si="467"/>
        <v>2.1091038615007652E-2</v>
      </c>
      <c r="TY56" s="242">
        <f t="shared" ca="1" si="468"/>
        <v>2.1091038615007652E-2</v>
      </c>
      <c r="TZ56" s="241">
        <f t="shared" ca="1" si="808"/>
        <v>1</v>
      </c>
      <c r="UA56" s="220">
        <f t="shared" ca="1" si="763"/>
        <v>0.34565732866521315</v>
      </c>
      <c r="UB56" s="220">
        <f t="shared" ca="1" si="764"/>
        <v>0</v>
      </c>
      <c r="UC56" s="235">
        <f t="shared" ca="1" si="471"/>
        <v>1.8565901280691431E-2</v>
      </c>
      <c r="UD56" s="235">
        <f t="shared" ca="1" si="472"/>
        <v>1.8565901280691431E-2</v>
      </c>
      <c r="UE56" s="242">
        <f t="shared" ca="1" si="473"/>
        <v>1.8565901280691431E-2</v>
      </c>
      <c r="UF56" s="241">
        <f t="shared" ca="1" si="808"/>
        <v>1</v>
      </c>
      <c r="UG56" s="220">
        <f t="shared" ca="1" si="765"/>
        <v>0.31158381183471112</v>
      </c>
      <c r="UH56" s="220">
        <f t="shared" ca="1" si="766"/>
        <v>0</v>
      </c>
      <c r="UI56" s="235">
        <f t="shared" ca="1" si="476"/>
        <v>1.6169805793281151E-2</v>
      </c>
      <c r="UJ56" s="235">
        <f t="shared" ca="1" si="477"/>
        <v>1.6169805793281151E-2</v>
      </c>
      <c r="UK56" s="242">
        <f t="shared" ca="1" si="478"/>
        <v>1.6169805793281151E-2</v>
      </c>
      <c r="UL56" s="241">
        <f t="shared" ca="1" si="808"/>
        <v>1</v>
      </c>
      <c r="UM56" s="220">
        <f t="shared" ca="1" si="767"/>
        <v>0.27748470263514402</v>
      </c>
      <c r="UN56" s="220">
        <f t="shared" ca="1" si="768"/>
        <v>0</v>
      </c>
      <c r="UO56" s="235">
        <f t="shared" ca="1" si="481"/>
        <v>1.3913250808575896E-2</v>
      </c>
      <c r="UP56" s="235">
        <f t="shared" ca="1" si="482"/>
        <v>1.3913250808575896E-2</v>
      </c>
      <c r="UQ56" s="242">
        <f t="shared" ca="1" si="483"/>
        <v>1.3913250808575896E-2</v>
      </c>
      <c r="UR56" s="241">
        <f t="shared" ca="1" si="808"/>
        <v>1</v>
      </c>
      <c r="US56" s="220">
        <f t="shared" ca="1" si="769"/>
        <v>0.24373729058536042</v>
      </c>
      <c r="UT56" s="220">
        <f t="shared" ca="1" si="770"/>
        <v>0</v>
      </c>
      <c r="UU56" s="235">
        <f t="shared" ca="1" si="486"/>
        <v>1.1807860056509861E-2</v>
      </c>
      <c r="UV56" s="235">
        <f t="shared" ca="1" si="487"/>
        <v>1.1807860056509861E-2</v>
      </c>
      <c r="UW56" s="242">
        <f t="shared" ca="1" si="488"/>
        <v>1.1807860056509861E-2</v>
      </c>
      <c r="UX56" s="241">
        <f t="shared" ca="1" si="808"/>
        <v>1</v>
      </c>
      <c r="UY56" s="220">
        <f t="shared" ca="1" si="771"/>
        <v>0.21078985859319374</v>
      </c>
      <c r="UZ56" s="220">
        <f t="shared" ca="1" si="772"/>
        <v>0</v>
      </c>
      <c r="VA56" s="235">
        <f t="shared" ca="1" si="491"/>
        <v>9.866396874889936E-3</v>
      </c>
      <c r="VB56" s="235">
        <f t="shared" ca="1" si="492"/>
        <v>9.866396874889936E-3</v>
      </c>
      <c r="VC56" s="242">
        <f t="shared" ca="1" si="493"/>
        <v>9.866396874889936E-3</v>
      </c>
      <c r="VD56" s="241">
        <f t="shared" ca="1" si="806"/>
        <v>1</v>
      </c>
      <c r="VE56" s="220">
        <f t="shared" ca="1" si="773"/>
        <v>0.17914840370962801</v>
      </c>
      <c r="VF56" s="220">
        <f t="shared" ca="1" si="774"/>
        <v>0</v>
      </c>
      <c r="VG56" s="235">
        <f t="shared" ca="1" si="496"/>
        <v>8.1017989433788233E-3</v>
      </c>
      <c r="VH56" s="235">
        <f t="shared" ca="1" si="497"/>
        <v>8.1017989433788233E-3</v>
      </c>
      <c r="VI56" s="242">
        <f t="shared" ca="1" si="498"/>
        <v>8.1017989433788233E-3</v>
      </c>
      <c r="VJ56" s="241">
        <f t="shared" ca="1" si="806"/>
        <v>1</v>
      </c>
      <c r="VK56" s="220">
        <f t="shared" ca="1" si="775"/>
        <v>0.14933864677755704</v>
      </c>
      <c r="VL56" s="220">
        <f t="shared" ca="1" si="776"/>
        <v>0</v>
      </c>
      <c r="VM56" s="235">
        <f t="shared" ca="1" si="502"/>
        <v>6.5252984585482295E-3</v>
      </c>
      <c r="VN56" s="235">
        <f t="shared" ca="1" si="503"/>
        <v>6.5252984585482295E-3</v>
      </c>
      <c r="VO56" s="242">
        <f t="shared" ca="1" si="504"/>
        <v>6.5252984585482295E-3</v>
      </c>
      <c r="VP56" s="241">
        <f t="shared" ca="1" si="567"/>
        <v>1</v>
      </c>
      <c r="VQ56" s="220">
        <f t="shared" ca="1" si="777"/>
        <v>0.12186078378642688</v>
      </c>
      <c r="VR56" s="220">
        <f t="shared" ca="1" si="778"/>
        <v>0</v>
      </c>
      <c r="VS56" s="235">
        <f t="shared" ca="1" si="507"/>
        <v>5.1446020464451514E-3</v>
      </c>
      <c r="VT56" s="235">
        <f t="shared" ca="1" si="508"/>
        <v>5.1446020464451514E-3</v>
      </c>
      <c r="VU56" s="242">
        <f t="shared" ca="1" si="509"/>
        <v>5.1446020464451514E-3</v>
      </c>
      <c r="VV56" s="241">
        <f t="shared" ca="1" si="578"/>
        <v>1</v>
      </c>
      <c r="VW56" s="220">
        <f t="shared" ca="1" si="779"/>
        <v>9.714071449143126E-2</v>
      </c>
      <c r="VX56" s="220">
        <f t="shared" ca="1" si="780"/>
        <v>0</v>
      </c>
      <c r="VY56" s="235">
        <f t="shared" ca="1" si="512"/>
        <v>3.9623128486120972E-3</v>
      </c>
      <c r="VZ56" s="235">
        <f t="shared" ca="1" si="513"/>
        <v>3.9623128486120972E-3</v>
      </c>
      <c r="WA56" s="242">
        <f t="shared" ca="1" si="514"/>
        <v>3.9623128486120972E-3</v>
      </c>
      <c r="WB56" s="241">
        <f t="shared" ca="1" si="578"/>
        <v>1</v>
      </c>
      <c r="WC56" s="220">
        <f t="shared" ca="1" si="781"/>
        <v>7.5486980683431834E-2</v>
      </c>
      <c r="WD56" s="220">
        <f t="shared" ca="1" si="782"/>
        <v>0</v>
      </c>
      <c r="WE56" s="235">
        <f t="shared" ca="1" si="517"/>
        <v>2.9749465982754843E-3</v>
      </c>
      <c r="WF56" s="235">
        <f t="shared" ca="1" si="518"/>
        <v>2.9749465982754843E-3</v>
      </c>
      <c r="WG56" s="242">
        <f t="shared" ca="1" si="519"/>
        <v>2.9749465982754843E-3</v>
      </c>
      <c r="WH56" s="241">
        <f t="shared" ca="1" si="578"/>
        <v>1</v>
      </c>
      <c r="WI56" s="220">
        <f t="shared" ca="1" si="783"/>
        <v>5.7061061620490225E-2</v>
      </c>
      <c r="WJ56" s="220">
        <f t="shared" ca="1" si="784"/>
        <v>0</v>
      </c>
      <c r="WK56" s="235">
        <f t="shared" ca="1" si="522"/>
        <v>2.1727342833971291E-3</v>
      </c>
      <c r="WL56" s="235">
        <f t="shared" ca="1" si="523"/>
        <v>2.1727342833971291E-3</v>
      </c>
      <c r="WM56" s="242">
        <f t="shared" ca="1" si="524"/>
        <v>2.1727342833971291E-3</v>
      </c>
      <c r="WN56" s="241">
        <f t="shared" ca="1" si="578"/>
        <v>1</v>
      </c>
      <c r="WO56" s="220">
        <f t="shared" ca="1" si="785"/>
        <v>4.1934687734452851E-2</v>
      </c>
      <c r="WP56" s="220">
        <f t="shared" ca="1" si="786"/>
        <v>0</v>
      </c>
      <c r="WQ56" s="235">
        <f t="shared" ca="1" si="527"/>
        <v>1.5427651975624165E-3</v>
      </c>
      <c r="WR56" s="235">
        <f t="shared" ca="1" si="528"/>
        <v>1.5427651975624165E-3</v>
      </c>
      <c r="WS56" s="242">
        <f t="shared" ca="1" si="529"/>
        <v>1.5427651975624165E-3</v>
      </c>
      <c r="WT56" s="241">
        <f t="shared" ca="1" si="578"/>
        <v>1</v>
      </c>
      <c r="WU56" s="220">
        <f t="shared" ca="1" si="787"/>
        <v>2.9961998908764689E-2</v>
      </c>
      <c r="WV56" s="220">
        <f t="shared" ca="1" si="788"/>
        <v>0</v>
      </c>
      <c r="WW56" s="235">
        <f t="shared" ca="1" si="532"/>
        <v>1.0650177696007403E-3</v>
      </c>
      <c r="WX56" s="235">
        <f t="shared" ca="1" si="533"/>
        <v>1.0650177696007403E-3</v>
      </c>
      <c r="WY56" s="242">
        <f t="shared" ca="1" si="534"/>
        <v>1.0650177696007403E-3</v>
      </c>
      <c r="WZ56" s="241">
        <f t="shared" ca="1" si="578"/>
        <v>1</v>
      </c>
      <c r="XA56" s="220">
        <f t="shared" ca="1" si="789"/>
        <v>2.0825806429510707E-2</v>
      </c>
      <c r="XB56" s="220">
        <f t="shared" ca="1" si="790"/>
        <v>0</v>
      </c>
      <c r="XC56" s="235">
        <f t="shared" ca="1" si="537"/>
        <v>7.1523300597822715E-4</v>
      </c>
      <c r="XD56" s="235">
        <f t="shared" ca="1" si="538"/>
        <v>7.1523300597822715E-4</v>
      </c>
      <c r="XE56" s="242">
        <f t="shared" ca="1" si="539"/>
        <v>7.1523300597822715E-4</v>
      </c>
      <c r="XF56" s="241">
        <f t="shared" ca="1" si="578"/>
        <v>1</v>
      </c>
      <c r="XG56" s="220">
        <f t="shared" ca="1" si="791"/>
        <v>1.410075784309954E-2</v>
      </c>
      <c r="XH56" s="220">
        <f t="shared" ca="1" si="792"/>
        <v>0</v>
      </c>
      <c r="XI56" s="235">
        <f t="shared" ca="1" si="542"/>
        <v>4.6789437576883483E-4</v>
      </c>
      <c r="XJ56" s="235">
        <f t="shared" ca="1" si="543"/>
        <v>4.6789437576883483E-4</v>
      </c>
      <c r="XK56" s="242">
        <f t="shared" ca="1" si="544"/>
        <v>4.6789437576883483E-4</v>
      </c>
    </row>
    <row r="57" spans="2:635" x14ac:dyDescent="0.25">
      <c r="B57" s="65">
        <f t="shared" ca="1" si="14"/>
        <v>2072</v>
      </c>
      <c r="C57" s="65" t="s">
        <v>741</v>
      </c>
      <c r="D57" s="77">
        <f t="shared" si="580"/>
        <v>0</v>
      </c>
      <c r="E57" s="77">
        <f t="shared" si="581"/>
        <v>0</v>
      </c>
      <c r="F57" s="77" t="b">
        <f t="shared" si="793"/>
        <v>0</v>
      </c>
      <c r="G57" s="77" t="b">
        <f t="shared" si="794"/>
        <v>0</v>
      </c>
      <c r="H57" s="15" t="e">
        <f t="shared" ca="1" si="582"/>
        <v>#REF!</v>
      </c>
      <c r="L57" s="326">
        <f t="shared" ca="1" si="583"/>
        <v>3.5000000000000003E-2</v>
      </c>
      <c r="M57" s="327">
        <f t="shared" ca="1" si="584"/>
        <v>3.5000000000000003E-2</v>
      </c>
      <c r="N57" s="322">
        <f t="shared" ca="1" si="579"/>
        <v>-49</v>
      </c>
      <c r="O57" s="322">
        <f t="shared" ca="1" si="585"/>
        <v>0</v>
      </c>
      <c r="P57" s="328">
        <f t="shared" ca="1" si="545"/>
        <v>26.87829936156087</v>
      </c>
      <c r="Q57" s="328">
        <f t="shared" ca="1" si="546"/>
        <v>26.87829936156087</v>
      </c>
      <c r="R57" s="328">
        <f t="shared" ca="1" si="547"/>
        <v>26.87829936156087</v>
      </c>
      <c r="S57" s="329">
        <f t="shared" ca="1" si="586"/>
        <v>3.8642415640549425E-2</v>
      </c>
      <c r="T57" s="329">
        <f t="shared" ca="1" si="587"/>
        <v>3.8642415640549425E-2</v>
      </c>
      <c r="U57" s="329">
        <f t="shared" ca="1" si="588"/>
        <v>3.8642415640549425E-2</v>
      </c>
      <c r="V57" s="320" t="e">
        <f t="shared" ca="1" si="589"/>
        <v>#REF!</v>
      </c>
      <c r="W57" s="320" t="e">
        <f t="shared" ca="1" si="560"/>
        <v>#REF!</v>
      </c>
      <c r="X57" s="320" t="e">
        <f t="shared" ca="1" si="590"/>
        <v>#REF!</v>
      </c>
      <c r="Y57" s="320" t="e">
        <f ca="1">INDEX(SC_ZA_HECMLumpSum,ZAIDX)</f>
        <v>#REF!</v>
      </c>
      <c r="Z57" s="320" t="e">
        <f t="shared" ca="1" si="591"/>
        <v>#REF!</v>
      </c>
      <c r="AA57" s="320" t="e">
        <f t="shared" ca="1" si="557"/>
        <v>#REF!</v>
      </c>
      <c r="AB57" s="320" t="e">
        <f t="shared" ca="1" si="558"/>
        <v>#REF!</v>
      </c>
      <c r="AC57" s="330" t="e">
        <f t="shared" ca="1" si="559"/>
        <v>#REF!</v>
      </c>
      <c r="AD57" s="236" t="e">
        <f t="shared" ca="1" si="548"/>
        <v>#REF!</v>
      </c>
      <c r="AE57" s="320" t="e">
        <f t="shared" ca="1" si="561"/>
        <v>#REF!</v>
      </c>
      <c r="AF57" s="320" t="e">
        <f t="shared" ca="1" si="592"/>
        <v>#REF!</v>
      </c>
      <c r="AG57" s="320" t="e">
        <f t="shared" ca="1" si="549"/>
        <v>#REF!</v>
      </c>
      <c r="AH57" s="284" t="e">
        <f t="shared" ca="1" si="550"/>
        <v>#REF!</v>
      </c>
      <c r="AI57" s="318" t="e">
        <f t="shared" ca="1" si="551"/>
        <v>#REF!</v>
      </c>
      <c r="AJ57" s="331">
        <f t="shared" ca="1" si="807"/>
        <v>1</v>
      </c>
      <c r="AK57" s="220">
        <f t="shared" ca="1" si="593"/>
        <v>1</v>
      </c>
      <c r="AL57" s="220">
        <f t="shared" ca="1" si="594"/>
        <v>0</v>
      </c>
      <c r="AM57" s="235">
        <f t="shared" ca="1" si="554"/>
        <v>1</v>
      </c>
      <c r="AN57" s="235">
        <f t="shared" ca="1" si="555"/>
        <v>1</v>
      </c>
      <c r="AO57" s="242">
        <f t="shared" ca="1" si="556"/>
        <v>1</v>
      </c>
      <c r="AP57" s="241">
        <f t="shared" ca="1" si="807"/>
        <v>1</v>
      </c>
      <c r="AQ57" s="220">
        <f t="shared" ca="1" si="595"/>
        <v>0.99361699999999997</v>
      </c>
      <c r="AR57" s="220">
        <f t="shared" ca="1" si="596"/>
        <v>0</v>
      </c>
      <c r="AS57" s="235">
        <f t="shared" ca="1" si="43"/>
        <v>0.96001642512077301</v>
      </c>
      <c r="AT57" s="235">
        <f t="shared" ca="1" si="44"/>
        <v>0.96001642512077301</v>
      </c>
      <c r="AU57" s="242">
        <f t="shared" ca="1" si="45"/>
        <v>0.96001642512077301</v>
      </c>
      <c r="AV57" s="241">
        <f t="shared" ca="1" si="807"/>
        <v>1</v>
      </c>
      <c r="AW57" s="220">
        <f t="shared" ca="1" si="597"/>
        <v>0.99316689149899995</v>
      </c>
      <c r="AX57" s="220">
        <f t="shared" ca="1" si="598"/>
        <v>0</v>
      </c>
      <c r="AY57" s="235">
        <f t="shared" ca="1" si="48"/>
        <v>0.92713192046395487</v>
      </c>
      <c r="AZ57" s="235">
        <f t="shared" ca="1" si="49"/>
        <v>0.92713192046395487</v>
      </c>
      <c r="BA57" s="242">
        <f t="shared" ca="1" si="50"/>
        <v>0.92713192046395487</v>
      </c>
      <c r="BB57" s="241">
        <f t="shared" ca="1" si="807"/>
        <v>1</v>
      </c>
      <c r="BC57" s="220">
        <f t="shared" ca="1" si="599"/>
        <v>0.99288681843559723</v>
      </c>
      <c r="BD57" s="220">
        <f t="shared" ca="1" si="600"/>
        <v>0</v>
      </c>
      <c r="BE57" s="235">
        <f t="shared" ca="1" si="54"/>
        <v>0.89552702344191704</v>
      </c>
      <c r="BF57" s="235">
        <f t="shared" ca="1" si="55"/>
        <v>0.89552702344191704</v>
      </c>
      <c r="BG57" s="242">
        <f t="shared" ca="1" si="56"/>
        <v>0.89552702344191704</v>
      </c>
      <c r="BH57" s="241">
        <f t="shared" ca="1" si="807"/>
        <v>1</v>
      </c>
      <c r="BI57" s="220">
        <f t="shared" ca="1" si="601"/>
        <v>0.99265845446735712</v>
      </c>
      <c r="BJ57" s="220">
        <f t="shared" ca="1" si="602"/>
        <v>0</v>
      </c>
      <c r="BK57" s="235">
        <f t="shared" ca="1" si="59"/>
        <v>0.86504449490485558</v>
      </c>
      <c r="BL57" s="235">
        <f t="shared" ca="1" si="60"/>
        <v>0.86504449490485558</v>
      </c>
      <c r="BM57" s="242">
        <f t="shared" ca="1" si="61"/>
        <v>0.86504449490485558</v>
      </c>
      <c r="BN57" s="241">
        <f t="shared" ca="1" si="807"/>
        <v>1</v>
      </c>
      <c r="BO57" s="220">
        <f t="shared" ca="1" si="603"/>
        <v>0.99249069518855215</v>
      </c>
      <c r="BP57" s="220">
        <f t="shared" ca="1" si="604"/>
        <v>0</v>
      </c>
      <c r="BQ57" s="235">
        <f t="shared" ca="1" si="64"/>
        <v>0.83565053370552345</v>
      </c>
      <c r="BR57" s="235">
        <f t="shared" ca="1" si="65"/>
        <v>0.83565053370552345</v>
      </c>
      <c r="BS57" s="242">
        <f t="shared" ca="1" si="66"/>
        <v>0.83565053370552345</v>
      </c>
      <c r="BT57" s="241">
        <f t="shared" ca="1" si="807"/>
        <v>1</v>
      </c>
      <c r="BU57" s="220">
        <f t="shared" ca="1" si="605"/>
        <v>0.99233685913079794</v>
      </c>
      <c r="BV57" s="220">
        <f t="shared" ca="1" si="606"/>
        <v>0</v>
      </c>
      <c r="BW57" s="235">
        <f t="shared" ca="1" si="69"/>
        <v>0.80726667427323584</v>
      </c>
      <c r="BX57" s="235">
        <f t="shared" ca="1" si="70"/>
        <v>0.80726667427323584</v>
      </c>
      <c r="BY57" s="242">
        <f t="shared" ca="1" si="71"/>
        <v>0.80726667427323584</v>
      </c>
      <c r="BZ57" s="241">
        <f t="shared" ca="1" si="807"/>
        <v>1</v>
      </c>
      <c r="CA57" s="220">
        <f t="shared" ca="1" si="607"/>
        <v>0.992192970286224</v>
      </c>
      <c r="CB57" s="220">
        <f t="shared" ca="1" si="608"/>
        <v>0</v>
      </c>
      <c r="CC57" s="235">
        <f t="shared" ca="1" si="74"/>
        <v>0.7798547058990013</v>
      </c>
      <c r="CD57" s="235">
        <f t="shared" ca="1" si="75"/>
        <v>0.7798547058990013</v>
      </c>
      <c r="CE57" s="242">
        <f t="shared" ca="1" si="76"/>
        <v>0.7798547058990013</v>
      </c>
      <c r="CF57" s="241">
        <f t="shared" ca="1" si="807"/>
        <v>1</v>
      </c>
      <c r="CG57" s="220">
        <f t="shared" ca="1" si="609"/>
        <v>0.9920590242352354</v>
      </c>
      <c r="CH57" s="220">
        <f t="shared" ca="1" si="610"/>
        <v>0</v>
      </c>
      <c r="CI57" s="235">
        <f t="shared" ca="1" si="79"/>
        <v>0.75338108745285515</v>
      </c>
      <c r="CJ57" s="235">
        <f t="shared" ca="1" si="80"/>
        <v>0.75338108745285515</v>
      </c>
      <c r="CK57" s="242">
        <f t="shared" ca="1" si="81"/>
        <v>0.75338108745285515</v>
      </c>
      <c r="CL57" s="241">
        <f t="shared" ca="1" si="807"/>
        <v>1</v>
      </c>
      <c r="CM57" s="220">
        <f t="shared" ca="1" si="611"/>
        <v>0.99193997715232718</v>
      </c>
      <c r="CN57" s="220">
        <f t="shared" ca="1" si="612"/>
        <v>0</v>
      </c>
      <c r="CO57" s="235">
        <f t="shared" ca="1" si="84"/>
        <v>0.72781708378972065</v>
      </c>
      <c r="CP57" s="235">
        <f t="shared" ca="1" si="85"/>
        <v>0.72781708378972065</v>
      </c>
      <c r="CQ57" s="242">
        <f t="shared" ca="1" si="86"/>
        <v>0.72781708378972065</v>
      </c>
      <c r="CR57" s="241">
        <f t="shared" ca="1" si="807"/>
        <v>1</v>
      </c>
      <c r="CS57" s="220">
        <f t="shared" ca="1" si="613"/>
        <v>0.99183582345472621</v>
      </c>
      <c r="CT57" s="220">
        <f t="shared" ca="1" si="614"/>
        <v>0</v>
      </c>
      <c r="CU57" s="235">
        <f t="shared" ca="1" si="89"/>
        <v>0.70313107535837949</v>
      </c>
      <c r="CV57" s="235">
        <f t="shared" ca="1" si="90"/>
        <v>0.70313107535837949</v>
      </c>
      <c r="CW57" s="242">
        <f t="shared" ca="1" si="91"/>
        <v>0.70313107535837949</v>
      </c>
      <c r="CX57" s="241">
        <f t="shared" ca="1" si="800"/>
        <v>1</v>
      </c>
      <c r="CY57" s="220">
        <f t="shared" ca="1" si="615"/>
        <v>0.99174259088732142</v>
      </c>
      <c r="CZ57" s="220">
        <f t="shared" ca="1" si="616"/>
        <v>0</v>
      </c>
      <c r="DA57" s="235">
        <f t="shared" ca="1" si="94"/>
        <v>0.6792898367510104</v>
      </c>
      <c r="DB57" s="235">
        <f t="shared" ca="1" si="95"/>
        <v>0.6792898367510104</v>
      </c>
      <c r="DC57" s="242">
        <f t="shared" ca="1" si="96"/>
        <v>0.6792898367510104</v>
      </c>
      <c r="DD57" s="241">
        <f t="shared" ca="1" si="800"/>
        <v>1</v>
      </c>
      <c r="DE57" s="220">
        <f t="shared" ca="1" si="617"/>
        <v>0.99164440837082357</v>
      </c>
      <c r="DF57" s="220">
        <f t="shared" ca="1" si="618"/>
        <v>0</v>
      </c>
      <c r="DG57" s="235">
        <f t="shared" ca="1" si="99"/>
        <v>0.65625370730161559</v>
      </c>
      <c r="DH57" s="235">
        <f t="shared" ca="1" si="100"/>
        <v>0.65625370730161559</v>
      </c>
      <c r="DI57" s="242">
        <f t="shared" ca="1" si="101"/>
        <v>0.65625370730161559</v>
      </c>
      <c r="DJ57" s="241">
        <f t="shared" ca="1" si="51"/>
        <v>1</v>
      </c>
      <c r="DK57" s="220">
        <f t="shared" ca="1" si="619"/>
        <v>0.9915115280201019</v>
      </c>
      <c r="DL57" s="220">
        <f t="shared" ca="1" si="620"/>
        <v>0</v>
      </c>
      <c r="DM57" s="235">
        <f t="shared" ca="1" si="104"/>
        <v>0.63397658870032592</v>
      </c>
      <c r="DN57" s="235">
        <f t="shared" ca="1" si="105"/>
        <v>0.63397658870032592</v>
      </c>
      <c r="DO57" s="242">
        <f t="shared" ca="1" si="106"/>
        <v>0.63397658870032592</v>
      </c>
      <c r="DP57" s="241">
        <f t="shared" ca="1" si="801"/>
        <v>1</v>
      </c>
      <c r="DQ57" s="220">
        <f t="shared" ca="1" si="621"/>
        <v>0.99130628513380181</v>
      </c>
      <c r="DR57" s="220">
        <f t="shared" ca="1" si="622"/>
        <v>0</v>
      </c>
      <c r="DS57" s="235">
        <f t="shared" ca="1" si="110"/>
        <v>0.61241097154247814</v>
      </c>
      <c r="DT57" s="235">
        <f t="shared" ca="1" si="111"/>
        <v>0.61241097154247814</v>
      </c>
      <c r="DU57" s="242">
        <f t="shared" ca="1" si="112"/>
        <v>0.61241097154247814</v>
      </c>
      <c r="DV57" s="241">
        <f t="shared" ca="1" si="801"/>
        <v>1</v>
      </c>
      <c r="DW57" s="220">
        <f t="shared" ca="1" si="623"/>
        <v>0.9909999714916955</v>
      </c>
      <c r="DX57" s="220">
        <f t="shared" ca="1" si="624"/>
        <v>0</v>
      </c>
      <c r="DY57" s="235">
        <f t="shared" ca="1" si="115"/>
        <v>0.59151858604084218</v>
      </c>
      <c r="DZ57" s="235">
        <f t="shared" ca="1" si="116"/>
        <v>0.59151858604084218</v>
      </c>
      <c r="EA57" s="242">
        <f t="shared" ca="1" si="117"/>
        <v>0.59151858604084218</v>
      </c>
      <c r="EB57" s="241">
        <f t="shared" ca="1" si="801"/>
        <v>1</v>
      </c>
      <c r="EC57" s="220">
        <f t="shared" ca="1" si="625"/>
        <v>0.99058474250364048</v>
      </c>
      <c r="ED57" s="220">
        <f t="shared" ca="1" si="626"/>
        <v>0</v>
      </c>
      <c r="EE57" s="235">
        <f t="shared" ca="1" si="120"/>
        <v>0.57127607705632</v>
      </c>
      <c r="EF57" s="235">
        <f t="shared" ca="1" si="121"/>
        <v>0.57127607705632</v>
      </c>
      <c r="EG57" s="242">
        <f t="shared" ca="1" si="122"/>
        <v>0.57127607705632</v>
      </c>
      <c r="EH57" s="241">
        <f t="shared" ca="1" si="801"/>
        <v>1</v>
      </c>
      <c r="EI57" s="220">
        <f t="shared" ca="1" si="627"/>
        <v>0.99005973259011348</v>
      </c>
      <c r="EJ57" s="220">
        <f t="shared" ca="1" si="628"/>
        <v>0</v>
      </c>
      <c r="EK57" s="235">
        <f t="shared" ca="1" si="125"/>
        <v>0.55166502486519819</v>
      </c>
      <c r="EL57" s="235">
        <f t="shared" ca="1" si="126"/>
        <v>0.55166502486519819</v>
      </c>
      <c r="EM57" s="242">
        <f t="shared" ca="1" si="127"/>
        <v>0.55166502486519819</v>
      </c>
      <c r="EN57" s="241">
        <f t="shared" ca="1" si="801"/>
        <v>1</v>
      </c>
      <c r="EO57" s="220">
        <f t="shared" ca="1" si="629"/>
        <v>0.98941124346526699</v>
      </c>
      <c r="EP57" s="220">
        <f t="shared" ca="1" si="630"/>
        <v>0</v>
      </c>
      <c r="EQ57" s="235">
        <f t="shared" ca="1" si="130"/>
        <v>0.53266056451585653</v>
      </c>
      <c r="ER57" s="235">
        <f t="shared" ca="1" si="131"/>
        <v>0.53266056451585653</v>
      </c>
      <c r="ES57" s="242">
        <f t="shared" ca="1" si="132"/>
        <v>0.53266056451585653</v>
      </c>
      <c r="ET57" s="241">
        <f t="shared" ca="1" si="801"/>
        <v>1</v>
      </c>
      <c r="EU57" s="220">
        <f t="shared" ca="1" si="631"/>
        <v>0.98862861917168599</v>
      </c>
      <c r="EV57" s="220">
        <f t="shared" ca="1" si="632"/>
        <v>0</v>
      </c>
      <c r="EW57" s="235">
        <f t="shared" ca="1" si="135"/>
        <v>0.51424080194137645</v>
      </c>
      <c r="EX57" s="235">
        <f t="shared" ca="1" si="136"/>
        <v>0.51424080194137645</v>
      </c>
      <c r="EY57" s="242">
        <f t="shared" ca="1" si="137"/>
        <v>0.51424080194137645</v>
      </c>
      <c r="EZ57" s="241">
        <f t="shared" ca="1" si="801"/>
        <v>1</v>
      </c>
      <c r="FA57" s="220">
        <f t="shared" ca="1" si="633"/>
        <v>0.98770524004137961</v>
      </c>
      <c r="FB57" s="220">
        <f t="shared" ca="1" si="634"/>
        <v>0</v>
      </c>
      <c r="FC57" s="235">
        <f t="shared" ca="1" si="140"/>
        <v>0.49638695751919149</v>
      </c>
      <c r="FD57" s="235">
        <f t="shared" ca="1" si="141"/>
        <v>0.49638695751919149</v>
      </c>
      <c r="FE57" s="242">
        <f t="shared" ca="1" si="142"/>
        <v>0.49638695751919149</v>
      </c>
      <c r="FF57" s="241">
        <f t="shared" ca="1" si="801"/>
        <v>1</v>
      </c>
      <c r="FG57" s="220">
        <f t="shared" ca="1" si="635"/>
        <v>0.98663357985593469</v>
      </c>
      <c r="FH57" s="220">
        <f t="shared" ca="1" si="636"/>
        <v>0</v>
      </c>
      <c r="FI57" s="235">
        <f t="shared" ca="1" si="145"/>
        <v>0.4790805581355394</v>
      </c>
      <c r="FJ57" s="235">
        <f t="shared" ca="1" si="146"/>
        <v>0.4790805581355394</v>
      </c>
      <c r="FK57" s="242">
        <f t="shared" ca="1" si="147"/>
        <v>0.4790805581355394</v>
      </c>
      <c r="FL57" s="241">
        <f t="shared" ca="1" si="801"/>
        <v>1</v>
      </c>
      <c r="FM57" s="220">
        <f t="shared" ca="1" si="637"/>
        <v>0.98542199381987161</v>
      </c>
      <c r="FN57" s="220">
        <f t="shared" ca="1" si="638"/>
        <v>0</v>
      </c>
      <c r="FO57" s="235">
        <f t="shared" ca="1" si="150"/>
        <v>0.46231134996149653</v>
      </c>
      <c r="FP57" s="235">
        <f t="shared" ca="1" si="151"/>
        <v>0.46231134996149653</v>
      </c>
      <c r="FQ57" s="242">
        <f t="shared" ca="1" si="152"/>
        <v>0.46231134996149653</v>
      </c>
      <c r="FR57" s="241">
        <f t="shared" ca="1" si="801"/>
        <v>1</v>
      </c>
      <c r="FS57" s="220">
        <f t="shared" ca="1" si="639"/>
        <v>0.98410251377014679</v>
      </c>
      <c r="FT57" s="220">
        <f t="shared" ca="1" si="640"/>
        <v>0</v>
      </c>
      <c r="FU57" s="235">
        <f t="shared" ca="1" si="155"/>
        <v>0.44607953146270346</v>
      </c>
      <c r="FV57" s="235">
        <f t="shared" ca="1" si="156"/>
        <v>0.44607953146270346</v>
      </c>
      <c r="FW57" s="242">
        <f t="shared" ca="1" si="157"/>
        <v>0.44607953146270346</v>
      </c>
      <c r="FX57" s="241">
        <f t="shared" ca="1" si="801"/>
        <v>1</v>
      </c>
      <c r="FY57" s="220">
        <f t="shared" ca="1" si="641"/>
        <v>0.98272181794332725</v>
      </c>
      <c r="FZ57" s="220">
        <f t="shared" ca="1" si="642"/>
        <v>0</v>
      </c>
      <c r="GA57" s="235">
        <f t="shared" ca="1" si="160"/>
        <v>0.43039003080199167</v>
      </c>
      <c r="GB57" s="235">
        <f t="shared" ca="1" si="161"/>
        <v>0.43039003080199167</v>
      </c>
      <c r="GC57" s="242">
        <f t="shared" ca="1" si="162"/>
        <v>0.43039003080199167</v>
      </c>
      <c r="GD57" s="241">
        <f t="shared" ca="1" si="795"/>
        <v>1</v>
      </c>
      <c r="GE57" s="220">
        <f t="shared" ca="1" si="643"/>
        <v>0.98131357757821447</v>
      </c>
      <c r="GF57" s="220">
        <f t="shared" ca="1" si="644"/>
        <v>0</v>
      </c>
      <c r="GG57" s="235">
        <f t="shared" ca="1" si="166"/>
        <v>0.41523988588198307</v>
      </c>
      <c r="GH57" s="235">
        <f t="shared" ca="1" si="167"/>
        <v>0.41523988588198307</v>
      </c>
      <c r="GI57" s="242">
        <f t="shared" ca="1" si="168"/>
        <v>0.41523988588198307</v>
      </c>
      <c r="GJ57" s="241">
        <f t="shared" ca="1" si="795"/>
        <v>1</v>
      </c>
      <c r="GK57" s="220">
        <f t="shared" ca="1" si="645"/>
        <v>0.97988969157714845</v>
      </c>
      <c r="GL57" s="220">
        <f t="shared" ca="1" si="646"/>
        <v>0</v>
      </c>
      <c r="GM57" s="235">
        <f t="shared" ca="1" si="171"/>
        <v>0.40061581913774713</v>
      </c>
      <c r="GN57" s="235">
        <f t="shared" ca="1" si="172"/>
        <v>0.40061581913774713</v>
      </c>
      <c r="GO57" s="242">
        <f t="shared" ca="1" si="173"/>
        <v>0.40061581913774713</v>
      </c>
      <c r="GP57" s="241">
        <f t="shared" ca="1" si="802"/>
        <v>1</v>
      </c>
      <c r="GQ57" s="220">
        <f t="shared" ca="1" si="647"/>
        <v>0.9784443542820721</v>
      </c>
      <c r="GR57" s="220">
        <f t="shared" ca="1" si="648"/>
        <v>0</v>
      </c>
      <c r="GS57" s="235">
        <f t="shared" ca="1" si="176"/>
        <v>0.38649749836185404</v>
      </c>
      <c r="GT57" s="235">
        <f t="shared" ca="1" si="177"/>
        <v>0.38649749836185404</v>
      </c>
      <c r="GU57" s="242">
        <f t="shared" ca="1" si="178"/>
        <v>0.38649749836185404</v>
      </c>
      <c r="GV57" s="241">
        <f t="shared" ca="1" si="802"/>
        <v>1</v>
      </c>
      <c r="GW57" s="220">
        <f t="shared" ca="1" si="649"/>
        <v>0.97697473086194042</v>
      </c>
      <c r="GX57" s="220">
        <f t="shared" ca="1" si="650"/>
        <v>0</v>
      </c>
      <c r="GY57" s="235">
        <f t="shared" ca="1" si="181"/>
        <v>0.37286664649209134</v>
      </c>
      <c r="GZ57" s="235">
        <f t="shared" ca="1" si="182"/>
        <v>0.37286664649209134</v>
      </c>
      <c r="HA57" s="242">
        <f t="shared" ca="1" si="183"/>
        <v>0.37286664649209134</v>
      </c>
      <c r="HB57" s="241">
        <f t="shared" ca="1" si="802"/>
        <v>1</v>
      </c>
      <c r="HC57" s="220">
        <f t="shared" ca="1" si="651"/>
        <v>0.97547214372587476</v>
      </c>
      <c r="HD57" s="220">
        <f t="shared" ca="1" si="652"/>
        <v>0</v>
      </c>
      <c r="HE57" s="235">
        <f t="shared" ca="1" si="186"/>
        <v>0.35970355322684694</v>
      </c>
      <c r="HF57" s="235">
        <f t="shared" ca="1" si="187"/>
        <v>0.35970355322684694</v>
      </c>
      <c r="HG57" s="242">
        <f t="shared" ca="1" si="188"/>
        <v>0.35970355322684694</v>
      </c>
      <c r="HH57" s="241">
        <f t="shared" ca="1" si="802"/>
        <v>1</v>
      </c>
      <c r="HI57" s="220">
        <f t="shared" ca="1" si="653"/>
        <v>0.9739299222666441</v>
      </c>
      <c r="HJ57" s="220">
        <f t="shared" ca="1" si="654"/>
        <v>0</v>
      </c>
      <c r="HK57" s="235">
        <f t="shared" ca="1" si="191"/>
        <v>0.34699020474318382</v>
      </c>
      <c r="HL57" s="235">
        <f t="shared" ca="1" si="192"/>
        <v>0.34699020474318382</v>
      </c>
      <c r="HM57" s="242">
        <f t="shared" ca="1" si="193"/>
        <v>0.34699020474318382</v>
      </c>
      <c r="HN57" s="241">
        <f t="shared" ca="1" si="802"/>
        <v>1</v>
      </c>
      <c r="HO57" s="220">
        <f t="shared" ca="1" si="655"/>
        <v>0.97234631221303847</v>
      </c>
      <c r="HP57" s="220">
        <f t="shared" ca="1" si="656"/>
        <v>0</v>
      </c>
      <c r="HQ57" s="235">
        <f t="shared" ca="1" si="196"/>
        <v>0.33471110982634922</v>
      </c>
      <c r="HR57" s="235">
        <f t="shared" ca="1" si="197"/>
        <v>0.33471110982634922</v>
      </c>
      <c r="HS57" s="242">
        <f t="shared" ca="1" si="198"/>
        <v>0.33471110982634922</v>
      </c>
      <c r="HT57" s="241">
        <f t="shared" ca="1" si="802"/>
        <v>1</v>
      </c>
      <c r="HU57" s="220">
        <f t="shared" ca="1" si="657"/>
        <v>0.97072346621795491</v>
      </c>
      <c r="HV57" s="220">
        <f t="shared" ca="1" si="658"/>
        <v>0</v>
      </c>
      <c r="HW57" s="235">
        <f t="shared" ca="1" si="201"/>
        <v>0.32285263476719722</v>
      </c>
      <c r="HX57" s="235">
        <f t="shared" ca="1" si="202"/>
        <v>0.32285263476719722</v>
      </c>
      <c r="HY57" s="242">
        <f t="shared" ca="1" si="203"/>
        <v>0.32285263476719722</v>
      </c>
      <c r="HZ57" s="241">
        <f t="shared" ca="1" si="802"/>
        <v>1</v>
      </c>
      <c r="IA57" s="220">
        <f t="shared" ca="1" si="659"/>
        <v>0.96906158764378969</v>
      </c>
      <c r="IB57" s="220">
        <f t="shared" ca="1" si="660"/>
        <v>0</v>
      </c>
      <c r="IC57" s="235">
        <f t="shared" ca="1" si="206"/>
        <v>0.31140088024780266</v>
      </c>
      <c r="ID57" s="235">
        <f t="shared" ca="1" si="207"/>
        <v>0.31140088024780266</v>
      </c>
      <c r="IE57" s="242">
        <f t="shared" ca="1" si="208"/>
        <v>0.31140088024780266</v>
      </c>
      <c r="IF57" s="241">
        <f t="shared" ca="1" si="802"/>
        <v>1</v>
      </c>
      <c r="IG57" s="220">
        <f t="shared" ca="1" si="661"/>
        <v>0.96736088455747493</v>
      </c>
      <c r="IH57" s="220">
        <f t="shared" ca="1" si="662"/>
        <v>0</v>
      </c>
      <c r="II57" s="235">
        <f t="shared" ca="1" si="211"/>
        <v>0.30034238811880948</v>
      </c>
      <c r="IJ57" s="235">
        <f t="shared" ca="1" si="212"/>
        <v>0.30034238811880948</v>
      </c>
      <c r="IK57" s="242">
        <f t="shared" ca="1" si="213"/>
        <v>0.30034238811880948</v>
      </c>
      <c r="IL57" s="241">
        <f t="shared" ca="1" si="802"/>
        <v>1</v>
      </c>
      <c r="IM57" s="220">
        <f t="shared" ca="1" si="663"/>
        <v>0.96561963496527148</v>
      </c>
      <c r="IN57" s="220">
        <f t="shared" ca="1" si="664"/>
        <v>0</v>
      </c>
      <c r="IO57" s="235">
        <f t="shared" ca="1" si="216"/>
        <v>0.28966354765236296</v>
      </c>
      <c r="IP57" s="235">
        <f t="shared" ca="1" si="217"/>
        <v>0.28966354765236296</v>
      </c>
      <c r="IQ57" s="242">
        <f t="shared" ca="1" si="218"/>
        <v>0.28966354765236296</v>
      </c>
      <c r="IR57" s="241">
        <f t="shared" ca="1" si="802"/>
        <v>1</v>
      </c>
      <c r="IS57" s="220">
        <f t="shared" ca="1" si="665"/>
        <v>0.96382841054241086</v>
      </c>
      <c r="IT57" s="220">
        <f t="shared" ca="1" si="666"/>
        <v>0</v>
      </c>
      <c r="IU57" s="235">
        <f t="shared" ca="1" si="222"/>
        <v>0.27934900654248102</v>
      </c>
      <c r="IV57" s="235">
        <f t="shared" ca="1" si="223"/>
        <v>0.27934900654248102</v>
      </c>
      <c r="IW57" s="242">
        <f t="shared" ca="1" si="224"/>
        <v>0.27934900654248102</v>
      </c>
      <c r="IX57" s="241">
        <f t="shared" ca="1" si="802"/>
        <v>1</v>
      </c>
      <c r="IY57" s="220">
        <f t="shared" ca="1" si="667"/>
        <v>0.9619778599941694</v>
      </c>
      <c r="IZ57" s="220">
        <f t="shared" ca="1" si="668"/>
        <v>0</v>
      </c>
      <c r="JA57" s="235">
        <f t="shared" ca="1" si="227"/>
        <v>0.26938420913035699</v>
      </c>
      <c r="JB57" s="235">
        <f t="shared" ca="1" si="228"/>
        <v>0.26938420913035699</v>
      </c>
      <c r="JC57" s="242">
        <f t="shared" ca="1" si="229"/>
        <v>0.26938420913035699</v>
      </c>
      <c r="JD57" s="241">
        <f t="shared" ca="1" si="796"/>
        <v>1</v>
      </c>
      <c r="JE57" s="220">
        <f t="shared" ca="1" si="669"/>
        <v>0.96006544800850102</v>
      </c>
      <c r="JF57" s="220">
        <f t="shared" ca="1" si="670"/>
        <v>0</v>
      </c>
      <c r="JG57" s="235">
        <f t="shared" ca="1" si="232"/>
        <v>0.25975717229237277</v>
      </c>
      <c r="JH57" s="235">
        <f t="shared" ca="1" si="233"/>
        <v>0.25975717229237277</v>
      </c>
      <c r="JI57" s="242">
        <f t="shared" ca="1" si="234"/>
        <v>0.25975717229237277</v>
      </c>
      <c r="JJ57" s="241">
        <f t="shared" ca="1" si="796"/>
        <v>1</v>
      </c>
      <c r="JK57" s="220">
        <f t="shared" ca="1" si="671"/>
        <v>0.9580877131856036</v>
      </c>
      <c r="JL57" s="220">
        <f t="shared" ca="1" si="672"/>
        <v>0</v>
      </c>
      <c r="JM57" s="235">
        <f t="shared" ca="1" si="237"/>
        <v>0.25045610871251262</v>
      </c>
      <c r="JN57" s="235">
        <f t="shared" ca="1" si="238"/>
        <v>0.25045610871251262</v>
      </c>
      <c r="JO57" s="242">
        <f t="shared" ca="1" si="239"/>
        <v>0.25045610871251262</v>
      </c>
      <c r="JP57" s="241">
        <f t="shared" ca="1" si="803"/>
        <v>1</v>
      </c>
      <c r="JQ57" s="220">
        <f t="shared" ca="1" si="673"/>
        <v>0.95603644739167326</v>
      </c>
      <c r="JR57" s="220">
        <f t="shared" ca="1" si="674"/>
        <v>0</v>
      </c>
      <c r="JS57" s="235">
        <f t="shared" ca="1" si="242"/>
        <v>0.24146848520169967</v>
      </c>
      <c r="JT57" s="235">
        <f t="shared" ca="1" si="243"/>
        <v>0.24146848520169967</v>
      </c>
      <c r="JU57" s="242">
        <f t="shared" ca="1" si="244"/>
        <v>0.24146848520169967</v>
      </c>
      <c r="JV57" s="241">
        <f t="shared" ca="1" si="803"/>
        <v>1</v>
      </c>
      <c r="JW57" s="220">
        <f t="shared" ca="1" si="675"/>
        <v>0.95389492574951584</v>
      </c>
      <c r="JX57" s="220">
        <f t="shared" ca="1" si="676"/>
        <v>0</v>
      </c>
      <c r="JY57" s="235">
        <f t="shared" ca="1" si="247"/>
        <v>0.23278028579212359</v>
      </c>
      <c r="JZ57" s="235">
        <f t="shared" ca="1" si="248"/>
        <v>0.23278028579212359</v>
      </c>
      <c r="KA57" s="242">
        <f t="shared" ca="1" si="249"/>
        <v>0.23278028579212359</v>
      </c>
      <c r="KB57" s="241">
        <f t="shared" ca="1" si="803"/>
        <v>1</v>
      </c>
      <c r="KC57" s="220">
        <f t="shared" ca="1" si="677"/>
        <v>0.95164182593489555</v>
      </c>
      <c r="KD57" s="220">
        <f t="shared" ca="1" si="678"/>
        <v>0</v>
      </c>
      <c r="KE57" s="235">
        <f t="shared" ca="1" si="252"/>
        <v>0.22437725483776094</v>
      </c>
      <c r="KF57" s="235">
        <f t="shared" ca="1" si="253"/>
        <v>0.22437725483776094</v>
      </c>
      <c r="KG57" s="242">
        <f t="shared" ca="1" si="254"/>
        <v>0.22437725483776094</v>
      </c>
      <c r="KH57" s="241">
        <f t="shared" ca="1" si="803"/>
        <v>1</v>
      </c>
      <c r="KI57" s="220">
        <f t="shared" ca="1" si="679"/>
        <v>0.94925415659362489</v>
      </c>
      <c r="KJ57" s="220">
        <f t="shared" ca="1" si="680"/>
        <v>0</v>
      </c>
      <c r="KK57" s="235">
        <f t="shared" ca="1" si="257"/>
        <v>0.21624569304866956</v>
      </c>
      <c r="KL57" s="235">
        <f t="shared" ca="1" si="258"/>
        <v>0.21624569304866956</v>
      </c>
      <c r="KM57" s="242">
        <f t="shared" ca="1" si="259"/>
        <v>0.21624569304866956</v>
      </c>
      <c r="KN57" s="241">
        <f t="shared" ca="1" si="803"/>
        <v>1</v>
      </c>
      <c r="KO57" s="220">
        <f t="shared" ca="1" si="681"/>
        <v>0.94670635843732753</v>
      </c>
      <c r="KP57" s="220">
        <f t="shared" ca="1" si="682"/>
        <v>0</v>
      </c>
      <c r="KQ57" s="235">
        <f t="shared" ca="1" si="262"/>
        <v>0.2083722604913304</v>
      </c>
      <c r="KR57" s="235">
        <f t="shared" ca="1" si="263"/>
        <v>0.2083722604913304</v>
      </c>
      <c r="KS57" s="242">
        <f t="shared" ca="1" si="264"/>
        <v>0.2083722604913304</v>
      </c>
      <c r="KT57" s="241">
        <f t="shared" ca="1" si="803"/>
        <v>1</v>
      </c>
      <c r="KU57" s="220">
        <f t="shared" ca="1" si="683"/>
        <v>0.94397037706144371</v>
      </c>
      <c r="KV57" s="220">
        <f t="shared" ca="1" si="684"/>
        <v>0</v>
      </c>
      <c r="KW57" s="235">
        <f t="shared" ca="1" si="267"/>
        <v>0.20074402382464779</v>
      </c>
      <c r="KX57" s="235">
        <f t="shared" ca="1" si="268"/>
        <v>0.20074402382464779</v>
      </c>
      <c r="KY57" s="242">
        <f t="shared" ca="1" si="269"/>
        <v>0.20074402382464779</v>
      </c>
      <c r="KZ57" s="241">
        <f t="shared" ca="1" si="803"/>
        <v>1</v>
      </c>
      <c r="LA57" s="220">
        <f t="shared" ca="1" si="685"/>
        <v>0.94102424551463493</v>
      </c>
      <c r="LB57" s="220">
        <f t="shared" ca="1" si="686"/>
        <v>0</v>
      </c>
      <c r="LC57" s="235">
        <f t="shared" ca="1" si="272"/>
        <v>0.19335024321380778</v>
      </c>
      <c r="LD57" s="235">
        <f t="shared" ca="1" si="273"/>
        <v>0.19335024321380778</v>
      </c>
      <c r="LE57" s="242">
        <f t="shared" ca="1" si="274"/>
        <v>0.19335024321380778</v>
      </c>
      <c r="LF57" s="241">
        <f t="shared" ca="1" si="803"/>
        <v>1</v>
      </c>
      <c r="LG57" s="220">
        <f t="shared" ca="1" si="687"/>
        <v>0.93783793741932242</v>
      </c>
      <c r="LH57" s="220">
        <f t="shared" ca="1" si="688"/>
        <v>0</v>
      </c>
      <c r="LI57" s="235">
        <f t="shared" ca="1" si="278"/>
        <v>0.18617928433844047</v>
      </c>
      <c r="LJ57" s="235">
        <f t="shared" ca="1" si="279"/>
        <v>0.18617928433844047</v>
      </c>
      <c r="LK57" s="242">
        <f t="shared" ca="1" si="280"/>
        <v>0.18617928433844047</v>
      </c>
      <c r="LL57" s="241">
        <f t="shared" ca="1" si="803"/>
        <v>1</v>
      </c>
      <c r="LM57" s="220">
        <f t="shared" ca="1" si="689"/>
        <v>0.93436137218530901</v>
      </c>
      <c r="LN57" s="220">
        <f t="shared" ca="1" si="690"/>
        <v>0</v>
      </c>
      <c r="LO57" s="235">
        <f t="shared" ca="1" si="283"/>
        <v>0.17921653887091585</v>
      </c>
      <c r="LP57" s="235">
        <f t="shared" ca="1" si="284"/>
        <v>0.17921653887091585</v>
      </c>
      <c r="LQ57" s="242">
        <f t="shared" ca="1" si="285"/>
        <v>0.17921653887091585</v>
      </c>
      <c r="LR57" s="241">
        <f t="shared" ca="1" si="803"/>
        <v>1</v>
      </c>
      <c r="LS57" s="220">
        <f t="shared" ca="1" si="691"/>
        <v>0.93053889981169891</v>
      </c>
      <c r="LT57" s="220">
        <f t="shared" ca="1" si="692"/>
        <v>0</v>
      </c>
      <c r="LU57" s="235">
        <f t="shared" ca="1" si="288"/>
        <v>0.17244769469603377</v>
      </c>
      <c r="LV57" s="235">
        <f t="shared" ca="1" si="289"/>
        <v>0.17244769469603377</v>
      </c>
      <c r="LW57" s="242">
        <f t="shared" ca="1" si="290"/>
        <v>0.17244769469603377</v>
      </c>
      <c r="LX57" s="241">
        <f t="shared" ca="1" si="803"/>
        <v>1</v>
      </c>
      <c r="LY57" s="220">
        <f t="shared" ca="1" si="693"/>
        <v>0.92632262805665211</v>
      </c>
      <c r="LZ57" s="220">
        <f t="shared" ca="1" si="694"/>
        <v>0</v>
      </c>
      <c r="MA57" s="235">
        <f t="shared" ca="1" si="293"/>
        <v>0.16586119245542613</v>
      </c>
      <c r="MB57" s="235">
        <f t="shared" ca="1" si="294"/>
        <v>0.16586119245542613</v>
      </c>
      <c r="MC57" s="242">
        <f t="shared" ca="1" si="295"/>
        <v>0.16586119245542613</v>
      </c>
      <c r="MD57" s="241">
        <f t="shared" ca="1" si="797"/>
        <v>1</v>
      </c>
      <c r="ME57" s="220">
        <f t="shared" ca="1" si="695"/>
        <v>0.92167897272220412</v>
      </c>
      <c r="MF57" s="220">
        <f t="shared" ca="1" si="696"/>
        <v>0</v>
      </c>
      <c r="MG57" s="235">
        <f t="shared" ca="1" si="298"/>
        <v>0.15944901478033538</v>
      </c>
      <c r="MH57" s="235">
        <f t="shared" ca="1" si="299"/>
        <v>0.15944901478033538</v>
      </c>
      <c r="MI57" s="242">
        <f t="shared" ca="1" si="300"/>
        <v>0.15944901478033538</v>
      </c>
      <c r="MJ57" s="241">
        <f t="shared" ca="1" si="797"/>
        <v>1</v>
      </c>
      <c r="MK57" s="220">
        <f t="shared" ca="1" si="697"/>
        <v>0.91658761807688671</v>
      </c>
      <c r="ML57" s="220">
        <f t="shared" ca="1" si="698"/>
        <v>0</v>
      </c>
      <c r="MM57" s="235">
        <f t="shared" ca="1" si="303"/>
        <v>0.15320600813786359</v>
      </c>
      <c r="MN57" s="235">
        <f t="shared" ca="1" si="304"/>
        <v>0.15320600813786359</v>
      </c>
      <c r="MO57" s="242">
        <f t="shared" ca="1" si="305"/>
        <v>0.15320600813786359</v>
      </c>
      <c r="MP57" s="241">
        <f t="shared" ca="1" si="804"/>
        <v>1</v>
      </c>
      <c r="MQ57" s="220">
        <f t="shared" ca="1" si="699"/>
        <v>0.91103401369895887</v>
      </c>
      <c r="MR57" s="220">
        <f t="shared" ca="1" si="700"/>
        <v>0</v>
      </c>
      <c r="MS57" s="235">
        <f t="shared" ca="1" si="308"/>
        <v>0.1471282443812138</v>
      </c>
      <c r="MT57" s="235">
        <f t="shared" ca="1" si="309"/>
        <v>0.1471282443812138</v>
      </c>
      <c r="MU57" s="242">
        <f t="shared" ca="1" si="310"/>
        <v>0.1471282443812138</v>
      </c>
      <c r="MV57" s="241">
        <f t="shared" ca="1" si="804"/>
        <v>1</v>
      </c>
      <c r="MW57" s="220">
        <f t="shared" ca="1" si="701"/>
        <v>0.90501116783439506</v>
      </c>
      <c r="MX57" s="220">
        <f t="shared" ca="1" si="702"/>
        <v>0</v>
      </c>
      <c r="MY57" s="235">
        <f t="shared" ca="1" si="313"/>
        <v>0.14121312034551653</v>
      </c>
      <c r="MZ57" s="235">
        <f t="shared" ca="1" si="314"/>
        <v>0.14121312034551653</v>
      </c>
      <c r="NA57" s="242">
        <f t="shared" ca="1" si="315"/>
        <v>0.14121312034551653</v>
      </c>
      <c r="NB57" s="241">
        <f t="shared" ca="1" si="804"/>
        <v>1</v>
      </c>
      <c r="NC57" s="220">
        <f t="shared" ca="1" si="703"/>
        <v>0.89850685257116925</v>
      </c>
      <c r="ND57" s="220">
        <f t="shared" ca="1" si="704"/>
        <v>0</v>
      </c>
      <c r="NE57" s="235">
        <f t="shared" ca="1" si="318"/>
        <v>0.13545721898511429</v>
      </c>
      <c r="NF57" s="235">
        <f t="shared" ca="1" si="319"/>
        <v>0.13545721898511429</v>
      </c>
      <c r="NG57" s="242">
        <f t="shared" ca="1" si="320"/>
        <v>0.13545721898511429</v>
      </c>
      <c r="NH57" s="241">
        <f t="shared" ca="1" si="804"/>
        <v>1</v>
      </c>
      <c r="NI57" s="220">
        <f t="shared" ca="1" si="705"/>
        <v>0.89149849912111412</v>
      </c>
      <c r="NJ57" s="220">
        <f t="shared" ca="1" si="706"/>
        <v>0</v>
      </c>
      <c r="NK57" s="235">
        <f t="shared" ca="1" si="323"/>
        <v>0.12985570306959462</v>
      </c>
      <c r="NL57" s="235">
        <f t="shared" ca="1" si="324"/>
        <v>0.12985570306959462</v>
      </c>
      <c r="NM57" s="242">
        <f t="shared" ca="1" si="325"/>
        <v>0.12985570306959462</v>
      </c>
      <c r="NN57" s="241">
        <f t="shared" ca="1" si="804"/>
        <v>1</v>
      </c>
      <c r="NO57" s="220">
        <f t="shared" ca="1" si="707"/>
        <v>0.88395998781254592</v>
      </c>
      <c r="NP57" s="220">
        <f t="shared" ca="1" si="708"/>
        <v>0</v>
      </c>
      <c r="NQ57" s="235">
        <f t="shared" ca="1" si="328"/>
        <v>0.12440352004293539</v>
      </c>
      <c r="NR57" s="235">
        <f t="shared" ca="1" si="329"/>
        <v>0.12440352004293539</v>
      </c>
      <c r="NS57" s="242">
        <f t="shared" ca="1" si="330"/>
        <v>0.12440352004293539</v>
      </c>
      <c r="NT57" s="241">
        <f t="shared" ca="1" si="804"/>
        <v>1</v>
      </c>
      <c r="NU57" s="220">
        <f t="shared" ca="1" si="709"/>
        <v>0.87587705768398794</v>
      </c>
      <c r="NV57" s="220">
        <f t="shared" ca="1" si="710"/>
        <v>0</v>
      </c>
      <c r="NW57" s="235">
        <f t="shared" ca="1" si="334"/>
        <v>0.11909755966730703</v>
      </c>
      <c r="NX57" s="235">
        <f t="shared" ca="1" si="335"/>
        <v>0.11909755966730703</v>
      </c>
      <c r="NY57" s="242">
        <f t="shared" ca="1" si="336"/>
        <v>0.11909755966730703</v>
      </c>
      <c r="NZ57" s="241">
        <f t="shared" ca="1" si="804"/>
        <v>1</v>
      </c>
      <c r="OA57" s="220">
        <f t="shared" ca="1" si="711"/>
        <v>0.86723653050993543</v>
      </c>
      <c r="OB57" s="220">
        <f t="shared" ca="1" si="712"/>
        <v>0</v>
      </c>
      <c r="OC57" s="235">
        <f t="shared" ca="1" si="339"/>
        <v>0.11393493936346769</v>
      </c>
      <c r="OD57" s="235">
        <f t="shared" ca="1" si="340"/>
        <v>0.11393493936346769</v>
      </c>
      <c r="OE57" s="242">
        <f t="shared" ca="1" si="341"/>
        <v>0.11393493936346769</v>
      </c>
      <c r="OF57" s="241">
        <f t="shared" ca="1" si="804"/>
        <v>1</v>
      </c>
      <c r="OG57" s="220">
        <f t="shared" ca="1" si="713"/>
        <v>0.85802474408285889</v>
      </c>
      <c r="OH57" s="220">
        <f t="shared" ca="1" si="714"/>
        <v>0</v>
      </c>
      <c r="OI57" s="235">
        <f t="shared" ca="1" si="344"/>
        <v>0.10891277530197965</v>
      </c>
      <c r="OJ57" s="235">
        <f t="shared" ca="1" si="345"/>
        <v>0.10891277530197965</v>
      </c>
      <c r="OK57" s="242">
        <f t="shared" ca="1" si="346"/>
        <v>0.10891277530197965</v>
      </c>
      <c r="OL57" s="241">
        <f t="shared" ca="1" si="804"/>
        <v>1</v>
      </c>
      <c r="OM57" s="220">
        <f t="shared" ca="1" si="715"/>
        <v>0.84819349656515752</v>
      </c>
      <c r="ON57" s="220">
        <f t="shared" ca="1" si="716"/>
        <v>0</v>
      </c>
      <c r="OO57" s="235">
        <f t="shared" ca="1" si="349"/>
        <v>0.10402401229233778</v>
      </c>
      <c r="OP57" s="235">
        <f t="shared" ca="1" si="350"/>
        <v>0.10402401229233778</v>
      </c>
      <c r="OQ57" s="242">
        <f t="shared" ca="1" si="351"/>
        <v>0.10402401229233778</v>
      </c>
      <c r="OR57" s="241">
        <f t="shared" ca="1" si="804"/>
        <v>1</v>
      </c>
      <c r="OS57" s="220">
        <f t="shared" ca="1" si="717"/>
        <v>0.83771830688257787</v>
      </c>
      <c r="OT57" s="220">
        <f t="shared" ca="1" si="718"/>
        <v>0</v>
      </c>
      <c r="OU57" s="235">
        <f t="shared" ca="1" si="354"/>
        <v>9.9265039362828419E-2</v>
      </c>
      <c r="OV57" s="235">
        <f t="shared" ca="1" si="355"/>
        <v>9.9265039362828419E-2</v>
      </c>
      <c r="OW57" s="242">
        <f t="shared" ca="1" si="356"/>
        <v>9.9265039362828419E-2</v>
      </c>
      <c r="OX57" s="241">
        <f t="shared" ca="1" si="804"/>
        <v>1</v>
      </c>
      <c r="OY57" s="220">
        <f t="shared" ca="1" si="719"/>
        <v>0.82663110509098692</v>
      </c>
      <c r="OZ57" s="220">
        <f t="shared" ca="1" si="720"/>
        <v>0</v>
      </c>
      <c r="PA57" s="235">
        <f t="shared" ca="1" si="359"/>
        <v>9.4638904895518239E-2</v>
      </c>
      <c r="PB57" s="235">
        <f t="shared" ca="1" si="360"/>
        <v>9.4638904895518239E-2</v>
      </c>
      <c r="PC57" s="242">
        <f t="shared" ca="1" si="361"/>
        <v>9.4638904895518239E-2</v>
      </c>
      <c r="PD57" s="241">
        <f t="shared" ca="1" si="798"/>
        <v>1</v>
      </c>
      <c r="PE57" s="220">
        <f t="shared" ca="1" si="721"/>
        <v>0.81497808640251923</v>
      </c>
      <c r="PF57" s="220">
        <f t="shared" ca="1" si="722"/>
        <v>0</v>
      </c>
      <c r="PG57" s="235">
        <f t="shared" ca="1" si="364"/>
        <v>9.0149546138363415E-2</v>
      </c>
      <c r="PH57" s="235">
        <f t="shared" ca="1" si="365"/>
        <v>9.0149546138363415E-2</v>
      </c>
      <c r="PI57" s="242">
        <f t="shared" ca="1" si="366"/>
        <v>9.0149546138363415E-2</v>
      </c>
      <c r="PJ57" s="241">
        <f t="shared" ca="1" si="798"/>
        <v>1</v>
      </c>
      <c r="PK57" s="220">
        <f t="shared" ca="1" si="723"/>
        <v>0.80277052964629592</v>
      </c>
      <c r="PL57" s="220">
        <f t="shared" ca="1" si="724"/>
        <v>0</v>
      </c>
      <c r="PM57" s="235">
        <f t="shared" ca="1" si="369"/>
        <v>8.5796324721504238E-2</v>
      </c>
      <c r="PN57" s="235">
        <f t="shared" ca="1" si="370"/>
        <v>8.5796324721504238E-2</v>
      </c>
      <c r="PO57" s="242">
        <f t="shared" ca="1" si="371"/>
        <v>8.5796324721504238E-2</v>
      </c>
      <c r="PP57" s="241">
        <f t="shared" ca="1" si="805"/>
        <v>1</v>
      </c>
      <c r="PQ57" s="220">
        <f t="shared" ca="1" si="725"/>
        <v>0.78995269259943357</v>
      </c>
      <c r="PR57" s="220">
        <f t="shared" ca="1" si="726"/>
        <v>0</v>
      </c>
      <c r="PS57" s="235">
        <f t="shared" ca="1" si="374"/>
        <v>8.1571415270218356E-2</v>
      </c>
      <c r="PT57" s="235">
        <f t="shared" ca="1" si="375"/>
        <v>8.1571415270218356E-2</v>
      </c>
      <c r="PU57" s="242">
        <f t="shared" ca="1" si="376"/>
        <v>8.1571415270218356E-2</v>
      </c>
      <c r="PV57" s="241">
        <f t="shared" ca="1" si="805"/>
        <v>1</v>
      </c>
      <c r="PW57" s="220">
        <f t="shared" ca="1" si="727"/>
        <v>0.77643739198174988</v>
      </c>
      <c r="PX57" s="220">
        <f t="shared" ca="1" si="728"/>
        <v>0</v>
      </c>
      <c r="PY57" s="235">
        <f t="shared" ca="1" si="379"/>
        <v>7.7464550653488104E-2</v>
      </c>
      <c r="PZ57" s="235">
        <f t="shared" ca="1" si="380"/>
        <v>7.7464550653488104E-2</v>
      </c>
      <c r="QA57" s="242">
        <f t="shared" ca="1" si="381"/>
        <v>7.7464550653488104E-2</v>
      </c>
      <c r="QB57" s="241">
        <f t="shared" ca="1" si="805"/>
        <v>1</v>
      </c>
      <c r="QC57" s="220">
        <f t="shared" ca="1" si="729"/>
        <v>0.76215715546842155</v>
      </c>
      <c r="QD57" s="220">
        <f t="shared" ca="1" si="730"/>
        <v>0</v>
      </c>
      <c r="QE57" s="235">
        <f t="shared" ca="1" si="384"/>
        <v>7.3468427669438799E-2</v>
      </c>
      <c r="QF57" s="235">
        <f t="shared" ca="1" si="385"/>
        <v>7.3468427669438799E-2</v>
      </c>
      <c r="QG57" s="242">
        <f t="shared" ca="1" si="386"/>
        <v>7.3468427669438799E-2</v>
      </c>
      <c r="QH57" s="241">
        <f t="shared" ca="1" si="805"/>
        <v>1</v>
      </c>
      <c r="QI57" s="220">
        <f t="shared" ca="1" si="731"/>
        <v>0.74703900613254992</v>
      </c>
      <c r="QJ57" s="220">
        <f t="shared" ca="1" si="732"/>
        <v>0</v>
      </c>
      <c r="QK57" s="235">
        <f t="shared" ca="1" si="390"/>
        <v>6.9575949698732195E-2</v>
      </c>
      <c r="QL57" s="235">
        <f t="shared" ca="1" si="391"/>
        <v>6.9575949698732195E-2</v>
      </c>
      <c r="QM57" s="242">
        <f t="shared" ca="1" si="392"/>
        <v>6.9575949698732195E-2</v>
      </c>
      <c r="QN57" s="241">
        <f t="shared" ca="1" si="805"/>
        <v>1</v>
      </c>
      <c r="QO57" s="220">
        <f t="shared" ca="1" si="733"/>
        <v>0.73100381386591473</v>
      </c>
      <c r="QP57" s="220">
        <f t="shared" ca="1" si="734"/>
        <v>0</v>
      </c>
      <c r="QQ57" s="235">
        <f t="shared" ca="1" si="395"/>
        <v>6.5780195109612458E-2</v>
      </c>
      <c r="QR57" s="235">
        <f t="shared" ca="1" si="396"/>
        <v>6.5780195109612458E-2</v>
      </c>
      <c r="QS57" s="242">
        <f t="shared" ca="1" si="397"/>
        <v>6.5780195109612458E-2</v>
      </c>
      <c r="QT57" s="241">
        <f t="shared" ca="1" si="805"/>
        <v>1</v>
      </c>
      <c r="QU57" s="220">
        <f t="shared" ca="1" si="735"/>
        <v>0.71393414380833176</v>
      </c>
      <c r="QV57" s="220">
        <f t="shared" ca="1" si="736"/>
        <v>0</v>
      </c>
      <c r="QW57" s="235">
        <f t="shared" ca="1" si="400"/>
        <v>6.2071653887543876E-2</v>
      </c>
      <c r="QX57" s="235">
        <f t="shared" ca="1" si="401"/>
        <v>6.2071653887543876E-2</v>
      </c>
      <c r="QY57" s="242">
        <f t="shared" ca="1" si="402"/>
        <v>6.2071653887543876E-2</v>
      </c>
      <c r="QZ57" s="241">
        <f t="shared" ca="1" si="805"/>
        <v>1</v>
      </c>
      <c r="RA57" s="220">
        <f t="shared" ca="1" si="737"/>
        <v>0.69574167395580788</v>
      </c>
      <c r="RB57" s="220">
        <f t="shared" ca="1" si="738"/>
        <v>0</v>
      </c>
      <c r="RC57" s="235">
        <f t="shared" ca="1" si="405"/>
        <v>5.8444390341238162E-2</v>
      </c>
      <c r="RD57" s="235">
        <f t="shared" ca="1" si="406"/>
        <v>5.8444390341238162E-2</v>
      </c>
      <c r="RE57" s="242">
        <f t="shared" ca="1" si="407"/>
        <v>5.8444390341238162E-2</v>
      </c>
      <c r="RF57" s="241">
        <f t="shared" ca="1" si="805"/>
        <v>1</v>
      </c>
      <c r="RG57" s="220">
        <f t="shared" ca="1" si="739"/>
        <v>0.67640422986988014</v>
      </c>
      <c r="RH57" s="220">
        <f t="shared" ca="1" si="740"/>
        <v>0</v>
      </c>
      <c r="RI57" s="235">
        <f t="shared" ca="1" si="410"/>
        <v>5.4898538121829751E-2</v>
      </c>
      <c r="RJ57" s="235">
        <f t="shared" ca="1" si="411"/>
        <v>5.4898538121829751E-2</v>
      </c>
      <c r="RK57" s="242">
        <f t="shared" ca="1" si="412"/>
        <v>5.4898538121829751E-2</v>
      </c>
      <c r="RL57" s="241">
        <f t="shared" ca="1" si="805"/>
        <v>1</v>
      </c>
      <c r="RM57" s="220">
        <f t="shared" ca="1" si="741"/>
        <v>0.65592135698096043</v>
      </c>
      <c r="RN57" s="220">
        <f t="shared" ca="1" si="742"/>
        <v>0</v>
      </c>
      <c r="RO57" s="235">
        <f t="shared" ca="1" si="415"/>
        <v>5.1435845981086484E-2</v>
      </c>
      <c r="RP57" s="235">
        <f t="shared" ca="1" si="416"/>
        <v>5.1435845981086484E-2</v>
      </c>
      <c r="RQ57" s="242">
        <f t="shared" ca="1" si="417"/>
        <v>5.1435845981086484E-2</v>
      </c>
      <c r="RR57" s="241">
        <f t="shared" ca="1" si="805"/>
        <v>1</v>
      </c>
      <c r="RS57" s="220">
        <f t="shared" ca="1" si="743"/>
        <v>0.63426152193073515</v>
      </c>
      <c r="RT57" s="220">
        <f t="shared" ca="1" si="744"/>
        <v>0</v>
      </c>
      <c r="RU57" s="235">
        <f t="shared" ca="1" si="420"/>
        <v>4.8055392729564286E-2</v>
      </c>
      <c r="RV57" s="235">
        <f t="shared" ca="1" si="421"/>
        <v>4.8055392729564286E-2</v>
      </c>
      <c r="RW57" s="242">
        <f t="shared" ca="1" si="422"/>
        <v>4.8055392729564286E-2</v>
      </c>
      <c r="RX57" s="241">
        <f t="shared" ca="1" si="805"/>
        <v>1</v>
      </c>
      <c r="RY57" s="220">
        <f t="shared" ca="1" si="745"/>
        <v>0.61130062057532053</v>
      </c>
      <c r="RZ57" s="220">
        <f t="shared" ca="1" si="746"/>
        <v>0</v>
      </c>
      <c r="SA57" s="235">
        <f t="shared" ca="1" si="425"/>
        <v>4.4749506722088245E-2</v>
      </c>
      <c r="SB57" s="235">
        <f t="shared" ca="1" si="426"/>
        <v>4.4749506722088245E-2</v>
      </c>
      <c r="SC57" s="242">
        <f t="shared" ca="1" si="427"/>
        <v>4.4749506722088245E-2</v>
      </c>
      <c r="SD57" s="241">
        <f t="shared" ca="1" si="799"/>
        <v>1</v>
      </c>
      <c r="SE57" s="220">
        <f t="shared" ca="1" si="747"/>
        <v>0.58693540044042947</v>
      </c>
      <c r="SF57" s="220">
        <f t="shared" ca="1" si="748"/>
        <v>0</v>
      </c>
      <c r="SG57" s="235">
        <f t="shared" ca="1" si="430"/>
        <v>4.1512928389525854E-2</v>
      </c>
      <c r="SH57" s="235">
        <f t="shared" ca="1" si="431"/>
        <v>4.1512928389525854E-2</v>
      </c>
      <c r="SI57" s="242">
        <f t="shared" ca="1" si="432"/>
        <v>4.1512928389525854E-2</v>
      </c>
      <c r="SJ57" s="241">
        <f t="shared" ca="1" si="799"/>
        <v>1</v>
      </c>
      <c r="SK57" s="220">
        <f t="shared" ca="1" si="749"/>
        <v>0.56117421877969853</v>
      </c>
      <c r="SL57" s="220">
        <f t="shared" ca="1" si="750"/>
        <v>0</v>
      </c>
      <c r="SM57" s="235">
        <f t="shared" ca="1" si="435"/>
        <v>3.8348680627614658E-2</v>
      </c>
      <c r="SN57" s="235">
        <f t="shared" ca="1" si="436"/>
        <v>3.8348680627614658E-2</v>
      </c>
      <c r="SO57" s="242">
        <f t="shared" ca="1" si="437"/>
        <v>3.8348680627614658E-2</v>
      </c>
      <c r="SP57" s="241">
        <f t="shared" ca="1" si="808"/>
        <v>1</v>
      </c>
      <c r="SQ57" s="220">
        <f t="shared" ca="1" si="751"/>
        <v>0.5340633310962325</v>
      </c>
      <c r="SR57" s="220">
        <f t="shared" ca="1" si="752"/>
        <v>0</v>
      </c>
      <c r="SS57" s="235">
        <f t="shared" ca="1" si="440"/>
        <v>3.5261852674216394E-2</v>
      </c>
      <c r="ST57" s="235">
        <f t="shared" ca="1" si="441"/>
        <v>3.5261852674216394E-2</v>
      </c>
      <c r="SU57" s="242">
        <f t="shared" ca="1" si="442"/>
        <v>3.5261852674216394E-2</v>
      </c>
      <c r="SV57" s="241">
        <f t="shared" ca="1" si="808"/>
        <v>1</v>
      </c>
      <c r="SW57" s="220">
        <f t="shared" ca="1" si="753"/>
        <v>0.50563620810864218</v>
      </c>
      <c r="SX57" s="220">
        <f t="shared" ca="1" si="754"/>
        <v>0</v>
      </c>
      <c r="SY57" s="235">
        <f t="shared" ca="1" si="446"/>
        <v>3.2255975632920972E-2</v>
      </c>
      <c r="SZ57" s="235">
        <f t="shared" ca="1" si="447"/>
        <v>3.2255975632920972E-2</v>
      </c>
      <c r="TA57" s="242">
        <f t="shared" ca="1" si="448"/>
        <v>3.2255975632920972E-2</v>
      </c>
      <c r="TB57" s="241">
        <f t="shared" ca="1" si="808"/>
        <v>1</v>
      </c>
      <c r="TC57" s="220">
        <f t="shared" ca="1" si="755"/>
        <v>0.47585575235966748</v>
      </c>
      <c r="TD57" s="220">
        <f t="shared" ca="1" si="756"/>
        <v>0</v>
      </c>
      <c r="TE57" s="235">
        <f t="shared" ca="1" si="451"/>
        <v>2.9329657426153458E-2</v>
      </c>
      <c r="TF57" s="235">
        <f t="shared" ca="1" si="452"/>
        <v>2.9329657426153458E-2</v>
      </c>
      <c r="TG57" s="242">
        <f t="shared" ca="1" si="453"/>
        <v>2.9329657426153458E-2</v>
      </c>
      <c r="TH57" s="241">
        <f t="shared" ca="1" si="808"/>
        <v>1</v>
      </c>
      <c r="TI57" s="220">
        <f t="shared" ca="1" si="757"/>
        <v>0.4447514411066778</v>
      </c>
      <c r="TJ57" s="220">
        <f t="shared" ca="1" si="758"/>
        <v>0</v>
      </c>
      <c r="TK57" s="235">
        <f t="shared" ca="1" si="456"/>
        <v>2.6485530790814431E-2</v>
      </c>
      <c r="TL57" s="235">
        <f t="shared" ca="1" si="457"/>
        <v>2.6485530790814431E-2</v>
      </c>
      <c r="TM57" s="242">
        <f t="shared" ca="1" si="458"/>
        <v>2.6485530790814431E-2</v>
      </c>
      <c r="TN57" s="241">
        <f t="shared" ca="1" si="808"/>
        <v>1</v>
      </c>
      <c r="TO57" s="220">
        <f t="shared" ca="1" si="759"/>
        <v>0.41251096438941365</v>
      </c>
      <c r="TP57" s="220">
        <f t="shared" ca="1" si="760"/>
        <v>0</v>
      </c>
      <c r="TQ57" s="235">
        <f t="shared" ca="1" si="461"/>
        <v>2.3734848481408222E-2</v>
      </c>
      <c r="TR57" s="235">
        <f t="shared" ca="1" si="462"/>
        <v>2.3734848481408222E-2</v>
      </c>
      <c r="TS57" s="242">
        <f t="shared" ca="1" si="463"/>
        <v>2.3734848481408222E-2</v>
      </c>
      <c r="TT57" s="241">
        <f t="shared" ca="1" si="808"/>
        <v>1</v>
      </c>
      <c r="TU57" s="220">
        <f t="shared" ca="1" si="761"/>
        <v>0.37939128408051637</v>
      </c>
      <c r="TV57" s="220">
        <f t="shared" ca="1" si="762"/>
        <v>0</v>
      </c>
      <c r="TW57" s="235">
        <f t="shared" ca="1" si="466"/>
        <v>2.1091038615007652E-2</v>
      </c>
      <c r="TX57" s="235">
        <f t="shared" ca="1" si="467"/>
        <v>2.1091038615007652E-2</v>
      </c>
      <c r="TY57" s="242">
        <f t="shared" ca="1" si="468"/>
        <v>2.1091038615007652E-2</v>
      </c>
      <c r="TZ57" s="241">
        <f t="shared" ca="1" si="808"/>
        <v>1</v>
      </c>
      <c r="UA57" s="220">
        <f t="shared" ca="1" si="763"/>
        <v>0.34565732866521315</v>
      </c>
      <c r="UB57" s="220">
        <f t="shared" ca="1" si="764"/>
        <v>0</v>
      </c>
      <c r="UC57" s="235">
        <f t="shared" ca="1" si="471"/>
        <v>1.8565901280691431E-2</v>
      </c>
      <c r="UD57" s="235">
        <f t="shared" ca="1" si="472"/>
        <v>1.8565901280691431E-2</v>
      </c>
      <c r="UE57" s="242">
        <f t="shared" ca="1" si="473"/>
        <v>1.8565901280691431E-2</v>
      </c>
      <c r="UF57" s="241">
        <f t="shared" ca="1" si="808"/>
        <v>1</v>
      </c>
      <c r="UG57" s="220">
        <f t="shared" ca="1" si="765"/>
        <v>0.31158381183471112</v>
      </c>
      <c r="UH57" s="220">
        <f t="shared" ca="1" si="766"/>
        <v>0</v>
      </c>
      <c r="UI57" s="235">
        <f t="shared" ca="1" si="476"/>
        <v>1.6169805793281151E-2</v>
      </c>
      <c r="UJ57" s="235">
        <f t="shared" ca="1" si="477"/>
        <v>1.6169805793281151E-2</v>
      </c>
      <c r="UK57" s="242">
        <f t="shared" ca="1" si="478"/>
        <v>1.6169805793281151E-2</v>
      </c>
      <c r="UL57" s="241">
        <f t="shared" ca="1" si="808"/>
        <v>1</v>
      </c>
      <c r="UM57" s="220">
        <f t="shared" ca="1" si="767"/>
        <v>0.27748470263514402</v>
      </c>
      <c r="UN57" s="220">
        <f t="shared" ca="1" si="768"/>
        <v>0</v>
      </c>
      <c r="UO57" s="235">
        <f t="shared" ca="1" si="481"/>
        <v>1.3913250808575896E-2</v>
      </c>
      <c r="UP57" s="235">
        <f t="shared" ca="1" si="482"/>
        <v>1.3913250808575896E-2</v>
      </c>
      <c r="UQ57" s="242">
        <f t="shared" ca="1" si="483"/>
        <v>1.3913250808575896E-2</v>
      </c>
      <c r="UR57" s="241">
        <f t="shared" ca="1" si="808"/>
        <v>1</v>
      </c>
      <c r="US57" s="220">
        <f t="shared" ca="1" si="769"/>
        <v>0.24373729058536042</v>
      </c>
      <c r="UT57" s="220">
        <f t="shared" ca="1" si="770"/>
        <v>0</v>
      </c>
      <c r="UU57" s="235">
        <f t="shared" ca="1" si="486"/>
        <v>1.1807860056509861E-2</v>
      </c>
      <c r="UV57" s="235">
        <f t="shared" ca="1" si="487"/>
        <v>1.1807860056509861E-2</v>
      </c>
      <c r="UW57" s="242">
        <f t="shared" ca="1" si="488"/>
        <v>1.1807860056509861E-2</v>
      </c>
      <c r="UX57" s="241">
        <f t="shared" ca="1" si="808"/>
        <v>1</v>
      </c>
      <c r="UY57" s="220">
        <f t="shared" ca="1" si="771"/>
        <v>0.21078985859319374</v>
      </c>
      <c r="UZ57" s="220">
        <f t="shared" ca="1" si="772"/>
        <v>0</v>
      </c>
      <c r="VA57" s="235">
        <f t="shared" ca="1" si="491"/>
        <v>9.866396874889936E-3</v>
      </c>
      <c r="VB57" s="235">
        <f t="shared" ca="1" si="492"/>
        <v>9.866396874889936E-3</v>
      </c>
      <c r="VC57" s="242">
        <f t="shared" ca="1" si="493"/>
        <v>9.866396874889936E-3</v>
      </c>
      <c r="VD57" s="241">
        <f t="shared" ca="1" si="806"/>
        <v>1</v>
      </c>
      <c r="VE57" s="220">
        <f t="shared" ca="1" si="773"/>
        <v>0.17914840370962801</v>
      </c>
      <c r="VF57" s="220">
        <f t="shared" ca="1" si="774"/>
        <v>0</v>
      </c>
      <c r="VG57" s="235">
        <f t="shared" ca="1" si="496"/>
        <v>8.1017989433788233E-3</v>
      </c>
      <c r="VH57" s="235">
        <f t="shared" ca="1" si="497"/>
        <v>8.1017989433788233E-3</v>
      </c>
      <c r="VI57" s="242">
        <f t="shared" ca="1" si="498"/>
        <v>8.1017989433788233E-3</v>
      </c>
      <c r="VJ57" s="241">
        <f t="shared" ca="1" si="806"/>
        <v>1</v>
      </c>
      <c r="VK57" s="220">
        <f t="shared" ca="1" si="775"/>
        <v>0.14933864677755704</v>
      </c>
      <c r="VL57" s="220">
        <f t="shared" ca="1" si="776"/>
        <v>0</v>
      </c>
      <c r="VM57" s="235">
        <f t="shared" ca="1" si="502"/>
        <v>6.5252984585482295E-3</v>
      </c>
      <c r="VN57" s="235">
        <f t="shared" ca="1" si="503"/>
        <v>6.5252984585482295E-3</v>
      </c>
      <c r="VO57" s="242">
        <f t="shared" ca="1" si="504"/>
        <v>6.5252984585482295E-3</v>
      </c>
      <c r="VP57" s="241">
        <f t="shared" ca="1" si="567"/>
        <v>1</v>
      </c>
      <c r="VQ57" s="220">
        <f t="shared" ca="1" si="777"/>
        <v>0.12186078378642688</v>
      </c>
      <c r="VR57" s="220">
        <f t="shared" ca="1" si="778"/>
        <v>0</v>
      </c>
      <c r="VS57" s="235">
        <f t="shared" ca="1" si="507"/>
        <v>5.1446020464451514E-3</v>
      </c>
      <c r="VT57" s="235">
        <f t="shared" ca="1" si="508"/>
        <v>5.1446020464451514E-3</v>
      </c>
      <c r="VU57" s="242">
        <f t="shared" ca="1" si="509"/>
        <v>5.1446020464451514E-3</v>
      </c>
      <c r="VV57" s="241">
        <f t="shared" ca="1" si="578"/>
        <v>1</v>
      </c>
      <c r="VW57" s="220">
        <f t="shared" ca="1" si="779"/>
        <v>9.714071449143126E-2</v>
      </c>
      <c r="VX57" s="220">
        <f t="shared" ca="1" si="780"/>
        <v>0</v>
      </c>
      <c r="VY57" s="235">
        <f t="shared" ca="1" si="512"/>
        <v>3.9623128486120972E-3</v>
      </c>
      <c r="VZ57" s="235">
        <f t="shared" ca="1" si="513"/>
        <v>3.9623128486120972E-3</v>
      </c>
      <c r="WA57" s="242">
        <f t="shared" ca="1" si="514"/>
        <v>3.9623128486120972E-3</v>
      </c>
      <c r="WB57" s="241">
        <f t="shared" ca="1" si="578"/>
        <v>1</v>
      </c>
      <c r="WC57" s="220">
        <f t="shared" ca="1" si="781"/>
        <v>7.5486980683431834E-2</v>
      </c>
      <c r="WD57" s="220">
        <f t="shared" ca="1" si="782"/>
        <v>0</v>
      </c>
      <c r="WE57" s="235">
        <f t="shared" ca="1" si="517"/>
        <v>2.9749465982754843E-3</v>
      </c>
      <c r="WF57" s="235">
        <f t="shared" ca="1" si="518"/>
        <v>2.9749465982754843E-3</v>
      </c>
      <c r="WG57" s="242">
        <f t="shared" ca="1" si="519"/>
        <v>2.9749465982754843E-3</v>
      </c>
      <c r="WH57" s="241">
        <f t="shared" ca="1" si="578"/>
        <v>1</v>
      </c>
      <c r="WI57" s="220">
        <f t="shared" ca="1" si="783"/>
        <v>5.7061061620490225E-2</v>
      </c>
      <c r="WJ57" s="220">
        <f t="shared" ca="1" si="784"/>
        <v>0</v>
      </c>
      <c r="WK57" s="235">
        <f t="shared" ca="1" si="522"/>
        <v>2.1727342833971291E-3</v>
      </c>
      <c r="WL57" s="235">
        <f t="shared" ca="1" si="523"/>
        <v>2.1727342833971291E-3</v>
      </c>
      <c r="WM57" s="242">
        <f t="shared" ca="1" si="524"/>
        <v>2.1727342833971291E-3</v>
      </c>
      <c r="WN57" s="241">
        <f t="shared" ca="1" si="578"/>
        <v>1</v>
      </c>
      <c r="WO57" s="220">
        <f t="shared" ca="1" si="785"/>
        <v>4.1934687734452851E-2</v>
      </c>
      <c r="WP57" s="220">
        <f t="shared" ca="1" si="786"/>
        <v>0</v>
      </c>
      <c r="WQ57" s="235">
        <f t="shared" ca="1" si="527"/>
        <v>1.5427651975624165E-3</v>
      </c>
      <c r="WR57" s="235">
        <f t="shared" ca="1" si="528"/>
        <v>1.5427651975624165E-3</v>
      </c>
      <c r="WS57" s="242">
        <f t="shared" ca="1" si="529"/>
        <v>1.5427651975624165E-3</v>
      </c>
      <c r="WT57" s="241">
        <f t="shared" ca="1" si="578"/>
        <v>1</v>
      </c>
      <c r="WU57" s="220">
        <f t="shared" ca="1" si="787"/>
        <v>2.9961998908764689E-2</v>
      </c>
      <c r="WV57" s="220">
        <f t="shared" ca="1" si="788"/>
        <v>0</v>
      </c>
      <c r="WW57" s="235">
        <f t="shared" ca="1" si="532"/>
        <v>1.0650177696007403E-3</v>
      </c>
      <c r="WX57" s="235">
        <f t="shared" ca="1" si="533"/>
        <v>1.0650177696007403E-3</v>
      </c>
      <c r="WY57" s="242">
        <f t="shared" ca="1" si="534"/>
        <v>1.0650177696007403E-3</v>
      </c>
      <c r="WZ57" s="241">
        <f t="shared" ca="1" si="578"/>
        <v>1</v>
      </c>
      <c r="XA57" s="220">
        <f t="shared" ca="1" si="789"/>
        <v>2.0825806429510707E-2</v>
      </c>
      <c r="XB57" s="220">
        <f t="shared" ca="1" si="790"/>
        <v>0</v>
      </c>
      <c r="XC57" s="235">
        <f t="shared" ca="1" si="537"/>
        <v>7.1523300597822715E-4</v>
      </c>
      <c r="XD57" s="235">
        <f t="shared" ca="1" si="538"/>
        <v>7.1523300597822715E-4</v>
      </c>
      <c r="XE57" s="242">
        <f t="shared" ca="1" si="539"/>
        <v>7.1523300597822715E-4</v>
      </c>
      <c r="XF57" s="241">
        <f t="shared" ca="1" si="578"/>
        <v>1</v>
      </c>
      <c r="XG57" s="220">
        <f t="shared" ca="1" si="791"/>
        <v>1.410075784309954E-2</v>
      </c>
      <c r="XH57" s="220">
        <f t="shared" ca="1" si="792"/>
        <v>0</v>
      </c>
      <c r="XI57" s="235">
        <f t="shared" ca="1" si="542"/>
        <v>4.6789437576883483E-4</v>
      </c>
      <c r="XJ57" s="235">
        <f t="shared" ca="1" si="543"/>
        <v>4.6789437576883483E-4</v>
      </c>
      <c r="XK57" s="242">
        <f t="shared" ca="1" si="544"/>
        <v>4.6789437576883483E-4</v>
      </c>
    </row>
    <row r="58" spans="2:635" x14ac:dyDescent="0.25">
      <c r="B58" s="65">
        <f t="shared" ca="1" si="14"/>
        <v>2073</v>
      </c>
      <c r="C58" s="65" t="s">
        <v>741</v>
      </c>
      <c r="D58" s="77">
        <f t="shared" si="580"/>
        <v>0</v>
      </c>
      <c r="E58" s="77">
        <f t="shared" si="581"/>
        <v>0</v>
      </c>
      <c r="F58" s="77" t="b">
        <f t="shared" si="793"/>
        <v>0</v>
      </c>
      <c r="G58" s="77" t="b">
        <f t="shared" si="794"/>
        <v>0</v>
      </c>
      <c r="H58" s="15" t="e">
        <f t="shared" ca="1" si="582"/>
        <v>#REF!</v>
      </c>
      <c r="L58" s="326">
        <f t="shared" ca="1" si="583"/>
        <v>3.5000000000000003E-2</v>
      </c>
      <c r="M58" s="327">
        <f t="shared" ca="1" si="584"/>
        <v>3.5000000000000003E-2</v>
      </c>
      <c r="N58" s="322">
        <f t="shared" ca="1" si="579"/>
        <v>-50</v>
      </c>
      <c r="O58" s="322">
        <f t="shared" ca="1" si="585"/>
        <v>0</v>
      </c>
      <c r="P58" s="328">
        <f t="shared" ca="1" si="545"/>
        <v>26.87829936156087</v>
      </c>
      <c r="Q58" s="328">
        <f t="shared" ca="1" si="546"/>
        <v>26.87829936156087</v>
      </c>
      <c r="R58" s="328">
        <f t="shared" ca="1" si="547"/>
        <v>26.87829936156087</v>
      </c>
      <c r="S58" s="329">
        <f t="shared" ca="1" si="586"/>
        <v>3.8642415640549425E-2</v>
      </c>
      <c r="T58" s="329">
        <f t="shared" ca="1" si="587"/>
        <v>3.8642415640549425E-2</v>
      </c>
      <c r="U58" s="329">
        <f t="shared" ca="1" si="588"/>
        <v>3.8642415640549425E-2</v>
      </c>
      <c r="V58" s="320" t="e">
        <f t="shared" ca="1" si="589"/>
        <v>#REF!</v>
      </c>
      <c r="W58" s="320" t="e">
        <f t="shared" ca="1" si="560"/>
        <v>#REF!</v>
      </c>
      <c r="X58" s="320" t="e">
        <f t="shared" ca="1" si="590"/>
        <v>#REF!</v>
      </c>
      <c r="Y58" s="320" t="e">
        <f ca="1">INDEX(SC_ZA_HECMLumpSum,ZAIDX)</f>
        <v>#REF!</v>
      </c>
      <c r="Z58" s="320" t="e">
        <f t="shared" ca="1" si="591"/>
        <v>#REF!</v>
      </c>
      <c r="AA58" s="320" t="e">
        <f t="shared" ca="1" si="557"/>
        <v>#REF!</v>
      </c>
      <c r="AB58" s="320" t="e">
        <f t="shared" ca="1" si="558"/>
        <v>#REF!</v>
      </c>
      <c r="AC58" s="330" t="e">
        <f t="shared" ca="1" si="559"/>
        <v>#REF!</v>
      </c>
      <c r="AD58" s="236" t="e">
        <f t="shared" ca="1" si="548"/>
        <v>#REF!</v>
      </c>
      <c r="AE58" s="320" t="e">
        <f t="shared" ca="1" si="561"/>
        <v>#REF!</v>
      </c>
      <c r="AF58" s="320" t="e">
        <f t="shared" ca="1" si="592"/>
        <v>#REF!</v>
      </c>
      <c r="AG58" s="320" t="e">
        <f t="shared" ca="1" si="549"/>
        <v>#REF!</v>
      </c>
      <c r="AH58" s="284" t="e">
        <f t="shared" ca="1" si="550"/>
        <v>#REF!</v>
      </c>
      <c r="AI58" s="318" t="e">
        <f t="shared" ca="1" si="551"/>
        <v>#REF!</v>
      </c>
      <c r="AJ58" s="331">
        <f t="shared" ca="1" si="807"/>
        <v>1</v>
      </c>
      <c r="AK58" s="220">
        <f t="shared" ca="1" si="593"/>
        <v>1</v>
      </c>
      <c r="AL58" s="220">
        <f t="shared" ca="1" si="594"/>
        <v>0</v>
      </c>
      <c r="AM58" s="235">
        <f t="shared" ca="1" si="554"/>
        <v>1</v>
      </c>
      <c r="AN58" s="235">
        <f t="shared" ca="1" si="555"/>
        <v>1</v>
      </c>
      <c r="AO58" s="242">
        <f t="shared" ca="1" si="556"/>
        <v>1</v>
      </c>
      <c r="AP58" s="241">
        <f t="shared" ca="1" si="807"/>
        <v>1</v>
      </c>
      <c r="AQ58" s="220">
        <f t="shared" ca="1" si="595"/>
        <v>0.99361699999999997</v>
      </c>
      <c r="AR58" s="220">
        <f t="shared" ca="1" si="596"/>
        <v>0</v>
      </c>
      <c r="AS58" s="235">
        <f t="shared" ca="1" si="43"/>
        <v>0.96001642512077301</v>
      </c>
      <c r="AT58" s="235">
        <f t="shared" ca="1" si="44"/>
        <v>0.96001642512077301</v>
      </c>
      <c r="AU58" s="242">
        <f t="shared" ca="1" si="45"/>
        <v>0.96001642512077301</v>
      </c>
      <c r="AV58" s="241">
        <f t="shared" ca="1" si="807"/>
        <v>1</v>
      </c>
      <c r="AW58" s="220">
        <f t="shared" ca="1" si="597"/>
        <v>0.99316689149899995</v>
      </c>
      <c r="AX58" s="220">
        <f t="shared" ca="1" si="598"/>
        <v>0</v>
      </c>
      <c r="AY58" s="235">
        <f t="shared" ca="1" si="48"/>
        <v>0.92713192046395487</v>
      </c>
      <c r="AZ58" s="235">
        <f t="shared" ca="1" si="49"/>
        <v>0.92713192046395487</v>
      </c>
      <c r="BA58" s="242">
        <f t="shared" ca="1" si="50"/>
        <v>0.92713192046395487</v>
      </c>
      <c r="BB58" s="241">
        <f t="shared" ca="1" si="807"/>
        <v>1</v>
      </c>
      <c r="BC58" s="220">
        <f t="shared" ca="1" si="599"/>
        <v>0.99288681843559723</v>
      </c>
      <c r="BD58" s="220">
        <f t="shared" ca="1" si="600"/>
        <v>0</v>
      </c>
      <c r="BE58" s="235">
        <f t="shared" ca="1" si="54"/>
        <v>0.89552702344191704</v>
      </c>
      <c r="BF58" s="235">
        <f t="shared" ca="1" si="55"/>
        <v>0.89552702344191704</v>
      </c>
      <c r="BG58" s="242">
        <f t="shared" ca="1" si="56"/>
        <v>0.89552702344191704</v>
      </c>
      <c r="BH58" s="241">
        <f t="shared" ca="1" si="807"/>
        <v>1</v>
      </c>
      <c r="BI58" s="220">
        <f t="shared" ca="1" si="601"/>
        <v>0.99265845446735712</v>
      </c>
      <c r="BJ58" s="220">
        <f t="shared" ca="1" si="602"/>
        <v>0</v>
      </c>
      <c r="BK58" s="235">
        <f t="shared" ca="1" si="59"/>
        <v>0.86504449490485558</v>
      </c>
      <c r="BL58" s="235">
        <f t="shared" ca="1" si="60"/>
        <v>0.86504449490485558</v>
      </c>
      <c r="BM58" s="242">
        <f t="shared" ca="1" si="61"/>
        <v>0.86504449490485558</v>
      </c>
      <c r="BN58" s="241">
        <f t="shared" ca="1" si="807"/>
        <v>1</v>
      </c>
      <c r="BO58" s="220">
        <f t="shared" ca="1" si="603"/>
        <v>0.99249069518855215</v>
      </c>
      <c r="BP58" s="220">
        <f t="shared" ca="1" si="604"/>
        <v>0</v>
      </c>
      <c r="BQ58" s="235">
        <f t="shared" ca="1" si="64"/>
        <v>0.83565053370552345</v>
      </c>
      <c r="BR58" s="235">
        <f t="shared" ca="1" si="65"/>
        <v>0.83565053370552345</v>
      </c>
      <c r="BS58" s="242">
        <f t="shared" ca="1" si="66"/>
        <v>0.83565053370552345</v>
      </c>
      <c r="BT58" s="241">
        <f t="shared" ca="1" si="807"/>
        <v>1</v>
      </c>
      <c r="BU58" s="220">
        <f t="shared" ca="1" si="605"/>
        <v>0.99233685913079794</v>
      </c>
      <c r="BV58" s="220">
        <f t="shared" ca="1" si="606"/>
        <v>0</v>
      </c>
      <c r="BW58" s="235">
        <f t="shared" ca="1" si="69"/>
        <v>0.80726667427323584</v>
      </c>
      <c r="BX58" s="235">
        <f t="shared" ca="1" si="70"/>
        <v>0.80726667427323584</v>
      </c>
      <c r="BY58" s="242">
        <f t="shared" ca="1" si="71"/>
        <v>0.80726667427323584</v>
      </c>
      <c r="BZ58" s="241">
        <f t="shared" ca="1" si="807"/>
        <v>1</v>
      </c>
      <c r="CA58" s="220">
        <f t="shared" ca="1" si="607"/>
        <v>0.992192970286224</v>
      </c>
      <c r="CB58" s="220">
        <f t="shared" ca="1" si="608"/>
        <v>0</v>
      </c>
      <c r="CC58" s="235">
        <f t="shared" ca="1" si="74"/>
        <v>0.7798547058990013</v>
      </c>
      <c r="CD58" s="235">
        <f t="shared" ca="1" si="75"/>
        <v>0.7798547058990013</v>
      </c>
      <c r="CE58" s="242">
        <f t="shared" ca="1" si="76"/>
        <v>0.7798547058990013</v>
      </c>
      <c r="CF58" s="241">
        <f t="shared" ca="1" si="807"/>
        <v>1</v>
      </c>
      <c r="CG58" s="220">
        <f t="shared" ca="1" si="609"/>
        <v>0.9920590242352354</v>
      </c>
      <c r="CH58" s="220">
        <f t="shared" ca="1" si="610"/>
        <v>0</v>
      </c>
      <c r="CI58" s="235">
        <f t="shared" ca="1" si="79"/>
        <v>0.75338108745285515</v>
      </c>
      <c r="CJ58" s="235">
        <f t="shared" ca="1" si="80"/>
        <v>0.75338108745285515</v>
      </c>
      <c r="CK58" s="242">
        <f t="shared" ca="1" si="81"/>
        <v>0.75338108745285515</v>
      </c>
      <c r="CL58" s="241">
        <f t="shared" ca="1" si="807"/>
        <v>1</v>
      </c>
      <c r="CM58" s="220">
        <f t="shared" ca="1" si="611"/>
        <v>0.99193997715232718</v>
      </c>
      <c r="CN58" s="220">
        <f t="shared" ca="1" si="612"/>
        <v>0</v>
      </c>
      <c r="CO58" s="235">
        <f t="shared" ca="1" si="84"/>
        <v>0.72781708378972065</v>
      </c>
      <c r="CP58" s="235">
        <f t="shared" ca="1" si="85"/>
        <v>0.72781708378972065</v>
      </c>
      <c r="CQ58" s="242">
        <f t="shared" ca="1" si="86"/>
        <v>0.72781708378972065</v>
      </c>
      <c r="CR58" s="241">
        <f t="shared" ca="1" si="807"/>
        <v>1</v>
      </c>
      <c r="CS58" s="220">
        <f t="shared" ca="1" si="613"/>
        <v>0.99183582345472621</v>
      </c>
      <c r="CT58" s="220">
        <f t="shared" ca="1" si="614"/>
        <v>0</v>
      </c>
      <c r="CU58" s="235">
        <f t="shared" ca="1" si="89"/>
        <v>0.70313107535837949</v>
      </c>
      <c r="CV58" s="235">
        <f t="shared" ca="1" si="90"/>
        <v>0.70313107535837949</v>
      </c>
      <c r="CW58" s="242">
        <f t="shared" ca="1" si="91"/>
        <v>0.70313107535837949</v>
      </c>
      <c r="CX58" s="241">
        <f t="shared" ca="1" si="800"/>
        <v>1</v>
      </c>
      <c r="CY58" s="220">
        <f t="shared" ca="1" si="615"/>
        <v>0.99174259088732142</v>
      </c>
      <c r="CZ58" s="220">
        <f t="shared" ca="1" si="616"/>
        <v>0</v>
      </c>
      <c r="DA58" s="235">
        <f t="shared" ca="1" si="94"/>
        <v>0.6792898367510104</v>
      </c>
      <c r="DB58" s="235">
        <f t="shared" ca="1" si="95"/>
        <v>0.6792898367510104</v>
      </c>
      <c r="DC58" s="242">
        <f t="shared" ca="1" si="96"/>
        <v>0.6792898367510104</v>
      </c>
      <c r="DD58" s="241">
        <f t="shared" ca="1" si="800"/>
        <v>1</v>
      </c>
      <c r="DE58" s="220">
        <f t="shared" ca="1" si="617"/>
        <v>0.99164440837082357</v>
      </c>
      <c r="DF58" s="220">
        <f t="shared" ca="1" si="618"/>
        <v>0</v>
      </c>
      <c r="DG58" s="235">
        <f t="shared" ca="1" si="99"/>
        <v>0.65625370730161559</v>
      </c>
      <c r="DH58" s="235">
        <f t="shared" ca="1" si="100"/>
        <v>0.65625370730161559</v>
      </c>
      <c r="DI58" s="242">
        <f t="shared" ca="1" si="101"/>
        <v>0.65625370730161559</v>
      </c>
      <c r="DJ58" s="241">
        <f t="shared" ca="1" si="51"/>
        <v>1</v>
      </c>
      <c r="DK58" s="220">
        <f t="shared" ca="1" si="619"/>
        <v>0.9915115280201019</v>
      </c>
      <c r="DL58" s="220">
        <f t="shared" ca="1" si="620"/>
        <v>0</v>
      </c>
      <c r="DM58" s="235">
        <f t="shared" ca="1" si="104"/>
        <v>0.63397658870032592</v>
      </c>
      <c r="DN58" s="235">
        <f t="shared" ca="1" si="105"/>
        <v>0.63397658870032592</v>
      </c>
      <c r="DO58" s="242">
        <f t="shared" ca="1" si="106"/>
        <v>0.63397658870032592</v>
      </c>
      <c r="DP58" s="241">
        <f t="shared" ca="1" si="801"/>
        <v>1</v>
      </c>
      <c r="DQ58" s="220">
        <f t="shared" ca="1" si="621"/>
        <v>0.99130628513380181</v>
      </c>
      <c r="DR58" s="220">
        <f t="shared" ca="1" si="622"/>
        <v>0</v>
      </c>
      <c r="DS58" s="235">
        <f t="shared" ca="1" si="110"/>
        <v>0.61241097154247814</v>
      </c>
      <c r="DT58" s="235">
        <f t="shared" ca="1" si="111"/>
        <v>0.61241097154247814</v>
      </c>
      <c r="DU58" s="242">
        <f t="shared" ca="1" si="112"/>
        <v>0.61241097154247814</v>
      </c>
      <c r="DV58" s="241">
        <f t="shared" ca="1" si="801"/>
        <v>1</v>
      </c>
      <c r="DW58" s="220">
        <f t="shared" ca="1" si="623"/>
        <v>0.9909999714916955</v>
      </c>
      <c r="DX58" s="220">
        <f t="shared" ca="1" si="624"/>
        <v>0</v>
      </c>
      <c r="DY58" s="235">
        <f t="shared" ca="1" si="115"/>
        <v>0.59151858604084218</v>
      </c>
      <c r="DZ58" s="235">
        <f t="shared" ca="1" si="116"/>
        <v>0.59151858604084218</v>
      </c>
      <c r="EA58" s="242">
        <f t="shared" ca="1" si="117"/>
        <v>0.59151858604084218</v>
      </c>
      <c r="EB58" s="241">
        <f t="shared" ca="1" si="801"/>
        <v>1</v>
      </c>
      <c r="EC58" s="220">
        <f t="shared" ca="1" si="625"/>
        <v>0.99058474250364048</v>
      </c>
      <c r="ED58" s="220">
        <f t="shared" ca="1" si="626"/>
        <v>0</v>
      </c>
      <c r="EE58" s="235">
        <f t="shared" ca="1" si="120"/>
        <v>0.57127607705632</v>
      </c>
      <c r="EF58" s="235">
        <f t="shared" ca="1" si="121"/>
        <v>0.57127607705632</v>
      </c>
      <c r="EG58" s="242">
        <f t="shared" ca="1" si="122"/>
        <v>0.57127607705632</v>
      </c>
      <c r="EH58" s="241">
        <f t="shared" ca="1" si="801"/>
        <v>1</v>
      </c>
      <c r="EI58" s="220">
        <f t="shared" ca="1" si="627"/>
        <v>0.99005973259011348</v>
      </c>
      <c r="EJ58" s="220">
        <f t="shared" ca="1" si="628"/>
        <v>0</v>
      </c>
      <c r="EK58" s="235">
        <f t="shared" ca="1" si="125"/>
        <v>0.55166502486519819</v>
      </c>
      <c r="EL58" s="235">
        <f t="shared" ca="1" si="126"/>
        <v>0.55166502486519819</v>
      </c>
      <c r="EM58" s="242">
        <f t="shared" ca="1" si="127"/>
        <v>0.55166502486519819</v>
      </c>
      <c r="EN58" s="241">
        <f t="shared" ca="1" si="801"/>
        <v>1</v>
      </c>
      <c r="EO58" s="220">
        <f t="shared" ca="1" si="629"/>
        <v>0.98941124346526699</v>
      </c>
      <c r="EP58" s="220">
        <f t="shared" ca="1" si="630"/>
        <v>0</v>
      </c>
      <c r="EQ58" s="235">
        <f t="shared" ca="1" si="130"/>
        <v>0.53266056451585653</v>
      </c>
      <c r="ER58" s="235">
        <f t="shared" ca="1" si="131"/>
        <v>0.53266056451585653</v>
      </c>
      <c r="ES58" s="242">
        <f t="shared" ca="1" si="132"/>
        <v>0.53266056451585653</v>
      </c>
      <c r="ET58" s="241">
        <f t="shared" ca="1" si="801"/>
        <v>1</v>
      </c>
      <c r="EU58" s="220">
        <f t="shared" ca="1" si="631"/>
        <v>0.98862861917168599</v>
      </c>
      <c r="EV58" s="220">
        <f t="shared" ca="1" si="632"/>
        <v>0</v>
      </c>
      <c r="EW58" s="235">
        <f t="shared" ca="1" si="135"/>
        <v>0.51424080194137645</v>
      </c>
      <c r="EX58" s="235">
        <f t="shared" ca="1" si="136"/>
        <v>0.51424080194137645</v>
      </c>
      <c r="EY58" s="242">
        <f t="shared" ca="1" si="137"/>
        <v>0.51424080194137645</v>
      </c>
      <c r="EZ58" s="241">
        <f t="shared" ca="1" si="801"/>
        <v>1</v>
      </c>
      <c r="FA58" s="220">
        <f t="shared" ca="1" si="633"/>
        <v>0.98770524004137961</v>
      </c>
      <c r="FB58" s="220">
        <f t="shared" ca="1" si="634"/>
        <v>0</v>
      </c>
      <c r="FC58" s="235">
        <f t="shared" ca="1" si="140"/>
        <v>0.49638695751919149</v>
      </c>
      <c r="FD58" s="235">
        <f t="shared" ca="1" si="141"/>
        <v>0.49638695751919149</v>
      </c>
      <c r="FE58" s="242">
        <f t="shared" ca="1" si="142"/>
        <v>0.49638695751919149</v>
      </c>
      <c r="FF58" s="241">
        <f t="shared" ca="1" si="801"/>
        <v>1</v>
      </c>
      <c r="FG58" s="220">
        <f t="shared" ca="1" si="635"/>
        <v>0.98663357985593469</v>
      </c>
      <c r="FH58" s="220">
        <f t="shared" ca="1" si="636"/>
        <v>0</v>
      </c>
      <c r="FI58" s="235">
        <f t="shared" ca="1" si="145"/>
        <v>0.4790805581355394</v>
      </c>
      <c r="FJ58" s="235">
        <f t="shared" ca="1" si="146"/>
        <v>0.4790805581355394</v>
      </c>
      <c r="FK58" s="242">
        <f t="shared" ca="1" si="147"/>
        <v>0.4790805581355394</v>
      </c>
      <c r="FL58" s="241">
        <f t="shared" ca="1" si="801"/>
        <v>1</v>
      </c>
      <c r="FM58" s="220">
        <f t="shared" ca="1" si="637"/>
        <v>0.98542199381987161</v>
      </c>
      <c r="FN58" s="220">
        <f t="shared" ca="1" si="638"/>
        <v>0</v>
      </c>
      <c r="FO58" s="235">
        <f t="shared" ca="1" si="150"/>
        <v>0.46231134996149653</v>
      </c>
      <c r="FP58" s="235">
        <f t="shared" ca="1" si="151"/>
        <v>0.46231134996149653</v>
      </c>
      <c r="FQ58" s="242">
        <f t="shared" ca="1" si="152"/>
        <v>0.46231134996149653</v>
      </c>
      <c r="FR58" s="241">
        <f t="shared" ca="1" si="801"/>
        <v>1</v>
      </c>
      <c r="FS58" s="220">
        <f t="shared" ca="1" si="639"/>
        <v>0.98410251377014679</v>
      </c>
      <c r="FT58" s="220">
        <f t="shared" ca="1" si="640"/>
        <v>0</v>
      </c>
      <c r="FU58" s="235">
        <f t="shared" ca="1" si="155"/>
        <v>0.44607953146270346</v>
      </c>
      <c r="FV58" s="235">
        <f t="shared" ca="1" si="156"/>
        <v>0.44607953146270346</v>
      </c>
      <c r="FW58" s="242">
        <f t="shared" ca="1" si="157"/>
        <v>0.44607953146270346</v>
      </c>
      <c r="FX58" s="241">
        <f t="shared" ca="1" si="801"/>
        <v>1</v>
      </c>
      <c r="FY58" s="220">
        <f t="shared" ca="1" si="641"/>
        <v>0.98272181794332725</v>
      </c>
      <c r="FZ58" s="220">
        <f t="shared" ca="1" si="642"/>
        <v>0</v>
      </c>
      <c r="GA58" s="235">
        <f t="shared" ca="1" si="160"/>
        <v>0.43039003080199167</v>
      </c>
      <c r="GB58" s="235">
        <f t="shared" ca="1" si="161"/>
        <v>0.43039003080199167</v>
      </c>
      <c r="GC58" s="242">
        <f t="shared" ca="1" si="162"/>
        <v>0.43039003080199167</v>
      </c>
      <c r="GD58" s="241">
        <f t="shared" ca="1" si="795"/>
        <v>1</v>
      </c>
      <c r="GE58" s="220">
        <f t="shared" ca="1" si="643"/>
        <v>0.98131357757821447</v>
      </c>
      <c r="GF58" s="220">
        <f t="shared" ca="1" si="644"/>
        <v>0</v>
      </c>
      <c r="GG58" s="235">
        <f t="shared" ca="1" si="166"/>
        <v>0.41523988588198307</v>
      </c>
      <c r="GH58" s="235">
        <f t="shared" ca="1" si="167"/>
        <v>0.41523988588198307</v>
      </c>
      <c r="GI58" s="242">
        <f t="shared" ca="1" si="168"/>
        <v>0.41523988588198307</v>
      </c>
      <c r="GJ58" s="241">
        <f t="shared" ca="1" si="795"/>
        <v>1</v>
      </c>
      <c r="GK58" s="220">
        <f t="shared" ca="1" si="645"/>
        <v>0.97988969157714845</v>
      </c>
      <c r="GL58" s="220">
        <f t="shared" ca="1" si="646"/>
        <v>0</v>
      </c>
      <c r="GM58" s="235">
        <f t="shared" ca="1" si="171"/>
        <v>0.40061581913774713</v>
      </c>
      <c r="GN58" s="235">
        <f t="shared" ca="1" si="172"/>
        <v>0.40061581913774713</v>
      </c>
      <c r="GO58" s="242">
        <f t="shared" ca="1" si="173"/>
        <v>0.40061581913774713</v>
      </c>
      <c r="GP58" s="241">
        <f t="shared" ca="1" si="802"/>
        <v>1</v>
      </c>
      <c r="GQ58" s="220">
        <f t="shared" ca="1" si="647"/>
        <v>0.9784443542820721</v>
      </c>
      <c r="GR58" s="220">
        <f t="shared" ca="1" si="648"/>
        <v>0</v>
      </c>
      <c r="GS58" s="235">
        <f t="shared" ca="1" si="176"/>
        <v>0.38649749836185404</v>
      </c>
      <c r="GT58" s="235">
        <f t="shared" ca="1" si="177"/>
        <v>0.38649749836185404</v>
      </c>
      <c r="GU58" s="242">
        <f t="shared" ca="1" si="178"/>
        <v>0.38649749836185404</v>
      </c>
      <c r="GV58" s="241">
        <f t="shared" ca="1" si="802"/>
        <v>1</v>
      </c>
      <c r="GW58" s="220">
        <f t="shared" ca="1" si="649"/>
        <v>0.97697473086194042</v>
      </c>
      <c r="GX58" s="220">
        <f t="shared" ca="1" si="650"/>
        <v>0</v>
      </c>
      <c r="GY58" s="235">
        <f t="shared" ca="1" si="181"/>
        <v>0.37286664649209134</v>
      </c>
      <c r="GZ58" s="235">
        <f t="shared" ca="1" si="182"/>
        <v>0.37286664649209134</v>
      </c>
      <c r="HA58" s="242">
        <f t="shared" ca="1" si="183"/>
        <v>0.37286664649209134</v>
      </c>
      <c r="HB58" s="241">
        <f t="shared" ca="1" si="802"/>
        <v>1</v>
      </c>
      <c r="HC58" s="220">
        <f t="shared" ca="1" si="651"/>
        <v>0.97547214372587476</v>
      </c>
      <c r="HD58" s="220">
        <f t="shared" ca="1" si="652"/>
        <v>0</v>
      </c>
      <c r="HE58" s="235">
        <f t="shared" ca="1" si="186"/>
        <v>0.35970355322684694</v>
      </c>
      <c r="HF58" s="235">
        <f t="shared" ca="1" si="187"/>
        <v>0.35970355322684694</v>
      </c>
      <c r="HG58" s="242">
        <f t="shared" ca="1" si="188"/>
        <v>0.35970355322684694</v>
      </c>
      <c r="HH58" s="241">
        <f t="shared" ca="1" si="802"/>
        <v>1</v>
      </c>
      <c r="HI58" s="220">
        <f t="shared" ca="1" si="653"/>
        <v>0.9739299222666441</v>
      </c>
      <c r="HJ58" s="220">
        <f t="shared" ca="1" si="654"/>
        <v>0</v>
      </c>
      <c r="HK58" s="235">
        <f t="shared" ca="1" si="191"/>
        <v>0.34699020474318382</v>
      </c>
      <c r="HL58" s="235">
        <f t="shared" ca="1" si="192"/>
        <v>0.34699020474318382</v>
      </c>
      <c r="HM58" s="242">
        <f t="shared" ca="1" si="193"/>
        <v>0.34699020474318382</v>
      </c>
      <c r="HN58" s="241">
        <f t="shared" ca="1" si="802"/>
        <v>1</v>
      </c>
      <c r="HO58" s="220">
        <f t="shared" ca="1" si="655"/>
        <v>0.97234631221303847</v>
      </c>
      <c r="HP58" s="220">
        <f t="shared" ca="1" si="656"/>
        <v>0</v>
      </c>
      <c r="HQ58" s="235">
        <f t="shared" ca="1" si="196"/>
        <v>0.33471110982634922</v>
      </c>
      <c r="HR58" s="235">
        <f t="shared" ca="1" si="197"/>
        <v>0.33471110982634922</v>
      </c>
      <c r="HS58" s="242">
        <f t="shared" ca="1" si="198"/>
        <v>0.33471110982634922</v>
      </c>
      <c r="HT58" s="241">
        <f t="shared" ca="1" si="802"/>
        <v>1</v>
      </c>
      <c r="HU58" s="220">
        <f t="shared" ca="1" si="657"/>
        <v>0.97072346621795491</v>
      </c>
      <c r="HV58" s="220">
        <f t="shared" ca="1" si="658"/>
        <v>0</v>
      </c>
      <c r="HW58" s="235">
        <f t="shared" ca="1" si="201"/>
        <v>0.32285263476719722</v>
      </c>
      <c r="HX58" s="235">
        <f t="shared" ca="1" si="202"/>
        <v>0.32285263476719722</v>
      </c>
      <c r="HY58" s="242">
        <f t="shared" ca="1" si="203"/>
        <v>0.32285263476719722</v>
      </c>
      <c r="HZ58" s="241">
        <f t="shared" ca="1" si="802"/>
        <v>1</v>
      </c>
      <c r="IA58" s="220">
        <f t="shared" ca="1" si="659"/>
        <v>0.96906158764378969</v>
      </c>
      <c r="IB58" s="220">
        <f t="shared" ca="1" si="660"/>
        <v>0</v>
      </c>
      <c r="IC58" s="235">
        <f t="shared" ca="1" si="206"/>
        <v>0.31140088024780266</v>
      </c>
      <c r="ID58" s="235">
        <f t="shared" ca="1" si="207"/>
        <v>0.31140088024780266</v>
      </c>
      <c r="IE58" s="242">
        <f t="shared" ca="1" si="208"/>
        <v>0.31140088024780266</v>
      </c>
      <c r="IF58" s="241">
        <f t="shared" ca="1" si="802"/>
        <v>1</v>
      </c>
      <c r="IG58" s="220">
        <f t="shared" ca="1" si="661"/>
        <v>0.96736088455747493</v>
      </c>
      <c r="IH58" s="220">
        <f t="shared" ca="1" si="662"/>
        <v>0</v>
      </c>
      <c r="II58" s="235">
        <f t="shared" ca="1" si="211"/>
        <v>0.30034238811880948</v>
      </c>
      <c r="IJ58" s="235">
        <f t="shared" ca="1" si="212"/>
        <v>0.30034238811880948</v>
      </c>
      <c r="IK58" s="242">
        <f t="shared" ca="1" si="213"/>
        <v>0.30034238811880948</v>
      </c>
      <c r="IL58" s="241">
        <f t="shared" ca="1" si="802"/>
        <v>1</v>
      </c>
      <c r="IM58" s="220">
        <f t="shared" ca="1" si="663"/>
        <v>0.96561963496527148</v>
      </c>
      <c r="IN58" s="220">
        <f t="shared" ca="1" si="664"/>
        <v>0</v>
      </c>
      <c r="IO58" s="235">
        <f t="shared" ca="1" si="216"/>
        <v>0.28966354765236296</v>
      </c>
      <c r="IP58" s="235">
        <f t="shared" ca="1" si="217"/>
        <v>0.28966354765236296</v>
      </c>
      <c r="IQ58" s="242">
        <f t="shared" ca="1" si="218"/>
        <v>0.28966354765236296</v>
      </c>
      <c r="IR58" s="241">
        <f t="shared" ca="1" si="802"/>
        <v>1</v>
      </c>
      <c r="IS58" s="220">
        <f t="shared" ca="1" si="665"/>
        <v>0.96382841054241086</v>
      </c>
      <c r="IT58" s="220">
        <f t="shared" ca="1" si="666"/>
        <v>0</v>
      </c>
      <c r="IU58" s="235">
        <f t="shared" ca="1" si="222"/>
        <v>0.27934900654248102</v>
      </c>
      <c r="IV58" s="235">
        <f t="shared" ca="1" si="223"/>
        <v>0.27934900654248102</v>
      </c>
      <c r="IW58" s="242">
        <f t="shared" ca="1" si="224"/>
        <v>0.27934900654248102</v>
      </c>
      <c r="IX58" s="241">
        <f t="shared" ca="1" si="802"/>
        <v>1</v>
      </c>
      <c r="IY58" s="220">
        <f t="shared" ca="1" si="667"/>
        <v>0.9619778599941694</v>
      </c>
      <c r="IZ58" s="220">
        <f t="shared" ca="1" si="668"/>
        <v>0</v>
      </c>
      <c r="JA58" s="235">
        <f t="shared" ca="1" si="227"/>
        <v>0.26938420913035699</v>
      </c>
      <c r="JB58" s="235">
        <f t="shared" ca="1" si="228"/>
        <v>0.26938420913035699</v>
      </c>
      <c r="JC58" s="242">
        <f t="shared" ca="1" si="229"/>
        <v>0.26938420913035699</v>
      </c>
      <c r="JD58" s="241">
        <f t="shared" ca="1" si="796"/>
        <v>1</v>
      </c>
      <c r="JE58" s="220">
        <f t="shared" ca="1" si="669"/>
        <v>0.96006544800850102</v>
      </c>
      <c r="JF58" s="220">
        <f t="shared" ca="1" si="670"/>
        <v>0</v>
      </c>
      <c r="JG58" s="235">
        <f t="shared" ca="1" si="232"/>
        <v>0.25975717229237277</v>
      </c>
      <c r="JH58" s="235">
        <f t="shared" ca="1" si="233"/>
        <v>0.25975717229237277</v>
      </c>
      <c r="JI58" s="242">
        <f t="shared" ca="1" si="234"/>
        <v>0.25975717229237277</v>
      </c>
      <c r="JJ58" s="241">
        <f t="shared" ca="1" si="796"/>
        <v>1</v>
      </c>
      <c r="JK58" s="220">
        <f t="shared" ca="1" si="671"/>
        <v>0.9580877131856036</v>
      </c>
      <c r="JL58" s="220">
        <f t="shared" ca="1" si="672"/>
        <v>0</v>
      </c>
      <c r="JM58" s="235">
        <f t="shared" ca="1" si="237"/>
        <v>0.25045610871251262</v>
      </c>
      <c r="JN58" s="235">
        <f t="shared" ca="1" si="238"/>
        <v>0.25045610871251262</v>
      </c>
      <c r="JO58" s="242">
        <f t="shared" ca="1" si="239"/>
        <v>0.25045610871251262</v>
      </c>
      <c r="JP58" s="241">
        <f t="shared" ca="1" si="803"/>
        <v>1</v>
      </c>
      <c r="JQ58" s="220">
        <f t="shared" ca="1" si="673"/>
        <v>0.95603644739167326</v>
      </c>
      <c r="JR58" s="220">
        <f t="shared" ca="1" si="674"/>
        <v>0</v>
      </c>
      <c r="JS58" s="235">
        <f t="shared" ca="1" si="242"/>
        <v>0.24146848520169967</v>
      </c>
      <c r="JT58" s="235">
        <f t="shared" ca="1" si="243"/>
        <v>0.24146848520169967</v>
      </c>
      <c r="JU58" s="242">
        <f t="shared" ca="1" si="244"/>
        <v>0.24146848520169967</v>
      </c>
      <c r="JV58" s="241">
        <f t="shared" ca="1" si="803"/>
        <v>1</v>
      </c>
      <c r="JW58" s="220">
        <f t="shared" ca="1" si="675"/>
        <v>0.95389492574951584</v>
      </c>
      <c r="JX58" s="220">
        <f t="shared" ca="1" si="676"/>
        <v>0</v>
      </c>
      <c r="JY58" s="235">
        <f t="shared" ca="1" si="247"/>
        <v>0.23278028579212359</v>
      </c>
      <c r="JZ58" s="235">
        <f t="shared" ca="1" si="248"/>
        <v>0.23278028579212359</v>
      </c>
      <c r="KA58" s="242">
        <f t="shared" ca="1" si="249"/>
        <v>0.23278028579212359</v>
      </c>
      <c r="KB58" s="241">
        <f t="shared" ca="1" si="803"/>
        <v>1</v>
      </c>
      <c r="KC58" s="220">
        <f t="shared" ca="1" si="677"/>
        <v>0.95164182593489555</v>
      </c>
      <c r="KD58" s="220">
        <f t="shared" ca="1" si="678"/>
        <v>0</v>
      </c>
      <c r="KE58" s="235">
        <f t="shared" ca="1" si="252"/>
        <v>0.22437725483776094</v>
      </c>
      <c r="KF58" s="235">
        <f t="shared" ca="1" si="253"/>
        <v>0.22437725483776094</v>
      </c>
      <c r="KG58" s="242">
        <f t="shared" ca="1" si="254"/>
        <v>0.22437725483776094</v>
      </c>
      <c r="KH58" s="241">
        <f t="shared" ca="1" si="803"/>
        <v>1</v>
      </c>
      <c r="KI58" s="220">
        <f t="shared" ca="1" si="679"/>
        <v>0.94925415659362489</v>
      </c>
      <c r="KJ58" s="220">
        <f t="shared" ca="1" si="680"/>
        <v>0</v>
      </c>
      <c r="KK58" s="235">
        <f t="shared" ca="1" si="257"/>
        <v>0.21624569304866956</v>
      </c>
      <c r="KL58" s="235">
        <f t="shared" ca="1" si="258"/>
        <v>0.21624569304866956</v>
      </c>
      <c r="KM58" s="242">
        <f t="shared" ca="1" si="259"/>
        <v>0.21624569304866956</v>
      </c>
      <c r="KN58" s="241">
        <f t="shared" ca="1" si="803"/>
        <v>1</v>
      </c>
      <c r="KO58" s="220">
        <f t="shared" ca="1" si="681"/>
        <v>0.94670635843732753</v>
      </c>
      <c r="KP58" s="220">
        <f t="shared" ca="1" si="682"/>
        <v>0</v>
      </c>
      <c r="KQ58" s="235">
        <f t="shared" ca="1" si="262"/>
        <v>0.2083722604913304</v>
      </c>
      <c r="KR58" s="235">
        <f t="shared" ca="1" si="263"/>
        <v>0.2083722604913304</v>
      </c>
      <c r="KS58" s="242">
        <f t="shared" ca="1" si="264"/>
        <v>0.2083722604913304</v>
      </c>
      <c r="KT58" s="241">
        <f t="shared" ca="1" si="803"/>
        <v>1</v>
      </c>
      <c r="KU58" s="220">
        <f t="shared" ca="1" si="683"/>
        <v>0.94397037706144371</v>
      </c>
      <c r="KV58" s="220">
        <f t="shared" ca="1" si="684"/>
        <v>0</v>
      </c>
      <c r="KW58" s="235">
        <f t="shared" ca="1" si="267"/>
        <v>0.20074402382464779</v>
      </c>
      <c r="KX58" s="235">
        <f t="shared" ca="1" si="268"/>
        <v>0.20074402382464779</v>
      </c>
      <c r="KY58" s="242">
        <f t="shared" ca="1" si="269"/>
        <v>0.20074402382464779</v>
      </c>
      <c r="KZ58" s="241">
        <f t="shared" ca="1" si="803"/>
        <v>1</v>
      </c>
      <c r="LA58" s="220">
        <f t="shared" ca="1" si="685"/>
        <v>0.94102424551463493</v>
      </c>
      <c r="LB58" s="220">
        <f t="shared" ca="1" si="686"/>
        <v>0</v>
      </c>
      <c r="LC58" s="235">
        <f t="shared" ca="1" si="272"/>
        <v>0.19335024321380778</v>
      </c>
      <c r="LD58" s="235">
        <f t="shared" ca="1" si="273"/>
        <v>0.19335024321380778</v>
      </c>
      <c r="LE58" s="242">
        <f t="shared" ca="1" si="274"/>
        <v>0.19335024321380778</v>
      </c>
      <c r="LF58" s="241">
        <f t="shared" ca="1" si="803"/>
        <v>1</v>
      </c>
      <c r="LG58" s="220">
        <f t="shared" ca="1" si="687"/>
        <v>0.93783793741932242</v>
      </c>
      <c r="LH58" s="220">
        <f t="shared" ca="1" si="688"/>
        <v>0</v>
      </c>
      <c r="LI58" s="235">
        <f t="shared" ca="1" si="278"/>
        <v>0.18617928433844047</v>
      </c>
      <c r="LJ58" s="235">
        <f t="shared" ca="1" si="279"/>
        <v>0.18617928433844047</v>
      </c>
      <c r="LK58" s="242">
        <f t="shared" ca="1" si="280"/>
        <v>0.18617928433844047</v>
      </c>
      <c r="LL58" s="241">
        <f t="shared" ca="1" si="803"/>
        <v>1</v>
      </c>
      <c r="LM58" s="220">
        <f t="shared" ca="1" si="689"/>
        <v>0.93436137218530901</v>
      </c>
      <c r="LN58" s="220">
        <f t="shared" ca="1" si="690"/>
        <v>0</v>
      </c>
      <c r="LO58" s="235">
        <f t="shared" ca="1" si="283"/>
        <v>0.17921653887091585</v>
      </c>
      <c r="LP58" s="235">
        <f t="shared" ca="1" si="284"/>
        <v>0.17921653887091585</v>
      </c>
      <c r="LQ58" s="242">
        <f t="shared" ca="1" si="285"/>
        <v>0.17921653887091585</v>
      </c>
      <c r="LR58" s="241">
        <f t="shared" ca="1" si="803"/>
        <v>1</v>
      </c>
      <c r="LS58" s="220">
        <f t="shared" ca="1" si="691"/>
        <v>0.93053889981169891</v>
      </c>
      <c r="LT58" s="220">
        <f t="shared" ca="1" si="692"/>
        <v>0</v>
      </c>
      <c r="LU58" s="235">
        <f t="shared" ca="1" si="288"/>
        <v>0.17244769469603377</v>
      </c>
      <c r="LV58" s="235">
        <f t="shared" ca="1" si="289"/>
        <v>0.17244769469603377</v>
      </c>
      <c r="LW58" s="242">
        <f t="shared" ca="1" si="290"/>
        <v>0.17244769469603377</v>
      </c>
      <c r="LX58" s="241">
        <f t="shared" ca="1" si="803"/>
        <v>1</v>
      </c>
      <c r="LY58" s="220">
        <f t="shared" ca="1" si="693"/>
        <v>0.92632262805665211</v>
      </c>
      <c r="LZ58" s="220">
        <f t="shared" ca="1" si="694"/>
        <v>0</v>
      </c>
      <c r="MA58" s="235">
        <f t="shared" ca="1" si="293"/>
        <v>0.16586119245542613</v>
      </c>
      <c r="MB58" s="235">
        <f t="shared" ca="1" si="294"/>
        <v>0.16586119245542613</v>
      </c>
      <c r="MC58" s="242">
        <f t="shared" ca="1" si="295"/>
        <v>0.16586119245542613</v>
      </c>
      <c r="MD58" s="241">
        <f t="shared" ca="1" si="797"/>
        <v>1</v>
      </c>
      <c r="ME58" s="220">
        <f t="shared" ca="1" si="695"/>
        <v>0.92167897272220412</v>
      </c>
      <c r="MF58" s="220">
        <f t="shared" ca="1" si="696"/>
        <v>0</v>
      </c>
      <c r="MG58" s="235">
        <f t="shared" ca="1" si="298"/>
        <v>0.15944901478033538</v>
      </c>
      <c r="MH58" s="235">
        <f t="shared" ca="1" si="299"/>
        <v>0.15944901478033538</v>
      </c>
      <c r="MI58" s="242">
        <f t="shared" ca="1" si="300"/>
        <v>0.15944901478033538</v>
      </c>
      <c r="MJ58" s="241">
        <f t="shared" ca="1" si="797"/>
        <v>1</v>
      </c>
      <c r="MK58" s="220">
        <f t="shared" ca="1" si="697"/>
        <v>0.91658761807688671</v>
      </c>
      <c r="ML58" s="220">
        <f t="shared" ca="1" si="698"/>
        <v>0</v>
      </c>
      <c r="MM58" s="235">
        <f t="shared" ca="1" si="303"/>
        <v>0.15320600813786359</v>
      </c>
      <c r="MN58" s="235">
        <f t="shared" ca="1" si="304"/>
        <v>0.15320600813786359</v>
      </c>
      <c r="MO58" s="242">
        <f t="shared" ca="1" si="305"/>
        <v>0.15320600813786359</v>
      </c>
      <c r="MP58" s="241">
        <f t="shared" ca="1" si="804"/>
        <v>1</v>
      </c>
      <c r="MQ58" s="220">
        <f t="shared" ca="1" si="699"/>
        <v>0.91103401369895887</v>
      </c>
      <c r="MR58" s="220">
        <f t="shared" ca="1" si="700"/>
        <v>0</v>
      </c>
      <c r="MS58" s="235">
        <f t="shared" ca="1" si="308"/>
        <v>0.1471282443812138</v>
      </c>
      <c r="MT58" s="235">
        <f t="shared" ca="1" si="309"/>
        <v>0.1471282443812138</v>
      </c>
      <c r="MU58" s="242">
        <f t="shared" ca="1" si="310"/>
        <v>0.1471282443812138</v>
      </c>
      <c r="MV58" s="241">
        <f t="shared" ca="1" si="804"/>
        <v>1</v>
      </c>
      <c r="MW58" s="220">
        <f t="shared" ca="1" si="701"/>
        <v>0.90501116783439506</v>
      </c>
      <c r="MX58" s="220">
        <f t="shared" ca="1" si="702"/>
        <v>0</v>
      </c>
      <c r="MY58" s="235">
        <f t="shared" ca="1" si="313"/>
        <v>0.14121312034551653</v>
      </c>
      <c r="MZ58" s="235">
        <f t="shared" ca="1" si="314"/>
        <v>0.14121312034551653</v>
      </c>
      <c r="NA58" s="242">
        <f t="shared" ca="1" si="315"/>
        <v>0.14121312034551653</v>
      </c>
      <c r="NB58" s="241">
        <f t="shared" ca="1" si="804"/>
        <v>1</v>
      </c>
      <c r="NC58" s="220">
        <f t="shared" ca="1" si="703"/>
        <v>0.89850685257116925</v>
      </c>
      <c r="ND58" s="220">
        <f t="shared" ca="1" si="704"/>
        <v>0</v>
      </c>
      <c r="NE58" s="235">
        <f t="shared" ca="1" si="318"/>
        <v>0.13545721898511429</v>
      </c>
      <c r="NF58" s="235">
        <f t="shared" ca="1" si="319"/>
        <v>0.13545721898511429</v>
      </c>
      <c r="NG58" s="242">
        <f t="shared" ca="1" si="320"/>
        <v>0.13545721898511429</v>
      </c>
      <c r="NH58" s="241">
        <f t="shared" ca="1" si="804"/>
        <v>1</v>
      </c>
      <c r="NI58" s="220">
        <f t="shared" ca="1" si="705"/>
        <v>0.89149849912111412</v>
      </c>
      <c r="NJ58" s="220">
        <f t="shared" ca="1" si="706"/>
        <v>0</v>
      </c>
      <c r="NK58" s="235">
        <f t="shared" ca="1" si="323"/>
        <v>0.12985570306959462</v>
      </c>
      <c r="NL58" s="235">
        <f t="shared" ca="1" si="324"/>
        <v>0.12985570306959462</v>
      </c>
      <c r="NM58" s="242">
        <f t="shared" ca="1" si="325"/>
        <v>0.12985570306959462</v>
      </c>
      <c r="NN58" s="241">
        <f t="shared" ca="1" si="804"/>
        <v>1</v>
      </c>
      <c r="NO58" s="220">
        <f t="shared" ca="1" si="707"/>
        <v>0.88395998781254592</v>
      </c>
      <c r="NP58" s="220">
        <f t="shared" ca="1" si="708"/>
        <v>0</v>
      </c>
      <c r="NQ58" s="235">
        <f t="shared" ca="1" si="328"/>
        <v>0.12440352004293539</v>
      </c>
      <c r="NR58" s="235">
        <f t="shared" ca="1" si="329"/>
        <v>0.12440352004293539</v>
      </c>
      <c r="NS58" s="242">
        <f t="shared" ca="1" si="330"/>
        <v>0.12440352004293539</v>
      </c>
      <c r="NT58" s="241">
        <f t="shared" ca="1" si="804"/>
        <v>1</v>
      </c>
      <c r="NU58" s="220">
        <f t="shared" ca="1" si="709"/>
        <v>0.87587705768398794</v>
      </c>
      <c r="NV58" s="220">
        <f t="shared" ca="1" si="710"/>
        <v>0</v>
      </c>
      <c r="NW58" s="235">
        <f t="shared" ca="1" si="334"/>
        <v>0.11909755966730703</v>
      </c>
      <c r="NX58" s="235">
        <f t="shared" ca="1" si="335"/>
        <v>0.11909755966730703</v>
      </c>
      <c r="NY58" s="242">
        <f t="shared" ca="1" si="336"/>
        <v>0.11909755966730703</v>
      </c>
      <c r="NZ58" s="241">
        <f t="shared" ca="1" si="804"/>
        <v>1</v>
      </c>
      <c r="OA58" s="220">
        <f t="shared" ca="1" si="711"/>
        <v>0.86723653050993543</v>
      </c>
      <c r="OB58" s="220">
        <f t="shared" ca="1" si="712"/>
        <v>0</v>
      </c>
      <c r="OC58" s="235">
        <f t="shared" ca="1" si="339"/>
        <v>0.11393493936346769</v>
      </c>
      <c r="OD58" s="235">
        <f t="shared" ca="1" si="340"/>
        <v>0.11393493936346769</v>
      </c>
      <c r="OE58" s="242">
        <f t="shared" ca="1" si="341"/>
        <v>0.11393493936346769</v>
      </c>
      <c r="OF58" s="241">
        <f t="shared" ca="1" si="804"/>
        <v>1</v>
      </c>
      <c r="OG58" s="220">
        <f t="shared" ca="1" si="713"/>
        <v>0.85802474408285889</v>
      </c>
      <c r="OH58" s="220">
        <f t="shared" ca="1" si="714"/>
        <v>0</v>
      </c>
      <c r="OI58" s="235">
        <f t="shared" ca="1" si="344"/>
        <v>0.10891277530197965</v>
      </c>
      <c r="OJ58" s="235">
        <f t="shared" ca="1" si="345"/>
        <v>0.10891277530197965</v>
      </c>
      <c r="OK58" s="242">
        <f t="shared" ca="1" si="346"/>
        <v>0.10891277530197965</v>
      </c>
      <c r="OL58" s="241">
        <f t="shared" ca="1" si="804"/>
        <v>1</v>
      </c>
      <c r="OM58" s="220">
        <f t="shared" ca="1" si="715"/>
        <v>0.84819349656515752</v>
      </c>
      <c r="ON58" s="220">
        <f t="shared" ca="1" si="716"/>
        <v>0</v>
      </c>
      <c r="OO58" s="235">
        <f t="shared" ca="1" si="349"/>
        <v>0.10402401229233778</v>
      </c>
      <c r="OP58" s="235">
        <f t="shared" ca="1" si="350"/>
        <v>0.10402401229233778</v>
      </c>
      <c r="OQ58" s="242">
        <f t="shared" ca="1" si="351"/>
        <v>0.10402401229233778</v>
      </c>
      <c r="OR58" s="241">
        <f t="shared" ca="1" si="804"/>
        <v>1</v>
      </c>
      <c r="OS58" s="220">
        <f t="shared" ca="1" si="717"/>
        <v>0.83771830688257787</v>
      </c>
      <c r="OT58" s="220">
        <f t="shared" ca="1" si="718"/>
        <v>0</v>
      </c>
      <c r="OU58" s="235">
        <f t="shared" ca="1" si="354"/>
        <v>9.9265039362828419E-2</v>
      </c>
      <c r="OV58" s="235">
        <f t="shared" ca="1" si="355"/>
        <v>9.9265039362828419E-2</v>
      </c>
      <c r="OW58" s="242">
        <f t="shared" ca="1" si="356"/>
        <v>9.9265039362828419E-2</v>
      </c>
      <c r="OX58" s="241">
        <f t="shared" ca="1" si="804"/>
        <v>1</v>
      </c>
      <c r="OY58" s="220">
        <f t="shared" ca="1" si="719"/>
        <v>0.82663110509098692</v>
      </c>
      <c r="OZ58" s="220">
        <f t="shared" ca="1" si="720"/>
        <v>0</v>
      </c>
      <c r="PA58" s="235">
        <f t="shared" ca="1" si="359"/>
        <v>9.4638904895518239E-2</v>
      </c>
      <c r="PB58" s="235">
        <f t="shared" ca="1" si="360"/>
        <v>9.4638904895518239E-2</v>
      </c>
      <c r="PC58" s="242">
        <f t="shared" ca="1" si="361"/>
        <v>9.4638904895518239E-2</v>
      </c>
      <c r="PD58" s="241">
        <f t="shared" ca="1" si="798"/>
        <v>1</v>
      </c>
      <c r="PE58" s="220">
        <f t="shared" ca="1" si="721"/>
        <v>0.81497808640251923</v>
      </c>
      <c r="PF58" s="220">
        <f t="shared" ca="1" si="722"/>
        <v>0</v>
      </c>
      <c r="PG58" s="235">
        <f t="shared" ca="1" si="364"/>
        <v>9.0149546138363415E-2</v>
      </c>
      <c r="PH58" s="235">
        <f t="shared" ca="1" si="365"/>
        <v>9.0149546138363415E-2</v>
      </c>
      <c r="PI58" s="242">
        <f t="shared" ca="1" si="366"/>
        <v>9.0149546138363415E-2</v>
      </c>
      <c r="PJ58" s="241">
        <f t="shared" ca="1" si="798"/>
        <v>1</v>
      </c>
      <c r="PK58" s="220">
        <f t="shared" ca="1" si="723"/>
        <v>0.80277052964629592</v>
      </c>
      <c r="PL58" s="220">
        <f t="shared" ca="1" si="724"/>
        <v>0</v>
      </c>
      <c r="PM58" s="235">
        <f t="shared" ca="1" si="369"/>
        <v>8.5796324721504238E-2</v>
      </c>
      <c r="PN58" s="235">
        <f t="shared" ca="1" si="370"/>
        <v>8.5796324721504238E-2</v>
      </c>
      <c r="PO58" s="242">
        <f t="shared" ca="1" si="371"/>
        <v>8.5796324721504238E-2</v>
      </c>
      <c r="PP58" s="241">
        <f t="shared" ca="1" si="805"/>
        <v>1</v>
      </c>
      <c r="PQ58" s="220">
        <f t="shared" ca="1" si="725"/>
        <v>0.78995269259943357</v>
      </c>
      <c r="PR58" s="220">
        <f t="shared" ca="1" si="726"/>
        <v>0</v>
      </c>
      <c r="PS58" s="235">
        <f t="shared" ca="1" si="374"/>
        <v>8.1571415270218356E-2</v>
      </c>
      <c r="PT58" s="235">
        <f t="shared" ca="1" si="375"/>
        <v>8.1571415270218356E-2</v>
      </c>
      <c r="PU58" s="242">
        <f t="shared" ca="1" si="376"/>
        <v>8.1571415270218356E-2</v>
      </c>
      <c r="PV58" s="241">
        <f t="shared" ca="1" si="805"/>
        <v>1</v>
      </c>
      <c r="PW58" s="220">
        <f t="shared" ca="1" si="727"/>
        <v>0.77643739198174988</v>
      </c>
      <c r="PX58" s="220">
        <f t="shared" ca="1" si="728"/>
        <v>0</v>
      </c>
      <c r="PY58" s="235">
        <f t="shared" ca="1" si="379"/>
        <v>7.7464550653488104E-2</v>
      </c>
      <c r="PZ58" s="235">
        <f t="shared" ca="1" si="380"/>
        <v>7.7464550653488104E-2</v>
      </c>
      <c r="QA58" s="242">
        <f t="shared" ca="1" si="381"/>
        <v>7.7464550653488104E-2</v>
      </c>
      <c r="QB58" s="241">
        <f t="shared" ca="1" si="805"/>
        <v>1</v>
      </c>
      <c r="QC58" s="220">
        <f t="shared" ca="1" si="729"/>
        <v>0.76215715546842155</v>
      </c>
      <c r="QD58" s="220">
        <f t="shared" ca="1" si="730"/>
        <v>0</v>
      </c>
      <c r="QE58" s="235">
        <f t="shared" ca="1" si="384"/>
        <v>7.3468427669438799E-2</v>
      </c>
      <c r="QF58" s="235">
        <f t="shared" ca="1" si="385"/>
        <v>7.3468427669438799E-2</v>
      </c>
      <c r="QG58" s="242">
        <f t="shared" ca="1" si="386"/>
        <v>7.3468427669438799E-2</v>
      </c>
      <c r="QH58" s="241">
        <f t="shared" ca="1" si="805"/>
        <v>1</v>
      </c>
      <c r="QI58" s="220">
        <f t="shared" ca="1" si="731"/>
        <v>0.74703900613254992</v>
      </c>
      <c r="QJ58" s="220">
        <f t="shared" ca="1" si="732"/>
        <v>0</v>
      </c>
      <c r="QK58" s="235">
        <f t="shared" ca="1" si="390"/>
        <v>6.9575949698732195E-2</v>
      </c>
      <c r="QL58" s="235">
        <f t="shared" ca="1" si="391"/>
        <v>6.9575949698732195E-2</v>
      </c>
      <c r="QM58" s="242">
        <f t="shared" ca="1" si="392"/>
        <v>6.9575949698732195E-2</v>
      </c>
      <c r="QN58" s="241">
        <f t="shared" ca="1" si="805"/>
        <v>1</v>
      </c>
      <c r="QO58" s="220">
        <f t="shared" ca="1" si="733"/>
        <v>0.73100381386591473</v>
      </c>
      <c r="QP58" s="220">
        <f t="shared" ca="1" si="734"/>
        <v>0</v>
      </c>
      <c r="QQ58" s="235">
        <f t="shared" ca="1" si="395"/>
        <v>6.5780195109612458E-2</v>
      </c>
      <c r="QR58" s="235">
        <f t="shared" ca="1" si="396"/>
        <v>6.5780195109612458E-2</v>
      </c>
      <c r="QS58" s="242">
        <f t="shared" ca="1" si="397"/>
        <v>6.5780195109612458E-2</v>
      </c>
      <c r="QT58" s="241">
        <f t="shared" ca="1" si="805"/>
        <v>1</v>
      </c>
      <c r="QU58" s="220">
        <f t="shared" ca="1" si="735"/>
        <v>0.71393414380833176</v>
      </c>
      <c r="QV58" s="220">
        <f t="shared" ca="1" si="736"/>
        <v>0</v>
      </c>
      <c r="QW58" s="235">
        <f t="shared" ca="1" si="400"/>
        <v>6.2071653887543876E-2</v>
      </c>
      <c r="QX58" s="235">
        <f t="shared" ca="1" si="401"/>
        <v>6.2071653887543876E-2</v>
      </c>
      <c r="QY58" s="242">
        <f t="shared" ca="1" si="402"/>
        <v>6.2071653887543876E-2</v>
      </c>
      <c r="QZ58" s="241">
        <f t="shared" ca="1" si="805"/>
        <v>1</v>
      </c>
      <c r="RA58" s="220">
        <f t="shared" ca="1" si="737"/>
        <v>0.69574167395580788</v>
      </c>
      <c r="RB58" s="220">
        <f t="shared" ca="1" si="738"/>
        <v>0</v>
      </c>
      <c r="RC58" s="235">
        <f t="shared" ca="1" si="405"/>
        <v>5.8444390341238162E-2</v>
      </c>
      <c r="RD58" s="235">
        <f t="shared" ca="1" si="406"/>
        <v>5.8444390341238162E-2</v>
      </c>
      <c r="RE58" s="242">
        <f t="shared" ca="1" si="407"/>
        <v>5.8444390341238162E-2</v>
      </c>
      <c r="RF58" s="241">
        <f t="shared" ca="1" si="805"/>
        <v>1</v>
      </c>
      <c r="RG58" s="220">
        <f t="shared" ca="1" si="739"/>
        <v>0.67640422986988014</v>
      </c>
      <c r="RH58" s="220">
        <f t="shared" ca="1" si="740"/>
        <v>0</v>
      </c>
      <c r="RI58" s="235">
        <f t="shared" ca="1" si="410"/>
        <v>5.4898538121829751E-2</v>
      </c>
      <c r="RJ58" s="235">
        <f t="shared" ca="1" si="411"/>
        <v>5.4898538121829751E-2</v>
      </c>
      <c r="RK58" s="242">
        <f t="shared" ca="1" si="412"/>
        <v>5.4898538121829751E-2</v>
      </c>
      <c r="RL58" s="241">
        <f t="shared" ca="1" si="805"/>
        <v>1</v>
      </c>
      <c r="RM58" s="220">
        <f t="shared" ca="1" si="741"/>
        <v>0.65592135698096043</v>
      </c>
      <c r="RN58" s="220">
        <f t="shared" ca="1" si="742"/>
        <v>0</v>
      </c>
      <c r="RO58" s="235">
        <f t="shared" ca="1" si="415"/>
        <v>5.1435845981086484E-2</v>
      </c>
      <c r="RP58" s="235">
        <f t="shared" ca="1" si="416"/>
        <v>5.1435845981086484E-2</v>
      </c>
      <c r="RQ58" s="242">
        <f t="shared" ca="1" si="417"/>
        <v>5.1435845981086484E-2</v>
      </c>
      <c r="RR58" s="241">
        <f t="shared" ca="1" si="805"/>
        <v>1</v>
      </c>
      <c r="RS58" s="220">
        <f t="shared" ca="1" si="743"/>
        <v>0.63426152193073515</v>
      </c>
      <c r="RT58" s="220">
        <f t="shared" ca="1" si="744"/>
        <v>0</v>
      </c>
      <c r="RU58" s="235">
        <f t="shared" ca="1" si="420"/>
        <v>4.8055392729564286E-2</v>
      </c>
      <c r="RV58" s="235">
        <f t="shared" ca="1" si="421"/>
        <v>4.8055392729564286E-2</v>
      </c>
      <c r="RW58" s="242">
        <f t="shared" ca="1" si="422"/>
        <v>4.8055392729564286E-2</v>
      </c>
      <c r="RX58" s="241">
        <f t="shared" ca="1" si="805"/>
        <v>1</v>
      </c>
      <c r="RY58" s="220">
        <f t="shared" ca="1" si="745"/>
        <v>0.61130062057532053</v>
      </c>
      <c r="RZ58" s="220">
        <f t="shared" ca="1" si="746"/>
        <v>0</v>
      </c>
      <c r="SA58" s="235">
        <f t="shared" ca="1" si="425"/>
        <v>4.4749506722088245E-2</v>
      </c>
      <c r="SB58" s="235">
        <f t="shared" ca="1" si="426"/>
        <v>4.4749506722088245E-2</v>
      </c>
      <c r="SC58" s="242">
        <f t="shared" ca="1" si="427"/>
        <v>4.4749506722088245E-2</v>
      </c>
      <c r="SD58" s="241">
        <f t="shared" ca="1" si="799"/>
        <v>1</v>
      </c>
      <c r="SE58" s="220">
        <f t="shared" ca="1" si="747"/>
        <v>0.58693540044042947</v>
      </c>
      <c r="SF58" s="220">
        <f t="shared" ca="1" si="748"/>
        <v>0</v>
      </c>
      <c r="SG58" s="235">
        <f t="shared" ca="1" si="430"/>
        <v>4.1512928389525854E-2</v>
      </c>
      <c r="SH58" s="235">
        <f t="shared" ca="1" si="431"/>
        <v>4.1512928389525854E-2</v>
      </c>
      <c r="SI58" s="242">
        <f t="shared" ca="1" si="432"/>
        <v>4.1512928389525854E-2</v>
      </c>
      <c r="SJ58" s="241">
        <f t="shared" ca="1" si="799"/>
        <v>1</v>
      </c>
      <c r="SK58" s="220">
        <f t="shared" ca="1" si="749"/>
        <v>0.56117421877969853</v>
      </c>
      <c r="SL58" s="220">
        <f t="shared" ca="1" si="750"/>
        <v>0</v>
      </c>
      <c r="SM58" s="235">
        <f t="shared" ca="1" si="435"/>
        <v>3.8348680627614658E-2</v>
      </c>
      <c r="SN58" s="235">
        <f t="shared" ca="1" si="436"/>
        <v>3.8348680627614658E-2</v>
      </c>
      <c r="SO58" s="242">
        <f t="shared" ca="1" si="437"/>
        <v>3.8348680627614658E-2</v>
      </c>
      <c r="SP58" s="241">
        <f t="shared" ca="1" si="808"/>
        <v>1</v>
      </c>
      <c r="SQ58" s="220">
        <f t="shared" ca="1" si="751"/>
        <v>0.5340633310962325</v>
      </c>
      <c r="SR58" s="220">
        <f t="shared" ca="1" si="752"/>
        <v>0</v>
      </c>
      <c r="SS58" s="235">
        <f t="shared" ca="1" si="440"/>
        <v>3.5261852674216394E-2</v>
      </c>
      <c r="ST58" s="235">
        <f t="shared" ca="1" si="441"/>
        <v>3.5261852674216394E-2</v>
      </c>
      <c r="SU58" s="242">
        <f t="shared" ca="1" si="442"/>
        <v>3.5261852674216394E-2</v>
      </c>
      <c r="SV58" s="241">
        <f t="shared" ca="1" si="808"/>
        <v>1</v>
      </c>
      <c r="SW58" s="220">
        <f t="shared" ca="1" si="753"/>
        <v>0.50563620810864218</v>
      </c>
      <c r="SX58" s="220">
        <f t="shared" ca="1" si="754"/>
        <v>0</v>
      </c>
      <c r="SY58" s="235">
        <f t="shared" ca="1" si="446"/>
        <v>3.2255975632920972E-2</v>
      </c>
      <c r="SZ58" s="235">
        <f t="shared" ca="1" si="447"/>
        <v>3.2255975632920972E-2</v>
      </c>
      <c r="TA58" s="242">
        <f t="shared" ca="1" si="448"/>
        <v>3.2255975632920972E-2</v>
      </c>
      <c r="TB58" s="241">
        <f t="shared" ca="1" si="808"/>
        <v>1</v>
      </c>
      <c r="TC58" s="220">
        <f t="shared" ca="1" si="755"/>
        <v>0.47585575235966748</v>
      </c>
      <c r="TD58" s="220">
        <f t="shared" ca="1" si="756"/>
        <v>0</v>
      </c>
      <c r="TE58" s="235">
        <f t="shared" ca="1" si="451"/>
        <v>2.9329657426153458E-2</v>
      </c>
      <c r="TF58" s="235">
        <f t="shared" ca="1" si="452"/>
        <v>2.9329657426153458E-2</v>
      </c>
      <c r="TG58" s="242">
        <f t="shared" ca="1" si="453"/>
        <v>2.9329657426153458E-2</v>
      </c>
      <c r="TH58" s="241">
        <f t="shared" ca="1" si="808"/>
        <v>1</v>
      </c>
      <c r="TI58" s="220">
        <f t="shared" ca="1" si="757"/>
        <v>0.4447514411066778</v>
      </c>
      <c r="TJ58" s="220">
        <f t="shared" ca="1" si="758"/>
        <v>0</v>
      </c>
      <c r="TK58" s="235">
        <f t="shared" ca="1" si="456"/>
        <v>2.6485530790814431E-2</v>
      </c>
      <c r="TL58" s="235">
        <f t="shared" ca="1" si="457"/>
        <v>2.6485530790814431E-2</v>
      </c>
      <c r="TM58" s="242">
        <f t="shared" ca="1" si="458"/>
        <v>2.6485530790814431E-2</v>
      </c>
      <c r="TN58" s="241">
        <f t="shared" ca="1" si="808"/>
        <v>1</v>
      </c>
      <c r="TO58" s="220">
        <f t="shared" ca="1" si="759"/>
        <v>0.41251096438941365</v>
      </c>
      <c r="TP58" s="220">
        <f t="shared" ca="1" si="760"/>
        <v>0</v>
      </c>
      <c r="TQ58" s="235">
        <f t="shared" ca="1" si="461"/>
        <v>2.3734848481408222E-2</v>
      </c>
      <c r="TR58" s="235">
        <f t="shared" ca="1" si="462"/>
        <v>2.3734848481408222E-2</v>
      </c>
      <c r="TS58" s="242">
        <f t="shared" ca="1" si="463"/>
        <v>2.3734848481408222E-2</v>
      </c>
      <c r="TT58" s="241">
        <f t="shared" ca="1" si="808"/>
        <v>1</v>
      </c>
      <c r="TU58" s="220">
        <f t="shared" ca="1" si="761"/>
        <v>0.37939128408051637</v>
      </c>
      <c r="TV58" s="220">
        <f t="shared" ca="1" si="762"/>
        <v>0</v>
      </c>
      <c r="TW58" s="235">
        <f t="shared" ca="1" si="466"/>
        <v>2.1091038615007652E-2</v>
      </c>
      <c r="TX58" s="235">
        <f t="shared" ca="1" si="467"/>
        <v>2.1091038615007652E-2</v>
      </c>
      <c r="TY58" s="242">
        <f t="shared" ca="1" si="468"/>
        <v>2.1091038615007652E-2</v>
      </c>
      <c r="TZ58" s="241">
        <f t="shared" ca="1" si="808"/>
        <v>1</v>
      </c>
      <c r="UA58" s="220">
        <f t="shared" ca="1" si="763"/>
        <v>0.34565732866521315</v>
      </c>
      <c r="UB58" s="220">
        <f t="shared" ca="1" si="764"/>
        <v>0</v>
      </c>
      <c r="UC58" s="235">
        <f t="shared" ca="1" si="471"/>
        <v>1.8565901280691431E-2</v>
      </c>
      <c r="UD58" s="235">
        <f t="shared" ca="1" si="472"/>
        <v>1.8565901280691431E-2</v>
      </c>
      <c r="UE58" s="242">
        <f t="shared" ca="1" si="473"/>
        <v>1.8565901280691431E-2</v>
      </c>
      <c r="UF58" s="241">
        <f t="shared" ca="1" si="808"/>
        <v>1</v>
      </c>
      <c r="UG58" s="220">
        <f t="shared" ca="1" si="765"/>
        <v>0.31158381183471112</v>
      </c>
      <c r="UH58" s="220">
        <f t="shared" ca="1" si="766"/>
        <v>0</v>
      </c>
      <c r="UI58" s="235">
        <f t="shared" ca="1" si="476"/>
        <v>1.6169805793281151E-2</v>
      </c>
      <c r="UJ58" s="235">
        <f t="shared" ca="1" si="477"/>
        <v>1.6169805793281151E-2</v>
      </c>
      <c r="UK58" s="242">
        <f t="shared" ca="1" si="478"/>
        <v>1.6169805793281151E-2</v>
      </c>
      <c r="UL58" s="241">
        <f t="shared" ca="1" si="808"/>
        <v>1</v>
      </c>
      <c r="UM58" s="220">
        <f t="shared" ca="1" si="767"/>
        <v>0.27748470263514402</v>
      </c>
      <c r="UN58" s="220">
        <f t="shared" ca="1" si="768"/>
        <v>0</v>
      </c>
      <c r="UO58" s="235">
        <f t="shared" ca="1" si="481"/>
        <v>1.3913250808575896E-2</v>
      </c>
      <c r="UP58" s="235">
        <f t="shared" ca="1" si="482"/>
        <v>1.3913250808575896E-2</v>
      </c>
      <c r="UQ58" s="242">
        <f t="shared" ca="1" si="483"/>
        <v>1.3913250808575896E-2</v>
      </c>
      <c r="UR58" s="241">
        <f t="shared" ca="1" si="808"/>
        <v>1</v>
      </c>
      <c r="US58" s="220">
        <f t="shared" ca="1" si="769"/>
        <v>0.24373729058536042</v>
      </c>
      <c r="UT58" s="220">
        <f t="shared" ca="1" si="770"/>
        <v>0</v>
      </c>
      <c r="UU58" s="235">
        <f t="shared" ca="1" si="486"/>
        <v>1.1807860056509861E-2</v>
      </c>
      <c r="UV58" s="235">
        <f t="shared" ca="1" si="487"/>
        <v>1.1807860056509861E-2</v>
      </c>
      <c r="UW58" s="242">
        <f t="shared" ca="1" si="488"/>
        <v>1.1807860056509861E-2</v>
      </c>
      <c r="UX58" s="241">
        <f t="shared" ca="1" si="808"/>
        <v>1</v>
      </c>
      <c r="UY58" s="220">
        <f t="shared" ca="1" si="771"/>
        <v>0.21078985859319374</v>
      </c>
      <c r="UZ58" s="220">
        <f t="shared" ca="1" si="772"/>
        <v>0</v>
      </c>
      <c r="VA58" s="235">
        <f t="shared" ca="1" si="491"/>
        <v>9.866396874889936E-3</v>
      </c>
      <c r="VB58" s="235">
        <f t="shared" ca="1" si="492"/>
        <v>9.866396874889936E-3</v>
      </c>
      <c r="VC58" s="242">
        <f t="shared" ca="1" si="493"/>
        <v>9.866396874889936E-3</v>
      </c>
      <c r="VD58" s="241">
        <f t="shared" ca="1" si="806"/>
        <v>1</v>
      </c>
      <c r="VE58" s="220">
        <f t="shared" ca="1" si="773"/>
        <v>0.17914840370962801</v>
      </c>
      <c r="VF58" s="220">
        <f t="shared" ca="1" si="774"/>
        <v>0</v>
      </c>
      <c r="VG58" s="235">
        <f t="shared" ca="1" si="496"/>
        <v>8.1017989433788233E-3</v>
      </c>
      <c r="VH58" s="235">
        <f t="shared" ca="1" si="497"/>
        <v>8.1017989433788233E-3</v>
      </c>
      <c r="VI58" s="242">
        <f t="shared" ca="1" si="498"/>
        <v>8.1017989433788233E-3</v>
      </c>
      <c r="VJ58" s="241">
        <f t="shared" ca="1" si="806"/>
        <v>1</v>
      </c>
      <c r="VK58" s="220">
        <f t="shared" ca="1" si="775"/>
        <v>0.14933864677755704</v>
      </c>
      <c r="VL58" s="220">
        <f t="shared" ca="1" si="776"/>
        <v>0</v>
      </c>
      <c r="VM58" s="235">
        <f t="shared" ca="1" si="502"/>
        <v>6.5252984585482295E-3</v>
      </c>
      <c r="VN58" s="235">
        <f t="shared" ca="1" si="503"/>
        <v>6.5252984585482295E-3</v>
      </c>
      <c r="VO58" s="242">
        <f t="shared" ca="1" si="504"/>
        <v>6.5252984585482295E-3</v>
      </c>
      <c r="VP58" s="241">
        <f t="shared" ca="1" si="567"/>
        <v>1</v>
      </c>
      <c r="VQ58" s="220">
        <f t="shared" ca="1" si="777"/>
        <v>0.12186078378642688</v>
      </c>
      <c r="VR58" s="220">
        <f t="shared" ca="1" si="778"/>
        <v>0</v>
      </c>
      <c r="VS58" s="235">
        <f t="shared" ca="1" si="507"/>
        <v>5.1446020464451514E-3</v>
      </c>
      <c r="VT58" s="235">
        <f t="shared" ca="1" si="508"/>
        <v>5.1446020464451514E-3</v>
      </c>
      <c r="VU58" s="242">
        <f t="shared" ca="1" si="509"/>
        <v>5.1446020464451514E-3</v>
      </c>
      <c r="VV58" s="241">
        <f t="shared" ca="1" si="578"/>
        <v>1</v>
      </c>
      <c r="VW58" s="220">
        <f t="shared" ca="1" si="779"/>
        <v>9.714071449143126E-2</v>
      </c>
      <c r="VX58" s="220">
        <f t="shared" ca="1" si="780"/>
        <v>0</v>
      </c>
      <c r="VY58" s="235">
        <f t="shared" ca="1" si="512"/>
        <v>3.9623128486120972E-3</v>
      </c>
      <c r="VZ58" s="235">
        <f t="shared" ca="1" si="513"/>
        <v>3.9623128486120972E-3</v>
      </c>
      <c r="WA58" s="242">
        <f t="shared" ca="1" si="514"/>
        <v>3.9623128486120972E-3</v>
      </c>
      <c r="WB58" s="241">
        <f t="shared" ca="1" si="578"/>
        <v>1</v>
      </c>
      <c r="WC58" s="220">
        <f t="shared" ca="1" si="781"/>
        <v>7.5486980683431834E-2</v>
      </c>
      <c r="WD58" s="220">
        <f t="shared" ca="1" si="782"/>
        <v>0</v>
      </c>
      <c r="WE58" s="235">
        <f t="shared" ca="1" si="517"/>
        <v>2.9749465982754843E-3</v>
      </c>
      <c r="WF58" s="235">
        <f t="shared" ca="1" si="518"/>
        <v>2.9749465982754843E-3</v>
      </c>
      <c r="WG58" s="242">
        <f t="shared" ca="1" si="519"/>
        <v>2.9749465982754843E-3</v>
      </c>
      <c r="WH58" s="241">
        <f t="shared" ca="1" si="578"/>
        <v>1</v>
      </c>
      <c r="WI58" s="220">
        <f t="shared" ca="1" si="783"/>
        <v>5.7061061620490225E-2</v>
      </c>
      <c r="WJ58" s="220">
        <f t="shared" ca="1" si="784"/>
        <v>0</v>
      </c>
      <c r="WK58" s="235">
        <f t="shared" ca="1" si="522"/>
        <v>2.1727342833971291E-3</v>
      </c>
      <c r="WL58" s="235">
        <f t="shared" ca="1" si="523"/>
        <v>2.1727342833971291E-3</v>
      </c>
      <c r="WM58" s="242">
        <f t="shared" ca="1" si="524"/>
        <v>2.1727342833971291E-3</v>
      </c>
      <c r="WN58" s="241">
        <f t="shared" ca="1" si="578"/>
        <v>1</v>
      </c>
      <c r="WO58" s="220">
        <f t="shared" ca="1" si="785"/>
        <v>4.1934687734452851E-2</v>
      </c>
      <c r="WP58" s="220">
        <f t="shared" ca="1" si="786"/>
        <v>0</v>
      </c>
      <c r="WQ58" s="235">
        <f t="shared" ca="1" si="527"/>
        <v>1.5427651975624165E-3</v>
      </c>
      <c r="WR58" s="235">
        <f t="shared" ca="1" si="528"/>
        <v>1.5427651975624165E-3</v>
      </c>
      <c r="WS58" s="242">
        <f t="shared" ca="1" si="529"/>
        <v>1.5427651975624165E-3</v>
      </c>
      <c r="WT58" s="241">
        <f t="shared" ca="1" si="578"/>
        <v>1</v>
      </c>
      <c r="WU58" s="220">
        <f t="shared" ca="1" si="787"/>
        <v>2.9961998908764689E-2</v>
      </c>
      <c r="WV58" s="220">
        <f t="shared" ca="1" si="788"/>
        <v>0</v>
      </c>
      <c r="WW58" s="235">
        <f t="shared" ca="1" si="532"/>
        <v>1.0650177696007403E-3</v>
      </c>
      <c r="WX58" s="235">
        <f t="shared" ca="1" si="533"/>
        <v>1.0650177696007403E-3</v>
      </c>
      <c r="WY58" s="242">
        <f t="shared" ca="1" si="534"/>
        <v>1.0650177696007403E-3</v>
      </c>
      <c r="WZ58" s="241">
        <f t="shared" ca="1" si="578"/>
        <v>1</v>
      </c>
      <c r="XA58" s="220">
        <f t="shared" ca="1" si="789"/>
        <v>2.0825806429510707E-2</v>
      </c>
      <c r="XB58" s="220">
        <f t="shared" ca="1" si="790"/>
        <v>0</v>
      </c>
      <c r="XC58" s="235">
        <f t="shared" ca="1" si="537"/>
        <v>7.1523300597822715E-4</v>
      </c>
      <c r="XD58" s="235">
        <f t="shared" ca="1" si="538"/>
        <v>7.1523300597822715E-4</v>
      </c>
      <c r="XE58" s="242">
        <f t="shared" ca="1" si="539"/>
        <v>7.1523300597822715E-4</v>
      </c>
      <c r="XF58" s="241">
        <f t="shared" ca="1" si="578"/>
        <v>1</v>
      </c>
      <c r="XG58" s="220">
        <f t="shared" ca="1" si="791"/>
        <v>1.410075784309954E-2</v>
      </c>
      <c r="XH58" s="220">
        <f t="shared" ca="1" si="792"/>
        <v>0</v>
      </c>
      <c r="XI58" s="235">
        <f t="shared" ca="1" si="542"/>
        <v>4.6789437576883483E-4</v>
      </c>
      <c r="XJ58" s="235">
        <f t="shared" ca="1" si="543"/>
        <v>4.6789437576883483E-4</v>
      </c>
      <c r="XK58" s="242">
        <f t="shared" ca="1" si="544"/>
        <v>4.6789437576883483E-4</v>
      </c>
    </row>
    <row r="59" spans="2:635" x14ac:dyDescent="0.25">
      <c r="B59" s="65">
        <f t="shared" ca="1" si="14"/>
        <v>2074</v>
      </c>
      <c r="C59" s="65" t="s">
        <v>741</v>
      </c>
      <c r="D59" s="77">
        <f t="shared" si="580"/>
        <v>0</v>
      </c>
      <c r="E59" s="77">
        <f t="shared" si="581"/>
        <v>0</v>
      </c>
      <c r="F59" s="77" t="b">
        <f t="shared" si="793"/>
        <v>0</v>
      </c>
      <c r="G59" s="77" t="b">
        <f t="shared" si="794"/>
        <v>0</v>
      </c>
      <c r="H59" s="15" t="e">
        <f t="shared" ca="1" si="582"/>
        <v>#REF!</v>
      </c>
      <c r="L59" s="326">
        <f t="shared" ca="1" si="583"/>
        <v>3.5000000000000003E-2</v>
      </c>
      <c r="M59" s="327">
        <f t="shared" ca="1" si="584"/>
        <v>3.5000000000000003E-2</v>
      </c>
      <c r="N59" s="322">
        <f t="shared" ca="1" si="579"/>
        <v>-51</v>
      </c>
      <c r="O59" s="322">
        <f t="shared" ca="1" si="585"/>
        <v>0</v>
      </c>
      <c r="P59" s="328">
        <f t="shared" ca="1" si="545"/>
        <v>26.87829936156087</v>
      </c>
      <c r="Q59" s="328">
        <f t="shared" ca="1" si="546"/>
        <v>26.87829936156087</v>
      </c>
      <c r="R59" s="328">
        <f t="shared" ca="1" si="547"/>
        <v>26.87829936156087</v>
      </c>
      <c r="S59" s="329">
        <f t="shared" ca="1" si="586"/>
        <v>3.8642415640549425E-2</v>
      </c>
      <c r="T59" s="329">
        <f t="shared" ca="1" si="587"/>
        <v>3.8642415640549425E-2</v>
      </c>
      <c r="U59" s="329">
        <f t="shared" ca="1" si="588"/>
        <v>3.8642415640549425E-2</v>
      </c>
      <c r="V59" s="320" t="e">
        <f t="shared" ca="1" si="589"/>
        <v>#REF!</v>
      </c>
      <c r="W59" s="320" t="e">
        <f t="shared" ca="1" si="560"/>
        <v>#REF!</v>
      </c>
      <c r="X59" s="320" t="e">
        <f t="shared" ca="1" si="590"/>
        <v>#REF!</v>
      </c>
      <c r="Y59" s="320" t="e">
        <f ca="1">INDEX(SC_ZA_HECMLumpSum,ZAIDX)</f>
        <v>#REF!</v>
      </c>
      <c r="Z59" s="320" t="e">
        <f t="shared" ca="1" si="591"/>
        <v>#REF!</v>
      </c>
      <c r="AA59" s="320" t="e">
        <f t="shared" ca="1" si="557"/>
        <v>#REF!</v>
      </c>
      <c r="AB59" s="320" t="e">
        <f t="shared" ca="1" si="558"/>
        <v>#REF!</v>
      </c>
      <c r="AC59" s="330" t="e">
        <f t="shared" ca="1" si="559"/>
        <v>#REF!</v>
      </c>
      <c r="AD59" s="236" t="e">
        <f t="shared" ca="1" si="548"/>
        <v>#REF!</v>
      </c>
      <c r="AE59" s="320" t="e">
        <f t="shared" ca="1" si="561"/>
        <v>#REF!</v>
      </c>
      <c r="AF59" s="320" t="e">
        <f t="shared" ca="1" si="592"/>
        <v>#REF!</v>
      </c>
      <c r="AG59" s="320" t="e">
        <f t="shared" ca="1" si="549"/>
        <v>#REF!</v>
      </c>
      <c r="AH59" s="284" t="e">
        <f t="shared" ca="1" si="550"/>
        <v>#REF!</v>
      </c>
      <c r="AI59" s="318" t="e">
        <f t="shared" ca="1" si="551"/>
        <v>#REF!</v>
      </c>
      <c r="AJ59" s="331">
        <f t="shared" ca="1" si="807"/>
        <v>1</v>
      </c>
      <c r="AK59" s="220">
        <f t="shared" ca="1" si="593"/>
        <v>1</v>
      </c>
      <c r="AL59" s="220">
        <f t="shared" ca="1" si="594"/>
        <v>0</v>
      </c>
      <c r="AM59" s="235">
        <f t="shared" ca="1" si="554"/>
        <v>1</v>
      </c>
      <c r="AN59" s="235">
        <f t="shared" ca="1" si="555"/>
        <v>1</v>
      </c>
      <c r="AO59" s="242">
        <f t="shared" ca="1" si="556"/>
        <v>1</v>
      </c>
      <c r="AP59" s="241">
        <f t="shared" ca="1" si="807"/>
        <v>1</v>
      </c>
      <c r="AQ59" s="220">
        <f t="shared" ca="1" si="595"/>
        <v>0.99361699999999997</v>
      </c>
      <c r="AR59" s="220">
        <f t="shared" ca="1" si="596"/>
        <v>0</v>
      </c>
      <c r="AS59" s="235">
        <f t="shared" ca="1" si="43"/>
        <v>0.96001642512077301</v>
      </c>
      <c r="AT59" s="235">
        <f t="shared" ca="1" si="44"/>
        <v>0.96001642512077301</v>
      </c>
      <c r="AU59" s="242">
        <f t="shared" ca="1" si="45"/>
        <v>0.96001642512077301</v>
      </c>
      <c r="AV59" s="241">
        <f t="shared" ca="1" si="807"/>
        <v>1</v>
      </c>
      <c r="AW59" s="220">
        <f t="shared" ca="1" si="597"/>
        <v>0.99316689149899995</v>
      </c>
      <c r="AX59" s="220">
        <f t="shared" ca="1" si="598"/>
        <v>0</v>
      </c>
      <c r="AY59" s="235">
        <f t="shared" ca="1" si="48"/>
        <v>0.92713192046395487</v>
      </c>
      <c r="AZ59" s="235">
        <f t="shared" ca="1" si="49"/>
        <v>0.92713192046395487</v>
      </c>
      <c r="BA59" s="242">
        <f t="shared" ca="1" si="50"/>
        <v>0.92713192046395487</v>
      </c>
      <c r="BB59" s="241">
        <f t="shared" ca="1" si="807"/>
        <v>1</v>
      </c>
      <c r="BC59" s="220">
        <f t="shared" ca="1" si="599"/>
        <v>0.99288681843559723</v>
      </c>
      <c r="BD59" s="220">
        <f t="shared" ca="1" si="600"/>
        <v>0</v>
      </c>
      <c r="BE59" s="235">
        <f t="shared" ca="1" si="54"/>
        <v>0.89552702344191704</v>
      </c>
      <c r="BF59" s="235">
        <f t="shared" ca="1" si="55"/>
        <v>0.89552702344191704</v>
      </c>
      <c r="BG59" s="242">
        <f t="shared" ca="1" si="56"/>
        <v>0.89552702344191704</v>
      </c>
      <c r="BH59" s="241">
        <f t="shared" ca="1" si="807"/>
        <v>1</v>
      </c>
      <c r="BI59" s="220">
        <f t="shared" ca="1" si="601"/>
        <v>0.99265845446735712</v>
      </c>
      <c r="BJ59" s="220">
        <f t="shared" ca="1" si="602"/>
        <v>0</v>
      </c>
      <c r="BK59" s="235">
        <f t="shared" ca="1" si="59"/>
        <v>0.86504449490485558</v>
      </c>
      <c r="BL59" s="235">
        <f t="shared" ca="1" si="60"/>
        <v>0.86504449490485558</v>
      </c>
      <c r="BM59" s="242">
        <f t="shared" ca="1" si="61"/>
        <v>0.86504449490485558</v>
      </c>
      <c r="BN59" s="241">
        <f t="shared" ca="1" si="807"/>
        <v>1</v>
      </c>
      <c r="BO59" s="220">
        <f t="shared" ca="1" si="603"/>
        <v>0.99249069518855215</v>
      </c>
      <c r="BP59" s="220">
        <f t="shared" ca="1" si="604"/>
        <v>0</v>
      </c>
      <c r="BQ59" s="235">
        <f t="shared" ca="1" si="64"/>
        <v>0.83565053370552345</v>
      </c>
      <c r="BR59" s="235">
        <f t="shared" ca="1" si="65"/>
        <v>0.83565053370552345</v>
      </c>
      <c r="BS59" s="242">
        <f t="shared" ca="1" si="66"/>
        <v>0.83565053370552345</v>
      </c>
      <c r="BT59" s="241">
        <f t="shared" ca="1" si="807"/>
        <v>1</v>
      </c>
      <c r="BU59" s="220">
        <f t="shared" ca="1" si="605"/>
        <v>0.99233685913079794</v>
      </c>
      <c r="BV59" s="220">
        <f t="shared" ca="1" si="606"/>
        <v>0</v>
      </c>
      <c r="BW59" s="235">
        <f t="shared" ca="1" si="69"/>
        <v>0.80726667427323584</v>
      </c>
      <c r="BX59" s="235">
        <f t="shared" ca="1" si="70"/>
        <v>0.80726667427323584</v>
      </c>
      <c r="BY59" s="242">
        <f t="shared" ca="1" si="71"/>
        <v>0.80726667427323584</v>
      </c>
      <c r="BZ59" s="241">
        <f t="shared" ca="1" si="807"/>
        <v>1</v>
      </c>
      <c r="CA59" s="220">
        <f t="shared" ca="1" si="607"/>
        <v>0.992192970286224</v>
      </c>
      <c r="CB59" s="220">
        <f t="shared" ca="1" si="608"/>
        <v>0</v>
      </c>
      <c r="CC59" s="235">
        <f t="shared" ca="1" si="74"/>
        <v>0.7798547058990013</v>
      </c>
      <c r="CD59" s="235">
        <f t="shared" ca="1" si="75"/>
        <v>0.7798547058990013</v>
      </c>
      <c r="CE59" s="242">
        <f t="shared" ca="1" si="76"/>
        <v>0.7798547058990013</v>
      </c>
      <c r="CF59" s="241">
        <f t="shared" ca="1" si="807"/>
        <v>1</v>
      </c>
      <c r="CG59" s="220">
        <f t="shared" ca="1" si="609"/>
        <v>0.9920590242352354</v>
      </c>
      <c r="CH59" s="220">
        <f t="shared" ca="1" si="610"/>
        <v>0</v>
      </c>
      <c r="CI59" s="235">
        <f t="shared" ca="1" si="79"/>
        <v>0.75338108745285515</v>
      </c>
      <c r="CJ59" s="235">
        <f t="shared" ca="1" si="80"/>
        <v>0.75338108745285515</v>
      </c>
      <c r="CK59" s="242">
        <f t="shared" ca="1" si="81"/>
        <v>0.75338108745285515</v>
      </c>
      <c r="CL59" s="241">
        <f t="shared" ca="1" si="807"/>
        <v>1</v>
      </c>
      <c r="CM59" s="220">
        <f t="shared" ca="1" si="611"/>
        <v>0.99193997715232718</v>
      </c>
      <c r="CN59" s="220">
        <f t="shared" ca="1" si="612"/>
        <v>0</v>
      </c>
      <c r="CO59" s="235">
        <f t="shared" ca="1" si="84"/>
        <v>0.72781708378972065</v>
      </c>
      <c r="CP59" s="235">
        <f t="shared" ca="1" si="85"/>
        <v>0.72781708378972065</v>
      </c>
      <c r="CQ59" s="242">
        <f t="shared" ca="1" si="86"/>
        <v>0.72781708378972065</v>
      </c>
      <c r="CR59" s="241">
        <f t="shared" ca="1" si="807"/>
        <v>1</v>
      </c>
      <c r="CS59" s="220">
        <f t="shared" ca="1" si="613"/>
        <v>0.99183582345472621</v>
      </c>
      <c r="CT59" s="220">
        <f t="shared" ca="1" si="614"/>
        <v>0</v>
      </c>
      <c r="CU59" s="235">
        <f t="shared" ca="1" si="89"/>
        <v>0.70313107535837949</v>
      </c>
      <c r="CV59" s="235">
        <f t="shared" ca="1" si="90"/>
        <v>0.70313107535837949</v>
      </c>
      <c r="CW59" s="242">
        <f t="shared" ca="1" si="91"/>
        <v>0.70313107535837949</v>
      </c>
      <c r="CX59" s="241">
        <f t="shared" ca="1" si="800"/>
        <v>1</v>
      </c>
      <c r="CY59" s="220">
        <f t="shared" ca="1" si="615"/>
        <v>0.99174259088732142</v>
      </c>
      <c r="CZ59" s="220">
        <f t="shared" ca="1" si="616"/>
        <v>0</v>
      </c>
      <c r="DA59" s="235">
        <f t="shared" ca="1" si="94"/>
        <v>0.6792898367510104</v>
      </c>
      <c r="DB59" s="235">
        <f t="shared" ca="1" si="95"/>
        <v>0.6792898367510104</v>
      </c>
      <c r="DC59" s="242">
        <f t="shared" ca="1" si="96"/>
        <v>0.6792898367510104</v>
      </c>
      <c r="DD59" s="241">
        <f t="shared" ca="1" si="800"/>
        <v>1</v>
      </c>
      <c r="DE59" s="220">
        <f t="shared" ca="1" si="617"/>
        <v>0.99164440837082357</v>
      </c>
      <c r="DF59" s="220">
        <f t="shared" ca="1" si="618"/>
        <v>0</v>
      </c>
      <c r="DG59" s="235">
        <f t="shared" ca="1" si="99"/>
        <v>0.65625370730161559</v>
      </c>
      <c r="DH59" s="235">
        <f t="shared" ca="1" si="100"/>
        <v>0.65625370730161559</v>
      </c>
      <c r="DI59" s="242">
        <f t="shared" ca="1" si="101"/>
        <v>0.65625370730161559</v>
      </c>
      <c r="DJ59" s="241">
        <f t="shared" ca="1" si="51"/>
        <v>1</v>
      </c>
      <c r="DK59" s="220">
        <f t="shared" ca="1" si="619"/>
        <v>0.9915115280201019</v>
      </c>
      <c r="DL59" s="220">
        <f t="shared" ca="1" si="620"/>
        <v>0</v>
      </c>
      <c r="DM59" s="235">
        <f t="shared" ca="1" si="104"/>
        <v>0.63397658870032592</v>
      </c>
      <c r="DN59" s="235">
        <f t="shared" ca="1" si="105"/>
        <v>0.63397658870032592</v>
      </c>
      <c r="DO59" s="242">
        <f t="shared" ca="1" si="106"/>
        <v>0.63397658870032592</v>
      </c>
      <c r="DP59" s="241">
        <f t="shared" ca="1" si="801"/>
        <v>1</v>
      </c>
      <c r="DQ59" s="220">
        <f t="shared" ca="1" si="621"/>
        <v>0.99130628513380181</v>
      </c>
      <c r="DR59" s="220">
        <f t="shared" ca="1" si="622"/>
        <v>0</v>
      </c>
      <c r="DS59" s="235">
        <f t="shared" ca="1" si="110"/>
        <v>0.61241097154247814</v>
      </c>
      <c r="DT59" s="235">
        <f t="shared" ca="1" si="111"/>
        <v>0.61241097154247814</v>
      </c>
      <c r="DU59" s="242">
        <f t="shared" ca="1" si="112"/>
        <v>0.61241097154247814</v>
      </c>
      <c r="DV59" s="241">
        <f t="shared" ca="1" si="801"/>
        <v>1</v>
      </c>
      <c r="DW59" s="220">
        <f t="shared" ca="1" si="623"/>
        <v>0.9909999714916955</v>
      </c>
      <c r="DX59" s="220">
        <f t="shared" ca="1" si="624"/>
        <v>0</v>
      </c>
      <c r="DY59" s="235">
        <f t="shared" ca="1" si="115"/>
        <v>0.59151858604084218</v>
      </c>
      <c r="DZ59" s="235">
        <f t="shared" ca="1" si="116"/>
        <v>0.59151858604084218</v>
      </c>
      <c r="EA59" s="242">
        <f t="shared" ca="1" si="117"/>
        <v>0.59151858604084218</v>
      </c>
      <c r="EB59" s="241">
        <f t="shared" ca="1" si="801"/>
        <v>1</v>
      </c>
      <c r="EC59" s="220">
        <f t="shared" ca="1" si="625"/>
        <v>0.99058474250364048</v>
      </c>
      <c r="ED59" s="220">
        <f t="shared" ca="1" si="626"/>
        <v>0</v>
      </c>
      <c r="EE59" s="235">
        <f t="shared" ca="1" si="120"/>
        <v>0.57127607705632</v>
      </c>
      <c r="EF59" s="235">
        <f t="shared" ca="1" si="121"/>
        <v>0.57127607705632</v>
      </c>
      <c r="EG59" s="242">
        <f t="shared" ca="1" si="122"/>
        <v>0.57127607705632</v>
      </c>
      <c r="EH59" s="241">
        <f t="shared" ca="1" si="801"/>
        <v>1</v>
      </c>
      <c r="EI59" s="220">
        <f t="shared" ca="1" si="627"/>
        <v>0.99005973259011348</v>
      </c>
      <c r="EJ59" s="220">
        <f t="shared" ca="1" si="628"/>
        <v>0</v>
      </c>
      <c r="EK59" s="235">
        <f t="shared" ca="1" si="125"/>
        <v>0.55166502486519819</v>
      </c>
      <c r="EL59" s="235">
        <f t="shared" ca="1" si="126"/>
        <v>0.55166502486519819</v>
      </c>
      <c r="EM59" s="242">
        <f t="shared" ca="1" si="127"/>
        <v>0.55166502486519819</v>
      </c>
      <c r="EN59" s="241">
        <f t="shared" ca="1" si="801"/>
        <v>1</v>
      </c>
      <c r="EO59" s="220">
        <f t="shared" ca="1" si="629"/>
        <v>0.98941124346526699</v>
      </c>
      <c r="EP59" s="220">
        <f t="shared" ca="1" si="630"/>
        <v>0</v>
      </c>
      <c r="EQ59" s="235">
        <f t="shared" ca="1" si="130"/>
        <v>0.53266056451585653</v>
      </c>
      <c r="ER59" s="235">
        <f t="shared" ca="1" si="131"/>
        <v>0.53266056451585653</v>
      </c>
      <c r="ES59" s="242">
        <f t="shared" ca="1" si="132"/>
        <v>0.53266056451585653</v>
      </c>
      <c r="ET59" s="241">
        <f t="shared" ca="1" si="801"/>
        <v>1</v>
      </c>
      <c r="EU59" s="220">
        <f t="shared" ca="1" si="631"/>
        <v>0.98862861917168599</v>
      </c>
      <c r="EV59" s="220">
        <f t="shared" ca="1" si="632"/>
        <v>0</v>
      </c>
      <c r="EW59" s="235">
        <f t="shared" ca="1" si="135"/>
        <v>0.51424080194137645</v>
      </c>
      <c r="EX59" s="235">
        <f t="shared" ca="1" si="136"/>
        <v>0.51424080194137645</v>
      </c>
      <c r="EY59" s="242">
        <f t="shared" ca="1" si="137"/>
        <v>0.51424080194137645</v>
      </c>
      <c r="EZ59" s="241">
        <f t="shared" ca="1" si="801"/>
        <v>1</v>
      </c>
      <c r="FA59" s="220">
        <f t="shared" ca="1" si="633"/>
        <v>0.98770524004137961</v>
      </c>
      <c r="FB59" s="220">
        <f t="shared" ca="1" si="634"/>
        <v>0</v>
      </c>
      <c r="FC59" s="235">
        <f t="shared" ca="1" si="140"/>
        <v>0.49638695751919149</v>
      </c>
      <c r="FD59" s="235">
        <f t="shared" ca="1" si="141"/>
        <v>0.49638695751919149</v>
      </c>
      <c r="FE59" s="242">
        <f t="shared" ca="1" si="142"/>
        <v>0.49638695751919149</v>
      </c>
      <c r="FF59" s="241">
        <f t="shared" ca="1" si="801"/>
        <v>1</v>
      </c>
      <c r="FG59" s="220">
        <f t="shared" ca="1" si="635"/>
        <v>0.98663357985593469</v>
      </c>
      <c r="FH59" s="220">
        <f t="shared" ca="1" si="636"/>
        <v>0</v>
      </c>
      <c r="FI59" s="235">
        <f t="shared" ca="1" si="145"/>
        <v>0.4790805581355394</v>
      </c>
      <c r="FJ59" s="235">
        <f t="shared" ca="1" si="146"/>
        <v>0.4790805581355394</v>
      </c>
      <c r="FK59" s="242">
        <f t="shared" ca="1" si="147"/>
        <v>0.4790805581355394</v>
      </c>
      <c r="FL59" s="241">
        <f t="shared" ca="1" si="801"/>
        <v>1</v>
      </c>
      <c r="FM59" s="220">
        <f t="shared" ca="1" si="637"/>
        <v>0.98542199381987161</v>
      </c>
      <c r="FN59" s="220">
        <f t="shared" ca="1" si="638"/>
        <v>0</v>
      </c>
      <c r="FO59" s="235">
        <f t="shared" ca="1" si="150"/>
        <v>0.46231134996149653</v>
      </c>
      <c r="FP59" s="235">
        <f t="shared" ca="1" si="151"/>
        <v>0.46231134996149653</v>
      </c>
      <c r="FQ59" s="242">
        <f t="shared" ca="1" si="152"/>
        <v>0.46231134996149653</v>
      </c>
      <c r="FR59" s="241">
        <f t="shared" ca="1" si="801"/>
        <v>1</v>
      </c>
      <c r="FS59" s="220">
        <f t="shared" ca="1" si="639"/>
        <v>0.98410251377014679</v>
      </c>
      <c r="FT59" s="220">
        <f t="shared" ca="1" si="640"/>
        <v>0</v>
      </c>
      <c r="FU59" s="235">
        <f t="shared" ca="1" si="155"/>
        <v>0.44607953146270346</v>
      </c>
      <c r="FV59" s="235">
        <f t="shared" ca="1" si="156"/>
        <v>0.44607953146270346</v>
      </c>
      <c r="FW59" s="242">
        <f t="shared" ca="1" si="157"/>
        <v>0.44607953146270346</v>
      </c>
      <c r="FX59" s="241">
        <f t="shared" ca="1" si="801"/>
        <v>1</v>
      </c>
      <c r="FY59" s="220">
        <f t="shared" ca="1" si="641"/>
        <v>0.98272181794332725</v>
      </c>
      <c r="FZ59" s="220">
        <f t="shared" ca="1" si="642"/>
        <v>0</v>
      </c>
      <c r="GA59" s="235">
        <f t="shared" ca="1" si="160"/>
        <v>0.43039003080199167</v>
      </c>
      <c r="GB59" s="235">
        <f t="shared" ca="1" si="161"/>
        <v>0.43039003080199167</v>
      </c>
      <c r="GC59" s="242">
        <f t="shared" ca="1" si="162"/>
        <v>0.43039003080199167</v>
      </c>
      <c r="GD59" s="241">
        <f t="shared" ca="1" si="795"/>
        <v>1</v>
      </c>
      <c r="GE59" s="220">
        <f t="shared" ca="1" si="643"/>
        <v>0.98131357757821447</v>
      </c>
      <c r="GF59" s="220">
        <f t="shared" ca="1" si="644"/>
        <v>0</v>
      </c>
      <c r="GG59" s="235">
        <f t="shared" ca="1" si="166"/>
        <v>0.41523988588198307</v>
      </c>
      <c r="GH59" s="235">
        <f t="shared" ca="1" si="167"/>
        <v>0.41523988588198307</v>
      </c>
      <c r="GI59" s="242">
        <f t="shared" ca="1" si="168"/>
        <v>0.41523988588198307</v>
      </c>
      <c r="GJ59" s="241">
        <f t="shared" ca="1" si="795"/>
        <v>1</v>
      </c>
      <c r="GK59" s="220">
        <f t="shared" ca="1" si="645"/>
        <v>0.97988969157714845</v>
      </c>
      <c r="GL59" s="220">
        <f t="shared" ca="1" si="646"/>
        <v>0</v>
      </c>
      <c r="GM59" s="235">
        <f t="shared" ca="1" si="171"/>
        <v>0.40061581913774713</v>
      </c>
      <c r="GN59" s="235">
        <f t="shared" ca="1" si="172"/>
        <v>0.40061581913774713</v>
      </c>
      <c r="GO59" s="242">
        <f t="shared" ca="1" si="173"/>
        <v>0.40061581913774713</v>
      </c>
      <c r="GP59" s="241">
        <f t="shared" ca="1" si="802"/>
        <v>1</v>
      </c>
      <c r="GQ59" s="220">
        <f t="shared" ca="1" si="647"/>
        <v>0.9784443542820721</v>
      </c>
      <c r="GR59" s="220">
        <f t="shared" ca="1" si="648"/>
        <v>0</v>
      </c>
      <c r="GS59" s="235">
        <f t="shared" ca="1" si="176"/>
        <v>0.38649749836185404</v>
      </c>
      <c r="GT59" s="235">
        <f t="shared" ca="1" si="177"/>
        <v>0.38649749836185404</v>
      </c>
      <c r="GU59" s="242">
        <f t="shared" ca="1" si="178"/>
        <v>0.38649749836185404</v>
      </c>
      <c r="GV59" s="241">
        <f t="shared" ca="1" si="802"/>
        <v>1</v>
      </c>
      <c r="GW59" s="220">
        <f t="shared" ca="1" si="649"/>
        <v>0.97697473086194042</v>
      </c>
      <c r="GX59" s="220">
        <f t="shared" ca="1" si="650"/>
        <v>0</v>
      </c>
      <c r="GY59" s="235">
        <f t="shared" ca="1" si="181"/>
        <v>0.37286664649209134</v>
      </c>
      <c r="GZ59" s="235">
        <f t="shared" ca="1" si="182"/>
        <v>0.37286664649209134</v>
      </c>
      <c r="HA59" s="242">
        <f t="shared" ca="1" si="183"/>
        <v>0.37286664649209134</v>
      </c>
      <c r="HB59" s="241">
        <f t="shared" ca="1" si="802"/>
        <v>1</v>
      </c>
      <c r="HC59" s="220">
        <f t="shared" ca="1" si="651"/>
        <v>0.97547214372587476</v>
      </c>
      <c r="HD59" s="220">
        <f t="shared" ca="1" si="652"/>
        <v>0</v>
      </c>
      <c r="HE59" s="235">
        <f t="shared" ca="1" si="186"/>
        <v>0.35970355322684694</v>
      </c>
      <c r="HF59" s="235">
        <f t="shared" ca="1" si="187"/>
        <v>0.35970355322684694</v>
      </c>
      <c r="HG59" s="242">
        <f t="shared" ca="1" si="188"/>
        <v>0.35970355322684694</v>
      </c>
      <c r="HH59" s="241">
        <f t="shared" ca="1" si="802"/>
        <v>1</v>
      </c>
      <c r="HI59" s="220">
        <f t="shared" ca="1" si="653"/>
        <v>0.9739299222666441</v>
      </c>
      <c r="HJ59" s="220">
        <f t="shared" ca="1" si="654"/>
        <v>0</v>
      </c>
      <c r="HK59" s="235">
        <f t="shared" ca="1" si="191"/>
        <v>0.34699020474318382</v>
      </c>
      <c r="HL59" s="235">
        <f t="shared" ca="1" si="192"/>
        <v>0.34699020474318382</v>
      </c>
      <c r="HM59" s="242">
        <f t="shared" ca="1" si="193"/>
        <v>0.34699020474318382</v>
      </c>
      <c r="HN59" s="241">
        <f t="shared" ca="1" si="802"/>
        <v>1</v>
      </c>
      <c r="HO59" s="220">
        <f t="shared" ca="1" si="655"/>
        <v>0.97234631221303847</v>
      </c>
      <c r="HP59" s="220">
        <f t="shared" ca="1" si="656"/>
        <v>0</v>
      </c>
      <c r="HQ59" s="235">
        <f t="shared" ca="1" si="196"/>
        <v>0.33471110982634922</v>
      </c>
      <c r="HR59" s="235">
        <f t="shared" ca="1" si="197"/>
        <v>0.33471110982634922</v>
      </c>
      <c r="HS59" s="242">
        <f t="shared" ca="1" si="198"/>
        <v>0.33471110982634922</v>
      </c>
      <c r="HT59" s="241">
        <f t="shared" ca="1" si="802"/>
        <v>1</v>
      </c>
      <c r="HU59" s="220">
        <f t="shared" ca="1" si="657"/>
        <v>0.97072346621795491</v>
      </c>
      <c r="HV59" s="220">
        <f t="shared" ca="1" si="658"/>
        <v>0</v>
      </c>
      <c r="HW59" s="235">
        <f t="shared" ca="1" si="201"/>
        <v>0.32285263476719722</v>
      </c>
      <c r="HX59" s="235">
        <f t="shared" ca="1" si="202"/>
        <v>0.32285263476719722</v>
      </c>
      <c r="HY59" s="242">
        <f t="shared" ca="1" si="203"/>
        <v>0.32285263476719722</v>
      </c>
      <c r="HZ59" s="241">
        <f t="shared" ca="1" si="802"/>
        <v>1</v>
      </c>
      <c r="IA59" s="220">
        <f t="shared" ca="1" si="659"/>
        <v>0.96906158764378969</v>
      </c>
      <c r="IB59" s="220">
        <f t="shared" ca="1" si="660"/>
        <v>0</v>
      </c>
      <c r="IC59" s="235">
        <f t="shared" ca="1" si="206"/>
        <v>0.31140088024780266</v>
      </c>
      <c r="ID59" s="235">
        <f t="shared" ca="1" si="207"/>
        <v>0.31140088024780266</v>
      </c>
      <c r="IE59" s="242">
        <f t="shared" ca="1" si="208"/>
        <v>0.31140088024780266</v>
      </c>
      <c r="IF59" s="241">
        <f t="shared" ca="1" si="802"/>
        <v>1</v>
      </c>
      <c r="IG59" s="220">
        <f t="shared" ca="1" si="661"/>
        <v>0.96736088455747493</v>
      </c>
      <c r="IH59" s="220">
        <f t="shared" ca="1" si="662"/>
        <v>0</v>
      </c>
      <c r="II59" s="235">
        <f t="shared" ca="1" si="211"/>
        <v>0.30034238811880948</v>
      </c>
      <c r="IJ59" s="235">
        <f t="shared" ca="1" si="212"/>
        <v>0.30034238811880948</v>
      </c>
      <c r="IK59" s="242">
        <f t="shared" ca="1" si="213"/>
        <v>0.30034238811880948</v>
      </c>
      <c r="IL59" s="241">
        <f t="shared" ca="1" si="802"/>
        <v>1</v>
      </c>
      <c r="IM59" s="220">
        <f t="shared" ca="1" si="663"/>
        <v>0.96561963496527148</v>
      </c>
      <c r="IN59" s="220">
        <f t="shared" ca="1" si="664"/>
        <v>0</v>
      </c>
      <c r="IO59" s="235">
        <f t="shared" ca="1" si="216"/>
        <v>0.28966354765236296</v>
      </c>
      <c r="IP59" s="235">
        <f t="shared" ca="1" si="217"/>
        <v>0.28966354765236296</v>
      </c>
      <c r="IQ59" s="242">
        <f t="shared" ca="1" si="218"/>
        <v>0.28966354765236296</v>
      </c>
      <c r="IR59" s="241">
        <f t="shared" ca="1" si="802"/>
        <v>1</v>
      </c>
      <c r="IS59" s="220">
        <f t="shared" ca="1" si="665"/>
        <v>0.96382841054241086</v>
      </c>
      <c r="IT59" s="220">
        <f t="shared" ca="1" si="666"/>
        <v>0</v>
      </c>
      <c r="IU59" s="235">
        <f t="shared" ca="1" si="222"/>
        <v>0.27934900654248102</v>
      </c>
      <c r="IV59" s="235">
        <f t="shared" ca="1" si="223"/>
        <v>0.27934900654248102</v>
      </c>
      <c r="IW59" s="242">
        <f t="shared" ca="1" si="224"/>
        <v>0.27934900654248102</v>
      </c>
      <c r="IX59" s="241">
        <f t="shared" ca="1" si="802"/>
        <v>1</v>
      </c>
      <c r="IY59" s="220">
        <f t="shared" ca="1" si="667"/>
        <v>0.9619778599941694</v>
      </c>
      <c r="IZ59" s="220">
        <f t="shared" ca="1" si="668"/>
        <v>0</v>
      </c>
      <c r="JA59" s="235">
        <f t="shared" ca="1" si="227"/>
        <v>0.26938420913035699</v>
      </c>
      <c r="JB59" s="235">
        <f t="shared" ca="1" si="228"/>
        <v>0.26938420913035699</v>
      </c>
      <c r="JC59" s="242">
        <f t="shared" ca="1" si="229"/>
        <v>0.26938420913035699</v>
      </c>
      <c r="JD59" s="241">
        <f t="shared" ca="1" si="796"/>
        <v>1</v>
      </c>
      <c r="JE59" s="220">
        <f t="shared" ca="1" si="669"/>
        <v>0.96006544800850102</v>
      </c>
      <c r="JF59" s="220">
        <f t="shared" ca="1" si="670"/>
        <v>0</v>
      </c>
      <c r="JG59" s="235">
        <f t="shared" ca="1" si="232"/>
        <v>0.25975717229237277</v>
      </c>
      <c r="JH59" s="235">
        <f t="shared" ca="1" si="233"/>
        <v>0.25975717229237277</v>
      </c>
      <c r="JI59" s="242">
        <f t="shared" ca="1" si="234"/>
        <v>0.25975717229237277</v>
      </c>
      <c r="JJ59" s="241">
        <f t="shared" ca="1" si="796"/>
        <v>1</v>
      </c>
      <c r="JK59" s="220">
        <f t="shared" ca="1" si="671"/>
        <v>0.9580877131856036</v>
      </c>
      <c r="JL59" s="220">
        <f t="shared" ca="1" si="672"/>
        <v>0</v>
      </c>
      <c r="JM59" s="235">
        <f t="shared" ca="1" si="237"/>
        <v>0.25045610871251262</v>
      </c>
      <c r="JN59" s="235">
        <f t="shared" ca="1" si="238"/>
        <v>0.25045610871251262</v>
      </c>
      <c r="JO59" s="242">
        <f t="shared" ca="1" si="239"/>
        <v>0.25045610871251262</v>
      </c>
      <c r="JP59" s="241">
        <f t="shared" ca="1" si="803"/>
        <v>1</v>
      </c>
      <c r="JQ59" s="220">
        <f t="shared" ca="1" si="673"/>
        <v>0.95603644739167326</v>
      </c>
      <c r="JR59" s="220">
        <f t="shared" ca="1" si="674"/>
        <v>0</v>
      </c>
      <c r="JS59" s="235">
        <f t="shared" ca="1" si="242"/>
        <v>0.24146848520169967</v>
      </c>
      <c r="JT59" s="235">
        <f t="shared" ca="1" si="243"/>
        <v>0.24146848520169967</v>
      </c>
      <c r="JU59" s="242">
        <f t="shared" ca="1" si="244"/>
        <v>0.24146848520169967</v>
      </c>
      <c r="JV59" s="241">
        <f t="shared" ca="1" si="803"/>
        <v>1</v>
      </c>
      <c r="JW59" s="220">
        <f t="shared" ca="1" si="675"/>
        <v>0.95389492574951584</v>
      </c>
      <c r="JX59" s="220">
        <f t="shared" ca="1" si="676"/>
        <v>0</v>
      </c>
      <c r="JY59" s="235">
        <f t="shared" ca="1" si="247"/>
        <v>0.23278028579212359</v>
      </c>
      <c r="JZ59" s="235">
        <f t="shared" ca="1" si="248"/>
        <v>0.23278028579212359</v>
      </c>
      <c r="KA59" s="242">
        <f t="shared" ca="1" si="249"/>
        <v>0.23278028579212359</v>
      </c>
      <c r="KB59" s="241">
        <f t="shared" ca="1" si="803"/>
        <v>1</v>
      </c>
      <c r="KC59" s="220">
        <f t="shared" ca="1" si="677"/>
        <v>0.95164182593489555</v>
      </c>
      <c r="KD59" s="220">
        <f t="shared" ca="1" si="678"/>
        <v>0</v>
      </c>
      <c r="KE59" s="235">
        <f t="shared" ca="1" si="252"/>
        <v>0.22437725483776094</v>
      </c>
      <c r="KF59" s="235">
        <f t="shared" ca="1" si="253"/>
        <v>0.22437725483776094</v>
      </c>
      <c r="KG59" s="242">
        <f t="shared" ca="1" si="254"/>
        <v>0.22437725483776094</v>
      </c>
      <c r="KH59" s="241">
        <f t="shared" ca="1" si="803"/>
        <v>1</v>
      </c>
      <c r="KI59" s="220">
        <f t="shared" ca="1" si="679"/>
        <v>0.94925415659362489</v>
      </c>
      <c r="KJ59" s="220">
        <f t="shared" ca="1" si="680"/>
        <v>0</v>
      </c>
      <c r="KK59" s="235">
        <f t="shared" ca="1" si="257"/>
        <v>0.21624569304866956</v>
      </c>
      <c r="KL59" s="235">
        <f t="shared" ca="1" si="258"/>
        <v>0.21624569304866956</v>
      </c>
      <c r="KM59" s="242">
        <f t="shared" ca="1" si="259"/>
        <v>0.21624569304866956</v>
      </c>
      <c r="KN59" s="241">
        <f t="shared" ca="1" si="803"/>
        <v>1</v>
      </c>
      <c r="KO59" s="220">
        <f t="shared" ca="1" si="681"/>
        <v>0.94670635843732753</v>
      </c>
      <c r="KP59" s="220">
        <f t="shared" ca="1" si="682"/>
        <v>0</v>
      </c>
      <c r="KQ59" s="235">
        <f t="shared" ca="1" si="262"/>
        <v>0.2083722604913304</v>
      </c>
      <c r="KR59" s="235">
        <f t="shared" ca="1" si="263"/>
        <v>0.2083722604913304</v>
      </c>
      <c r="KS59" s="242">
        <f t="shared" ca="1" si="264"/>
        <v>0.2083722604913304</v>
      </c>
      <c r="KT59" s="241">
        <f t="shared" ca="1" si="803"/>
        <v>1</v>
      </c>
      <c r="KU59" s="220">
        <f t="shared" ca="1" si="683"/>
        <v>0.94397037706144371</v>
      </c>
      <c r="KV59" s="220">
        <f t="shared" ca="1" si="684"/>
        <v>0</v>
      </c>
      <c r="KW59" s="235">
        <f t="shared" ca="1" si="267"/>
        <v>0.20074402382464779</v>
      </c>
      <c r="KX59" s="235">
        <f t="shared" ca="1" si="268"/>
        <v>0.20074402382464779</v>
      </c>
      <c r="KY59" s="242">
        <f t="shared" ca="1" si="269"/>
        <v>0.20074402382464779</v>
      </c>
      <c r="KZ59" s="241">
        <f t="shared" ca="1" si="803"/>
        <v>1</v>
      </c>
      <c r="LA59" s="220">
        <f t="shared" ca="1" si="685"/>
        <v>0.94102424551463493</v>
      </c>
      <c r="LB59" s="220">
        <f t="shared" ca="1" si="686"/>
        <v>0</v>
      </c>
      <c r="LC59" s="235">
        <f t="shared" ca="1" si="272"/>
        <v>0.19335024321380778</v>
      </c>
      <c r="LD59" s="235">
        <f t="shared" ca="1" si="273"/>
        <v>0.19335024321380778</v>
      </c>
      <c r="LE59" s="242">
        <f t="shared" ca="1" si="274"/>
        <v>0.19335024321380778</v>
      </c>
      <c r="LF59" s="241">
        <f t="shared" ca="1" si="803"/>
        <v>1</v>
      </c>
      <c r="LG59" s="220">
        <f t="shared" ca="1" si="687"/>
        <v>0.93783793741932242</v>
      </c>
      <c r="LH59" s="220">
        <f t="shared" ca="1" si="688"/>
        <v>0</v>
      </c>
      <c r="LI59" s="235">
        <f t="shared" ca="1" si="278"/>
        <v>0.18617928433844047</v>
      </c>
      <c r="LJ59" s="235">
        <f t="shared" ca="1" si="279"/>
        <v>0.18617928433844047</v>
      </c>
      <c r="LK59" s="242">
        <f t="shared" ca="1" si="280"/>
        <v>0.18617928433844047</v>
      </c>
      <c r="LL59" s="241">
        <f t="shared" ca="1" si="803"/>
        <v>1</v>
      </c>
      <c r="LM59" s="220">
        <f t="shared" ca="1" si="689"/>
        <v>0.93436137218530901</v>
      </c>
      <c r="LN59" s="220">
        <f t="shared" ca="1" si="690"/>
        <v>0</v>
      </c>
      <c r="LO59" s="235">
        <f t="shared" ca="1" si="283"/>
        <v>0.17921653887091585</v>
      </c>
      <c r="LP59" s="235">
        <f t="shared" ca="1" si="284"/>
        <v>0.17921653887091585</v>
      </c>
      <c r="LQ59" s="242">
        <f t="shared" ca="1" si="285"/>
        <v>0.17921653887091585</v>
      </c>
      <c r="LR59" s="241">
        <f t="shared" ca="1" si="803"/>
        <v>1</v>
      </c>
      <c r="LS59" s="220">
        <f t="shared" ca="1" si="691"/>
        <v>0.93053889981169891</v>
      </c>
      <c r="LT59" s="220">
        <f t="shared" ca="1" si="692"/>
        <v>0</v>
      </c>
      <c r="LU59" s="235">
        <f t="shared" ca="1" si="288"/>
        <v>0.17244769469603377</v>
      </c>
      <c r="LV59" s="235">
        <f t="shared" ca="1" si="289"/>
        <v>0.17244769469603377</v>
      </c>
      <c r="LW59" s="242">
        <f t="shared" ca="1" si="290"/>
        <v>0.17244769469603377</v>
      </c>
      <c r="LX59" s="241">
        <f t="shared" ca="1" si="803"/>
        <v>1</v>
      </c>
      <c r="LY59" s="220">
        <f t="shared" ca="1" si="693"/>
        <v>0.92632262805665211</v>
      </c>
      <c r="LZ59" s="220">
        <f t="shared" ca="1" si="694"/>
        <v>0</v>
      </c>
      <c r="MA59" s="235">
        <f t="shared" ca="1" si="293"/>
        <v>0.16586119245542613</v>
      </c>
      <c r="MB59" s="235">
        <f t="shared" ca="1" si="294"/>
        <v>0.16586119245542613</v>
      </c>
      <c r="MC59" s="242">
        <f t="shared" ca="1" si="295"/>
        <v>0.16586119245542613</v>
      </c>
      <c r="MD59" s="241">
        <f t="shared" ca="1" si="797"/>
        <v>1</v>
      </c>
      <c r="ME59" s="220">
        <f t="shared" ca="1" si="695"/>
        <v>0.92167897272220412</v>
      </c>
      <c r="MF59" s="220">
        <f t="shared" ca="1" si="696"/>
        <v>0</v>
      </c>
      <c r="MG59" s="235">
        <f t="shared" ca="1" si="298"/>
        <v>0.15944901478033538</v>
      </c>
      <c r="MH59" s="235">
        <f t="shared" ca="1" si="299"/>
        <v>0.15944901478033538</v>
      </c>
      <c r="MI59" s="242">
        <f t="shared" ca="1" si="300"/>
        <v>0.15944901478033538</v>
      </c>
      <c r="MJ59" s="241">
        <f t="shared" ca="1" si="797"/>
        <v>1</v>
      </c>
      <c r="MK59" s="220">
        <f t="shared" ca="1" si="697"/>
        <v>0.91658761807688671</v>
      </c>
      <c r="ML59" s="220">
        <f t="shared" ca="1" si="698"/>
        <v>0</v>
      </c>
      <c r="MM59" s="235">
        <f t="shared" ca="1" si="303"/>
        <v>0.15320600813786359</v>
      </c>
      <c r="MN59" s="235">
        <f t="shared" ca="1" si="304"/>
        <v>0.15320600813786359</v>
      </c>
      <c r="MO59" s="242">
        <f t="shared" ca="1" si="305"/>
        <v>0.15320600813786359</v>
      </c>
      <c r="MP59" s="241">
        <f t="shared" ca="1" si="804"/>
        <v>1</v>
      </c>
      <c r="MQ59" s="220">
        <f t="shared" ca="1" si="699"/>
        <v>0.91103401369895887</v>
      </c>
      <c r="MR59" s="220">
        <f t="shared" ca="1" si="700"/>
        <v>0</v>
      </c>
      <c r="MS59" s="235">
        <f t="shared" ca="1" si="308"/>
        <v>0.1471282443812138</v>
      </c>
      <c r="MT59" s="235">
        <f t="shared" ca="1" si="309"/>
        <v>0.1471282443812138</v>
      </c>
      <c r="MU59" s="242">
        <f t="shared" ca="1" si="310"/>
        <v>0.1471282443812138</v>
      </c>
      <c r="MV59" s="241">
        <f t="shared" ca="1" si="804"/>
        <v>1</v>
      </c>
      <c r="MW59" s="220">
        <f t="shared" ca="1" si="701"/>
        <v>0.90501116783439506</v>
      </c>
      <c r="MX59" s="220">
        <f t="shared" ca="1" si="702"/>
        <v>0</v>
      </c>
      <c r="MY59" s="235">
        <f t="shared" ca="1" si="313"/>
        <v>0.14121312034551653</v>
      </c>
      <c r="MZ59" s="235">
        <f t="shared" ca="1" si="314"/>
        <v>0.14121312034551653</v>
      </c>
      <c r="NA59" s="242">
        <f t="shared" ca="1" si="315"/>
        <v>0.14121312034551653</v>
      </c>
      <c r="NB59" s="241">
        <f t="shared" ca="1" si="804"/>
        <v>1</v>
      </c>
      <c r="NC59" s="220">
        <f t="shared" ca="1" si="703"/>
        <v>0.89850685257116925</v>
      </c>
      <c r="ND59" s="220">
        <f t="shared" ca="1" si="704"/>
        <v>0</v>
      </c>
      <c r="NE59" s="235">
        <f t="shared" ca="1" si="318"/>
        <v>0.13545721898511429</v>
      </c>
      <c r="NF59" s="235">
        <f t="shared" ca="1" si="319"/>
        <v>0.13545721898511429</v>
      </c>
      <c r="NG59" s="242">
        <f t="shared" ca="1" si="320"/>
        <v>0.13545721898511429</v>
      </c>
      <c r="NH59" s="241">
        <f t="shared" ca="1" si="804"/>
        <v>1</v>
      </c>
      <c r="NI59" s="220">
        <f t="shared" ca="1" si="705"/>
        <v>0.89149849912111412</v>
      </c>
      <c r="NJ59" s="220">
        <f t="shared" ca="1" si="706"/>
        <v>0</v>
      </c>
      <c r="NK59" s="235">
        <f t="shared" ca="1" si="323"/>
        <v>0.12985570306959462</v>
      </c>
      <c r="NL59" s="235">
        <f t="shared" ca="1" si="324"/>
        <v>0.12985570306959462</v>
      </c>
      <c r="NM59" s="242">
        <f t="shared" ca="1" si="325"/>
        <v>0.12985570306959462</v>
      </c>
      <c r="NN59" s="241">
        <f t="shared" ca="1" si="804"/>
        <v>1</v>
      </c>
      <c r="NO59" s="220">
        <f t="shared" ca="1" si="707"/>
        <v>0.88395998781254592</v>
      </c>
      <c r="NP59" s="220">
        <f t="shared" ca="1" si="708"/>
        <v>0</v>
      </c>
      <c r="NQ59" s="235">
        <f t="shared" ca="1" si="328"/>
        <v>0.12440352004293539</v>
      </c>
      <c r="NR59" s="235">
        <f t="shared" ca="1" si="329"/>
        <v>0.12440352004293539</v>
      </c>
      <c r="NS59" s="242">
        <f t="shared" ca="1" si="330"/>
        <v>0.12440352004293539</v>
      </c>
      <c r="NT59" s="241">
        <f t="shared" ca="1" si="804"/>
        <v>1</v>
      </c>
      <c r="NU59" s="220">
        <f t="shared" ca="1" si="709"/>
        <v>0.87587705768398794</v>
      </c>
      <c r="NV59" s="220">
        <f t="shared" ca="1" si="710"/>
        <v>0</v>
      </c>
      <c r="NW59" s="235">
        <f t="shared" ca="1" si="334"/>
        <v>0.11909755966730703</v>
      </c>
      <c r="NX59" s="235">
        <f t="shared" ca="1" si="335"/>
        <v>0.11909755966730703</v>
      </c>
      <c r="NY59" s="242">
        <f t="shared" ca="1" si="336"/>
        <v>0.11909755966730703</v>
      </c>
      <c r="NZ59" s="241">
        <f t="shared" ca="1" si="804"/>
        <v>1</v>
      </c>
      <c r="OA59" s="220">
        <f t="shared" ca="1" si="711"/>
        <v>0.86723653050993543</v>
      </c>
      <c r="OB59" s="220">
        <f t="shared" ca="1" si="712"/>
        <v>0</v>
      </c>
      <c r="OC59" s="235">
        <f t="shared" ca="1" si="339"/>
        <v>0.11393493936346769</v>
      </c>
      <c r="OD59" s="235">
        <f t="shared" ca="1" si="340"/>
        <v>0.11393493936346769</v>
      </c>
      <c r="OE59" s="242">
        <f t="shared" ca="1" si="341"/>
        <v>0.11393493936346769</v>
      </c>
      <c r="OF59" s="241">
        <f t="shared" ca="1" si="804"/>
        <v>1</v>
      </c>
      <c r="OG59" s="220">
        <f t="shared" ca="1" si="713"/>
        <v>0.85802474408285889</v>
      </c>
      <c r="OH59" s="220">
        <f t="shared" ca="1" si="714"/>
        <v>0</v>
      </c>
      <c r="OI59" s="235">
        <f t="shared" ca="1" si="344"/>
        <v>0.10891277530197965</v>
      </c>
      <c r="OJ59" s="235">
        <f t="shared" ca="1" si="345"/>
        <v>0.10891277530197965</v>
      </c>
      <c r="OK59" s="242">
        <f t="shared" ca="1" si="346"/>
        <v>0.10891277530197965</v>
      </c>
      <c r="OL59" s="241">
        <f t="shared" ca="1" si="804"/>
        <v>1</v>
      </c>
      <c r="OM59" s="220">
        <f t="shared" ca="1" si="715"/>
        <v>0.84819349656515752</v>
      </c>
      <c r="ON59" s="220">
        <f t="shared" ca="1" si="716"/>
        <v>0</v>
      </c>
      <c r="OO59" s="235">
        <f t="shared" ca="1" si="349"/>
        <v>0.10402401229233778</v>
      </c>
      <c r="OP59" s="235">
        <f t="shared" ca="1" si="350"/>
        <v>0.10402401229233778</v>
      </c>
      <c r="OQ59" s="242">
        <f t="shared" ca="1" si="351"/>
        <v>0.10402401229233778</v>
      </c>
      <c r="OR59" s="241">
        <f t="shared" ca="1" si="804"/>
        <v>1</v>
      </c>
      <c r="OS59" s="220">
        <f t="shared" ca="1" si="717"/>
        <v>0.83771830688257787</v>
      </c>
      <c r="OT59" s="220">
        <f t="shared" ca="1" si="718"/>
        <v>0</v>
      </c>
      <c r="OU59" s="235">
        <f t="shared" ca="1" si="354"/>
        <v>9.9265039362828419E-2</v>
      </c>
      <c r="OV59" s="235">
        <f t="shared" ca="1" si="355"/>
        <v>9.9265039362828419E-2</v>
      </c>
      <c r="OW59" s="242">
        <f t="shared" ca="1" si="356"/>
        <v>9.9265039362828419E-2</v>
      </c>
      <c r="OX59" s="241">
        <f t="shared" ca="1" si="804"/>
        <v>1</v>
      </c>
      <c r="OY59" s="220">
        <f t="shared" ca="1" si="719"/>
        <v>0.82663110509098692</v>
      </c>
      <c r="OZ59" s="220">
        <f t="shared" ca="1" si="720"/>
        <v>0</v>
      </c>
      <c r="PA59" s="235">
        <f t="shared" ca="1" si="359"/>
        <v>9.4638904895518239E-2</v>
      </c>
      <c r="PB59" s="235">
        <f t="shared" ca="1" si="360"/>
        <v>9.4638904895518239E-2</v>
      </c>
      <c r="PC59" s="242">
        <f t="shared" ca="1" si="361"/>
        <v>9.4638904895518239E-2</v>
      </c>
      <c r="PD59" s="241">
        <f t="shared" ca="1" si="798"/>
        <v>1</v>
      </c>
      <c r="PE59" s="220">
        <f t="shared" ca="1" si="721"/>
        <v>0.81497808640251923</v>
      </c>
      <c r="PF59" s="220">
        <f t="shared" ca="1" si="722"/>
        <v>0</v>
      </c>
      <c r="PG59" s="235">
        <f t="shared" ca="1" si="364"/>
        <v>9.0149546138363415E-2</v>
      </c>
      <c r="PH59" s="235">
        <f t="shared" ca="1" si="365"/>
        <v>9.0149546138363415E-2</v>
      </c>
      <c r="PI59" s="242">
        <f t="shared" ca="1" si="366"/>
        <v>9.0149546138363415E-2</v>
      </c>
      <c r="PJ59" s="241">
        <f t="shared" ca="1" si="798"/>
        <v>1</v>
      </c>
      <c r="PK59" s="220">
        <f t="shared" ca="1" si="723"/>
        <v>0.80277052964629592</v>
      </c>
      <c r="PL59" s="220">
        <f t="shared" ca="1" si="724"/>
        <v>0</v>
      </c>
      <c r="PM59" s="235">
        <f t="shared" ca="1" si="369"/>
        <v>8.5796324721504238E-2</v>
      </c>
      <c r="PN59" s="235">
        <f t="shared" ca="1" si="370"/>
        <v>8.5796324721504238E-2</v>
      </c>
      <c r="PO59" s="242">
        <f t="shared" ca="1" si="371"/>
        <v>8.5796324721504238E-2</v>
      </c>
      <c r="PP59" s="241">
        <f t="shared" ca="1" si="805"/>
        <v>1</v>
      </c>
      <c r="PQ59" s="220">
        <f t="shared" ca="1" si="725"/>
        <v>0.78995269259943357</v>
      </c>
      <c r="PR59" s="220">
        <f t="shared" ca="1" si="726"/>
        <v>0</v>
      </c>
      <c r="PS59" s="235">
        <f t="shared" ca="1" si="374"/>
        <v>8.1571415270218356E-2</v>
      </c>
      <c r="PT59" s="235">
        <f t="shared" ca="1" si="375"/>
        <v>8.1571415270218356E-2</v>
      </c>
      <c r="PU59" s="242">
        <f t="shared" ca="1" si="376"/>
        <v>8.1571415270218356E-2</v>
      </c>
      <c r="PV59" s="241">
        <f t="shared" ca="1" si="805"/>
        <v>1</v>
      </c>
      <c r="PW59" s="220">
        <f t="shared" ca="1" si="727"/>
        <v>0.77643739198174988</v>
      </c>
      <c r="PX59" s="220">
        <f t="shared" ca="1" si="728"/>
        <v>0</v>
      </c>
      <c r="PY59" s="235">
        <f t="shared" ca="1" si="379"/>
        <v>7.7464550653488104E-2</v>
      </c>
      <c r="PZ59" s="235">
        <f t="shared" ca="1" si="380"/>
        <v>7.7464550653488104E-2</v>
      </c>
      <c r="QA59" s="242">
        <f t="shared" ca="1" si="381"/>
        <v>7.7464550653488104E-2</v>
      </c>
      <c r="QB59" s="241">
        <f t="shared" ca="1" si="805"/>
        <v>1</v>
      </c>
      <c r="QC59" s="220">
        <f t="shared" ca="1" si="729"/>
        <v>0.76215715546842155</v>
      </c>
      <c r="QD59" s="220">
        <f t="shared" ca="1" si="730"/>
        <v>0</v>
      </c>
      <c r="QE59" s="235">
        <f t="shared" ca="1" si="384"/>
        <v>7.3468427669438799E-2</v>
      </c>
      <c r="QF59" s="235">
        <f t="shared" ca="1" si="385"/>
        <v>7.3468427669438799E-2</v>
      </c>
      <c r="QG59" s="242">
        <f t="shared" ca="1" si="386"/>
        <v>7.3468427669438799E-2</v>
      </c>
      <c r="QH59" s="241">
        <f t="shared" ca="1" si="805"/>
        <v>1</v>
      </c>
      <c r="QI59" s="220">
        <f t="shared" ca="1" si="731"/>
        <v>0.74703900613254992</v>
      </c>
      <c r="QJ59" s="220">
        <f t="shared" ca="1" si="732"/>
        <v>0</v>
      </c>
      <c r="QK59" s="235">
        <f t="shared" ca="1" si="390"/>
        <v>6.9575949698732195E-2</v>
      </c>
      <c r="QL59" s="235">
        <f t="shared" ca="1" si="391"/>
        <v>6.9575949698732195E-2</v>
      </c>
      <c r="QM59" s="242">
        <f t="shared" ca="1" si="392"/>
        <v>6.9575949698732195E-2</v>
      </c>
      <c r="QN59" s="241">
        <f t="shared" ca="1" si="805"/>
        <v>1</v>
      </c>
      <c r="QO59" s="220">
        <f t="shared" ca="1" si="733"/>
        <v>0.73100381386591473</v>
      </c>
      <c r="QP59" s="220">
        <f t="shared" ca="1" si="734"/>
        <v>0</v>
      </c>
      <c r="QQ59" s="235">
        <f t="shared" ca="1" si="395"/>
        <v>6.5780195109612458E-2</v>
      </c>
      <c r="QR59" s="235">
        <f t="shared" ca="1" si="396"/>
        <v>6.5780195109612458E-2</v>
      </c>
      <c r="QS59" s="242">
        <f t="shared" ca="1" si="397"/>
        <v>6.5780195109612458E-2</v>
      </c>
      <c r="QT59" s="241">
        <f t="shared" ca="1" si="805"/>
        <v>1</v>
      </c>
      <c r="QU59" s="220">
        <f t="shared" ca="1" si="735"/>
        <v>0.71393414380833176</v>
      </c>
      <c r="QV59" s="220">
        <f t="shared" ca="1" si="736"/>
        <v>0</v>
      </c>
      <c r="QW59" s="235">
        <f t="shared" ca="1" si="400"/>
        <v>6.2071653887543876E-2</v>
      </c>
      <c r="QX59" s="235">
        <f t="shared" ca="1" si="401"/>
        <v>6.2071653887543876E-2</v>
      </c>
      <c r="QY59" s="242">
        <f t="shared" ca="1" si="402"/>
        <v>6.2071653887543876E-2</v>
      </c>
      <c r="QZ59" s="241">
        <f t="shared" ca="1" si="805"/>
        <v>1</v>
      </c>
      <c r="RA59" s="220">
        <f t="shared" ca="1" si="737"/>
        <v>0.69574167395580788</v>
      </c>
      <c r="RB59" s="220">
        <f t="shared" ca="1" si="738"/>
        <v>0</v>
      </c>
      <c r="RC59" s="235">
        <f t="shared" ca="1" si="405"/>
        <v>5.8444390341238162E-2</v>
      </c>
      <c r="RD59" s="235">
        <f t="shared" ca="1" si="406"/>
        <v>5.8444390341238162E-2</v>
      </c>
      <c r="RE59" s="242">
        <f t="shared" ca="1" si="407"/>
        <v>5.8444390341238162E-2</v>
      </c>
      <c r="RF59" s="241">
        <f t="shared" ca="1" si="805"/>
        <v>1</v>
      </c>
      <c r="RG59" s="220">
        <f t="shared" ca="1" si="739"/>
        <v>0.67640422986988014</v>
      </c>
      <c r="RH59" s="220">
        <f t="shared" ca="1" si="740"/>
        <v>0</v>
      </c>
      <c r="RI59" s="235">
        <f t="shared" ca="1" si="410"/>
        <v>5.4898538121829751E-2</v>
      </c>
      <c r="RJ59" s="235">
        <f t="shared" ca="1" si="411"/>
        <v>5.4898538121829751E-2</v>
      </c>
      <c r="RK59" s="242">
        <f t="shared" ca="1" si="412"/>
        <v>5.4898538121829751E-2</v>
      </c>
      <c r="RL59" s="241">
        <f t="shared" ca="1" si="805"/>
        <v>1</v>
      </c>
      <c r="RM59" s="220">
        <f t="shared" ca="1" si="741"/>
        <v>0.65592135698096043</v>
      </c>
      <c r="RN59" s="220">
        <f t="shared" ca="1" si="742"/>
        <v>0</v>
      </c>
      <c r="RO59" s="235">
        <f t="shared" ca="1" si="415"/>
        <v>5.1435845981086484E-2</v>
      </c>
      <c r="RP59" s="235">
        <f t="shared" ca="1" si="416"/>
        <v>5.1435845981086484E-2</v>
      </c>
      <c r="RQ59" s="242">
        <f t="shared" ca="1" si="417"/>
        <v>5.1435845981086484E-2</v>
      </c>
      <c r="RR59" s="241">
        <f t="shared" ca="1" si="805"/>
        <v>1</v>
      </c>
      <c r="RS59" s="220">
        <f t="shared" ca="1" si="743"/>
        <v>0.63426152193073515</v>
      </c>
      <c r="RT59" s="220">
        <f t="shared" ca="1" si="744"/>
        <v>0</v>
      </c>
      <c r="RU59" s="235">
        <f t="shared" ca="1" si="420"/>
        <v>4.8055392729564286E-2</v>
      </c>
      <c r="RV59" s="235">
        <f t="shared" ca="1" si="421"/>
        <v>4.8055392729564286E-2</v>
      </c>
      <c r="RW59" s="242">
        <f t="shared" ca="1" si="422"/>
        <v>4.8055392729564286E-2</v>
      </c>
      <c r="RX59" s="241">
        <f t="shared" ca="1" si="805"/>
        <v>1</v>
      </c>
      <c r="RY59" s="220">
        <f t="shared" ca="1" si="745"/>
        <v>0.61130062057532053</v>
      </c>
      <c r="RZ59" s="220">
        <f t="shared" ca="1" si="746"/>
        <v>0</v>
      </c>
      <c r="SA59" s="235">
        <f t="shared" ca="1" si="425"/>
        <v>4.4749506722088245E-2</v>
      </c>
      <c r="SB59" s="235">
        <f t="shared" ca="1" si="426"/>
        <v>4.4749506722088245E-2</v>
      </c>
      <c r="SC59" s="242">
        <f t="shared" ca="1" si="427"/>
        <v>4.4749506722088245E-2</v>
      </c>
      <c r="SD59" s="241">
        <f t="shared" ca="1" si="799"/>
        <v>1</v>
      </c>
      <c r="SE59" s="220">
        <f t="shared" ca="1" si="747"/>
        <v>0.58693540044042947</v>
      </c>
      <c r="SF59" s="220">
        <f t="shared" ca="1" si="748"/>
        <v>0</v>
      </c>
      <c r="SG59" s="235">
        <f t="shared" ca="1" si="430"/>
        <v>4.1512928389525854E-2</v>
      </c>
      <c r="SH59" s="235">
        <f t="shared" ca="1" si="431"/>
        <v>4.1512928389525854E-2</v>
      </c>
      <c r="SI59" s="242">
        <f t="shared" ca="1" si="432"/>
        <v>4.1512928389525854E-2</v>
      </c>
      <c r="SJ59" s="241">
        <f t="shared" ca="1" si="799"/>
        <v>1</v>
      </c>
      <c r="SK59" s="220">
        <f t="shared" ca="1" si="749"/>
        <v>0.56117421877969853</v>
      </c>
      <c r="SL59" s="220">
        <f t="shared" ca="1" si="750"/>
        <v>0</v>
      </c>
      <c r="SM59" s="235">
        <f t="shared" ca="1" si="435"/>
        <v>3.8348680627614658E-2</v>
      </c>
      <c r="SN59" s="235">
        <f t="shared" ca="1" si="436"/>
        <v>3.8348680627614658E-2</v>
      </c>
      <c r="SO59" s="242">
        <f t="shared" ca="1" si="437"/>
        <v>3.8348680627614658E-2</v>
      </c>
      <c r="SP59" s="241">
        <f t="shared" ca="1" si="808"/>
        <v>1</v>
      </c>
      <c r="SQ59" s="220">
        <f t="shared" ca="1" si="751"/>
        <v>0.5340633310962325</v>
      </c>
      <c r="SR59" s="220">
        <f t="shared" ca="1" si="752"/>
        <v>0</v>
      </c>
      <c r="SS59" s="235">
        <f t="shared" ca="1" si="440"/>
        <v>3.5261852674216394E-2</v>
      </c>
      <c r="ST59" s="235">
        <f t="shared" ca="1" si="441"/>
        <v>3.5261852674216394E-2</v>
      </c>
      <c r="SU59" s="242">
        <f t="shared" ca="1" si="442"/>
        <v>3.5261852674216394E-2</v>
      </c>
      <c r="SV59" s="241">
        <f t="shared" ca="1" si="808"/>
        <v>1</v>
      </c>
      <c r="SW59" s="220">
        <f t="shared" ca="1" si="753"/>
        <v>0.50563620810864218</v>
      </c>
      <c r="SX59" s="220">
        <f t="shared" ca="1" si="754"/>
        <v>0</v>
      </c>
      <c r="SY59" s="235">
        <f t="shared" ca="1" si="446"/>
        <v>3.2255975632920972E-2</v>
      </c>
      <c r="SZ59" s="235">
        <f t="shared" ca="1" si="447"/>
        <v>3.2255975632920972E-2</v>
      </c>
      <c r="TA59" s="242">
        <f t="shared" ca="1" si="448"/>
        <v>3.2255975632920972E-2</v>
      </c>
      <c r="TB59" s="241">
        <f t="shared" ca="1" si="808"/>
        <v>1</v>
      </c>
      <c r="TC59" s="220">
        <f t="shared" ca="1" si="755"/>
        <v>0.47585575235966748</v>
      </c>
      <c r="TD59" s="220">
        <f t="shared" ca="1" si="756"/>
        <v>0</v>
      </c>
      <c r="TE59" s="235">
        <f t="shared" ca="1" si="451"/>
        <v>2.9329657426153458E-2</v>
      </c>
      <c r="TF59" s="235">
        <f t="shared" ca="1" si="452"/>
        <v>2.9329657426153458E-2</v>
      </c>
      <c r="TG59" s="242">
        <f t="shared" ca="1" si="453"/>
        <v>2.9329657426153458E-2</v>
      </c>
      <c r="TH59" s="241">
        <f t="shared" ca="1" si="808"/>
        <v>1</v>
      </c>
      <c r="TI59" s="220">
        <f t="shared" ca="1" si="757"/>
        <v>0.4447514411066778</v>
      </c>
      <c r="TJ59" s="220">
        <f t="shared" ca="1" si="758"/>
        <v>0</v>
      </c>
      <c r="TK59" s="235">
        <f t="shared" ca="1" si="456"/>
        <v>2.6485530790814431E-2</v>
      </c>
      <c r="TL59" s="235">
        <f t="shared" ca="1" si="457"/>
        <v>2.6485530790814431E-2</v>
      </c>
      <c r="TM59" s="242">
        <f t="shared" ca="1" si="458"/>
        <v>2.6485530790814431E-2</v>
      </c>
      <c r="TN59" s="241">
        <f t="shared" ca="1" si="808"/>
        <v>1</v>
      </c>
      <c r="TO59" s="220">
        <f t="shared" ca="1" si="759"/>
        <v>0.41251096438941365</v>
      </c>
      <c r="TP59" s="220">
        <f t="shared" ca="1" si="760"/>
        <v>0</v>
      </c>
      <c r="TQ59" s="235">
        <f t="shared" ca="1" si="461"/>
        <v>2.3734848481408222E-2</v>
      </c>
      <c r="TR59" s="235">
        <f t="shared" ca="1" si="462"/>
        <v>2.3734848481408222E-2</v>
      </c>
      <c r="TS59" s="242">
        <f t="shared" ca="1" si="463"/>
        <v>2.3734848481408222E-2</v>
      </c>
      <c r="TT59" s="241">
        <f t="shared" ca="1" si="808"/>
        <v>1</v>
      </c>
      <c r="TU59" s="220">
        <f t="shared" ca="1" si="761"/>
        <v>0.37939128408051637</v>
      </c>
      <c r="TV59" s="220">
        <f t="shared" ca="1" si="762"/>
        <v>0</v>
      </c>
      <c r="TW59" s="235">
        <f t="shared" ca="1" si="466"/>
        <v>2.1091038615007652E-2</v>
      </c>
      <c r="TX59" s="235">
        <f t="shared" ca="1" si="467"/>
        <v>2.1091038615007652E-2</v>
      </c>
      <c r="TY59" s="242">
        <f t="shared" ca="1" si="468"/>
        <v>2.1091038615007652E-2</v>
      </c>
      <c r="TZ59" s="241">
        <f t="shared" ca="1" si="808"/>
        <v>1</v>
      </c>
      <c r="UA59" s="220">
        <f t="shared" ca="1" si="763"/>
        <v>0.34565732866521315</v>
      </c>
      <c r="UB59" s="220">
        <f t="shared" ca="1" si="764"/>
        <v>0</v>
      </c>
      <c r="UC59" s="235">
        <f t="shared" ca="1" si="471"/>
        <v>1.8565901280691431E-2</v>
      </c>
      <c r="UD59" s="235">
        <f t="shared" ca="1" si="472"/>
        <v>1.8565901280691431E-2</v>
      </c>
      <c r="UE59" s="242">
        <f t="shared" ca="1" si="473"/>
        <v>1.8565901280691431E-2</v>
      </c>
      <c r="UF59" s="241">
        <f t="shared" ca="1" si="808"/>
        <v>1</v>
      </c>
      <c r="UG59" s="220">
        <f t="shared" ca="1" si="765"/>
        <v>0.31158381183471112</v>
      </c>
      <c r="UH59" s="220">
        <f t="shared" ca="1" si="766"/>
        <v>0</v>
      </c>
      <c r="UI59" s="235">
        <f t="shared" ca="1" si="476"/>
        <v>1.6169805793281151E-2</v>
      </c>
      <c r="UJ59" s="235">
        <f t="shared" ca="1" si="477"/>
        <v>1.6169805793281151E-2</v>
      </c>
      <c r="UK59" s="242">
        <f t="shared" ca="1" si="478"/>
        <v>1.6169805793281151E-2</v>
      </c>
      <c r="UL59" s="241">
        <f t="shared" ca="1" si="808"/>
        <v>1</v>
      </c>
      <c r="UM59" s="220">
        <f t="shared" ca="1" si="767"/>
        <v>0.27748470263514402</v>
      </c>
      <c r="UN59" s="220">
        <f t="shared" ca="1" si="768"/>
        <v>0</v>
      </c>
      <c r="UO59" s="235">
        <f t="shared" ca="1" si="481"/>
        <v>1.3913250808575896E-2</v>
      </c>
      <c r="UP59" s="235">
        <f t="shared" ca="1" si="482"/>
        <v>1.3913250808575896E-2</v>
      </c>
      <c r="UQ59" s="242">
        <f t="shared" ca="1" si="483"/>
        <v>1.3913250808575896E-2</v>
      </c>
      <c r="UR59" s="241">
        <f t="shared" ca="1" si="808"/>
        <v>1</v>
      </c>
      <c r="US59" s="220">
        <f t="shared" ca="1" si="769"/>
        <v>0.24373729058536042</v>
      </c>
      <c r="UT59" s="220">
        <f t="shared" ca="1" si="770"/>
        <v>0</v>
      </c>
      <c r="UU59" s="235">
        <f t="shared" ca="1" si="486"/>
        <v>1.1807860056509861E-2</v>
      </c>
      <c r="UV59" s="235">
        <f t="shared" ca="1" si="487"/>
        <v>1.1807860056509861E-2</v>
      </c>
      <c r="UW59" s="242">
        <f t="shared" ca="1" si="488"/>
        <v>1.1807860056509861E-2</v>
      </c>
      <c r="UX59" s="241">
        <f t="shared" ca="1" si="808"/>
        <v>1</v>
      </c>
      <c r="UY59" s="220">
        <f t="shared" ca="1" si="771"/>
        <v>0.21078985859319374</v>
      </c>
      <c r="UZ59" s="220">
        <f t="shared" ca="1" si="772"/>
        <v>0</v>
      </c>
      <c r="VA59" s="235">
        <f t="shared" ca="1" si="491"/>
        <v>9.866396874889936E-3</v>
      </c>
      <c r="VB59" s="235">
        <f t="shared" ca="1" si="492"/>
        <v>9.866396874889936E-3</v>
      </c>
      <c r="VC59" s="242">
        <f t="shared" ca="1" si="493"/>
        <v>9.866396874889936E-3</v>
      </c>
      <c r="VD59" s="241">
        <f t="shared" ca="1" si="806"/>
        <v>1</v>
      </c>
      <c r="VE59" s="220">
        <f t="shared" ca="1" si="773"/>
        <v>0.17914840370962801</v>
      </c>
      <c r="VF59" s="220">
        <f t="shared" ca="1" si="774"/>
        <v>0</v>
      </c>
      <c r="VG59" s="235">
        <f t="shared" ca="1" si="496"/>
        <v>8.1017989433788233E-3</v>
      </c>
      <c r="VH59" s="235">
        <f t="shared" ca="1" si="497"/>
        <v>8.1017989433788233E-3</v>
      </c>
      <c r="VI59" s="242">
        <f t="shared" ca="1" si="498"/>
        <v>8.1017989433788233E-3</v>
      </c>
      <c r="VJ59" s="241">
        <f t="shared" ca="1" si="806"/>
        <v>1</v>
      </c>
      <c r="VK59" s="220">
        <f t="shared" ca="1" si="775"/>
        <v>0.14933864677755704</v>
      </c>
      <c r="VL59" s="220">
        <f t="shared" ca="1" si="776"/>
        <v>0</v>
      </c>
      <c r="VM59" s="235">
        <f t="shared" ca="1" si="502"/>
        <v>6.5252984585482295E-3</v>
      </c>
      <c r="VN59" s="235">
        <f t="shared" ca="1" si="503"/>
        <v>6.5252984585482295E-3</v>
      </c>
      <c r="VO59" s="242">
        <f t="shared" ca="1" si="504"/>
        <v>6.5252984585482295E-3</v>
      </c>
      <c r="VP59" s="241">
        <f t="shared" ca="1" si="567"/>
        <v>1</v>
      </c>
      <c r="VQ59" s="220">
        <f t="shared" ca="1" si="777"/>
        <v>0.12186078378642688</v>
      </c>
      <c r="VR59" s="220">
        <f t="shared" ca="1" si="778"/>
        <v>0</v>
      </c>
      <c r="VS59" s="235">
        <f t="shared" ca="1" si="507"/>
        <v>5.1446020464451514E-3</v>
      </c>
      <c r="VT59" s="235">
        <f t="shared" ca="1" si="508"/>
        <v>5.1446020464451514E-3</v>
      </c>
      <c r="VU59" s="242">
        <f t="shared" ca="1" si="509"/>
        <v>5.1446020464451514E-3</v>
      </c>
      <c r="VV59" s="241">
        <f t="shared" ca="1" si="578"/>
        <v>1</v>
      </c>
      <c r="VW59" s="220">
        <f t="shared" ca="1" si="779"/>
        <v>9.714071449143126E-2</v>
      </c>
      <c r="VX59" s="220">
        <f t="shared" ca="1" si="780"/>
        <v>0</v>
      </c>
      <c r="VY59" s="235">
        <f t="shared" ca="1" si="512"/>
        <v>3.9623128486120972E-3</v>
      </c>
      <c r="VZ59" s="235">
        <f t="shared" ca="1" si="513"/>
        <v>3.9623128486120972E-3</v>
      </c>
      <c r="WA59" s="242">
        <f t="shared" ca="1" si="514"/>
        <v>3.9623128486120972E-3</v>
      </c>
      <c r="WB59" s="241">
        <f t="shared" ca="1" si="578"/>
        <v>1</v>
      </c>
      <c r="WC59" s="220">
        <f t="shared" ca="1" si="781"/>
        <v>7.5486980683431834E-2</v>
      </c>
      <c r="WD59" s="220">
        <f t="shared" ca="1" si="782"/>
        <v>0</v>
      </c>
      <c r="WE59" s="235">
        <f t="shared" ca="1" si="517"/>
        <v>2.9749465982754843E-3</v>
      </c>
      <c r="WF59" s="235">
        <f t="shared" ca="1" si="518"/>
        <v>2.9749465982754843E-3</v>
      </c>
      <c r="WG59" s="242">
        <f t="shared" ca="1" si="519"/>
        <v>2.9749465982754843E-3</v>
      </c>
      <c r="WH59" s="241">
        <f t="shared" ca="1" si="578"/>
        <v>1</v>
      </c>
      <c r="WI59" s="220">
        <f t="shared" ca="1" si="783"/>
        <v>5.7061061620490225E-2</v>
      </c>
      <c r="WJ59" s="220">
        <f t="shared" ca="1" si="784"/>
        <v>0</v>
      </c>
      <c r="WK59" s="235">
        <f t="shared" ca="1" si="522"/>
        <v>2.1727342833971291E-3</v>
      </c>
      <c r="WL59" s="235">
        <f t="shared" ca="1" si="523"/>
        <v>2.1727342833971291E-3</v>
      </c>
      <c r="WM59" s="242">
        <f t="shared" ca="1" si="524"/>
        <v>2.1727342833971291E-3</v>
      </c>
      <c r="WN59" s="241">
        <f t="shared" ca="1" si="578"/>
        <v>1</v>
      </c>
      <c r="WO59" s="220">
        <f t="shared" ca="1" si="785"/>
        <v>4.1934687734452851E-2</v>
      </c>
      <c r="WP59" s="220">
        <f t="shared" ca="1" si="786"/>
        <v>0</v>
      </c>
      <c r="WQ59" s="235">
        <f t="shared" ca="1" si="527"/>
        <v>1.5427651975624165E-3</v>
      </c>
      <c r="WR59" s="235">
        <f t="shared" ca="1" si="528"/>
        <v>1.5427651975624165E-3</v>
      </c>
      <c r="WS59" s="242">
        <f t="shared" ca="1" si="529"/>
        <v>1.5427651975624165E-3</v>
      </c>
      <c r="WT59" s="241">
        <f t="shared" ca="1" si="578"/>
        <v>1</v>
      </c>
      <c r="WU59" s="220">
        <f t="shared" ca="1" si="787"/>
        <v>2.9961998908764689E-2</v>
      </c>
      <c r="WV59" s="220">
        <f t="shared" ca="1" si="788"/>
        <v>0</v>
      </c>
      <c r="WW59" s="235">
        <f t="shared" ca="1" si="532"/>
        <v>1.0650177696007403E-3</v>
      </c>
      <c r="WX59" s="235">
        <f t="shared" ca="1" si="533"/>
        <v>1.0650177696007403E-3</v>
      </c>
      <c r="WY59" s="242">
        <f t="shared" ca="1" si="534"/>
        <v>1.0650177696007403E-3</v>
      </c>
      <c r="WZ59" s="241">
        <f t="shared" ca="1" si="578"/>
        <v>1</v>
      </c>
      <c r="XA59" s="220">
        <f t="shared" ca="1" si="789"/>
        <v>2.0825806429510707E-2</v>
      </c>
      <c r="XB59" s="220">
        <f t="shared" ca="1" si="790"/>
        <v>0</v>
      </c>
      <c r="XC59" s="235">
        <f t="shared" ca="1" si="537"/>
        <v>7.1523300597822715E-4</v>
      </c>
      <c r="XD59" s="235">
        <f t="shared" ca="1" si="538"/>
        <v>7.1523300597822715E-4</v>
      </c>
      <c r="XE59" s="242">
        <f t="shared" ca="1" si="539"/>
        <v>7.1523300597822715E-4</v>
      </c>
      <c r="XF59" s="241">
        <f t="shared" ca="1" si="578"/>
        <v>1</v>
      </c>
      <c r="XG59" s="220">
        <f t="shared" ca="1" si="791"/>
        <v>1.410075784309954E-2</v>
      </c>
      <c r="XH59" s="220">
        <f t="shared" ca="1" si="792"/>
        <v>0</v>
      </c>
      <c r="XI59" s="235">
        <f t="shared" ca="1" si="542"/>
        <v>4.6789437576883483E-4</v>
      </c>
      <c r="XJ59" s="235">
        <f t="shared" ca="1" si="543"/>
        <v>4.6789437576883483E-4</v>
      </c>
      <c r="XK59" s="242">
        <f t="shared" ca="1" si="544"/>
        <v>4.6789437576883483E-4</v>
      </c>
    </row>
    <row r="60" spans="2:635" x14ac:dyDescent="0.25">
      <c r="B60" s="65">
        <f t="shared" ca="1" si="14"/>
        <v>2075</v>
      </c>
      <c r="C60" s="65" t="s">
        <v>741</v>
      </c>
      <c r="D60" s="77">
        <f t="shared" si="580"/>
        <v>0</v>
      </c>
      <c r="E60" s="77">
        <f t="shared" si="581"/>
        <v>0</v>
      </c>
      <c r="F60" s="77" t="b">
        <f t="shared" si="793"/>
        <v>0</v>
      </c>
      <c r="G60" s="77" t="b">
        <f t="shared" si="794"/>
        <v>0</v>
      </c>
      <c r="H60" s="15" t="e">
        <f t="shared" ca="1" si="582"/>
        <v>#REF!</v>
      </c>
      <c r="L60" s="326">
        <f t="shared" ca="1" si="583"/>
        <v>3.5000000000000003E-2</v>
      </c>
      <c r="M60" s="327">
        <f t="shared" ca="1" si="584"/>
        <v>3.5000000000000003E-2</v>
      </c>
      <c r="N60" s="322">
        <f t="shared" ca="1" si="579"/>
        <v>-52</v>
      </c>
      <c r="O60" s="322">
        <f t="shared" ca="1" si="585"/>
        <v>0</v>
      </c>
      <c r="P60" s="328">
        <f t="shared" ca="1" si="545"/>
        <v>26.87829936156087</v>
      </c>
      <c r="Q60" s="328">
        <f t="shared" ca="1" si="546"/>
        <v>26.87829936156087</v>
      </c>
      <c r="R60" s="328">
        <f t="shared" ca="1" si="547"/>
        <v>26.87829936156087</v>
      </c>
      <c r="S60" s="329">
        <f t="shared" ca="1" si="586"/>
        <v>3.8642415640549425E-2</v>
      </c>
      <c r="T60" s="329">
        <f t="shared" ca="1" si="587"/>
        <v>3.8642415640549425E-2</v>
      </c>
      <c r="U60" s="329">
        <f t="shared" ca="1" si="588"/>
        <v>3.8642415640549425E-2</v>
      </c>
      <c r="V60" s="320" t="e">
        <f t="shared" ca="1" si="589"/>
        <v>#REF!</v>
      </c>
      <c r="W60" s="320" t="e">
        <f t="shared" ca="1" si="560"/>
        <v>#REF!</v>
      </c>
      <c r="X60" s="320" t="e">
        <f t="shared" ca="1" si="590"/>
        <v>#REF!</v>
      </c>
      <c r="Y60" s="320" t="e">
        <f ca="1">INDEX(SC_ZA_HECMLumpSum,ZAIDX)</f>
        <v>#REF!</v>
      </c>
      <c r="Z60" s="320" t="e">
        <f t="shared" ca="1" si="591"/>
        <v>#REF!</v>
      </c>
      <c r="AA60" s="320" t="e">
        <f t="shared" ca="1" si="557"/>
        <v>#REF!</v>
      </c>
      <c r="AB60" s="320" t="e">
        <f t="shared" ca="1" si="558"/>
        <v>#REF!</v>
      </c>
      <c r="AC60" s="330" t="e">
        <f t="shared" ca="1" si="559"/>
        <v>#REF!</v>
      </c>
      <c r="AD60" s="236" t="e">
        <f t="shared" ca="1" si="548"/>
        <v>#REF!</v>
      </c>
      <c r="AE60" s="320" t="e">
        <f t="shared" ca="1" si="561"/>
        <v>#REF!</v>
      </c>
      <c r="AF60" s="320" t="e">
        <f t="shared" ca="1" si="592"/>
        <v>#REF!</v>
      </c>
      <c r="AG60" s="320" t="e">
        <f t="shared" ca="1" si="549"/>
        <v>#REF!</v>
      </c>
      <c r="AH60" s="284" t="e">
        <f t="shared" ca="1" si="550"/>
        <v>#REF!</v>
      </c>
      <c r="AI60" s="318" t="e">
        <f t="shared" ca="1" si="551"/>
        <v>#REF!</v>
      </c>
      <c r="AJ60" s="331">
        <f t="shared" ca="1" si="807"/>
        <v>1</v>
      </c>
      <c r="AK60" s="220">
        <f t="shared" ca="1" si="593"/>
        <v>1</v>
      </c>
      <c r="AL60" s="220">
        <f t="shared" ca="1" si="594"/>
        <v>0</v>
      </c>
      <c r="AM60" s="235">
        <f t="shared" ca="1" si="554"/>
        <v>1</v>
      </c>
      <c r="AN60" s="235">
        <f t="shared" ca="1" si="555"/>
        <v>1</v>
      </c>
      <c r="AO60" s="242">
        <f t="shared" ca="1" si="556"/>
        <v>1</v>
      </c>
      <c r="AP60" s="241">
        <f t="shared" ca="1" si="807"/>
        <v>1</v>
      </c>
      <c r="AQ60" s="220">
        <f t="shared" ca="1" si="595"/>
        <v>0.99361699999999997</v>
      </c>
      <c r="AR60" s="220">
        <f t="shared" ca="1" si="596"/>
        <v>0</v>
      </c>
      <c r="AS60" s="235">
        <f t="shared" ca="1" si="43"/>
        <v>0.96001642512077301</v>
      </c>
      <c r="AT60" s="235">
        <f t="shared" ca="1" si="44"/>
        <v>0.96001642512077301</v>
      </c>
      <c r="AU60" s="242">
        <f t="shared" ca="1" si="45"/>
        <v>0.96001642512077301</v>
      </c>
      <c r="AV60" s="241">
        <f t="shared" ca="1" si="807"/>
        <v>1</v>
      </c>
      <c r="AW60" s="220">
        <f t="shared" ca="1" si="597"/>
        <v>0.99316689149899995</v>
      </c>
      <c r="AX60" s="220">
        <f t="shared" ca="1" si="598"/>
        <v>0</v>
      </c>
      <c r="AY60" s="235">
        <f t="shared" ca="1" si="48"/>
        <v>0.92713192046395487</v>
      </c>
      <c r="AZ60" s="235">
        <f t="shared" ca="1" si="49"/>
        <v>0.92713192046395487</v>
      </c>
      <c r="BA60" s="242">
        <f t="shared" ca="1" si="50"/>
        <v>0.92713192046395487</v>
      </c>
      <c r="BB60" s="241">
        <f t="shared" ca="1" si="807"/>
        <v>1</v>
      </c>
      <c r="BC60" s="220">
        <f t="shared" ca="1" si="599"/>
        <v>0.99288681843559723</v>
      </c>
      <c r="BD60" s="220">
        <f t="shared" ca="1" si="600"/>
        <v>0</v>
      </c>
      <c r="BE60" s="235">
        <f t="shared" ca="1" si="54"/>
        <v>0.89552702344191704</v>
      </c>
      <c r="BF60" s="235">
        <f t="shared" ca="1" si="55"/>
        <v>0.89552702344191704</v>
      </c>
      <c r="BG60" s="242">
        <f t="shared" ca="1" si="56"/>
        <v>0.89552702344191704</v>
      </c>
      <c r="BH60" s="241">
        <f t="shared" ca="1" si="807"/>
        <v>1</v>
      </c>
      <c r="BI60" s="220">
        <f t="shared" ca="1" si="601"/>
        <v>0.99265845446735712</v>
      </c>
      <c r="BJ60" s="220">
        <f t="shared" ca="1" si="602"/>
        <v>0</v>
      </c>
      <c r="BK60" s="235">
        <f t="shared" ca="1" si="59"/>
        <v>0.86504449490485558</v>
      </c>
      <c r="BL60" s="235">
        <f t="shared" ca="1" si="60"/>
        <v>0.86504449490485558</v>
      </c>
      <c r="BM60" s="242">
        <f t="shared" ca="1" si="61"/>
        <v>0.86504449490485558</v>
      </c>
      <c r="BN60" s="241">
        <f t="shared" ca="1" si="807"/>
        <v>1</v>
      </c>
      <c r="BO60" s="220">
        <f t="shared" ca="1" si="603"/>
        <v>0.99249069518855215</v>
      </c>
      <c r="BP60" s="220">
        <f t="shared" ca="1" si="604"/>
        <v>0</v>
      </c>
      <c r="BQ60" s="235">
        <f t="shared" ca="1" si="64"/>
        <v>0.83565053370552345</v>
      </c>
      <c r="BR60" s="235">
        <f t="shared" ca="1" si="65"/>
        <v>0.83565053370552345</v>
      </c>
      <c r="BS60" s="242">
        <f t="shared" ca="1" si="66"/>
        <v>0.83565053370552345</v>
      </c>
      <c r="BT60" s="241">
        <f t="shared" ca="1" si="807"/>
        <v>1</v>
      </c>
      <c r="BU60" s="220">
        <f t="shared" ca="1" si="605"/>
        <v>0.99233685913079794</v>
      </c>
      <c r="BV60" s="220">
        <f t="shared" ca="1" si="606"/>
        <v>0</v>
      </c>
      <c r="BW60" s="235">
        <f t="shared" ca="1" si="69"/>
        <v>0.80726667427323584</v>
      </c>
      <c r="BX60" s="235">
        <f t="shared" ca="1" si="70"/>
        <v>0.80726667427323584</v>
      </c>
      <c r="BY60" s="242">
        <f t="shared" ca="1" si="71"/>
        <v>0.80726667427323584</v>
      </c>
      <c r="BZ60" s="241">
        <f t="shared" ca="1" si="807"/>
        <v>1</v>
      </c>
      <c r="CA60" s="220">
        <f t="shared" ca="1" si="607"/>
        <v>0.992192970286224</v>
      </c>
      <c r="CB60" s="220">
        <f t="shared" ca="1" si="608"/>
        <v>0</v>
      </c>
      <c r="CC60" s="235">
        <f t="shared" ca="1" si="74"/>
        <v>0.7798547058990013</v>
      </c>
      <c r="CD60" s="235">
        <f t="shared" ca="1" si="75"/>
        <v>0.7798547058990013</v>
      </c>
      <c r="CE60" s="242">
        <f t="shared" ca="1" si="76"/>
        <v>0.7798547058990013</v>
      </c>
      <c r="CF60" s="241">
        <f t="shared" ca="1" si="807"/>
        <v>1</v>
      </c>
      <c r="CG60" s="220">
        <f t="shared" ca="1" si="609"/>
        <v>0.9920590242352354</v>
      </c>
      <c r="CH60" s="220">
        <f t="shared" ca="1" si="610"/>
        <v>0</v>
      </c>
      <c r="CI60" s="235">
        <f t="shared" ca="1" si="79"/>
        <v>0.75338108745285515</v>
      </c>
      <c r="CJ60" s="235">
        <f t="shared" ca="1" si="80"/>
        <v>0.75338108745285515</v>
      </c>
      <c r="CK60" s="242">
        <f t="shared" ca="1" si="81"/>
        <v>0.75338108745285515</v>
      </c>
      <c r="CL60" s="241">
        <f t="shared" ca="1" si="807"/>
        <v>1</v>
      </c>
      <c r="CM60" s="220">
        <f t="shared" ca="1" si="611"/>
        <v>0.99193997715232718</v>
      </c>
      <c r="CN60" s="220">
        <f t="shared" ca="1" si="612"/>
        <v>0</v>
      </c>
      <c r="CO60" s="235">
        <f t="shared" ca="1" si="84"/>
        <v>0.72781708378972065</v>
      </c>
      <c r="CP60" s="235">
        <f t="shared" ca="1" si="85"/>
        <v>0.72781708378972065</v>
      </c>
      <c r="CQ60" s="242">
        <f t="shared" ca="1" si="86"/>
        <v>0.72781708378972065</v>
      </c>
      <c r="CR60" s="241">
        <f t="shared" ca="1" si="807"/>
        <v>1</v>
      </c>
      <c r="CS60" s="220">
        <f t="shared" ca="1" si="613"/>
        <v>0.99183582345472621</v>
      </c>
      <c r="CT60" s="220">
        <f t="shared" ca="1" si="614"/>
        <v>0</v>
      </c>
      <c r="CU60" s="235">
        <f t="shared" ca="1" si="89"/>
        <v>0.70313107535837949</v>
      </c>
      <c r="CV60" s="235">
        <f t="shared" ca="1" si="90"/>
        <v>0.70313107535837949</v>
      </c>
      <c r="CW60" s="242">
        <f t="shared" ca="1" si="91"/>
        <v>0.70313107535837949</v>
      </c>
      <c r="CX60" s="241">
        <f t="shared" ca="1" si="800"/>
        <v>1</v>
      </c>
      <c r="CY60" s="220">
        <f t="shared" ca="1" si="615"/>
        <v>0.99174259088732142</v>
      </c>
      <c r="CZ60" s="220">
        <f t="shared" ca="1" si="616"/>
        <v>0</v>
      </c>
      <c r="DA60" s="235">
        <f t="shared" ca="1" si="94"/>
        <v>0.6792898367510104</v>
      </c>
      <c r="DB60" s="235">
        <f t="shared" ca="1" si="95"/>
        <v>0.6792898367510104</v>
      </c>
      <c r="DC60" s="242">
        <f t="shared" ca="1" si="96"/>
        <v>0.6792898367510104</v>
      </c>
      <c r="DD60" s="241">
        <f t="shared" ca="1" si="800"/>
        <v>1</v>
      </c>
      <c r="DE60" s="220">
        <f t="shared" ca="1" si="617"/>
        <v>0.99164440837082357</v>
      </c>
      <c r="DF60" s="220">
        <f t="shared" ca="1" si="618"/>
        <v>0</v>
      </c>
      <c r="DG60" s="235">
        <f t="shared" ca="1" si="99"/>
        <v>0.65625370730161559</v>
      </c>
      <c r="DH60" s="235">
        <f t="shared" ca="1" si="100"/>
        <v>0.65625370730161559</v>
      </c>
      <c r="DI60" s="242">
        <f t="shared" ca="1" si="101"/>
        <v>0.65625370730161559</v>
      </c>
      <c r="DJ60" s="241">
        <f t="shared" ca="1" si="51"/>
        <v>1</v>
      </c>
      <c r="DK60" s="220">
        <f t="shared" ca="1" si="619"/>
        <v>0.9915115280201019</v>
      </c>
      <c r="DL60" s="220">
        <f t="shared" ca="1" si="620"/>
        <v>0</v>
      </c>
      <c r="DM60" s="235">
        <f t="shared" ca="1" si="104"/>
        <v>0.63397658870032592</v>
      </c>
      <c r="DN60" s="235">
        <f t="shared" ca="1" si="105"/>
        <v>0.63397658870032592</v>
      </c>
      <c r="DO60" s="242">
        <f t="shared" ca="1" si="106"/>
        <v>0.63397658870032592</v>
      </c>
      <c r="DP60" s="241">
        <f t="shared" ca="1" si="801"/>
        <v>1</v>
      </c>
      <c r="DQ60" s="220">
        <f t="shared" ca="1" si="621"/>
        <v>0.99130628513380181</v>
      </c>
      <c r="DR60" s="220">
        <f t="shared" ca="1" si="622"/>
        <v>0</v>
      </c>
      <c r="DS60" s="235">
        <f t="shared" ca="1" si="110"/>
        <v>0.61241097154247814</v>
      </c>
      <c r="DT60" s="235">
        <f t="shared" ca="1" si="111"/>
        <v>0.61241097154247814</v>
      </c>
      <c r="DU60" s="242">
        <f t="shared" ca="1" si="112"/>
        <v>0.61241097154247814</v>
      </c>
      <c r="DV60" s="241">
        <f t="shared" ca="1" si="801"/>
        <v>1</v>
      </c>
      <c r="DW60" s="220">
        <f t="shared" ca="1" si="623"/>
        <v>0.9909999714916955</v>
      </c>
      <c r="DX60" s="220">
        <f t="shared" ca="1" si="624"/>
        <v>0</v>
      </c>
      <c r="DY60" s="235">
        <f t="shared" ca="1" si="115"/>
        <v>0.59151858604084218</v>
      </c>
      <c r="DZ60" s="235">
        <f t="shared" ca="1" si="116"/>
        <v>0.59151858604084218</v>
      </c>
      <c r="EA60" s="242">
        <f t="shared" ca="1" si="117"/>
        <v>0.59151858604084218</v>
      </c>
      <c r="EB60" s="241">
        <f t="shared" ca="1" si="801"/>
        <v>1</v>
      </c>
      <c r="EC60" s="220">
        <f t="shared" ca="1" si="625"/>
        <v>0.99058474250364048</v>
      </c>
      <c r="ED60" s="220">
        <f t="shared" ca="1" si="626"/>
        <v>0</v>
      </c>
      <c r="EE60" s="235">
        <f t="shared" ca="1" si="120"/>
        <v>0.57127607705632</v>
      </c>
      <c r="EF60" s="235">
        <f t="shared" ca="1" si="121"/>
        <v>0.57127607705632</v>
      </c>
      <c r="EG60" s="242">
        <f t="shared" ca="1" si="122"/>
        <v>0.57127607705632</v>
      </c>
      <c r="EH60" s="241">
        <f t="shared" ca="1" si="801"/>
        <v>1</v>
      </c>
      <c r="EI60" s="220">
        <f t="shared" ca="1" si="627"/>
        <v>0.99005973259011348</v>
      </c>
      <c r="EJ60" s="220">
        <f t="shared" ca="1" si="628"/>
        <v>0</v>
      </c>
      <c r="EK60" s="235">
        <f t="shared" ca="1" si="125"/>
        <v>0.55166502486519819</v>
      </c>
      <c r="EL60" s="235">
        <f t="shared" ca="1" si="126"/>
        <v>0.55166502486519819</v>
      </c>
      <c r="EM60" s="242">
        <f t="shared" ca="1" si="127"/>
        <v>0.55166502486519819</v>
      </c>
      <c r="EN60" s="241">
        <f t="shared" ca="1" si="801"/>
        <v>1</v>
      </c>
      <c r="EO60" s="220">
        <f t="shared" ca="1" si="629"/>
        <v>0.98941124346526699</v>
      </c>
      <c r="EP60" s="220">
        <f t="shared" ca="1" si="630"/>
        <v>0</v>
      </c>
      <c r="EQ60" s="235">
        <f t="shared" ca="1" si="130"/>
        <v>0.53266056451585653</v>
      </c>
      <c r="ER60" s="235">
        <f t="shared" ca="1" si="131"/>
        <v>0.53266056451585653</v>
      </c>
      <c r="ES60" s="242">
        <f t="shared" ca="1" si="132"/>
        <v>0.53266056451585653</v>
      </c>
      <c r="ET60" s="241">
        <f t="shared" ca="1" si="801"/>
        <v>1</v>
      </c>
      <c r="EU60" s="220">
        <f t="shared" ca="1" si="631"/>
        <v>0.98862861917168599</v>
      </c>
      <c r="EV60" s="220">
        <f t="shared" ca="1" si="632"/>
        <v>0</v>
      </c>
      <c r="EW60" s="235">
        <f t="shared" ca="1" si="135"/>
        <v>0.51424080194137645</v>
      </c>
      <c r="EX60" s="235">
        <f t="shared" ca="1" si="136"/>
        <v>0.51424080194137645</v>
      </c>
      <c r="EY60" s="242">
        <f t="shared" ca="1" si="137"/>
        <v>0.51424080194137645</v>
      </c>
      <c r="EZ60" s="241">
        <f t="shared" ca="1" si="801"/>
        <v>1</v>
      </c>
      <c r="FA60" s="220">
        <f t="shared" ca="1" si="633"/>
        <v>0.98770524004137961</v>
      </c>
      <c r="FB60" s="220">
        <f t="shared" ca="1" si="634"/>
        <v>0</v>
      </c>
      <c r="FC60" s="235">
        <f t="shared" ca="1" si="140"/>
        <v>0.49638695751919149</v>
      </c>
      <c r="FD60" s="235">
        <f t="shared" ca="1" si="141"/>
        <v>0.49638695751919149</v>
      </c>
      <c r="FE60" s="242">
        <f t="shared" ca="1" si="142"/>
        <v>0.49638695751919149</v>
      </c>
      <c r="FF60" s="241">
        <f t="shared" ca="1" si="801"/>
        <v>1</v>
      </c>
      <c r="FG60" s="220">
        <f t="shared" ca="1" si="635"/>
        <v>0.98663357985593469</v>
      </c>
      <c r="FH60" s="220">
        <f t="shared" ca="1" si="636"/>
        <v>0</v>
      </c>
      <c r="FI60" s="235">
        <f t="shared" ca="1" si="145"/>
        <v>0.4790805581355394</v>
      </c>
      <c r="FJ60" s="235">
        <f t="shared" ca="1" si="146"/>
        <v>0.4790805581355394</v>
      </c>
      <c r="FK60" s="242">
        <f t="shared" ca="1" si="147"/>
        <v>0.4790805581355394</v>
      </c>
      <c r="FL60" s="241">
        <f t="shared" ca="1" si="801"/>
        <v>1</v>
      </c>
      <c r="FM60" s="220">
        <f t="shared" ca="1" si="637"/>
        <v>0.98542199381987161</v>
      </c>
      <c r="FN60" s="220">
        <f t="shared" ca="1" si="638"/>
        <v>0</v>
      </c>
      <c r="FO60" s="235">
        <f t="shared" ca="1" si="150"/>
        <v>0.46231134996149653</v>
      </c>
      <c r="FP60" s="235">
        <f t="shared" ca="1" si="151"/>
        <v>0.46231134996149653</v>
      </c>
      <c r="FQ60" s="242">
        <f t="shared" ca="1" si="152"/>
        <v>0.46231134996149653</v>
      </c>
      <c r="FR60" s="241">
        <f t="shared" ca="1" si="801"/>
        <v>1</v>
      </c>
      <c r="FS60" s="220">
        <f t="shared" ca="1" si="639"/>
        <v>0.98410251377014679</v>
      </c>
      <c r="FT60" s="220">
        <f t="shared" ca="1" si="640"/>
        <v>0</v>
      </c>
      <c r="FU60" s="235">
        <f t="shared" ca="1" si="155"/>
        <v>0.44607953146270346</v>
      </c>
      <c r="FV60" s="235">
        <f t="shared" ca="1" si="156"/>
        <v>0.44607953146270346</v>
      </c>
      <c r="FW60" s="242">
        <f t="shared" ca="1" si="157"/>
        <v>0.44607953146270346</v>
      </c>
      <c r="FX60" s="241">
        <f t="shared" ca="1" si="801"/>
        <v>1</v>
      </c>
      <c r="FY60" s="220">
        <f t="shared" ca="1" si="641"/>
        <v>0.98272181794332725</v>
      </c>
      <c r="FZ60" s="220">
        <f t="shared" ca="1" si="642"/>
        <v>0</v>
      </c>
      <c r="GA60" s="235">
        <f t="shared" ca="1" si="160"/>
        <v>0.43039003080199167</v>
      </c>
      <c r="GB60" s="235">
        <f t="shared" ca="1" si="161"/>
        <v>0.43039003080199167</v>
      </c>
      <c r="GC60" s="242">
        <f t="shared" ca="1" si="162"/>
        <v>0.43039003080199167</v>
      </c>
      <c r="GD60" s="241">
        <f t="shared" ca="1" si="795"/>
        <v>1</v>
      </c>
      <c r="GE60" s="220">
        <f t="shared" ca="1" si="643"/>
        <v>0.98131357757821447</v>
      </c>
      <c r="GF60" s="220">
        <f t="shared" ca="1" si="644"/>
        <v>0</v>
      </c>
      <c r="GG60" s="235">
        <f t="shared" ca="1" si="166"/>
        <v>0.41523988588198307</v>
      </c>
      <c r="GH60" s="235">
        <f t="shared" ca="1" si="167"/>
        <v>0.41523988588198307</v>
      </c>
      <c r="GI60" s="242">
        <f t="shared" ca="1" si="168"/>
        <v>0.41523988588198307</v>
      </c>
      <c r="GJ60" s="241">
        <f t="shared" ca="1" si="795"/>
        <v>1</v>
      </c>
      <c r="GK60" s="220">
        <f t="shared" ca="1" si="645"/>
        <v>0.97988969157714845</v>
      </c>
      <c r="GL60" s="220">
        <f t="shared" ca="1" si="646"/>
        <v>0</v>
      </c>
      <c r="GM60" s="235">
        <f t="shared" ca="1" si="171"/>
        <v>0.40061581913774713</v>
      </c>
      <c r="GN60" s="235">
        <f t="shared" ca="1" si="172"/>
        <v>0.40061581913774713</v>
      </c>
      <c r="GO60" s="242">
        <f t="shared" ca="1" si="173"/>
        <v>0.40061581913774713</v>
      </c>
      <c r="GP60" s="241">
        <f t="shared" ca="1" si="802"/>
        <v>1</v>
      </c>
      <c r="GQ60" s="220">
        <f t="shared" ca="1" si="647"/>
        <v>0.9784443542820721</v>
      </c>
      <c r="GR60" s="220">
        <f t="shared" ca="1" si="648"/>
        <v>0</v>
      </c>
      <c r="GS60" s="235">
        <f t="shared" ca="1" si="176"/>
        <v>0.38649749836185404</v>
      </c>
      <c r="GT60" s="235">
        <f t="shared" ca="1" si="177"/>
        <v>0.38649749836185404</v>
      </c>
      <c r="GU60" s="242">
        <f t="shared" ca="1" si="178"/>
        <v>0.38649749836185404</v>
      </c>
      <c r="GV60" s="241">
        <f t="shared" ca="1" si="802"/>
        <v>1</v>
      </c>
      <c r="GW60" s="220">
        <f t="shared" ca="1" si="649"/>
        <v>0.97697473086194042</v>
      </c>
      <c r="GX60" s="220">
        <f t="shared" ca="1" si="650"/>
        <v>0</v>
      </c>
      <c r="GY60" s="235">
        <f t="shared" ca="1" si="181"/>
        <v>0.37286664649209134</v>
      </c>
      <c r="GZ60" s="235">
        <f t="shared" ca="1" si="182"/>
        <v>0.37286664649209134</v>
      </c>
      <c r="HA60" s="242">
        <f t="shared" ca="1" si="183"/>
        <v>0.37286664649209134</v>
      </c>
      <c r="HB60" s="241">
        <f t="shared" ca="1" si="802"/>
        <v>1</v>
      </c>
      <c r="HC60" s="220">
        <f t="shared" ca="1" si="651"/>
        <v>0.97547214372587476</v>
      </c>
      <c r="HD60" s="220">
        <f t="shared" ca="1" si="652"/>
        <v>0</v>
      </c>
      <c r="HE60" s="235">
        <f t="shared" ca="1" si="186"/>
        <v>0.35970355322684694</v>
      </c>
      <c r="HF60" s="235">
        <f t="shared" ca="1" si="187"/>
        <v>0.35970355322684694</v>
      </c>
      <c r="HG60" s="242">
        <f t="shared" ca="1" si="188"/>
        <v>0.35970355322684694</v>
      </c>
      <c r="HH60" s="241">
        <f t="shared" ca="1" si="802"/>
        <v>1</v>
      </c>
      <c r="HI60" s="220">
        <f t="shared" ca="1" si="653"/>
        <v>0.9739299222666441</v>
      </c>
      <c r="HJ60" s="220">
        <f t="shared" ca="1" si="654"/>
        <v>0</v>
      </c>
      <c r="HK60" s="235">
        <f t="shared" ca="1" si="191"/>
        <v>0.34699020474318382</v>
      </c>
      <c r="HL60" s="235">
        <f t="shared" ca="1" si="192"/>
        <v>0.34699020474318382</v>
      </c>
      <c r="HM60" s="242">
        <f t="shared" ca="1" si="193"/>
        <v>0.34699020474318382</v>
      </c>
      <c r="HN60" s="241">
        <f t="shared" ca="1" si="802"/>
        <v>1</v>
      </c>
      <c r="HO60" s="220">
        <f t="shared" ca="1" si="655"/>
        <v>0.97234631221303847</v>
      </c>
      <c r="HP60" s="220">
        <f t="shared" ca="1" si="656"/>
        <v>0</v>
      </c>
      <c r="HQ60" s="235">
        <f t="shared" ca="1" si="196"/>
        <v>0.33471110982634922</v>
      </c>
      <c r="HR60" s="235">
        <f t="shared" ca="1" si="197"/>
        <v>0.33471110982634922</v>
      </c>
      <c r="HS60" s="242">
        <f t="shared" ca="1" si="198"/>
        <v>0.33471110982634922</v>
      </c>
      <c r="HT60" s="241">
        <f t="shared" ca="1" si="802"/>
        <v>1</v>
      </c>
      <c r="HU60" s="220">
        <f t="shared" ca="1" si="657"/>
        <v>0.97072346621795491</v>
      </c>
      <c r="HV60" s="220">
        <f t="shared" ca="1" si="658"/>
        <v>0</v>
      </c>
      <c r="HW60" s="235">
        <f t="shared" ca="1" si="201"/>
        <v>0.32285263476719722</v>
      </c>
      <c r="HX60" s="235">
        <f t="shared" ca="1" si="202"/>
        <v>0.32285263476719722</v>
      </c>
      <c r="HY60" s="242">
        <f t="shared" ca="1" si="203"/>
        <v>0.32285263476719722</v>
      </c>
      <c r="HZ60" s="241">
        <f t="shared" ca="1" si="802"/>
        <v>1</v>
      </c>
      <c r="IA60" s="220">
        <f t="shared" ca="1" si="659"/>
        <v>0.96906158764378969</v>
      </c>
      <c r="IB60" s="220">
        <f t="shared" ca="1" si="660"/>
        <v>0</v>
      </c>
      <c r="IC60" s="235">
        <f t="shared" ca="1" si="206"/>
        <v>0.31140088024780266</v>
      </c>
      <c r="ID60" s="235">
        <f t="shared" ca="1" si="207"/>
        <v>0.31140088024780266</v>
      </c>
      <c r="IE60" s="242">
        <f t="shared" ca="1" si="208"/>
        <v>0.31140088024780266</v>
      </c>
      <c r="IF60" s="241">
        <f t="shared" ca="1" si="802"/>
        <v>1</v>
      </c>
      <c r="IG60" s="220">
        <f t="shared" ca="1" si="661"/>
        <v>0.96736088455747493</v>
      </c>
      <c r="IH60" s="220">
        <f t="shared" ca="1" si="662"/>
        <v>0</v>
      </c>
      <c r="II60" s="235">
        <f t="shared" ca="1" si="211"/>
        <v>0.30034238811880948</v>
      </c>
      <c r="IJ60" s="235">
        <f t="shared" ca="1" si="212"/>
        <v>0.30034238811880948</v>
      </c>
      <c r="IK60" s="242">
        <f t="shared" ca="1" si="213"/>
        <v>0.30034238811880948</v>
      </c>
      <c r="IL60" s="241">
        <f t="shared" ca="1" si="802"/>
        <v>1</v>
      </c>
      <c r="IM60" s="220">
        <f t="shared" ca="1" si="663"/>
        <v>0.96561963496527148</v>
      </c>
      <c r="IN60" s="220">
        <f t="shared" ca="1" si="664"/>
        <v>0</v>
      </c>
      <c r="IO60" s="235">
        <f t="shared" ca="1" si="216"/>
        <v>0.28966354765236296</v>
      </c>
      <c r="IP60" s="235">
        <f t="shared" ca="1" si="217"/>
        <v>0.28966354765236296</v>
      </c>
      <c r="IQ60" s="242">
        <f t="shared" ca="1" si="218"/>
        <v>0.28966354765236296</v>
      </c>
      <c r="IR60" s="241">
        <f t="shared" ca="1" si="802"/>
        <v>1</v>
      </c>
      <c r="IS60" s="220">
        <f t="shared" ca="1" si="665"/>
        <v>0.96382841054241086</v>
      </c>
      <c r="IT60" s="220">
        <f t="shared" ca="1" si="666"/>
        <v>0</v>
      </c>
      <c r="IU60" s="235">
        <f t="shared" ca="1" si="222"/>
        <v>0.27934900654248102</v>
      </c>
      <c r="IV60" s="235">
        <f t="shared" ca="1" si="223"/>
        <v>0.27934900654248102</v>
      </c>
      <c r="IW60" s="242">
        <f t="shared" ca="1" si="224"/>
        <v>0.27934900654248102</v>
      </c>
      <c r="IX60" s="241">
        <f t="shared" ca="1" si="802"/>
        <v>1</v>
      </c>
      <c r="IY60" s="220">
        <f t="shared" ca="1" si="667"/>
        <v>0.9619778599941694</v>
      </c>
      <c r="IZ60" s="220">
        <f t="shared" ca="1" si="668"/>
        <v>0</v>
      </c>
      <c r="JA60" s="235">
        <f t="shared" ca="1" si="227"/>
        <v>0.26938420913035699</v>
      </c>
      <c r="JB60" s="235">
        <f t="shared" ca="1" si="228"/>
        <v>0.26938420913035699</v>
      </c>
      <c r="JC60" s="242">
        <f t="shared" ca="1" si="229"/>
        <v>0.26938420913035699</v>
      </c>
      <c r="JD60" s="241">
        <f t="shared" ca="1" si="796"/>
        <v>1</v>
      </c>
      <c r="JE60" s="220">
        <f t="shared" ca="1" si="669"/>
        <v>0.96006544800850102</v>
      </c>
      <c r="JF60" s="220">
        <f t="shared" ca="1" si="670"/>
        <v>0</v>
      </c>
      <c r="JG60" s="235">
        <f t="shared" ca="1" si="232"/>
        <v>0.25975717229237277</v>
      </c>
      <c r="JH60" s="235">
        <f t="shared" ca="1" si="233"/>
        <v>0.25975717229237277</v>
      </c>
      <c r="JI60" s="242">
        <f t="shared" ca="1" si="234"/>
        <v>0.25975717229237277</v>
      </c>
      <c r="JJ60" s="241">
        <f t="shared" ca="1" si="796"/>
        <v>1</v>
      </c>
      <c r="JK60" s="220">
        <f t="shared" ca="1" si="671"/>
        <v>0.9580877131856036</v>
      </c>
      <c r="JL60" s="220">
        <f t="shared" ca="1" si="672"/>
        <v>0</v>
      </c>
      <c r="JM60" s="235">
        <f t="shared" ca="1" si="237"/>
        <v>0.25045610871251262</v>
      </c>
      <c r="JN60" s="235">
        <f t="shared" ca="1" si="238"/>
        <v>0.25045610871251262</v>
      </c>
      <c r="JO60" s="242">
        <f t="shared" ca="1" si="239"/>
        <v>0.25045610871251262</v>
      </c>
      <c r="JP60" s="241">
        <f t="shared" ca="1" si="803"/>
        <v>1</v>
      </c>
      <c r="JQ60" s="220">
        <f t="shared" ca="1" si="673"/>
        <v>0.95603644739167326</v>
      </c>
      <c r="JR60" s="220">
        <f t="shared" ca="1" si="674"/>
        <v>0</v>
      </c>
      <c r="JS60" s="235">
        <f t="shared" ca="1" si="242"/>
        <v>0.24146848520169967</v>
      </c>
      <c r="JT60" s="235">
        <f t="shared" ca="1" si="243"/>
        <v>0.24146848520169967</v>
      </c>
      <c r="JU60" s="242">
        <f t="shared" ca="1" si="244"/>
        <v>0.24146848520169967</v>
      </c>
      <c r="JV60" s="241">
        <f t="shared" ca="1" si="803"/>
        <v>1</v>
      </c>
      <c r="JW60" s="220">
        <f t="shared" ca="1" si="675"/>
        <v>0.95389492574951584</v>
      </c>
      <c r="JX60" s="220">
        <f t="shared" ca="1" si="676"/>
        <v>0</v>
      </c>
      <c r="JY60" s="235">
        <f t="shared" ca="1" si="247"/>
        <v>0.23278028579212359</v>
      </c>
      <c r="JZ60" s="235">
        <f t="shared" ca="1" si="248"/>
        <v>0.23278028579212359</v>
      </c>
      <c r="KA60" s="242">
        <f t="shared" ca="1" si="249"/>
        <v>0.23278028579212359</v>
      </c>
      <c r="KB60" s="241">
        <f t="shared" ca="1" si="803"/>
        <v>1</v>
      </c>
      <c r="KC60" s="220">
        <f t="shared" ca="1" si="677"/>
        <v>0.95164182593489555</v>
      </c>
      <c r="KD60" s="220">
        <f t="shared" ca="1" si="678"/>
        <v>0</v>
      </c>
      <c r="KE60" s="235">
        <f t="shared" ca="1" si="252"/>
        <v>0.22437725483776094</v>
      </c>
      <c r="KF60" s="235">
        <f t="shared" ca="1" si="253"/>
        <v>0.22437725483776094</v>
      </c>
      <c r="KG60" s="242">
        <f t="shared" ca="1" si="254"/>
        <v>0.22437725483776094</v>
      </c>
      <c r="KH60" s="241">
        <f t="shared" ca="1" si="803"/>
        <v>1</v>
      </c>
      <c r="KI60" s="220">
        <f t="shared" ca="1" si="679"/>
        <v>0.94925415659362489</v>
      </c>
      <c r="KJ60" s="220">
        <f t="shared" ca="1" si="680"/>
        <v>0</v>
      </c>
      <c r="KK60" s="235">
        <f t="shared" ca="1" si="257"/>
        <v>0.21624569304866956</v>
      </c>
      <c r="KL60" s="235">
        <f t="shared" ca="1" si="258"/>
        <v>0.21624569304866956</v>
      </c>
      <c r="KM60" s="242">
        <f t="shared" ca="1" si="259"/>
        <v>0.21624569304866956</v>
      </c>
      <c r="KN60" s="241">
        <f t="shared" ca="1" si="803"/>
        <v>1</v>
      </c>
      <c r="KO60" s="220">
        <f t="shared" ca="1" si="681"/>
        <v>0.94670635843732753</v>
      </c>
      <c r="KP60" s="220">
        <f t="shared" ca="1" si="682"/>
        <v>0</v>
      </c>
      <c r="KQ60" s="235">
        <f t="shared" ca="1" si="262"/>
        <v>0.2083722604913304</v>
      </c>
      <c r="KR60" s="235">
        <f t="shared" ca="1" si="263"/>
        <v>0.2083722604913304</v>
      </c>
      <c r="KS60" s="242">
        <f t="shared" ca="1" si="264"/>
        <v>0.2083722604913304</v>
      </c>
      <c r="KT60" s="241">
        <f t="shared" ca="1" si="803"/>
        <v>1</v>
      </c>
      <c r="KU60" s="220">
        <f t="shared" ca="1" si="683"/>
        <v>0.94397037706144371</v>
      </c>
      <c r="KV60" s="220">
        <f t="shared" ca="1" si="684"/>
        <v>0</v>
      </c>
      <c r="KW60" s="235">
        <f t="shared" ca="1" si="267"/>
        <v>0.20074402382464779</v>
      </c>
      <c r="KX60" s="235">
        <f t="shared" ca="1" si="268"/>
        <v>0.20074402382464779</v>
      </c>
      <c r="KY60" s="242">
        <f t="shared" ca="1" si="269"/>
        <v>0.20074402382464779</v>
      </c>
      <c r="KZ60" s="241">
        <f t="shared" ca="1" si="803"/>
        <v>1</v>
      </c>
      <c r="LA60" s="220">
        <f t="shared" ca="1" si="685"/>
        <v>0.94102424551463493</v>
      </c>
      <c r="LB60" s="220">
        <f t="shared" ca="1" si="686"/>
        <v>0</v>
      </c>
      <c r="LC60" s="235">
        <f t="shared" ca="1" si="272"/>
        <v>0.19335024321380778</v>
      </c>
      <c r="LD60" s="235">
        <f t="shared" ca="1" si="273"/>
        <v>0.19335024321380778</v>
      </c>
      <c r="LE60" s="242">
        <f t="shared" ca="1" si="274"/>
        <v>0.19335024321380778</v>
      </c>
      <c r="LF60" s="241">
        <f t="shared" ca="1" si="803"/>
        <v>1</v>
      </c>
      <c r="LG60" s="220">
        <f t="shared" ca="1" si="687"/>
        <v>0.93783793741932242</v>
      </c>
      <c r="LH60" s="220">
        <f t="shared" ca="1" si="688"/>
        <v>0</v>
      </c>
      <c r="LI60" s="235">
        <f t="shared" ca="1" si="278"/>
        <v>0.18617928433844047</v>
      </c>
      <c r="LJ60" s="235">
        <f t="shared" ca="1" si="279"/>
        <v>0.18617928433844047</v>
      </c>
      <c r="LK60" s="242">
        <f t="shared" ca="1" si="280"/>
        <v>0.18617928433844047</v>
      </c>
      <c r="LL60" s="241">
        <f t="shared" ca="1" si="803"/>
        <v>1</v>
      </c>
      <c r="LM60" s="220">
        <f t="shared" ca="1" si="689"/>
        <v>0.93436137218530901</v>
      </c>
      <c r="LN60" s="220">
        <f t="shared" ca="1" si="690"/>
        <v>0</v>
      </c>
      <c r="LO60" s="235">
        <f t="shared" ca="1" si="283"/>
        <v>0.17921653887091585</v>
      </c>
      <c r="LP60" s="235">
        <f t="shared" ca="1" si="284"/>
        <v>0.17921653887091585</v>
      </c>
      <c r="LQ60" s="242">
        <f t="shared" ca="1" si="285"/>
        <v>0.17921653887091585</v>
      </c>
      <c r="LR60" s="241">
        <f t="shared" ca="1" si="803"/>
        <v>1</v>
      </c>
      <c r="LS60" s="220">
        <f t="shared" ca="1" si="691"/>
        <v>0.93053889981169891</v>
      </c>
      <c r="LT60" s="220">
        <f t="shared" ca="1" si="692"/>
        <v>0</v>
      </c>
      <c r="LU60" s="235">
        <f t="shared" ca="1" si="288"/>
        <v>0.17244769469603377</v>
      </c>
      <c r="LV60" s="235">
        <f t="shared" ca="1" si="289"/>
        <v>0.17244769469603377</v>
      </c>
      <c r="LW60" s="242">
        <f t="shared" ca="1" si="290"/>
        <v>0.17244769469603377</v>
      </c>
      <c r="LX60" s="241">
        <f t="shared" ca="1" si="803"/>
        <v>1</v>
      </c>
      <c r="LY60" s="220">
        <f t="shared" ca="1" si="693"/>
        <v>0.92632262805665211</v>
      </c>
      <c r="LZ60" s="220">
        <f t="shared" ca="1" si="694"/>
        <v>0</v>
      </c>
      <c r="MA60" s="235">
        <f t="shared" ca="1" si="293"/>
        <v>0.16586119245542613</v>
      </c>
      <c r="MB60" s="235">
        <f t="shared" ca="1" si="294"/>
        <v>0.16586119245542613</v>
      </c>
      <c r="MC60" s="242">
        <f t="shared" ca="1" si="295"/>
        <v>0.16586119245542613</v>
      </c>
      <c r="MD60" s="241">
        <f t="shared" ca="1" si="797"/>
        <v>1</v>
      </c>
      <c r="ME60" s="220">
        <f t="shared" ca="1" si="695"/>
        <v>0.92167897272220412</v>
      </c>
      <c r="MF60" s="220">
        <f t="shared" ca="1" si="696"/>
        <v>0</v>
      </c>
      <c r="MG60" s="235">
        <f t="shared" ca="1" si="298"/>
        <v>0.15944901478033538</v>
      </c>
      <c r="MH60" s="235">
        <f t="shared" ca="1" si="299"/>
        <v>0.15944901478033538</v>
      </c>
      <c r="MI60" s="242">
        <f t="shared" ca="1" si="300"/>
        <v>0.15944901478033538</v>
      </c>
      <c r="MJ60" s="241">
        <f t="shared" ca="1" si="797"/>
        <v>1</v>
      </c>
      <c r="MK60" s="220">
        <f t="shared" ca="1" si="697"/>
        <v>0.91658761807688671</v>
      </c>
      <c r="ML60" s="220">
        <f t="shared" ca="1" si="698"/>
        <v>0</v>
      </c>
      <c r="MM60" s="235">
        <f t="shared" ca="1" si="303"/>
        <v>0.15320600813786359</v>
      </c>
      <c r="MN60" s="235">
        <f t="shared" ca="1" si="304"/>
        <v>0.15320600813786359</v>
      </c>
      <c r="MO60" s="242">
        <f t="shared" ca="1" si="305"/>
        <v>0.15320600813786359</v>
      </c>
      <c r="MP60" s="241">
        <f t="shared" ca="1" si="804"/>
        <v>1</v>
      </c>
      <c r="MQ60" s="220">
        <f t="shared" ca="1" si="699"/>
        <v>0.91103401369895887</v>
      </c>
      <c r="MR60" s="220">
        <f t="shared" ca="1" si="700"/>
        <v>0</v>
      </c>
      <c r="MS60" s="235">
        <f t="shared" ca="1" si="308"/>
        <v>0.1471282443812138</v>
      </c>
      <c r="MT60" s="235">
        <f t="shared" ca="1" si="309"/>
        <v>0.1471282443812138</v>
      </c>
      <c r="MU60" s="242">
        <f t="shared" ca="1" si="310"/>
        <v>0.1471282443812138</v>
      </c>
      <c r="MV60" s="241">
        <f t="shared" ca="1" si="804"/>
        <v>1</v>
      </c>
      <c r="MW60" s="220">
        <f t="shared" ca="1" si="701"/>
        <v>0.90501116783439506</v>
      </c>
      <c r="MX60" s="220">
        <f t="shared" ca="1" si="702"/>
        <v>0</v>
      </c>
      <c r="MY60" s="235">
        <f t="shared" ca="1" si="313"/>
        <v>0.14121312034551653</v>
      </c>
      <c r="MZ60" s="235">
        <f t="shared" ca="1" si="314"/>
        <v>0.14121312034551653</v>
      </c>
      <c r="NA60" s="242">
        <f t="shared" ca="1" si="315"/>
        <v>0.14121312034551653</v>
      </c>
      <c r="NB60" s="241">
        <f t="shared" ca="1" si="804"/>
        <v>1</v>
      </c>
      <c r="NC60" s="220">
        <f t="shared" ca="1" si="703"/>
        <v>0.89850685257116925</v>
      </c>
      <c r="ND60" s="220">
        <f t="shared" ca="1" si="704"/>
        <v>0</v>
      </c>
      <c r="NE60" s="235">
        <f t="shared" ca="1" si="318"/>
        <v>0.13545721898511429</v>
      </c>
      <c r="NF60" s="235">
        <f t="shared" ca="1" si="319"/>
        <v>0.13545721898511429</v>
      </c>
      <c r="NG60" s="242">
        <f t="shared" ca="1" si="320"/>
        <v>0.13545721898511429</v>
      </c>
      <c r="NH60" s="241">
        <f t="shared" ca="1" si="804"/>
        <v>1</v>
      </c>
      <c r="NI60" s="220">
        <f t="shared" ca="1" si="705"/>
        <v>0.89149849912111412</v>
      </c>
      <c r="NJ60" s="220">
        <f t="shared" ca="1" si="706"/>
        <v>0</v>
      </c>
      <c r="NK60" s="235">
        <f t="shared" ca="1" si="323"/>
        <v>0.12985570306959462</v>
      </c>
      <c r="NL60" s="235">
        <f t="shared" ca="1" si="324"/>
        <v>0.12985570306959462</v>
      </c>
      <c r="NM60" s="242">
        <f t="shared" ca="1" si="325"/>
        <v>0.12985570306959462</v>
      </c>
      <c r="NN60" s="241">
        <f t="shared" ca="1" si="804"/>
        <v>1</v>
      </c>
      <c r="NO60" s="220">
        <f t="shared" ca="1" si="707"/>
        <v>0.88395998781254592</v>
      </c>
      <c r="NP60" s="220">
        <f t="shared" ca="1" si="708"/>
        <v>0</v>
      </c>
      <c r="NQ60" s="235">
        <f t="shared" ca="1" si="328"/>
        <v>0.12440352004293539</v>
      </c>
      <c r="NR60" s="235">
        <f t="shared" ca="1" si="329"/>
        <v>0.12440352004293539</v>
      </c>
      <c r="NS60" s="242">
        <f t="shared" ca="1" si="330"/>
        <v>0.12440352004293539</v>
      </c>
      <c r="NT60" s="241">
        <f t="shared" ca="1" si="804"/>
        <v>1</v>
      </c>
      <c r="NU60" s="220">
        <f t="shared" ca="1" si="709"/>
        <v>0.87587705768398794</v>
      </c>
      <c r="NV60" s="220">
        <f t="shared" ca="1" si="710"/>
        <v>0</v>
      </c>
      <c r="NW60" s="235">
        <f t="shared" ca="1" si="334"/>
        <v>0.11909755966730703</v>
      </c>
      <c r="NX60" s="235">
        <f t="shared" ca="1" si="335"/>
        <v>0.11909755966730703</v>
      </c>
      <c r="NY60" s="242">
        <f t="shared" ca="1" si="336"/>
        <v>0.11909755966730703</v>
      </c>
      <c r="NZ60" s="241">
        <f t="shared" ca="1" si="804"/>
        <v>1</v>
      </c>
      <c r="OA60" s="220">
        <f t="shared" ca="1" si="711"/>
        <v>0.86723653050993543</v>
      </c>
      <c r="OB60" s="220">
        <f t="shared" ca="1" si="712"/>
        <v>0</v>
      </c>
      <c r="OC60" s="235">
        <f t="shared" ca="1" si="339"/>
        <v>0.11393493936346769</v>
      </c>
      <c r="OD60" s="235">
        <f t="shared" ca="1" si="340"/>
        <v>0.11393493936346769</v>
      </c>
      <c r="OE60" s="242">
        <f t="shared" ca="1" si="341"/>
        <v>0.11393493936346769</v>
      </c>
      <c r="OF60" s="241">
        <f t="shared" ca="1" si="804"/>
        <v>1</v>
      </c>
      <c r="OG60" s="220">
        <f t="shared" ca="1" si="713"/>
        <v>0.85802474408285889</v>
      </c>
      <c r="OH60" s="220">
        <f t="shared" ca="1" si="714"/>
        <v>0</v>
      </c>
      <c r="OI60" s="235">
        <f t="shared" ca="1" si="344"/>
        <v>0.10891277530197965</v>
      </c>
      <c r="OJ60" s="235">
        <f t="shared" ca="1" si="345"/>
        <v>0.10891277530197965</v>
      </c>
      <c r="OK60" s="242">
        <f t="shared" ca="1" si="346"/>
        <v>0.10891277530197965</v>
      </c>
      <c r="OL60" s="241">
        <f t="shared" ca="1" si="804"/>
        <v>1</v>
      </c>
      <c r="OM60" s="220">
        <f t="shared" ca="1" si="715"/>
        <v>0.84819349656515752</v>
      </c>
      <c r="ON60" s="220">
        <f t="shared" ca="1" si="716"/>
        <v>0</v>
      </c>
      <c r="OO60" s="235">
        <f t="shared" ca="1" si="349"/>
        <v>0.10402401229233778</v>
      </c>
      <c r="OP60" s="235">
        <f t="shared" ca="1" si="350"/>
        <v>0.10402401229233778</v>
      </c>
      <c r="OQ60" s="242">
        <f t="shared" ca="1" si="351"/>
        <v>0.10402401229233778</v>
      </c>
      <c r="OR60" s="241">
        <f t="shared" ca="1" si="804"/>
        <v>1</v>
      </c>
      <c r="OS60" s="220">
        <f t="shared" ca="1" si="717"/>
        <v>0.83771830688257787</v>
      </c>
      <c r="OT60" s="220">
        <f t="shared" ca="1" si="718"/>
        <v>0</v>
      </c>
      <c r="OU60" s="235">
        <f t="shared" ca="1" si="354"/>
        <v>9.9265039362828419E-2</v>
      </c>
      <c r="OV60" s="235">
        <f t="shared" ca="1" si="355"/>
        <v>9.9265039362828419E-2</v>
      </c>
      <c r="OW60" s="242">
        <f t="shared" ca="1" si="356"/>
        <v>9.9265039362828419E-2</v>
      </c>
      <c r="OX60" s="241">
        <f t="shared" ca="1" si="804"/>
        <v>1</v>
      </c>
      <c r="OY60" s="220">
        <f t="shared" ca="1" si="719"/>
        <v>0.82663110509098692</v>
      </c>
      <c r="OZ60" s="220">
        <f t="shared" ca="1" si="720"/>
        <v>0</v>
      </c>
      <c r="PA60" s="235">
        <f t="shared" ca="1" si="359"/>
        <v>9.4638904895518239E-2</v>
      </c>
      <c r="PB60" s="235">
        <f t="shared" ca="1" si="360"/>
        <v>9.4638904895518239E-2</v>
      </c>
      <c r="PC60" s="242">
        <f t="shared" ca="1" si="361"/>
        <v>9.4638904895518239E-2</v>
      </c>
      <c r="PD60" s="241">
        <f t="shared" ca="1" si="798"/>
        <v>1</v>
      </c>
      <c r="PE60" s="220">
        <f t="shared" ca="1" si="721"/>
        <v>0.81497808640251923</v>
      </c>
      <c r="PF60" s="220">
        <f t="shared" ca="1" si="722"/>
        <v>0</v>
      </c>
      <c r="PG60" s="235">
        <f t="shared" ca="1" si="364"/>
        <v>9.0149546138363415E-2</v>
      </c>
      <c r="PH60" s="235">
        <f t="shared" ca="1" si="365"/>
        <v>9.0149546138363415E-2</v>
      </c>
      <c r="PI60" s="242">
        <f t="shared" ca="1" si="366"/>
        <v>9.0149546138363415E-2</v>
      </c>
      <c r="PJ60" s="241">
        <f t="shared" ca="1" si="798"/>
        <v>1</v>
      </c>
      <c r="PK60" s="220">
        <f t="shared" ca="1" si="723"/>
        <v>0.80277052964629592</v>
      </c>
      <c r="PL60" s="220">
        <f t="shared" ca="1" si="724"/>
        <v>0</v>
      </c>
      <c r="PM60" s="235">
        <f t="shared" ca="1" si="369"/>
        <v>8.5796324721504238E-2</v>
      </c>
      <c r="PN60" s="235">
        <f t="shared" ca="1" si="370"/>
        <v>8.5796324721504238E-2</v>
      </c>
      <c r="PO60" s="242">
        <f t="shared" ca="1" si="371"/>
        <v>8.5796324721504238E-2</v>
      </c>
      <c r="PP60" s="241">
        <f t="shared" ca="1" si="805"/>
        <v>1</v>
      </c>
      <c r="PQ60" s="220">
        <f t="shared" ca="1" si="725"/>
        <v>0.78995269259943357</v>
      </c>
      <c r="PR60" s="220">
        <f t="shared" ca="1" si="726"/>
        <v>0</v>
      </c>
      <c r="PS60" s="235">
        <f t="shared" ca="1" si="374"/>
        <v>8.1571415270218356E-2</v>
      </c>
      <c r="PT60" s="235">
        <f t="shared" ca="1" si="375"/>
        <v>8.1571415270218356E-2</v>
      </c>
      <c r="PU60" s="242">
        <f t="shared" ca="1" si="376"/>
        <v>8.1571415270218356E-2</v>
      </c>
      <c r="PV60" s="241">
        <f t="shared" ca="1" si="805"/>
        <v>1</v>
      </c>
      <c r="PW60" s="220">
        <f t="shared" ca="1" si="727"/>
        <v>0.77643739198174988</v>
      </c>
      <c r="PX60" s="220">
        <f t="shared" ca="1" si="728"/>
        <v>0</v>
      </c>
      <c r="PY60" s="235">
        <f t="shared" ca="1" si="379"/>
        <v>7.7464550653488104E-2</v>
      </c>
      <c r="PZ60" s="235">
        <f t="shared" ca="1" si="380"/>
        <v>7.7464550653488104E-2</v>
      </c>
      <c r="QA60" s="242">
        <f t="shared" ca="1" si="381"/>
        <v>7.7464550653488104E-2</v>
      </c>
      <c r="QB60" s="241">
        <f t="shared" ca="1" si="805"/>
        <v>1</v>
      </c>
      <c r="QC60" s="220">
        <f t="shared" ca="1" si="729"/>
        <v>0.76215715546842155</v>
      </c>
      <c r="QD60" s="220">
        <f t="shared" ca="1" si="730"/>
        <v>0</v>
      </c>
      <c r="QE60" s="235">
        <f t="shared" ca="1" si="384"/>
        <v>7.3468427669438799E-2</v>
      </c>
      <c r="QF60" s="235">
        <f t="shared" ca="1" si="385"/>
        <v>7.3468427669438799E-2</v>
      </c>
      <c r="QG60" s="242">
        <f t="shared" ca="1" si="386"/>
        <v>7.3468427669438799E-2</v>
      </c>
      <c r="QH60" s="241">
        <f t="shared" ca="1" si="805"/>
        <v>1</v>
      </c>
      <c r="QI60" s="220">
        <f t="shared" ca="1" si="731"/>
        <v>0.74703900613254992</v>
      </c>
      <c r="QJ60" s="220">
        <f t="shared" ca="1" si="732"/>
        <v>0</v>
      </c>
      <c r="QK60" s="235">
        <f t="shared" ca="1" si="390"/>
        <v>6.9575949698732195E-2</v>
      </c>
      <c r="QL60" s="235">
        <f t="shared" ca="1" si="391"/>
        <v>6.9575949698732195E-2</v>
      </c>
      <c r="QM60" s="242">
        <f t="shared" ca="1" si="392"/>
        <v>6.9575949698732195E-2</v>
      </c>
      <c r="QN60" s="241">
        <f t="shared" ca="1" si="805"/>
        <v>1</v>
      </c>
      <c r="QO60" s="220">
        <f t="shared" ca="1" si="733"/>
        <v>0.73100381386591473</v>
      </c>
      <c r="QP60" s="220">
        <f t="shared" ca="1" si="734"/>
        <v>0</v>
      </c>
      <c r="QQ60" s="235">
        <f t="shared" ca="1" si="395"/>
        <v>6.5780195109612458E-2</v>
      </c>
      <c r="QR60" s="235">
        <f t="shared" ca="1" si="396"/>
        <v>6.5780195109612458E-2</v>
      </c>
      <c r="QS60" s="242">
        <f t="shared" ca="1" si="397"/>
        <v>6.5780195109612458E-2</v>
      </c>
      <c r="QT60" s="241">
        <f t="shared" ca="1" si="805"/>
        <v>1</v>
      </c>
      <c r="QU60" s="220">
        <f t="shared" ca="1" si="735"/>
        <v>0.71393414380833176</v>
      </c>
      <c r="QV60" s="220">
        <f t="shared" ca="1" si="736"/>
        <v>0</v>
      </c>
      <c r="QW60" s="235">
        <f t="shared" ca="1" si="400"/>
        <v>6.2071653887543876E-2</v>
      </c>
      <c r="QX60" s="235">
        <f t="shared" ca="1" si="401"/>
        <v>6.2071653887543876E-2</v>
      </c>
      <c r="QY60" s="242">
        <f t="shared" ca="1" si="402"/>
        <v>6.2071653887543876E-2</v>
      </c>
      <c r="QZ60" s="241">
        <f t="shared" ca="1" si="805"/>
        <v>1</v>
      </c>
      <c r="RA60" s="220">
        <f t="shared" ca="1" si="737"/>
        <v>0.69574167395580788</v>
      </c>
      <c r="RB60" s="220">
        <f t="shared" ca="1" si="738"/>
        <v>0</v>
      </c>
      <c r="RC60" s="235">
        <f t="shared" ca="1" si="405"/>
        <v>5.8444390341238162E-2</v>
      </c>
      <c r="RD60" s="235">
        <f t="shared" ca="1" si="406"/>
        <v>5.8444390341238162E-2</v>
      </c>
      <c r="RE60" s="242">
        <f t="shared" ca="1" si="407"/>
        <v>5.8444390341238162E-2</v>
      </c>
      <c r="RF60" s="241">
        <f t="shared" ca="1" si="805"/>
        <v>1</v>
      </c>
      <c r="RG60" s="220">
        <f t="shared" ca="1" si="739"/>
        <v>0.67640422986988014</v>
      </c>
      <c r="RH60" s="220">
        <f t="shared" ca="1" si="740"/>
        <v>0</v>
      </c>
      <c r="RI60" s="235">
        <f t="shared" ca="1" si="410"/>
        <v>5.4898538121829751E-2</v>
      </c>
      <c r="RJ60" s="235">
        <f t="shared" ca="1" si="411"/>
        <v>5.4898538121829751E-2</v>
      </c>
      <c r="RK60" s="242">
        <f t="shared" ca="1" si="412"/>
        <v>5.4898538121829751E-2</v>
      </c>
      <c r="RL60" s="241">
        <f t="shared" ca="1" si="805"/>
        <v>1</v>
      </c>
      <c r="RM60" s="220">
        <f t="shared" ca="1" si="741"/>
        <v>0.65592135698096043</v>
      </c>
      <c r="RN60" s="220">
        <f t="shared" ca="1" si="742"/>
        <v>0</v>
      </c>
      <c r="RO60" s="235">
        <f t="shared" ca="1" si="415"/>
        <v>5.1435845981086484E-2</v>
      </c>
      <c r="RP60" s="235">
        <f t="shared" ca="1" si="416"/>
        <v>5.1435845981086484E-2</v>
      </c>
      <c r="RQ60" s="242">
        <f t="shared" ca="1" si="417"/>
        <v>5.1435845981086484E-2</v>
      </c>
      <c r="RR60" s="241">
        <f t="shared" ca="1" si="805"/>
        <v>1</v>
      </c>
      <c r="RS60" s="220">
        <f t="shared" ca="1" si="743"/>
        <v>0.63426152193073515</v>
      </c>
      <c r="RT60" s="220">
        <f t="shared" ca="1" si="744"/>
        <v>0</v>
      </c>
      <c r="RU60" s="235">
        <f t="shared" ca="1" si="420"/>
        <v>4.8055392729564286E-2</v>
      </c>
      <c r="RV60" s="235">
        <f t="shared" ca="1" si="421"/>
        <v>4.8055392729564286E-2</v>
      </c>
      <c r="RW60" s="242">
        <f t="shared" ca="1" si="422"/>
        <v>4.8055392729564286E-2</v>
      </c>
      <c r="RX60" s="241">
        <f t="shared" ca="1" si="805"/>
        <v>1</v>
      </c>
      <c r="RY60" s="220">
        <f t="shared" ca="1" si="745"/>
        <v>0.61130062057532053</v>
      </c>
      <c r="RZ60" s="220">
        <f t="shared" ca="1" si="746"/>
        <v>0</v>
      </c>
      <c r="SA60" s="235">
        <f t="shared" ca="1" si="425"/>
        <v>4.4749506722088245E-2</v>
      </c>
      <c r="SB60" s="235">
        <f t="shared" ca="1" si="426"/>
        <v>4.4749506722088245E-2</v>
      </c>
      <c r="SC60" s="242">
        <f t="shared" ca="1" si="427"/>
        <v>4.4749506722088245E-2</v>
      </c>
      <c r="SD60" s="241">
        <f t="shared" ca="1" si="799"/>
        <v>1</v>
      </c>
      <c r="SE60" s="220">
        <f t="shared" ca="1" si="747"/>
        <v>0.58693540044042947</v>
      </c>
      <c r="SF60" s="220">
        <f t="shared" ca="1" si="748"/>
        <v>0</v>
      </c>
      <c r="SG60" s="235">
        <f t="shared" ca="1" si="430"/>
        <v>4.1512928389525854E-2</v>
      </c>
      <c r="SH60" s="235">
        <f t="shared" ca="1" si="431"/>
        <v>4.1512928389525854E-2</v>
      </c>
      <c r="SI60" s="242">
        <f t="shared" ca="1" si="432"/>
        <v>4.1512928389525854E-2</v>
      </c>
      <c r="SJ60" s="241">
        <f t="shared" ca="1" si="799"/>
        <v>1</v>
      </c>
      <c r="SK60" s="220">
        <f t="shared" ca="1" si="749"/>
        <v>0.56117421877969853</v>
      </c>
      <c r="SL60" s="220">
        <f t="shared" ca="1" si="750"/>
        <v>0</v>
      </c>
      <c r="SM60" s="235">
        <f t="shared" ca="1" si="435"/>
        <v>3.8348680627614658E-2</v>
      </c>
      <c r="SN60" s="235">
        <f t="shared" ca="1" si="436"/>
        <v>3.8348680627614658E-2</v>
      </c>
      <c r="SO60" s="242">
        <f t="shared" ca="1" si="437"/>
        <v>3.8348680627614658E-2</v>
      </c>
      <c r="SP60" s="241">
        <f t="shared" ca="1" si="808"/>
        <v>1</v>
      </c>
      <c r="SQ60" s="220">
        <f t="shared" ca="1" si="751"/>
        <v>0.5340633310962325</v>
      </c>
      <c r="SR60" s="220">
        <f t="shared" ca="1" si="752"/>
        <v>0</v>
      </c>
      <c r="SS60" s="235">
        <f t="shared" ca="1" si="440"/>
        <v>3.5261852674216394E-2</v>
      </c>
      <c r="ST60" s="235">
        <f t="shared" ca="1" si="441"/>
        <v>3.5261852674216394E-2</v>
      </c>
      <c r="SU60" s="242">
        <f t="shared" ca="1" si="442"/>
        <v>3.5261852674216394E-2</v>
      </c>
      <c r="SV60" s="241">
        <f t="shared" ca="1" si="808"/>
        <v>1</v>
      </c>
      <c r="SW60" s="220">
        <f t="shared" ca="1" si="753"/>
        <v>0.50563620810864218</v>
      </c>
      <c r="SX60" s="220">
        <f t="shared" ca="1" si="754"/>
        <v>0</v>
      </c>
      <c r="SY60" s="235">
        <f t="shared" ca="1" si="446"/>
        <v>3.2255975632920972E-2</v>
      </c>
      <c r="SZ60" s="235">
        <f t="shared" ca="1" si="447"/>
        <v>3.2255975632920972E-2</v>
      </c>
      <c r="TA60" s="242">
        <f t="shared" ca="1" si="448"/>
        <v>3.2255975632920972E-2</v>
      </c>
      <c r="TB60" s="241">
        <f t="shared" ca="1" si="808"/>
        <v>1</v>
      </c>
      <c r="TC60" s="220">
        <f t="shared" ca="1" si="755"/>
        <v>0.47585575235966748</v>
      </c>
      <c r="TD60" s="220">
        <f t="shared" ca="1" si="756"/>
        <v>0</v>
      </c>
      <c r="TE60" s="235">
        <f t="shared" ca="1" si="451"/>
        <v>2.9329657426153458E-2</v>
      </c>
      <c r="TF60" s="235">
        <f t="shared" ca="1" si="452"/>
        <v>2.9329657426153458E-2</v>
      </c>
      <c r="TG60" s="242">
        <f t="shared" ca="1" si="453"/>
        <v>2.9329657426153458E-2</v>
      </c>
      <c r="TH60" s="241">
        <f t="shared" ca="1" si="808"/>
        <v>1</v>
      </c>
      <c r="TI60" s="220">
        <f t="shared" ca="1" si="757"/>
        <v>0.4447514411066778</v>
      </c>
      <c r="TJ60" s="220">
        <f t="shared" ca="1" si="758"/>
        <v>0</v>
      </c>
      <c r="TK60" s="235">
        <f t="shared" ca="1" si="456"/>
        <v>2.6485530790814431E-2</v>
      </c>
      <c r="TL60" s="235">
        <f t="shared" ca="1" si="457"/>
        <v>2.6485530790814431E-2</v>
      </c>
      <c r="TM60" s="242">
        <f t="shared" ca="1" si="458"/>
        <v>2.6485530790814431E-2</v>
      </c>
      <c r="TN60" s="241">
        <f t="shared" ca="1" si="808"/>
        <v>1</v>
      </c>
      <c r="TO60" s="220">
        <f t="shared" ca="1" si="759"/>
        <v>0.41251096438941365</v>
      </c>
      <c r="TP60" s="220">
        <f t="shared" ca="1" si="760"/>
        <v>0</v>
      </c>
      <c r="TQ60" s="235">
        <f t="shared" ca="1" si="461"/>
        <v>2.3734848481408222E-2</v>
      </c>
      <c r="TR60" s="235">
        <f t="shared" ca="1" si="462"/>
        <v>2.3734848481408222E-2</v>
      </c>
      <c r="TS60" s="242">
        <f t="shared" ca="1" si="463"/>
        <v>2.3734848481408222E-2</v>
      </c>
      <c r="TT60" s="241">
        <f t="shared" ca="1" si="808"/>
        <v>1</v>
      </c>
      <c r="TU60" s="220">
        <f t="shared" ca="1" si="761"/>
        <v>0.37939128408051637</v>
      </c>
      <c r="TV60" s="220">
        <f t="shared" ca="1" si="762"/>
        <v>0</v>
      </c>
      <c r="TW60" s="235">
        <f t="shared" ca="1" si="466"/>
        <v>2.1091038615007652E-2</v>
      </c>
      <c r="TX60" s="235">
        <f t="shared" ca="1" si="467"/>
        <v>2.1091038615007652E-2</v>
      </c>
      <c r="TY60" s="242">
        <f t="shared" ca="1" si="468"/>
        <v>2.1091038615007652E-2</v>
      </c>
      <c r="TZ60" s="241">
        <f t="shared" ca="1" si="808"/>
        <v>1</v>
      </c>
      <c r="UA60" s="220">
        <f t="shared" ca="1" si="763"/>
        <v>0.34565732866521315</v>
      </c>
      <c r="UB60" s="220">
        <f t="shared" ca="1" si="764"/>
        <v>0</v>
      </c>
      <c r="UC60" s="235">
        <f t="shared" ca="1" si="471"/>
        <v>1.8565901280691431E-2</v>
      </c>
      <c r="UD60" s="235">
        <f t="shared" ca="1" si="472"/>
        <v>1.8565901280691431E-2</v>
      </c>
      <c r="UE60" s="242">
        <f t="shared" ca="1" si="473"/>
        <v>1.8565901280691431E-2</v>
      </c>
      <c r="UF60" s="241">
        <f t="shared" ca="1" si="808"/>
        <v>1</v>
      </c>
      <c r="UG60" s="220">
        <f t="shared" ca="1" si="765"/>
        <v>0.31158381183471112</v>
      </c>
      <c r="UH60" s="220">
        <f t="shared" ca="1" si="766"/>
        <v>0</v>
      </c>
      <c r="UI60" s="235">
        <f t="shared" ca="1" si="476"/>
        <v>1.6169805793281151E-2</v>
      </c>
      <c r="UJ60" s="235">
        <f t="shared" ca="1" si="477"/>
        <v>1.6169805793281151E-2</v>
      </c>
      <c r="UK60" s="242">
        <f t="shared" ca="1" si="478"/>
        <v>1.6169805793281151E-2</v>
      </c>
      <c r="UL60" s="241">
        <f t="shared" ca="1" si="808"/>
        <v>1</v>
      </c>
      <c r="UM60" s="220">
        <f t="shared" ca="1" si="767"/>
        <v>0.27748470263514402</v>
      </c>
      <c r="UN60" s="220">
        <f t="shared" ca="1" si="768"/>
        <v>0</v>
      </c>
      <c r="UO60" s="235">
        <f t="shared" ca="1" si="481"/>
        <v>1.3913250808575896E-2</v>
      </c>
      <c r="UP60" s="235">
        <f t="shared" ca="1" si="482"/>
        <v>1.3913250808575896E-2</v>
      </c>
      <c r="UQ60" s="242">
        <f t="shared" ca="1" si="483"/>
        <v>1.3913250808575896E-2</v>
      </c>
      <c r="UR60" s="241">
        <f t="shared" ca="1" si="808"/>
        <v>1</v>
      </c>
      <c r="US60" s="220">
        <f t="shared" ca="1" si="769"/>
        <v>0.24373729058536042</v>
      </c>
      <c r="UT60" s="220">
        <f t="shared" ca="1" si="770"/>
        <v>0</v>
      </c>
      <c r="UU60" s="235">
        <f t="shared" ca="1" si="486"/>
        <v>1.1807860056509861E-2</v>
      </c>
      <c r="UV60" s="235">
        <f t="shared" ca="1" si="487"/>
        <v>1.1807860056509861E-2</v>
      </c>
      <c r="UW60" s="242">
        <f t="shared" ca="1" si="488"/>
        <v>1.1807860056509861E-2</v>
      </c>
      <c r="UX60" s="241">
        <f t="shared" ca="1" si="808"/>
        <v>1</v>
      </c>
      <c r="UY60" s="220">
        <f t="shared" ca="1" si="771"/>
        <v>0.21078985859319374</v>
      </c>
      <c r="UZ60" s="220">
        <f t="shared" ca="1" si="772"/>
        <v>0</v>
      </c>
      <c r="VA60" s="235">
        <f t="shared" ca="1" si="491"/>
        <v>9.866396874889936E-3</v>
      </c>
      <c r="VB60" s="235">
        <f t="shared" ca="1" si="492"/>
        <v>9.866396874889936E-3</v>
      </c>
      <c r="VC60" s="242">
        <f t="shared" ca="1" si="493"/>
        <v>9.866396874889936E-3</v>
      </c>
      <c r="VD60" s="241">
        <f t="shared" ca="1" si="806"/>
        <v>1</v>
      </c>
      <c r="VE60" s="220">
        <f t="shared" ca="1" si="773"/>
        <v>0.17914840370962801</v>
      </c>
      <c r="VF60" s="220">
        <f t="shared" ca="1" si="774"/>
        <v>0</v>
      </c>
      <c r="VG60" s="235">
        <f t="shared" ca="1" si="496"/>
        <v>8.1017989433788233E-3</v>
      </c>
      <c r="VH60" s="235">
        <f t="shared" ca="1" si="497"/>
        <v>8.1017989433788233E-3</v>
      </c>
      <c r="VI60" s="242">
        <f t="shared" ca="1" si="498"/>
        <v>8.1017989433788233E-3</v>
      </c>
      <c r="VJ60" s="241">
        <f t="shared" ca="1" si="806"/>
        <v>1</v>
      </c>
      <c r="VK60" s="220">
        <f t="shared" ca="1" si="775"/>
        <v>0.14933864677755704</v>
      </c>
      <c r="VL60" s="220">
        <f t="shared" ca="1" si="776"/>
        <v>0</v>
      </c>
      <c r="VM60" s="235">
        <f t="shared" ca="1" si="502"/>
        <v>6.5252984585482295E-3</v>
      </c>
      <c r="VN60" s="235">
        <f t="shared" ca="1" si="503"/>
        <v>6.5252984585482295E-3</v>
      </c>
      <c r="VO60" s="242">
        <f t="shared" ca="1" si="504"/>
        <v>6.5252984585482295E-3</v>
      </c>
      <c r="VP60" s="241">
        <f t="shared" ca="1" si="567"/>
        <v>1</v>
      </c>
      <c r="VQ60" s="220">
        <f t="shared" ca="1" si="777"/>
        <v>0.12186078378642688</v>
      </c>
      <c r="VR60" s="220">
        <f t="shared" ca="1" si="778"/>
        <v>0</v>
      </c>
      <c r="VS60" s="235">
        <f t="shared" ca="1" si="507"/>
        <v>5.1446020464451514E-3</v>
      </c>
      <c r="VT60" s="235">
        <f t="shared" ca="1" si="508"/>
        <v>5.1446020464451514E-3</v>
      </c>
      <c r="VU60" s="242">
        <f t="shared" ca="1" si="509"/>
        <v>5.1446020464451514E-3</v>
      </c>
      <c r="VV60" s="241">
        <f t="shared" ca="1" si="578"/>
        <v>1</v>
      </c>
      <c r="VW60" s="220">
        <f t="shared" ca="1" si="779"/>
        <v>9.714071449143126E-2</v>
      </c>
      <c r="VX60" s="220">
        <f t="shared" ca="1" si="780"/>
        <v>0</v>
      </c>
      <c r="VY60" s="235">
        <f t="shared" ca="1" si="512"/>
        <v>3.9623128486120972E-3</v>
      </c>
      <c r="VZ60" s="235">
        <f t="shared" ca="1" si="513"/>
        <v>3.9623128486120972E-3</v>
      </c>
      <c r="WA60" s="242">
        <f t="shared" ca="1" si="514"/>
        <v>3.9623128486120972E-3</v>
      </c>
      <c r="WB60" s="241">
        <f t="shared" ca="1" si="578"/>
        <v>1</v>
      </c>
      <c r="WC60" s="220">
        <f t="shared" ca="1" si="781"/>
        <v>7.5486980683431834E-2</v>
      </c>
      <c r="WD60" s="220">
        <f t="shared" ca="1" si="782"/>
        <v>0</v>
      </c>
      <c r="WE60" s="235">
        <f t="shared" ca="1" si="517"/>
        <v>2.9749465982754843E-3</v>
      </c>
      <c r="WF60" s="235">
        <f t="shared" ca="1" si="518"/>
        <v>2.9749465982754843E-3</v>
      </c>
      <c r="WG60" s="242">
        <f t="shared" ca="1" si="519"/>
        <v>2.9749465982754843E-3</v>
      </c>
      <c r="WH60" s="241">
        <f t="shared" ca="1" si="578"/>
        <v>1</v>
      </c>
      <c r="WI60" s="220">
        <f t="shared" ca="1" si="783"/>
        <v>5.7061061620490225E-2</v>
      </c>
      <c r="WJ60" s="220">
        <f t="shared" ca="1" si="784"/>
        <v>0</v>
      </c>
      <c r="WK60" s="235">
        <f t="shared" ca="1" si="522"/>
        <v>2.1727342833971291E-3</v>
      </c>
      <c r="WL60" s="235">
        <f t="shared" ca="1" si="523"/>
        <v>2.1727342833971291E-3</v>
      </c>
      <c r="WM60" s="242">
        <f t="shared" ca="1" si="524"/>
        <v>2.1727342833971291E-3</v>
      </c>
      <c r="WN60" s="241">
        <f t="shared" ca="1" si="578"/>
        <v>1</v>
      </c>
      <c r="WO60" s="220">
        <f t="shared" ca="1" si="785"/>
        <v>4.1934687734452851E-2</v>
      </c>
      <c r="WP60" s="220">
        <f t="shared" ca="1" si="786"/>
        <v>0</v>
      </c>
      <c r="WQ60" s="235">
        <f t="shared" ca="1" si="527"/>
        <v>1.5427651975624165E-3</v>
      </c>
      <c r="WR60" s="235">
        <f t="shared" ca="1" si="528"/>
        <v>1.5427651975624165E-3</v>
      </c>
      <c r="WS60" s="242">
        <f t="shared" ca="1" si="529"/>
        <v>1.5427651975624165E-3</v>
      </c>
      <c r="WT60" s="241">
        <f t="shared" ca="1" si="578"/>
        <v>1</v>
      </c>
      <c r="WU60" s="220">
        <f t="shared" ca="1" si="787"/>
        <v>2.9961998908764689E-2</v>
      </c>
      <c r="WV60" s="220">
        <f t="shared" ca="1" si="788"/>
        <v>0</v>
      </c>
      <c r="WW60" s="235">
        <f t="shared" ca="1" si="532"/>
        <v>1.0650177696007403E-3</v>
      </c>
      <c r="WX60" s="235">
        <f t="shared" ca="1" si="533"/>
        <v>1.0650177696007403E-3</v>
      </c>
      <c r="WY60" s="242">
        <f t="shared" ca="1" si="534"/>
        <v>1.0650177696007403E-3</v>
      </c>
      <c r="WZ60" s="241">
        <f t="shared" ca="1" si="578"/>
        <v>1</v>
      </c>
      <c r="XA60" s="220">
        <f t="shared" ca="1" si="789"/>
        <v>2.0825806429510707E-2</v>
      </c>
      <c r="XB60" s="220">
        <f t="shared" ca="1" si="790"/>
        <v>0</v>
      </c>
      <c r="XC60" s="235">
        <f t="shared" ca="1" si="537"/>
        <v>7.1523300597822715E-4</v>
      </c>
      <c r="XD60" s="235">
        <f t="shared" ca="1" si="538"/>
        <v>7.1523300597822715E-4</v>
      </c>
      <c r="XE60" s="242">
        <f t="shared" ca="1" si="539"/>
        <v>7.1523300597822715E-4</v>
      </c>
      <c r="XF60" s="241">
        <f t="shared" ca="1" si="578"/>
        <v>1</v>
      </c>
      <c r="XG60" s="220">
        <f t="shared" ca="1" si="791"/>
        <v>1.410075784309954E-2</v>
      </c>
      <c r="XH60" s="220">
        <f t="shared" ca="1" si="792"/>
        <v>0</v>
      </c>
      <c r="XI60" s="235">
        <f t="shared" ca="1" si="542"/>
        <v>4.6789437576883483E-4</v>
      </c>
      <c r="XJ60" s="235">
        <f t="shared" ca="1" si="543"/>
        <v>4.6789437576883483E-4</v>
      </c>
      <c r="XK60" s="242">
        <f t="shared" ca="1" si="544"/>
        <v>4.6789437576883483E-4</v>
      </c>
    </row>
    <row r="61" spans="2:635" x14ac:dyDescent="0.25">
      <c r="B61" s="65">
        <f t="shared" ca="1" si="14"/>
        <v>2076</v>
      </c>
      <c r="C61" s="65" t="s">
        <v>741</v>
      </c>
      <c r="D61" s="77">
        <f t="shared" si="580"/>
        <v>0</v>
      </c>
      <c r="E61" s="77">
        <f t="shared" si="581"/>
        <v>0</v>
      </c>
      <c r="F61" s="77" t="b">
        <f t="shared" si="793"/>
        <v>0</v>
      </c>
      <c r="G61" s="77" t="b">
        <f t="shared" si="794"/>
        <v>0</v>
      </c>
      <c r="H61" s="15" t="e">
        <f t="shared" ca="1" si="582"/>
        <v>#REF!</v>
      </c>
      <c r="L61" s="326">
        <f t="shared" ca="1" si="583"/>
        <v>3.5000000000000003E-2</v>
      </c>
      <c r="M61" s="327">
        <f t="shared" ca="1" si="584"/>
        <v>3.5000000000000003E-2</v>
      </c>
      <c r="N61" s="322">
        <f t="shared" ca="1" si="579"/>
        <v>-53</v>
      </c>
      <c r="O61" s="322">
        <f t="shared" ca="1" si="585"/>
        <v>0</v>
      </c>
      <c r="P61" s="328">
        <f t="shared" ca="1" si="545"/>
        <v>26.87829936156087</v>
      </c>
      <c r="Q61" s="328">
        <f t="shared" ca="1" si="546"/>
        <v>26.87829936156087</v>
      </c>
      <c r="R61" s="328">
        <f t="shared" ca="1" si="547"/>
        <v>26.87829936156087</v>
      </c>
      <c r="S61" s="329">
        <f t="shared" ca="1" si="586"/>
        <v>3.8642415640549425E-2</v>
      </c>
      <c r="T61" s="329">
        <f t="shared" ca="1" si="587"/>
        <v>3.8642415640549425E-2</v>
      </c>
      <c r="U61" s="329">
        <f t="shared" ca="1" si="588"/>
        <v>3.8642415640549425E-2</v>
      </c>
      <c r="V61" s="320" t="e">
        <f t="shared" ca="1" si="589"/>
        <v>#REF!</v>
      </c>
      <c r="W61" s="320" t="e">
        <f t="shared" ca="1" si="560"/>
        <v>#REF!</v>
      </c>
      <c r="X61" s="320" t="e">
        <f t="shared" ca="1" si="590"/>
        <v>#REF!</v>
      </c>
      <c r="Y61" s="320" t="e">
        <f ca="1">INDEX(SC_ZA_HECMLumpSum,ZAIDX)</f>
        <v>#REF!</v>
      </c>
      <c r="Z61" s="320" t="e">
        <f t="shared" ca="1" si="591"/>
        <v>#REF!</v>
      </c>
      <c r="AA61" s="320" t="e">
        <f t="shared" ca="1" si="557"/>
        <v>#REF!</v>
      </c>
      <c r="AB61" s="320" t="e">
        <f t="shared" ca="1" si="558"/>
        <v>#REF!</v>
      </c>
      <c r="AC61" s="330" t="e">
        <f t="shared" ca="1" si="559"/>
        <v>#REF!</v>
      </c>
      <c r="AD61" s="236" t="e">
        <f t="shared" ca="1" si="548"/>
        <v>#REF!</v>
      </c>
      <c r="AE61" s="320" t="e">
        <f t="shared" ca="1" si="561"/>
        <v>#REF!</v>
      </c>
      <c r="AF61" s="320" t="e">
        <f t="shared" ca="1" si="592"/>
        <v>#REF!</v>
      </c>
      <c r="AG61" s="320" t="e">
        <f t="shared" ca="1" si="549"/>
        <v>#REF!</v>
      </c>
      <c r="AH61" s="284" t="e">
        <f t="shared" ca="1" si="550"/>
        <v>#REF!</v>
      </c>
      <c r="AI61" s="318" t="e">
        <f t="shared" ca="1" si="551"/>
        <v>#REF!</v>
      </c>
      <c r="AJ61" s="331">
        <f t="shared" ca="1" si="807"/>
        <v>1</v>
      </c>
      <c r="AK61" s="220">
        <f t="shared" ca="1" si="593"/>
        <v>1</v>
      </c>
      <c r="AL61" s="220">
        <f t="shared" ca="1" si="594"/>
        <v>0</v>
      </c>
      <c r="AM61" s="235">
        <f t="shared" ca="1" si="554"/>
        <v>1</v>
      </c>
      <c r="AN61" s="235">
        <f t="shared" ca="1" si="555"/>
        <v>1</v>
      </c>
      <c r="AO61" s="242">
        <f t="shared" ca="1" si="556"/>
        <v>1</v>
      </c>
      <c r="AP61" s="241">
        <f t="shared" ca="1" si="807"/>
        <v>1</v>
      </c>
      <c r="AQ61" s="220">
        <f t="shared" ca="1" si="595"/>
        <v>0.99361699999999997</v>
      </c>
      <c r="AR61" s="220">
        <f t="shared" ca="1" si="596"/>
        <v>0</v>
      </c>
      <c r="AS61" s="235">
        <f t="shared" ca="1" si="43"/>
        <v>0.96001642512077301</v>
      </c>
      <c r="AT61" s="235">
        <f t="shared" ca="1" si="44"/>
        <v>0.96001642512077301</v>
      </c>
      <c r="AU61" s="242">
        <f t="shared" ca="1" si="45"/>
        <v>0.96001642512077301</v>
      </c>
      <c r="AV61" s="241">
        <f t="shared" ca="1" si="807"/>
        <v>1</v>
      </c>
      <c r="AW61" s="220">
        <f t="shared" ca="1" si="597"/>
        <v>0.99316689149899995</v>
      </c>
      <c r="AX61" s="220">
        <f t="shared" ca="1" si="598"/>
        <v>0</v>
      </c>
      <c r="AY61" s="235">
        <f t="shared" ca="1" si="48"/>
        <v>0.92713192046395487</v>
      </c>
      <c r="AZ61" s="235">
        <f t="shared" ca="1" si="49"/>
        <v>0.92713192046395487</v>
      </c>
      <c r="BA61" s="242">
        <f t="shared" ca="1" si="50"/>
        <v>0.92713192046395487</v>
      </c>
      <c r="BB61" s="241">
        <f t="shared" ca="1" si="807"/>
        <v>1</v>
      </c>
      <c r="BC61" s="220">
        <f t="shared" ca="1" si="599"/>
        <v>0.99288681843559723</v>
      </c>
      <c r="BD61" s="220">
        <f t="shared" ca="1" si="600"/>
        <v>0</v>
      </c>
      <c r="BE61" s="235">
        <f t="shared" ca="1" si="54"/>
        <v>0.89552702344191704</v>
      </c>
      <c r="BF61" s="235">
        <f t="shared" ca="1" si="55"/>
        <v>0.89552702344191704</v>
      </c>
      <c r="BG61" s="242">
        <f t="shared" ca="1" si="56"/>
        <v>0.89552702344191704</v>
      </c>
      <c r="BH61" s="241">
        <f t="shared" ca="1" si="807"/>
        <v>1</v>
      </c>
      <c r="BI61" s="220">
        <f t="shared" ca="1" si="601"/>
        <v>0.99265845446735712</v>
      </c>
      <c r="BJ61" s="220">
        <f t="shared" ca="1" si="602"/>
        <v>0</v>
      </c>
      <c r="BK61" s="235">
        <f t="shared" ca="1" si="59"/>
        <v>0.86504449490485558</v>
      </c>
      <c r="BL61" s="235">
        <f t="shared" ca="1" si="60"/>
        <v>0.86504449490485558</v>
      </c>
      <c r="BM61" s="242">
        <f t="shared" ca="1" si="61"/>
        <v>0.86504449490485558</v>
      </c>
      <c r="BN61" s="241">
        <f t="shared" ca="1" si="807"/>
        <v>1</v>
      </c>
      <c r="BO61" s="220">
        <f t="shared" ca="1" si="603"/>
        <v>0.99249069518855215</v>
      </c>
      <c r="BP61" s="220">
        <f t="shared" ca="1" si="604"/>
        <v>0</v>
      </c>
      <c r="BQ61" s="235">
        <f t="shared" ca="1" si="64"/>
        <v>0.83565053370552345</v>
      </c>
      <c r="BR61" s="235">
        <f t="shared" ca="1" si="65"/>
        <v>0.83565053370552345</v>
      </c>
      <c r="BS61" s="242">
        <f t="shared" ca="1" si="66"/>
        <v>0.83565053370552345</v>
      </c>
      <c r="BT61" s="241">
        <f t="shared" ca="1" si="807"/>
        <v>1</v>
      </c>
      <c r="BU61" s="220">
        <f t="shared" ca="1" si="605"/>
        <v>0.99233685913079794</v>
      </c>
      <c r="BV61" s="220">
        <f t="shared" ca="1" si="606"/>
        <v>0</v>
      </c>
      <c r="BW61" s="235">
        <f t="shared" ca="1" si="69"/>
        <v>0.80726667427323584</v>
      </c>
      <c r="BX61" s="235">
        <f t="shared" ca="1" si="70"/>
        <v>0.80726667427323584</v>
      </c>
      <c r="BY61" s="242">
        <f t="shared" ca="1" si="71"/>
        <v>0.80726667427323584</v>
      </c>
      <c r="BZ61" s="241">
        <f t="shared" ca="1" si="807"/>
        <v>1</v>
      </c>
      <c r="CA61" s="220">
        <f t="shared" ca="1" si="607"/>
        <v>0.992192970286224</v>
      </c>
      <c r="CB61" s="220">
        <f t="shared" ca="1" si="608"/>
        <v>0</v>
      </c>
      <c r="CC61" s="235">
        <f t="shared" ca="1" si="74"/>
        <v>0.7798547058990013</v>
      </c>
      <c r="CD61" s="235">
        <f t="shared" ca="1" si="75"/>
        <v>0.7798547058990013</v>
      </c>
      <c r="CE61" s="242">
        <f t="shared" ca="1" si="76"/>
        <v>0.7798547058990013</v>
      </c>
      <c r="CF61" s="241">
        <f t="shared" ca="1" si="807"/>
        <v>1</v>
      </c>
      <c r="CG61" s="220">
        <f t="shared" ca="1" si="609"/>
        <v>0.9920590242352354</v>
      </c>
      <c r="CH61" s="220">
        <f t="shared" ca="1" si="610"/>
        <v>0</v>
      </c>
      <c r="CI61" s="235">
        <f t="shared" ca="1" si="79"/>
        <v>0.75338108745285515</v>
      </c>
      <c r="CJ61" s="235">
        <f t="shared" ca="1" si="80"/>
        <v>0.75338108745285515</v>
      </c>
      <c r="CK61" s="242">
        <f t="shared" ca="1" si="81"/>
        <v>0.75338108745285515</v>
      </c>
      <c r="CL61" s="241">
        <f t="shared" ca="1" si="807"/>
        <v>1</v>
      </c>
      <c r="CM61" s="220">
        <f t="shared" ca="1" si="611"/>
        <v>0.99193997715232718</v>
      </c>
      <c r="CN61" s="220">
        <f t="shared" ca="1" si="612"/>
        <v>0</v>
      </c>
      <c r="CO61" s="235">
        <f t="shared" ca="1" si="84"/>
        <v>0.72781708378972065</v>
      </c>
      <c r="CP61" s="235">
        <f t="shared" ca="1" si="85"/>
        <v>0.72781708378972065</v>
      </c>
      <c r="CQ61" s="242">
        <f t="shared" ca="1" si="86"/>
        <v>0.72781708378972065</v>
      </c>
      <c r="CR61" s="241">
        <f t="shared" ca="1" si="807"/>
        <v>1</v>
      </c>
      <c r="CS61" s="220">
        <f t="shared" ca="1" si="613"/>
        <v>0.99183582345472621</v>
      </c>
      <c r="CT61" s="220">
        <f t="shared" ca="1" si="614"/>
        <v>0</v>
      </c>
      <c r="CU61" s="235">
        <f t="shared" ca="1" si="89"/>
        <v>0.70313107535837949</v>
      </c>
      <c r="CV61" s="235">
        <f t="shared" ca="1" si="90"/>
        <v>0.70313107535837949</v>
      </c>
      <c r="CW61" s="242">
        <f t="shared" ca="1" si="91"/>
        <v>0.70313107535837949</v>
      </c>
      <c r="CX61" s="241">
        <f t="shared" ca="1" si="800"/>
        <v>1</v>
      </c>
      <c r="CY61" s="220">
        <f t="shared" ca="1" si="615"/>
        <v>0.99174259088732142</v>
      </c>
      <c r="CZ61" s="220">
        <f t="shared" ca="1" si="616"/>
        <v>0</v>
      </c>
      <c r="DA61" s="235">
        <f t="shared" ca="1" si="94"/>
        <v>0.6792898367510104</v>
      </c>
      <c r="DB61" s="235">
        <f t="shared" ca="1" si="95"/>
        <v>0.6792898367510104</v>
      </c>
      <c r="DC61" s="242">
        <f t="shared" ca="1" si="96"/>
        <v>0.6792898367510104</v>
      </c>
      <c r="DD61" s="241">
        <f t="shared" ca="1" si="800"/>
        <v>1</v>
      </c>
      <c r="DE61" s="220">
        <f t="shared" ca="1" si="617"/>
        <v>0.99164440837082357</v>
      </c>
      <c r="DF61" s="220">
        <f t="shared" ca="1" si="618"/>
        <v>0</v>
      </c>
      <c r="DG61" s="235">
        <f t="shared" ca="1" si="99"/>
        <v>0.65625370730161559</v>
      </c>
      <c r="DH61" s="235">
        <f t="shared" ca="1" si="100"/>
        <v>0.65625370730161559</v>
      </c>
      <c r="DI61" s="242">
        <f t="shared" ca="1" si="101"/>
        <v>0.65625370730161559</v>
      </c>
      <c r="DJ61" s="241">
        <f t="shared" ca="1" si="51"/>
        <v>1</v>
      </c>
      <c r="DK61" s="220">
        <f t="shared" ca="1" si="619"/>
        <v>0.9915115280201019</v>
      </c>
      <c r="DL61" s="220">
        <f t="shared" ca="1" si="620"/>
        <v>0</v>
      </c>
      <c r="DM61" s="235">
        <f t="shared" ca="1" si="104"/>
        <v>0.63397658870032592</v>
      </c>
      <c r="DN61" s="235">
        <f t="shared" ca="1" si="105"/>
        <v>0.63397658870032592</v>
      </c>
      <c r="DO61" s="242">
        <f t="shared" ca="1" si="106"/>
        <v>0.63397658870032592</v>
      </c>
      <c r="DP61" s="241">
        <f t="shared" ca="1" si="801"/>
        <v>1</v>
      </c>
      <c r="DQ61" s="220">
        <f t="shared" ca="1" si="621"/>
        <v>0.99130628513380181</v>
      </c>
      <c r="DR61" s="220">
        <f t="shared" ca="1" si="622"/>
        <v>0</v>
      </c>
      <c r="DS61" s="235">
        <f t="shared" ca="1" si="110"/>
        <v>0.61241097154247814</v>
      </c>
      <c r="DT61" s="235">
        <f t="shared" ca="1" si="111"/>
        <v>0.61241097154247814</v>
      </c>
      <c r="DU61" s="242">
        <f t="shared" ca="1" si="112"/>
        <v>0.61241097154247814</v>
      </c>
      <c r="DV61" s="241">
        <f t="shared" ca="1" si="801"/>
        <v>1</v>
      </c>
      <c r="DW61" s="220">
        <f t="shared" ca="1" si="623"/>
        <v>0.9909999714916955</v>
      </c>
      <c r="DX61" s="220">
        <f t="shared" ca="1" si="624"/>
        <v>0</v>
      </c>
      <c r="DY61" s="235">
        <f t="shared" ca="1" si="115"/>
        <v>0.59151858604084218</v>
      </c>
      <c r="DZ61" s="235">
        <f t="shared" ca="1" si="116"/>
        <v>0.59151858604084218</v>
      </c>
      <c r="EA61" s="242">
        <f t="shared" ca="1" si="117"/>
        <v>0.59151858604084218</v>
      </c>
      <c r="EB61" s="241">
        <f t="shared" ca="1" si="801"/>
        <v>1</v>
      </c>
      <c r="EC61" s="220">
        <f t="shared" ca="1" si="625"/>
        <v>0.99058474250364048</v>
      </c>
      <c r="ED61" s="220">
        <f t="shared" ca="1" si="626"/>
        <v>0</v>
      </c>
      <c r="EE61" s="235">
        <f t="shared" ca="1" si="120"/>
        <v>0.57127607705632</v>
      </c>
      <c r="EF61" s="235">
        <f t="shared" ca="1" si="121"/>
        <v>0.57127607705632</v>
      </c>
      <c r="EG61" s="242">
        <f t="shared" ca="1" si="122"/>
        <v>0.57127607705632</v>
      </c>
      <c r="EH61" s="241">
        <f t="shared" ca="1" si="801"/>
        <v>1</v>
      </c>
      <c r="EI61" s="220">
        <f t="shared" ca="1" si="627"/>
        <v>0.99005973259011348</v>
      </c>
      <c r="EJ61" s="220">
        <f t="shared" ca="1" si="628"/>
        <v>0</v>
      </c>
      <c r="EK61" s="235">
        <f t="shared" ca="1" si="125"/>
        <v>0.55166502486519819</v>
      </c>
      <c r="EL61" s="235">
        <f t="shared" ca="1" si="126"/>
        <v>0.55166502486519819</v>
      </c>
      <c r="EM61" s="242">
        <f t="shared" ca="1" si="127"/>
        <v>0.55166502486519819</v>
      </c>
      <c r="EN61" s="241">
        <f t="shared" ca="1" si="801"/>
        <v>1</v>
      </c>
      <c r="EO61" s="220">
        <f t="shared" ca="1" si="629"/>
        <v>0.98941124346526699</v>
      </c>
      <c r="EP61" s="220">
        <f t="shared" ca="1" si="630"/>
        <v>0</v>
      </c>
      <c r="EQ61" s="235">
        <f t="shared" ca="1" si="130"/>
        <v>0.53266056451585653</v>
      </c>
      <c r="ER61" s="235">
        <f t="shared" ca="1" si="131"/>
        <v>0.53266056451585653</v>
      </c>
      <c r="ES61" s="242">
        <f t="shared" ca="1" si="132"/>
        <v>0.53266056451585653</v>
      </c>
      <c r="ET61" s="241">
        <f t="shared" ca="1" si="801"/>
        <v>1</v>
      </c>
      <c r="EU61" s="220">
        <f t="shared" ca="1" si="631"/>
        <v>0.98862861917168599</v>
      </c>
      <c r="EV61" s="220">
        <f t="shared" ca="1" si="632"/>
        <v>0</v>
      </c>
      <c r="EW61" s="235">
        <f t="shared" ca="1" si="135"/>
        <v>0.51424080194137645</v>
      </c>
      <c r="EX61" s="235">
        <f t="shared" ca="1" si="136"/>
        <v>0.51424080194137645</v>
      </c>
      <c r="EY61" s="242">
        <f t="shared" ca="1" si="137"/>
        <v>0.51424080194137645</v>
      </c>
      <c r="EZ61" s="241">
        <f t="shared" ca="1" si="801"/>
        <v>1</v>
      </c>
      <c r="FA61" s="220">
        <f t="shared" ca="1" si="633"/>
        <v>0.98770524004137961</v>
      </c>
      <c r="FB61" s="220">
        <f t="shared" ca="1" si="634"/>
        <v>0</v>
      </c>
      <c r="FC61" s="235">
        <f t="shared" ca="1" si="140"/>
        <v>0.49638695751919149</v>
      </c>
      <c r="FD61" s="235">
        <f t="shared" ca="1" si="141"/>
        <v>0.49638695751919149</v>
      </c>
      <c r="FE61" s="242">
        <f t="shared" ca="1" si="142"/>
        <v>0.49638695751919149</v>
      </c>
      <c r="FF61" s="241">
        <f t="shared" ca="1" si="801"/>
        <v>1</v>
      </c>
      <c r="FG61" s="220">
        <f t="shared" ca="1" si="635"/>
        <v>0.98663357985593469</v>
      </c>
      <c r="FH61" s="220">
        <f t="shared" ca="1" si="636"/>
        <v>0</v>
      </c>
      <c r="FI61" s="235">
        <f t="shared" ca="1" si="145"/>
        <v>0.4790805581355394</v>
      </c>
      <c r="FJ61" s="235">
        <f t="shared" ca="1" si="146"/>
        <v>0.4790805581355394</v>
      </c>
      <c r="FK61" s="242">
        <f t="shared" ca="1" si="147"/>
        <v>0.4790805581355394</v>
      </c>
      <c r="FL61" s="241">
        <f t="shared" ca="1" si="801"/>
        <v>1</v>
      </c>
      <c r="FM61" s="220">
        <f t="shared" ca="1" si="637"/>
        <v>0.98542199381987161</v>
      </c>
      <c r="FN61" s="220">
        <f t="shared" ca="1" si="638"/>
        <v>0</v>
      </c>
      <c r="FO61" s="235">
        <f t="shared" ca="1" si="150"/>
        <v>0.46231134996149653</v>
      </c>
      <c r="FP61" s="235">
        <f t="shared" ca="1" si="151"/>
        <v>0.46231134996149653</v>
      </c>
      <c r="FQ61" s="242">
        <f t="shared" ca="1" si="152"/>
        <v>0.46231134996149653</v>
      </c>
      <c r="FR61" s="241">
        <f t="shared" ca="1" si="801"/>
        <v>1</v>
      </c>
      <c r="FS61" s="220">
        <f t="shared" ca="1" si="639"/>
        <v>0.98410251377014679</v>
      </c>
      <c r="FT61" s="220">
        <f t="shared" ca="1" si="640"/>
        <v>0</v>
      </c>
      <c r="FU61" s="235">
        <f t="shared" ca="1" si="155"/>
        <v>0.44607953146270346</v>
      </c>
      <c r="FV61" s="235">
        <f t="shared" ca="1" si="156"/>
        <v>0.44607953146270346</v>
      </c>
      <c r="FW61" s="242">
        <f t="shared" ca="1" si="157"/>
        <v>0.44607953146270346</v>
      </c>
      <c r="FX61" s="241">
        <f t="shared" ca="1" si="801"/>
        <v>1</v>
      </c>
      <c r="FY61" s="220">
        <f t="shared" ca="1" si="641"/>
        <v>0.98272181794332725</v>
      </c>
      <c r="FZ61" s="220">
        <f t="shared" ca="1" si="642"/>
        <v>0</v>
      </c>
      <c r="GA61" s="235">
        <f t="shared" ca="1" si="160"/>
        <v>0.43039003080199167</v>
      </c>
      <c r="GB61" s="235">
        <f t="shared" ca="1" si="161"/>
        <v>0.43039003080199167</v>
      </c>
      <c r="GC61" s="242">
        <f t="shared" ca="1" si="162"/>
        <v>0.43039003080199167</v>
      </c>
      <c r="GD61" s="241">
        <f t="shared" ca="1" si="795"/>
        <v>1</v>
      </c>
      <c r="GE61" s="220">
        <f t="shared" ca="1" si="643"/>
        <v>0.98131357757821447</v>
      </c>
      <c r="GF61" s="220">
        <f t="shared" ca="1" si="644"/>
        <v>0</v>
      </c>
      <c r="GG61" s="235">
        <f t="shared" ca="1" si="166"/>
        <v>0.41523988588198307</v>
      </c>
      <c r="GH61" s="235">
        <f t="shared" ca="1" si="167"/>
        <v>0.41523988588198307</v>
      </c>
      <c r="GI61" s="242">
        <f t="shared" ca="1" si="168"/>
        <v>0.41523988588198307</v>
      </c>
      <c r="GJ61" s="241">
        <f t="shared" ca="1" si="795"/>
        <v>1</v>
      </c>
      <c r="GK61" s="220">
        <f t="shared" ca="1" si="645"/>
        <v>0.97988969157714845</v>
      </c>
      <c r="GL61" s="220">
        <f t="shared" ca="1" si="646"/>
        <v>0</v>
      </c>
      <c r="GM61" s="235">
        <f t="shared" ca="1" si="171"/>
        <v>0.40061581913774713</v>
      </c>
      <c r="GN61" s="235">
        <f t="shared" ca="1" si="172"/>
        <v>0.40061581913774713</v>
      </c>
      <c r="GO61" s="242">
        <f t="shared" ca="1" si="173"/>
        <v>0.40061581913774713</v>
      </c>
      <c r="GP61" s="241">
        <f t="shared" ca="1" si="802"/>
        <v>1</v>
      </c>
      <c r="GQ61" s="220">
        <f t="shared" ca="1" si="647"/>
        <v>0.9784443542820721</v>
      </c>
      <c r="GR61" s="220">
        <f t="shared" ca="1" si="648"/>
        <v>0</v>
      </c>
      <c r="GS61" s="235">
        <f t="shared" ca="1" si="176"/>
        <v>0.38649749836185404</v>
      </c>
      <c r="GT61" s="235">
        <f t="shared" ca="1" si="177"/>
        <v>0.38649749836185404</v>
      </c>
      <c r="GU61" s="242">
        <f t="shared" ca="1" si="178"/>
        <v>0.38649749836185404</v>
      </c>
      <c r="GV61" s="241">
        <f t="shared" ca="1" si="802"/>
        <v>1</v>
      </c>
      <c r="GW61" s="220">
        <f t="shared" ca="1" si="649"/>
        <v>0.97697473086194042</v>
      </c>
      <c r="GX61" s="220">
        <f t="shared" ca="1" si="650"/>
        <v>0</v>
      </c>
      <c r="GY61" s="235">
        <f t="shared" ca="1" si="181"/>
        <v>0.37286664649209134</v>
      </c>
      <c r="GZ61" s="235">
        <f t="shared" ca="1" si="182"/>
        <v>0.37286664649209134</v>
      </c>
      <c r="HA61" s="242">
        <f t="shared" ca="1" si="183"/>
        <v>0.37286664649209134</v>
      </c>
      <c r="HB61" s="241">
        <f t="shared" ca="1" si="802"/>
        <v>1</v>
      </c>
      <c r="HC61" s="220">
        <f t="shared" ca="1" si="651"/>
        <v>0.97547214372587476</v>
      </c>
      <c r="HD61" s="220">
        <f t="shared" ca="1" si="652"/>
        <v>0</v>
      </c>
      <c r="HE61" s="235">
        <f t="shared" ca="1" si="186"/>
        <v>0.35970355322684694</v>
      </c>
      <c r="HF61" s="235">
        <f t="shared" ca="1" si="187"/>
        <v>0.35970355322684694</v>
      </c>
      <c r="HG61" s="242">
        <f t="shared" ca="1" si="188"/>
        <v>0.35970355322684694</v>
      </c>
      <c r="HH61" s="241">
        <f t="shared" ca="1" si="802"/>
        <v>1</v>
      </c>
      <c r="HI61" s="220">
        <f t="shared" ca="1" si="653"/>
        <v>0.9739299222666441</v>
      </c>
      <c r="HJ61" s="220">
        <f t="shared" ca="1" si="654"/>
        <v>0</v>
      </c>
      <c r="HK61" s="235">
        <f t="shared" ca="1" si="191"/>
        <v>0.34699020474318382</v>
      </c>
      <c r="HL61" s="235">
        <f t="shared" ca="1" si="192"/>
        <v>0.34699020474318382</v>
      </c>
      <c r="HM61" s="242">
        <f t="shared" ca="1" si="193"/>
        <v>0.34699020474318382</v>
      </c>
      <c r="HN61" s="241">
        <f t="shared" ca="1" si="802"/>
        <v>1</v>
      </c>
      <c r="HO61" s="220">
        <f t="shared" ca="1" si="655"/>
        <v>0.97234631221303847</v>
      </c>
      <c r="HP61" s="220">
        <f t="shared" ca="1" si="656"/>
        <v>0</v>
      </c>
      <c r="HQ61" s="235">
        <f t="shared" ca="1" si="196"/>
        <v>0.33471110982634922</v>
      </c>
      <c r="HR61" s="235">
        <f t="shared" ca="1" si="197"/>
        <v>0.33471110982634922</v>
      </c>
      <c r="HS61" s="242">
        <f t="shared" ca="1" si="198"/>
        <v>0.33471110982634922</v>
      </c>
      <c r="HT61" s="241">
        <f t="shared" ca="1" si="802"/>
        <v>1</v>
      </c>
      <c r="HU61" s="220">
        <f t="shared" ca="1" si="657"/>
        <v>0.97072346621795491</v>
      </c>
      <c r="HV61" s="220">
        <f t="shared" ca="1" si="658"/>
        <v>0</v>
      </c>
      <c r="HW61" s="235">
        <f t="shared" ca="1" si="201"/>
        <v>0.32285263476719722</v>
      </c>
      <c r="HX61" s="235">
        <f t="shared" ca="1" si="202"/>
        <v>0.32285263476719722</v>
      </c>
      <c r="HY61" s="242">
        <f t="shared" ca="1" si="203"/>
        <v>0.32285263476719722</v>
      </c>
      <c r="HZ61" s="241">
        <f t="shared" ca="1" si="802"/>
        <v>1</v>
      </c>
      <c r="IA61" s="220">
        <f t="shared" ca="1" si="659"/>
        <v>0.96906158764378969</v>
      </c>
      <c r="IB61" s="220">
        <f t="shared" ca="1" si="660"/>
        <v>0</v>
      </c>
      <c r="IC61" s="235">
        <f t="shared" ca="1" si="206"/>
        <v>0.31140088024780266</v>
      </c>
      <c r="ID61" s="235">
        <f t="shared" ca="1" si="207"/>
        <v>0.31140088024780266</v>
      </c>
      <c r="IE61" s="242">
        <f t="shared" ca="1" si="208"/>
        <v>0.31140088024780266</v>
      </c>
      <c r="IF61" s="241">
        <f t="shared" ca="1" si="802"/>
        <v>1</v>
      </c>
      <c r="IG61" s="220">
        <f t="shared" ca="1" si="661"/>
        <v>0.96736088455747493</v>
      </c>
      <c r="IH61" s="220">
        <f t="shared" ca="1" si="662"/>
        <v>0</v>
      </c>
      <c r="II61" s="235">
        <f t="shared" ca="1" si="211"/>
        <v>0.30034238811880948</v>
      </c>
      <c r="IJ61" s="235">
        <f t="shared" ca="1" si="212"/>
        <v>0.30034238811880948</v>
      </c>
      <c r="IK61" s="242">
        <f t="shared" ca="1" si="213"/>
        <v>0.30034238811880948</v>
      </c>
      <c r="IL61" s="241">
        <f t="shared" ca="1" si="802"/>
        <v>1</v>
      </c>
      <c r="IM61" s="220">
        <f t="shared" ca="1" si="663"/>
        <v>0.96561963496527148</v>
      </c>
      <c r="IN61" s="220">
        <f t="shared" ca="1" si="664"/>
        <v>0</v>
      </c>
      <c r="IO61" s="235">
        <f t="shared" ca="1" si="216"/>
        <v>0.28966354765236296</v>
      </c>
      <c r="IP61" s="235">
        <f t="shared" ca="1" si="217"/>
        <v>0.28966354765236296</v>
      </c>
      <c r="IQ61" s="242">
        <f t="shared" ca="1" si="218"/>
        <v>0.28966354765236296</v>
      </c>
      <c r="IR61" s="241">
        <f t="shared" ca="1" si="802"/>
        <v>1</v>
      </c>
      <c r="IS61" s="220">
        <f t="shared" ca="1" si="665"/>
        <v>0.96382841054241086</v>
      </c>
      <c r="IT61" s="220">
        <f t="shared" ca="1" si="666"/>
        <v>0</v>
      </c>
      <c r="IU61" s="235">
        <f t="shared" ca="1" si="222"/>
        <v>0.27934900654248102</v>
      </c>
      <c r="IV61" s="235">
        <f t="shared" ca="1" si="223"/>
        <v>0.27934900654248102</v>
      </c>
      <c r="IW61" s="242">
        <f t="shared" ca="1" si="224"/>
        <v>0.27934900654248102</v>
      </c>
      <c r="IX61" s="241">
        <f t="shared" ca="1" si="802"/>
        <v>1</v>
      </c>
      <c r="IY61" s="220">
        <f t="shared" ca="1" si="667"/>
        <v>0.9619778599941694</v>
      </c>
      <c r="IZ61" s="220">
        <f t="shared" ca="1" si="668"/>
        <v>0</v>
      </c>
      <c r="JA61" s="235">
        <f t="shared" ca="1" si="227"/>
        <v>0.26938420913035699</v>
      </c>
      <c r="JB61" s="235">
        <f t="shared" ca="1" si="228"/>
        <v>0.26938420913035699</v>
      </c>
      <c r="JC61" s="242">
        <f t="shared" ca="1" si="229"/>
        <v>0.26938420913035699</v>
      </c>
      <c r="JD61" s="241">
        <f t="shared" ca="1" si="796"/>
        <v>1</v>
      </c>
      <c r="JE61" s="220">
        <f t="shared" ca="1" si="669"/>
        <v>0.96006544800850102</v>
      </c>
      <c r="JF61" s="220">
        <f t="shared" ca="1" si="670"/>
        <v>0</v>
      </c>
      <c r="JG61" s="235">
        <f t="shared" ca="1" si="232"/>
        <v>0.25975717229237277</v>
      </c>
      <c r="JH61" s="235">
        <f t="shared" ca="1" si="233"/>
        <v>0.25975717229237277</v>
      </c>
      <c r="JI61" s="242">
        <f t="shared" ca="1" si="234"/>
        <v>0.25975717229237277</v>
      </c>
      <c r="JJ61" s="241">
        <f t="shared" ca="1" si="796"/>
        <v>1</v>
      </c>
      <c r="JK61" s="220">
        <f t="shared" ca="1" si="671"/>
        <v>0.9580877131856036</v>
      </c>
      <c r="JL61" s="220">
        <f t="shared" ca="1" si="672"/>
        <v>0</v>
      </c>
      <c r="JM61" s="235">
        <f t="shared" ca="1" si="237"/>
        <v>0.25045610871251262</v>
      </c>
      <c r="JN61" s="235">
        <f t="shared" ca="1" si="238"/>
        <v>0.25045610871251262</v>
      </c>
      <c r="JO61" s="242">
        <f t="shared" ca="1" si="239"/>
        <v>0.25045610871251262</v>
      </c>
      <c r="JP61" s="241">
        <f t="shared" ca="1" si="803"/>
        <v>1</v>
      </c>
      <c r="JQ61" s="220">
        <f t="shared" ca="1" si="673"/>
        <v>0.95603644739167326</v>
      </c>
      <c r="JR61" s="220">
        <f t="shared" ca="1" si="674"/>
        <v>0</v>
      </c>
      <c r="JS61" s="235">
        <f t="shared" ca="1" si="242"/>
        <v>0.24146848520169967</v>
      </c>
      <c r="JT61" s="235">
        <f t="shared" ca="1" si="243"/>
        <v>0.24146848520169967</v>
      </c>
      <c r="JU61" s="242">
        <f t="shared" ca="1" si="244"/>
        <v>0.24146848520169967</v>
      </c>
      <c r="JV61" s="241">
        <f t="shared" ca="1" si="803"/>
        <v>1</v>
      </c>
      <c r="JW61" s="220">
        <f t="shared" ca="1" si="675"/>
        <v>0.95389492574951584</v>
      </c>
      <c r="JX61" s="220">
        <f t="shared" ca="1" si="676"/>
        <v>0</v>
      </c>
      <c r="JY61" s="235">
        <f t="shared" ca="1" si="247"/>
        <v>0.23278028579212359</v>
      </c>
      <c r="JZ61" s="235">
        <f t="shared" ca="1" si="248"/>
        <v>0.23278028579212359</v>
      </c>
      <c r="KA61" s="242">
        <f t="shared" ca="1" si="249"/>
        <v>0.23278028579212359</v>
      </c>
      <c r="KB61" s="241">
        <f t="shared" ca="1" si="803"/>
        <v>1</v>
      </c>
      <c r="KC61" s="220">
        <f t="shared" ca="1" si="677"/>
        <v>0.95164182593489555</v>
      </c>
      <c r="KD61" s="220">
        <f t="shared" ca="1" si="678"/>
        <v>0</v>
      </c>
      <c r="KE61" s="235">
        <f t="shared" ca="1" si="252"/>
        <v>0.22437725483776094</v>
      </c>
      <c r="KF61" s="235">
        <f t="shared" ca="1" si="253"/>
        <v>0.22437725483776094</v>
      </c>
      <c r="KG61" s="242">
        <f t="shared" ca="1" si="254"/>
        <v>0.22437725483776094</v>
      </c>
      <c r="KH61" s="241">
        <f t="shared" ca="1" si="803"/>
        <v>1</v>
      </c>
      <c r="KI61" s="220">
        <f t="shared" ca="1" si="679"/>
        <v>0.94925415659362489</v>
      </c>
      <c r="KJ61" s="220">
        <f t="shared" ca="1" si="680"/>
        <v>0</v>
      </c>
      <c r="KK61" s="235">
        <f t="shared" ca="1" si="257"/>
        <v>0.21624569304866956</v>
      </c>
      <c r="KL61" s="235">
        <f t="shared" ca="1" si="258"/>
        <v>0.21624569304866956</v>
      </c>
      <c r="KM61" s="242">
        <f t="shared" ca="1" si="259"/>
        <v>0.21624569304866956</v>
      </c>
      <c r="KN61" s="241">
        <f t="shared" ca="1" si="803"/>
        <v>1</v>
      </c>
      <c r="KO61" s="220">
        <f t="shared" ca="1" si="681"/>
        <v>0.94670635843732753</v>
      </c>
      <c r="KP61" s="220">
        <f t="shared" ca="1" si="682"/>
        <v>0</v>
      </c>
      <c r="KQ61" s="235">
        <f t="shared" ca="1" si="262"/>
        <v>0.2083722604913304</v>
      </c>
      <c r="KR61" s="235">
        <f t="shared" ca="1" si="263"/>
        <v>0.2083722604913304</v>
      </c>
      <c r="KS61" s="242">
        <f t="shared" ca="1" si="264"/>
        <v>0.2083722604913304</v>
      </c>
      <c r="KT61" s="241">
        <f t="shared" ca="1" si="803"/>
        <v>1</v>
      </c>
      <c r="KU61" s="220">
        <f t="shared" ca="1" si="683"/>
        <v>0.94397037706144371</v>
      </c>
      <c r="KV61" s="220">
        <f t="shared" ca="1" si="684"/>
        <v>0</v>
      </c>
      <c r="KW61" s="235">
        <f t="shared" ca="1" si="267"/>
        <v>0.20074402382464779</v>
      </c>
      <c r="KX61" s="235">
        <f t="shared" ca="1" si="268"/>
        <v>0.20074402382464779</v>
      </c>
      <c r="KY61" s="242">
        <f t="shared" ca="1" si="269"/>
        <v>0.20074402382464779</v>
      </c>
      <c r="KZ61" s="241">
        <f t="shared" ca="1" si="803"/>
        <v>1</v>
      </c>
      <c r="LA61" s="220">
        <f t="shared" ca="1" si="685"/>
        <v>0.94102424551463493</v>
      </c>
      <c r="LB61" s="220">
        <f t="shared" ca="1" si="686"/>
        <v>0</v>
      </c>
      <c r="LC61" s="235">
        <f t="shared" ca="1" si="272"/>
        <v>0.19335024321380778</v>
      </c>
      <c r="LD61" s="235">
        <f t="shared" ca="1" si="273"/>
        <v>0.19335024321380778</v>
      </c>
      <c r="LE61" s="242">
        <f t="shared" ca="1" si="274"/>
        <v>0.19335024321380778</v>
      </c>
      <c r="LF61" s="241">
        <f t="shared" ca="1" si="803"/>
        <v>1</v>
      </c>
      <c r="LG61" s="220">
        <f t="shared" ca="1" si="687"/>
        <v>0.93783793741932242</v>
      </c>
      <c r="LH61" s="220">
        <f t="shared" ca="1" si="688"/>
        <v>0</v>
      </c>
      <c r="LI61" s="235">
        <f t="shared" ca="1" si="278"/>
        <v>0.18617928433844047</v>
      </c>
      <c r="LJ61" s="235">
        <f t="shared" ca="1" si="279"/>
        <v>0.18617928433844047</v>
      </c>
      <c r="LK61" s="242">
        <f t="shared" ca="1" si="280"/>
        <v>0.18617928433844047</v>
      </c>
      <c r="LL61" s="241">
        <f t="shared" ca="1" si="803"/>
        <v>1</v>
      </c>
      <c r="LM61" s="220">
        <f t="shared" ca="1" si="689"/>
        <v>0.93436137218530901</v>
      </c>
      <c r="LN61" s="220">
        <f t="shared" ca="1" si="690"/>
        <v>0</v>
      </c>
      <c r="LO61" s="235">
        <f t="shared" ca="1" si="283"/>
        <v>0.17921653887091585</v>
      </c>
      <c r="LP61" s="235">
        <f t="shared" ca="1" si="284"/>
        <v>0.17921653887091585</v>
      </c>
      <c r="LQ61" s="242">
        <f t="shared" ca="1" si="285"/>
        <v>0.17921653887091585</v>
      </c>
      <c r="LR61" s="241">
        <f t="shared" ca="1" si="803"/>
        <v>1</v>
      </c>
      <c r="LS61" s="220">
        <f t="shared" ca="1" si="691"/>
        <v>0.93053889981169891</v>
      </c>
      <c r="LT61" s="220">
        <f t="shared" ca="1" si="692"/>
        <v>0</v>
      </c>
      <c r="LU61" s="235">
        <f t="shared" ca="1" si="288"/>
        <v>0.17244769469603377</v>
      </c>
      <c r="LV61" s="235">
        <f t="shared" ca="1" si="289"/>
        <v>0.17244769469603377</v>
      </c>
      <c r="LW61" s="242">
        <f t="shared" ca="1" si="290"/>
        <v>0.17244769469603377</v>
      </c>
      <c r="LX61" s="241">
        <f t="shared" ca="1" si="803"/>
        <v>1</v>
      </c>
      <c r="LY61" s="220">
        <f t="shared" ca="1" si="693"/>
        <v>0.92632262805665211</v>
      </c>
      <c r="LZ61" s="220">
        <f t="shared" ca="1" si="694"/>
        <v>0</v>
      </c>
      <c r="MA61" s="235">
        <f t="shared" ca="1" si="293"/>
        <v>0.16586119245542613</v>
      </c>
      <c r="MB61" s="235">
        <f t="shared" ca="1" si="294"/>
        <v>0.16586119245542613</v>
      </c>
      <c r="MC61" s="242">
        <f t="shared" ca="1" si="295"/>
        <v>0.16586119245542613</v>
      </c>
      <c r="MD61" s="241">
        <f t="shared" ca="1" si="797"/>
        <v>1</v>
      </c>
      <c r="ME61" s="220">
        <f t="shared" ca="1" si="695"/>
        <v>0.92167897272220412</v>
      </c>
      <c r="MF61" s="220">
        <f t="shared" ca="1" si="696"/>
        <v>0</v>
      </c>
      <c r="MG61" s="235">
        <f t="shared" ca="1" si="298"/>
        <v>0.15944901478033538</v>
      </c>
      <c r="MH61" s="235">
        <f t="shared" ca="1" si="299"/>
        <v>0.15944901478033538</v>
      </c>
      <c r="MI61" s="242">
        <f t="shared" ca="1" si="300"/>
        <v>0.15944901478033538</v>
      </c>
      <c r="MJ61" s="241">
        <f t="shared" ca="1" si="797"/>
        <v>1</v>
      </c>
      <c r="MK61" s="220">
        <f t="shared" ca="1" si="697"/>
        <v>0.91658761807688671</v>
      </c>
      <c r="ML61" s="220">
        <f t="shared" ca="1" si="698"/>
        <v>0</v>
      </c>
      <c r="MM61" s="235">
        <f t="shared" ca="1" si="303"/>
        <v>0.15320600813786359</v>
      </c>
      <c r="MN61" s="235">
        <f t="shared" ca="1" si="304"/>
        <v>0.15320600813786359</v>
      </c>
      <c r="MO61" s="242">
        <f t="shared" ca="1" si="305"/>
        <v>0.15320600813786359</v>
      </c>
      <c r="MP61" s="241">
        <f t="shared" ca="1" si="804"/>
        <v>1</v>
      </c>
      <c r="MQ61" s="220">
        <f t="shared" ca="1" si="699"/>
        <v>0.91103401369895887</v>
      </c>
      <c r="MR61" s="220">
        <f t="shared" ca="1" si="700"/>
        <v>0</v>
      </c>
      <c r="MS61" s="235">
        <f t="shared" ca="1" si="308"/>
        <v>0.1471282443812138</v>
      </c>
      <c r="MT61" s="235">
        <f t="shared" ca="1" si="309"/>
        <v>0.1471282443812138</v>
      </c>
      <c r="MU61" s="242">
        <f t="shared" ca="1" si="310"/>
        <v>0.1471282443812138</v>
      </c>
      <c r="MV61" s="241">
        <f t="shared" ca="1" si="804"/>
        <v>1</v>
      </c>
      <c r="MW61" s="220">
        <f t="shared" ca="1" si="701"/>
        <v>0.90501116783439506</v>
      </c>
      <c r="MX61" s="220">
        <f t="shared" ca="1" si="702"/>
        <v>0</v>
      </c>
      <c r="MY61" s="235">
        <f t="shared" ca="1" si="313"/>
        <v>0.14121312034551653</v>
      </c>
      <c r="MZ61" s="235">
        <f t="shared" ca="1" si="314"/>
        <v>0.14121312034551653</v>
      </c>
      <c r="NA61" s="242">
        <f t="shared" ca="1" si="315"/>
        <v>0.14121312034551653</v>
      </c>
      <c r="NB61" s="241">
        <f t="shared" ca="1" si="804"/>
        <v>1</v>
      </c>
      <c r="NC61" s="220">
        <f t="shared" ca="1" si="703"/>
        <v>0.89850685257116925</v>
      </c>
      <c r="ND61" s="220">
        <f t="shared" ca="1" si="704"/>
        <v>0</v>
      </c>
      <c r="NE61" s="235">
        <f t="shared" ca="1" si="318"/>
        <v>0.13545721898511429</v>
      </c>
      <c r="NF61" s="235">
        <f t="shared" ca="1" si="319"/>
        <v>0.13545721898511429</v>
      </c>
      <c r="NG61" s="242">
        <f t="shared" ca="1" si="320"/>
        <v>0.13545721898511429</v>
      </c>
      <c r="NH61" s="241">
        <f t="shared" ca="1" si="804"/>
        <v>1</v>
      </c>
      <c r="NI61" s="220">
        <f t="shared" ca="1" si="705"/>
        <v>0.89149849912111412</v>
      </c>
      <c r="NJ61" s="220">
        <f t="shared" ca="1" si="706"/>
        <v>0</v>
      </c>
      <c r="NK61" s="235">
        <f t="shared" ca="1" si="323"/>
        <v>0.12985570306959462</v>
      </c>
      <c r="NL61" s="235">
        <f t="shared" ca="1" si="324"/>
        <v>0.12985570306959462</v>
      </c>
      <c r="NM61" s="242">
        <f t="shared" ca="1" si="325"/>
        <v>0.12985570306959462</v>
      </c>
      <c r="NN61" s="241">
        <f t="shared" ca="1" si="804"/>
        <v>1</v>
      </c>
      <c r="NO61" s="220">
        <f t="shared" ca="1" si="707"/>
        <v>0.88395998781254592</v>
      </c>
      <c r="NP61" s="220">
        <f t="shared" ca="1" si="708"/>
        <v>0</v>
      </c>
      <c r="NQ61" s="235">
        <f t="shared" ca="1" si="328"/>
        <v>0.12440352004293539</v>
      </c>
      <c r="NR61" s="235">
        <f t="shared" ca="1" si="329"/>
        <v>0.12440352004293539</v>
      </c>
      <c r="NS61" s="242">
        <f t="shared" ca="1" si="330"/>
        <v>0.12440352004293539</v>
      </c>
      <c r="NT61" s="241">
        <f t="shared" ca="1" si="804"/>
        <v>1</v>
      </c>
      <c r="NU61" s="220">
        <f t="shared" ca="1" si="709"/>
        <v>0.87587705768398794</v>
      </c>
      <c r="NV61" s="220">
        <f t="shared" ca="1" si="710"/>
        <v>0</v>
      </c>
      <c r="NW61" s="235">
        <f t="shared" ca="1" si="334"/>
        <v>0.11909755966730703</v>
      </c>
      <c r="NX61" s="235">
        <f t="shared" ca="1" si="335"/>
        <v>0.11909755966730703</v>
      </c>
      <c r="NY61" s="242">
        <f t="shared" ca="1" si="336"/>
        <v>0.11909755966730703</v>
      </c>
      <c r="NZ61" s="241">
        <f t="shared" ca="1" si="804"/>
        <v>1</v>
      </c>
      <c r="OA61" s="220">
        <f t="shared" ca="1" si="711"/>
        <v>0.86723653050993543</v>
      </c>
      <c r="OB61" s="220">
        <f t="shared" ca="1" si="712"/>
        <v>0</v>
      </c>
      <c r="OC61" s="235">
        <f t="shared" ca="1" si="339"/>
        <v>0.11393493936346769</v>
      </c>
      <c r="OD61" s="235">
        <f t="shared" ca="1" si="340"/>
        <v>0.11393493936346769</v>
      </c>
      <c r="OE61" s="242">
        <f t="shared" ca="1" si="341"/>
        <v>0.11393493936346769</v>
      </c>
      <c r="OF61" s="241">
        <f t="shared" ca="1" si="804"/>
        <v>1</v>
      </c>
      <c r="OG61" s="220">
        <f t="shared" ca="1" si="713"/>
        <v>0.85802474408285889</v>
      </c>
      <c r="OH61" s="220">
        <f t="shared" ca="1" si="714"/>
        <v>0</v>
      </c>
      <c r="OI61" s="235">
        <f t="shared" ca="1" si="344"/>
        <v>0.10891277530197965</v>
      </c>
      <c r="OJ61" s="235">
        <f t="shared" ca="1" si="345"/>
        <v>0.10891277530197965</v>
      </c>
      <c r="OK61" s="242">
        <f t="shared" ca="1" si="346"/>
        <v>0.10891277530197965</v>
      </c>
      <c r="OL61" s="241">
        <f t="shared" ca="1" si="804"/>
        <v>1</v>
      </c>
      <c r="OM61" s="220">
        <f t="shared" ca="1" si="715"/>
        <v>0.84819349656515752</v>
      </c>
      <c r="ON61" s="220">
        <f t="shared" ca="1" si="716"/>
        <v>0</v>
      </c>
      <c r="OO61" s="235">
        <f t="shared" ca="1" si="349"/>
        <v>0.10402401229233778</v>
      </c>
      <c r="OP61" s="235">
        <f t="shared" ca="1" si="350"/>
        <v>0.10402401229233778</v>
      </c>
      <c r="OQ61" s="242">
        <f t="shared" ca="1" si="351"/>
        <v>0.10402401229233778</v>
      </c>
      <c r="OR61" s="241">
        <f t="shared" ca="1" si="804"/>
        <v>1</v>
      </c>
      <c r="OS61" s="220">
        <f t="shared" ca="1" si="717"/>
        <v>0.83771830688257787</v>
      </c>
      <c r="OT61" s="220">
        <f t="shared" ca="1" si="718"/>
        <v>0</v>
      </c>
      <c r="OU61" s="235">
        <f t="shared" ca="1" si="354"/>
        <v>9.9265039362828419E-2</v>
      </c>
      <c r="OV61" s="235">
        <f t="shared" ca="1" si="355"/>
        <v>9.9265039362828419E-2</v>
      </c>
      <c r="OW61" s="242">
        <f t="shared" ca="1" si="356"/>
        <v>9.9265039362828419E-2</v>
      </c>
      <c r="OX61" s="241">
        <f t="shared" ca="1" si="804"/>
        <v>1</v>
      </c>
      <c r="OY61" s="220">
        <f t="shared" ca="1" si="719"/>
        <v>0.82663110509098692</v>
      </c>
      <c r="OZ61" s="220">
        <f t="shared" ca="1" si="720"/>
        <v>0</v>
      </c>
      <c r="PA61" s="235">
        <f t="shared" ca="1" si="359"/>
        <v>9.4638904895518239E-2</v>
      </c>
      <c r="PB61" s="235">
        <f t="shared" ca="1" si="360"/>
        <v>9.4638904895518239E-2</v>
      </c>
      <c r="PC61" s="242">
        <f t="shared" ca="1" si="361"/>
        <v>9.4638904895518239E-2</v>
      </c>
      <c r="PD61" s="241">
        <f t="shared" ca="1" si="798"/>
        <v>1</v>
      </c>
      <c r="PE61" s="220">
        <f t="shared" ca="1" si="721"/>
        <v>0.81497808640251923</v>
      </c>
      <c r="PF61" s="220">
        <f t="shared" ca="1" si="722"/>
        <v>0</v>
      </c>
      <c r="PG61" s="235">
        <f t="shared" ca="1" si="364"/>
        <v>9.0149546138363415E-2</v>
      </c>
      <c r="PH61" s="235">
        <f t="shared" ca="1" si="365"/>
        <v>9.0149546138363415E-2</v>
      </c>
      <c r="PI61" s="242">
        <f t="shared" ca="1" si="366"/>
        <v>9.0149546138363415E-2</v>
      </c>
      <c r="PJ61" s="241">
        <f t="shared" ca="1" si="798"/>
        <v>1</v>
      </c>
      <c r="PK61" s="220">
        <f t="shared" ca="1" si="723"/>
        <v>0.80277052964629592</v>
      </c>
      <c r="PL61" s="220">
        <f t="shared" ca="1" si="724"/>
        <v>0</v>
      </c>
      <c r="PM61" s="235">
        <f t="shared" ca="1" si="369"/>
        <v>8.5796324721504238E-2</v>
      </c>
      <c r="PN61" s="235">
        <f t="shared" ca="1" si="370"/>
        <v>8.5796324721504238E-2</v>
      </c>
      <c r="PO61" s="242">
        <f t="shared" ca="1" si="371"/>
        <v>8.5796324721504238E-2</v>
      </c>
      <c r="PP61" s="241">
        <f t="shared" ca="1" si="805"/>
        <v>1</v>
      </c>
      <c r="PQ61" s="220">
        <f t="shared" ca="1" si="725"/>
        <v>0.78995269259943357</v>
      </c>
      <c r="PR61" s="220">
        <f t="shared" ca="1" si="726"/>
        <v>0</v>
      </c>
      <c r="PS61" s="235">
        <f t="shared" ca="1" si="374"/>
        <v>8.1571415270218356E-2</v>
      </c>
      <c r="PT61" s="235">
        <f t="shared" ca="1" si="375"/>
        <v>8.1571415270218356E-2</v>
      </c>
      <c r="PU61" s="242">
        <f t="shared" ca="1" si="376"/>
        <v>8.1571415270218356E-2</v>
      </c>
      <c r="PV61" s="241">
        <f t="shared" ca="1" si="805"/>
        <v>1</v>
      </c>
      <c r="PW61" s="220">
        <f t="shared" ca="1" si="727"/>
        <v>0.77643739198174988</v>
      </c>
      <c r="PX61" s="220">
        <f t="shared" ca="1" si="728"/>
        <v>0</v>
      </c>
      <c r="PY61" s="235">
        <f t="shared" ca="1" si="379"/>
        <v>7.7464550653488104E-2</v>
      </c>
      <c r="PZ61" s="235">
        <f t="shared" ca="1" si="380"/>
        <v>7.7464550653488104E-2</v>
      </c>
      <c r="QA61" s="242">
        <f t="shared" ca="1" si="381"/>
        <v>7.7464550653488104E-2</v>
      </c>
      <c r="QB61" s="241">
        <f t="shared" ca="1" si="805"/>
        <v>1</v>
      </c>
      <c r="QC61" s="220">
        <f t="shared" ca="1" si="729"/>
        <v>0.76215715546842155</v>
      </c>
      <c r="QD61" s="220">
        <f t="shared" ca="1" si="730"/>
        <v>0</v>
      </c>
      <c r="QE61" s="235">
        <f t="shared" ca="1" si="384"/>
        <v>7.3468427669438799E-2</v>
      </c>
      <c r="QF61" s="235">
        <f t="shared" ca="1" si="385"/>
        <v>7.3468427669438799E-2</v>
      </c>
      <c r="QG61" s="242">
        <f t="shared" ca="1" si="386"/>
        <v>7.3468427669438799E-2</v>
      </c>
      <c r="QH61" s="241">
        <f t="shared" ca="1" si="805"/>
        <v>1</v>
      </c>
      <c r="QI61" s="220">
        <f t="shared" ca="1" si="731"/>
        <v>0.74703900613254992</v>
      </c>
      <c r="QJ61" s="220">
        <f t="shared" ca="1" si="732"/>
        <v>0</v>
      </c>
      <c r="QK61" s="235">
        <f t="shared" ca="1" si="390"/>
        <v>6.9575949698732195E-2</v>
      </c>
      <c r="QL61" s="235">
        <f t="shared" ca="1" si="391"/>
        <v>6.9575949698732195E-2</v>
      </c>
      <c r="QM61" s="242">
        <f t="shared" ca="1" si="392"/>
        <v>6.9575949698732195E-2</v>
      </c>
      <c r="QN61" s="241">
        <f t="shared" ca="1" si="805"/>
        <v>1</v>
      </c>
      <c r="QO61" s="220">
        <f t="shared" ca="1" si="733"/>
        <v>0.73100381386591473</v>
      </c>
      <c r="QP61" s="220">
        <f t="shared" ca="1" si="734"/>
        <v>0</v>
      </c>
      <c r="QQ61" s="235">
        <f t="shared" ca="1" si="395"/>
        <v>6.5780195109612458E-2</v>
      </c>
      <c r="QR61" s="235">
        <f t="shared" ca="1" si="396"/>
        <v>6.5780195109612458E-2</v>
      </c>
      <c r="QS61" s="242">
        <f t="shared" ca="1" si="397"/>
        <v>6.5780195109612458E-2</v>
      </c>
      <c r="QT61" s="241">
        <f t="shared" ca="1" si="805"/>
        <v>1</v>
      </c>
      <c r="QU61" s="220">
        <f t="shared" ca="1" si="735"/>
        <v>0.71393414380833176</v>
      </c>
      <c r="QV61" s="220">
        <f t="shared" ca="1" si="736"/>
        <v>0</v>
      </c>
      <c r="QW61" s="235">
        <f t="shared" ca="1" si="400"/>
        <v>6.2071653887543876E-2</v>
      </c>
      <c r="QX61" s="235">
        <f t="shared" ca="1" si="401"/>
        <v>6.2071653887543876E-2</v>
      </c>
      <c r="QY61" s="242">
        <f t="shared" ca="1" si="402"/>
        <v>6.2071653887543876E-2</v>
      </c>
      <c r="QZ61" s="241">
        <f t="shared" ca="1" si="805"/>
        <v>1</v>
      </c>
      <c r="RA61" s="220">
        <f t="shared" ca="1" si="737"/>
        <v>0.69574167395580788</v>
      </c>
      <c r="RB61" s="220">
        <f t="shared" ca="1" si="738"/>
        <v>0</v>
      </c>
      <c r="RC61" s="235">
        <f t="shared" ca="1" si="405"/>
        <v>5.8444390341238162E-2</v>
      </c>
      <c r="RD61" s="235">
        <f t="shared" ca="1" si="406"/>
        <v>5.8444390341238162E-2</v>
      </c>
      <c r="RE61" s="242">
        <f t="shared" ca="1" si="407"/>
        <v>5.8444390341238162E-2</v>
      </c>
      <c r="RF61" s="241">
        <f t="shared" ca="1" si="805"/>
        <v>1</v>
      </c>
      <c r="RG61" s="220">
        <f t="shared" ca="1" si="739"/>
        <v>0.67640422986988014</v>
      </c>
      <c r="RH61" s="220">
        <f t="shared" ca="1" si="740"/>
        <v>0</v>
      </c>
      <c r="RI61" s="235">
        <f t="shared" ca="1" si="410"/>
        <v>5.4898538121829751E-2</v>
      </c>
      <c r="RJ61" s="235">
        <f t="shared" ca="1" si="411"/>
        <v>5.4898538121829751E-2</v>
      </c>
      <c r="RK61" s="242">
        <f t="shared" ca="1" si="412"/>
        <v>5.4898538121829751E-2</v>
      </c>
      <c r="RL61" s="241">
        <f t="shared" ca="1" si="805"/>
        <v>1</v>
      </c>
      <c r="RM61" s="220">
        <f t="shared" ca="1" si="741"/>
        <v>0.65592135698096043</v>
      </c>
      <c r="RN61" s="220">
        <f t="shared" ca="1" si="742"/>
        <v>0</v>
      </c>
      <c r="RO61" s="235">
        <f t="shared" ca="1" si="415"/>
        <v>5.1435845981086484E-2</v>
      </c>
      <c r="RP61" s="235">
        <f t="shared" ca="1" si="416"/>
        <v>5.1435845981086484E-2</v>
      </c>
      <c r="RQ61" s="242">
        <f t="shared" ca="1" si="417"/>
        <v>5.1435845981086484E-2</v>
      </c>
      <c r="RR61" s="241">
        <f t="shared" ca="1" si="805"/>
        <v>1</v>
      </c>
      <c r="RS61" s="220">
        <f t="shared" ca="1" si="743"/>
        <v>0.63426152193073515</v>
      </c>
      <c r="RT61" s="220">
        <f t="shared" ca="1" si="744"/>
        <v>0</v>
      </c>
      <c r="RU61" s="235">
        <f t="shared" ca="1" si="420"/>
        <v>4.8055392729564286E-2</v>
      </c>
      <c r="RV61" s="235">
        <f t="shared" ca="1" si="421"/>
        <v>4.8055392729564286E-2</v>
      </c>
      <c r="RW61" s="242">
        <f t="shared" ca="1" si="422"/>
        <v>4.8055392729564286E-2</v>
      </c>
      <c r="RX61" s="241">
        <f t="shared" ca="1" si="805"/>
        <v>1</v>
      </c>
      <c r="RY61" s="220">
        <f t="shared" ca="1" si="745"/>
        <v>0.61130062057532053</v>
      </c>
      <c r="RZ61" s="220">
        <f t="shared" ca="1" si="746"/>
        <v>0</v>
      </c>
      <c r="SA61" s="235">
        <f t="shared" ca="1" si="425"/>
        <v>4.4749506722088245E-2</v>
      </c>
      <c r="SB61" s="235">
        <f t="shared" ca="1" si="426"/>
        <v>4.4749506722088245E-2</v>
      </c>
      <c r="SC61" s="242">
        <f t="shared" ca="1" si="427"/>
        <v>4.4749506722088245E-2</v>
      </c>
      <c r="SD61" s="241">
        <f t="shared" ca="1" si="799"/>
        <v>1</v>
      </c>
      <c r="SE61" s="220">
        <f t="shared" ca="1" si="747"/>
        <v>0.58693540044042947</v>
      </c>
      <c r="SF61" s="220">
        <f t="shared" ca="1" si="748"/>
        <v>0</v>
      </c>
      <c r="SG61" s="235">
        <f t="shared" ca="1" si="430"/>
        <v>4.1512928389525854E-2</v>
      </c>
      <c r="SH61" s="235">
        <f t="shared" ca="1" si="431"/>
        <v>4.1512928389525854E-2</v>
      </c>
      <c r="SI61" s="242">
        <f t="shared" ca="1" si="432"/>
        <v>4.1512928389525854E-2</v>
      </c>
      <c r="SJ61" s="241">
        <f t="shared" ca="1" si="799"/>
        <v>1</v>
      </c>
      <c r="SK61" s="220">
        <f t="shared" ca="1" si="749"/>
        <v>0.56117421877969853</v>
      </c>
      <c r="SL61" s="220">
        <f t="shared" ca="1" si="750"/>
        <v>0</v>
      </c>
      <c r="SM61" s="235">
        <f t="shared" ca="1" si="435"/>
        <v>3.8348680627614658E-2</v>
      </c>
      <c r="SN61" s="235">
        <f t="shared" ca="1" si="436"/>
        <v>3.8348680627614658E-2</v>
      </c>
      <c r="SO61" s="242">
        <f t="shared" ca="1" si="437"/>
        <v>3.8348680627614658E-2</v>
      </c>
      <c r="SP61" s="241">
        <f t="shared" ca="1" si="808"/>
        <v>1</v>
      </c>
      <c r="SQ61" s="220">
        <f t="shared" ca="1" si="751"/>
        <v>0.5340633310962325</v>
      </c>
      <c r="SR61" s="220">
        <f t="shared" ca="1" si="752"/>
        <v>0</v>
      </c>
      <c r="SS61" s="235">
        <f t="shared" ca="1" si="440"/>
        <v>3.5261852674216394E-2</v>
      </c>
      <c r="ST61" s="235">
        <f t="shared" ca="1" si="441"/>
        <v>3.5261852674216394E-2</v>
      </c>
      <c r="SU61" s="242">
        <f t="shared" ca="1" si="442"/>
        <v>3.5261852674216394E-2</v>
      </c>
      <c r="SV61" s="241">
        <f t="shared" ca="1" si="808"/>
        <v>1</v>
      </c>
      <c r="SW61" s="220">
        <f t="shared" ca="1" si="753"/>
        <v>0.50563620810864218</v>
      </c>
      <c r="SX61" s="220">
        <f t="shared" ca="1" si="754"/>
        <v>0</v>
      </c>
      <c r="SY61" s="235">
        <f t="shared" ca="1" si="446"/>
        <v>3.2255975632920972E-2</v>
      </c>
      <c r="SZ61" s="235">
        <f t="shared" ca="1" si="447"/>
        <v>3.2255975632920972E-2</v>
      </c>
      <c r="TA61" s="242">
        <f t="shared" ca="1" si="448"/>
        <v>3.2255975632920972E-2</v>
      </c>
      <c r="TB61" s="241">
        <f t="shared" ca="1" si="808"/>
        <v>1</v>
      </c>
      <c r="TC61" s="220">
        <f t="shared" ca="1" si="755"/>
        <v>0.47585575235966748</v>
      </c>
      <c r="TD61" s="220">
        <f t="shared" ca="1" si="756"/>
        <v>0</v>
      </c>
      <c r="TE61" s="235">
        <f t="shared" ca="1" si="451"/>
        <v>2.9329657426153458E-2</v>
      </c>
      <c r="TF61" s="235">
        <f t="shared" ca="1" si="452"/>
        <v>2.9329657426153458E-2</v>
      </c>
      <c r="TG61" s="242">
        <f t="shared" ca="1" si="453"/>
        <v>2.9329657426153458E-2</v>
      </c>
      <c r="TH61" s="241">
        <f t="shared" ca="1" si="808"/>
        <v>1</v>
      </c>
      <c r="TI61" s="220">
        <f t="shared" ca="1" si="757"/>
        <v>0.4447514411066778</v>
      </c>
      <c r="TJ61" s="220">
        <f t="shared" ca="1" si="758"/>
        <v>0</v>
      </c>
      <c r="TK61" s="235">
        <f t="shared" ca="1" si="456"/>
        <v>2.6485530790814431E-2</v>
      </c>
      <c r="TL61" s="235">
        <f t="shared" ca="1" si="457"/>
        <v>2.6485530790814431E-2</v>
      </c>
      <c r="TM61" s="242">
        <f t="shared" ca="1" si="458"/>
        <v>2.6485530790814431E-2</v>
      </c>
      <c r="TN61" s="241">
        <f t="shared" ca="1" si="808"/>
        <v>1</v>
      </c>
      <c r="TO61" s="220">
        <f t="shared" ca="1" si="759"/>
        <v>0.41251096438941365</v>
      </c>
      <c r="TP61" s="220">
        <f t="shared" ca="1" si="760"/>
        <v>0</v>
      </c>
      <c r="TQ61" s="235">
        <f t="shared" ca="1" si="461"/>
        <v>2.3734848481408222E-2</v>
      </c>
      <c r="TR61" s="235">
        <f t="shared" ca="1" si="462"/>
        <v>2.3734848481408222E-2</v>
      </c>
      <c r="TS61" s="242">
        <f t="shared" ca="1" si="463"/>
        <v>2.3734848481408222E-2</v>
      </c>
      <c r="TT61" s="241">
        <f t="shared" ca="1" si="808"/>
        <v>1</v>
      </c>
      <c r="TU61" s="220">
        <f t="shared" ca="1" si="761"/>
        <v>0.37939128408051637</v>
      </c>
      <c r="TV61" s="220">
        <f t="shared" ca="1" si="762"/>
        <v>0</v>
      </c>
      <c r="TW61" s="235">
        <f t="shared" ca="1" si="466"/>
        <v>2.1091038615007652E-2</v>
      </c>
      <c r="TX61" s="235">
        <f t="shared" ca="1" si="467"/>
        <v>2.1091038615007652E-2</v>
      </c>
      <c r="TY61" s="242">
        <f t="shared" ca="1" si="468"/>
        <v>2.1091038615007652E-2</v>
      </c>
      <c r="TZ61" s="241">
        <f t="shared" ca="1" si="808"/>
        <v>1</v>
      </c>
      <c r="UA61" s="220">
        <f t="shared" ca="1" si="763"/>
        <v>0.34565732866521315</v>
      </c>
      <c r="UB61" s="220">
        <f t="shared" ca="1" si="764"/>
        <v>0</v>
      </c>
      <c r="UC61" s="235">
        <f t="shared" ca="1" si="471"/>
        <v>1.8565901280691431E-2</v>
      </c>
      <c r="UD61" s="235">
        <f t="shared" ca="1" si="472"/>
        <v>1.8565901280691431E-2</v>
      </c>
      <c r="UE61" s="242">
        <f t="shared" ca="1" si="473"/>
        <v>1.8565901280691431E-2</v>
      </c>
      <c r="UF61" s="241">
        <f t="shared" ca="1" si="808"/>
        <v>1</v>
      </c>
      <c r="UG61" s="220">
        <f t="shared" ca="1" si="765"/>
        <v>0.31158381183471112</v>
      </c>
      <c r="UH61" s="220">
        <f t="shared" ca="1" si="766"/>
        <v>0</v>
      </c>
      <c r="UI61" s="235">
        <f t="shared" ca="1" si="476"/>
        <v>1.6169805793281151E-2</v>
      </c>
      <c r="UJ61" s="235">
        <f t="shared" ca="1" si="477"/>
        <v>1.6169805793281151E-2</v>
      </c>
      <c r="UK61" s="242">
        <f t="shared" ca="1" si="478"/>
        <v>1.6169805793281151E-2</v>
      </c>
      <c r="UL61" s="241">
        <f t="shared" ca="1" si="808"/>
        <v>1</v>
      </c>
      <c r="UM61" s="220">
        <f t="shared" ca="1" si="767"/>
        <v>0.27748470263514402</v>
      </c>
      <c r="UN61" s="220">
        <f t="shared" ca="1" si="768"/>
        <v>0</v>
      </c>
      <c r="UO61" s="235">
        <f t="shared" ca="1" si="481"/>
        <v>1.3913250808575896E-2</v>
      </c>
      <c r="UP61" s="235">
        <f t="shared" ca="1" si="482"/>
        <v>1.3913250808575896E-2</v>
      </c>
      <c r="UQ61" s="242">
        <f t="shared" ca="1" si="483"/>
        <v>1.3913250808575896E-2</v>
      </c>
      <c r="UR61" s="241">
        <f t="shared" ca="1" si="808"/>
        <v>1</v>
      </c>
      <c r="US61" s="220">
        <f t="shared" ca="1" si="769"/>
        <v>0.24373729058536042</v>
      </c>
      <c r="UT61" s="220">
        <f t="shared" ca="1" si="770"/>
        <v>0</v>
      </c>
      <c r="UU61" s="235">
        <f t="shared" ca="1" si="486"/>
        <v>1.1807860056509861E-2</v>
      </c>
      <c r="UV61" s="235">
        <f t="shared" ca="1" si="487"/>
        <v>1.1807860056509861E-2</v>
      </c>
      <c r="UW61" s="242">
        <f t="shared" ca="1" si="488"/>
        <v>1.1807860056509861E-2</v>
      </c>
      <c r="UX61" s="241">
        <f t="shared" ca="1" si="808"/>
        <v>1</v>
      </c>
      <c r="UY61" s="220">
        <f t="shared" ca="1" si="771"/>
        <v>0.21078985859319374</v>
      </c>
      <c r="UZ61" s="220">
        <f t="shared" ca="1" si="772"/>
        <v>0</v>
      </c>
      <c r="VA61" s="235">
        <f t="shared" ca="1" si="491"/>
        <v>9.866396874889936E-3</v>
      </c>
      <c r="VB61" s="235">
        <f t="shared" ca="1" si="492"/>
        <v>9.866396874889936E-3</v>
      </c>
      <c r="VC61" s="242">
        <f t="shared" ca="1" si="493"/>
        <v>9.866396874889936E-3</v>
      </c>
      <c r="VD61" s="241">
        <f t="shared" ca="1" si="806"/>
        <v>1</v>
      </c>
      <c r="VE61" s="220">
        <f t="shared" ca="1" si="773"/>
        <v>0.17914840370962801</v>
      </c>
      <c r="VF61" s="220">
        <f t="shared" ca="1" si="774"/>
        <v>0</v>
      </c>
      <c r="VG61" s="235">
        <f t="shared" ca="1" si="496"/>
        <v>8.1017989433788233E-3</v>
      </c>
      <c r="VH61" s="235">
        <f t="shared" ca="1" si="497"/>
        <v>8.1017989433788233E-3</v>
      </c>
      <c r="VI61" s="242">
        <f t="shared" ca="1" si="498"/>
        <v>8.1017989433788233E-3</v>
      </c>
      <c r="VJ61" s="241">
        <f t="shared" ca="1" si="806"/>
        <v>1</v>
      </c>
      <c r="VK61" s="220">
        <f t="shared" ca="1" si="775"/>
        <v>0.14933864677755704</v>
      </c>
      <c r="VL61" s="220">
        <f t="shared" ca="1" si="776"/>
        <v>0</v>
      </c>
      <c r="VM61" s="235">
        <f t="shared" ca="1" si="502"/>
        <v>6.5252984585482295E-3</v>
      </c>
      <c r="VN61" s="235">
        <f t="shared" ca="1" si="503"/>
        <v>6.5252984585482295E-3</v>
      </c>
      <c r="VO61" s="242">
        <f t="shared" ca="1" si="504"/>
        <v>6.5252984585482295E-3</v>
      </c>
      <c r="VP61" s="241">
        <f t="shared" ca="1" si="567"/>
        <v>1</v>
      </c>
      <c r="VQ61" s="220">
        <f t="shared" ca="1" si="777"/>
        <v>0.12186078378642688</v>
      </c>
      <c r="VR61" s="220">
        <f t="shared" ca="1" si="778"/>
        <v>0</v>
      </c>
      <c r="VS61" s="235">
        <f t="shared" ca="1" si="507"/>
        <v>5.1446020464451514E-3</v>
      </c>
      <c r="VT61" s="235">
        <f t="shared" ca="1" si="508"/>
        <v>5.1446020464451514E-3</v>
      </c>
      <c r="VU61" s="242">
        <f t="shared" ca="1" si="509"/>
        <v>5.1446020464451514E-3</v>
      </c>
      <c r="VV61" s="241">
        <f t="shared" ca="1" si="578"/>
        <v>1</v>
      </c>
      <c r="VW61" s="220">
        <f t="shared" ca="1" si="779"/>
        <v>9.714071449143126E-2</v>
      </c>
      <c r="VX61" s="220">
        <f t="shared" ca="1" si="780"/>
        <v>0</v>
      </c>
      <c r="VY61" s="235">
        <f t="shared" ca="1" si="512"/>
        <v>3.9623128486120972E-3</v>
      </c>
      <c r="VZ61" s="235">
        <f t="shared" ca="1" si="513"/>
        <v>3.9623128486120972E-3</v>
      </c>
      <c r="WA61" s="242">
        <f t="shared" ca="1" si="514"/>
        <v>3.9623128486120972E-3</v>
      </c>
      <c r="WB61" s="241">
        <f t="shared" ca="1" si="578"/>
        <v>1</v>
      </c>
      <c r="WC61" s="220">
        <f t="shared" ca="1" si="781"/>
        <v>7.5486980683431834E-2</v>
      </c>
      <c r="WD61" s="220">
        <f t="shared" ca="1" si="782"/>
        <v>0</v>
      </c>
      <c r="WE61" s="235">
        <f t="shared" ca="1" si="517"/>
        <v>2.9749465982754843E-3</v>
      </c>
      <c r="WF61" s="235">
        <f t="shared" ca="1" si="518"/>
        <v>2.9749465982754843E-3</v>
      </c>
      <c r="WG61" s="242">
        <f t="shared" ca="1" si="519"/>
        <v>2.9749465982754843E-3</v>
      </c>
      <c r="WH61" s="241">
        <f t="shared" ca="1" si="578"/>
        <v>1</v>
      </c>
      <c r="WI61" s="220">
        <f t="shared" ca="1" si="783"/>
        <v>5.7061061620490225E-2</v>
      </c>
      <c r="WJ61" s="220">
        <f t="shared" ca="1" si="784"/>
        <v>0</v>
      </c>
      <c r="WK61" s="235">
        <f t="shared" ca="1" si="522"/>
        <v>2.1727342833971291E-3</v>
      </c>
      <c r="WL61" s="235">
        <f t="shared" ca="1" si="523"/>
        <v>2.1727342833971291E-3</v>
      </c>
      <c r="WM61" s="242">
        <f t="shared" ca="1" si="524"/>
        <v>2.1727342833971291E-3</v>
      </c>
      <c r="WN61" s="241">
        <f t="shared" ca="1" si="578"/>
        <v>1</v>
      </c>
      <c r="WO61" s="220">
        <f t="shared" ca="1" si="785"/>
        <v>4.1934687734452851E-2</v>
      </c>
      <c r="WP61" s="220">
        <f t="shared" ca="1" si="786"/>
        <v>0</v>
      </c>
      <c r="WQ61" s="235">
        <f t="shared" ca="1" si="527"/>
        <v>1.5427651975624165E-3</v>
      </c>
      <c r="WR61" s="235">
        <f t="shared" ca="1" si="528"/>
        <v>1.5427651975624165E-3</v>
      </c>
      <c r="WS61" s="242">
        <f t="shared" ca="1" si="529"/>
        <v>1.5427651975624165E-3</v>
      </c>
      <c r="WT61" s="241">
        <f t="shared" ca="1" si="578"/>
        <v>1</v>
      </c>
      <c r="WU61" s="220">
        <f t="shared" ca="1" si="787"/>
        <v>2.9961998908764689E-2</v>
      </c>
      <c r="WV61" s="220">
        <f t="shared" ca="1" si="788"/>
        <v>0</v>
      </c>
      <c r="WW61" s="235">
        <f t="shared" ca="1" si="532"/>
        <v>1.0650177696007403E-3</v>
      </c>
      <c r="WX61" s="235">
        <f t="shared" ca="1" si="533"/>
        <v>1.0650177696007403E-3</v>
      </c>
      <c r="WY61" s="242">
        <f t="shared" ca="1" si="534"/>
        <v>1.0650177696007403E-3</v>
      </c>
      <c r="WZ61" s="241">
        <f t="shared" ca="1" si="578"/>
        <v>1</v>
      </c>
      <c r="XA61" s="220">
        <f t="shared" ca="1" si="789"/>
        <v>2.0825806429510707E-2</v>
      </c>
      <c r="XB61" s="220">
        <f t="shared" ca="1" si="790"/>
        <v>0</v>
      </c>
      <c r="XC61" s="235">
        <f t="shared" ca="1" si="537"/>
        <v>7.1523300597822715E-4</v>
      </c>
      <c r="XD61" s="235">
        <f t="shared" ca="1" si="538"/>
        <v>7.1523300597822715E-4</v>
      </c>
      <c r="XE61" s="242">
        <f t="shared" ca="1" si="539"/>
        <v>7.1523300597822715E-4</v>
      </c>
      <c r="XF61" s="241">
        <f t="shared" ca="1" si="578"/>
        <v>1</v>
      </c>
      <c r="XG61" s="220">
        <f t="shared" ca="1" si="791"/>
        <v>1.410075784309954E-2</v>
      </c>
      <c r="XH61" s="220">
        <f t="shared" ca="1" si="792"/>
        <v>0</v>
      </c>
      <c r="XI61" s="235">
        <f t="shared" ca="1" si="542"/>
        <v>4.6789437576883483E-4</v>
      </c>
      <c r="XJ61" s="235">
        <f t="shared" ca="1" si="543"/>
        <v>4.6789437576883483E-4</v>
      </c>
      <c r="XK61" s="242">
        <f t="shared" ca="1" si="544"/>
        <v>4.6789437576883483E-4</v>
      </c>
    </row>
    <row r="62" spans="2:635" x14ac:dyDescent="0.25">
      <c r="B62" s="65">
        <f t="shared" ca="1" si="14"/>
        <v>2077</v>
      </c>
      <c r="C62" s="65" t="s">
        <v>741</v>
      </c>
      <c r="D62" s="77">
        <f t="shared" si="580"/>
        <v>0</v>
      </c>
      <c r="E62" s="77">
        <f t="shared" si="581"/>
        <v>0</v>
      </c>
      <c r="F62" s="77" t="b">
        <f t="shared" si="793"/>
        <v>0</v>
      </c>
      <c r="G62" s="77" t="b">
        <f t="shared" si="794"/>
        <v>0</v>
      </c>
      <c r="H62" s="15" t="e">
        <f t="shared" ca="1" si="582"/>
        <v>#REF!</v>
      </c>
      <c r="L62" s="326">
        <f t="shared" ca="1" si="583"/>
        <v>3.5000000000000003E-2</v>
      </c>
      <c r="M62" s="327">
        <f t="shared" ca="1" si="584"/>
        <v>3.5000000000000003E-2</v>
      </c>
      <c r="N62" s="322">
        <f t="shared" ca="1" si="579"/>
        <v>-54</v>
      </c>
      <c r="O62" s="322">
        <f t="shared" ca="1" si="585"/>
        <v>0</v>
      </c>
      <c r="P62" s="328">
        <f t="shared" ca="1" si="545"/>
        <v>26.87829936156087</v>
      </c>
      <c r="Q62" s="328">
        <f t="shared" ca="1" si="546"/>
        <v>26.87829936156087</v>
      </c>
      <c r="R62" s="328">
        <f t="shared" ca="1" si="547"/>
        <v>26.87829936156087</v>
      </c>
      <c r="S62" s="329">
        <f t="shared" ca="1" si="586"/>
        <v>3.8642415640549425E-2</v>
      </c>
      <c r="T62" s="329">
        <f t="shared" ca="1" si="587"/>
        <v>3.8642415640549425E-2</v>
      </c>
      <c r="U62" s="329">
        <f t="shared" ca="1" si="588"/>
        <v>3.8642415640549425E-2</v>
      </c>
      <c r="V62" s="320" t="e">
        <f t="shared" ca="1" si="589"/>
        <v>#REF!</v>
      </c>
      <c r="W62" s="320" t="e">
        <f t="shared" ca="1" si="560"/>
        <v>#REF!</v>
      </c>
      <c r="X62" s="320" t="e">
        <f t="shared" ca="1" si="590"/>
        <v>#REF!</v>
      </c>
      <c r="Y62" s="320" t="e">
        <f ca="1">INDEX(SC_ZA_HECMLumpSum,ZAIDX)</f>
        <v>#REF!</v>
      </c>
      <c r="Z62" s="320" t="e">
        <f t="shared" ca="1" si="591"/>
        <v>#REF!</v>
      </c>
      <c r="AA62" s="320" t="e">
        <f t="shared" ca="1" si="557"/>
        <v>#REF!</v>
      </c>
      <c r="AB62" s="320" t="e">
        <f t="shared" ca="1" si="558"/>
        <v>#REF!</v>
      </c>
      <c r="AC62" s="330" t="e">
        <f t="shared" ca="1" si="559"/>
        <v>#REF!</v>
      </c>
      <c r="AD62" s="236" t="e">
        <f t="shared" ca="1" si="548"/>
        <v>#REF!</v>
      </c>
      <c r="AE62" s="320" t="e">
        <f t="shared" ca="1" si="561"/>
        <v>#REF!</v>
      </c>
      <c r="AF62" s="320" t="e">
        <f t="shared" ca="1" si="592"/>
        <v>#REF!</v>
      </c>
      <c r="AG62" s="320" t="e">
        <f t="shared" ca="1" si="549"/>
        <v>#REF!</v>
      </c>
      <c r="AH62" s="284" t="e">
        <f t="shared" ca="1" si="550"/>
        <v>#REF!</v>
      </c>
      <c r="AI62" s="318" t="e">
        <f t="shared" ca="1" si="551"/>
        <v>#REF!</v>
      </c>
      <c r="AJ62" s="331">
        <f t="shared" ca="1" si="807"/>
        <v>1</v>
      </c>
      <c r="AK62" s="220">
        <f t="shared" ca="1" si="593"/>
        <v>1</v>
      </c>
      <c r="AL62" s="220">
        <f t="shared" ca="1" si="594"/>
        <v>0</v>
      </c>
      <c r="AM62" s="235">
        <f t="shared" ca="1" si="554"/>
        <v>1</v>
      </c>
      <c r="AN62" s="235">
        <f t="shared" ca="1" si="555"/>
        <v>1</v>
      </c>
      <c r="AO62" s="242">
        <f t="shared" ca="1" si="556"/>
        <v>1</v>
      </c>
      <c r="AP62" s="241">
        <f t="shared" ca="1" si="807"/>
        <v>1</v>
      </c>
      <c r="AQ62" s="220">
        <f t="shared" ca="1" si="595"/>
        <v>0.99361699999999997</v>
      </c>
      <c r="AR62" s="220">
        <f t="shared" ca="1" si="596"/>
        <v>0</v>
      </c>
      <c r="AS62" s="235">
        <f t="shared" ca="1" si="43"/>
        <v>0.96001642512077301</v>
      </c>
      <c r="AT62" s="235">
        <f t="shared" ca="1" si="44"/>
        <v>0.96001642512077301</v>
      </c>
      <c r="AU62" s="242">
        <f t="shared" ca="1" si="45"/>
        <v>0.96001642512077301</v>
      </c>
      <c r="AV62" s="241">
        <f t="shared" ca="1" si="807"/>
        <v>1</v>
      </c>
      <c r="AW62" s="220">
        <f t="shared" ca="1" si="597"/>
        <v>0.99316689149899995</v>
      </c>
      <c r="AX62" s="220">
        <f t="shared" ca="1" si="598"/>
        <v>0</v>
      </c>
      <c r="AY62" s="235">
        <f t="shared" ca="1" si="48"/>
        <v>0.92713192046395487</v>
      </c>
      <c r="AZ62" s="235">
        <f t="shared" ca="1" si="49"/>
        <v>0.92713192046395487</v>
      </c>
      <c r="BA62" s="242">
        <f t="shared" ca="1" si="50"/>
        <v>0.92713192046395487</v>
      </c>
      <c r="BB62" s="241">
        <f t="shared" ca="1" si="807"/>
        <v>1</v>
      </c>
      <c r="BC62" s="220">
        <f t="shared" ca="1" si="599"/>
        <v>0.99288681843559723</v>
      </c>
      <c r="BD62" s="220">
        <f t="shared" ca="1" si="600"/>
        <v>0</v>
      </c>
      <c r="BE62" s="235">
        <f t="shared" ca="1" si="54"/>
        <v>0.89552702344191704</v>
      </c>
      <c r="BF62" s="235">
        <f t="shared" ca="1" si="55"/>
        <v>0.89552702344191704</v>
      </c>
      <c r="BG62" s="242">
        <f t="shared" ca="1" si="56"/>
        <v>0.89552702344191704</v>
      </c>
      <c r="BH62" s="241">
        <f t="shared" ca="1" si="807"/>
        <v>1</v>
      </c>
      <c r="BI62" s="220">
        <f t="shared" ca="1" si="601"/>
        <v>0.99265845446735712</v>
      </c>
      <c r="BJ62" s="220">
        <f t="shared" ca="1" si="602"/>
        <v>0</v>
      </c>
      <c r="BK62" s="235">
        <f t="shared" ca="1" si="59"/>
        <v>0.86504449490485558</v>
      </c>
      <c r="BL62" s="235">
        <f t="shared" ca="1" si="60"/>
        <v>0.86504449490485558</v>
      </c>
      <c r="BM62" s="242">
        <f t="shared" ca="1" si="61"/>
        <v>0.86504449490485558</v>
      </c>
      <c r="BN62" s="241">
        <f t="shared" ca="1" si="807"/>
        <v>1</v>
      </c>
      <c r="BO62" s="220">
        <f t="shared" ca="1" si="603"/>
        <v>0.99249069518855215</v>
      </c>
      <c r="BP62" s="220">
        <f t="shared" ca="1" si="604"/>
        <v>0</v>
      </c>
      <c r="BQ62" s="235">
        <f t="shared" ca="1" si="64"/>
        <v>0.83565053370552345</v>
      </c>
      <c r="BR62" s="235">
        <f t="shared" ca="1" si="65"/>
        <v>0.83565053370552345</v>
      </c>
      <c r="BS62" s="242">
        <f t="shared" ca="1" si="66"/>
        <v>0.83565053370552345</v>
      </c>
      <c r="BT62" s="241">
        <f t="shared" ca="1" si="807"/>
        <v>1</v>
      </c>
      <c r="BU62" s="220">
        <f t="shared" ca="1" si="605"/>
        <v>0.99233685913079794</v>
      </c>
      <c r="BV62" s="220">
        <f t="shared" ca="1" si="606"/>
        <v>0</v>
      </c>
      <c r="BW62" s="235">
        <f t="shared" ca="1" si="69"/>
        <v>0.80726667427323584</v>
      </c>
      <c r="BX62" s="235">
        <f t="shared" ca="1" si="70"/>
        <v>0.80726667427323584</v>
      </c>
      <c r="BY62" s="242">
        <f t="shared" ca="1" si="71"/>
        <v>0.80726667427323584</v>
      </c>
      <c r="BZ62" s="241">
        <f t="shared" ca="1" si="807"/>
        <v>1</v>
      </c>
      <c r="CA62" s="220">
        <f t="shared" ca="1" si="607"/>
        <v>0.992192970286224</v>
      </c>
      <c r="CB62" s="220">
        <f t="shared" ca="1" si="608"/>
        <v>0</v>
      </c>
      <c r="CC62" s="235">
        <f t="shared" ca="1" si="74"/>
        <v>0.7798547058990013</v>
      </c>
      <c r="CD62" s="235">
        <f t="shared" ca="1" si="75"/>
        <v>0.7798547058990013</v>
      </c>
      <c r="CE62" s="242">
        <f t="shared" ca="1" si="76"/>
        <v>0.7798547058990013</v>
      </c>
      <c r="CF62" s="241">
        <f t="shared" ca="1" si="807"/>
        <v>1</v>
      </c>
      <c r="CG62" s="220">
        <f t="shared" ca="1" si="609"/>
        <v>0.9920590242352354</v>
      </c>
      <c r="CH62" s="220">
        <f t="shared" ca="1" si="610"/>
        <v>0</v>
      </c>
      <c r="CI62" s="235">
        <f t="shared" ca="1" si="79"/>
        <v>0.75338108745285515</v>
      </c>
      <c r="CJ62" s="235">
        <f t="shared" ca="1" si="80"/>
        <v>0.75338108745285515</v>
      </c>
      <c r="CK62" s="242">
        <f t="shared" ca="1" si="81"/>
        <v>0.75338108745285515</v>
      </c>
      <c r="CL62" s="241">
        <f t="shared" ca="1" si="807"/>
        <v>1</v>
      </c>
      <c r="CM62" s="220">
        <f t="shared" ca="1" si="611"/>
        <v>0.99193997715232718</v>
      </c>
      <c r="CN62" s="220">
        <f t="shared" ca="1" si="612"/>
        <v>0</v>
      </c>
      <c r="CO62" s="235">
        <f t="shared" ca="1" si="84"/>
        <v>0.72781708378972065</v>
      </c>
      <c r="CP62" s="235">
        <f t="shared" ca="1" si="85"/>
        <v>0.72781708378972065</v>
      </c>
      <c r="CQ62" s="242">
        <f t="shared" ca="1" si="86"/>
        <v>0.72781708378972065</v>
      </c>
      <c r="CR62" s="241">
        <f t="shared" ca="1" si="807"/>
        <v>1</v>
      </c>
      <c r="CS62" s="220">
        <f t="shared" ca="1" si="613"/>
        <v>0.99183582345472621</v>
      </c>
      <c r="CT62" s="220">
        <f t="shared" ca="1" si="614"/>
        <v>0</v>
      </c>
      <c r="CU62" s="235">
        <f t="shared" ca="1" si="89"/>
        <v>0.70313107535837949</v>
      </c>
      <c r="CV62" s="235">
        <f t="shared" ca="1" si="90"/>
        <v>0.70313107535837949</v>
      </c>
      <c r="CW62" s="242">
        <f t="shared" ca="1" si="91"/>
        <v>0.70313107535837949</v>
      </c>
      <c r="CX62" s="241">
        <f t="shared" ca="1" si="800"/>
        <v>1</v>
      </c>
      <c r="CY62" s="220">
        <f t="shared" ca="1" si="615"/>
        <v>0.99174259088732142</v>
      </c>
      <c r="CZ62" s="220">
        <f t="shared" ca="1" si="616"/>
        <v>0</v>
      </c>
      <c r="DA62" s="235">
        <f t="shared" ca="1" si="94"/>
        <v>0.6792898367510104</v>
      </c>
      <c r="DB62" s="235">
        <f t="shared" ca="1" si="95"/>
        <v>0.6792898367510104</v>
      </c>
      <c r="DC62" s="242">
        <f t="shared" ca="1" si="96"/>
        <v>0.6792898367510104</v>
      </c>
      <c r="DD62" s="241">
        <f t="shared" ca="1" si="800"/>
        <v>1</v>
      </c>
      <c r="DE62" s="220">
        <f t="shared" ca="1" si="617"/>
        <v>0.99164440837082357</v>
      </c>
      <c r="DF62" s="220">
        <f t="shared" ca="1" si="618"/>
        <v>0</v>
      </c>
      <c r="DG62" s="235">
        <f t="shared" ca="1" si="99"/>
        <v>0.65625370730161559</v>
      </c>
      <c r="DH62" s="235">
        <f t="shared" ca="1" si="100"/>
        <v>0.65625370730161559</v>
      </c>
      <c r="DI62" s="242">
        <f t="shared" ca="1" si="101"/>
        <v>0.65625370730161559</v>
      </c>
      <c r="DJ62" s="241">
        <f t="shared" ca="1" si="51"/>
        <v>1</v>
      </c>
      <c r="DK62" s="220">
        <f t="shared" ca="1" si="619"/>
        <v>0.9915115280201019</v>
      </c>
      <c r="DL62" s="220">
        <f t="shared" ca="1" si="620"/>
        <v>0</v>
      </c>
      <c r="DM62" s="235">
        <f t="shared" ca="1" si="104"/>
        <v>0.63397658870032592</v>
      </c>
      <c r="DN62" s="235">
        <f t="shared" ca="1" si="105"/>
        <v>0.63397658870032592</v>
      </c>
      <c r="DO62" s="242">
        <f t="shared" ca="1" si="106"/>
        <v>0.63397658870032592</v>
      </c>
      <c r="DP62" s="241">
        <f t="shared" ca="1" si="801"/>
        <v>1</v>
      </c>
      <c r="DQ62" s="220">
        <f t="shared" ca="1" si="621"/>
        <v>0.99130628513380181</v>
      </c>
      <c r="DR62" s="220">
        <f t="shared" ca="1" si="622"/>
        <v>0</v>
      </c>
      <c r="DS62" s="235">
        <f t="shared" ca="1" si="110"/>
        <v>0.61241097154247814</v>
      </c>
      <c r="DT62" s="235">
        <f t="shared" ca="1" si="111"/>
        <v>0.61241097154247814</v>
      </c>
      <c r="DU62" s="242">
        <f t="shared" ca="1" si="112"/>
        <v>0.61241097154247814</v>
      </c>
      <c r="DV62" s="241">
        <f t="shared" ca="1" si="801"/>
        <v>1</v>
      </c>
      <c r="DW62" s="220">
        <f t="shared" ca="1" si="623"/>
        <v>0.9909999714916955</v>
      </c>
      <c r="DX62" s="220">
        <f t="shared" ca="1" si="624"/>
        <v>0</v>
      </c>
      <c r="DY62" s="235">
        <f t="shared" ca="1" si="115"/>
        <v>0.59151858604084218</v>
      </c>
      <c r="DZ62" s="235">
        <f t="shared" ca="1" si="116"/>
        <v>0.59151858604084218</v>
      </c>
      <c r="EA62" s="242">
        <f t="shared" ca="1" si="117"/>
        <v>0.59151858604084218</v>
      </c>
      <c r="EB62" s="241">
        <f t="shared" ca="1" si="801"/>
        <v>1</v>
      </c>
      <c r="EC62" s="220">
        <f t="shared" ca="1" si="625"/>
        <v>0.99058474250364048</v>
      </c>
      <c r="ED62" s="220">
        <f t="shared" ca="1" si="626"/>
        <v>0</v>
      </c>
      <c r="EE62" s="235">
        <f t="shared" ca="1" si="120"/>
        <v>0.57127607705632</v>
      </c>
      <c r="EF62" s="235">
        <f t="shared" ca="1" si="121"/>
        <v>0.57127607705632</v>
      </c>
      <c r="EG62" s="242">
        <f t="shared" ca="1" si="122"/>
        <v>0.57127607705632</v>
      </c>
      <c r="EH62" s="241">
        <f t="shared" ca="1" si="801"/>
        <v>1</v>
      </c>
      <c r="EI62" s="220">
        <f t="shared" ca="1" si="627"/>
        <v>0.99005973259011348</v>
      </c>
      <c r="EJ62" s="220">
        <f t="shared" ca="1" si="628"/>
        <v>0</v>
      </c>
      <c r="EK62" s="235">
        <f t="shared" ca="1" si="125"/>
        <v>0.55166502486519819</v>
      </c>
      <c r="EL62" s="235">
        <f t="shared" ca="1" si="126"/>
        <v>0.55166502486519819</v>
      </c>
      <c r="EM62" s="242">
        <f t="shared" ca="1" si="127"/>
        <v>0.55166502486519819</v>
      </c>
      <c r="EN62" s="241">
        <f t="shared" ca="1" si="801"/>
        <v>1</v>
      </c>
      <c r="EO62" s="220">
        <f t="shared" ca="1" si="629"/>
        <v>0.98941124346526699</v>
      </c>
      <c r="EP62" s="220">
        <f t="shared" ca="1" si="630"/>
        <v>0</v>
      </c>
      <c r="EQ62" s="235">
        <f t="shared" ca="1" si="130"/>
        <v>0.53266056451585653</v>
      </c>
      <c r="ER62" s="235">
        <f t="shared" ca="1" si="131"/>
        <v>0.53266056451585653</v>
      </c>
      <c r="ES62" s="242">
        <f t="shared" ca="1" si="132"/>
        <v>0.53266056451585653</v>
      </c>
      <c r="ET62" s="241">
        <f t="shared" ca="1" si="801"/>
        <v>1</v>
      </c>
      <c r="EU62" s="220">
        <f t="shared" ca="1" si="631"/>
        <v>0.98862861917168599</v>
      </c>
      <c r="EV62" s="220">
        <f t="shared" ca="1" si="632"/>
        <v>0</v>
      </c>
      <c r="EW62" s="235">
        <f t="shared" ca="1" si="135"/>
        <v>0.51424080194137645</v>
      </c>
      <c r="EX62" s="235">
        <f t="shared" ca="1" si="136"/>
        <v>0.51424080194137645</v>
      </c>
      <c r="EY62" s="242">
        <f t="shared" ca="1" si="137"/>
        <v>0.51424080194137645</v>
      </c>
      <c r="EZ62" s="241">
        <f t="shared" ca="1" si="801"/>
        <v>1</v>
      </c>
      <c r="FA62" s="220">
        <f t="shared" ca="1" si="633"/>
        <v>0.98770524004137961</v>
      </c>
      <c r="FB62" s="220">
        <f t="shared" ca="1" si="634"/>
        <v>0</v>
      </c>
      <c r="FC62" s="235">
        <f t="shared" ca="1" si="140"/>
        <v>0.49638695751919149</v>
      </c>
      <c r="FD62" s="235">
        <f t="shared" ca="1" si="141"/>
        <v>0.49638695751919149</v>
      </c>
      <c r="FE62" s="242">
        <f t="shared" ca="1" si="142"/>
        <v>0.49638695751919149</v>
      </c>
      <c r="FF62" s="241">
        <f t="shared" ca="1" si="801"/>
        <v>1</v>
      </c>
      <c r="FG62" s="220">
        <f t="shared" ca="1" si="635"/>
        <v>0.98663357985593469</v>
      </c>
      <c r="FH62" s="220">
        <f t="shared" ca="1" si="636"/>
        <v>0</v>
      </c>
      <c r="FI62" s="235">
        <f t="shared" ca="1" si="145"/>
        <v>0.4790805581355394</v>
      </c>
      <c r="FJ62" s="235">
        <f t="shared" ca="1" si="146"/>
        <v>0.4790805581355394</v>
      </c>
      <c r="FK62" s="242">
        <f t="shared" ca="1" si="147"/>
        <v>0.4790805581355394</v>
      </c>
      <c r="FL62" s="241">
        <f t="shared" ca="1" si="801"/>
        <v>1</v>
      </c>
      <c r="FM62" s="220">
        <f t="shared" ca="1" si="637"/>
        <v>0.98542199381987161</v>
      </c>
      <c r="FN62" s="220">
        <f t="shared" ca="1" si="638"/>
        <v>0</v>
      </c>
      <c r="FO62" s="235">
        <f t="shared" ca="1" si="150"/>
        <v>0.46231134996149653</v>
      </c>
      <c r="FP62" s="235">
        <f t="shared" ca="1" si="151"/>
        <v>0.46231134996149653</v>
      </c>
      <c r="FQ62" s="242">
        <f t="shared" ca="1" si="152"/>
        <v>0.46231134996149653</v>
      </c>
      <c r="FR62" s="241">
        <f t="shared" ca="1" si="801"/>
        <v>1</v>
      </c>
      <c r="FS62" s="220">
        <f t="shared" ca="1" si="639"/>
        <v>0.98410251377014679</v>
      </c>
      <c r="FT62" s="220">
        <f t="shared" ca="1" si="640"/>
        <v>0</v>
      </c>
      <c r="FU62" s="235">
        <f t="shared" ca="1" si="155"/>
        <v>0.44607953146270346</v>
      </c>
      <c r="FV62" s="235">
        <f t="shared" ca="1" si="156"/>
        <v>0.44607953146270346</v>
      </c>
      <c r="FW62" s="242">
        <f t="shared" ca="1" si="157"/>
        <v>0.44607953146270346</v>
      </c>
      <c r="FX62" s="241">
        <f t="shared" ca="1" si="801"/>
        <v>1</v>
      </c>
      <c r="FY62" s="220">
        <f t="shared" ca="1" si="641"/>
        <v>0.98272181794332725</v>
      </c>
      <c r="FZ62" s="220">
        <f t="shared" ca="1" si="642"/>
        <v>0</v>
      </c>
      <c r="GA62" s="235">
        <f t="shared" ca="1" si="160"/>
        <v>0.43039003080199167</v>
      </c>
      <c r="GB62" s="235">
        <f t="shared" ca="1" si="161"/>
        <v>0.43039003080199167</v>
      </c>
      <c r="GC62" s="242">
        <f t="shared" ca="1" si="162"/>
        <v>0.43039003080199167</v>
      </c>
      <c r="GD62" s="241">
        <f t="shared" ca="1" si="795"/>
        <v>1</v>
      </c>
      <c r="GE62" s="220">
        <f t="shared" ca="1" si="643"/>
        <v>0.98131357757821447</v>
      </c>
      <c r="GF62" s="220">
        <f t="shared" ca="1" si="644"/>
        <v>0</v>
      </c>
      <c r="GG62" s="235">
        <f t="shared" ca="1" si="166"/>
        <v>0.41523988588198307</v>
      </c>
      <c r="GH62" s="235">
        <f t="shared" ca="1" si="167"/>
        <v>0.41523988588198307</v>
      </c>
      <c r="GI62" s="242">
        <f t="shared" ca="1" si="168"/>
        <v>0.41523988588198307</v>
      </c>
      <c r="GJ62" s="241">
        <f t="shared" ca="1" si="795"/>
        <v>1</v>
      </c>
      <c r="GK62" s="220">
        <f t="shared" ca="1" si="645"/>
        <v>0.97988969157714845</v>
      </c>
      <c r="GL62" s="220">
        <f t="shared" ca="1" si="646"/>
        <v>0</v>
      </c>
      <c r="GM62" s="235">
        <f t="shared" ca="1" si="171"/>
        <v>0.40061581913774713</v>
      </c>
      <c r="GN62" s="235">
        <f t="shared" ca="1" si="172"/>
        <v>0.40061581913774713</v>
      </c>
      <c r="GO62" s="242">
        <f t="shared" ca="1" si="173"/>
        <v>0.40061581913774713</v>
      </c>
      <c r="GP62" s="241">
        <f t="shared" ca="1" si="802"/>
        <v>1</v>
      </c>
      <c r="GQ62" s="220">
        <f t="shared" ca="1" si="647"/>
        <v>0.9784443542820721</v>
      </c>
      <c r="GR62" s="220">
        <f t="shared" ca="1" si="648"/>
        <v>0</v>
      </c>
      <c r="GS62" s="235">
        <f t="shared" ca="1" si="176"/>
        <v>0.38649749836185404</v>
      </c>
      <c r="GT62" s="235">
        <f t="shared" ca="1" si="177"/>
        <v>0.38649749836185404</v>
      </c>
      <c r="GU62" s="242">
        <f t="shared" ca="1" si="178"/>
        <v>0.38649749836185404</v>
      </c>
      <c r="GV62" s="241">
        <f t="shared" ca="1" si="802"/>
        <v>1</v>
      </c>
      <c r="GW62" s="220">
        <f t="shared" ca="1" si="649"/>
        <v>0.97697473086194042</v>
      </c>
      <c r="GX62" s="220">
        <f t="shared" ca="1" si="650"/>
        <v>0</v>
      </c>
      <c r="GY62" s="235">
        <f t="shared" ca="1" si="181"/>
        <v>0.37286664649209134</v>
      </c>
      <c r="GZ62" s="235">
        <f t="shared" ca="1" si="182"/>
        <v>0.37286664649209134</v>
      </c>
      <c r="HA62" s="242">
        <f t="shared" ca="1" si="183"/>
        <v>0.37286664649209134</v>
      </c>
      <c r="HB62" s="241">
        <f t="shared" ca="1" si="802"/>
        <v>1</v>
      </c>
      <c r="HC62" s="220">
        <f t="shared" ca="1" si="651"/>
        <v>0.97547214372587476</v>
      </c>
      <c r="HD62" s="220">
        <f t="shared" ca="1" si="652"/>
        <v>0</v>
      </c>
      <c r="HE62" s="235">
        <f t="shared" ca="1" si="186"/>
        <v>0.35970355322684694</v>
      </c>
      <c r="HF62" s="235">
        <f t="shared" ca="1" si="187"/>
        <v>0.35970355322684694</v>
      </c>
      <c r="HG62" s="242">
        <f t="shared" ca="1" si="188"/>
        <v>0.35970355322684694</v>
      </c>
      <c r="HH62" s="241">
        <f t="shared" ca="1" si="802"/>
        <v>1</v>
      </c>
      <c r="HI62" s="220">
        <f t="shared" ca="1" si="653"/>
        <v>0.9739299222666441</v>
      </c>
      <c r="HJ62" s="220">
        <f t="shared" ca="1" si="654"/>
        <v>0</v>
      </c>
      <c r="HK62" s="235">
        <f t="shared" ca="1" si="191"/>
        <v>0.34699020474318382</v>
      </c>
      <c r="HL62" s="235">
        <f t="shared" ca="1" si="192"/>
        <v>0.34699020474318382</v>
      </c>
      <c r="HM62" s="242">
        <f t="shared" ca="1" si="193"/>
        <v>0.34699020474318382</v>
      </c>
      <c r="HN62" s="241">
        <f t="shared" ca="1" si="802"/>
        <v>1</v>
      </c>
      <c r="HO62" s="220">
        <f t="shared" ca="1" si="655"/>
        <v>0.97234631221303847</v>
      </c>
      <c r="HP62" s="220">
        <f t="shared" ca="1" si="656"/>
        <v>0</v>
      </c>
      <c r="HQ62" s="235">
        <f t="shared" ca="1" si="196"/>
        <v>0.33471110982634922</v>
      </c>
      <c r="HR62" s="235">
        <f t="shared" ca="1" si="197"/>
        <v>0.33471110982634922</v>
      </c>
      <c r="HS62" s="242">
        <f t="shared" ca="1" si="198"/>
        <v>0.33471110982634922</v>
      </c>
      <c r="HT62" s="241">
        <f t="shared" ca="1" si="802"/>
        <v>1</v>
      </c>
      <c r="HU62" s="220">
        <f t="shared" ca="1" si="657"/>
        <v>0.97072346621795491</v>
      </c>
      <c r="HV62" s="220">
        <f t="shared" ca="1" si="658"/>
        <v>0</v>
      </c>
      <c r="HW62" s="235">
        <f t="shared" ca="1" si="201"/>
        <v>0.32285263476719722</v>
      </c>
      <c r="HX62" s="235">
        <f t="shared" ca="1" si="202"/>
        <v>0.32285263476719722</v>
      </c>
      <c r="HY62" s="242">
        <f t="shared" ca="1" si="203"/>
        <v>0.32285263476719722</v>
      </c>
      <c r="HZ62" s="241">
        <f t="shared" ca="1" si="802"/>
        <v>1</v>
      </c>
      <c r="IA62" s="220">
        <f t="shared" ca="1" si="659"/>
        <v>0.96906158764378969</v>
      </c>
      <c r="IB62" s="220">
        <f t="shared" ca="1" si="660"/>
        <v>0</v>
      </c>
      <c r="IC62" s="235">
        <f t="shared" ca="1" si="206"/>
        <v>0.31140088024780266</v>
      </c>
      <c r="ID62" s="235">
        <f t="shared" ca="1" si="207"/>
        <v>0.31140088024780266</v>
      </c>
      <c r="IE62" s="242">
        <f t="shared" ca="1" si="208"/>
        <v>0.31140088024780266</v>
      </c>
      <c r="IF62" s="241">
        <f t="shared" ca="1" si="802"/>
        <v>1</v>
      </c>
      <c r="IG62" s="220">
        <f t="shared" ca="1" si="661"/>
        <v>0.96736088455747493</v>
      </c>
      <c r="IH62" s="220">
        <f t="shared" ca="1" si="662"/>
        <v>0</v>
      </c>
      <c r="II62" s="235">
        <f t="shared" ca="1" si="211"/>
        <v>0.30034238811880948</v>
      </c>
      <c r="IJ62" s="235">
        <f t="shared" ca="1" si="212"/>
        <v>0.30034238811880948</v>
      </c>
      <c r="IK62" s="242">
        <f t="shared" ca="1" si="213"/>
        <v>0.30034238811880948</v>
      </c>
      <c r="IL62" s="241">
        <f t="shared" ca="1" si="802"/>
        <v>1</v>
      </c>
      <c r="IM62" s="220">
        <f t="shared" ca="1" si="663"/>
        <v>0.96561963496527148</v>
      </c>
      <c r="IN62" s="220">
        <f t="shared" ca="1" si="664"/>
        <v>0</v>
      </c>
      <c r="IO62" s="235">
        <f t="shared" ca="1" si="216"/>
        <v>0.28966354765236296</v>
      </c>
      <c r="IP62" s="235">
        <f t="shared" ca="1" si="217"/>
        <v>0.28966354765236296</v>
      </c>
      <c r="IQ62" s="242">
        <f t="shared" ca="1" si="218"/>
        <v>0.28966354765236296</v>
      </c>
      <c r="IR62" s="241">
        <f t="shared" ca="1" si="802"/>
        <v>1</v>
      </c>
      <c r="IS62" s="220">
        <f t="shared" ca="1" si="665"/>
        <v>0.96382841054241086</v>
      </c>
      <c r="IT62" s="220">
        <f t="shared" ca="1" si="666"/>
        <v>0</v>
      </c>
      <c r="IU62" s="235">
        <f t="shared" ca="1" si="222"/>
        <v>0.27934900654248102</v>
      </c>
      <c r="IV62" s="235">
        <f t="shared" ca="1" si="223"/>
        <v>0.27934900654248102</v>
      </c>
      <c r="IW62" s="242">
        <f t="shared" ca="1" si="224"/>
        <v>0.27934900654248102</v>
      </c>
      <c r="IX62" s="241">
        <f t="shared" ca="1" si="802"/>
        <v>1</v>
      </c>
      <c r="IY62" s="220">
        <f t="shared" ca="1" si="667"/>
        <v>0.9619778599941694</v>
      </c>
      <c r="IZ62" s="220">
        <f t="shared" ca="1" si="668"/>
        <v>0</v>
      </c>
      <c r="JA62" s="235">
        <f t="shared" ca="1" si="227"/>
        <v>0.26938420913035699</v>
      </c>
      <c r="JB62" s="235">
        <f t="shared" ca="1" si="228"/>
        <v>0.26938420913035699</v>
      </c>
      <c r="JC62" s="242">
        <f t="shared" ca="1" si="229"/>
        <v>0.26938420913035699</v>
      </c>
      <c r="JD62" s="241">
        <f t="shared" ca="1" si="796"/>
        <v>1</v>
      </c>
      <c r="JE62" s="220">
        <f t="shared" ca="1" si="669"/>
        <v>0.96006544800850102</v>
      </c>
      <c r="JF62" s="220">
        <f t="shared" ca="1" si="670"/>
        <v>0</v>
      </c>
      <c r="JG62" s="235">
        <f t="shared" ca="1" si="232"/>
        <v>0.25975717229237277</v>
      </c>
      <c r="JH62" s="235">
        <f t="shared" ca="1" si="233"/>
        <v>0.25975717229237277</v>
      </c>
      <c r="JI62" s="242">
        <f t="shared" ca="1" si="234"/>
        <v>0.25975717229237277</v>
      </c>
      <c r="JJ62" s="241">
        <f t="shared" ca="1" si="796"/>
        <v>1</v>
      </c>
      <c r="JK62" s="220">
        <f t="shared" ca="1" si="671"/>
        <v>0.9580877131856036</v>
      </c>
      <c r="JL62" s="220">
        <f t="shared" ca="1" si="672"/>
        <v>0</v>
      </c>
      <c r="JM62" s="235">
        <f t="shared" ca="1" si="237"/>
        <v>0.25045610871251262</v>
      </c>
      <c r="JN62" s="235">
        <f t="shared" ca="1" si="238"/>
        <v>0.25045610871251262</v>
      </c>
      <c r="JO62" s="242">
        <f t="shared" ca="1" si="239"/>
        <v>0.25045610871251262</v>
      </c>
      <c r="JP62" s="241">
        <f t="shared" ca="1" si="803"/>
        <v>1</v>
      </c>
      <c r="JQ62" s="220">
        <f t="shared" ca="1" si="673"/>
        <v>0.95603644739167326</v>
      </c>
      <c r="JR62" s="220">
        <f t="shared" ca="1" si="674"/>
        <v>0</v>
      </c>
      <c r="JS62" s="235">
        <f t="shared" ca="1" si="242"/>
        <v>0.24146848520169967</v>
      </c>
      <c r="JT62" s="235">
        <f t="shared" ca="1" si="243"/>
        <v>0.24146848520169967</v>
      </c>
      <c r="JU62" s="242">
        <f t="shared" ca="1" si="244"/>
        <v>0.24146848520169967</v>
      </c>
      <c r="JV62" s="241">
        <f t="shared" ca="1" si="803"/>
        <v>1</v>
      </c>
      <c r="JW62" s="220">
        <f t="shared" ca="1" si="675"/>
        <v>0.95389492574951584</v>
      </c>
      <c r="JX62" s="220">
        <f t="shared" ca="1" si="676"/>
        <v>0</v>
      </c>
      <c r="JY62" s="235">
        <f t="shared" ca="1" si="247"/>
        <v>0.23278028579212359</v>
      </c>
      <c r="JZ62" s="235">
        <f t="shared" ca="1" si="248"/>
        <v>0.23278028579212359</v>
      </c>
      <c r="KA62" s="242">
        <f t="shared" ca="1" si="249"/>
        <v>0.23278028579212359</v>
      </c>
      <c r="KB62" s="241">
        <f t="shared" ca="1" si="803"/>
        <v>1</v>
      </c>
      <c r="KC62" s="220">
        <f t="shared" ca="1" si="677"/>
        <v>0.95164182593489555</v>
      </c>
      <c r="KD62" s="220">
        <f t="shared" ca="1" si="678"/>
        <v>0</v>
      </c>
      <c r="KE62" s="235">
        <f t="shared" ca="1" si="252"/>
        <v>0.22437725483776094</v>
      </c>
      <c r="KF62" s="235">
        <f t="shared" ca="1" si="253"/>
        <v>0.22437725483776094</v>
      </c>
      <c r="KG62" s="242">
        <f t="shared" ca="1" si="254"/>
        <v>0.22437725483776094</v>
      </c>
      <c r="KH62" s="241">
        <f t="shared" ca="1" si="803"/>
        <v>1</v>
      </c>
      <c r="KI62" s="220">
        <f t="shared" ca="1" si="679"/>
        <v>0.94925415659362489</v>
      </c>
      <c r="KJ62" s="220">
        <f t="shared" ca="1" si="680"/>
        <v>0</v>
      </c>
      <c r="KK62" s="235">
        <f t="shared" ca="1" si="257"/>
        <v>0.21624569304866956</v>
      </c>
      <c r="KL62" s="235">
        <f t="shared" ca="1" si="258"/>
        <v>0.21624569304866956</v>
      </c>
      <c r="KM62" s="242">
        <f t="shared" ca="1" si="259"/>
        <v>0.21624569304866956</v>
      </c>
      <c r="KN62" s="241">
        <f t="shared" ca="1" si="803"/>
        <v>1</v>
      </c>
      <c r="KO62" s="220">
        <f t="shared" ca="1" si="681"/>
        <v>0.94670635843732753</v>
      </c>
      <c r="KP62" s="220">
        <f t="shared" ca="1" si="682"/>
        <v>0</v>
      </c>
      <c r="KQ62" s="235">
        <f t="shared" ca="1" si="262"/>
        <v>0.2083722604913304</v>
      </c>
      <c r="KR62" s="235">
        <f t="shared" ca="1" si="263"/>
        <v>0.2083722604913304</v>
      </c>
      <c r="KS62" s="242">
        <f t="shared" ca="1" si="264"/>
        <v>0.2083722604913304</v>
      </c>
      <c r="KT62" s="241">
        <f t="shared" ca="1" si="803"/>
        <v>1</v>
      </c>
      <c r="KU62" s="220">
        <f t="shared" ca="1" si="683"/>
        <v>0.94397037706144371</v>
      </c>
      <c r="KV62" s="220">
        <f t="shared" ca="1" si="684"/>
        <v>0</v>
      </c>
      <c r="KW62" s="235">
        <f t="shared" ca="1" si="267"/>
        <v>0.20074402382464779</v>
      </c>
      <c r="KX62" s="235">
        <f t="shared" ca="1" si="268"/>
        <v>0.20074402382464779</v>
      </c>
      <c r="KY62" s="242">
        <f t="shared" ca="1" si="269"/>
        <v>0.20074402382464779</v>
      </c>
      <c r="KZ62" s="241">
        <f t="shared" ca="1" si="803"/>
        <v>1</v>
      </c>
      <c r="LA62" s="220">
        <f t="shared" ca="1" si="685"/>
        <v>0.94102424551463493</v>
      </c>
      <c r="LB62" s="220">
        <f t="shared" ca="1" si="686"/>
        <v>0</v>
      </c>
      <c r="LC62" s="235">
        <f t="shared" ca="1" si="272"/>
        <v>0.19335024321380778</v>
      </c>
      <c r="LD62" s="235">
        <f t="shared" ca="1" si="273"/>
        <v>0.19335024321380778</v>
      </c>
      <c r="LE62" s="242">
        <f t="shared" ca="1" si="274"/>
        <v>0.19335024321380778</v>
      </c>
      <c r="LF62" s="241">
        <f t="shared" ca="1" si="803"/>
        <v>1</v>
      </c>
      <c r="LG62" s="220">
        <f t="shared" ca="1" si="687"/>
        <v>0.93783793741932242</v>
      </c>
      <c r="LH62" s="220">
        <f t="shared" ca="1" si="688"/>
        <v>0</v>
      </c>
      <c r="LI62" s="235">
        <f t="shared" ca="1" si="278"/>
        <v>0.18617928433844047</v>
      </c>
      <c r="LJ62" s="235">
        <f t="shared" ca="1" si="279"/>
        <v>0.18617928433844047</v>
      </c>
      <c r="LK62" s="242">
        <f t="shared" ca="1" si="280"/>
        <v>0.18617928433844047</v>
      </c>
      <c r="LL62" s="241">
        <f t="shared" ca="1" si="803"/>
        <v>1</v>
      </c>
      <c r="LM62" s="220">
        <f t="shared" ca="1" si="689"/>
        <v>0.93436137218530901</v>
      </c>
      <c r="LN62" s="220">
        <f t="shared" ca="1" si="690"/>
        <v>0</v>
      </c>
      <c r="LO62" s="235">
        <f t="shared" ca="1" si="283"/>
        <v>0.17921653887091585</v>
      </c>
      <c r="LP62" s="235">
        <f t="shared" ca="1" si="284"/>
        <v>0.17921653887091585</v>
      </c>
      <c r="LQ62" s="242">
        <f t="shared" ca="1" si="285"/>
        <v>0.17921653887091585</v>
      </c>
      <c r="LR62" s="241">
        <f t="shared" ca="1" si="803"/>
        <v>1</v>
      </c>
      <c r="LS62" s="220">
        <f t="shared" ca="1" si="691"/>
        <v>0.93053889981169891</v>
      </c>
      <c r="LT62" s="220">
        <f t="shared" ca="1" si="692"/>
        <v>0</v>
      </c>
      <c r="LU62" s="235">
        <f t="shared" ca="1" si="288"/>
        <v>0.17244769469603377</v>
      </c>
      <c r="LV62" s="235">
        <f t="shared" ca="1" si="289"/>
        <v>0.17244769469603377</v>
      </c>
      <c r="LW62" s="242">
        <f t="shared" ca="1" si="290"/>
        <v>0.17244769469603377</v>
      </c>
      <c r="LX62" s="241">
        <f t="shared" ca="1" si="803"/>
        <v>1</v>
      </c>
      <c r="LY62" s="220">
        <f t="shared" ca="1" si="693"/>
        <v>0.92632262805665211</v>
      </c>
      <c r="LZ62" s="220">
        <f t="shared" ca="1" si="694"/>
        <v>0</v>
      </c>
      <c r="MA62" s="235">
        <f t="shared" ca="1" si="293"/>
        <v>0.16586119245542613</v>
      </c>
      <c r="MB62" s="235">
        <f t="shared" ca="1" si="294"/>
        <v>0.16586119245542613</v>
      </c>
      <c r="MC62" s="242">
        <f t="shared" ca="1" si="295"/>
        <v>0.16586119245542613</v>
      </c>
      <c r="MD62" s="241">
        <f t="shared" ca="1" si="797"/>
        <v>1</v>
      </c>
      <c r="ME62" s="220">
        <f t="shared" ca="1" si="695"/>
        <v>0.92167897272220412</v>
      </c>
      <c r="MF62" s="220">
        <f t="shared" ca="1" si="696"/>
        <v>0</v>
      </c>
      <c r="MG62" s="235">
        <f t="shared" ca="1" si="298"/>
        <v>0.15944901478033538</v>
      </c>
      <c r="MH62" s="235">
        <f t="shared" ca="1" si="299"/>
        <v>0.15944901478033538</v>
      </c>
      <c r="MI62" s="242">
        <f t="shared" ca="1" si="300"/>
        <v>0.15944901478033538</v>
      </c>
      <c r="MJ62" s="241">
        <f t="shared" ca="1" si="797"/>
        <v>1</v>
      </c>
      <c r="MK62" s="220">
        <f t="shared" ca="1" si="697"/>
        <v>0.91658761807688671</v>
      </c>
      <c r="ML62" s="220">
        <f t="shared" ca="1" si="698"/>
        <v>0</v>
      </c>
      <c r="MM62" s="235">
        <f t="shared" ca="1" si="303"/>
        <v>0.15320600813786359</v>
      </c>
      <c r="MN62" s="235">
        <f t="shared" ca="1" si="304"/>
        <v>0.15320600813786359</v>
      </c>
      <c r="MO62" s="242">
        <f t="shared" ca="1" si="305"/>
        <v>0.15320600813786359</v>
      </c>
      <c r="MP62" s="241">
        <f t="shared" ca="1" si="804"/>
        <v>1</v>
      </c>
      <c r="MQ62" s="220">
        <f t="shared" ca="1" si="699"/>
        <v>0.91103401369895887</v>
      </c>
      <c r="MR62" s="220">
        <f t="shared" ca="1" si="700"/>
        <v>0</v>
      </c>
      <c r="MS62" s="235">
        <f t="shared" ca="1" si="308"/>
        <v>0.1471282443812138</v>
      </c>
      <c r="MT62" s="235">
        <f t="shared" ca="1" si="309"/>
        <v>0.1471282443812138</v>
      </c>
      <c r="MU62" s="242">
        <f t="shared" ca="1" si="310"/>
        <v>0.1471282443812138</v>
      </c>
      <c r="MV62" s="241">
        <f t="shared" ca="1" si="804"/>
        <v>1</v>
      </c>
      <c r="MW62" s="220">
        <f t="shared" ca="1" si="701"/>
        <v>0.90501116783439506</v>
      </c>
      <c r="MX62" s="220">
        <f t="shared" ca="1" si="702"/>
        <v>0</v>
      </c>
      <c r="MY62" s="235">
        <f t="shared" ca="1" si="313"/>
        <v>0.14121312034551653</v>
      </c>
      <c r="MZ62" s="235">
        <f t="shared" ca="1" si="314"/>
        <v>0.14121312034551653</v>
      </c>
      <c r="NA62" s="242">
        <f t="shared" ca="1" si="315"/>
        <v>0.14121312034551653</v>
      </c>
      <c r="NB62" s="241">
        <f t="shared" ca="1" si="804"/>
        <v>1</v>
      </c>
      <c r="NC62" s="220">
        <f t="shared" ca="1" si="703"/>
        <v>0.89850685257116925</v>
      </c>
      <c r="ND62" s="220">
        <f t="shared" ca="1" si="704"/>
        <v>0</v>
      </c>
      <c r="NE62" s="235">
        <f t="shared" ca="1" si="318"/>
        <v>0.13545721898511429</v>
      </c>
      <c r="NF62" s="235">
        <f t="shared" ca="1" si="319"/>
        <v>0.13545721898511429</v>
      </c>
      <c r="NG62" s="242">
        <f t="shared" ca="1" si="320"/>
        <v>0.13545721898511429</v>
      </c>
      <c r="NH62" s="241">
        <f t="shared" ca="1" si="804"/>
        <v>1</v>
      </c>
      <c r="NI62" s="220">
        <f t="shared" ca="1" si="705"/>
        <v>0.89149849912111412</v>
      </c>
      <c r="NJ62" s="220">
        <f t="shared" ca="1" si="706"/>
        <v>0</v>
      </c>
      <c r="NK62" s="235">
        <f t="shared" ca="1" si="323"/>
        <v>0.12985570306959462</v>
      </c>
      <c r="NL62" s="235">
        <f t="shared" ca="1" si="324"/>
        <v>0.12985570306959462</v>
      </c>
      <c r="NM62" s="242">
        <f t="shared" ca="1" si="325"/>
        <v>0.12985570306959462</v>
      </c>
      <c r="NN62" s="241">
        <f t="shared" ca="1" si="804"/>
        <v>1</v>
      </c>
      <c r="NO62" s="220">
        <f t="shared" ca="1" si="707"/>
        <v>0.88395998781254592</v>
      </c>
      <c r="NP62" s="220">
        <f t="shared" ca="1" si="708"/>
        <v>0</v>
      </c>
      <c r="NQ62" s="235">
        <f t="shared" ca="1" si="328"/>
        <v>0.12440352004293539</v>
      </c>
      <c r="NR62" s="235">
        <f t="shared" ca="1" si="329"/>
        <v>0.12440352004293539</v>
      </c>
      <c r="NS62" s="242">
        <f t="shared" ca="1" si="330"/>
        <v>0.12440352004293539</v>
      </c>
      <c r="NT62" s="241">
        <f t="shared" ca="1" si="804"/>
        <v>1</v>
      </c>
      <c r="NU62" s="220">
        <f t="shared" ca="1" si="709"/>
        <v>0.87587705768398794</v>
      </c>
      <c r="NV62" s="220">
        <f t="shared" ca="1" si="710"/>
        <v>0</v>
      </c>
      <c r="NW62" s="235">
        <f t="shared" ca="1" si="334"/>
        <v>0.11909755966730703</v>
      </c>
      <c r="NX62" s="235">
        <f t="shared" ca="1" si="335"/>
        <v>0.11909755966730703</v>
      </c>
      <c r="NY62" s="242">
        <f t="shared" ca="1" si="336"/>
        <v>0.11909755966730703</v>
      </c>
      <c r="NZ62" s="241">
        <f t="shared" ca="1" si="804"/>
        <v>1</v>
      </c>
      <c r="OA62" s="220">
        <f t="shared" ca="1" si="711"/>
        <v>0.86723653050993543</v>
      </c>
      <c r="OB62" s="220">
        <f t="shared" ca="1" si="712"/>
        <v>0</v>
      </c>
      <c r="OC62" s="235">
        <f t="shared" ca="1" si="339"/>
        <v>0.11393493936346769</v>
      </c>
      <c r="OD62" s="235">
        <f t="shared" ca="1" si="340"/>
        <v>0.11393493936346769</v>
      </c>
      <c r="OE62" s="242">
        <f t="shared" ca="1" si="341"/>
        <v>0.11393493936346769</v>
      </c>
      <c r="OF62" s="241">
        <f t="shared" ca="1" si="804"/>
        <v>1</v>
      </c>
      <c r="OG62" s="220">
        <f t="shared" ca="1" si="713"/>
        <v>0.85802474408285889</v>
      </c>
      <c r="OH62" s="220">
        <f t="shared" ca="1" si="714"/>
        <v>0</v>
      </c>
      <c r="OI62" s="235">
        <f t="shared" ca="1" si="344"/>
        <v>0.10891277530197965</v>
      </c>
      <c r="OJ62" s="235">
        <f t="shared" ca="1" si="345"/>
        <v>0.10891277530197965</v>
      </c>
      <c r="OK62" s="242">
        <f t="shared" ca="1" si="346"/>
        <v>0.10891277530197965</v>
      </c>
      <c r="OL62" s="241">
        <f t="shared" ca="1" si="804"/>
        <v>1</v>
      </c>
      <c r="OM62" s="220">
        <f t="shared" ca="1" si="715"/>
        <v>0.84819349656515752</v>
      </c>
      <c r="ON62" s="220">
        <f t="shared" ca="1" si="716"/>
        <v>0</v>
      </c>
      <c r="OO62" s="235">
        <f t="shared" ca="1" si="349"/>
        <v>0.10402401229233778</v>
      </c>
      <c r="OP62" s="235">
        <f t="shared" ca="1" si="350"/>
        <v>0.10402401229233778</v>
      </c>
      <c r="OQ62" s="242">
        <f t="shared" ca="1" si="351"/>
        <v>0.10402401229233778</v>
      </c>
      <c r="OR62" s="241">
        <f t="shared" ca="1" si="804"/>
        <v>1</v>
      </c>
      <c r="OS62" s="220">
        <f t="shared" ca="1" si="717"/>
        <v>0.83771830688257787</v>
      </c>
      <c r="OT62" s="220">
        <f t="shared" ca="1" si="718"/>
        <v>0</v>
      </c>
      <c r="OU62" s="235">
        <f t="shared" ca="1" si="354"/>
        <v>9.9265039362828419E-2</v>
      </c>
      <c r="OV62" s="235">
        <f t="shared" ca="1" si="355"/>
        <v>9.9265039362828419E-2</v>
      </c>
      <c r="OW62" s="242">
        <f t="shared" ca="1" si="356"/>
        <v>9.9265039362828419E-2</v>
      </c>
      <c r="OX62" s="241">
        <f t="shared" ca="1" si="804"/>
        <v>1</v>
      </c>
      <c r="OY62" s="220">
        <f t="shared" ca="1" si="719"/>
        <v>0.82663110509098692</v>
      </c>
      <c r="OZ62" s="220">
        <f t="shared" ca="1" si="720"/>
        <v>0</v>
      </c>
      <c r="PA62" s="235">
        <f t="shared" ca="1" si="359"/>
        <v>9.4638904895518239E-2</v>
      </c>
      <c r="PB62" s="235">
        <f t="shared" ca="1" si="360"/>
        <v>9.4638904895518239E-2</v>
      </c>
      <c r="PC62" s="242">
        <f t="shared" ca="1" si="361"/>
        <v>9.4638904895518239E-2</v>
      </c>
      <c r="PD62" s="241">
        <f t="shared" ca="1" si="798"/>
        <v>1</v>
      </c>
      <c r="PE62" s="220">
        <f t="shared" ca="1" si="721"/>
        <v>0.81497808640251923</v>
      </c>
      <c r="PF62" s="220">
        <f t="shared" ca="1" si="722"/>
        <v>0</v>
      </c>
      <c r="PG62" s="235">
        <f t="shared" ca="1" si="364"/>
        <v>9.0149546138363415E-2</v>
      </c>
      <c r="PH62" s="235">
        <f t="shared" ca="1" si="365"/>
        <v>9.0149546138363415E-2</v>
      </c>
      <c r="PI62" s="242">
        <f t="shared" ca="1" si="366"/>
        <v>9.0149546138363415E-2</v>
      </c>
      <c r="PJ62" s="241">
        <f t="shared" ca="1" si="798"/>
        <v>1</v>
      </c>
      <c r="PK62" s="220">
        <f t="shared" ca="1" si="723"/>
        <v>0.80277052964629592</v>
      </c>
      <c r="PL62" s="220">
        <f t="shared" ca="1" si="724"/>
        <v>0</v>
      </c>
      <c r="PM62" s="235">
        <f t="shared" ca="1" si="369"/>
        <v>8.5796324721504238E-2</v>
      </c>
      <c r="PN62" s="235">
        <f t="shared" ca="1" si="370"/>
        <v>8.5796324721504238E-2</v>
      </c>
      <c r="PO62" s="242">
        <f t="shared" ca="1" si="371"/>
        <v>8.5796324721504238E-2</v>
      </c>
      <c r="PP62" s="241">
        <f t="shared" ca="1" si="805"/>
        <v>1</v>
      </c>
      <c r="PQ62" s="220">
        <f t="shared" ca="1" si="725"/>
        <v>0.78995269259943357</v>
      </c>
      <c r="PR62" s="220">
        <f t="shared" ca="1" si="726"/>
        <v>0</v>
      </c>
      <c r="PS62" s="235">
        <f t="shared" ca="1" si="374"/>
        <v>8.1571415270218356E-2</v>
      </c>
      <c r="PT62" s="235">
        <f t="shared" ca="1" si="375"/>
        <v>8.1571415270218356E-2</v>
      </c>
      <c r="PU62" s="242">
        <f t="shared" ca="1" si="376"/>
        <v>8.1571415270218356E-2</v>
      </c>
      <c r="PV62" s="241">
        <f t="shared" ca="1" si="805"/>
        <v>1</v>
      </c>
      <c r="PW62" s="220">
        <f t="shared" ca="1" si="727"/>
        <v>0.77643739198174988</v>
      </c>
      <c r="PX62" s="220">
        <f t="shared" ca="1" si="728"/>
        <v>0</v>
      </c>
      <c r="PY62" s="235">
        <f t="shared" ca="1" si="379"/>
        <v>7.7464550653488104E-2</v>
      </c>
      <c r="PZ62" s="235">
        <f t="shared" ca="1" si="380"/>
        <v>7.7464550653488104E-2</v>
      </c>
      <c r="QA62" s="242">
        <f t="shared" ca="1" si="381"/>
        <v>7.7464550653488104E-2</v>
      </c>
      <c r="QB62" s="241">
        <f t="shared" ca="1" si="805"/>
        <v>1</v>
      </c>
      <c r="QC62" s="220">
        <f t="shared" ca="1" si="729"/>
        <v>0.76215715546842155</v>
      </c>
      <c r="QD62" s="220">
        <f t="shared" ca="1" si="730"/>
        <v>0</v>
      </c>
      <c r="QE62" s="235">
        <f t="shared" ca="1" si="384"/>
        <v>7.3468427669438799E-2</v>
      </c>
      <c r="QF62" s="235">
        <f t="shared" ca="1" si="385"/>
        <v>7.3468427669438799E-2</v>
      </c>
      <c r="QG62" s="242">
        <f t="shared" ca="1" si="386"/>
        <v>7.3468427669438799E-2</v>
      </c>
      <c r="QH62" s="241">
        <f t="shared" ca="1" si="805"/>
        <v>1</v>
      </c>
      <c r="QI62" s="220">
        <f t="shared" ca="1" si="731"/>
        <v>0.74703900613254992</v>
      </c>
      <c r="QJ62" s="220">
        <f t="shared" ca="1" si="732"/>
        <v>0</v>
      </c>
      <c r="QK62" s="235">
        <f t="shared" ca="1" si="390"/>
        <v>6.9575949698732195E-2</v>
      </c>
      <c r="QL62" s="235">
        <f t="shared" ca="1" si="391"/>
        <v>6.9575949698732195E-2</v>
      </c>
      <c r="QM62" s="242">
        <f t="shared" ca="1" si="392"/>
        <v>6.9575949698732195E-2</v>
      </c>
      <c r="QN62" s="241">
        <f t="shared" ca="1" si="805"/>
        <v>1</v>
      </c>
      <c r="QO62" s="220">
        <f t="shared" ca="1" si="733"/>
        <v>0.73100381386591473</v>
      </c>
      <c r="QP62" s="220">
        <f t="shared" ca="1" si="734"/>
        <v>0</v>
      </c>
      <c r="QQ62" s="235">
        <f t="shared" ca="1" si="395"/>
        <v>6.5780195109612458E-2</v>
      </c>
      <c r="QR62" s="235">
        <f t="shared" ca="1" si="396"/>
        <v>6.5780195109612458E-2</v>
      </c>
      <c r="QS62" s="242">
        <f t="shared" ca="1" si="397"/>
        <v>6.5780195109612458E-2</v>
      </c>
      <c r="QT62" s="241">
        <f t="shared" ca="1" si="805"/>
        <v>1</v>
      </c>
      <c r="QU62" s="220">
        <f t="shared" ca="1" si="735"/>
        <v>0.71393414380833176</v>
      </c>
      <c r="QV62" s="220">
        <f t="shared" ca="1" si="736"/>
        <v>0</v>
      </c>
      <c r="QW62" s="235">
        <f t="shared" ca="1" si="400"/>
        <v>6.2071653887543876E-2</v>
      </c>
      <c r="QX62" s="235">
        <f t="shared" ca="1" si="401"/>
        <v>6.2071653887543876E-2</v>
      </c>
      <c r="QY62" s="242">
        <f t="shared" ca="1" si="402"/>
        <v>6.2071653887543876E-2</v>
      </c>
      <c r="QZ62" s="241">
        <f t="shared" ca="1" si="805"/>
        <v>1</v>
      </c>
      <c r="RA62" s="220">
        <f t="shared" ca="1" si="737"/>
        <v>0.69574167395580788</v>
      </c>
      <c r="RB62" s="220">
        <f t="shared" ca="1" si="738"/>
        <v>0</v>
      </c>
      <c r="RC62" s="235">
        <f t="shared" ca="1" si="405"/>
        <v>5.8444390341238162E-2</v>
      </c>
      <c r="RD62" s="235">
        <f t="shared" ca="1" si="406"/>
        <v>5.8444390341238162E-2</v>
      </c>
      <c r="RE62" s="242">
        <f t="shared" ca="1" si="407"/>
        <v>5.8444390341238162E-2</v>
      </c>
      <c r="RF62" s="241">
        <f t="shared" ca="1" si="805"/>
        <v>1</v>
      </c>
      <c r="RG62" s="220">
        <f t="shared" ca="1" si="739"/>
        <v>0.67640422986988014</v>
      </c>
      <c r="RH62" s="220">
        <f t="shared" ca="1" si="740"/>
        <v>0</v>
      </c>
      <c r="RI62" s="235">
        <f t="shared" ca="1" si="410"/>
        <v>5.4898538121829751E-2</v>
      </c>
      <c r="RJ62" s="235">
        <f t="shared" ca="1" si="411"/>
        <v>5.4898538121829751E-2</v>
      </c>
      <c r="RK62" s="242">
        <f t="shared" ca="1" si="412"/>
        <v>5.4898538121829751E-2</v>
      </c>
      <c r="RL62" s="241">
        <f t="shared" ca="1" si="805"/>
        <v>1</v>
      </c>
      <c r="RM62" s="220">
        <f t="shared" ca="1" si="741"/>
        <v>0.65592135698096043</v>
      </c>
      <c r="RN62" s="220">
        <f t="shared" ca="1" si="742"/>
        <v>0</v>
      </c>
      <c r="RO62" s="235">
        <f t="shared" ca="1" si="415"/>
        <v>5.1435845981086484E-2</v>
      </c>
      <c r="RP62" s="235">
        <f t="shared" ca="1" si="416"/>
        <v>5.1435845981086484E-2</v>
      </c>
      <c r="RQ62" s="242">
        <f t="shared" ca="1" si="417"/>
        <v>5.1435845981086484E-2</v>
      </c>
      <c r="RR62" s="241">
        <f t="shared" ca="1" si="805"/>
        <v>1</v>
      </c>
      <c r="RS62" s="220">
        <f t="shared" ca="1" si="743"/>
        <v>0.63426152193073515</v>
      </c>
      <c r="RT62" s="220">
        <f t="shared" ca="1" si="744"/>
        <v>0</v>
      </c>
      <c r="RU62" s="235">
        <f t="shared" ca="1" si="420"/>
        <v>4.8055392729564286E-2</v>
      </c>
      <c r="RV62" s="235">
        <f t="shared" ca="1" si="421"/>
        <v>4.8055392729564286E-2</v>
      </c>
      <c r="RW62" s="242">
        <f t="shared" ca="1" si="422"/>
        <v>4.8055392729564286E-2</v>
      </c>
      <c r="RX62" s="241">
        <f t="shared" ca="1" si="805"/>
        <v>1</v>
      </c>
      <c r="RY62" s="220">
        <f t="shared" ca="1" si="745"/>
        <v>0.61130062057532053</v>
      </c>
      <c r="RZ62" s="220">
        <f t="shared" ca="1" si="746"/>
        <v>0</v>
      </c>
      <c r="SA62" s="235">
        <f t="shared" ca="1" si="425"/>
        <v>4.4749506722088245E-2</v>
      </c>
      <c r="SB62" s="235">
        <f t="shared" ca="1" si="426"/>
        <v>4.4749506722088245E-2</v>
      </c>
      <c r="SC62" s="242">
        <f t="shared" ca="1" si="427"/>
        <v>4.4749506722088245E-2</v>
      </c>
      <c r="SD62" s="241">
        <f t="shared" ca="1" si="799"/>
        <v>1</v>
      </c>
      <c r="SE62" s="220">
        <f t="shared" ca="1" si="747"/>
        <v>0.58693540044042947</v>
      </c>
      <c r="SF62" s="220">
        <f t="shared" ca="1" si="748"/>
        <v>0</v>
      </c>
      <c r="SG62" s="235">
        <f t="shared" ca="1" si="430"/>
        <v>4.1512928389525854E-2</v>
      </c>
      <c r="SH62" s="235">
        <f t="shared" ca="1" si="431"/>
        <v>4.1512928389525854E-2</v>
      </c>
      <c r="SI62" s="242">
        <f t="shared" ca="1" si="432"/>
        <v>4.1512928389525854E-2</v>
      </c>
      <c r="SJ62" s="241">
        <f t="shared" ca="1" si="799"/>
        <v>1</v>
      </c>
      <c r="SK62" s="220">
        <f t="shared" ca="1" si="749"/>
        <v>0.56117421877969853</v>
      </c>
      <c r="SL62" s="220">
        <f t="shared" ca="1" si="750"/>
        <v>0</v>
      </c>
      <c r="SM62" s="235">
        <f t="shared" ca="1" si="435"/>
        <v>3.8348680627614658E-2</v>
      </c>
      <c r="SN62" s="235">
        <f t="shared" ca="1" si="436"/>
        <v>3.8348680627614658E-2</v>
      </c>
      <c r="SO62" s="242">
        <f t="shared" ca="1" si="437"/>
        <v>3.8348680627614658E-2</v>
      </c>
      <c r="SP62" s="241">
        <f t="shared" ca="1" si="808"/>
        <v>1</v>
      </c>
      <c r="SQ62" s="220">
        <f t="shared" ca="1" si="751"/>
        <v>0.5340633310962325</v>
      </c>
      <c r="SR62" s="220">
        <f t="shared" ca="1" si="752"/>
        <v>0</v>
      </c>
      <c r="SS62" s="235">
        <f t="shared" ca="1" si="440"/>
        <v>3.5261852674216394E-2</v>
      </c>
      <c r="ST62" s="235">
        <f t="shared" ca="1" si="441"/>
        <v>3.5261852674216394E-2</v>
      </c>
      <c r="SU62" s="242">
        <f t="shared" ca="1" si="442"/>
        <v>3.5261852674216394E-2</v>
      </c>
      <c r="SV62" s="241">
        <f t="shared" ca="1" si="808"/>
        <v>1</v>
      </c>
      <c r="SW62" s="220">
        <f t="shared" ca="1" si="753"/>
        <v>0.50563620810864218</v>
      </c>
      <c r="SX62" s="220">
        <f t="shared" ca="1" si="754"/>
        <v>0</v>
      </c>
      <c r="SY62" s="235">
        <f t="shared" ca="1" si="446"/>
        <v>3.2255975632920972E-2</v>
      </c>
      <c r="SZ62" s="235">
        <f t="shared" ca="1" si="447"/>
        <v>3.2255975632920972E-2</v>
      </c>
      <c r="TA62" s="242">
        <f t="shared" ca="1" si="448"/>
        <v>3.2255975632920972E-2</v>
      </c>
      <c r="TB62" s="241">
        <f t="shared" ca="1" si="808"/>
        <v>1</v>
      </c>
      <c r="TC62" s="220">
        <f t="shared" ca="1" si="755"/>
        <v>0.47585575235966748</v>
      </c>
      <c r="TD62" s="220">
        <f t="shared" ca="1" si="756"/>
        <v>0</v>
      </c>
      <c r="TE62" s="235">
        <f t="shared" ca="1" si="451"/>
        <v>2.9329657426153458E-2</v>
      </c>
      <c r="TF62" s="235">
        <f t="shared" ca="1" si="452"/>
        <v>2.9329657426153458E-2</v>
      </c>
      <c r="TG62" s="242">
        <f t="shared" ca="1" si="453"/>
        <v>2.9329657426153458E-2</v>
      </c>
      <c r="TH62" s="241">
        <f t="shared" ca="1" si="808"/>
        <v>1</v>
      </c>
      <c r="TI62" s="220">
        <f t="shared" ca="1" si="757"/>
        <v>0.4447514411066778</v>
      </c>
      <c r="TJ62" s="220">
        <f t="shared" ca="1" si="758"/>
        <v>0</v>
      </c>
      <c r="TK62" s="235">
        <f t="shared" ca="1" si="456"/>
        <v>2.6485530790814431E-2</v>
      </c>
      <c r="TL62" s="235">
        <f t="shared" ca="1" si="457"/>
        <v>2.6485530790814431E-2</v>
      </c>
      <c r="TM62" s="242">
        <f t="shared" ca="1" si="458"/>
        <v>2.6485530790814431E-2</v>
      </c>
      <c r="TN62" s="241">
        <f t="shared" ca="1" si="808"/>
        <v>1</v>
      </c>
      <c r="TO62" s="220">
        <f t="shared" ca="1" si="759"/>
        <v>0.41251096438941365</v>
      </c>
      <c r="TP62" s="220">
        <f t="shared" ca="1" si="760"/>
        <v>0</v>
      </c>
      <c r="TQ62" s="235">
        <f t="shared" ca="1" si="461"/>
        <v>2.3734848481408222E-2</v>
      </c>
      <c r="TR62" s="235">
        <f t="shared" ca="1" si="462"/>
        <v>2.3734848481408222E-2</v>
      </c>
      <c r="TS62" s="242">
        <f t="shared" ca="1" si="463"/>
        <v>2.3734848481408222E-2</v>
      </c>
      <c r="TT62" s="241">
        <f t="shared" ca="1" si="808"/>
        <v>1</v>
      </c>
      <c r="TU62" s="220">
        <f t="shared" ca="1" si="761"/>
        <v>0.37939128408051637</v>
      </c>
      <c r="TV62" s="220">
        <f t="shared" ca="1" si="762"/>
        <v>0</v>
      </c>
      <c r="TW62" s="235">
        <f t="shared" ca="1" si="466"/>
        <v>2.1091038615007652E-2</v>
      </c>
      <c r="TX62" s="235">
        <f t="shared" ca="1" si="467"/>
        <v>2.1091038615007652E-2</v>
      </c>
      <c r="TY62" s="242">
        <f t="shared" ca="1" si="468"/>
        <v>2.1091038615007652E-2</v>
      </c>
      <c r="TZ62" s="241">
        <f t="shared" ca="1" si="808"/>
        <v>1</v>
      </c>
      <c r="UA62" s="220">
        <f t="shared" ca="1" si="763"/>
        <v>0.34565732866521315</v>
      </c>
      <c r="UB62" s="220">
        <f t="shared" ca="1" si="764"/>
        <v>0</v>
      </c>
      <c r="UC62" s="235">
        <f t="shared" ca="1" si="471"/>
        <v>1.8565901280691431E-2</v>
      </c>
      <c r="UD62" s="235">
        <f t="shared" ca="1" si="472"/>
        <v>1.8565901280691431E-2</v>
      </c>
      <c r="UE62" s="242">
        <f t="shared" ca="1" si="473"/>
        <v>1.8565901280691431E-2</v>
      </c>
      <c r="UF62" s="241">
        <f t="shared" ca="1" si="808"/>
        <v>1</v>
      </c>
      <c r="UG62" s="220">
        <f t="shared" ca="1" si="765"/>
        <v>0.31158381183471112</v>
      </c>
      <c r="UH62" s="220">
        <f t="shared" ca="1" si="766"/>
        <v>0</v>
      </c>
      <c r="UI62" s="235">
        <f t="shared" ca="1" si="476"/>
        <v>1.6169805793281151E-2</v>
      </c>
      <c r="UJ62" s="235">
        <f t="shared" ca="1" si="477"/>
        <v>1.6169805793281151E-2</v>
      </c>
      <c r="UK62" s="242">
        <f t="shared" ca="1" si="478"/>
        <v>1.6169805793281151E-2</v>
      </c>
      <c r="UL62" s="241">
        <f t="shared" ca="1" si="808"/>
        <v>1</v>
      </c>
      <c r="UM62" s="220">
        <f t="shared" ca="1" si="767"/>
        <v>0.27748470263514402</v>
      </c>
      <c r="UN62" s="220">
        <f t="shared" ca="1" si="768"/>
        <v>0</v>
      </c>
      <c r="UO62" s="235">
        <f t="shared" ca="1" si="481"/>
        <v>1.3913250808575896E-2</v>
      </c>
      <c r="UP62" s="235">
        <f t="shared" ca="1" si="482"/>
        <v>1.3913250808575896E-2</v>
      </c>
      <c r="UQ62" s="242">
        <f t="shared" ca="1" si="483"/>
        <v>1.3913250808575896E-2</v>
      </c>
      <c r="UR62" s="241">
        <f t="shared" ca="1" si="808"/>
        <v>1</v>
      </c>
      <c r="US62" s="220">
        <f t="shared" ca="1" si="769"/>
        <v>0.24373729058536042</v>
      </c>
      <c r="UT62" s="220">
        <f t="shared" ca="1" si="770"/>
        <v>0</v>
      </c>
      <c r="UU62" s="235">
        <f t="shared" ca="1" si="486"/>
        <v>1.1807860056509861E-2</v>
      </c>
      <c r="UV62" s="235">
        <f t="shared" ca="1" si="487"/>
        <v>1.1807860056509861E-2</v>
      </c>
      <c r="UW62" s="242">
        <f t="shared" ca="1" si="488"/>
        <v>1.1807860056509861E-2</v>
      </c>
      <c r="UX62" s="241">
        <f t="shared" ca="1" si="808"/>
        <v>1</v>
      </c>
      <c r="UY62" s="220">
        <f t="shared" ca="1" si="771"/>
        <v>0.21078985859319374</v>
      </c>
      <c r="UZ62" s="220">
        <f t="shared" ca="1" si="772"/>
        <v>0</v>
      </c>
      <c r="VA62" s="235">
        <f t="shared" ca="1" si="491"/>
        <v>9.866396874889936E-3</v>
      </c>
      <c r="VB62" s="235">
        <f t="shared" ca="1" si="492"/>
        <v>9.866396874889936E-3</v>
      </c>
      <c r="VC62" s="242">
        <f t="shared" ca="1" si="493"/>
        <v>9.866396874889936E-3</v>
      </c>
      <c r="VD62" s="241">
        <f t="shared" ca="1" si="806"/>
        <v>1</v>
      </c>
      <c r="VE62" s="220">
        <f t="shared" ca="1" si="773"/>
        <v>0.17914840370962801</v>
      </c>
      <c r="VF62" s="220">
        <f t="shared" ca="1" si="774"/>
        <v>0</v>
      </c>
      <c r="VG62" s="235">
        <f t="shared" ca="1" si="496"/>
        <v>8.1017989433788233E-3</v>
      </c>
      <c r="VH62" s="235">
        <f t="shared" ca="1" si="497"/>
        <v>8.1017989433788233E-3</v>
      </c>
      <c r="VI62" s="242">
        <f t="shared" ca="1" si="498"/>
        <v>8.1017989433788233E-3</v>
      </c>
      <c r="VJ62" s="241">
        <f t="shared" ca="1" si="806"/>
        <v>1</v>
      </c>
      <c r="VK62" s="220">
        <f t="shared" ca="1" si="775"/>
        <v>0.14933864677755704</v>
      </c>
      <c r="VL62" s="220">
        <f t="shared" ca="1" si="776"/>
        <v>0</v>
      </c>
      <c r="VM62" s="235">
        <f t="shared" ca="1" si="502"/>
        <v>6.5252984585482295E-3</v>
      </c>
      <c r="VN62" s="235">
        <f t="shared" ca="1" si="503"/>
        <v>6.5252984585482295E-3</v>
      </c>
      <c r="VO62" s="242">
        <f t="shared" ca="1" si="504"/>
        <v>6.5252984585482295E-3</v>
      </c>
      <c r="VP62" s="241">
        <f t="shared" ca="1" si="567"/>
        <v>1</v>
      </c>
      <c r="VQ62" s="220">
        <f t="shared" ca="1" si="777"/>
        <v>0.12186078378642688</v>
      </c>
      <c r="VR62" s="220">
        <f t="shared" ca="1" si="778"/>
        <v>0</v>
      </c>
      <c r="VS62" s="235">
        <f t="shared" ca="1" si="507"/>
        <v>5.1446020464451514E-3</v>
      </c>
      <c r="VT62" s="235">
        <f t="shared" ca="1" si="508"/>
        <v>5.1446020464451514E-3</v>
      </c>
      <c r="VU62" s="242">
        <f t="shared" ca="1" si="509"/>
        <v>5.1446020464451514E-3</v>
      </c>
      <c r="VV62" s="241">
        <f t="shared" ca="1" si="578"/>
        <v>1</v>
      </c>
      <c r="VW62" s="220">
        <f t="shared" ca="1" si="779"/>
        <v>9.714071449143126E-2</v>
      </c>
      <c r="VX62" s="220">
        <f t="shared" ca="1" si="780"/>
        <v>0</v>
      </c>
      <c r="VY62" s="235">
        <f t="shared" ca="1" si="512"/>
        <v>3.9623128486120972E-3</v>
      </c>
      <c r="VZ62" s="235">
        <f t="shared" ca="1" si="513"/>
        <v>3.9623128486120972E-3</v>
      </c>
      <c r="WA62" s="242">
        <f t="shared" ca="1" si="514"/>
        <v>3.9623128486120972E-3</v>
      </c>
      <c r="WB62" s="241">
        <f t="shared" ca="1" si="578"/>
        <v>1</v>
      </c>
      <c r="WC62" s="220">
        <f t="shared" ca="1" si="781"/>
        <v>7.5486980683431834E-2</v>
      </c>
      <c r="WD62" s="220">
        <f t="shared" ca="1" si="782"/>
        <v>0</v>
      </c>
      <c r="WE62" s="235">
        <f t="shared" ca="1" si="517"/>
        <v>2.9749465982754843E-3</v>
      </c>
      <c r="WF62" s="235">
        <f t="shared" ca="1" si="518"/>
        <v>2.9749465982754843E-3</v>
      </c>
      <c r="WG62" s="242">
        <f t="shared" ca="1" si="519"/>
        <v>2.9749465982754843E-3</v>
      </c>
      <c r="WH62" s="241">
        <f t="shared" ca="1" si="578"/>
        <v>1</v>
      </c>
      <c r="WI62" s="220">
        <f t="shared" ca="1" si="783"/>
        <v>5.7061061620490225E-2</v>
      </c>
      <c r="WJ62" s="220">
        <f t="shared" ca="1" si="784"/>
        <v>0</v>
      </c>
      <c r="WK62" s="235">
        <f t="shared" ca="1" si="522"/>
        <v>2.1727342833971291E-3</v>
      </c>
      <c r="WL62" s="235">
        <f t="shared" ca="1" si="523"/>
        <v>2.1727342833971291E-3</v>
      </c>
      <c r="WM62" s="242">
        <f t="shared" ca="1" si="524"/>
        <v>2.1727342833971291E-3</v>
      </c>
      <c r="WN62" s="241">
        <f t="shared" ca="1" si="578"/>
        <v>1</v>
      </c>
      <c r="WO62" s="220">
        <f t="shared" ca="1" si="785"/>
        <v>4.1934687734452851E-2</v>
      </c>
      <c r="WP62" s="220">
        <f t="shared" ca="1" si="786"/>
        <v>0</v>
      </c>
      <c r="WQ62" s="235">
        <f t="shared" ca="1" si="527"/>
        <v>1.5427651975624165E-3</v>
      </c>
      <c r="WR62" s="235">
        <f t="shared" ca="1" si="528"/>
        <v>1.5427651975624165E-3</v>
      </c>
      <c r="WS62" s="242">
        <f t="shared" ca="1" si="529"/>
        <v>1.5427651975624165E-3</v>
      </c>
      <c r="WT62" s="241">
        <f t="shared" ca="1" si="578"/>
        <v>1</v>
      </c>
      <c r="WU62" s="220">
        <f t="shared" ca="1" si="787"/>
        <v>2.9961998908764689E-2</v>
      </c>
      <c r="WV62" s="220">
        <f t="shared" ca="1" si="788"/>
        <v>0</v>
      </c>
      <c r="WW62" s="235">
        <f t="shared" ca="1" si="532"/>
        <v>1.0650177696007403E-3</v>
      </c>
      <c r="WX62" s="235">
        <f t="shared" ca="1" si="533"/>
        <v>1.0650177696007403E-3</v>
      </c>
      <c r="WY62" s="242">
        <f t="shared" ca="1" si="534"/>
        <v>1.0650177696007403E-3</v>
      </c>
      <c r="WZ62" s="241">
        <f t="shared" ca="1" si="578"/>
        <v>1</v>
      </c>
      <c r="XA62" s="220">
        <f t="shared" ca="1" si="789"/>
        <v>2.0825806429510707E-2</v>
      </c>
      <c r="XB62" s="220">
        <f t="shared" ca="1" si="790"/>
        <v>0</v>
      </c>
      <c r="XC62" s="235">
        <f t="shared" ca="1" si="537"/>
        <v>7.1523300597822715E-4</v>
      </c>
      <c r="XD62" s="235">
        <f t="shared" ca="1" si="538"/>
        <v>7.1523300597822715E-4</v>
      </c>
      <c r="XE62" s="242">
        <f t="shared" ca="1" si="539"/>
        <v>7.1523300597822715E-4</v>
      </c>
      <c r="XF62" s="241">
        <f t="shared" ca="1" si="578"/>
        <v>1</v>
      </c>
      <c r="XG62" s="220">
        <f t="shared" ca="1" si="791"/>
        <v>1.410075784309954E-2</v>
      </c>
      <c r="XH62" s="220">
        <f t="shared" ca="1" si="792"/>
        <v>0</v>
      </c>
      <c r="XI62" s="235">
        <f t="shared" ca="1" si="542"/>
        <v>4.6789437576883483E-4</v>
      </c>
      <c r="XJ62" s="235">
        <f t="shared" ca="1" si="543"/>
        <v>4.6789437576883483E-4</v>
      </c>
      <c r="XK62" s="242">
        <f t="shared" ca="1" si="544"/>
        <v>4.6789437576883483E-4</v>
      </c>
    </row>
    <row r="63" spans="2:635" x14ac:dyDescent="0.25">
      <c r="B63" s="65">
        <f t="shared" ca="1" si="14"/>
        <v>2078</v>
      </c>
      <c r="C63" s="65" t="s">
        <v>741</v>
      </c>
      <c r="D63" s="77">
        <f t="shared" si="580"/>
        <v>0</v>
      </c>
      <c r="E63" s="77">
        <f t="shared" si="581"/>
        <v>0</v>
      </c>
      <c r="F63" s="77" t="b">
        <f t="shared" si="793"/>
        <v>0</v>
      </c>
      <c r="G63" s="77" t="b">
        <f t="shared" si="794"/>
        <v>0</v>
      </c>
      <c r="H63" s="15" t="e">
        <f t="shared" ca="1" si="582"/>
        <v>#REF!</v>
      </c>
      <c r="L63" s="326">
        <f t="shared" ca="1" si="583"/>
        <v>3.5000000000000003E-2</v>
      </c>
      <c r="M63" s="327">
        <f t="shared" ca="1" si="584"/>
        <v>3.5000000000000003E-2</v>
      </c>
      <c r="N63" s="322">
        <f t="shared" ca="1" si="579"/>
        <v>-55</v>
      </c>
      <c r="O63" s="322">
        <f t="shared" ca="1" si="585"/>
        <v>0</v>
      </c>
      <c r="P63" s="328">
        <f t="shared" ca="1" si="545"/>
        <v>26.87829936156087</v>
      </c>
      <c r="Q63" s="328">
        <f t="shared" ca="1" si="546"/>
        <v>26.87829936156087</v>
      </c>
      <c r="R63" s="328">
        <f t="shared" ca="1" si="547"/>
        <v>26.87829936156087</v>
      </c>
      <c r="S63" s="329">
        <f t="shared" ca="1" si="586"/>
        <v>3.8642415640549425E-2</v>
      </c>
      <c r="T63" s="329">
        <f t="shared" ca="1" si="587"/>
        <v>3.8642415640549425E-2</v>
      </c>
      <c r="U63" s="329">
        <f t="shared" ca="1" si="588"/>
        <v>3.8642415640549425E-2</v>
      </c>
      <c r="V63" s="320" t="e">
        <f t="shared" ca="1" si="589"/>
        <v>#REF!</v>
      </c>
      <c r="W63" s="320" t="e">
        <f t="shared" ca="1" si="560"/>
        <v>#REF!</v>
      </c>
      <c r="X63" s="320" t="e">
        <f t="shared" ca="1" si="590"/>
        <v>#REF!</v>
      </c>
      <c r="Y63" s="320" t="e">
        <f ca="1">INDEX(SC_ZA_HECMLumpSum,ZAIDX)</f>
        <v>#REF!</v>
      </c>
      <c r="Z63" s="320" t="e">
        <f t="shared" ca="1" si="591"/>
        <v>#REF!</v>
      </c>
      <c r="AA63" s="320" t="e">
        <f t="shared" ca="1" si="557"/>
        <v>#REF!</v>
      </c>
      <c r="AB63" s="320" t="e">
        <f t="shared" ca="1" si="558"/>
        <v>#REF!</v>
      </c>
      <c r="AC63" s="330" t="e">
        <f t="shared" ca="1" si="559"/>
        <v>#REF!</v>
      </c>
      <c r="AD63" s="236" t="e">
        <f t="shared" ca="1" si="548"/>
        <v>#REF!</v>
      </c>
      <c r="AE63" s="320" t="e">
        <f t="shared" ca="1" si="561"/>
        <v>#REF!</v>
      </c>
      <c r="AF63" s="320" t="e">
        <f t="shared" ca="1" si="592"/>
        <v>#REF!</v>
      </c>
      <c r="AG63" s="320" t="e">
        <f t="shared" ca="1" si="549"/>
        <v>#REF!</v>
      </c>
      <c r="AH63" s="284" t="e">
        <f t="shared" ca="1" si="550"/>
        <v>#REF!</v>
      </c>
      <c r="AI63" s="318" t="e">
        <f t="shared" ca="1" si="551"/>
        <v>#REF!</v>
      </c>
      <c r="AJ63" s="331">
        <f t="shared" ca="1" si="807"/>
        <v>1</v>
      </c>
      <c r="AK63" s="220">
        <f t="shared" ca="1" si="593"/>
        <v>1</v>
      </c>
      <c r="AL63" s="220">
        <f t="shared" ca="1" si="594"/>
        <v>0</v>
      </c>
      <c r="AM63" s="235">
        <f t="shared" ca="1" si="554"/>
        <v>1</v>
      </c>
      <c r="AN63" s="235">
        <f t="shared" ca="1" si="555"/>
        <v>1</v>
      </c>
      <c r="AO63" s="242">
        <f t="shared" ca="1" si="556"/>
        <v>1</v>
      </c>
      <c r="AP63" s="241">
        <f t="shared" ca="1" si="807"/>
        <v>1</v>
      </c>
      <c r="AQ63" s="220">
        <f t="shared" ca="1" si="595"/>
        <v>0.99361699999999997</v>
      </c>
      <c r="AR63" s="220">
        <f t="shared" ca="1" si="596"/>
        <v>0</v>
      </c>
      <c r="AS63" s="235">
        <f t="shared" ca="1" si="43"/>
        <v>0.96001642512077301</v>
      </c>
      <c r="AT63" s="235">
        <f t="shared" ca="1" si="44"/>
        <v>0.96001642512077301</v>
      </c>
      <c r="AU63" s="242">
        <f t="shared" ca="1" si="45"/>
        <v>0.96001642512077301</v>
      </c>
      <c r="AV63" s="241">
        <f t="shared" ca="1" si="807"/>
        <v>1</v>
      </c>
      <c r="AW63" s="220">
        <f t="shared" ca="1" si="597"/>
        <v>0.99316689149899995</v>
      </c>
      <c r="AX63" s="220">
        <f t="shared" ca="1" si="598"/>
        <v>0</v>
      </c>
      <c r="AY63" s="235">
        <f t="shared" ca="1" si="48"/>
        <v>0.92713192046395487</v>
      </c>
      <c r="AZ63" s="235">
        <f t="shared" ca="1" si="49"/>
        <v>0.92713192046395487</v>
      </c>
      <c r="BA63" s="242">
        <f t="shared" ca="1" si="50"/>
        <v>0.92713192046395487</v>
      </c>
      <c r="BB63" s="241">
        <f t="shared" ca="1" si="807"/>
        <v>1</v>
      </c>
      <c r="BC63" s="220">
        <f t="shared" ca="1" si="599"/>
        <v>0.99288681843559723</v>
      </c>
      <c r="BD63" s="220">
        <f t="shared" ca="1" si="600"/>
        <v>0</v>
      </c>
      <c r="BE63" s="235">
        <f t="shared" ca="1" si="54"/>
        <v>0.89552702344191704</v>
      </c>
      <c r="BF63" s="235">
        <f t="shared" ca="1" si="55"/>
        <v>0.89552702344191704</v>
      </c>
      <c r="BG63" s="242">
        <f t="shared" ca="1" si="56"/>
        <v>0.89552702344191704</v>
      </c>
      <c r="BH63" s="241">
        <f t="shared" ca="1" si="807"/>
        <v>1</v>
      </c>
      <c r="BI63" s="220">
        <f t="shared" ca="1" si="601"/>
        <v>0.99265845446735712</v>
      </c>
      <c r="BJ63" s="220">
        <f t="shared" ca="1" si="602"/>
        <v>0</v>
      </c>
      <c r="BK63" s="235">
        <f t="shared" ca="1" si="59"/>
        <v>0.86504449490485558</v>
      </c>
      <c r="BL63" s="235">
        <f t="shared" ca="1" si="60"/>
        <v>0.86504449490485558</v>
      </c>
      <c r="BM63" s="242">
        <f t="shared" ca="1" si="61"/>
        <v>0.86504449490485558</v>
      </c>
      <c r="BN63" s="241">
        <f t="shared" ca="1" si="807"/>
        <v>1</v>
      </c>
      <c r="BO63" s="220">
        <f t="shared" ca="1" si="603"/>
        <v>0.99249069518855215</v>
      </c>
      <c r="BP63" s="220">
        <f t="shared" ca="1" si="604"/>
        <v>0</v>
      </c>
      <c r="BQ63" s="235">
        <f t="shared" ca="1" si="64"/>
        <v>0.83565053370552345</v>
      </c>
      <c r="BR63" s="235">
        <f t="shared" ca="1" si="65"/>
        <v>0.83565053370552345</v>
      </c>
      <c r="BS63" s="242">
        <f t="shared" ca="1" si="66"/>
        <v>0.83565053370552345</v>
      </c>
      <c r="BT63" s="241">
        <f t="shared" ca="1" si="807"/>
        <v>1</v>
      </c>
      <c r="BU63" s="220">
        <f t="shared" ca="1" si="605"/>
        <v>0.99233685913079794</v>
      </c>
      <c r="BV63" s="220">
        <f t="shared" ca="1" si="606"/>
        <v>0</v>
      </c>
      <c r="BW63" s="235">
        <f t="shared" ca="1" si="69"/>
        <v>0.80726667427323584</v>
      </c>
      <c r="BX63" s="235">
        <f t="shared" ca="1" si="70"/>
        <v>0.80726667427323584</v>
      </c>
      <c r="BY63" s="242">
        <f t="shared" ca="1" si="71"/>
        <v>0.80726667427323584</v>
      </c>
      <c r="BZ63" s="241">
        <f t="shared" ca="1" si="807"/>
        <v>1</v>
      </c>
      <c r="CA63" s="220">
        <f t="shared" ca="1" si="607"/>
        <v>0.992192970286224</v>
      </c>
      <c r="CB63" s="220">
        <f t="shared" ca="1" si="608"/>
        <v>0</v>
      </c>
      <c r="CC63" s="235">
        <f t="shared" ca="1" si="74"/>
        <v>0.7798547058990013</v>
      </c>
      <c r="CD63" s="235">
        <f t="shared" ca="1" si="75"/>
        <v>0.7798547058990013</v>
      </c>
      <c r="CE63" s="242">
        <f t="shared" ca="1" si="76"/>
        <v>0.7798547058990013</v>
      </c>
      <c r="CF63" s="241">
        <f t="shared" ca="1" si="807"/>
        <v>1</v>
      </c>
      <c r="CG63" s="220">
        <f t="shared" ca="1" si="609"/>
        <v>0.9920590242352354</v>
      </c>
      <c r="CH63" s="220">
        <f t="shared" ca="1" si="610"/>
        <v>0</v>
      </c>
      <c r="CI63" s="235">
        <f t="shared" ca="1" si="79"/>
        <v>0.75338108745285515</v>
      </c>
      <c r="CJ63" s="235">
        <f t="shared" ca="1" si="80"/>
        <v>0.75338108745285515</v>
      </c>
      <c r="CK63" s="242">
        <f t="shared" ca="1" si="81"/>
        <v>0.75338108745285515</v>
      </c>
      <c r="CL63" s="241">
        <f t="shared" ca="1" si="807"/>
        <v>1</v>
      </c>
      <c r="CM63" s="220">
        <f t="shared" ca="1" si="611"/>
        <v>0.99193997715232718</v>
      </c>
      <c r="CN63" s="220">
        <f t="shared" ca="1" si="612"/>
        <v>0</v>
      </c>
      <c r="CO63" s="235">
        <f t="shared" ca="1" si="84"/>
        <v>0.72781708378972065</v>
      </c>
      <c r="CP63" s="235">
        <f t="shared" ca="1" si="85"/>
        <v>0.72781708378972065</v>
      </c>
      <c r="CQ63" s="242">
        <f t="shared" ca="1" si="86"/>
        <v>0.72781708378972065</v>
      </c>
      <c r="CR63" s="241">
        <f t="shared" ca="1" si="807"/>
        <v>1</v>
      </c>
      <c r="CS63" s="220">
        <f t="shared" ca="1" si="613"/>
        <v>0.99183582345472621</v>
      </c>
      <c r="CT63" s="220">
        <f t="shared" ca="1" si="614"/>
        <v>0</v>
      </c>
      <c r="CU63" s="235">
        <f t="shared" ca="1" si="89"/>
        <v>0.70313107535837949</v>
      </c>
      <c r="CV63" s="235">
        <f t="shared" ca="1" si="90"/>
        <v>0.70313107535837949</v>
      </c>
      <c r="CW63" s="242">
        <f t="shared" ca="1" si="91"/>
        <v>0.70313107535837949</v>
      </c>
      <c r="CX63" s="241">
        <f t="shared" ca="1" si="800"/>
        <v>1</v>
      </c>
      <c r="CY63" s="220">
        <f t="shared" ca="1" si="615"/>
        <v>0.99174259088732142</v>
      </c>
      <c r="CZ63" s="220">
        <f t="shared" ca="1" si="616"/>
        <v>0</v>
      </c>
      <c r="DA63" s="235">
        <f t="shared" ca="1" si="94"/>
        <v>0.6792898367510104</v>
      </c>
      <c r="DB63" s="235">
        <f t="shared" ca="1" si="95"/>
        <v>0.6792898367510104</v>
      </c>
      <c r="DC63" s="242">
        <f t="shared" ca="1" si="96"/>
        <v>0.6792898367510104</v>
      </c>
      <c r="DD63" s="241">
        <f t="shared" ca="1" si="800"/>
        <v>1</v>
      </c>
      <c r="DE63" s="220">
        <f t="shared" ca="1" si="617"/>
        <v>0.99164440837082357</v>
      </c>
      <c r="DF63" s="220">
        <f t="shared" ca="1" si="618"/>
        <v>0</v>
      </c>
      <c r="DG63" s="235">
        <f t="shared" ca="1" si="99"/>
        <v>0.65625370730161559</v>
      </c>
      <c r="DH63" s="235">
        <f t="shared" ca="1" si="100"/>
        <v>0.65625370730161559</v>
      </c>
      <c r="DI63" s="242">
        <f t="shared" ca="1" si="101"/>
        <v>0.65625370730161559</v>
      </c>
      <c r="DJ63" s="241">
        <f t="shared" ca="1" si="51"/>
        <v>1</v>
      </c>
      <c r="DK63" s="220">
        <f t="shared" ca="1" si="619"/>
        <v>0.9915115280201019</v>
      </c>
      <c r="DL63" s="220">
        <f t="shared" ca="1" si="620"/>
        <v>0</v>
      </c>
      <c r="DM63" s="235">
        <f t="shared" ca="1" si="104"/>
        <v>0.63397658870032592</v>
      </c>
      <c r="DN63" s="235">
        <f t="shared" ca="1" si="105"/>
        <v>0.63397658870032592</v>
      </c>
      <c r="DO63" s="242">
        <f t="shared" ca="1" si="106"/>
        <v>0.63397658870032592</v>
      </c>
      <c r="DP63" s="241">
        <f t="shared" ca="1" si="801"/>
        <v>1</v>
      </c>
      <c r="DQ63" s="220">
        <f t="shared" ca="1" si="621"/>
        <v>0.99130628513380181</v>
      </c>
      <c r="DR63" s="220">
        <f t="shared" ca="1" si="622"/>
        <v>0</v>
      </c>
      <c r="DS63" s="235">
        <f t="shared" ca="1" si="110"/>
        <v>0.61241097154247814</v>
      </c>
      <c r="DT63" s="235">
        <f t="shared" ca="1" si="111"/>
        <v>0.61241097154247814</v>
      </c>
      <c r="DU63" s="242">
        <f t="shared" ca="1" si="112"/>
        <v>0.61241097154247814</v>
      </c>
      <c r="DV63" s="241">
        <f t="shared" ca="1" si="801"/>
        <v>1</v>
      </c>
      <c r="DW63" s="220">
        <f t="shared" ca="1" si="623"/>
        <v>0.9909999714916955</v>
      </c>
      <c r="DX63" s="220">
        <f t="shared" ca="1" si="624"/>
        <v>0</v>
      </c>
      <c r="DY63" s="235">
        <f t="shared" ca="1" si="115"/>
        <v>0.59151858604084218</v>
      </c>
      <c r="DZ63" s="235">
        <f t="shared" ca="1" si="116"/>
        <v>0.59151858604084218</v>
      </c>
      <c r="EA63" s="242">
        <f t="shared" ca="1" si="117"/>
        <v>0.59151858604084218</v>
      </c>
      <c r="EB63" s="241">
        <f t="shared" ca="1" si="801"/>
        <v>1</v>
      </c>
      <c r="EC63" s="220">
        <f t="shared" ca="1" si="625"/>
        <v>0.99058474250364048</v>
      </c>
      <c r="ED63" s="220">
        <f t="shared" ca="1" si="626"/>
        <v>0</v>
      </c>
      <c r="EE63" s="235">
        <f t="shared" ca="1" si="120"/>
        <v>0.57127607705632</v>
      </c>
      <c r="EF63" s="235">
        <f t="shared" ca="1" si="121"/>
        <v>0.57127607705632</v>
      </c>
      <c r="EG63" s="242">
        <f t="shared" ca="1" si="122"/>
        <v>0.57127607705632</v>
      </c>
      <c r="EH63" s="241">
        <f t="shared" ca="1" si="801"/>
        <v>1</v>
      </c>
      <c r="EI63" s="220">
        <f t="shared" ca="1" si="627"/>
        <v>0.99005973259011348</v>
      </c>
      <c r="EJ63" s="220">
        <f t="shared" ca="1" si="628"/>
        <v>0</v>
      </c>
      <c r="EK63" s="235">
        <f t="shared" ca="1" si="125"/>
        <v>0.55166502486519819</v>
      </c>
      <c r="EL63" s="235">
        <f t="shared" ca="1" si="126"/>
        <v>0.55166502486519819</v>
      </c>
      <c r="EM63" s="242">
        <f t="shared" ca="1" si="127"/>
        <v>0.55166502486519819</v>
      </c>
      <c r="EN63" s="241">
        <f t="shared" ca="1" si="801"/>
        <v>1</v>
      </c>
      <c r="EO63" s="220">
        <f t="shared" ca="1" si="629"/>
        <v>0.98941124346526699</v>
      </c>
      <c r="EP63" s="220">
        <f t="shared" ca="1" si="630"/>
        <v>0</v>
      </c>
      <c r="EQ63" s="235">
        <f t="shared" ca="1" si="130"/>
        <v>0.53266056451585653</v>
      </c>
      <c r="ER63" s="235">
        <f t="shared" ca="1" si="131"/>
        <v>0.53266056451585653</v>
      </c>
      <c r="ES63" s="242">
        <f t="shared" ca="1" si="132"/>
        <v>0.53266056451585653</v>
      </c>
      <c r="ET63" s="241">
        <f t="shared" ca="1" si="801"/>
        <v>1</v>
      </c>
      <c r="EU63" s="220">
        <f t="shared" ca="1" si="631"/>
        <v>0.98862861917168599</v>
      </c>
      <c r="EV63" s="220">
        <f t="shared" ca="1" si="632"/>
        <v>0</v>
      </c>
      <c r="EW63" s="235">
        <f t="shared" ca="1" si="135"/>
        <v>0.51424080194137645</v>
      </c>
      <c r="EX63" s="235">
        <f t="shared" ca="1" si="136"/>
        <v>0.51424080194137645</v>
      </c>
      <c r="EY63" s="242">
        <f t="shared" ca="1" si="137"/>
        <v>0.51424080194137645</v>
      </c>
      <c r="EZ63" s="241">
        <f t="shared" ca="1" si="801"/>
        <v>1</v>
      </c>
      <c r="FA63" s="220">
        <f t="shared" ca="1" si="633"/>
        <v>0.98770524004137961</v>
      </c>
      <c r="FB63" s="220">
        <f t="shared" ca="1" si="634"/>
        <v>0</v>
      </c>
      <c r="FC63" s="235">
        <f t="shared" ca="1" si="140"/>
        <v>0.49638695751919149</v>
      </c>
      <c r="FD63" s="235">
        <f t="shared" ca="1" si="141"/>
        <v>0.49638695751919149</v>
      </c>
      <c r="FE63" s="242">
        <f t="shared" ca="1" si="142"/>
        <v>0.49638695751919149</v>
      </c>
      <c r="FF63" s="241">
        <f t="shared" ca="1" si="801"/>
        <v>1</v>
      </c>
      <c r="FG63" s="220">
        <f t="shared" ca="1" si="635"/>
        <v>0.98663357985593469</v>
      </c>
      <c r="FH63" s="220">
        <f t="shared" ca="1" si="636"/>
        <v>0</v>
      </c>
      <c r="FI63" s="235">
        <f t="shared" ca="1" si="145"/>
        <v>0.4790805581355394</v>
      </c>
      <c r="FJ63" s="235">
        <f t="shared" ca="1" si="146"/>
        <v>0.4790805581355394</v>
      </c>
      <c r="FK63" s="242">
        <f t="shared" ca="1" si="147"/>
        <v>0.4790805581355394</v>
      </c>
      <c r="FL63" s="241">
        <f t="shared" ca="1" si="801"/>
        <v>1</v>
      </c>
      <c r="FM63" s="220">
        <f t="shared" ca="1" si="637"/>
        <v>0.98542199381987161</v>
      </c>
      <c r="FN63" s="220">
        <f t="shared" ca="1" si="638"/>
        <v>0</v>
      </c>
      <c r="FO63" s="235">
        <f t="shared" ca="1" si="150"/>
        <v>0.46231134996149653</v>
      </c>
      <c r="FP63" s="235">
        <f t="shared" ca="1" si="151"/>
        <v>0.46231134996149653</v>
      </c>
      <c r="FQ63" s="242">
        <f t="shared" ca="1" si="152"/>
        <v>0.46231134996149653</v>
      </c>
      <c r="FR63" s="241">
        <f t="shared" ca="1" si="801"/>
        <v>1</v>
      </c>
      <c r="FS63" s="220">
        <f t="shared" ca="1" si="639"/>
        <v>0.98410251377014679</v>
      </c>
      <c r="FT63" s="220">
        <f t="shared" ca="1" si="640"/>
        <v>0</v>
      </c>
      <c r="FU63" s="235">
        <f t="shared" ca="1" si="155"/>
        <v>0.44607953146270346</v>
      </c>
      <c r="FV63" s="235">
        <f t="shared" ca="1" si="156"/>
        <v>0.44607953146270346</v>
      </c>
      <c r="FW63" s="242">
        <f t="shared" ca="1" si="157"/>
        <v>0.44607953146270346</v>
      </c>
      <c r="FX63" s="241">
        <f t="shared" ca="1" si="801"/>
        <v>1</v>
      </c>
      <c r="FY63" s="220">
        <f t="shared" ca="1" si="641"/>
        <v>0.98272181794332725</v>
      </c>
      <c r="FZ63" s="220">
        <f t="shared" ca="1" si="642"/>
        <v>0</v>
      </c>
      <c r="GA63" s="235">
        <f t="shared" ca="1" si="160"/>
        <v>0.43039003080199167</v>
      </c>
      <c r="GB63" s="235">
        <f t="shared" ca="1" si="161"/>
        <v>0.43039003080199167</v>
      </c>
      <c r="GC63" s="242">
        <f t="shared" ca="1" si="162"/>
        <v>0.43039003080199167</v>
      </c>
      <c r="GD63" s="241">
        <f t="shared" ca="1" si="795"/>
        <v>1</v>
      </c>
      <c r="GE63" s="220">
        <f t="shared" ca="1" si="643"/>
        <v>0.98131357757821447</v>
      </c>
      <c r="GF63" s="220">
        <f t="shared" ca="1" si="644"/>
        <v>0</v>
      </c>
      <c r="GG63" s="235">
        <f t="shared" ca="1" si="166"/>
        <v>0.41523988588198307</v>
      </c>
      <c r="GH63" s="235">
        <f t="shared" ca="1" si="167"/>
        <v>0.41523988588198307</v>
      </c>
      <c r="GI63" s="242">
        <f t="shared" ca="1" si="168"/>
        <v>0.41523988588198307</v>
      </c>
      <c r="GJ63" s="241">
        <f t="shared" ca="1" si="795"/>
        <v>1</v>
      </c>
      <c r="GK63" s="220">
        <f t="shared" ca="1" si="645"/>
        <v>0.97988969157714845</v>
      </c>
      <c r="GL63" s="220">
        <f t="shared" ca="1" si="646"/>
        <v>0</v>
      </c>
      <c r="GM63" s="235">
        <f t="shared" ca="1" si="171"/>
        <v>0.40061581913774713</v>
      </c>
      <c r="GN63" s="235">
        <f t="shared" ca="1" si="172"/>
        <v>0.40061581913774713</v>
      </c>
      <c r="GO63" s="242">
        <f t="shared" ca="1" si="173"/>
        <v>0.40061581913774713</v>
      </c>
      <c r="GP63" s="241">
        <f t="shared" ca="1" si="802"/>
        <v>1</v>
      </c>
      <c r="GQ63" s="220">
        <f t="shared" ca="1" si="647"/>
        <v>0.9784443542820721</v>
      </c>
      <c r="GR63" s="220">
        <f t="shared" ca="1" si="648"/>
        <v>0</v>
      </c>
      <c r="GS63" s="235">
        <f t="shared" ca="1" si="176"/>
        <v>0.38649749836185404</v>
      </c>
      <c r="GT63" s="235">
        <f t="shared" ca="1" si="177"/>
        <v>0.38649749836185404</v>
      </c>
      <c r="GU63" s="242">
        <f t="shared" ca="1" si="178"/>
        <v>0.38649749836185404</v>
      </c>
      <c r="GV63" s="241">
        <f t="shared" ca="1" si="802"/>
        <v>1</v>
      </c>
      <c r="GW63" s="220">
        <f t="shared" ca="1" si="649"/>
        <v>0.97697473086194042</v>
      </c>
      <c r="GX63" s="220">
        <f t="shared" ca="1" si="650"/>
        <v>0</v>
      </c>
      <c r="GY63" s="235">
        <f t="shared" ca="1" si="181"/>
        <v>0.37286664649209134</v>
      </c>
      <c r="GZ63" s="235">
        <f t="shared" ca="1" si="182"/>
        <v>0.37286664649209134</v>
      </c>
      <c r="HA63" s="242">
        <f t="shared" ca="1" si="183"/>
        <v>0.37286664649209134</v>
      </c>
      <c r="HB63" s="241">
        <f t="shared" ca="1" si="802"/>
        <v>1</v>
      </c>
      <c r="HC63" s="220">
        <f t="shared" ca="1" si="651"/>
        <v>0.97547214372587476</v>
      </c>
      <c r="HD63" s="220">
        <f t="shared" ca="1" si="652"/>
        <v>0</v>
      </c>
      <c r="HE63" s="235">
        <f t="shared" ca="1" si="186"/>
        <v>0.35970355322684694</v>
      </c>
      <c r="HF63" s="235">
        <f t="shared" ca="1" si="187"/>
        <v>0.35970355322684694</v>
      </c>
      <c r="HG63" s="242">
        <f t="shared" ca="1" si="188"/>
        <v>0.35970355322684694</v>
      </c>
      <c r="HH63" s="241">
        <f t="shared" ca="1" si="802"/>
        <v>1</v>
      </c>
      <c r="HI63" s="220">
        <f t="shared" ca="1" si="653"/>
        <v>0.9739299222666441</v>
      </c>
      <c r="HJ63" s="220">
        <f t="shared" ca="1" si="654"/>
        <v>0</v>
      </c>
      <c r="HK63" s="235">
        <f t="shared" ca="1" si="191"/>
        <v>0.34699020474318382</v>
      </c>
      <c r="HL63" s="235">
        <f t="shared" ca="1" si="192"/>
        <v>0.34699020474318382</v>
      </c>
      <c r="HM63" s="242">
        <f t="shared" ca="1" si="193"/>
        <v>0.34699020474318382</v>
      </c>
      <c r="HN63" s="241">
        <f t="shared" ca="1" si="802"/>
        <v>1</v>
      </c>
      <c r="HO63" s="220">
        <f t="shared" ca="1" si="655"/>
        <v>0.97234631221303847</v>
      </c>
      <c r="HP63" s="220">
        <f t="shared" ca="1" si="656"/>
        <v>0</v>
      </c>
      <c r="HQ63" s="235">
        <f t="shared" ca="1" si="196"/>
        <v>0.33471110982634922</v>
      </c>
      <c r="HR63" s="235">
        <f t="shared" ca="1" si="197"/>
        <v>0.33471110982634922</v>
      </c>
      <c r="HS63" s="242">
        <f t="shared" ca="1" si="198"/>
        <v>0.33471110982634922</v>
      </c>
      <c r="HT63" s="241">
        <f t="shared" ca="1" si="802"/>
        <v>1</v>
      </c>
      <c r="HU63" s="220">
        <f t="shared" ca="1" si="657"/>
        <v>0.97072346621795491</v>
      </c>
      <c r="HV63" s="220">
        <f t="shared" ca="1" si="658"/>
        <v>0</v>
      </c>
      <c r="HW63" s="235">
        <f t="shared" ca="1" si="201"/>
        <v>0.32285263476719722</v>
      </c>
      <c r="HX63" s="235">
        <f t="shared" ca="1" si="202"/>
        <v>0.32285263476719722</v>
      </c>
      <c r="HY63" s="242">
        <f t="shared" ca="1" si="203"/>
        <v>0.32285263476719722</v>
      </c>
      <c r="HZ63" s="241">
        <f t="shared" ca="1" si="802"/>
        <v>1</v>
      </c>
      <c r="IA63" s="220">
        <f t="shared" ca="1" si="659"/>
        <v>0.96906158764378969</v>
      </c>
      <c r="IB63" s="220">
        <f t="shared" ca="1" si="660"/>
        <v>0</v>
      </c>
      <c r="IC63" s="235">
        <f t="shared" ca="1" si="206"/>
        <v>0.31140088024780266</v>
      </c>
      <c r="ID63" s="235">
        <f t="shared" ca="1" si="207"/>
        <v>0.31140088024780266</v>
      </c>
      <c r="IE63" s="242">
        <f t="shared" ca="1" si="208"/>
        <v>0.31140088024780266</v>
      </c>
      <c r="IF63" s="241">
        <f t="shared" ca="1" si="802"/>
        <v>1</v>
      </c>
      <c r="IG63" s="220">
        <f t="shared" ca="1" si="661"/>
        <v>0.96736088455747493</v>
      </c>
      <c r="IH63" s="220">
        <f t="shared" ca="1" si="662"/>
        <v>0</v>
      </c>
      <c r="II63" s="235">
        <f t="shared" ca="1" si="211"/>
        <v>0.30034238811880948</v>
      </c>
      <c r="IJ63" s="235">
        <f t="shared" ca="1" si="212"/>
        <v>0.30034238811880948</v>
      </c>
      <c r="IK63" s="242">
        <f t="shared" ca="1" si="213"/>
        <v>0.30034238811880948</v>
      </c>
      <c r="IL63" s="241">
        <f t="shared" ca="1" si="802"/>
        <v>1</v>
      </c>
      <c r="IM63" s="220">
        <f t="shared" ca="1" si="663"/>
        <v>0.96561963496527148</v>
      </c>
      <c r="IN63" s="220">
        <f t="shared" ca="1" si="664"/>
        <v>0</v>
      </c>
      <c r="IO63" s="235">
        <f t="shared" ca="1" si="216"/>
        <v>0.28966354765236296</v>
      </c>
      <c r="IP63" s="235">
        <f t="shared" ca="1" si="217"/>
        <v>0.28966354765236296</v>
      </c>
      <c r="IQ63" s="242">
        <f t="shared" ca="1" si="218"/>
        <v>0.28966354765236296</v>
      </c>
      <c r="IR63" s="241">
        <f t="shared" ca="1" si="802"/>
        <v>1</v>
      </c>
      <c r="IS63" s="220">
        <f t="shared" ca="1" si="665"/>
        <v>0.96382841054241086</v>
      </c>
      <c r="IT63" s="220">
        <f t="shared" ca="1" si="666"/>
        <v>0</v>
      </c>
      <c r="IU63" s="235">
        <f t="shared" ca="1" si="222"/>
        <v>0.27934900654248102</v>
      </c>
      <c r="IV63" s="235">
        <f t="shared" ca="1" si="223"/>
        <v>0.27934900654248102</v>
      </c>
      <c r="IW63" s="242">
        <f t="shared" ca="1" si="224"/>
        <v>0.27934900654248102</v>
      </c>
      <c r="IX63" s="241">
        <f t="shared" ca="1" si="802"/>
        <v>1</v>
      </c>
      <c r="IY63" s="220">
        <f t="shared" ca="1" si="667"/>
        <v>0.9619778599941694</v>
      </c>
      <c r="IZ63" s="220">
        <f t="shared" ca="1" si="668"/>
        <v>0</v>
      </c>
      <c r="JA63" s="235">
        <f t="shared" ca="1" si="227"/>
        <v>0.26938420913035699</v>
      </c>
      <c r="JB63" s="235">
        <f t="shared" ca="1" si="228"/>
        <v>0.26938420913035699</v>
      </c>
      <c r="JC63" s="242">
        <f t="shared" ca="1" si="229"/>
        <v>0.26938420913035699</v>
      </c>
      <c r="JD63" s="241">
        <f t="shared" ca="1" si="796"/>
        <v>1</v>
      </c>
      <c r="JE63" s="220">
        <f t="shared" ca="1" si="669"/>
        <v>0.96006544800850102</v>
      </c>
      <c r="JF63" s="220">
        <f t="shared" ca="1" si="670"/>
        <v>0</v>
      </c>
      <c r="JG63" s="235">
        <f t="shared" ca="1" si="232"/>
        <v>0.25975717229237277</v>
      </c>
      <c r="JH63" s="235">
        <f t="shared" ca="1" si="233"/>
        <v>0.25975717229237277</v>
      </c>
      <c r="JI63" s="242">
        <f t="shared" ca="1" si="234"/>
        <v>0.25975717229237277</v>
      </c>
      <c r="JJ63" s="241">
        <f t="shared" ca="1" si="796"/>
        <v>1</v>
      </c>
      <c r="JK63" s="220">
        <f t="shared" ca="1" si="671"/>
        <v>0.9580877131856036</v>
      </c>
      <c r="JL63" s="220">
        <f t="shared" ca="1" si="672"/>
        <v>0</v>
      </c>
      <c r="JM63" s="235">
        <f t="shared" ca="1" si="237"/>
        <v>0.25045610871251262</v>
      </c>
      <c r="JN63" s="235">
        <f t="shared" ca="1" si="238"/>
        <v>0.25045610871251262</v>
      </c>
      <c r="JO63" s="242">
        <f t="shared" ca="1" si="239"/>
        <v>0.25045610871251262</v>
      </c>
      <c r="JP63" s="241">
        <f t="shared" ca="1" si="803"/>
        <v>1</v>
      </c>
      <c r="JQ63" s="220">
        <f t="shared" ca="1" si="673"/>
        <v>0.95603644739167326</v>
      </c>
      <c r="JR63" s="220">
        <f t="shared" ca="1" si="674"/>
        <v>0</v>
      </c>
      <c r="JS63" s="235">
        <f t="shared" ca="1" si="242"/>
        <v>0.24146848520169967</v>
      </c>
      <c r="JT63" s="235">
        <f t="shared" ca="1" si="243"/>
        <v>0.24146848520169967</v>
      </c>
      <c r="JU63" s="242">
        <f t="shared" ca="1" si="244"/>
        <v>0.24146848520169967</v>
      </c>
      <c r="JV63" s="241">
        <f t="shared" ca="1" si="803"/>
        <v>1</v>
      </c>
      <c r="JW63" s="220">
        <f t="shared" ca="1" si="675"/>
        <v>0.95389492574951584</v>
      </c>
      <c r="JX63" s="220">
        <f t="shared" ca="1" si="676"/>
        <v>0</v>
      </c>
      <c r="JY63" s="235">
        <f t="shared" ca="1" si="247"/>
        <v>0.23278028579212359</v>
      </c>
      <c r="JZ63" s="235">
        <f t="shared" ca="1" si="248"/>
        <v>0.23278028579212359</v>
      </c>
      <c r="KA63" s="242">
        <f t="shared" ca="1" si="249"/>
        <v>0.23278028579212359</v>
      </c>
      <c r="KB63" s="241">
        <f t="shared" ca="1" si="803"/>
        <v>1</v>
      </c>
      <c r="KC63" s="220">
        <f t="shared" ca="1" si="677"/>
        <v>0.95164182593489555</v>
      </c>
      <c r="KD63" s="220">
        <f t="shared" ca="1" si="678"/>
        <v>0</v>
      </c>
      <c r="KE63" s="235">
        <f t="shared" ca="1" si="252"/>
        <v>0.22437725483776094</v>
      </c>
      <c r="KF63" s="235">
        <f t="shared" ca="1" si="253"/>
        <v>0.22437725483776094</v>
      </c>
      <c r="KG63" s="242">
        <f t="shared" ca="1" si="254"/>
        <v>0.22437725483776094</v>
      </c>
      <c r="KH63" s="241">
        <f t="shared" ca="1" si="803"/>
        <v>1</v>
      </c>
      <c r="KI63" s="220">
        <f t="shared" ca="1" si="679"/>
        <v>0.94925415659362489</v>
      </c>
      <c r="KJ63" s="220">
        <f t="shared" ca="1" si="680"/>
        <v>0</v>
      </c>
      <c r="KK63" s="235">
        <f t="shared" ca="1" si="257"/>
        <v>0.21624569304866956</v>
      </c>
      <c r="KL63" s="235">
        <f t="shared" ca="1" si="258"/>
        <v>0.21624569304866956</v>
      </c>
      <c r="KM63" s="242">
        <f t="shared" ca="1" si="259"/>
        <v>0.21624569304866956</v>
      </c>
      <c r="KN63" s="241">
        <f t="shared" ca="1" si="803"/>
        <v>1</v>
      </c>
      <c r="KO63" s="220">
        <f t="shared" ca="1" si="681"/>
        <v>0.94670635843732753</v>
      </c>
      <c r="KP63" s="220">
        <f t="shared" ca="1" si="682"/>
        <v>0</v>
      </c>
      <c r="KQ63" s="235">
        <f t="shared" ca="1" si="262"/>
        <v>0.2083722604913304</v>
      </c>
      <c r="KR63" s="235">
        <f t="shared" ca="1" si="263"/>
        <v>0.2083722604913304</v>
      </c>
      <c r="KS63" s="242">
        <f t="shared" ca="1" si="264"/>
        <v>0.2083722604913304</v>
      </c>
      <c r="KT63" s="241">
        <f t="shared" ca="1" si="803"/>
        <v>1</v>
      </c>
      <c r="KU63" s="220">
        <f t="shared" ca="1" si="683"/>
        <v>0.94397037706144371</v>
      </c>
      <c r="KV63" s="220">
        <f t="shared" ca="1" si="684"/>
        <v>0</v>
      </c>
      <c r="KW63" s="235">
        <f t="shared" ca="1" si="267"/>
        <v>0.20074402382464779</v>
      </c>
      <c r="KX63" s="235">
        <f t="shared" ca="1" si="268"/>
        <v>0.20074402382464779</v>
      </c>
      <c r="KY63" s="242">
        <f t="shared" ca="1" si="269"/>
        <v>0.20074402382464779</v>
      </c>
      <c r="KZ63" s="241">
        <f t="shared" ca="1" si="803"/>
        <v>1</v>
      </c>
      <c r="LA63" s="220">
        <f t="shared" ca="1" si="685"/>
        <v>0.94102424551463493</v>
      </c>
      <c r="LB63" s="220">
        <f t="shared" ca="1" si="686"/>
        <v>0</v>
      </c>
      <c r="LC63" s="235">
        <f t="shared" ca="1" si="272"/>
        <v>0.19335024321380778</v>
      </c>
      <c r="LD63" s="235">
        <f t="shared" ca="1" si="273"/>
        <v>0.19335024321380778</v>
      </c>
      <c r="LE63" s="242">
        <f t="shared" ca="1" si="274"/>
        <v>0.19335024321380778</v>
      </c>
      <c r="LF63" s="241">
        <f t="shared" ca="1" si="803"/>
        <v>1</v>
      </c>
      <c r="LG63" s="220">
        <f t="shared" ca="1" si="687"/>
        <v>0.93783793741932242</v>
      </c>
      <c r="LH63" s="220">
        <f t="shared" ca="1" si="688"/>
        <v>0</v>
      </c>
      <c r="LI63" s="235">
        <f t="shared" ca="1" si="278"/>
        <v>0.18617928433844047</v>
      </c>
      <c r="LJ63" s="235">
        <f t="shared" ca="1" si="279"/>
        <v>0.18617928433844047</v>
      </c>
      <c r="LK63" s="242">
        <f t="shared" ca="1" si="280"/>
        <v>0.18617928433844047</v>
      </c>
      <c r="LL63" s="241">
        <f t="shared" ca="1" si="803"/>
        <v>1</v>
      </c>
      <c r="LM63" s="220">
        <f t="shared" ca="1" si="689"/>
        <v>0.93436137218530901</v>
      </c>
      <c r="LN63" s="220">
        <f t="shared" ca="1" si="690"/>
        <v>0</v>
      </c>
      <c r="LO63" s="235">
        <f t="shared" ca="1" si="283"/>
        <v>0.17921653887091585</v>
      </c>
      <c r="LP63" s="235">
        <f t="shared" ca="1" si="284"/>
        <v>0.17921653887091585</v>
      </c>
      <c r="LQ63" s="242">
        <f t="shared" ca="1" si="285"/>
        <v>0.17921653887091585</v>
      </c>
      <c r="LR63" s="241">
        <f t="shared" ca="1" si="803"/>
        <v>1</v>
      </c>
      <c r="LS63" s="220">
        <f t="shared" ca="1" si="691"/>
        <v>0.93053889981169891</v>
      </c>
      <c r="LT63" s="220">
        <f t="shared" ca="1" si="692"/>
        <v>0</v>
      </c>
      <c r="LU63" s="235">
        <f t="shared" ca="1" si="288"/>
        <v>0.17244769469603377</v>
      </c>
      <c r="LV63" s="235">
        <f t="shared" ca="1" si="289"/>
        <v>0.17244769469603377</v>
      </c>
      <c r="LW63" s="242">
        <f t="shared" ca="1" si="290"/>
        <v>0.17244769469603377</v>
      </c>
      <c r="LX63" s="241">
        <f t="shared" ca="1" si="803"/>
        <v>1</v>
      </c>
      <c r="LY63" s="220">
        <f t="shared" ca="1" si="693"/>
        <v>0.92632262805665211</v>
      </c>
      <c r="LZ63" s="220">
        <f t="shared" ca="1" si="694"/>
        <v>0</v>
      </c>
      <c r="MA63" s="235">
        <f t="shared" ca="1" si="293"/>
        <v>0.16586119245542613</v>
      </c>
      <c r="MB63" s="235">
        <f t="shared" ca="1" si="294"/>
        <v>0.16586119245542613</v>
      </c>
      <c r="MC63" s="242">
        <f t="shared" ca="1" si="295"/>
        <v>0.16586119245542613</v>
      </c>
      <c r="MD63" s="241">
        <f t="shared" ca="1" si="797"/>
        <v>1</v>
      </c>
      <c r="ME63" s="220">
        <f t="shared" ca="1" si="695"/>
        <v>0.92167897272220412</v>
      </c>
      <c r="MF63" s="220">
        <f t="shared" ca="1" si="696"/>
        <v>0</v>
      </c>
      <c r="MG63" s="235">
        <f t="shared" ca="1" si="298"/>
        <v>0.15944901478033538</v>
      </c>
      <c r="MH63" s="235">
        <f t="shared" ca="1" si="299"/>
        <v>0.15944901478033538</v>
      </c>
      <c r="MI63" s="242">
        <f t="shared" ca="1" si="300"/>
        <v>0.15944901478033538</v>
      </c>
      <c r="MJ63" s="241">
        <f t="shared" ca="1" si="797"/>
        <v>1</v>
      </c>
      <c r="MK63" s="220">
        <f t="shared" ca="1" si="697"/>
        <v>0.91658761807688671</v>
      </c>
      <c r="ML63" s="220">
        <f t="shared" ca="1" si="698"/>
        <v>0</v>
      </c>
      <c r="MM63" s="235">
        <f t="shared" ca="1" si="303"/>
        <v>0.15320600813786359</v>
      </c>
      <c r="MN63" s="235">
        <f t="shared" ca="1" si="304"/>
        <v>0.15320600813786359</v>
      </c>
      <c r="MO63" s="242">
        <f t="shared" ca="1" si="305"/>
        <v>0.15320600813786359</v>
      </c>
      <c r="MP63" s="241">
        <f t="shared" ca="1" si="804"/>
        <v>1</v>
      </c>
      <c r="MQ63" s="220">
        <f t="shared" ca="1" si="699"/>
        <v>0.91103401369895887</v>
      </c>
      <c r="MR63" s="220">
        <f t="shared" ca="1" si="700"/>
        <v>0</v>
      </c>
      <c r="MS63" s="235">
        <f t="shared" ca="1" si="308"/>
        <v>0.1471282443812138</v>
      </c>
      <c r="MT63" s="235">
        <f t="shared" ca="1" si="309"/>
        <v>0.1471282443812138</v>
      </c>
      <c r="MU63" s="242">
        <f t="shared" ca="1" si="310"/>
        <v>0.1471282443812138</v>
      </c>
      <c r="MV63" s="241">
        <f t="shared" ca="1" si="804"/>
        <v>1</v>
      </c>
      <c r="MW63" s="220">
        <f t="shared" ca="1" si="701"/>
        <v>0.90501116783439506</v>
      </c>
      <c r="MX63" s="220">
        <f t="shared" ca="1" si="702"/>
        <v>0</v>
      </c>
      <c r="MY63" s="235">
        <f t="shared" ca="1" si="313"/>
        <v>0.14121312034551653</v>
      </c>
      <c r="MZ63" s="235">
        <f t="shared" ca="1" si="314"/>
        <v>0.14121312034551653</v>
      </c>
      <c r="NA63" s="242">
        <f t="shared" ca="1" si="315"/>
        <v>0.14121312034551653</v>
      </c>
      <c r="NB63" s="241">
        <f t="shared" ca="1" si="804"/>
        <v>1</v>
      </c>
      <c r="NC63" s="220">
        <f t="shared" ca="1" si="703"/>
        <v>0.89850685257116925</v>
      </c>
      <c r="ND63" s="220">
        <f t="shared" ca="1" si="704"/>
        <v>0</v>
      </c>
      <c r="NE63" s="235">
        <f t="shared" ca="1" si="318"/>
        <v>0.13545721898511429</v>
      </c>
      <c r="NF63" s="235">
        <f t="shared" ca="1" si="319"/>
        <v>0.13545721898511429</v>
      </c>
      <c r="NG63" s="242">
        <f t="shared" ca="1" si="320"/>
        <v>0.13545721898511429</v>
      </c>
      <c r="NH63" s="241">
        <f t="shared" ca="1" si="804"/>
        <v>1</v>
      </c>
      <c r="NI63" s="220">
        <f t="shared" ca="1" si="705"/>
        <v>0.89149849912111412</v>
      </c>
      <c r="NJ63" s="220">
        <f t="shared" ca="1" si="706"/>
        <v>0</v>
      </c>
      <c r="NK63" s="235">
        <f t="shared" ca="1" si="323"/>
        <v>0.12985570306959462</v>
      </c>
      <c r="NL63" s="235">
        <f t="shared" ca="1" si="324"/>
        <v>0.12985570306959462</v>
      </c>
      <c r="NM63" s="242">
        <f t="shared" ca="1" si="325"/>
        <v>0.12985570306959462</v>
      </c>
      <c r="NN63" s="241">
        <f t="shared" ca="1" si="804"/>
        <v>1</v>
      </c>
      <c r="NO63" s="220">
        <f t="shared" ca="1" si="707"/>
        <v>0.88395998781254592</v>
      </c>
      <c r="NP63" s="220">
        <f t="shared" ca="1" si="708"/>
        <v>0</v>
      </c>
      <c r="NQ63" s="235">
        <f t="shared" ca="1" si="328"/>
        <v>0.12440352004293539</v>
      </c>
      <c r="NR63" s="235">
        <f t="shared" ca="1" si="329"/>
        <v>0.12440352004293539</v>
      </c>
      <c r="NS63" s="242">
        <f t="shared" ca="1" si="330"/>
        <v>0.12440352004293539</v>
      </c>
      <c r="NT63" s="241">
        <f t="shared" ca="1" si="804"/>
        <v>1</v>
      </c>
      <c r="NU63" s="220">
        <f t="shared" ca="1" si="709"/>
        <v>0.87587705768398794</v>
      </c>
      <c r="NV63" s="220">
        <f t="shared" ca="1" si="710"/>
        <v>0</v>
      </c>
      <c r="NW63" s="235">
        <f t="shared" ca="1" si="334"/>
        <v>0.11909755966730703</v>
      </c>
      <c r="NX63" s="235">
        <f t="shared" ca="1" si="335"/>
        <v>0.11909755966730703</v>
      </c>
      <c r="NY63" s="242">
        <f t="shared" ca="1" si="336"/>
        <v>0.11909755966730703</v>
      </c>
      <c r="NZ63" s="241">
        <f t="shared" ca="1" si="804"/>
        <v>1</v>
      </c>
      <c r="OA63" s="220">
        <f t="shared" ca="1" si="711"/>
        <v>0.86723653050993543</v>
      </c>
      <c r="OB63" s="220">
        <f t="shared" ca="1" si="712"/>
        <v>0</v>
      </c>
      <c r="OC63" s="235">
        <f t="shared" ca="1" si="339"/>
        <v>0.11393493936346769</v>
      </c>
      <c r="OD63" s="235">
        <f t="shared" ca="1" si="340"/>
        <v>0.11393493936346769</v>
      </c>
      <c r="OE63" s="242">
        <f t="shared" ca="1" si="341"/>
        <v>0.11393493936346769</v>
      </c>
      <c r="OF63" s="241">
        <f t="shared" ca="1" si="804"/>
        <v>1</v>
      </c>
      <c r="OG63" s="220">
        <f t="shared" ca="1" si="713"/>
        <v>0.85802474408285889</v>
      </c>
      <c r="OH63" s="220">
        <f t="shared" ca="1" si="714"/>
        <v>0</v>
      </c>
      <c r="OI63" s="235">
        <f t="shared" ca="1" si="344"/>
        <v>0.10891277530197965</v>
      </c>
      <c r="OJ63" s="235">
        <f t="shared" ca="1" si="345"/>
        <v>0.10891277530197965</v>
      </c>
      <c r="OK63" s="242">
        <f t="shared" ca="1" si="346"/>
        <v>0.10891277530197965</v>
      </c>
      <c r="OL63" s="241">
        <f t="shared" ca="1" si="804"/>
        <v>1</v>
      </c>
      <c r="OM63" s="220">
        <f t="shared" ca="1" si="715"/>
        <v>0.84819349656515752</v>
      </c>
      <c r="ON63" s="220">
        <f t="shared" ca="1" si="716"/>
        <v>0</v>
      </c>
      <c r="OO63" s="235">
        <f t="shared" ca="1" si="349"/>
        <v>0.10402401229233778</v>
      </c>
      <c r="OP63" s="235">
        <f t="shared" ca="1" si="350"/>
        <v>0.10402401229233778</v>
      </c>
      <c r="OQ63" s="242">
        <f t="shared" ca="1" si="351"/>
        <v>0.10402401229233778</v>
      </c>
      <c r="OR63" s="241">
        <f t="shared" ca="1" si="804"/>
        <v>1</v>
      </c>
      <c r="OS63" s="220">
        <f t="shared" ca="1" si="717"/>
        <v>0.83771830688257787</v>
      </c>
      <c r="OT63" s="220">
        <f t="shared" ca="1" si="718"/>
        <v>0</v>
      </c>
      <c r="OU63" s="235">
        <f t="shared" ca="1" si="354"/>
        <v>9.9265039362828419E-2</v>
      </c>
      <c r="OV63" s="235">
        <f t="shared" ca="1" si="355"/>
        <v>9.9265039362828419E-2</v>
      </c>
      <c r="OW63" s="242">
        <f t="shared" ca="1" si="356"/>
        <v>9.9265039362828419E-2</v>
      </c>
      <c r="OX63" s="241">
        <f t="shared" ca="1" si="804"/>
        <v>1</v>
      </c>
      <c r="OY63" s="220">
        <f t="shared" ca="1" si="719"/>
        <v>0.82663110509098692</v>
      </c>
      <c r="OZ63" s="220">
        <f t="shared" ca="1" si="720"/>
        <v>0</v>
      </c>
      <c r="PA63" s="235">
        <f t="shared" ca="1" si="359"/>
        <v>9.4638904895518239E-2</v>
      </c>
      <c r="PB63" s="235">
        <f t="shared" ca="1" si="360"/>
        <v>9.4638904895518239E-2</v>
      </c>
      <c r="PC63" s="242">
        <f t="shared" ca="1" si="361"/>
        <v>9.4638904895518239E-2</v>
      </c>
      <c r="PD63" s="241">
        <f t="shared" ca="1" si="798"/>
        <v>1</v>
      </c>
      <c r="PE63" s="220">
        <f t="shared" ca="1" si="721"/>
        <v>0.81497808640251923</v>
      </c>
      <c r="PF63" s="220">
        <f t="shared" ca="1" si="722"/>
        <v>0</v>
      </c>
      <c r="PG63" s="235">
        <f t="shared" ca="1" si="364"/>
        <v>9.0149546138363415E-2</v>
      </c>
      <c r="PH63" s="235">
        <f t="shared" ca="1" si="365"/>
        <v>9.0149546138363415E-2</v>
      </c>
      <c r="PI63" s="242">
        <f t="shared" ca="1" si="366"/>
        <v>9.0149546138363415E-2</v>
      </c>
      <c r="PJ63" s="241">
        <f t="shared" ca="1" si="798"/>
        <v>1</v>
      </c>
      <c r="PK63" s="220">
        <f t="shared" ca="1" si="723"/>
        <v>0.80277052964629592</v>
      </c>
      <c r="PL63" s="220">
        <f t="shared" ca="1" si="724"/>
        <v>0</v>
      </c>
      <c r="PM63" s="235">
        <f t="shared" ca="1" si="369"/>
        <v>8.5796324721504238E-2</v>
      </c>
      <c r="PN63" s="235">
        <f t="shared" ca="1" si="370"/>
        <v>8.5796324721504238E-2</v>
      </c>
      <c r="PO63" s="242">
        <f t="shared" ca="1" si="371"/>
        <v>8.5796324721504238E-2</v>
      </c>
      <c r="PP63" s="241">
        <f t="shared" ca="1" si="805"/>
        <v>1</v>
      </c>
      <c r="PQ63" s="220">
        <f t="shared" ca="1" si="725"/>
        <v>0.78995269259943357</v>
      </c>
      <c r="PR63" s="220">
        <f t="shared" ca="1" si="726"/>
        <v>0</v>
      </c>
      <c r="PS63" s="235">
        <f t="shared" ca="1" si="374"/>
        <v>8.1571415270218356E-2</v>
      </c>
      <c r="PT63" s="235">
        <f t="shared" ca="1" si="375"/>
        <v>8.1571415270218356E-2</v>
      </c>
      <c r="PU63" s="242">
        <f t="shared" ca="1" si="376"/>
        <v>8.1571415270218356E-2</v>
      </c>
      <c r="PV63" s="241">
        <f t="shared" ca="1" si="805"/>
        <v>1</v>
      </c>
      <c r="PW63" s="220">
        <f t="shared" ca="1" si="727"/>
        <v>0.77643739198174988</v>
      </c>
      <c r="PX63" s="220">
        <f t="shared" ca="1" si="728"/>
        <v>0</v>
      </c>
      <c r="PY63" s="235">
        <f t="shared" ca="1" si="379"/>
        <v>7.7464550653488104E-2</v>
      </c>
      <c r="PZ63" s="235">
        <f t="shared" ca="1" si="380"/>
        <v>7.7464550653488104E-2</v>
      </c>
      <c r="QA63" s="242">
        <f t="shared" ca="1" si="381"/>
        <v>7.7464550653488104E-2</v>
      </c>
      <c r="QB63" s="241">
        <f t="shared" ca="1" si="805"/>
        <v>1</v>
      </c>
      <c r="QC63" s="220">
        <f t="shared" ca="1" si="729"/>
        <v>0.76215715546842155</v>
      </c>
      <c r="QD63" s="220">
        <f t="shared" ca="1" si="730"/>
        <v>0</v>
      </c>
      <c r="QE63" s="235">
        <f t="shared" ca="1" si="384"/>
        <v>7.3468427669438799E-2</v>
      </c>
      <c r="QF63" s="235">
        <f t="shared" ca="1" si="385"/>
        <v>7.3468427669438799E-2</v>
      </c>
      <c r="QG63" s="242">
        <f t="shared" ca="1" si="386"/>
        <v>7.3468427669438799E-2</v>
      </c>
      <c r="QH63" s="241">
        <f t="shared" ca="1" si="805"/>
        <v>1</v>
      </c>
      <c r="QI63" s="220">
        <f t="shared" ca="1" si="731"/>
        <v>0.74703900613254992</v>
      </c>
      <c r="QJ63" s="220">
        <f t="shared" ca="1" si="732"/>
        <v>0</v>
      </c>
      <c r="QK63" s="235">
        <f t="shared" ca="1" si="390"/>
        <v>6.9575949698732195E-2</v>
      </c>
      <c r="QL63" s="235">
        <f t="shared" ca="1" si="391"/>
        <v>6.9575949698732195E-2</v>
      </c>
      <c r="QM63" s="242">
        <f t="shared" ca="1" si="392"/>
        <v>6.9575949698732195E-2</v>
      </c>
      <c r="QN63" s="241">
        <f t="shared" ca="1" si="805"/>
        <v>1</v>
      </c>
      <c r="QO63" s="220">
        <f t="shared" ca="1" si="733"/>
        <v>0.73100381386591473</v>
      </c>
      <c r="QP63" s="220">
        <f t="shared" ca="1" si="734"/>
        <v>0</v>
      </c>
      <c r="QQ63" s="235">
        <f t="shared" ca="1" si="395"/>
        <v>6.5780195109612458E-2</v>
      </c>
      <c r="QR63" s="235">
        <f t="shared" ca="1" si="396"/>
        <v>6.5780195109612458E-2</v>
      </c>
      <c r="QS63" s="242">
        <f t="shared" ca="1" si="397"/>
        <v>6.5780195109612458E-2</v>
      </c>
      <c r="QT63" s="241">
        <f t="shared" ca="1" si="805"/>
        <v>1</v>
      </c>
      <c r="QU63" s="220">
        <f t="shared" ca="1" si="735"/>
        <v>0.71393414380833176</v>
      </c>
      <c r="QV63" s="220">
        <f t="shared" ca="1" si="736"/>
        <v>0</v>
      </c>
      <c r="QW63" s="235">
        <f t="shared" ca="1" si="400"/>
        <v>6.2071653887543876E-2</v>
      </c>
      <c r="QX63" s="235">
        <f t="shared" ca="1" si="401"/>
        <v>6.2071653887543876E-2</v>
      </c>
      <c r="QY63" s="242">
        <f t="shared" ca="1" si="402"/>
        <v>6.2071653887543876E-2</v>
      </c>
      <c r="QZ63" s="241">
        <f t="shared" ca="1" si="805"/>
        <v>1</v>
      </c>
      <c r="RA63" s="220">
        <f t="shared" ca="1" si="737"/>
        <v>0.69574167395580788</v>
      </c>
      <c r="RB63" s="220">
        <f t="shared" ca="1" si="738"/>
        <v>0</v>
      </c>
      <c r="RC63" s="235">
        <f t="shared" ca="1" si="405"/>
        <v>5.8444390341238162E-2</v>
      </c>
      <c r="RD63" s="235">
        <f t="shared" ca="1" si="406"/>
        <v>5.8444390341238162E-2</v>
      </c>
      <c r="RE63" s="242">
        <f t="shared" ca="1" si="407"/>
        <v>5.8444390341238162E-2</v>
      </c>
      <c r="RF63" s="241">
        <f t="shared" ca="1" si="805"/>
        <v>1</v>
      </c>
      <c r="RG63" s="220">
        <f t="shared" ca="1" si="739"/>
        <v>0.67640422986988014</v>
      </c>
      <c r="RH63" s="220">
        <f t="shared" ca="1" si="740"/>
        <v>0</v>
      </c>
      <c r="RI63" s="235">
        <f t="shared" ca="1" si="410"/>
        <v>5.4898538121829751E-2</v>
      </c>
      <c r="RJ63" s="235">
        <f t="shared" ca="1" si="411"/>
        <v>5.4898538121829751E-2</v>
      </c>
      <c r="RK63" s="242">
        <f t="shared" ca="1" si="412"/>
        <v>5.4898538121829751E-2</v>
      </c>
      <c r="RL63" s="241">
        <f t="shared" ca="1" si="805"/>
        <v>1</v>
      </c>
      <c r="RM63" s="220">
        <f t="shared" ca="1" si="741"/>
        <v>0.65592135698096043</v>
      </c>
      <c r="RN63" s="220">
        <f t="shared" ca="1" si="742"/>
        <v>0</v>
      </c>
      <c r="RO63" s="235">
        <f t="shared" ca="1" si="415"/>
        <v>5.1435845981086484E-2</v>
      </c>
      <c r="RP63" s="235">
        <f t="shared" ca="1" si="416"/>
        <v>5.1435845981086484E-2</v>
      </c>
      <c r="RQ63" s="242">
        <f t="shared" ca="1" si="417"/>
        <v>5.1435845981086484E-2</v>
      </c>
      <c r="RR63" s="241">
        <f t="shared" ca="1" si="805"/>
        <v>1</v>
      </c>
      <c r="RS63" s="220">
        <f t="shared" ca="1" si="743"/>
        <v>0.63426152193073515</v>
      </c>
      <c r="RT63" s="220">
        <f t="shared" ca="1" si="744"/>
        <v>0</v>
      </c>
      <c r="RU63" s="235">
        <f t="shared" ca="1" si="420"/>
        <v>4.8055392729564286E-2</v>
      </c>
      <c r="RV63" s="235">
        <f t="shared" ca="1" si="421"/>
        <v>4.8055392729564286E-2</v>
      </c>
      <c r="RW63" s="242">
        <f t="shared" ca="1" si="422"/>
        <v>4.8055392729564286E-2</v>
      </c>
      <c r="RX63" s="241">
        <f t="shared" ca="1" si="805"/>
        <v>1</v>
      </c>
      <c r="RY63" s="220">
        <f t="shared" ca="1" si="745"/>
        <v>0.61130062057532053</v>
      </c>
      <c r="RZ63" s="220">
        <f t="shared" ca="1" si="746"/>
        <v>0</v>
      </c>
      <c r="SA63" s="235">
        <f t="shared" ca="1" si="425"/>
        <v>4.4749506722088245E-2</v>
      </c>
      <c r="SB63" s="235">
        <f t="shared" ca="1" si="426"/>
        <v>4.4749506722088245E-2</v>
      </c>
      <c r="SC63" s="242">
        <f t="shared" ca="1" si="427"/>
        <v>4.4749506722088245E-2</v>
      </c>
      <c r="SD63" s="241">
        <f t="shared" ca="1" si="799"/>
        <v>1</v>
      </c>
      <c r="SE63" s="220">
        <f t="shared" ca="1" si="747"/>
        <v>0.58693540044042947</v>
      </c>
      <c r="SF63" s="220">
        <f t="shared" ca="1" si="748"/>
        <v>0</v>
      </c>
      <c r="SG63" s="235">
        <f t="shared" ca="1" si="430"/>
        <v>4.1512928389525854E-2</v>
      </c>
      <c r="SH63" s="235">
        <f t="shared" ca="1" si="431"/>
        <v>4.1512928389525854E-2</v>
      </c>
      <c r="SI63" s="242">
        <f t="shared" ca="1" si="432"/>
        <v>4.1512928389525854E-2</v>
      </c>
      <c r="SJ63" s="241">
        <f t="shared" ca="1" si="799"/>
        <v>1</v>
      </c>
      <c r="SK63" s="220">
        <f t="shared" ca="1" si="749"/>
        <v>0.56117421877969853</v>
      </c>
      <c r="SL63" s="220">
        <f t="shared" ca="1" si="750"/>
        <v>0</v>
      </c>
      <c r="SM63" s="235">
        <f t="shared" ca="1" si="435"/>
        <v>3.8348680627614658E-2</v>
      </c>
      <c r="SN63" s="235">
        <f t="shared" ca="1" si="436"/>
        <v>3.8348680627614658E-2</v>
      </c>
      <c r="SO63" s="242">
        <f t="shared" ca="1" si="437"/>
        <v>3.8348680627614658E-2</v>
      </c>
      <c r="SP63" s="241">
        <f t="shared" ca="1" si="808"/>
        <v>1</v>
      </c>
      <c r="SQ63" s="220">
        <f t="shared" ca="1" si="751"/>
        <v>0.5340633310962325</v>
      </c>
      <c r="SR63" s="220">
        <f t="shared" ca="1" si="752"/>
        <v>0</v>
      </c>
      <c r="SS63" s="235">
        <f t="shared" ca="1" si="440"/>
        <v>3.5261852674216394E-2</v>
      </c>
      <c r="ST63" s="235">
        <f t="shared" ca="1" si="441"/>
        <v>3.5261852674216394E-2</v>
      </c>
      <c r="SU63" s="242">
        <f t="shared" ca="1" si="442"/>
        <v>3.5261852674216394E-2</v>
      </c>
      <c r="SV63" s="241">
        <f t="shared" ca="1" si="808"/>
        <v>1</v>
      </c>
      <c r="SW63" s="220">
        <f t="shared" ca="1" si="753"/>
        <v>0.50563620810864218</v>
      </c>
      <c r="SX63" s="220">
        <f t="shared" ca="1" si="754"/>
        <v>0</v>
      </c>
      <c r="SY63" s="235">
        <f t="shared" ca="1" si="446"/>
        <v>3.2255975632920972E-2</v>
      </c>
      <c r="SZ63" s="235">
        <f t="shared" ca="1" si="447"/>
        <v>3.2255975632920972E-2</v>
      </c>
      <c r="TA63" s="242">
        <f t="shared" ca="1" si="448"/>
        <v>3.2255975632920972E-2</v>
      </c>
      <c r="TB63" s="241">
        <f t="shared" ca="1" si="808"/>
        <v>1</v>
      </c>
      <c r="TC63" s="220">
        <f t="shared" ca="1" si="755"/>
        <v>0.47585575235966748</v>
      </c>
      <c r="TD63" s="220">
        <f t="shared" ca="1" si="756"/>
        <v>0</v>
      </c>
      <c r="TE63" s="235">
        <f t="shared" ca="1" si="451"/>
        <v>2.9329657426153458E-2</v>
      </c>
      <c r="TF63" s="235">
        <f t="shared" ca="1" si="452"/>
        <v>2.9329657426153458E-2</v>
      </c>
      <c r="TG63" s="242">
        <f t="shared" ca="1" si="453"/>
        <v>2.9329657426153458E-2</v>
      </c>
      <c r="TH63" s="241">
        <f t="shared" ca="1" si="808"/>
        <v>1</v>
      </c>
      <c r="TI63" s="220">
        <f t="shared" ca="1" si="757"/>
        <v>0.4447514411066778</v>
      </c>
      <c r="TJ63" s="220">
        <f t="shared" ca="1" si="758"/>
        <v>0</v>
      </c>
      <c r="TK63" s="235">
        <f t="shared" ca="1" si="456"/>
        <v>2.6485530790814431E-2</v>
      </c>
      <c r="TL63" s="235">
        <f t="shared" ca="1" si="457"/>
        <v>2.6485530790814431E-2</v>
      </c>
      <c r="TM63" s="242">
        <f t="shared" ca="1" si="458"/>
        <v>2.6485530790814431E-2</v>
      </c>
      <c r="TN63" s="241">
        <f t="shared" ca="1" si="808"/>
        <v>1</v>
      </c>
      <c r="TO63" s="220">
        <f t="shared" ca="1" si="759"/>
        <v>0.41251096438941365</v>
      </c>
      <c r="TP63" s="220">
        <f t="shared" ca="1" si="760"/>
        <v>0</v>
      </c>
      <c r="TQ63" s="235">
        <f t="shared" ca="1" si="461"/>
        <v>2.3734848481408222E-2</v>
      </c>
      <c r="TR63" s="235">
        <f t="shared" ca="1" si="462"/>
        <v>2.3734848481408222E-2</v>
      </c>
      <c r="TS63" s="242">
        <f t="shared" ca="1" si="463"/>
        <v>2.3734848481408222E-2</v>
      </c>
      <c r="TT63" s="241">
        <f t="shared" ca="1" si="808"/>
        <v>1</v>
      </c>
      <c r="TU63" s="220">
        <f t="shared" ca="1" si="761"/>
        <v>0.37939128408051637</v>
      </c>
      <c r="TV63" s="220">
        <f t="shared" ca="1" si="762"/>
        <v>0</v>
      </c>
      <c r="TW63" s="235">
        <f t="shared" ca="1" si="466"/>
        <v>2.1091038615007652E-2</v>
      </c>
      <c r="TX63" s="235">
        <f t="shared" ca="1" si="467"/>
        <v>2.1091038615007652E-2</v>
      </c>
      <c r="TY63" s="242">
        <f t="shared" ca="1" si="468"/>
        <v>2.1091038615007652E-2</v>
      </c>
      <c r="TZ63" s="241">
        <f t="shared" ca="1" si="808"/>
        <v>1</v>
      </c>
      <c r="UA63" s="220">
        <f t="shared" ca="1" si="763"/>
        <v>0.34565732866521315</v>
      </c>
      <c r="UB63" s="220">
        <f t="shared" ca="1" si="764"/>
        <v>0</v>
      </c>
      <c r="UC63" s="235">
        <f t="shared" ca="1" si="471"/>
        <v>1.8565901280691431E-2</v>
      </c>
      <c r="UD63" s="235">
        <f t="shared" ca="1" si="472"/>
        <v>1.8565901280691431E-2</v>
      </c>
      <c r="UE63" s="242">
        <f t="shared" ca="1" si="473"/>
        <v>1.8565901280691431E-2</v>
      </c>
      <c r="UF63" s="241">
        <f t="shared" ca="1" si="808"/>
        <v>1</v>
      </c>
      <c r="UG63" s="220">
        <f t="shared" ca="1" si="765"/>
        <v>0.31158381183471112</v>
      </c>
      <c r="UH63" s="220">
        <f t="shared" ca="1" si="766"/>
        <v>0</v>
      </c>
      <c r="UI63" s="235">
        <f t="shared" ca="1" si="476"/>
        <v>1.6169805793281151E-2</v>
      </c>
      <c r="UJ63" s="235">
        <f t="shared" ca="1" si="477"/>
        <v>1.6169805793281151E-2</v>
      </c>
      <c r="UK63" s="242">
        <f t="shared" ca="1" si="478"/>
        <v>1.6169805793281151E-2</v>
      </c>
      <c r="UL63" s="241">
        <f t="shared" ca="1" si="808"/>
        <v>1</v>
      </c>
      <c r="UM63" s="220">
        <f t="shared" ca="1" si="767"/>
        <v>0.27748470263514402</v>
      </c>
      <c r="UN63" s="220">
        <f t="shared" ca="1" si="768"/>
        <v>0</v>
      </c>
      <c r="UO63" s="235">
        <f t="shared" ca="1" si="481"/>
        <v>1.3913250808575896E-2</v>
      </c>
      <c r="UP63" s="235">
        <f t="shared" ca="1" si="482"/>
        <v>1.3913250808575896E-2</v>
      </c>
      <c r="UQ63" s="242">
        <f t="shared" ca="1" si="483"/>
        <v>1.3913250808575896E-2</v>
      </c>
      <c r="UR63" s="241">
        <f t="shared" ca="1" si="808"/>
        <v>1</v>
      </c>
      <c r="US63" s="220">
        <f t="shared" ca="1" si="769"/>
        <v>0.24373729058536042</v>
      </c>
      <c r="UT63" s="220">
        <f t="shared" ca="1" si="770"/>
        <v>0</v>
      </c>
      <c r="UU63" s="235">
        <f t="shared" ca="1" si="486"/>
        <v>1.1807860056509861E-2</v>
      </c>
      <c r="UV63" s="235">
        <f t="shared" ca="1" si="487"/>
        <v>1.1807860056509861E-2</v>
      </c>
      <c r="UW63" s="242">
        <f t="shared" ca="1" si="488"/>
        <v>1.1807860056509861E-2</v>
      </c>
      <c r="UX63" s="241">
        <f t="shared" ca="1" si="808"/>
        <v>1</v>
      </c>
      <c r="UY63" s="220">
        <f t="shared" ca="1" si="771"/>
        <v>0.21078985859319374</v>
      </c>
      <c r="UZ63" s="220">
        <f t="shared" ca="1" si="772"/>
        <v>0</v>
      </c>
      <c r="VA63" s="235">
        <f t="shared" ca="1" si="491"/>
        <v>9.866396874889936E-3</v>
      </c>
      <c r="VB63" s="235">
        <f t="shared" ca="1" si="492"/>
        <v>9.866396874889936E-3</v>
      </c>
      <c r="VC63" s="242">
        <f t="shared" ca="1" si="493"/>
        <v>9.866396874889936E-3</v>
      </c>
      <c r="VD63" s="241">
        <f t="shared" ca="1" si="806"/>
        <v>1</v>
      </c>
      <c r="VE63" s="220">
        <f t="shared" ca="1" si="773"/>
        <v>0.17914840370962801</v>
      </c>
      <c r="VF63" s="220">
        <f t="shared" ca="1" si="774"/>
        <v>0</v>
      </c>
      <c r="VG63" s="235">
        <f t="shared" ca="1" si="496"/>
        <v>8.1017989433788233E-3</v>
      </c>
      <c r="VH63" s="235">
        <f t="shared" ca="1" si="497"/>
        <v>8.1017989433788233E-3</v>
      </c>
      <c r="VI63" s="242">
        <f t="shared" ca="1" si="498"/>
        <v>8.1017989433788233E-3</v>
      </c>
      <c r="VJ63" s="241">
        <f t="shared" ca="1" si="806"/>
        <v>1</v>
      </c>
      <c r="VK63" s="220">
        <f t="shared" ca="1" si="775"/>
        <v>0.14933864677755704</v>
      </c>
      <c r="VL63" s="220">
        <f t="shared" ca="1" si="776"/>
        <v>0</v>
      </c>
      <c r="VM63" s="235">
        <f t="shared" ca="1" si="502"/>
        <v>6.5252984585482295E-3</v>
      </c>
      <c r="VN63" s="235">
        <f t="shared" ca="1" si="503"/>
        <v>6.5252984585482295E-3</v>
      </c>
      <c r="VO63" s="242">
        <f t="shared" ca="1" si="504"/>
        <v>6.5252984585482295E-3</v>
      </c>
      <c r="VP63" s="241">
        <f t="shared" ca="1" si="567"/>
        <v>1</v>
      </c>
      <c r="VQ63" s="220">
        <f t="shared" ca="1" si="777"/>
        <v>0.12186078378642688</v>
      </c>
      <c r="VR63" s="220">
        <f t="shared" ca="1" si="778"/>
        <v>0</v>
      </c>
      <c r="VS63" s="235">
        <f t="shared" ca="1" si="507"/>
        <v>5.1446020464451514E-3</v>
      </c>
      <c r="VT63" s="235">
        <f t="shared" ca="1" si="508"/>
        <v>5.1446020464451514E-3</v>
      </c>
      <c r="VU63" s="242">
        <f t="shared" ca="1" si="509"/>
        <v>5.1446020464451514E-3</v>
      </c>
      <c r="VV63" s="241">
        <f t="shared" ca="1" si="578"/>
        <v>1</v>
      </c>
      <c r="VW63" s="220">
        <f t="shared" ca="1" si="779"/>
        <v>9.714071449143126E-2</v>
      </c>
      <c r="VX63" s="220">
        <f t="shared" ca="1" si="780"/>
        <v>0</v>
      </c>
      <c r="VY63" s="235">
        <f t="shared" ca="1" si="512"/>
        <v>3.9623128486120972E-3</v>
      </c>
      <c r="VZ63" s="235">
        <f t="shared" ca="1" si="513"/>
        <v>3.9623128486120972E-3</v>
      </c>
      <c r="WA63" s="242">
        <f t="shared" ca="1" si="514"/>
        <v>3.9623128486120972E-3</v>
      </c>
      <c r="WB63" s="241">
        <f t="shared" ca="1" si="578"/>
        <v>1</v>
      </c>
      <c r="WC63" s="220">
        <f t="shared" ca="1" si="781"/>
        <v>7.5486980683431834E-2</v>
      </c>
      <c r="WD63" s="220">
        <f t="shared" ca="1" si="782"/>
        <v>0</v>
      </c>
      <c r="WE63" s="235">
        <f t="shared" ca="1" si="517"/>
        <v>2.9749465982754843E-3</v>
      </c>
      <c r="WF63" s="235">
        <f t="shared" ca="1" si="518"/>
        <v>2.9749465982754843E-3</v>
      </c>
      <c r="WG63" s="242">
        <f t="shared" ca="1" si="519"/>
        <v>2.9749465982754843E-3</v>
      </c>
      <c r="WH63" s="241">
        <f t="shared" ca="1" si="578"/>
        <v>1</v>
      </c>
      <c r="WI63" s="220">
        <f t="shared" ca="1" si="783"/>
        <v>5.7061061620490225E-2</v>
      </c>
      <c r="WJ63" s="220">
        <f t="shared" ca="1" si="784"/>
        <v>0</v>
      </c>
      <c r="WK63" s="235">
        <f t="shared" ca="1" si="522"/>
        <v>2.1727342833971291E-3</v>
      </c>
      <c r="WL63" s="235">
        <f t="shared" ca="1" si="523"/>
        <v>2.1727342833971291E-3</v>
      </c>
      <c r="WM63" s="242">
        <f t="shared" ca="1" si="524"/>
        <v>2.1727342833971291E-3</v>
      </c>
      <c r="WN63" s="241">
        <f t="shared" ca="1" si="578"/>
        <v>1</v>
      </c>
      <c r="WO63" s="220">
        <f t="shared" ca="1" si="785"/>
        <v>4.1934687734452851E-2</v>
      </c>
      <c r="WP63" s="220">
        <f t="shared" ca="1" si="786"/>
        <v>0</v>
      </c>
      <c r="WQ63" s="235">
        <f t="shared" ca="1" si="527"/>
        <v>1.5427651975624165E-3</v>
      </c>
      <c r="WR63" s="235">
        <f t="shared" ca="1" si="528"/>
        <v>1.5427651975624165E-3</v>
      </c>
      <c r="WS63" s="242">
        <f t="shared" ca="1" si="529"/>
        <v>1.5427651975624165E-3</v>
      </c>
      <c r="WT63" s="241">
        <f t="shared" ca="1" si="578"/>
        <v>1</v>
      </c>
      <c r="WU63" s="220">
        <f t="shared" ca="1" si="787"/>
        <v>2.9961998908764689E-2</v>
      </c>
      <c r="WV63" s="220">
        <f t="shared" ca="1" si="788"/>
        <v>0</v>
      </c>
      <c r="WW63" s="235">
        <f t="shared" ca="1" si="532"/>
        <v>1.0650177696007403E-3</v>
      </c>
      <c r="WX63" s="235">
        <f t="shared" ca="1" si="533"/>
        <v>1.0650177696007403E-3</v>
      </c>
      <c r="WY63" s="242">
        <f t="shared" ca="1" si="534"/>
        <v>1.0650177696007403E-3</v>
      </c>
      <c r="WZ63" s="241">
        <f t="shared" ca="1" si="578"/>
        <v>1</v>
      </c>
      <c r="XA63" s="220">
        <f t="shared" ca="1" si="789"/>
        <v>2.0825806429510707E-2</v>
      </c>
      <c r="XB63" s="220">
        <f t="shared" ca="1" si="790"/>
        <v>0</v>
      </c>
      <c r="XC63" s="235">
        <f t="shared" ca="1" si="537"/>
        <v>7.1523300597822715E-4</v>
      </c>
      <c r="XD63" s="235">
        <f t="shared" ca="1" si="538"/>
        <v>7.1523300597822715E-4</v>
      </c>
      <c r="XE63" s="242">
        <f t="shared" ca="1" si="539"/>
        <v>7.1523300597822715E-4</v>
      </c>
      <c r="XF63" s="241">
        <f t="shared" ca="1" si="578"/>
        <v>1</v>
      </c>
      <c r="XG63" s="220">
        <f t="shared" ca="1" si="791"/>
        <v>1.410075784309954E-2</v>
      </c>
      <c r="XH63" s="220">
        <f t="shared" ca="1" si="792"/>
        <v>0</v>
      </c>
      <c r="XI63" s="235">
        <f t="shared" ca="1" si="542"/>
        <v>4.6789437576883483E-4</v>
      </c>
      <c r="XJ63" s="235">
        <f t="shared" ca="1" si="543"/>
        <v>4.6789437576883483E-4</v>
      </c>
      <c r="XK63" s="242">
        <f t="shared" ca="1" si="544"/>
        <v>4.6789437576883483E-4</v>
      </c>
    </row>
    <row r="64" spans="2:635" x14ac:dyDescent="0.25">
      <c r="B64" s="65">
        <f t="shared" ca="1" si="14"/>
        <v>2079</v>
      </c>
      <c r="C64" s="65" t="s">
        <v>741</v>
      </c>
      <c r="D64" s="77">
        <f t="shared" si="580"/>
        <v>0</v>
      </c>
      <c r="E64" s="77">
        <f t="shared" si="581"/>
        <v>0</v>
      </c>
      <c r="F64" s="77" t="b">
        <f t="shared" si="793"/>
        <v>0</v>
      </c>
      <c r="G64" s="77" t="b">
        <f t="shared" si="794"/>
        <v>0</v>
      </c>
      <c r="H64" s="15" t="e">
        <f t="shared" ca="1" si="582"/>
        <v>#REF!</v>
      </c>
      <c r="L64" s="326">
        <f t="shared" ca="1" si="583"/>
        <v>3.5000000000000003E-2</v>
      </c>
      <c r="M64" s="327">
        <f t="shared" ca="1" si="584"/>
        <v>3.5000000000000003E-2</v>
      </c>
      <c r="N64" s="322">
        <f t="shared" ca="1" si="579"/>
        <v>-56</v>
      </c>
      <c r="O64" s="322">
        <f t="shared" ca="1" si="585"/>
        <v>0</v>
      </c>
      <c r="P64" s="328">
        <f t="shared" ca="1" si="545"/>
        <v>26.87829936156087</v>
      </c>
      <c r="Q64" s="328">
        <f t="shared" ca="1" si="546"/>
        <v>26.87829936156087</v>
      </c>
      <c r="R64" s="328">
        <f t="shared" ca="1" si="547"/>
        <v>26.87829936156087</v>
      </c>
      <c r="S64" s="329">
        <f t="shared" ca="1" si="586"/>
        <v>3.8642415640549425E-2</v>
      </c>
      <c r="T64" s="329">
        <f t="shared" ca="1" si="587"/>
        <v>3.8642415640549425E-2</v>
      </c>
      <c r="U64" s="329">
        <f t="shared" ca="1" si="588"/>
        <v>3.8642415640549425E-2</v>
      </c>
      <c r="V64" s="320" t="e">
        <f t="shared" ca="1" si="589"/>
        <v>#REF!</v>
      </c>
      <c r="W64" s="320" t="e">
        <f t="shared" ca="1" si="560"/>
        <v>#REF!</v>
      </c>
      <c r="X64" s="320" t="e">
        <f t="shared" ca="1" si="590"/>
        <v>#REF!</v>
      </c>
      <c r="Y64" s="320" t="e">
        <f ca="1">INDEX(SC_ZA_HECMLumpSum,ZAIDX)</f>
        <v>#REF!</v>
      </c>
      <c r="Z64" s="320" t="e">
        <f t="shared" ca="1" si="591"/>
        <v>#REF!</v>
      </c>
      <c r="AA64" s="320" t="e">
        <f t="shared" ca="1" si="557"/>
        <v>#REF!</v>
      </c>
      <c r="AB64" s="320" t="e">
        <f t="shared" ca="1" si="558"/>
        <v>#REF!</v>
      </c>
      <c r="AC64" s="330" t="e">
        <f t="shared" ca="1" si="559"/>
        <v>#REF!</v>
      </c>
      <c r="AD64" s="236" t="e">
        <f t="shared" ca="1" si="548"/>
        <v>#REF!</v>
      </c>
      <c r="AE64" s="320" t="e">
        <f t="shared" ca="1" si="561"/>
        <v>#REF!</v>
      </c>
      <c r="AF64" s="320" t="e">
        <f t="shared" ca="1" si="592"/>
        <v>#REF!</v>
      </c>
      <c r="AG64" s="320" t="e">
        <f t="shared" ca="1" si="549"/>
        <v>#REF!</v>
      </c>
      <c r="AH64" s="284" t="e">
        <f t="shared" ca="1" si="550"/>
        <v>#REF!</v>
      </c>
      <c r="AI64" s="318" t="e">
        <f t="shared" ca="1" si="551"/>
        <v>#REF!</v>
      </c>
      <c r="AJ64" s="331">
        <f t="shared" ca="1" si="807"/>
        <v>1</v>
      </c>
      <c r="AK64" s="220">
        <f t="shared" ca="1" si="593"/>
        <v>1</v>
      </c>
      <c r="AL64" s="220">
        <f t="shared" ca="1" si="594"/>
        <v>0</v>
      </c>
      <c r="AM64" s="235">
        <f t="shared" ca="1" si="554"/>
        <v>1</v>
      </c>
      <c r="AN64" s="235">
        <f t="shared" ca="1" si="555"/>
        <v>1</v>
      </c>
      <c r="AO64" s="242">
        <f t="shared" ca="1" si="556"/>
        <v>1</v>
      </c>
      <c r="AP64" s="241">
        <f t="shared" ca="1" si="807"/>
        <v>1</v>
      </c>
      <c r="AQ64" s="220">
        <f t="shared" ca="1" si="595"/>
        <v>0.99361699999999997</v>
      </c>
      <c r="AR64" s="220">
        <f t="shared" ca="1" si="596"/>
        <v>0</v>
      </c>
      <c r="AS64" s="235">
        <f t="shared" ca="1" si="43"/>
        <v>0.96001642512077301</v>
      </c>
      <c r="AT64" s="235">
        <f t="shared" ca="1" si="44"/>
        <v>0.96001642512077301</v>
      </c>
      <c r="AU64" s="242">
        <f t="shared" ca="1" si="45"/>
        <v>0.96001642512077301</v>
      </c>
      <c r="AV64" s="241">
        <f t="shared" ca="1" si="807"/>
        <v>1</v>
      </c>
      <c r="AW64" s="220">
        <f t="shared" ca="1" si="597"/>
        <v>0.99316689149899995</v>
      </c>
      <c r="AX64" s="220">
        <f t="shared" ca="1" si="598"/>
        <v>0</v>
      </c>
      <c r="AY64" s="235">
        <f t="shared" ca="1" si="48"/>
        <v>0.92713192046395487</v>
      </c>
      <c r="AZ64" s="235">
        <f t="shared" ca="1" si="49"/>
        <v>0.92713192046395487</v>
      </c>
      <c r="BA64" s="242">
        <f t="shared" ca="1" si="50"/>
        <v>0.92713192046395487</v>
      </c>
      <c r="BB64" s="241">
        <f t="shared" ca="1" si="807"/>
        <v>1</v>
      </c>
      <c r="BC64" s="220">
        <f t="shared" ca="1" si="599"/>
        <v>0.99288681843559723</v>
      </c>
      <c r="BD64" s="220">
        <f t="shared" ca="1" si="600"/>
        <v>0</v>
      </c>
      <c r="BE64" s="235">
        <f t="shared" ca="1" si="54"/>
        <v>0.89552702344191704</v>
      </c>
      <c r="BF64" s="235">
        <f t="shared" ca="1" si="55"/>
        <v>0.89552702344191704</v>
      </c>
      <c r="BG64" s="242">
        <f t="shared" ca="1" si="56"/>
        <v>0.89552702344191704</v>
      </c>
      <c r="BH64" s="241">
        <f t="shared" ca="1" si="807"/>
        <v>1</v>
      </c>
      <c r="BI64" s="220">
        <f t="shared" ca="1" si="601"/>
        <v>0.99265845446735712</v>
      </c>
      <c r="BJ64" s="220">
        <f t="shared" ca="1" si="602"/>
        <v>0</v>
      </c>
      <c r="BK64" s="235">
        <f t="shared" ca="1" si="59"/>
        <v>0.86504449490485558</v>
      </c>
      <c r="BL64" s="235">
        <f t="shared" ca="1" si="60"/>
        <v>0.86504449490485558</v>
      </c>
      <c r="BM64" s="242">
        <f t="shared" ca="1" si="61"/>
        <v>0.86504449490485558</v>
      </c>
      <c r="BN64" s="241">
        <f t="shared" ca="1" si="807"/>
        <v>1</v>
      </c>
      <c r="BO64" s="220">
        <f t="shared" ca="1" si="603"/>
        <v>0.99249069518855215</v>
      </c>
      <c r="BP64" s="220">
        <f t="shared" ca="1" si="604"/>
        <v>0</v>
      </c>
      <c r="BQ64" s="235">
        <f t="shared" ca="1" si="64"/>
        <v>0.83565053370552345</v>
      </c>
      <c r="BR64" s="235">
        <f t="shared" ca="1" si="65"/>
        <v>0.83565053370552345</v>
      </c>
      <c r="BS64" s="242">
        <f t="shared" ca="1" si="66"/>
        <v>0.83565053370552345</v>
      </c>
      <c r="BT64" s="241">
        <f t="shared" ca="1" si="807"/>
        <v>1</v>
      </c>
      <c r="BU64" s="220">
        <f t="shared" ca="1" si="605"/>
        <v>0.99233685913079794</v>
      </c>
      <c r="BV64" s="220">
        <f t="shared" ca="1" si="606"/>
        <v>0</v>
      </c>
      <c r="BW64" s="235">
        <f t="shared" ca="1" si="69"/>
        <v>0.80726667427323584</v>
      </c>
      <c r="BX64" s="235">
        <f t="shared" ca="1" si="70"/>
        <v>0.80726667427323584</v>
      </c>
      <c r="BY64" s="242">
        <f t="shared" ca="1" si="71"/>
        <v>0.80726667427323584</v>
      </c>
      <c r="BZ64" s="241">
        <f t="shared" ca="1" si="807"/>
        <v>1</v>
      </c>
      <c r="CA64" s="220">
        <f t="shared" ca="1" si="607"/>
        <v>0.992192970286224</v>
      </c>
      <c r="CB64" s="220">
        <f t="shared" ca="1" si="608"/>
        <v>0</v>
      </c>
      <c r="CC64" s="235">
        <f t="shared" ca="1" si="74"/>
        <v>0.7798547058990013</v>
      </c>
      <c r="CD64" s="235">
        <f t="shared" ca="1" si="75"/>
        <v>0.7798547058990013</v>
      </c>
      <c r="CE64" s="242">
        <f t="shared" ca="1" si="76"/>
        <v>0.7798547058990013</v>
      </c>
      <c r="CF64" s="241">
        <f t="shared" ca="1" si="807"/>
        <v>1</v>
      </c>
      <c r="CG64" s="220">
        <f t="shared" ca="1" si="609"/>
        <v>0.9920590242352354</v>
      </c>
      <c r="CH64" s="220">
        <f t="shared" ca="1" si="610"/>
        <v>0</v>
      </c>
      <c r="CI64" s="235">
        <f t="shared" ca="1" si="79"/>
        <v>0.75338108745285515</v>
      </c>
      <c r="CJ64" s="235">
        <f t="shared" ca="1" si="80"/>
        <v>0.75338108745285515</v>
      </c>
      <c r="CK64" s="242">
        <f t="shared" ca="1" si="81"/>
        <v>0.75338108745285515</v>
      </c>
      <c r="CL64" s="241">
        <f t="shared" ca="1" si="807"/>
        <v>1</v>
      </c>
      <c r="CM64" s="220">
        <f t="shared" ca="1" si="611"/>
        <v>0.99193997715232718</v>
      </c>
      <c r="CN64" s="220">
        <f t="shared" ca="1" si="612"/>
        <v>0</v>
      </c>
      <c r="CO64" s="235">
        <f t="shared" ca="1" si="84"/>
        <v>0.72781708378972065</v>
      </c>
      <c r="CP64" s="235">
        <f t="shared" ca="1" si="85"/>
        <v>0.72781708378972065</v>
      </c>
      <c r="CQ64" s="242">
        <f t="shared" ca="1" si="86"/>
        <v>0.72781708378972065</v>
      </c>
      <c r="CR64" s="241">
        <f t="shared" ca="1" si="807"/>
        <v>1</v>
      </c>
      <c r="CS64" s="220">
        <f t="shared" ca="1" si="613"/>
        <v>0.99183582345472621</v>
      </c>
      <c r="CT64" s="220">
        <f t="shared" ca="1" si="614"/>
        <v>0</v>
      </c>
      <c r="CU64" s="235">
        <f t="shared" ca="1" si="89"/>
        <v>0.70313107535837949</v>
      </c>
      <c r="CV64" s="235">
        <f t="shared" ca="1" si="90"/>
        <v>0.70313107535837949</v>
      </c>
      <c r="CW64" s="242">
        <f t="shared" ca="1" si="91"/>
        <v>0.70313107535837949</v>
      </c>
      <c r="CX64" s="241">
        <f t="shared" ca="1" si="800"/>
        <v>1</v>
      </c>
      <c r="CY64" s="220">
        <f t="shared" ca="1" si="615"/>
        <v>0.99174259088732142</v>
      </c>
      <c r="CZ64" s="220">
        <f t="shared" ca="1" si="616"/>
        <v>0</v>
      </c>
      <c r="DA64" s="235">
        <f t="shared" ca="1" si="94"/>
        <v>0.6792898367510104</v>
      </c>
      <c r="DB64" s="235">
        <f t="shared" ca="1" si="95"/>
        <v>0.6792898367510104</v>
      </c>
      <c r="DC64" s="242">
        <f t="shared" ca="1" si="96"/>
        <v>0.6792898367510104</v>
      </c>
      <c r="DD64" s="241">
        <f t="shared" ca="1" si="800"/>
        <v>1</v>
      </c>
      <c r="DE64" s="220">
        <f t="shared" ca="1" si="617"/>
        <v>0.99164440837082357</v>
      </c>
      <c r="DF64" s="220">
        <f t="shared" ca="1" si="618"/>
        <v>0</v>
      </c>
      <c r="DG64" s="235">
        <f t="shared" ca="1" si="99"/>
        <v>0.65625370730161559</v>
      </c>
      <c r="DH64" s="235">
        <f t="shared" ca="1" si="100"/>
        <v>0.65625370730161559</v>
      </c>
      <c r="DI64" s="242">
        <f t="shared" ca="1" si="101"/>
        <v>0.65625370730161559</v>
      </c>
      <c r="DJ64" s="241">
        <f t="shared" ca="1" si="51"/>
        <v>1</v>
      </c>
      <c r="DK64" s="220">
        <f t="shared" ca="1" si="619"/>
        <v>0.9915115280201019</v>
      </c>
      <c r="DL64" s="220">
        <f t="shared" ca="1" si="620"/>
        <v>0</v>
      </c>
      <c r="DM64" s="235">
        <f t="shared" ca="1" si="104"/>
        <v>0.63397658870032592</v>
      </c>
      <c r="DN64" s="235">
        <f t="shared" ca="1" si="105"/>
        <v>0.63397658870032592</v>
      </c>
      <c r="DO64" s="242">
        <f t="shared" ca="1" si="106"/>
        <v>0.63397658870032592</v>
      </c>
      <c r="DP64" s="241">
        <f t="shared" ca="1" si="801"/>
        <v>1</v>
      </c>
      <c r="DQ64" s="220">
        <f t="shared" ca="1" si="621"/>
        <v>0.99130628513380181</v>
      </c>
      <c r="DR64" s="220">
        <f t="shared" ca="1" si="622"/>
        <v>0</v>
      </c>
      <c r="DS64" s="235">
        <f t="shared" ca="1" si="110"/>
        <v>0.61241097154247814</v>
      </c>
      <c r="DT64" s="235">
        <f t="shared" ca="1" si="111"/>
        <v>0.61241097154247814</v>
      </c>
      <c r="DU64" s="242">
        <f t="shared" ca="1" si="112"/>
        <v>0.61241097154247814</v>
      </c>
      <c r="DV64" s="241">
        <f t="shared" ca="1" si="801"/>
        <v>1</v>
      </c>
      <c r="DW64" s="220">
        <f t="shared" ca="1" si="623"/>
        <v>0.9909999714916955</v>
      </c>
      <c r="DX64" s="220">
        <f t="shared" ca="1" si="624"/>
        <v>0</v>
      </c>
      <c r="DY64" s="235">
        <f t="shared" ca="1" si="115"/>
        <v>0.59151858604084218</v>
      </c>
      <c r="DZ64" s="235">
        <f t="shared" ca="1" si="116"/>
        <v>0.59151858604084218</v>
      </c>
      <c r="EA64" s="242">
        <f t="shared" ca="1" si="117"/>
        <v>0.59151858604084218</v>
      </c>
      <c r="EB64" s="241">
        <f t="shared" ca="1" si="801"/>
        <v>1</v>
      </c>
      <c r="EC64" s="220">
        <f t="shared" ca="1" si="625"/>
        <v>0.99058474250364048</v>
      </c>
      <c r="ED64" s="220">
        <f t="shared" ca="1" si="626"/>
        <v>0</v>
      </c>
      <c r="EE64" s="235">
        <f t="shared" ca="1" si="120"/>
        <v>0.57127607705632</v>
      </c>
      <c r="EF64" s="235">
        <f t="shared" ca="1" si="121"/>
        <v>0.57127607705632</v>
      </c>
      <c r="EG64" s="242">
        <f t="shared" ca="1" si="122"/>
        <v>0.57127607705632</v>
      </c>
      <c r="EH64" s="241">
        <f t="shared" ca="1" si="801"/>
        <v>1</v>
      </c>
      <c r="EI64" s="220">
        <f t="shared" ca="1" si="627"/>
        <v>0.99005973259011348</v>
      </c>
      <c r="EJ64" s="220">
        <f t="shared" ca="1" si="628"/>
        <v>0</v>
      </c>
      <c r="EK64" s="235">
        <f t="shared" ca="1" si="125"/>
        <v>0.55166502486519819</v>
      </c>
      <c r="EL64" s="235">
        <f t="shared" ca="1" si="126"/>
        <v>0.55166502486519819</v>
      </c>
      <c r="EM64" s="242">
        <f t="shared" ca="1" si="127"/>
        <v>0.55166502486519819</v>
      </c>
      <c r="EN64" s="241">
        <f t="shared" ca="1" si="801"/>
        <v>1</v>
      </c>
      <c r="EO64" s="220">
        <f t="shared" ca="1" si="629"/>
        <v>0.98941124346526699</v>
      </c>
      <c r="EP64" s="220">
        <f t="shared" ca="1" si="630"/>
        <v>0</v>
      </c>
      <c r="EQ64" s="235">
        <f t="shared" ca="1" si="130"/>
        <v>0.53266056451585653</v>
      </c>
      <c r="ER64" s="235">
        <f t="shared" ca="1" si="131"/>
        <v>0.53266056451585653</v>
      </c>
      <c r="ES64" s="242">
        <f t="shared" ca="1" si="132"/>
        <v>0.53266056451585653</v>
      </c>
      <c r="ET64" s="241">
        <f t="shared" ca="1" si="801"/>
        <v>1</v>
      </c>
      <c r="EU64" s="220">
        <f t="shared" ca="1" si="631"/>
        <v>0.98862861917168599</v>
      </c>
      <c r="EV64" s="220">
        <f t="shared" ca="1" si="632"/>
        <v>0</v>
      </c>
      <c r="EW64" s="235">
        <f t="shared" ca="1" si="135"/>
        <v>0.51424080194137645</v>
      </c>
      <c r="EX64" s="235">
        <f t="shared" ca="1" si="136"/>
        <v>0.51424080194137645</v>
      </c>
      <c r="EY64" s="242">
        <f t="shared" ca="1" si="137"/>
        <v>0.51424080194137645</v>
      </c>
      <c r="EZ64" s="241">
        <f t="shared" ca="1" si="801"/>
        <v>1</v>
      </c>
      <c r="FA64" s="220">
        <f t="shared" ca="1" si="633"/>
        <v>0.98770524004137961</v>
      </c>
      <c r="FB64" s="220">
        <f t="shared" ca="1" si="634"/>
        <v>0</v>
      </c>
      <c r="FC64" s="235">
        <f t="shared" ca="1" si="140"/>
        <v>0.49638695751919149</v>
      </c>
      <c r="FD64" s="235">
        <f t="shared" ca="1" si="141"/>
        <v>0.49638695751919149</v>
      </c>
      <c r="FE64" s="242">
        <f t="shared" ca="1" si="142"/>
        <v>0.49638695751919149</v>
      </c>
      <c r="FF64" s="241">
        <f t="shared" ca="1" si="801"/>
        <v>1</v>
      </c>
      <c r="FG64" s="220">
        <f t="shared" ca="1" si="635"/>
        <v>0.98663357985593469</v>
      </c>
      <c r="FH64" s="220">
        <f t="shared" ca="1" si="636"/>
        <v>0</v>
      </c>
      <c r="FI64" s="235">
        <f t="shared" ca="1" si="145"/>
        <v>0.4790805581355394</v>
      </c>
      <c r="FJ64" s="235">
        <f t="shared" ca="1" si="146"/>
        <v>0.4790805581355394</v>
      </c>
      <c r="FK64" s="242">
        <f t="shared" ca="1" si="147"/>
        <v>0.4790805581355394</v>
      </c>
      <c r="FL64" s="241">
        <f t="shared" ca="1" si="801"/>
        <v>1</v>
      </c>
      <c r="FM64" s="220">
        <f t="shared" ca="1" si="637"/>
        <v>0.98542199381987161</v>
      </c>
      <c r="FN64" s="220">
        <f t="shared" ca="1" si="638"/>
        <v>0</v>
      </c>
      <c r="FO64" s="235">
        <f t="shared" ca="1" si="150"/>
        <v>0.46231134996149653</v>
      </c>
      <c r="FP64" s="235">
        <f t="shared" ca="1" si="151"/>
        <v>0.46231134996149653</v>
      </c>
      <c r="FQ64" s="242">
        <f t="shared" ca="1" si="152"/>
        <v>0.46231134996149653</v>
      </c>
      <c r="FR64" s="241">
        <f t="shared" ca="1" si="801"/>
        <v>1</v>
      </c>
      <c r="FS64" s="220">
        <f t="shared" ca="1" si="639"/>
        <v>0.98410251377014679</v>
      </c>
      <c r="FT64" s="220">
        <f t="shared" ca="1" si="640"/>
        <v>0</v>
      </c>
      <c r="FU64" s="235">
        <f t="shared" ca="1" si="155"/>
        <v>0.44607953146270346</v>
      </c>
      <c r="FV64" s="235">
        <f t="shared" ca="1" si="156"/>
        <v>0.44607953146270346</v>
      </c>
      <c r="FW64" s="242">
        <f t="shared" ca="1" si="157"/>
        <v>0.44607953146270346</v>
      </c>
      <c r="FX64" s="241">
        <f t="shared" ca="1" si="801"/>
        <v>1</v>
      </c>
      <c r="FY64" s="220">
        <f t="shared" ca="1" si="641"/>
        <v>0.98272181794332725</v>
      </c>
      <c r="FZ64" s="220">
        <f t="shared" ca="1" si="642"/>
        <v>0</v>
      </c>
      <c r="GA64" s="235">
        <f t="shared" ca="1" si="160"/>
        <v>0.43039003080199167</v>
      </c>
      <c r="GB64" s="235">
        <f t="shared" ca="1" si="161"/>
        <v>0.43039003080199167</v>
      </c>
      <c r="GC64" s="242">
        <f t="shared" ca="1" si="162"/>
        <v>0.43039003080199167</v>
      </c>
      <c r="GD64" s="241">
        <f t="shared" ca="1" si="795"/>
        <v>1</v>
      </c>
      <c r="GE64" s="220">
        <f t="shared" ca="1" si="643"/>
        <v>0.98131357757821447</v>
      </c>
      <c r="GF64" s="220">
        <f t="shared" ca="1" si="644"/>
        <v>0</v>
      </c>
      <c r="GG64" s="235">
        <f t="shared" ca="1" si="166"/>
        <v>0.41523988588198307</v>
      </c>
      <c r="GH64" s="235">
        <f t="shared" ca="1" si="167"/>
        <v>0.41523988588198307</v>
      </c>
      <c r="GI64" s="242">
        <f t="shared" ca="1" si="168"/>
        <v>0.41523988588198307</v>
      </c>
      <c r="GJ64" s="241">
        <f t="shared" ca="1" si="795"/>
        <v>1</v>
      </c>
      <c r="GK64" s="220">
        <f t="shared" ca="1" si="645"/>
        <v>0.97988969157714845</v>
      </c>
      <c r="GL64" s="220">
        <f t="shared" ca="1" si="646"/>
        <v>0</v>
      </c>
      <c r="GM64" s="235">
        <f t="shared" ca="1" si="171"/>
        <v>0.40061581913774713</v>
      </c>
      <c r="GN64" s="235">
        <f t="shared" ca="1" si="172"/>
        <v>0.40061581913774713</v>
      </c>
      <c r="GO64" s="242">
        <f t="shared" ca="1" si="173"/>
        <v>0.40061581913774713</v>
      </c>
      <c r="GP64" s="241">
        <f t="shared" ca="1" si="802"/>
        <v>1</v>
      </c>
      <c r="GQ64" s="220">
        <f t="shared" ca="1" si="647"/>
        <v>0.9784443542820721</v>
      </c>
      <c r="GR64" s="220">
        <f t="shared" ca="1" si="648"/>
        <v>0</v>
      </c>
      <c r="GS64" s="235">
        <f t="shared" ca="1" si="176"/>
        <v>0.38649749836185404</v>
      </c>
      <c r="GT64" s="235">
        <f t="shared" ca="1" si="177"/>
        <v>0.38649749836185404</v>
      </c>
      <c r="GU64" s="242">
        <f t="shared" ca="1" si="178"/>
        <v>0.38649749836185404</v>
      </c>
      <c r="GV64" s="241">
        <f t="shared" ca="1" si="802"/>
        <v>1</v>
      </c>
      <c r="GW64" s="220">
        <f t="shared" ca="1" si="649"/>
        <v>0.97697473086194042</v>
      </c>
      <c r="GX64" s="220">
        <f t="shared" ca="1" si="650"/>
        <v>0</v>
      </c>
      <c r="GY64" s="235">
        <f t="shared" ca="1" si="181"/>
        <v>0.37286664649209134</v>
      </c>
      <c r="GZ64" s="235">
        <f t="shared" ca="1" si="182"/>
        <v>0.37286664649209134</v>
      </c>
      <c r="HA64" s="242">
        <f t="shared" ca="1" si="183"/>
        <v>0.37286664649209134</v>
      </c>
      <c r="HB64" s="241">
        <f t="shared" ca="1" si="802"/>
        <v>1</v>
      </c>
      <c r="HC64" s="220">
        <f t="shared" ca="1" si="651"/>
        <v>0.97547214372587476</v>
      </c>
      <c r="HD64" s="220">
        <f t="shared" ca="1" si="652"/>
        <v>0</v>
      </c>
      <c r="HE64" s="235">
        <f t="shared" ca="1" si="186"/>
        <v>0.35970355322684694</v>
      </c>
      <c r="HF64" s="235">
        <f t="shared" ca="1" si="187"/>
        <v>0.35970355322684694</v>
      </c>
      <c r="HG64" s="242">
        <f t="shared" ca="1" si="188"/>
        <v>0.35970355322684694</v>
      </c>
      <c r="HH64" s="241">
        <f t="shared" ca="1" si="802"/>
        <v>1</v>
      </c>
      <c r="HI64" s="220">
        <f t="shared" ca="1" si="653"/>
        <v>0.9739299222666441</v>
      </c>
      <c r="HJ64" s="220">
        <f t="shared" ca="1" si="654"/>
        <v>0</v>
      </c>
      <c r="HK64" s="235">
        <f t="shared" ca="1" si="191"/>
        <v>0.34699020474318382</v>
      </c>
      <c r="HL64" s="235">
        <f t="shared" ca="1" si="192"/>
        <v>0.34699020474318382</v>
      </c>
      <c r="HM64" s="242">
        <f t="shared" ca="1" si="193"/>
        <v>0.34699020474318382</v>
      </c>
      <c r="HN64" s="241">
        <f t="shared" ca="1" si="802"/>
        <v>1</v>
      </c>
      <c r="HO64" s="220">
        <f t="shared" ca="1" si="655"/>
        <v>0.97234631221303847</v>
      </c>
      <c r="HP64" s="220">
        <f t="shared" ca="1" si="656"/>
        <v>0</v>
      </c>
      <c r="HQ64" s="235">
        <f t="shared" ca="1" si="196"/>
        <v>0.33471110982634922</v>
      </c>
      <c r="HR64" s="235">
        <f t="shared" ca="1" si="197"/>
        <v>0.33471110982634922</v>
      </c>
      <c r="HS64" s="242">
        <f t="shared" ca="1" si="198"/>
        <v>0.33471110982634922</v>
      </c>
      <c r="HT64" s="241">
        <f t="shared" ca="1" si="802"/>
        <v>1</v>
      </c>
      <c r="HU64" s="220">
        <f t="shared" ca="1" si="657"/>
        <v>0.97072346621795491</v>
      </c>
      <c r="HV64" s="220">
        <f t="shared" ca="1" si="658"/>
        <v>0</v>
      </c>
      <c r="HW64" s="235">
        <f t="shared" ca="1" si="201"/>
        <v>0.32285263476719722</v>
      </c>
      <c r="HX64" s="235">
        <f t="shared" ca="1" si="202"/>
        <v>0.32285263476719722</v>
      </c>
      <c r="HY64" s="242">
        <f t="shared" ca="1" si="203"/>
        <v>0.32285263476719722</v>
      </c>
      <c r="HZ64" s="241">
        <f t="shared" ca="1" si="802"/>
        <v>1</v>
      </c>
      <c r="IA64" s="220">
        <f t="shared" ca="1" si="659"/>
        <v>0.96906158764378969</v>
      </c>
      <c r="IB64" s="220">
        <f t="shared" ca="1" si="660"/>
        <v>0</v>
      </c>
      <c r="IC64" s="235">
        <f t="shared" ca="1" si="206"/>
        <v>0.31140088024780266</v>
      </c>
      <c r="ID64" s="235">
        <f t="shared" ca="1" si="207"/>
        <v>0.31140088024780266</v>
      </c>
      <c r="IE64" s="242">
        <f t="shared" ca="1" si="208"/>
        <v>0.31140088024780266</v>
      </c>
      <c r="IF64" s="241">
        <f t="shared" ca="1" si="802"/>
        <v>1</v>
      </c>
      <c r="IG64" s="220">
        <f t="shared" ca="1" si="661"/>
        <v>0.96736088455747493</v>
      </c>
      <c r="IH64" s="220">
        <f t="shared" ca="1" si="662"/>
        <v>0</v>
      </c>
      <c r="II64" s="235">
        <f t="shared" ca="1" si="211"/>
        <v>0.30034238811880948</v>
      </c>
      <c r="IJ64" s="235">
        <f t="shared" ca="1" si="212"/>
        <v>0.30034238811880948</v>
      </c>
      <c r="IK64" s="242">
        <f t="shared" ca="1" si="213"/>
        <v>0.30034238811880948</v>
      </c>
      <c r="IL64" s="241">
        <f t="shared" ca="1" si="802"/>
        <v>1</v>
      </c>
      <c r="IM64" s="220">
        <f t="shared" ca="1" si="663"/>
        <v>0.96561963496527148</v>
      </c>
      <c r="IN64" s="220">
        <f t="shared" ca="1" si="664"/>
        <v>0</v>
      </c>
      <c r="IO64" s="235">
        <f t="shared" ca="1" si="216"/>
        <v>0.28966354765236296</v>
      </c>
      <c r="IP64" s="235">
        <f t="shared" ca="1" si="217"/>
        <v>0.28966354765236296</v>
      </c>
      <c r="IQ64" s="242">
        <f t="shared" ca="1" si="218"/>
        <v>0.28966354765236296</v>
      </c>
      <c r="IR64" s="241">
        <f t="shared" ca="1" si="802"/>
        <v>1</v>
      </c>
      <c r="IS64" s="220">
        <f t="shared" ca="1" si="665"/>
        <v>0.96382841054241086</v>
      </c>
      <c r="IT64" s="220">
        <f t="shared" ca="1" si="666"/>
        <v>0</v>
      </c>
      <c r="IU64" s="235">
        <f t="shared" ca="1" si="222"/>
        <v>0.27934900654248102</v>
      </c>
      <c r="IV64" s="235">
        <f t="shared" ca="1" si="223"/>
        <v>0.27934900654248102</v>
      </c>
      <c r="IW64" s="242">
        <f t="shared" ca="1" si="224"/>
        <v>0.27934900654248102</v>
      </c>
      <c r="IX64" s="241">
        <f t="shared" ca="1" si="802"/>
        <v>1</v>
      </c>
      <c r="IY64" s="220">
        <f t="shared" ca="1" si="667"/>
        <v>0.9619778599941694</v>
      </c>
      <c r="IZ64" s="220">
        <f t="shared" ca="1" si="668"/>
        <v>0</v>
      </c>
      <c r="JA64" s="235">
        <f t="shared" ca="1" si="227"/>
        <v>0.26938420913035699</v>
      </c>
      <c r="JB64" s="235">
        <f t="shared" ca="1" si="228"/>
        <v>0.26938420913035699</v>
      </c>
      <c r="JC64" s="242">
        <f t="shared" ca="1" si="229"/>
        <v>0.26938420913035699</v>
      </c>
      <c r="JD64" s="241">
        <f t="shared" ca="1" si="796"/>
        <v>1</v>
      </c>
      <c r="JE64" s="220">
        <f t="shared" ca="1" si="669"/>
        <v>0.96006544800850102</v>
      </c>
      <c r="JF64" s="220">
        <f t="shared" ca="1" si="670"/>
        <v>0</v>
      </c>
      <c r="JG64" s="235">
        <f t="shared" ca="1" si="232"/>
        <v>0.25975717229237277</v>
      </c>
      <c r="JH64" s="235">
        <f t="shared" ca="1" si="233"/>
        <v>0.25975717229237277</v>
      </c>
      <c r="JI64" s="242">
        <f t="shared" ca="1" si="234"/>
        <v>0.25975717229237277</v>
      </c>
      <c r="JJ64" s="241">
        <f t="shared" ca="1" si="796"/>
        <v>1</v>
      </c>
      <c r="JK64" s="220">
        <f t="shared" ca="1" si="671"/>
        <v>0.9580877131856036</v>
      </c>
      <c r="JL64" s="220">
        <f t="shared" ca="1" si="672"/>
        <v>0</v>
      </c>
      <c r="JM64" s="235">
        <f t="shared" ca="1" si="237"/>
        <v>0.25045610871251262</v>
      </c>
      <c r="JN64" s="235">
        <f t="shared" ca="1" si="238"/>
        <v>0.25045610871251262</v>
      </c>
      <c r="JO64" s="242">
        <f t="shared" ca="1" si="239"/>
        <v>0.25045610871251262</v>
      </c>
      <c r="JP64" s="241">
        <f t="shared" ca="1" si="803"/>
        <v>1</v>
      </c>
      <c r="JQ64" s="220">
        <f t="shared" ca="1" si="673"/>
        <v>0.95603644739167326</v>
      </c>
      <c r="JR64" s="220">
        <f t="shared" ca="1" si="674"/>
        <v>0</v>
      </c>
      <c r="JS64" s="235">
        <f t="shared" ca="1" si="242"/>
        <v>0.24146848520169967</v>
      </c>
      <c r="JT64" s="235">
        <f t="shared" ca="1" si="243"/>
        <v>0.24146848520169967</v>
      </c>
      <c r="JU64" s="242">
        <f t="shared" ca="1" si="244"/>
        <v>0.24146848520169967</v>
      </c>
      <c r="JV64" s="241">
        <f t="shared" ca="1" si="803"/>
        <v>1</v>
      </c>
      <c r="JW64" s="220">
        <f t="shared" ca="1" si="675"/>
        <v>0.95389492574951584</v>
      </c>
      <c r="JX64" s="220">
        <f t="shared" ca="1" si="676"/>
        <v>0</v>
      </c>
      <c r="JY64" s="235">
        <f t="shared" ca="1" si="247"/>
        <v>0.23278028579212359</v>
      </c>
      <c r="JZ64" s="235">
        <f t="shared" ca="1" si="248"/>
        <v>0.23278028579212359</v>
      </c>
      <c r="KA64" s="242">
        <f t="shared" ca="1" si="249"/>
        <v>0.23278028579212359</v>
      </c>
      <c r="KB64" s="241">
        <f t="shared" ca="1" si="803"/>
        <v>1</v>
      </c>
      <c r="KC64" s="220">
        <f t="shared" ca="1" si="677"/>
        <v>0.95164182593489555</v>
      </c>
      <c r="KD64" s="220">
        <f t="shared" ca="1" si="678"/>
        <v>0</v>
      </c>
      <c r="KE64" s="235">
        <f t="shared" ca="1" si="252"/>
        <v>0.22437725483776094</v>
      </c>
      <c r="KF64" s="235">
        <f t="shared" ca="1" si="253"/>
        <v>0.22437725483776094</v>
      </c>
      <c r="KG64" s="242">
        <f t="shared" ca="1" si="254"/>
        <v>0.22437725483776094</v>
      </c>
      <c r="KH64" s="241">
        <f t="shared" ca="1" si="803"/>
        <v>1</v>
      </c>
      <c r="KI64" s="220">
        <f t="shared" ca="1" si="679"/>
        <v>0.94925415659362489</v>
      </c>
      <c r="KJ64" s="220">
        <f t="shared" ca="1" si="680"/>
        <v>0</v>
      </c>
      <c r="KK64" s="235">
        <f t="shared" ca="1" si="257"/>
        <v>0.21624569304866956</v>
      </c>
      <c r="KL64" s="235">
        <f t="shared" ca="1" si="258"/>
        <v>0.21624569304866956</v>
      </c>
      <c r="KM64" s="242">
        <f t="shared" ca="1" si="259"/>
        <v>0.21624569304866956</v>
      </c>
      <c r="KN64" s="241">
        <f t="shared" ca="1" si="803"/>
        <v>1</v>
      </c>
      <c r="KO64" s="220">
        <f t="shared" ca="1" si="681"/>
        <v>0.94670635843732753</v>
      </c>
      <c r="KP64" s="220">
        <f t="shared" ca="1" si="682"/>
        <v>0</v>
      </c>
      <c r="KQ64" s="235">
        <f t="shared" ca="1" si="262"/>
        <v>0.2083722604913304</v>
      </c>
      <c r="KR64" s="235">
        <f t="shared" ca="1" si="263"/>
        <v>0.2083722604913304</v>
      </c>
      <c r="KS64" s="242">
        <f t="shared" ca="1" si="264"/>
        <v>0.2083722604913304</v>
      </c>
      <c r="KT64" s="241">
        <f t="shared" ca="1" si="803"/>
        <v>1</v>
      </c>
      <c r="KU64" s="220">
        <f t="shared" ca="1" si="683"/>
        <v>0.94397037706144371</v>
      </c>
      <c r="KV64" s="220">
        <f t="shared" ca="1" si="684"/>
        <v>0</v>
      </c>
      <c r="KW64" s="235">
        <f t="shared" ca="1" si="267"/>
        <v>0.20074402382464779</v>
      </c>
      <c r="KX64" s="235">
        <f t="shared" ca="1" si="268"/>
        <v>0.20074402382464779</v>
      </c>
      <c r="KY64" s="242">
        <f t="shared" ca="1" si="269"/>
        <v>0.20074402382464779</v>
      </c>
      <c r="KZ64" s="241">
        <f t="shared" ca="1" si="803"/>
        <v>1</v>
      </c>
      <c r="LA64" s="220">
        <f t="shared" ca="1" si="685"/>
        <v>0.94102424551463493</v>
      </c>
      <c r="LB64" s="220">
        <f t="shared" ca="1" si="686"/>
        <v>0</v>
      </c>
      <c r="LC64" s="235">
        <f t="shared" ca="1" si="272"/>
        <v>0.19335024321380778</v>
      </c>
      <c r="LD64" s="235">
        <f t="shared" ca="1" si="273"/>
        <v>0.19335024321380778</v>
      </c>
      <c r="LE64" s="242">
        <f t="shared" ca="1" si="274"/>
        <v>0.19335024321380778</v>
      </c>
      <c r="LF64" s="241">
        <f t="shared" ca="1" si="803"/>
        <v>1</v>
      </c>
      <c r="LG64" s="220">
        <f t="shared" ca="1" si="687"/>
        <v>0.93783793741932242</v>
      </c>
      <c r="LH64" s="220">
        <f t="shared" ca="1" si="688"/>
        <v>0</v>
      </c>
      <c r="LI64" s="235">
        <f t="shared" ca="1" si="278"/>
        <v>0.18617928433844047</v>
      </c>
      <c r="LJ64" s="235">
        <f t="shared" ca="1" si="279"/>
        <v>0.18617928433844047</v>
      </c>
      <c r="LK64" s="242">
        <f t="shared" ca="1" si="280"/>
        <v>0.18617928433844047</v>
      </c>
      <c r="LL64" s="241">
        <f t="shared" ca="1" si="803"/>
        <v>1</v>
      </c>
      <c r="LM64" s="220">
        <f t="shared" ca="1" si="689"/>
        <v>0.93436137218530901</v>
      </c>
      <c r="LN64" s="220">
        <f t="shared" ca="1" si="690"/>
        <v>0</v>
      </c>
      <c r="LO64" s="235">
        <f t="shared" ca="1" si="283"/>
        <v>0.17921653887091585</v>
      </c>
      <c r="LP64" s="235">
        <f t="shared" ca="1" si="284"/>
        <v>0.17921653887091585</v>
      </c>
      <c r="LQ64" s="242">
        <f t="shared" ca="1" si="285"/>
        <v>0.17921653887091585</v>
      </c>
      <c r="LR64" s="241">
        <f t="shared" ca="1" si="803"/>
        <v>1</v>
      </c>
      <c r="LS64" s="220">
        <f t="shared" ca="1" si="691"/>
        <v>0.93053889981169891</v>
      </c>
      <c r="LT64" s="220">
        <f t="shared" ca="1" si="692"/>
        <v>0</v>
      </c>
      <c r="LU64" s="235">
        <f t="shared" ca="1" si="288"/>
        <v>0.17244769469603377</v>
      </c>
      <c r="LV64" s="235">
        <f t="shared" ca="1" si="289"/>
        <v>0.17244769469603377</v>
      </c>
      <c r="LW64" s="242">
        <f t="shared" ca="1" si="290"/>
        <v>0.17244769469603377</v>
      </c>
      <c r="LX64" s="241">
        <f t="shared" ca="1" si="803"/>
        <v>1</v>
      </c>
      <c r="LY64" s="220">
        <f t="shared" ca="1" si="693"/>
        <v>0.92632262805665211</v>
      </c>
      <c r="LZ64" s="220">
        <f t="shared" ca="1" si="694"/>
        <v>0</v>
      </c>
      <c r="MA64" s="235">
        <f t="shared" ca="1" si="293"/>
        <v>0.16586119245542613</v>
      </c>
      <c r="MB64" s="235">
        <f t="shared" ca="1" si="294"/>
        <v>0.16586119245542613</v>
      </c>
      <c r="MC64" s="242">
        <f t="shared" ca="1" si="295"/>
        <v>0.16586119245542613</v>
      </c>
      <c r="MD64" s="241">
        <f t="shared" ca="1" si="797"/>
        <v>1</v>
      </c>
      <c r="ME64" s="220">
        <f t="shared" ca="1" si="695"/>
        <v>0.92167897272220412</v>
      </c>
      <c r="MF64" s="220">
        <f t="shared" ca="1" si="696"/>
        <v>0</v>
      </c>
      <c r="MG64" s="235">
        <f t="shared" ca="1" si="298"/>
        <v>0.15944901478033538</v>
      </c>
      <c r="MH64" s="235">
        <f t="shared" ca="1" si="299"/>
        <v>0.15944901478033538</v>
      </c>
      <c r="MI64" s="242">
        <f t="shared" ca="1" si="300"/>
        <v>0.15944901478033538</v>
      </c>
      <c r="MJ64" s="241">
        <f t="shared" ca="1" si="797"/>
        <v>1</v>
      </c>
      <c r="MK64" s="220">
        <f t="shared" ca="1" si="697"/>
        <v>0.91658761807688671</v>
      </c>
      <c r="ML64" s="220">
        <f t="shared" ca="1" si="698"/>
        <v>0</v>
      </c>
      <c r="MM64" s="235">
        <f t="shared" ca="1" si="303"/>
        <v>0.15320600813786359</v>
      </c>
      <c r="MN64" s="235">
        <f t="shared" ca="1" si="304"/>
        <v>0.15320600813786359</v>
      </c>
      <c r="MO64" s="242">
        <f t="shared" ca="1" si="305"/>
        <v>0.15320600813786359</v>
      </c>
      <c r="MP64" s="241">
        <f t="shared" ca="1" si="804"/>
        <v>1</v>
      </c>
      <c r="MQ64" s="220">
        <f t="shared" ca="1" si="699"/>
        <v>0.91103401369895887</v>
      </c>
      <c r="MR64" s="220">
        <f t="shared" ca="1" si="700"/>
        <v>0</v>
      </c>
      <c r="MS64" s="235">
        <f t="shared" ca="1" si="308"/>
        <v>0.1471282443812138</v>
      </c>
      <c r="MT64" s="235">
        <f t="shared" ca="1" si="309"/>
        <v>0.1471282443812138</v>
      </c>
      <c r="MU64" s="242">
        <f t="shared" ca="1" si="310"/>
        <v>0.1471282443812138</v>
      </c>
      <c r="MV64" s="241">
        <f t="shared" ca="1" si="804"/>
        <v>1</v>
      </c>
      <c r="MW64" s="220">
        <f t="shared" ca="1" si="701"/>
        <v>0.90501116783439506</v>
      </c>
      <c r="MX64" s="220">
        <f t="shared" ca="1" si="702"/>
        <v>0</v>
      </c>
      <c r="MY64" s="235">
        <f t="shared" ca="1" si="313"/>
        <v>0.14121312034551653</v>
      </c>
      <c r="MZ64" s="235">
        <f t="shared" ca="1" si="314"/>
        <v>0.14121312034551653</v>
      </c>
      <c r="NA64" s="242">
        <f t="shared" ca="1" si="315"/>
        <v>0.14121312034551653</v>
      </c>
      <c r="NB64" s="241">
        <f t="shared" ca="1" si="804"/>
        <v>1</v>
      </c>
      <c r="NC64" s="220">
        <f t="shared" ca="1" si="703"/>
        <v>0.89850685257116925</v>
      </c>
      <c r="ND64" s="220">
        <f t="shared" ca="1" si="704"/>
        <v>0</v>
      </c>
      <c r="NE64" s="235">
        <f t="shared" ca="1" si="318"/>
        <v>0.13545721898511429</v>
      </c>
      <c r="NF64" s="235">
        <f t="shared" ca="1" si="319"/>
        <v>0.13545721898511429</v>
      </c>
      <c r="NG64" s="242">
        <f t="shared" ca="1" si="320"/>
        <v>0.13545721898511429</v>
      </c>
      <c r="NH64" s="241">
        <f t="shared" ca="1" si="804"/>
        <v>1</v>
      </c>
      <c r="NI64" s="220">
        <f t="shared" ca="1" si="705"/>
        <v>0.89149849912111412</v>
      </c>
      <c r="NJ64" s="220">
        <f t="shared" ca="1" si="706"/>
        <v>0</v>
      </c>
      <c r="NK64" s="235">
        <f t="shared" ca="1" si="323"/>
        <v>0.12985570306959462</v>
      </c>
      <c r="NL64" s="235">
        <f t="shared" ca="1" si="324"/>
        <v>0.12985570306959462</v>
      </c>
      <c r="NM64" s="242">
        <f t="shared" ca="1" si="325"/>
        <v>0.12985570306959462</v>
      </c>
      <c r="NN64" s="241">
        <f t="shared" ca="1" si="804"/>
        <v>1</v>
      </c>
      <c r="NO64" s="220">
        <f t="shared" ca="1" si="707"/>
        <v>0.88395998781254592</v>
      </c>
      <c r="NP64" s="220">
        <f t="shared" ca="1" si="708"/>
        <v>0</v>
      </c>
      <c r="NQ64" s="235">
        <f t="shared" ca="1" si="328"/>
        <v>0.12440352004293539</v>
      </c>
      <c r="NR64" s="235">
        <f t="shared" ca="1" si="329"/>
        <v>0.12440352004293539</v>
      </c>
      <c r="NS64" s="242">
        <f t="shared" ca="1" si="330"/>
        <v>0.12440352004293539</v>
      </c>
      <c r="NT64" s="241">
        <f t="shared" ca="1" si="804"/>
        <v>1</v>
      </c>
      <c r="NU64" s="220">
        <f t="shared" ca="1" si="709"/>
        <v>0.87587705768398794</v>
      </c>
      <c r="NV64" s="220">
        <f t="shared" ca="1" si="710"/>
        <v>0</v>
      </c>
      <c r="NW64" s="235">
        <f t="shared" ca="1" si="334"/>
        <v>0.11909755966730703</v>
      </c>
      <c r="NX64" s="235">
        <f t="shared" ca="1" si="335"/>
        <v>0.11909755966730703</v>
      </c>
      <c r="NY64" s="242">
        <f t="shared" ca="1" si="336"/>
        <v>0.11909755966730703</v>
      </c>
      <c r="NZ64" s="241">
        <f t="shared" ca="1" si="804"/>
        <v>1</v>
      </c>
      <c r="OA64" s="220">
        <f t="shared" ca="1" si="711"/>
        <v>0.86723653050993543</v>
      </c>
      <c r="OB64" s="220">
        <f t="shared" ca="1" si="712"/>
        <v>0</v>
      </c>
      <c r="OC64" s="235">
        <f t="shared" ca="1" si="339"/>
        <v>0.11393493936346769</v>
      </c>
      <c r="OD64" s="235">
        <f t="shared" ca="1" si="340"/>
        <v>0.11393493936346769</v>
      </c>
      <c r="OE64" s="242">
        <f t="shared" ca="1" si="341"/>
        <v>0.11393493936346769</v>
      </c>
      <c r="OF64" s="241">
        <f t="shared" ca="1" si="804"/>
        <v>1</v>
      </c>
      <c r="OG64" s="220">
        <f t="shared" ca="1" si="713"/>
        <v>0.85802474408285889</v>
      </c>
      <c r="OH64" s="220">
        <f t="shared" ca="1" si="714"/>
        <v>0</v>
      </c>
      <c r="OI64" s="235">
        <f t="shared" ca="1" si="344"/>
        <v>0.10891277530197965</v>
      </c>
      <c r="OJ64" s="235">
        <f t="shared" ca="1" si="345"/>
        <v>0.10891277530197965</v>
      </c>
      <c r="OK64" s="242">
        <f t="shared" ca="1" si="346"/>
        <v>0.10891277530197965</v>
      </c>
      <c r="OL64" s="241">
        <f t="shared" ca="1" si="804"/>
        <v>1</v>
      </c>
      <c r="OM64" s="220">
        <f t="shared" ca="1" si="715"/>
        <v>0.84819349656515752</v>
      </c>
      <c r="ON64" s="220">
        <f t="shared" ca="1" si="716"/>
        <v>0</v>
      </c>
      <c r="OO64" s="235">
        <f t="shared" ca="1" si="349"/>
        <v>0.10402401229233778</v>
      </c>
      <c r="OP64" s="235">
        <f t="shared" ca="1" si="350"/>
        <v>0.10402401229233778</v>
      </c>
      <c r="OQ64" s="242">
        <f t="shared" ca="1" si="351"/>
        <v>0.10402401229233778</v>
      </c>
      <c r="OR64" s="241">
        <f t="shared" ca="1" si="804"/>
        <v>1</v>
      </c>
      <c r="OS64" s="220">
        <f t="shared" ca="1" si="717"/>
        <v>0.83771830688257787</v>
      </c>
      <c r="OT64" s="220">
        <f t="shared" ca="1" si="718"/>
        <v>0</v>
      </c>
      <c r="OU64" s="235">
        <f t="shared" ca="1" si="354"/>
        <v>9.9265039362828419E-2</v>
      </c>
      <c r="OV64" s="235">
        <f t="shared" ca="1" si="355"/>
        <v>9.9265039362828419E-2</v>
      </c>
      <c r="OW64" s="242">
        <f t="shared" ca="1" si="356"/>
        <v>9.9265039362828419E-2</v>
      </c>
      <c r="OX64" s="241">
        <f t="shared" ca="1" si="804"/>
        <v>1</v>
      </c>
      <c r="OY64" s="220">
        <f t="shared" ca="1" si="719"/>
        <v>0.82663110509098692</v>
      </c>
      <c r="OZ64" s="220">
        <f t="shared" ca="1" si="720"/>
        <v>0</v>
      </c>
      <c r="PA64" s="235">
        <f t="shared" ca="1" si="359"/>
        <v>9.4638904895518239E-2</v>
      </c>
      <c r="PB64" s="235">
        <f t="shared" ca="1" si="360"/>
        <v>9.4638904895518239E-2</v>
      </c>
      <c r="PC64" s="242">
        <f t="shared" ca="1" si="361"/>
        <v>9.4638904895518239E-2</v>
      </c>
      <c r="PD64" s="241">
        <f t="shared" ca="1" si="798"/>
        <v>1</v>
      </c>
      <c r="PE64" s="220">
        <f t="shared" ca="1" si="721"/>
        <v>0.81497808640251923</v>
      </c>
      <c r="PF64" s="220">
        <f t="shared" ca="1" si="722"/>
        <v>0</v>
      </c>
      <c r="PG64" s="235">
        <f t="shared" ca="1" si="364"/>
        <v>9.0149546138363415E-2</v>
      </c>
      <c r="PH64" s="235">
        <f t="shared" ca="1" si="365"/>
        <v>9.0149546138363415E-2</v>
      </c>
      <c r="PI64" s="242">
        <f t="shared" ca="1" si="366"/>
        <v>9.0149546138363415E-2</v>
      </c>
      <c r="PJ64" s="241">
        <f t="shared" ca="1" si="798"/>
        <v>1</v>
      </c>
      <c r="PK64" s="220">
        <f t="shared" ca="1" si="723"/>
        <v>0.80277052964629592</v>
      </c>
      <c r="PL64" s="220">
        <f t="shared" ca="1" si="724"/>
        <v>0</v>
      </c>
      <c r="PM64" s="235">
        <f t="shared" ca="1" si="369"/>
        <v>8.5796324721504238E-2</v>
      </c>
      <c r="PN64" s="235">
        <f t="shared" ca="1" si="370"/>
        <v>8.5796324721504238E-2</v>
      </c>
      <c r="PO64" s="242">
        <f t="shared" ca="1" si="371"/>
        <v>8.5796324721504238E-2</v>
      </c>
      <c r="PP64" s="241">
        <f t="shared" ca="1" si="805"/>
        <v>1</v>
      </c>
      <c r="PQ64" s="220">
        <f t="shared" ca="1" si="725"/>
        <v>0.78995269259943357</v>
      </c>
      <c r="PR64" s="220">
        <f t="shared" ca="1" si="726"/>
        <v>0</v>
      </c>
      <c r="PS64" s="235">
        <f t="shared" ca="1" si="374"/>
        <v>8.1571415270218356E-2</v>
      </c>
      <c r="PT64" s="235">
        <f t="shared" ca="1" si="375"/>
        <v>8.1571415270218356E-2</v>
      </c>
      <c r="PU64" s="242">
        <f t="shared" ca="1" si="376"/>
        <v>8.1571415270218356E-2</v>
      </c>
      <c r="PV64" s="241">
        <f t="shared" ca="1" si="805"/>
        <v>1</v>
      </c>
      <c r="PW64" s="220">
        <f t="shared" ca="1" si="727"/>
        <v>0.77643739198174988</v>
      </c>
      <c r="PX64" s="220">
        <f t="shared" ca="1" si="728"/>
        <v>0</v>
      </c>
      <c r="PY64" s="235">
        <f t="shared" ca="1" si="379"/>
        <v>7.7464550653488104E-2</v>
      </c>
      <c r="PZ64" s="235">
        <f t="shared" ca="1" si="380"/>
        <v>7.7464550653488104E-2</v>
      </c>
      <c r="QA64" s="242">
        <f t="shared" ca="1" si="381"/>
        <v>7.7464550653488104E-2</v>
      </c>
      <c r="QB64" s="241">
        <f t="shared" ca="1" si="805"/>
        <v>1</v>
      </c>
      <c r="QC64" s="220">
        <f t="shared" ca="1" si="729"/>
        <v>0.76215715546842155</v>
      </c>
      <c r="QD64" s="220">
        <f t="shared" ca="1" si="730"/>
        <v>0</v>
      </c>
      <c r="QE64" s="235">
        <f t="shared" ca="1" si="384"/>
        <v>7.3468427669438799E-2</v>
      </c>
      <c r="QF64" s="235">
        <f t="shared" ca="1" si="385"/>
        <v>7.3468427669438799E-2</v>
      </c>
      <c r="QG64" s="242">
        <f t="shared" ca="1" si="386"/>
        <v>7.3468427669438799E-2</v>
      </c>
      <c r="QH64" s="241">
        <f t="shared" ca="1" si="805"/>
        <v>1</v>
      </c>
      <c r="QI64" s="220">
        <f t="shared" ca="1" si="731"/>
        <v>0.74703900613254992</v>
      </c>
      <c r="QJ64" s="220">
        <f t="shared" ca="1" si="732"/>
        <v>0</v>
      </c>
      <c r="QK64" s="235">
        <f t="shared" ca="1" si="390"/>
        <v>6.9575949698732195E-2</v>
      </c>
      <c r="QL64" s="235">
        <f t="shared" ca="1" si="391"/>
        <v>6.9575949698732195E-2</v>
      </c>
      <c r="QM64" s="242">
        <f t="shared" ca="1" si="392"/>
        <v>6.9575949698732195E-2</v>
      </c>
      <c r="QN64" s="241">
        <f t="shared" ca="1" si="805"/>
        <v>1</v>
      </c>
      <c r="QO64" s="220">
        <f t="shared" ca="1" si="733"/>
        <v>0.73100381386591473</v>
      </c>
      <c r="QP64" s="220">
        <f t="shared" ca="1" si="734"/>
        <v>0</v>
      </c>
      <c r="QQ64" s="235">
        <f t="shared" ca="1" si="395"/>
        <v>6.5780195109612458E-2</v>
      </c>
      <c r="QR64" s="235">
        <f t="shared" ca="1" si="396"/>
        <v>6.5780195109612458E-2</v>
      </c>
      <c r="QS64" s="242">
        <f t="shared" ca="1" si="397"/>
        <v>6.5780195109612458E-2</v>
      </c>
      <c r="QT64" s="241">
        <f t="shared" ca="1" si="805"/>
        <v>1</v>
      </c>
      <c r="QU64" s="220">
        <f t="shared" ca="1" si="735"/>
        <v>0.71393414380833176</v>
      </c>
      <c r="QV64" s="220">
        <f t="shared" ca="1" si="736"/>
        <v>0</v>
      </c>
      <c r="QW64" s="235">
        <f t="shared" ca="1" si="400"/>
        <v>6.2071653887543876E-2</v>
      </c>
      <c r="QX64" s="235">
        <f t="shared" ca="1" si="401"/>
        <v>6.2071653887543876E-2</v>
      </c>
      <c r="QY64" s="242">
        <f t="shared" ca="1" si="402"/>
        <v>6.2071653887543876E-2</v>
      </c>
      <c r="QZ64" s="241">
        <f t="shared" ca="1" si="805"/>
        <v>1</v>
      </c>
      <c r="RA64" s="220">
        <f t="shared" ca="1" si="737"/>
        <v>0.69574167395580788</v>
      </c>
      <c r="RB64" s="220">
        <f t="shared" ca="1" si="738"/>
        <v>0</v>
      </c>
      <c r="RC64" s="235">
        <f t="shared" ca="1" si="405"/>
        <v>5.8444390341238162E-2</v>
      </c>
      <c r="RD64" s="235">
        <f t="shared" ca="1" si="406"/>
        <v>5.8444390341238162E-2</v>
      </c>
      <c r="RE64" s="242">
        <f t="shared" ca="1" si="407"/>
        <v>5.8444390341238162E-2</v>
      </c>
      <c r="RF64" s="241">
        <f t="shared" ca="1" si="805"/>
        <v>1</v>
      </c>
      <c r="RG64" s="220">
        <f t="shared" ca="1" si="739"/>
        <v>0.67640422986988014</v>
      </c>
      <c r="RH64" s="220">
        <f t="shared" ca="1" si="740"/>
        <v>0</v>
      </c>
      <c r="RI64" s="235">
        <f t="shared" ca="1" si="410"/>
        <v>5.4898538121829751E-2</v>
      </c>
      <c r="RJ64" s="235">
        <f t="shared" ca="1" si="411"/>
        <v>5.4898538121829751E-2</v>
      </c>
      <c r="RK64" s="242">
        <f t="shared" ca="1" si="412"/>
        <v>5.4898538121829751E-2</v>
      </c>
      <c r="RL64" s="241">
        <f t="shared" ca="1" si="805"/>
        <v>1</v>
      </c>
      <c r="RM64" s="220">
        <f t="shared" ca="1" si="741"/>
        <v>0.65592135698096043</v>
      </c>
      <c r="RN64" s="220">
        <f t="shared" ca="1" si="742"/>
        <v>0</v>
      </c>
      <c r="RO64" s="235">
        <f t="shared" ca="1" si="415"/>
        <v>5.1435845981086484E-2</v>
      </c>
      <c r="RP64" s="235">
        <f t="shared" ca="1" si="416"/>
        <v>5.1435845981086484E-2</v>
      </c>
      <c r="RQ64" s="242">
        <f t="shared" ca="1" si="417"/>
        <v>5.1435845981086484E-2</v>
      </c>
      <c r="RR64" s="241">
        <f t="shared" ca="1" si="805"/>
        <v>1</v>
      </c>
      <c r="RS64" s="220">
        <f t="shared" ca="1" si="743"/>
        <v>0.63426152193073515</v>
      </c>
      <c r="RT64" s="220">
        <f t="shared" ca="1" si="744"/>
        <v>0</v>
      </c>
      <c r="RU64" s="235">
        <f t="shared" ca="1" si="420"/>
        <v>4.8055392729564286E-2</v>
      </c>
      <c r="RV64" s="235">
        <f t="shared" ca="1" si="421"/>
        <v>4.8055392729564286E-2</v>
      </c>
      <c r="RW64" s="242">
        <f t="shared" ca="1" si="422"/>
        <v>4.8055392729564286E-2</v>
      </c>
      <c r="RX64" s="241">
        <f t="shared" ca="1" si="805"/>
        <v>1</v>
      </c>
      <c r="RY64" s="220">
        <f t="shared" ca="1" si="745"/>
        <v>0.61130062057532053</v>
      </c>
      <c r="RZ64" s="220">
        <f t="shared" ca="1" si="746"/>
        <v>0</v>
      </c>
      <c r="SA64" s="235">
        <f t="shared" ca="1" si="425"/>
        <v>4.4749506722088245E-2</v>
      </c>
      <c r="SB64" s="235">
        <f t="shared" ca="1" si="426"/>
        <v>4.4749506722088245E-2</v>
      </c>
      <c r="SC64" s="242">
        <f t="shared" ca="1" si="427"/>
        <v>4.4749506722088245E-2</v>
      </c>
      <c r="SD64" s="241">
        <f t="shared" ca="1" si="799"/>
        <v>1</v>
      </c>
      <c r="SE64" s="220">
        <f t="shared" ca="1" si="747"/>
        <v>0.58693540044042947</v>
      </c>
      <c r="SF64" s="220">
        <f t="shared" ca="1" si="748"/>
        <v>0</v>
      </c>
      <c r="SG64" s="235">
        <f t="shared" ca="1" si="430"/>
        <v>4.1512928389525854E-2</v>
      </c>
      <c r="SH64" s="235">
        <f t="shared" ca="1" si="431"/>
        <v>4.1512928389525854E-2</v>
      </c>
      <c r="SI64" s="242">
        <f t="shared" ca="1" si="432"/>
        <v>4.1512928389525854E-2</v>
      </c>
      <c r="SJ64" s="241">
        <f t="shared" ca="1" si="799"/>
        <v>1</v>
      </c>
      <c r="SK64" s="220">
        <f t="shared" ca="1" si="749"/>
        <v>0.56117421877969853</v>
      </c>
      <c r="SL64" s="220">
        <f t="shared" ca="1" si="750"/>
        <v>0</v>
      </c>
      <c r="SM64" s="235">
        <f t="shared" ca="1" si="435"/>
        <v>3.8348680627614658E-2</v>
      </c>
      <c r="SN64" s="235">
        <f t="shared" ca="1" si="436"/>
        <v>3.8348680627614658E-2</v>
      </c>
      <c r="SO64" s="242">
        <f t="shared" ca="1" si="437"/>
        <v>3.8348680627614658E-2</v>
      </c>
      <c r="SP64" s="241">
        <f t="shared" ca="1" si="808"/>
        <v>1</v>
      </c>
      <c r="SQ64" s="220">
        <f t="shared" ca="1" si="751"/>
        <v>0.5340633310962325</v>
      </c>
      <c r="SR64" s="220">
        <f t="shared" ca="1" si="752"/>
        <v>0</v>
      </c>
      <c r="SS64" s="235">
        <f t="shared" ca="1" si="440"/>
        <v>3.5261852674216394E-2</v>
      </c>
      <c r="ST64" s="235">
        <f t="shared" ca="1" si="441"/>
        <v>3.5261852674216394E-2</v>
      </c>
      <c r="SU64" s="242">
        <f t="shared" ca="1" si="442"/>
        <v>3.5261852674216394E-2</v>
      </c>
      <c r="SV64" s="241">
        <f t="shared" ca="1" si="808"/>
        <v>1</v>
      </c>
      <c r="SW64" s="220">
        <f t="shared" ca="1" si="753"/>
        <v>0.50563620810864218</v>
      </c>
      <c r="SX64" s="220">
        <f t="shared" ca="1" si="754"/>
        <v>0</v>
      </c>
      <c r="SY64" s="235">
        <f t="shared" ca="1" si="446"/>
        <v>3.2255975632920972E-2</v>
      </c>
      <c r="SZ64" s="235">
        <f t="shared" ca="1" si="447"/>
        <v>3.2255975632920972E-2</v>
      </c>
      <c r="TA64" s="242">
        <f t="shared" ca="1" si="448"/>
        <v>3.2255975632920972E-2</v>
      </c>
      <c r="TB64" s="241">
        <f t="shared" ca="1" si="808"/>
        <v>1</v>
      </c>
      <c r="TC64" s="220">
        <f t="shared" ca="1" si="755"/>
        <v>0.47585575235966748</v>
      </c>
      <c r="TD64" s="220">
        <f t="shared" ca="1" si="756"/>
        <v>0</v>
      </c>
      <c r="TE64" s="235">
        <f t="shared" ca="1" si="451"/>
        <v>2.9329657426153458E-2</v>
      </c>
      <c r="TF64" s="235">
        <f t="shared" ca="1" si="452"/>
        <v>2.9329657426153458E-2</v>
      </c>
      <c r="TG64" s="242">
        <f t="shared" ca="1" si="453"/>
        <v>2.9329657426153458E-2</v>
      </c>
      <c r="TH64" s="241">
        <f t="shared" ca="1" si="808"/>
        <v>1</v>
      </c>
      <c r="TI64" s="220">
        <f t="shared" ca="1" si="757"/>
        <v>0.4447514411066778</v>
      </c>
      <c r="TJ64" s="220">
        <f t="shared" ca="1" si="758"/>
        <v>0</v>
      </c>
      <c r="TK64" s="235">
        <f t="shared" ca="1" si="456"/>
        <v>2.6485530790814431E-2</v>
      </c>
      <c r="TL64" s="235">
        <f t="shared" ca="1" si="457"/>
        <v>2.6485530790814431E-2</v>
      </c>
      <c r="TM64" s="242">
        <f t="shared" ca="1" si="458"/>
        <v>2.6485530790814431E-2</v>
      </c>
      <c r="TN64" s="241">
        <f t="shared" ca="1" si="808"/>
        <v>1</v>
      </c>
      <c r="TO64" s="220">
        <f t="shared" ca="1" si="759"/>
        <v>0.41251096438941365</v>
      </c>
      <c r="TP64" s="220">
        <f t="shared" ca="1" si="760"/>
        <v>0</v>
      </c>
      <c r="TQ64" s="235">
        <f t="shared" ca="1" si="461"/>
        <v>2.3734848481408222E-2</v>
      </c>
      <c r="TR64" s="235">
        <f t="shared" ca="1" si="462"/>
        <v>2.3734848481408222E-2</v>
      </c>
      <c r="TS64" s="242">
        <f t="shared" ca="1" si="463"/>
        <v>2.3734848481408222E-2</v>
      </c>
      <c r="TT64" s="241">
        <f t="shared" ca="1" si="808"/>
        <v>1</v>
      </c>
      <c r="TU64" s="220">
        <f t="shared" ca="1" si="761"/>
        <v>0.37939128408051637</v>
      </c>
      <c r="TV64" s="220">
        <f t="shared" ca="1" si="762"/>
        <v>0</v>
      </c>
      <c r="TW64" s="235">
        <f t="shared" ca="1" si="466"/>
        <v>2.1091038615007652E-2</v>
      </c>
      <c r="TX64" s="235">
        <f t="shared" ca="1" si="467"/>
        <v>2.1091038615007652E-2</v>
      </c>
      <c r="TY64" s="242">
        <f t="shared" ca="1" si="468"/>
        <v>2.1091038615007652E-2</v>
      </c>
      <c r="TZ64" s="241">
        <f t="shared" ca="1" si="808"/>
        <v>1</v>
      </c>
      <c r="UA64" s="220">
        <f t="shared" ca="1" si="763"/>
        <v>0.34565732866521315</v>
      </c>
      <c r="UB64" s="220">
        <f t="shared" ca="1" si="764"/>
        <v>0</v>
      </c>
      <c r="UC64" s="235">
        <f t="shared" ca="1" si="471"/>
        <v>1.8565901280691431E-2</v>
      </c>
      <c r="UD64" s="235">
        <f t="shared" ca="1" si="472"/>
        <v>1.8565901280691431E-2</v>
      </c>
      <c r="UE64" s="242">
        <f t="shared" ca="1" si="473"/>
        <v>1.8565901280691431E-2</v>
      </c>
      <c r="UF64" s="241">
        <f t="shared" ca="1" si="808"/>
        <v>1</v>
      </c>
      <c r="UG64" s="220">
        <f t="shared" ca="1" si="765"/>
        <v>0.31158381183471112</v>
      </c>
      <c r="UH64" s="220">
        <f t="shared" ca="1" si="766"/>
        <v>0</v>
      </c>
      <c r="UI64" s="235">
        <f t="shared" ca="1" si="476"/>
        <v>1.6169805793281151E-2</v>
      </c>
      <c r="UJ64" s="235">
        <f t="shared" ca="1" si="477"/>
        <v>1.6169805793281151E-2</v>
      </c>
      <c r="UK64" s="242">
        <f t="shared" ca="1" si="478"/>
        <v>1.6169805793281151E-2</v>
      </c>
      <c r="UL64" s="241">
        <f t="shared" ca="1" si="808"/>
        <v>1</v>
      </c>
      <c r="UM64" s="220">
        <f t="shared" ca="1" si="767"/>
        <v>0.27748470263514402</v>
      </c>
      <c r="UN64" s="220">
        <f t="shared" ca="1" si="768"/>
        <v>0</v>
      </c>
      <c r="UO64" s="235">
        <f t="shared" ca="1" si="481"/>
        <v>1.3913250808575896E-2</v>
      </c>
      <c r="UP64" s="235">
        <f t="shared" ca="1" si="482"/>
        <v>1.3913250808575896E-2</v>
      </c>
      <c r="UQ64" s="242">
        <f t="shared" ca="1" si="483"/>
        <v>1.3913250808575896E-2</v>
      </c>
      <c r="UR64" s="241">
        <f t="shared" ca="1" si="808"/>
        <v>1</v>
      </c>
      <c r="US64" s="220">
        <f t="shared" ca="1" si="769"/>
        <v>0.24373729058536042</v>
      </c>
      <c r="UT64" s="220">
        <f t="shared" ca="1" si="770"/>
        <v>0</v>
      </c>
      <c r="UU64" s="235">
        <f t="shared" ca="1" si="486"/>
        <v>1.1807860056509861E-2</v>
      </c>
      <c r="UV64" s="235">
        <f t="shared" ca="1" si="487"/>
        <v>1.1807860056509861E-2</v>
      </c>
      <c r="UW64" s="242">
        <f t="shared" ca="1" si="488"/>
        <v>1.1807860056509861E-2</v>
      </c>
      <c r="UX64" s="241">
        <f t="shared" ca="1" si="808"/>
        <v>1</v>
      </c>
      <c r="UY64" s="220">
        <f t="shared" ca="1" si="771"/>
        <v>0.21078985859319374</v>
      </c>
      <c r="UZ64" s="220">
        <f t="shared" ca="1" si="772"/>
        <v>0</v>
      </c>
      <c r="VA64" s="235">
        <f t="shared" ca="1" si="491"/>
        <v>9.866396874889936E-3</v>
      </c>
      <c r="VB64" s="235">
        <f t="shared" ca="1" si="492"/>
        <v>9.866396874889936E-3</v>
      </c>
      <c r="VC64" s="242">
        <f t="shared" ca="1" si="493"/>
        <v>9.866396874889936E-3</v>
      </c>
      <c r="VD64" s="241">
        <f t="shared" ca="1" si="806"/>
        <v>1</v>
      </c>
      <c r="VE64" s="220">
        <f t="shared" ca="1" si="773"/>
        <v>0.17914840370962801</v>
      </c>
      <c r="VF64" s="220">
        <f t="shared" ca="1" si="774"/>
        <v>0</v>
      </c>
      <c r="VG64" s="235">
        <f t="shared" ca="1" si="496"/>
        <v>8.1017989433788233E-3</v>
      </c>
      <c r="VH64" s="235">
        <f t="shared" ca="1" si="497"/>
        <v>8.1017989433788233E-3</v>
      </c>
      <c r="VI64" s="242">
        <f t="shared" ca="1" si="498"/>
        <v>8.1017989433788233E-3</v>
      </c>
      <c r="VJ64" s="241">
        <f t="shared" ca="1" si="806"/>
        <v>1</v>
      </c>
      <c r="VK64" s="220">
        <f t="shared" ca="1" si="775"/>
        <v>0.14933864677755704</v>
      </c>
      <c r="VL64" s="220">
        <f t="shared" ca="1" si="776"/>
        <v>0</v>
      </c>
      <c r="VM64" s="235">
        <f t="shared" ca="1" si="502"/>
        <v>6.5252984585482295E-3</v>
      </c>
      <c r="VN64" s="235">
        <f t="shared" ca="1" si="503"/>
        <v>6.5252984585482295E-3</v>
      </c>
      <c r="VO64" s="242">
        <f t="shared" ca="1" si="504"/>
        <v>6.5252984585482295E-3</v>
      </c>
      <c r="VP64" s="241">
        <f t="shared" ca="1" si="567"/>
        <v>1</v>
      </c>
      <c r="VQ64" s="220">
        <f t="shared" ca="1" si="777"/>
        <v>0.12186078378642688</v>
      </c>
      <c r="VR64" s="220">
        <f t="shared" ca="1" si="778"/>
        <v>0</v>
      </c>
      <c r="VS64" s="235">
        <f t="shared" ca="1" si="507"/>
        <v>5.1446020464451514E-3</v>
      </c>
      <c r="VT64" s="235">
        <f t="shared" ca="1" si="508"/>
        <v>5.1446020464451514E-3</v>
      </c>
      <c r="VU64" s="242">
        <f t="shared" ca="1" si="509"/>
        <v>5.1446020464451514E-3</v>
      </c>
      <c r="VV64" s="241">
        <f t="shared" ca="1" si="578"/>
        <v>1</v>
      </c>
      <c r="VW64" s="220">
        <f t="shared" ca="1" si="779"/>
        <v>9.714071449143126E-2</v>
      </c>
      <c r="VX64" s="220">
        <f t="shared" ca="1" si="780"/>
        <v>0</v>
      </c>
      <c r="VY64" s="235">
        <f t="shared" ca="1" si="512"/>
        <v>3.9623128486120972E-3</v>
      </c>
      <c r="VZ64" s="235">
        <f t="shared" ca="1" si="513"/>
        <v>3.9623128486120972E-3</v>
      </c>
      <c r="WA64" s="242">
        <f t="shared" ca="1" si="514"/>
        <v>3.9623128486120972E-3</v>
      </c>
      <c r="WB64" s="241">
        <f t="shared" ca="1" si="578"/>
        <v>1</v>
      </c>
      <c r="WC64" s="220">
        <f t="shared" ca="1" si="781"/>
        <v>7.5486980683431834E-2</v>
      </c>
      <c r="WD64" s="220">
        <f t="shared" ca="1" si="782"/>
        <v>0</v>
      </c>
      <c r="WE64" s="235">
        <f t="shared" ca="1" si="517"/>
        <v>2.9749465982754843E-3</v>
      </c>
      <c r="WF64" s="235">
        <f t="shared" ca="1" si="518"/>
        <v>2.9749465982754843E-3</v>
      </c>
      <c r="WG64" s="242">
        <f t="shared" ca="1" si="519"/>
        <v>2.9749465982754843E-3</v>
      </c>
      <c r="WH64" s="241">
        <f t="shared" ca="1" si="578"/>
        <v>1</v>
      </c>
      <c r="WI64" s="220">
        <f t="shared" ca="1" si="783"/>
        <v>5.7061061620490225E-2</v>
      </c>
      <c r="WJ64" s="220">
        <f t="shared" ca="1" si="784"/>
        <v>0</v>
      </c>
      <c r="WK64" s="235">
        <f t="shared" ca="1" si="522"/>
        <v>2.1727342833971291E-3</v>
      </c>
      <c r="WL64" s="235">
        <f t="shared" ca="1" si="523"/>
        <v>2.1727342833971291E-3</v>
      </c>
      <c r="WM64" s="242">
        <f t="shared" ca="1" si="524"/>
        <v>2.1727342833971291E-3</v>
      </c>
      <c r="WN64" s="241">
        <f t="shared" ca="1" si="578"/>
        <v>1</v>
      </c>
      <c r="WO64" s="220">
        <f t="shared" ca="1" si="785"/>
        <v>4.1934687734452851E-2</v>
      </c>
      <c r="WP64" s="220">
        <f t="shared" ca="1" si="786"/>
        <v>0</v>
      </c>
      <c r="WQ64" s="235">
        <f t="shared" ca="1" si="527"/>
        <v>1.5427651975624165E-3</v>
      </c>
      <c r="WR64" s="235">
        <f t="shared" ca="1" si="528"/>
        <v>1.5427651975624165E-3</v>
      </c>
      <c r="WS64" s="242">
        <f t="shared" ca="1" si="529"/>
        <v>1.5427651975624165E-3</v>
      </c>
      <c r="WT64" s="241">
        <f t="shared" ca="1" si="578"/>
        <v>1</v>
      </c>
      <c r="WU64" s="220">
        <f t="shared" ca="1" si="787"/>
        <v>2.9961998908764689E-2</v>
      </c>
      <c r="WV64" s="220">
        <f t="shared" ca="1" si="788"/>
        <v>0</v>
      </c>
      <c r="WW64" s="235">
        <f t="shared" ca="1" si="532"/>
        <v>1.0650177696007403E-3</v>
      </c>
      <c r="WX64" s="235">
        <f t="shared" ca="1" si="533"/>
        <v>1.0650177696007403E-3</v>
      </c>
      <c r="WY64" s="242">
        <f t="shared" ca="1" si="534"/>
        <v>1.0650177696007403E-3</v>
      </c>
      <c r="WZ64" s="241">
        <f t="shared" ca="1" si="578"/>
        <v>1</v>
      </c>
      <c r="XA64" s="220">
        <f t="shared" ca="1" si="789"/>
        <v>2.0825806429510707E-2</v>
      </c>
      <c r="XB64" s="220">
        <f t="shared" ca="1" si="790"/>
        <v>0</v>
      </c>
      <c r="XC64" s="235">
        <f t="shared" ca="1" si="537"/>
        <v>7.1523300597822715E-4</v>
      </c>
      <c r="XD64" s="235">
        <f t="shared" ca="1" si="538"/>
        <v>7.1523300597822715E-4</v>
      </c>
      <c r="XE64" s="242">
        <f t="shared" ca="1" si="539"/>
        <v>7.1523300597822715E-4</v>
      </c>
      <c r="XF64" s="241">
        <f t="shared" ca="1" si="578"/>
        <v>1</v>
      </c>
      <c r="XG64" s="220">
        <f t="shared" ca="1" si="791"/>
        <v>1.410075784309954E-2</v>
      </c>
      <c r="XH64" s="220">
        <f t="shared" ca="1" si="792"/>
        <v>0</v>
      </c>
      <c r="XI64" s="235">
        <f t="shared" ca="1" si="542"/>
        <v>4.6789437576883483E-4</v>
      </c>
      <c r="XJ64" s="235">
        <f t="shared" ca="1" si="543"/>
        <v>4.6789437576883483E-4</v>
      </c>
      <c r="XK64" s="242">
        <f t="shared" ca="1" si="544"/>
        <v>4.6789437576883483E-4</v>
      </c>
    </row>
    <row r="65" spans="2:635" x14ac:dyDescent="0.25">
      <c r="B65" s="65">
        <f t="shared" ca="1" si="14"/>
        <v>2080</v>
      </c>
      <c r="C65" s="65" t="s">
        <v>741</v>
      </c>
      <c r="D65" s="77">
        <f t="shared" si="580"/>
        <v>0</v>
      </c>
      <c r="E65" s="77">
        <f t="shared" si="581"/>
        <v>0</v>
      </c>
      <c r="F65" s="77" t="b">
        <f t="shared" si="793"/>
        <v>0</v>
      </c>
      <c r="G65" s="77" t="b">
        <f t="shared" si="794"/>
        <v>0</v>
      </c>
      <c r="H65" s="15" t="e">
        <f t="shared" ca="1" si="582"/>
        <v>#REF!</v>
      </c>
      <c r="L65" s="326">
        <f t="shared" ca="1" si="583"/>
        <v>3.5000000000000003E-2</v>
      </c>
      <c r="M65" s="327">
        <f t="shared" ca="1" si="584"/>
        <v>3.5000000000000003E-2</v>
      </c>
      <c r="N65" s="322">
        <f t="shared" ca="1" si="579"/>
        <v>-57</v>
      </c>
      <c r="O65" s="322">
        <f t="shared" ca="1" si="585"/>
        <v>0</v>
      </c>
      <c r="P65" s="328">
        <f t="shared" ca="1" si="545"/>
        <v>26.87829936156087</v>
      </c>
      <c r="Q65" s="328">
        <f t="shared" ca="1" si="546"/>
        <v>26.87829936156087</v>
      </c>
      <c r="R65" s="328">
        <f t="shared" ca="1" si="547"/>
        <v>26.87829936156087</v>
      </c>
      <c r="S65" s="329">
        <f t="shared" ca="1" si="586"/>
        <v>3.8642415640549425E-2</v>
      </c>
      <c r="T65" s="329">
        <f t="shared" ca="1" si="587"/>
        <v>3.8642415640549425E-2</v>
      </c>
      <c r="U65" s="329">
        <f t="shared" ca="1" si="588"/>
        <v>3.8642415640549425E-2</v>
      </c>
      <c r="V65" s="320" t="e">
        <f t="shared" ca="1" si="589"/>
        <v>#REF!</v>
      </c>
      <c r="W65" s="320" t="e">
        <f t="shared" ca="1" si="560"/>
        <v>#REF!</v>
      </c>
      <c r="X65" s="320" t="e">
        <f t="shared" ca="1" si="590"/>
        <v>#REF!</v>
      </c>
      <c r="Y65" s="320" t="e">
        <f ca="1">INDEX(SC_ZA_HECMLumpSum,ZAIDX)</f>
        <v>#REF!</v>
      </c>
      <c r="Z65" s="320" t="e">
        <f t="shared" ca="1" si="591"/>
        <v>#REF!</v>
      </c>
      <c r="AA65" s="320" t="e">
        <f t="shared" ca="1" si="557"/>
        <v>#REF!</v>
      </c>
      <c r="AB65" s="320" t="e">
        <f t="shared" ca="1" si="558"/>
        <v>#REF!</v>
      </c>
      <c r="AC65" s="330" t="e">
        <f t="shared" ca="1" si="559"/>
        <v>#REF!</v>
      </c>
      <c r="AD65" s="236" t="e">
        <f t="shared" ca="1" si="548"/>
        <v>#REF!</v>
      </c>
      <c r="AE65" s="320" t="e">
        <f t="shared" ca="1" si="561"/>
        <v>#REF!</v>
      </c>
      <c r="AF65" s="320" t="e">
        <f t="shared" ca="1" si="592"/>
        <v>#REF!</v>
      </c>
      <c r="AG65" s="320" t="e">
        <f t="shared" ca="1" si="549"/>
        <v>#REF!</v>
      </c>
      <c r="AH65" s="284" t="e">
        <f t="shared" ca="1" si="550"/>
        <v>#REF!</v>
      </c>
      <c r="AI65" s="318" t="e">
        <f t="shared" ca="1" si="551"/>
        <v>#REF!</v>
      </c>
      <c r="AJ65" s="331">
        <f t="shared" ca="1" si="807"/>
        <v>1</v>
      </c>
      <c r="AK65" s="220">
        <f t="shared" ca="1" si="593"/>
        <v>1</v>
      </c>
      <c r="AL65" s="220">
        <f t="shared" ca="1" si="594"/>
        <v>0</v>
      </c>
      <c r="AM65" s="235">
        <f t="shared" ca="1" si="554"/>
        <v>1</v>
      </c>
      <c r="AN65" s="235">
        <f t="shared" ca="1" si="555"/>
        <v>1</v>
      </c>
      <c r="AO65" s="242">
        <f t="shared" ca="1" si="556"/>
        <v>1</v>
      </c>
      <c r="AP65" s="241">
        <f t="shared" ca="1" si="807"/>
        <v>1</v>
      </c>
      <c r="AQ65" s="220">
        <f t="shared" ca="1" si="595"/>
        <v>0.99361699999999997</v>
      </c>
      <c r="AR65" s="220">
        <f t="shared" ca="1" si="596"/>
        <v>0</v>
      </c>
      <c r="AS65" s="235">
        <f t="shared" ca="1" si="43"/>
        <v>0.96001642512077301</v>
      </c>
      <c r="AT65" s="235">
        <f t="shared" ca="1" si="44"/>
        <v>0.96001642512077301</v>
      </c>
      <c r="AU65" s="242">
        <f t="shared" ca="1" si="45"/>
        <v>0.96001642512077301</v>
      </c>
      <c r="AV65" s="241">
        <f t="shared" ca="1" si="807"/>
        <v>1</v>
      </c>
      <c r="AW65" s="220">
        <f t="shared" ca="1" si="597"/>
        <v>0.99316689149899995</v>
      </c>
      <c r="AX65" s="220">
        <f t="shared" ca="1" si="598"/>
        <v>0</v>
      </c>
      <c r="AY65" s="235">
        <f t="shared" ca="1" si="48"/>
        <v>0.92713192046395487</v>
      </c>
      <c r="AZ65" s="235">
        <f t="shared" ca="1" si="49"/>
        <v>0.92713192046395487</v>
      </c>
      <c r="BA65" s="242">
        <f t="shared" ca="1" si="50"/>
        <v>0.92713192046395487</v>
      </c>
      <c r="BB65" s="241">
        <f t="shared" ca="1" si="807"/>
        <v>1</v>
      </c>
      <c r="BC65" s="220">
        <f t="shared" ca="1" si="599"/>
        <v>0.99288681843559723</v>
      </c>
      <c r="BD65" s="220">
        <f t="shared" ca="1" si="600"/>
        <v>0</v>
      </c>
      <c r="BE65" s="235">
        <f t="shared" ca="1" si="54"/>
        <v>0.89552702344191704</v>
      </c>
      <c r="BF65" s="235">
        <f t="shared" ca="1" si="55"/>
        <v>0.89552702344191704</v>
      </c>
      <c r="BG65" s="242">
        <f t="shared" ca="1" si="56"/>
        <v>0.89552702344191704</v>
      </c>
      <c r="BH65" s="241">
        <f t="shared" ca="1" si="807"/>
        <v>1</v>
      </c>
      <c r="BI65" s="220">
        <f t="shared" ca="1" si="601"/>
        <v>0.99265845446735712</v>
      </c>
      <c r="BJ65" s="220">
        <f t="shared" ca="1" si="602"/>
        <v>0</v>
      </c>
      <c r="BK65" s="235">
        <f t="shared" ca="1" si="59"/>
        <v>0.86504449490485558</v>
      </c>
      <c r="BL65" s="235">
        <f t="shared" ca="1" si="60"/>
        <v>0.86504449490485558</v>
      </c>
      <c r="BM65" s="242">
        <f t="shared" ca="1" si="61"/>
        <v>0.86504449490485558</v>
      </c>
      <c r="BN65" s="241">
        <f t="shared" ca="1" si="807"/>
        <v>1</v>
      </c>
      <c r="BO65" s="220">
        <f t="shared" ca="1" si="603"/>
        <v>0.99249069518855215</v>
      </c>
      <c r="BP65" s="220">
        <f t="shared" ca="1" si="604"/>
        <v>0</v>
      </c>
      <c r="BQ65" s="235">
        <f t="shared" ca="1" si="64"/>
        <v>0.83565053370552345</v>
      </c>
      <c r="BR65" s="235">
        <f t="shared" ca="1" si="65"/>
        <v>0.83565053370552345</v>
      </c>
      <c r="BS65" s="242">
        <f t="shared" ca="1" si="66"/>
        <v>0.83565053370552345</v>
      </c>
      <c r="BT65" s="241">
        <f t="shared" ca="1" si="807"/>
        <v>1</v>
      </c>
      <c r="BU65" s="220">
        <f t="shared" ca="1" si="605"/>
        <v>0.99233685913079794</v>
      </c>
      <c r="BV65" s="220">
        <f t="shared" ca="1" si="606"/>
        <v>0</v>
      </c>
      <c r="BW65" s="235">
        <f t="shared" ca="1" si="69"/>
        <v>0.80726667427323584</v>
      </c>
      <c r="BX65" s="235">
        <f t="shared" ca="1" si="70"/>
        <v>0.80726667427323584</v>
      </c>
      <c r="BY65" s="242">
        <f t="shared" ca="1" si="71"/>
        <v>0.80726667427323584</v>
      </c>
      <c r="BZ65" s="241">
        <f t="shared" ca="1" si="807"/>
        <v>1</v>
      </c>
      <c r="CA65" s="220">
        <f t="shared" ca="1" si="607"/>
        <v>0.992192970286224</v>
      </c>
      <c r="CB65" s="220">
        <f t="shared" ca="1" si="608"/>
        <v>0</v>
      </c>
      <c r="CC65" s="235">
        <f t="shared" ca="1" si="74"/>
        <v>0.7798547058990013</v>
      </c>
      <c r="CD65" s="235">
        <f t="shared" ca="1" si="75"/>
        <v>0.7798547058990013</v>
      </c>
      <c r="CE65" s="242">
        <f t="shared" ca="1" si="76"/>
        <v>0.7798547058990013</v>
      </c>
      <c r="CF65" s="241">
        <f t="shared" ca="1" si="807"/>
        <v>1</v>
      </c>
      <c r="CG65" s="220">
        <f t="shared" ca="1" si="609"/>
        <v>0.9920590242352354</v>
      </c>
      <c r="CH65" s="220">
        <f t="shared" ca="1" si="610"/>
        <v>0</v>
      </c>
      <c r="CI65" s="235">
        <f t="shared" ca="1" si="79"/>
        <v>0.75338108745285515</v>
      </c>
      <c r="CJ65" s="235">
        <f t="shared" ca="1" si="80"/>
        <v>0.75338108745285515</v>
      </c>
      <c r="CK65" s="242">
        <f t="shared" ca="1" si="81"/>
        <v>0.75338108745285515</v>
      </c>
      <c r="CL65" s="241">
        <f t="shared" ca="1" si="807"/>
        <v>1</v>
      </c>
      <c r="CM65" s="220">
        <f t="shared" ca="1" si="611"/>
        <v>0.99193997715232718</v>
      </c>
      <c r="CN65" s="220">
        <f t="shared" ca="1" si="612"/>
        <v>0</v>
      </c>
      <c r="CO65" s="235">
        <f t="shared" ca="1" si="84"/>
        <v>0.72781708378972065</v>
      </c>
      <c r="CP65" s="235">
        <f t="shared" ca="1" si="85"/>
        <v>0.72781708378972065</v>
      </c>
      <c r="CQ65" s="242">
        <f t="shared" ca="1" si="86"/>
        <v>0.72781708378972065</v>
      </c>
      <c r="CR65" s="241">
        <f t="shared" ca="1" si="807"/>
        <v>1</v>
      </c>
      <c r="CS65" s="220">
        <f t="shared" ca="1" si="613"/>
        <v>0.99183582345472621</v>
      </c>
      <c r="CT65" s="220">
        <f t="shared" ca="1" si="614"/>
        <v>0</v>
      </c>
      <c r="CU65" s="235">
        <f t="shared" ca="1" si="89"/>
        <v>0.70313107535837949</v>
      </c>
      <c r="CV65" s="235">
        <f t="shared" ca="1" si="90"/>
        <v>0.70313107535837949</v>
      </c>
      <c r="CW65" s="242">
        <f t="shared" ca="1" si="91"/>
        <v>0.70313107535837949</v>
      </c>
      <c r="CX65" s="241">
        <f t="shared" ca="1" si="800"/>
        <v>1</v>
      </c>
      <c r="CY65" s="220">
        <f t="shared" ca="1" si="615"/>
        <v>0.99174259088732142</v>
      </c>
      <c r="CZ65" s="220">
        <f t="shared" ca="1" si="616"/>
        <v>0</v>
      </c>
      <c r="DA65" s="235">
        <f t="shared" ca="1" si="94"/>
        <v>0.6792898367510104</v>
      </c>
      <c r="DB65" s="235">
        <f t="shared" ca="1" si="95"/>
        <v>0.6792898367510104</v>
      </c>
      <c r="DC65" s="242">
        <f t="shared" ca="1" si="96"/>
        <v>0.6792898367510104</v>
      </c>
      <c r="DD65" s="241">
        <f t="shared" ca="1" si="800"/>
        <v>1</v>
      </c>
      <c r="DE65" s="220">
        <f t="shared" ca="1" si="617"/>
        <v>0.99164440837082357</v>
      </c>
      <c r="DF65" s="220">
        <f t="shared" ca="1" si="618"/>
        <v>0</v>
      </c>
      <c r="DG65" s="235">
        <f t="shared" ca="1" si="99"/>
        <v>0.65625370730161559</v>
      </c>
      <c r="DH65" s="235">
        <f t="shared" ca="1" si="100"/>
        <v>0.65625370730161559</v>
      </c>
      <c r="DI65" s="242">
        <f t="shared" ca="1" si="101"/>
        <v>0.65625370730161559</v>
      </c>
      <c r="DJ65" s="241">
        <f t="shared" ca="1" si="51"/>
        <v>1</v>
      </c>
      <c r="DK65" s="220">
        <f t="shared" ca="1" si="619"/>
        <v>0.9915115280201019</v>
      </c>
      <c r="DL65" s="220">
        <f t="shared" ca="1" si="620"/>
        <v>0</v>
      </c>
      <c r="DM65" s="235">
        <f t="shared" ca="1" si="104"/>
        <v>0.63397658870032592</v>
      </c>
      <c r="DN65" s="235">
        <f t="shared" ca="1" si="105"/>
        <v>0.63397658870032592</v>
      </c>
      <c r="DO65" s="242">
        <f t="shared" ca="1" si="106"/>
        <v>0.63397658870032592</v>
      </c>
      <c r="DP65" s="241">
        <f t="shared" ca="1" si="801"/>
        <v>1</v>
      </c>
      <c r="DQ65" s="220">
        <f t="shared" ca="1" si="621"/>
        <v>0.99130628513380181</v>
      </c>
      <c r="DR65" s="220">
        <f t="shared" ca="1" si="622"/>
        <v>0</v>
      </c>
      <c r="DS65" s="235">
        <f t="shared" ca="1" si="110"/>
        <v>0.61241097154247814</v>
      </c>
      <c r="DT65" s="235">
        <f t="shared" ca="1" si="111"/>
        <v>0.61241097154247814</v>
      </c>
      <c r="DU65" s="242">
        <f t="shared" ca="1" si="112"/>
        <v>0.61241097154247814</v>
      </c>
      <c r="DV65" s="241">
        <f t="shared" ca="1" si="801"/>
        <v>1</v>
      </c>
      <c r="DW65" s="220">
        <f t="shared" ca="1" si="623"/>
        <v>0.9909999714916955</v>
      </c>
      <c r="DX65" s="220">
        <f t="shared" ca="1" si="624"/>
        <v>0</v>
      </c>
      <c r="DY65" s="235">
        <f t="shared" ca="1" si="115"/>
        <v>0.59151858604084218</v>
      </c>
      <c r="DZ65" s="235">
        <f t="shared" ca="1" si="116"/>
        <v>0.59151858604084218</v>
      </c>
      <c r="EA65" s="242">
        <f t="shared" ca="1" si="117"/>
        <v>0.59151858604084218</v>
      </c>
      <c r="EB65" s="241">
        <f t="shared" ca="1" si="801"/>
        <v>1</v>
      </c>
      <c r="EC65" s="220">
        <f t="shared" ca="1" si="625"/>
        <v>0.99058474250364048</v>
      </c>
      <c r="ED65" s="220">
        <f t="shared" ca="1" si="626"/>
        <v>0</v>
      </c>
      <c r="EE65" s="235">
        <f t="shared" ca="1" si="120"/>
        <v>0.57127607705632</v>
      </c>
      <c r="EF65" s="235">
        <f t="shared" ca="1" si="121"/>
        <v>0.57127607705632</v>
      </c>
      <c r="EG65" s="242">
        <f t="shared" ca="1" si="122"/>
        <v>0.57127607705632</v>
      </c>
      <c r="EH65" s="241">
        <f t="shared" ca="1" si="801"/>
        <v>1</v>
      </c>
      <c r="EI65" s="220">
        <f t="shared" ca="1" si="627"/>
        <v>0.99005973259011348</v>
      </c>
      <c r="EJ65" s="220">
        <f t="shared" ca="1" si="628"/>
        <v>0</v>
      </c>
      <c r="EK65" s="235">
        <f t="shared" ca="1" si="125"/>
        <v>0.55166502486519819</v>
      </c>
      <c r="EL65" s="235">
        <f t="shared" ca="1" si="126"/>
        <v>0.55166502486519819</v>
      </c>
      <c r="EM65" s="242">
        <f t="shared" ca="1" si="127"/>
        <v>0.55166502486519819</v>
      </c>
      <c r="EN65" s="241">
        <f t="shared" ca="1" si="801"/>
        <v>1</v>
      </c>
      <c r="EO65" s="220">
        <f t="shared" ca="1" si="629"/>
        <v>0.98941124346526699</v>
      </c>
      <c r="EP65" s="220">
        <f t="shared" ca="1" si="630"/>
        <v>0</v>
      </c>
      <c r="EQ65" s="235">
        <f t="shared" ca="1" si="130"/>
        <v>0.53266056451585653</v>
      </c>
      <c r="ER65" s="235">
        <f t="shared" ca="1" si="131"/>
        <v>0.53266056451585653</v>
      </c>
      <c r="ES65" s="242">
        <f t="shared" ca="1" si="132"/>
        <v>0.53266056451585653</v>
      </c>
      <c r="ET65" s="241">
        <f t="shared" ca="1" si="801"/>
        <v>1</v>
      </c>
      <c r="EU65" s="220">
        <f t="shared" ca="1" si="631"/>
        <v>0.98862861917168599</v>
      </c>
      <c r="EV65" s="220">
        <f t="shared" ca="1" si="632"/>
        <v>0</v>
      </c>
      <c r="EW65" s="235">
        <f t="shared" ca="1" si="135"/>
        <v>0.51424080194137645</v>
      </c>
      <c r="EX65" s="235">
        <f t="shared" ca="1" si="136"/>
        <v>0.51424080194137645</v>
      </c>
      <c r="EY65" s="242">
        <f t="shared" ca="1" si="137"/>
        <v>0.51424080194137645</v>
      </c>
      <c r="EZ65" s="241">
        <f t="shared" ca="1" si="801"/>
        <v>1</v>
      </c>
      <c r="FA65" s="220">
        <f t="shared" ca="1" si="633"/>
        <v>0.98770524004137961</v>
      </c>
      <c r="FB65" s="220">
        <f t="shared" ca="1" si="634"/>
        <v>0</v>
      </c>
      <c r="FC65" s="235">
        <f t="shared" ca="1" si="140"/>
        <v>0.49638695751919149</v>
      </c>
      <c r="FD65" s="235">
        <f t="shared" ca="1" si="141"/>
        <v>0.49638695751919149</v>
      </c>
      <c r="FE65" s="242">
        <f t="shared" ca="1" si="142"/>
        <v>0.49638695751919149</v>
      </c>
      <c r="FF65" s="241">
        <f t="shared" ca="1" si="801"/>
        <v>1</v>
      </c>
      <c r="FG65" s="220">
        <f t="shared" ca="1" si="635"/>
        <v>0.98663357985593469</v>
      </c>
      <c r="FH65" s="220">
        <f t="shared" ca="1" si="636"/>
        <v>0</v>
      </c>
      <c r="FI65" s="235">
        <f t="shared" ca="1" si="145"/>
        <v>0.4790805581355394</v>
      </c>
      <c r="FJ65" s="235">
        <f t="shared" ca="1" si="146"/>
        <v>0.4790805581355394</v>
      </c>
      <c r="FK65" s="242">
        <f t="shared" ca="1" si="147"/>
        <v>0.4790805581355394</v>
      </c>
      <c r="FL65" s="241">
        <f t="shared" ca="1" si="801"/>
        <v>1</v>
      </c>
      <c r="FM65" s="220">
        <f t="shared" ca="1" si="637"/>
        <v>0.98542199381987161</v>
      </c>
      <c r="FN65" s="220">
        <f t="shared" ca="1" si="638"/>
        <v>0</v>
      </c>
      <c r="FO65" s="235">
        <f t="shared" ca="1" si="150"/>
        <v>0.46231134996149653</v>
      </c>
      <c r="FP65" s="235">
        <f t="shared" ca="1" si="151"/>
        <v>0.46231134996149653</v>
      </c>
      <c r="FQ65" s="242">
        <f t="shared" ca="1" si="152"/>
        <v>0.46231134996149653</v>
      </c>
      <c r="FR65" s="241">
        <f t="shared" ca="1" si="801"/>
        <v>1</v>
      </c>
      <c r="FS65" s="220">
        <f t="shared" ca="1" si="639"/>
        <v>0.98410251377014679</v>
      </c>
      <c r="FT65" s="220">
        <f t="shared" ca="1" si="640"/>
        <v>0</v>
      </c>
      <c r="FU65" s="235">
        <f t="shared" ca="1" si="155"/>
        <v>0.44607953146270346</v>
      </c>
      <c r="FV65" s="235">
        <f t="shared" ca="1" si="156"/>
        <v>0.44607953146270346</v>
      </c>
      <c r="FW65" s="242">
        <f t="shared" ca="1" si="157"/>
        <v>0.44607953146270346</v>
      </c>
      <c r="FX65" s="241">
        <f t="shared" ca="1" si="801"/>
        <v>1</v>
      </c>
      <c r="FY65" s="220">
        <f t="shared" ca="1" si="641"/>
        <v>0.98272181794332725</v>
      </c>
      <c r="FZ65" s="220">
        <f t="shared" ca="1" si="642"/>
        <v>0</v>
      </c>
      <c r="GA65" s="235">
        <f t="shared" ca="1" si="160"/>
        <v>0.43039003080199167</v>
      </c>
      <c r="GB65" s="235">
        <f t="shared" ca="1" si="161"/>
        <v>0.43039003080199167</v>
      </c>
      <c r="GC65" s="242">
        <f t="shared" ca="1" si="162"/>
        <v>0.43039003080199167</v>
      </c>
      <c r="GD65" s="241">
        <f t="shared" ca="1" si="795"/>
        <v>1</v>
      </c>
      <c r="GE65" s="220">
        <f t="shared" ca="1" si="643"/>
        <v>0.98131357757821447</v>
      </c>
      <c r="GF65" s="220">
        <f t="shared" ca="1" si="644"/>
        <v>0</v>
      </c>
      <c r="GG65" s="235">
        <f t="shared" ca="1" si="166"/>
        <v>0.41523988588198307</v>
      </c>
      <c r="GH65" s="235">
        <f t="shared" ca="1" si="167"/>
        <v>0.41523988588198307</v>
      </c>
      <c r="GI65" s="242">
        <f t="shared" ca="1" si="168"/>
        <v>0.41523988588198307</v>
      </c>
      <c r="GJ65" s="241">
        <f t="shared" ca="1" si="795"/>
        <v>1</v>
      </c>
      <c r="GK65" s="220">
        <f t="shared" ca="1" si="645"/>
        <v>0.97988969157714845</v>
      </c>
      <c r="GL65" s="220">
        <f t="shared" ca="1" si="646"/>
        <v>0</v>
      </c>
      <c r="GM65" s="235">
        <f t="shared" ca="1" si="171"/>
        <v>0.40061581913774713</v>
      </c>
      <c r="GN65" s="235">
        <f t="shared" ca="1" si="172"/>
        <v>0.40061581913774713</v>
      </c>
      <c r="GO65" s="242">
        <f t="shared" ca="1" si="173"/>
        <v>0.40061581913774713</v>
      </c>
      <c r="GP65" s="241">
        <f t="shared" ca="1" si="802"/>
        <v>1</v>
      </c>
      <c r="GQ65" s="220">
        <f t="shared" ca="1" si="647"/>
        <v>0.9784443542820721</v>
      </c>
      <c r="GR65" s="220">
        <f t="shared" ca="1" si="648"/>
        <v>0</v>
      </c>
      <c r="GS65" s="235">
        <f t="shared" ca="1" si="176"/>
        <v>0.38649749836185404</v>
      </c>
      <c r="GT65" s="235">
        <f t="shared" ca="1" si="177"/>
        <v>0.38649749836185404</v>
      </c>
      <c r="GU65" s="242">
        <f t="shared" ca="1" si="178"/>
        <v>0.38649749836185404</v>
      </c>
      <c r="GV65" s="241">
        <f t="shared" ca="1" si="802"/>
        <v>1</v>
      </c>
      <c r="GW65" s="220">
        <f t="shared" ca="1" si="649"/>
        <v>0.97697473086194042</v>
      </c>
      <c r="GX65" s="220">
        <f t="shared" ca="1" si="650"/>
        <v>0</v>
      </c>
      <c r="GY65" s="235">
        <f t="shared" ca="1" si="181"/>
        <v>0.37286664649209134</v>
      </c>
      <c r="GZ65" s="235">
        <f t="shared" ca="1" si="182"/>
        <v>0.37286664649209134</v>
      </c>
      <c r="HA65" s="242">
        <f t="shared" ca="1" si="183"/>
        <v>0.37286664649209134</v>
      </c>
      <c r="HB65" s="241">
        <f t="shared" ca="1" si="802"/>
        <v>1</v>
      </c>
      <c r="HC65" s="220">
        <f t="shared" ca="1" si="651"/>
        <v>0.97547214372587476</v>
      </c>
      <c r="HD65" s="220">
        <f t="shared" ca="1" si="652"/>
        <v>0</v>
      </c>
      <c r="HE65" s="235">
        <f t="shared" ca="1" si="186"/>
        <v>0.35970355322684694</v>
      </c>
      <c r="HF65" s="235">
        <f t="shared" ca="1" si="187"/>
        <v>0.35970355322684694</v>
      </c>
      <c r="HG65" s="242">
        <f t="shared" ca="1" si="188"/>
        <v>0.35970355322684694</v>
      </c>
      <c r="HH65" s="241">
        <f t="shared" ca="1" si="802"/>
        <v>1</v>
      </c>
      <c r="HI65" s="220">
        <f t="shared" ca="1" si="653"/>
        <v>0.9739299222666441</v>
      </c>
      <c r="HJ65" s="220">
        <f t="shared" ca="1" si="654"/>
        <v>0</v>
      </c>
      <c r="HK65" s="235">
        <f t="shared" ca="1" si="191"/>
        <v>0.34699020474318382</v>
      </c>
      <c r="HL65" s="235">
        <f t="shared" ca="1" si="192"/>
        <v>0.34699020474318382</v>
      </c>
      <c r="HM65" s="242">
        <f t="shared" ca="1" si="193"/>
        <v>0.34699020474318382</v>
      </c>
      <c r="HN65" s="241">
        <f t="shared" ca="1" si="802"/>
        <v>1</v>
      </c>
      <c r="HO65" s="220">
        <f t="shared" ca="1" si="655"/>
        <v>0.97234631221303847</v>
      </c>
      <c r="HP65" s="220">
        <f t="shared" ca="1" si="656"/>
        <v>0</v>
      </c>
      <c r="HQ65" s="235">
        <f t="shared" ca="1" si="196"/>
        <v>0.33471110982634922</v>
      </c>
      <c r="HR65" s="235">
        <f t="shared" ca="1" si="197"/>
        <v>0.33471110982634922</v>
      </c>
      <c r="HS65" s="242">
        <f t="shared" ca="1" si="198"/>
        <v>0.33471110982634922</v>
      </c>
      <c r="HT65" s="241">
        <f t="shared" ca="1" si="802"/>
        <v>1</v>
      </c>
      <c r="HU65" s="220">
        <f t="shared" ca="1" si="657"/>
        <v>0.97072346621795491</v>
      </c>
      <c r="HV65" s="220">
        <f t="shared" ca="1" si="658"/>
        <v>0</v>
      </c>
      <c r="HW65" s="235">
        <f t="shared" ca="1" si="201"/>
        <v>0.32285263476719722</v>
      </c>
      <c r="HX65" s="235">
        <f t="shared" ca="1" si="202"/>
        <v>0.32285263476719722</v>
      </c>
      <c r="HY65" s="242">
        <f t="shared" ca="1" si="203"/>
        <v>0.32285263476719722</v>
      </c>
      <c r="HZ65" s="241">
        <f t="shared" ca="1" si="802"/>
        <v>1</v>
      </c>
      <c r="IA65" s="220">
        <f t="shared" ca="1" si="659"/>
        <v>0.96906158764378969</v>
      </c>
      <c r="IB65" s="220">
        <f t="shared" ca="1" si="660"/>
        <v>0</v>
      </c>
      <c r="IC65" s="235">
        <f t="shared" ca="1" si="206"/>
        <v>0.31140088024780266</v>
      </c>
      <c r="ID65" s="235">
        <f t="shared" ca="1" si="207"/>
        <v>0.31140088024780266</v>
      </c>
      <c r="IE65" s="242">
        <f t="shared" ca="1" si="208"/>
        <v>0.31140088024780266</v>
      </c>
      <c r="IF65" s="241">
        <f t="shared" ca="1" si="802"/>
        <v>1</v>
      </c>
      <c r="IG65" s="220">
        <f t="shared" ca="1" si="661"/>
        <v>0.96736088455747493</v>
      </c>
      <c r="IH65" s="220">
        <f t="shared" ca="1" si="662"/>
        <v>0</v>
      </c>
      <c r="II65" s="235">
        <f t="shared" ca="1" si="211"/>
        <v>0.30034238811880948</v>
      </c>
      <c r="IJ65" s="235">
        <f t="shared" ca="1" si="212"/>
        <v>0.30034238811880948</v>
      </c>
      <c r="IK65" s="242">
        <f t="shared" ca="1" si="213"/>
        <v>0.30034238811880948</v>
      </c>
      <c r="IL65" s="241">
        <f t="shared" ca="1" si="802"/>
        <v>1</v>
      </c>
      <c r="IM65" s="220">
        <f t="shared" ca="1" si="663"/>
        <v>0.96561963496527148</v>
      </c>
      <c r="IN65" s="220">
        <f t="shared" ca="1" si="664"/>
        <v>0</v>
      </c>
      <c r="IO65" s="235">
        <f t="shared" ca="1" si="216"/>
        <v>0.28966354765236296</v>
      </c>
      <c r="IP65" s="235">
        <f t="shared" ca="1" si="217"/>
        <v>0.28966354765236296</v>
      </c>
      <c r="IQ65" s="242">
        <f t="shared" ca="1" si="218"/>
        <v>0.28966354765236296</v>
      </c>
      <c r="IR65" s="241">
        <f t="shared" ca="1" si="802"/>
        <v>1</v>
      </c>
      <c r="IS65" s="220">
        <f t="shared" ca="1" si="665"/>
        <v>0.96382841054241086</v>
      </c>
      <c r="IT65" s="220">
        <f t="shared" ca="1" si="666"/>
        <v>0</v>
      </c>
      <c r="IU65" s="235">
        <f t="shared" ca="1" si="222"/>
        <v>0.27934900654248102</v>
      </c>
      <c r="IV65" s="235">
        <f t="shared" ca="1" si="223"/>
        <v>0.27934900654248102</v>
      </c>
      <c r="IW65" s="242">
        <f t="shared" ca="1" si="224"/>
        <v>0.27934900654248102</v>
      </c>
      <c r="IX65" s="241">
        <f t="shared" ca="1" si="802"/>
        <v>1</v>
      </c>
      <c r="IY65" s="220">
        <f t="shared" ca="1" si="667"/>
        <v>0.9619778599941694</v>
      </c>
      <c r="IZ65" s="220">
        <f t="shared" ca="1" si="668"/>
        <v>0</v>
      </c>
      <c r="JA65" s="235">
        <f t="shared" ca="1" si="227"/>
        <v>0.26938420913035699</v>
      </c>
      <c r="JB65" s="235">
        <f t="shared" ca="1" si="228"/>
        <v>0.26938420913035699</v>
      </c>
      <c r="JC65" s="242">
        <f t="shared" ca="1" si="229"/>
        <v>0.26938420913035699</v>
      </c>
      <c r="JD65" s="241">
        <f t="shared" ca="1" si="796"/>
        <v>1</v>
      </c>
      <c r="JE65" s="220">
        <f t="shared" ca="1" si="669"/>
        <v>0.96006544800850102</v>
      </c>
      <c r="JF65" s="220">
        <f t="shared" ca="1" si="670"/>
        <v>0</v>
      </c>
      <c r="JG65" s="235">
        <f t="shared" ca="1" si="232"/>
        <v>0.25975717229237277</v>
      </c>
      <c r="JH65" s="235">
        <f t="shared" ca="1" si="233"/>
        <v>0.25975717229237277</v>
      </c>
      <c r="JI65" s="242">
        <f t="shared" ca="1" si="234"/>
        <v>0.25975717229237277</v>
      </c>
      <c r="JJ65" s="241">
        <f t="shared" ca="1" si="796"/>
        <v>1</v>
      </c>
      <c r="JK65" s="220">
        <f t="shared" ca="1" si="671"/>
        <v>0.9580877131856036</v>
      </c>
      <c r="JL65" s="220">
        <f t="shared" ca="1" si="672"/>
        <v>0</v>
      </c>
      <c r="JM65" s="235">
        <f t="shared" ca="1" si="237"/>
        <v>0.25045610871251262</v>
      </c>
      <c r="JN65" s="235">
        <f t="shared" ca="1" si="238"/>
        <v>0.25045610871251262</v>
      </c>
      <c r="JO65" s="242">
        <f t="shared" ca="1" si="239"/>
        <v>0.25045610871251262</v>
      </c>
      <c r="JP65" s="241">
        <f t="shared" ca="1" si="803"/>
        <v>1</v>
      </c>
      <c r="JQ65" s="220">
        <f t="shared" ca="1" si="673"/>
        <v>0.95603644739167326</v>
      </c>
      <c r="JR65" s="220">
        <f t="shared" ca="1" si="674"/>
        <v>0</v>
      </c>
      <c r="JS65" s="235">
        <f t="shared" ca="1" si="242"/>
        <v>0.24146848520169967</v>
      </c>
      <c r="JT65" s="235">
        <f t="shared" ca="1" si="243"/>
        <v>0.24146848520169967</v>
      </c>
      <c r="JU65" s="242">
        <f t="shared" ca="1" si="244"/>
        <v>0.24146848520169967</v>
      </c>
      <c r="JV65" s="241">
        <f t="shared" ca="1" si="803"/>
        <v>1</v>
      </c>
      <c r="JW65" s="220">
        <f t="shared" ca="1" si="675"/>
        <v>0.95389492574951584</v>
      </c>
      <c r="JX65" s="220">
        <f t="shared" ca="1" si="676"/>
        <v>0</v>
      </c>
      <c r="JY65" s="235">
        <f t="shared" ca="1" si="247"/>
        <v>0.23278028579212359</v>
      </c>
      <c r="JZ65" s="235">
        <f t="shared" ca="1" si="248"/>
        <v>0.23278028579212359</v>
      </c>
      <c r="KA65" s="242">
        <f t="shared" ca="1" si="249"/>
        <v>0.23278028579212359</v>
      </c>
      <c r="KB65" s="241">
        <f t="shared" ca="1" si="803"/>
        <v>1</v>
      </c>
      <c r="KC65" s="220">
        <f t="shared" ca="1" si="677"/>
        <v>0.95164182593489555</v>
      </c>
      <c r="KD65" s="220">
        <f t="shared" ca="1" si="678"/>
        <v>0</v>
      </c>
      <c r="KE65" s="235">
        <f t="shared" ca="1" si="252"/>
        <v>0.22437725483776094</v>
      </c>
      <c r="KF65" s="235">
        <f t="shared" ca="1" si="253"/>
        <v>0.22437725483776094</v>
      </c>
      <c r="KG65" s="242">
        <f t="shared" ca="1" si="254"/>
        <v>0.22437725483776094</v>
      </c>
      <c r="KH65" s="241">
        <f t="shared" ca="1" si="803"/>
        <v>1</v>
      </c>
      <c r="KI65" s="220">
        <f t="shared" ca="1" si="679"/>
        <v>0.94925415659362489</v>
      </c>
      <c r="KJ65" s="220">
        <f t="shared" ca="1" si="680"/>
        <v>0</v>
      </c>
      <c r="KK65" s="235">
        <f t="shared" ca="1" si="257"/>
        <v>0.21624569304866956</v>
      </c>
      <c r="KL65" s="235">
        <f t="shared" ca="1" si="258"/>
        <v>0.21624569304866956</v>
      </c>
      <c r="KM65" s="242">
        <f t="shared" ca="1" si="259"/>
        <v>0.21624569304866956</v>
      </c>
      <c r="KN65" s="241">
        <f t="shared" ca="1" si="803"/>
        <v>1</v>
      </c>
      <c r="KO65" s="220">
        <f t="shared" ca="1" si="681"/>
        <v>0.94670635843732753</v>
      </c>
      <c r="KP65" s="220">
        <f t="shared" ca="1" si="682"/>
        <v>0</v>
      </c>
      <c r="KQ65" s="235">
        <f t="shared" ca="1" si="262"/>
        <v>0.2083722604913304</v>
      </c>
      <c r="KR65" s="235">
        <f t="shared" ca="1" si="263"/>
        <v>0.2083722604913304</v>
      </c>
      <c r="KS65" s="242">
        <f t="shared" ca="1" si="264"/>
        <v>0.2083722604913304</v>
      </c>
      <c r="KT65" s="241">
        <f t="shared" ca="1" si="803"/>
        <v>1</v>
      </c>
      <c r="KU65" s="220">
        <f t="shared" ca="1" si="683"/>
        <v>0.94397037706144371</v>
      </c>
      <c r="KV65" s="220">
        <f t="shared" ca="1" si="684"/>
        <v>0</v>
      </c>
      <c r="KW65" s="235">
        <f t="shared" ca="1" si="267"/>
        <v>0.20074402382464779</v>
      </c>
      <c r="KX65" s="235">
        <f t="shared" ca="1" si="268"/>
        <v>0.20074402382464779</v>
      </c>
      <c r="KY65" s="242">
        <f t="shared" ca="1" si="269"/>
        <v>0.20074402382464779</v>
      </c>
      <c r="KZ65" s="241">
        <f t="shared" ca="1" si="803"/>
        <v>1</v>
      </c>
      <c r="LA65" s="220">
        <f t="shared" ca="1" si="685"/>
        <v>0.94102424551463493</v>
      </c>
      <c r="LB65" s="220">
        <f t="shared" ca="1" si="686"/>
        <v>0</v>
      </c>
      <c r="LC65" s="235">
        <f t="shared" ca="1" si="272"/>
        <v>0.19335024321380778</v>
      </c>
      <c r="LD65" s="235">
        <f t="shared" ca="1" si="273"/>
        <v>0.19335024321380778</v>
      </c>
      <c r="LE65" s="242">
        <f t="shared" ca="1" si="274"/>
        <v>0.19335024321380778</v>
      </c>
      <c r="LF65" s="241">
        <f t="shared" ca="1" si="803"/>
        <v>1</v>
      </c>
      <c r="LG65" s="220">
        <f t="shared" ca="1" si="687"/>
        <v>0.93783793741932242</v>
      </c>
      <c r="LH65" s="220">
        <f t="shared" ca="1" si="688"/>
        <v>0</v>
      </c>
      <c r="LI65" s="235">
        <f t="shared" ca="1" si="278"/>
        <v>0.18617928433844047</v>
      </c>
      <c r="LJ65" s="235">
        <f t="shared" ca="1" si="279"/>
        <v>0.18617928433844047</v>
      </c>
      <c r="LK65" s="242">
        <f t="shared" ca="1" si="280"/>
        <v>0.18617928433844047</v>
      </c>
      <c r="LL65" s="241">
        <f t="shared" ca="1" si="803"/>
        <v>1</v>
      </c>
      <c r="LM65" s="220">
        <f t="shared" ca="1" si="689"/>
        <v>0.93436137218530901</v>
      </c>
      <c r="LN65" s="220">
        <f t="shared" ca="1" si="690"/>
        <v>0</v>
      </c>
      <c r="LO65" s="235">
        <f t="shared" ca="1" si="283"/>
        <v>0.17921653887091585</v>
      </c>
      <c r="LP65" s="235">
        <f t="shared" ca="1" si="284"/>
        <v>0.17921653887091585</v>
      </c>
      <c r="LQ65" s="242">
        <f t="shared" ca="1" si="285"/>
        <v>0.17921653887091585</v>
      </c>
      <c r="LR65" s="241">
        <f t="shared" ca="1" si="803"/>
        <v>1</v>
      </c>
      <c r="LS65" s="220">
        <f t="shared" ca="1" si="691"/>
        <v>0.93053889981169891</v>
      </c>
      <c r="LT65" s="220">
        <f t="shared" ca="1" si="692"/>
        <v>0</v>
      </c>
      <c r="LU65" s="235">
        <f t="shared" ca="1" si="288"/>
        <v>0.17244769469603377</v>
      </c>
      <c r="LV65" s="235">
        <f t="shared" ca="1" si="289"/>
        <v>0.17244769469603377</v>
      </c>
      <c r="LW65" s="242">
        <f t="shared" ca="1" si="290"/>
        <v>0.17244769469603377</v>
      </c>
      <c r="LX65" s="241">
        <f t="shared" ca="1" si="803"/>
        <v>1</v>
      </c>
      <c r="LY65" s="220">
        <f t="shared" ca="1" si="693"/>
        <v>0.92632262805665211</v>
      </c>
      <c r="LZ65" s="220">
        <f t="shared" ca="1" si="694"/>
        <v>0</v>
      </c>
      <c r="MA65" s="235">
        <f t="shared" ca="1" si="293"/>
        <v>0.16586119245542613</v>
      </c>
      <c r="MB65" s="235">
        <f t="shared" ca="1" si="294"/>
        <v>0.16586119245542613</v>
      </c>
      <c r="MC65" s="242">
        <f t="shared" ca="1" si="295"/>
        <v>0.16586119245542613</v>
      </c>
      <c r="MD65" s="241">
        <f t="shared" ca="1" si="797"/>
        <v>1</v>
      </c>
      <c r="ME65" s="220">
        <f t="shared" ca="1" si="695"/>
        <v>0.92167897272220412</v>
      </c>
      <c r="MF65" s="220">
        <f t="shared" ca="1" si="696"/>
        <v>0</v>
      </c>
      <c r="MG65" s="235">
        <f t="shared" ca="1" si="298"/>
        <v>0.15944901478033538</v>
      </c>
      <c r="MH65" s="235">
        <f t="shared" ca="1" si="299"/>
        <v>0.15944901478033538</v>
      </c>
      <c r="MI65" s="242">
        <f t="shared" ca="1" si="300"/>
        <v>0.15944901478033538</v>
      </c>
      <c r="MJ65" s="241">
        <f t="shared" ca="1" si="797"/>
        <v>1</v>
      </c>
      <c r="MK65" s="220">
        <f t="shared" ca="1" si="697"/>
        <v>0.91658761807688671</v>
      </c>
      <c r="ML65" s="220">
        <f t="shared" ca="1" si="698"/>
        <v>0</v>
      </c>
      <c r="MM65" s="235">
        <f t="shared" ca="1" si="303"/>
        <v>0.15320600813786359</v>
      </c>
      <c r="MN65" s="235">
        <f t="shared" ca="1" si="304"/>
        <v>0.15320600813786359</v>
      </c>
      <c r="MO65" s="242">
        <f t="shared" ca="1" si="305"/>
        <v>0.15320600813786359</v>
      </c>
      <c r="MP65" s="241">
        <f t="shared" ca="1" si="804"/>
        <v>1</v>
      </c>
      <c r="MQ65" s="220">
        <f t="shared" ca="1" si="699"/>
        <v>0.91103401369895887</v>
      </c>
      <c r="MR65" s="220">
        <f t="shared" ca="1" si="700"/>
        <v>0</v>
      </c>
      <c r="MS65" s="235">
        <f t="shared" ca="1" si="308"/>
        <v>0.1471282443812138</v>
      </c>
      <c r="MT65" s="235">
        <f t="shared" ca="1" si="309"/>
        <v>0.1471282443812138</v>
      </c>
      <c r="MU65" s="242">
        <f t="shared" ca="1" si="310"/>
        <v>0.1471282443812138</v>
      </c>
      <c r="MV65" s="241">
        <f t="shared" ca="1" si="804"/>
        <v>1</v>
      </c>
      <c r="MW65" s="220">
        <f t="shared" ca="1" si="701"/>
        <v>0.90501116783439506</v>
      </c>
      <c r="MX65" s="220">
        <f t="shared" ca="1" si="702"/>
        <v>0</v>
      </c>
      <c r="MY65" s="235">
        <f t="shared" ca="1" si="313"/>
        <v>0.14121312034551653</v>
      </c>
      <c r="MZ65" s="235">
        <f t="shared" ca="1" si="314"/>
        <v>0.14121312034551653</v>
      </c>
      <c r="NA65" s="242">
        <f t="shared" ca="1" si="315"/>
        <v>0.14121312034551653</v>
      </c>
      <c r="NB65" s="241">
        <f t="shared" ca="1" si="804"/>
        <v>1</v>
      </c>
      <c r="NC65" s="220">
        <f t="shared" ca="1" si="703"/>
        <v>0.89850685257116925</v>
      </c>
      <c r="ND65" s="220">
        <f t="shared" ca="1" si="704"/>
        <v>0</v>
      </c>
      <c r="NE65" s="235">
        <f t="shared" ca="1" si="318"/>
        <v>0.13545721898511429</v>
      </c>
      <c r="NF65" s="235">
        <f t="shared" ca="1" si="319"/>
        <v>0.13545721898511429</v>
      </c>
      <c r="NG65" s="242">
        <f t="shared" ca="1" si="320"/>
        <v>0.13545721898511429</v>
      </c>
      <c r="NH65" s="241">
        <f t="shared" ca="1" si="804"/>
        <v>1</v>
      </c>
      <c r="NI65" s="220">
        <f t="shared" ca="1" si="705"/>
        <v>0.89149849912111412</v>
      </c>
      <c r="NJ65" s="220">
        <f t="shared" ca="1" si="706"/>
        <v>0</v>
      </c>
      <c r="NK65" s="235">
        <f t="shared" ca="1" si="323"/>
        <v>0.12985570306959462</v>
      </c>
      <c r="NL65" s="235">
        <f t="shared" ca="1" si="324"/>
        <v>0.12985570306959462</v>
      </c>
      <c r="NM65" s="242">
        <f t="shared" ca="1" si="325"/>
        <v>0.12985570306959462</v>
      </c>
      <c r="NN65" s="241">
        <f t="shared" ca="1" si="804"/>
        <v>1</v>
      </c>
      <c r="NO65" s="220">
        <f t="shared" ca="1" si="707"/>
        <v>0.88395998781254592</v>
      </c>
      <c r="NP65" s="220">
        <f t="shared" ca="1" si="708"/>
        <v>0</v>
      </c>
      <c r="NQ65" s="235">
        <f t="shared" ca="1" si="328"/>
        <v>0.12440352004293539</v>
      </c>
      <c r="NR65" s="235">
        <f t="shared" ca="1" si="329"/>
        <v>0.12440352004293539</v>
      </c>
      <c r="NS65" s="242">
        <f t="shared" ca="1" si="330"/>
        <v>0.12440352004293539</v>
      </c>
      <c r="NT65" s="241">
        <f t="shared" ca="1" si="804"/>
        <v>1</v>
      </c>
      <c r="NU65" s="220">
        <f t="shared" ca="1" si="709"/>
        <v>0.87587705768398794</v>
      </c>
      <c r="NV65" s="220">
        <f t="shared" ca="1" si="710"/>
        <v>0</v>
      </c>
      <c r="NW65" s="235">
        <f t="shared" ca="1" si="334"/>
        <v>0.11909755966730703</v>
      </c>
      <c r="NX65" s="235">
        <f t="shared" ca="1" si="335"/>
        <v>0.11909755966730703</v>
      </c>
      <c r="NY65" s="242">
        <f t="shared" ca="1" si="336"/>
        <v>0.11909755966730703</v>
      </c>
      <c r="NZ65" s="241">
        <f t="shared" ca="1" si="804"/>
        <v>1</v>
      </c>
      <c r="OA65" s="220">
        <f t="shared" ca="1" si="711"/>
        <v>0.86723653050993543</v>
      </c>
      <c r="OB65" s="220">
        <f t="shared" ca="1" si="712"/>
        <v>0</v>
      </c>
      <c r="OC65" s="235">
        <f t="shared" ca="1" si="339"/>
        <v>0.11393493936346769</v>
      </c>
      <c r="OD65" s="235">
        <f t="shared" ca="1" si="340"/>
        <v>0.11393493936346769</v>
      </c>
      <c r="OE65" s="242">
        <f t="shared" ca="1" si="341"/>
        <v>0.11393493936346769</v>
      </c>
      <c r="OF65" s="241">
        <f t="shared" ca="1" si="804"/>
        <v>1</v>
      </c>
      <c r="OG65" s="220">
        <f t="shared" ca="1" si="713"/>
        <v>0.85802474408285889</v>
      </c>
      <c r="OH65" s="220">
        <f t="shared" ca="1" si="714"/>
        <v>0</v>
      </c>
      <c r="OI65" s="235">
        <f t="shared" ca="1" si="344"/>
        <v>0.10891277530197965</v>
      </c>
      <c r="OJ65" s="235">
        <f t="shared" ca="1" si="345"/>
        <v>0.10891277530197965</v>
      </c>
      <c r="OK65" s="242">
        <f t="shared" ca="1" si="346"/>
        <v>0.10891277530197965</v>
      </c>
      <c r="OL65" s="241">
        <f t="shared" ca="1" si="804"/>
        <v>1</v>
      </c>
      <c r="OM65" s="220">
        <f t="shared" ca="1" si="715"/>
        <v>0.84819349656515752</v>
      </c>
      <c r="ON65" s="220">
        <f t="shared" ca="1" si="716"/>
        <v>0</v>
      </c>
      <c r="OO65" s="235">
        <f t="shared" ca="1" si="349"/>
        <v>0.10402401229233778</v>
      </c>
      <c r="OP65" s="235">
        <f t="shared" ca="1" si="350"/>
        <v>0.10402401229233778</v>
      </c>
      <c r="OQ65" s="242">
        <f t="shared" ca="1" si="351"/>
        <v>0.10402401229233778</v>
      </c>
      <c r="OR65" s="241">
        <f t="shared" ca="1" si="804"/>
        <v>1</v>
      </c>
      <c r="OS65" s="220">
        <f t="shared" ca="1" si="717"/>
        <v>0.83771830688257787</v>
      </c>
      <c r="OT65" s="220">
        <f t="shared" ca="1" si="718"/>
        <v>0</v>
      </c>
      <c r="OU65" s="235">
        <f t="shared" ca="1" si="354"/>
        <v>9.9265039362828419E-2</v>
      </c>
      <c r="OV65" s="235">
        <f t="shared" ca="1" si="355"/>
        <v>9.9265039362828419E-2</v>
      </c>
      <c r="OW65" s="242">
        <f t="shared" ca="1" si="356"/>
        <v>9.9265039362828419E-2</v>
      </c>
      <c r="OX65" s="241">
        <f t="shared" ca="1" si="804"/>
        <v>1</v>
      </c>
      <c r="OY65" s="220">
        <f t="shared" ca="1" si="719"/>
        <v>0.82663110509098692</v>
      </c>
      <c r="OZ65" s="220">
        <f t="shared" ca="1" si="720"/>
        <v>0</v>
      </c>
      <c r="PA65" s="235">
        <f t="shared" ca="1" si="359"/>
        <v>9.4638904895518239E-2</v>
      </c>
      <c r="PB65" s="235">
        <f t="shared" ca="1" si="360"/>
        <v>9.4638904895518239E-2</v>
      </c>
      <c r="PC65" s="242">
        <f t="shared" ca="1" si="361"/>
        <v>9.4638904895518239E-2</v>
      </c>
      <c r="PD65" s="241">
        <f t="shared" ca="1" si="798"/>
        <v>1</v>
      </c>
      <c r="PE65" s="220">
        <f t="shared" ca="1" si="721"/>
        <v>0.81497808640251923</v>
      </c>
      <c r="PF65" s="220">
        <f t="shared" ca="1" si="722"/>
        <v>0</v>
      </c>
      <c r="PG65" s="235">
        <f t="shared" ca="1" si="364"/>
        <v>9.0149546138363415E-2</v>
      </c>
      <c r="PH65" s="235">
        <f t="shared" ca="1" si="365"/>
        <v>9.0149546138363415E-2</v>
      </c>
      <c r="PI65" s="242">
        <f t="shared" ca="1" si="366"/>
        <v>9.0149546138363415E-2</v>
      </c>
      <c r="PJ65" s="241">
        <f t="shared" ca="1" si="798"/>
        <v>1</v>
      </c>
      <c r="PK65" s="220">
        <f t="shared" ca="1" si="723"/>
        <v>0.80277052964629592</v>
      </c>
      <c r="PL65" s="220">
        <f t="shared" ca="1" si="724"/>
        <v>0</v>
      </c>
      <c r="PM65" s="235">
        <f t="shared" ca="1" si="369"/>
        <v>8.5796324721504238E-2</v>
      </c>
      <c r="PN65" s="235">
        <f t="shared" ca="1" si="370"/>
        <v>8.5796324721504238E-2</v>
      </c>
      <c r="PO65" s="242">
        <f t="shared" ca="1" si="371"/>
        <v>8.5796324721504238E-2</v>
      </c>
      <c r="PP65" s="241">
        <f t="shared" ca="1" si="805"/>
        <v>1</v>
      </c>
      <c r="PQ65" s="220">
        <f t="shared" ca="1" si="725"/>
        <v>0.78995269259943357</v>
      </c>
      <c r="PR65" s="220">
        <f t="shared" ca="1" si="726"/>
        <v>0</v>
      </c>
      <c r="PS65" s="235">
        <f t="shared" ca="1" si="374"/>
        <v>8.1571415270218356E-2</v>
      </c>
      <c r="PT65" s="235">
        <f t="shared" ca="1" si="375"/>
        <v>8.1571415270218356E-2</v>
      </c>
      <c r="PU65" s="242">
        <f t="shared" ca="1" si="376"/>
        <v>8.1571415270218356E-2</v>
      </c>
      <c r="PV65" s="241">
        <f t="shared" ca="1" si="805"/>
        <v>1</v>
      </c>
      <c r="PW65" s="220">
        <f t="shared" ca="1" si="727"/>
        <v>0.77643739198174988</v>
      </c>
      <c r="PX65" s="220">
        <f t="shared" ca="1" si="728"/>
        <v>0</v>
      </c>
      <c r="PY65" s="235">
        <f t="shared" ca="1" si="379"/>
        <v>7.7464550653488104E-2</v>
      </c>
      <c r="PZ65" s="235">
        <f t="shared" ca="1" si="380"/>
        <v>7.7464550653488104E-2</v>
      </c>
      <c r="QA65" s="242">
        <f t="shared" ca="1" si="381"/>
        <v>7.7464550653488104E-2</v>
      </c>
      <c r="QB65" s="241">
        <f t="shared" ca="1" si="805"/>
        <v>1</v>
      </c>
      <c r="QC65" s="220">
        <f t="shared" ca="1" si="729"/>
        <v>0.76215715546842155</v>
      </c>
      <c r="QD65" s="220">
        <f t="shared" ca="1" si="730"/>
        <v>0</v>
      </c>
      <c r="QE65" s="235">
        <f t="shared" ca="1" si="384"/>
        <v>7.3468427669438799E-2</v>
      </c>
      <c r="QF65" s="235">
        <f t="shared" ca="1" si="385"/>
        <v>7.3468427669438799E-2</v>
      </c>
      <c r="QG65" s="242">
        <f t="shared" ca="1" si="386"/>
        <v>7.3468427669438799E-2</v>
      </c>
      <c r="QH65" s="241">
        <f t="shared" ca="1" si="805"/>
        <v>1</v>
      </c>
      <c r="QI65" s="220">
        <f t="shared" ca="1" si="731"/>
        <v>0.74703900613254992</v>
      </c>
      <c r="QJ65" s="220">
        <f t="shared" ca="1" si="732"/>
        <v>0</v>
      </c>
      <c r="QK65" s="235">
        <f t="shared" ca="1" si="390"/>
        <v>6.9575949698732195E-2</v>
      </c>
      <c r="QL65" s="235">
        <f t="shared" ca="1" si="391"/>
        <v>6.9575949698732195E-2</v>
      </c>
      <c r="QM65" s="242">
        <f t="shared" ca="1" si="392"/>
        <v>6.9575949698732195E-2</v>
      </c>
      <c r="QN65" s="241">
        <f t="shared" ca="1" si="805"/>
        <v>1</v>
      </c>
      <c r="QO65" s="220">
        <f t="shared" ca="1" si="733"/>
        <v>0.73100381386591473</v>
      </c>
      <c r="QP65" s="220">
        <f t="shared" ca="1" si="734"/>
        <v>0</v>
      </c>
      <c r="QQ65" s="235">
        <f t="shared" ca="1" si="395"/>
        <v>6.5780195109612458E-2</v>
      </c>
      <c r="QR65" s="235">
        <f t="shared" ca="1" si="396"/>
        <v>6.5780195109612458E-2</v>
      </c>
      <c r="QS65" s="242">
        <f t="shared" ca="1" si="397"/>
        <v>6.5780195109612458E-2</v>
      </c>
      <c r="QT65" s="241">
        <f t="shared" ca="1" si="805"/>
        <v>1</v>
      </c>
      <c r="QU65" s="220">
        <f t="shared" ca="1" si="735"/>
        <v>0.71393414380833176</v>
      </c>
      <c r="QV65" s="220">
        <f t="shared" ca="1" si="736"/>
        <v>0</v>
      </c>
      <c r="QW65" s="235">
        <f t="shared" ca="1" si="400"/>
        <v>6.2071653887543876E-2</v>
      </c>
      <c r="QX65" s="235">
        <f t="shared" ca="1" si="401"/>
        <v>6.2071653887543876E-2</v>
      </c>
      <c r="QY65" s="242">
        <f t="shared" ca="1" si="402"/>
        <v>6.2071653887543876E-2</v>
      </c>
      <c r="QZ65" s="241">
        <f t="shared" ca="1" si="805"/>
        <v>1</v>
      </c>
      <c r="RA65" s="220">
        <f t="shared" ca="1" si="737"/>
        <v>0.69574167395580788</v>
      </c>
      <c r="RB65" s="220">
        <f t="shared" ca="1" si="738"/>
        <v>0</v>
      </c>
      <c r="RC65" s="235">
        <f t="shared" ca="1" si="405"/>
        <v>5.8444390341238162E-2</v>
      </c>
      <c r="RD65" s="235">
        <f t="shared" ca="1" si="406"/>
        <v>5.8444390341238162E-2</v>
      </c>
      <c r="RE65" s="242">
        <f t="shared" ca="1" si="407"/>
        <v>5.8444390341238162E-2</v>
      </c>
      <c r="RF65" s="241">
        <f t="shared" ca="1" si="805"/>
        <v>1</v>
      </c>
      <c r="RG65" s="220">
        <f t="shared" ca="1" si="739"/>
        <v>0.67640422986988014</v>
      </c>
      <c r="RH65" s="220">
        <f t="shared" ca="1" si="740"/>
        <v>0</v>
      </c>
      <c r="RI65" s="235">
        <f t="shared" ca="1" si="410"/>
        <v>5.4898538121829751E-2</v>
      </c>
      <c r="RJ65" s="235">
        <f t="shared" ca="1" si="411"/>
        <v>5.4898538121829751E-2</v>
      </c>
      <c r="RK65" s="242">
        <f t="shared" ca="1" si="412"/>
        <v>5.4898538121829751E-2</v>
      </c>
      <c r="RL65" s="241">
        <f t="shared" ca="1" si="805"/>
        <v>1</v>
      </c>
      <c r="RM65" s="220">
        <f t="shared" ca="1" si="741"/>
        <v>0.65592135698096043</v>
      </c>
      <c r="RN65" s="220">
        <f t="shared" ca="1" si="742"/>
        <v>0</v>
      </c>
      <c r="RO65" s="235">
        <f t="shared" ca="1" si="415"/>
        <v>5.1435845981086484E-2</v>
      </c>
      <c r="RP65" s="235">
        <f t="shared" ca="1" si="416"/>
        <v>5.1435845981086484E-2</v>
      </c>
      <c r="RQ65" s="242">
        <f t="shared" ca="1" si="417"/>
        <v>5.1435845981086484E-2</v>
      </c>
      <c r="RR65" s="241">
        <f t="shared" ca="1" si="805"/>
        <v>1</v>
      </c>
      <c r="RS65" s="220">
        <f t="shared" ca="1" si="743"/>
        <v>0.63426152193073515</v>
      </c>
      <c r="RT65" s="220">
        <f t="shared" ca="1" si="744"/>
        <v>0</v>
      </c>
      <c r="RU65" s="235">
        <f t="shared" ca="1" si="420"/>
        <v>4.8055392729564286E-2</v>
      </c>
      <c r="RV65" s="235">
        <f t="shared" ca="1" si="421"/>
        <v>4.8055392729564286E-2</v>
      </c>
      <c r="RW65" s="242">
        <f t="shared" ca="1" si="422"/>
        <v>4.8055392729564286E-2</v>
      </c>
      <c r="RX65" s="241">
        <f t="shared" ca="1" si="805"/>
        <v>1</v>
      </c>
      <c r="RY65" s="220">
        <f t="shared" ca="1" si="745"/>
        <v>0.61130062057532053</v>
      </c>
      <c r="RZ65" s="220">
        <f t="shared" ca="1" si="746"/>
        <v>0</v>
      </c>
      <c r="SA65" s="235">
        <f t="shared" ca="1" si="425"/>
        <v>4.4749506722088245E-2</v>
      </c>
      <c r="SB65" s="235">
        <f t="shared" ca="1" si="426"/>
        <v>4.4749506722088245E-2</v>
      </c>
      <c r="SC65" s="242">
        <f t="shared" ca="1" si="427"/>
        <v>4.4749506722088245E-2</v>
      </c>
      <c r="SD65" s="241">
        <f t="shared" ca="1" si="799"/>
        <v>1</v>
      </c>
      <c r="SE65" s="220">
        <f t="shared" ca="1" si="747"/>
        <v>0.58693540044042947</v>
      </c>
      <c r="SF65" s="220">
        <f t="shared" ca="1" si="748"/>
        <v>0</v>
      </c>
      <c r="SG65" s="235">
        <f t="shared" ca="1" si="430"/>
        <v>4.1512928389525854E-2</v>
      </c>
      <c r="SH65" s="235">
        <f t="shared" ca="1" si="431"/>
        <v>4.1512928389525854E-2</v>
      </c>
      <c r="SI65" s="242">
        <f t="shared" ca="1" si="432"/>
        <v>4.1512928389525854E-2</v>
      </c>
      <c r="SJ65" s="241">
        <f t="shared" ca="1" si="799"/>
        <v>1</v>
      </c>
      <c r="SK65" s="220">
        <f t="shared" ca="1" si="749"/>
        <v>0.56117421877969853</v>
      </c>
      <c r="SL65" s="220">
        <f t="shared" ca="1" si="750"/>
        <v>0</v>
      </c>
      <c r="SM65" s="235">
        <f t="shared" ca="1" si="435"/>
        <v>3.8348680627614658E-2</v>
      </c>
      <c r="SN65" s="235">
        <f t="shared" ca="1" si="436"/>
        <v>3.8348680627614658E-2</v>
      </c>
      <c r="SO65" s="242">
        <f t="shared" ca="1" si="437"/>
        <v>3.8348680627614658E-2</v>
      </c>
      <c r="SP65" s="241">
        <f t="shared" ca="1" si="808"/>
        <v>1</v>
      </c>
      <c r="SQ65" s="220">
        <f t="shared" ca="1" si="751"/>
        <v>0.5340633310962325</v>
      </c>
      <c r="SR65" s="220">
        <f t="shared" ca="1" si="752"/>
        <v>0</v>
      </c>
      <c r="SS65" s="235">
        <f t="shared" ca="1" si="440"/>
        <v>3.5261852674216394E-2</v>
      </c>
      <c r="ST65" s="235">
        <f t="shared" ca="1" si="441"/>
        <v>3.5261852674216394E-2</v>
      </c>
      <c r="SU65" s="242">
        <f t="shared" ca="1" si="442"/>
        <v>3.5261852674216394E-2</v>
      </c>
      <c r="SV65" s="241">
        <f t="shared" ca="1" si="808"/>
        <v>1</v>
      </c>
      <c r="SW65" s="220">
        <f t="shared" ca="1" si="753"/>
        <v>0.50563620810864218</v>
      </c>
      <c r="SX65" s="220">
        <f t="shared" ca="1" si="754"/>
        <v>0</v>
      </c>
      <c r="SY65" s="235">
        <f t="shared" ca="1" si="446"/>
        <v>3.2255975632920972E-2</v>
      </c>
      <c r="SZ65" s="235">
        <f t="shared" ca="1" si="447"/>
        <v>3.2255975632920972E-2</v>
      </c>
      <c r="TA65" s="242">
        <f t="shared" ca="1" si="448"/>
        <v>3.2255975632920972E-2</v>
      </c>
      <c r="TB65" s="241">
        <f t="shared" ca="1" si="808"/>
        <v>1</v>
      </c>
      <c r="TC65" s="220">
        <f t="shared" ca="1" si="755"/>
        <v>0.47585575235966748</v>
      </c>
      <c r="TD65" s="220">
        <f t="shared" ca="1" si="756"/>
        <v>0</v>
      </c>
      <c r="TE65" s="235">
        <f t="shared" ca="1" si="451"/>
        <v>2.9329657426153458E-2</v>
      </c>
      <c r="TF65" s="235">
        <f t="shared" ca="1" si="452"/>
        <v>2.9329657426153458E-2</v>
      </c>
      <c r="TG65" s="242">
        <f t="shared" ca="1" si="453"/>
        <v>2.9329657426153458E-2</v>
      </c>
      <c r="TH65" s="241">
        <f t="shared" ca="1" si="808"/>
        <v>1</v>
      </c>
      <c r="TI65" s="220">
        <f t="shared" ca="1" si="757"/>
        <v>0.4447514411066778</v>
      </c>
      <c r="TJ65" s="220">
        <f t="shared" ca="1" si="758"/>
        <v>0</v>
      </c>
      <c r="TK65" s="235">
        <f t="shared" ca="1" si="456"/>
        <v>2.6485530790814431E-2</v>
      </c>
      <c r="TL65" s="235">
        <f t="shared" ca="1" si="457"/>
        <v>2.6485530790814431E-2</v>
      </c>
      <c r="TM65" s="242">
        <f t="shared" ca="1" si="458"/>
        <v>2.6485530790814431E-2</v>
      </c>
      <c r="TN65" s="241">
        <f t="shared" ca="1" si="808"/>
        <v>1</v>
      </c>
      <c r="TO65" s="220">
        <f t="shared" ca="1" si="759"/>
        <v>0.41251096438941365</v>
      </c>
      <c r="TP65" s="220">
        <f t="shared" ca="1" si="760"/>
        <v>0</v>
      </c>
      <c r="TQ65" s="235">
        <f t="shared" ca="1" si="461"/>
        <v>2.3734848481408222E-2</v>
      </c>
      <c r="TR65" s="235">
        <f t="shared" ca="1" si="462"/>
        <v>2.3734848481408222E-2</v>
      </c>
      <c r="TS65" s="242">
        <f t="shared" ca="1" si="463"/>
        <v>2.3734848481408222E-2</v>
      </c>
      <c r="TT65" s="241">
        <f t="shared" ca="1" si="808"/>
        <v>1</v>
      </c>
      <c r="TU65" s="220">
        <f t="shared" ca="1" si="761"/>
        <v>0.37939128408051637</v>
      </c>
      <c r="TV65" s="220">
        <f t="shared" ca="1" si="762"/>
        <v>0</v>
      </c>
      <c r="TW65" s="235">
        <f t="shared" ca="1" si="466"/>
        <v>2.1091038615007652E-2</v>
      </c>
      <c r="TX65" s="235">
        <f t="shared" ca="1" si="467"/>
        <v>2.1091038615007652E-2</v>
      </c>
      <c r="TY65" s="242">
        <f t="shared" ca="1" si="468"/>
        <v>2.1091038615007652E-2</v>
      </c>
      <c r="TZ65" s="241">
        <f t="shared" ca="1" si="808"/>
        <v>1</v>
      </c>
      <c r="UA65" s="220">
        <f t="shared" ca="1" si="763"/>
        <v>0.34565732866521315</v>
      </c>
      <c r="UB65" s="220">
        <f t="shared" ca="1" si="764"/>
        <v>0</v>
      </c>
      <c r="UC65" s="235">
        <f t="shared" ca="1" si="471"/>
        <v>1.8565901280691431E-2</v>
      </c>
      <c r="UD65" s="235">
        <f t="shared" ca="1" si="472"/>
        <v>1.8565901280691431E-2</v>
      </c>
      <c r="UE65" s="242">
        <f t="shared" ca="1" si="473"/>
        <v>1.8565901280691431E-2</v>
      </c>
      <c r="UF65" s="241">
        <f t="shared" ca="1" si="808"/>
        <v>1</v>
      </c>
      <c r="UG65" s="220">
        <f t="shared" ca="1" si="765"/>
        <v>0.31158381183471112</v>
      </c>
      <c r="UH65" s="220">
        <f t="shared" ca="1" si="766"/>
        <v>0</v>
      </c>
      <c r="UI65" s="235">
        <f t="shared" ca="1" si="476"/>
        <v>1.6169805793281151E-2</v>
      </c>
      <c r="UJ65" s="235">
        <f t="shared" ca="1" si="477"/>
        <v>1.6169805793281151E-2</v>
      </c>
      <c r="UK65" s="242">
        <f t="shared" ca="1" si="478"/>
        <v>1.6169805793281151E-2</v>
      </c>
      <c r="UL65" s="241">
        <f t="shared" ca="1" si="808"/>
        <v>1</v>
      </c>
      <c r="UM65" s="220">
        <f t="shared" ca="1" si="767"/>
        <v>0.27748470263514402</v>
      </c>
      <c r="UN65" s="220">
        <f t="shared" ca="1" si="768"/>
        <v>0</v>
      </c>
      <c r="UO65" s="235">
        <f t="shared" ca="1" si="481"/>
        <v>1.3913250808575896E-2</v>
      </c>
      <c r="UP65" s="235">
        <f t="shared" ca="1" si="482"/>
        <v>1.3913250808575896E-2</v>
      </c>
      <c r="UQ65" s="242">
        <f t="shared" ca="1" si="483"/>
        <v>1.3913250808575896E-2</v>
      </c>
      <c r="UR65" s="241">
        <f t="shared" ca="1" si="808"/>
        <v>1</v>
      </c>
      <c r="US65" s="220">
        <f t="shared" ca="1" si="769"/>
        <v>0.24373729058536042</v>
      </c>
      <c r="UT65" s="220">
        <f t="shared" ca="1" si="770"/>
        <v>0</v>
      </c>
      <c r="UU65" s="235">
        <f t="shared" ca="1" si="486"/>
        <v>1.1807860056509861E-2</v>
      </c>
      <c r="UV65" s="235">
        <f t="shared" ca="1" si="487"/>
        <v>1.1807860056509861E-2</v>
      </c>
      <c r="UW65" s="242">
        <f t="shared" ca="1" si="488"/>
        <v>1.1807860056509861E-2</v>
      </c>
      <c r="UX65" s="241">
        <f t="shared" ca="1" si="808"/>
        <v>1</v>
      </c>
      <c r="UY65" s="220">
        <f t="shared" ca="1" si="771"/>
        <v>0.21078985859319374</v>
      </c>
      <c r="UZ65" s="220">
        <f t="shared" ca="1" si="772"/>
        <v>0</v>
      </c>
      <c r="VA65" s="235">
        <f t="shared" ca="1" si="491"/>
        <v>9.866396874889936E-3</v>
      </c>
      <c r="VB65" s="235">
        <f t="shared" ca="1" si="492"/>
        <v>9.866396874889936E-3</v>
      </c>
      <c r="VC65" s="242">
        <f t="shared" ca="1" si="493"/>
        <v>9.866396874889936E-3</v>
      </c>
      <c r="VD65" s="241">
        <f t="shared" ca="1" si="806"/>
        <v>1</v>
      </c>
      <c r="VE65" s="220">
        <f t="shared" ca="1" si="773"/>
        <v>0.17914840370962801</v>
      </c>
      <c r="VF65" s="220">
        <f t="shared" ca="1" si="774"/>
        <v>0</v>
      </c>
      <c r="VG65" s="235">
        <f t="shared" ca="1" si="496"/>
        <v>8.1017989433788233E-3</v>
      </c>
      <c r="VH65" s="235">
        <f t="shared" ca="1" si="497"/>
        <v>8.1017989433788233E-3</v>
      </c>
      <c r="VI65" s="242">
        <f t="shared" ca="1" si="498"/>
        <v>8.1017989433788233E-3</v>
      </c>
      <c r="VJ65" s="241">
        <f t="shared" ca="1" si="806"/>
        <v>1</v>
      </c>
      <c r="VK65" s="220">
        <f t="shared" ca="1" si="775"/>
        <v>0.14933864677755704</v>
      </c>
      <c r="VL65" s="220">
        <f t="shared" ca="1" si="776"/>
        <v>0</v>
      </c>
      <c r="VM65" s="235">
        <f t="shared" ca="1" si="502"/>
        <v>6.5252984585482295E-3</v>
      </c>
      <c r="VN65" s="235">
        <f t="shared" ca="1" si="503"/>
        <v>6.5252984585482295E-3</v>
      </c>
      <c r="VO65" s="242">
        <f t="shared" ca="1" si="504"/>
        <v>6.5252984585482295E-3</v>
      </c>
      <c r="VP65" s="241">
        <f t="shared" ca="1" si="567"/>
        <v>1</v>
      </c>
      <c r="VQ65" s="220">
        <f t="shared" ca="1" si="777"/>
        <v>0.12186078378642688</v>
      </c>
      <c r="VR65" s="220">
        <f t="shared" ca="1" si="778"/>
        <v>0</v>
      </c>
      <c r="VS65" s="235">
        <f t="shared" ca="1" si="507"/>
        <v>5.1446020464451514E-3</v>
      </c>
      <c r="VT65" s="235">
        <f t="shared" ca="1" si="508"/>
        <v>5.1446020464451514E-3</v>
      </c>
      <c r="VU65" s="242">
        <f t="shared" ca="1" si="509"/>
        <v>5.1446020464451514E-3</v>
      </c>
      <c r="VV65" s="241">
        <f t="shared" ca="1" si="578"/>
        <v>1</v>
      </c>
      <c r="VW65" s="220">
        <f t="shared" ca="1" si="779"/>
        <v>9.714071449143126E-2</v>
      </c>
      <c r="VX65" s="220">
        <f t="shared" ca="1" si="780"/>
        <v>0</v>
      </c>
      <c r="VY65" s="235">
        <f t="shared" ca="1" si="512"/>
        <v>3.9623128486120972E-3</v>
      </c>
      <c r="VZ65" s="235">
        <f t="shared" ca="1" si="513"/>
        <v>3.9623128486120972E-3</v>
      </c>
      <c r="WA65" s="242">
        <f t="shared" ca="1" si="514"/>
        <v>3.9623128486120972E-3</v>
      </c>
      <c r="WB65" s="241">
        <f t="shared" ca="1" si="578"/>
        <v>1</v>
      </c>
      <c r="WC65" s="220">
        <f t="shared" ca="1" si="781"/>
        <v>7.5486980683431834E-2</v>
      </c>
      <c r="WD65" s="220">
        <f t="shared" ca="1" si="782"/>
        <v>0</v>
      </c>
      <c r="WE65" s="235">
        <f t="shared" ca="1" si="517"/>
        <v>2.9749465982754843E-3</v>
      </c>
      <c r="WF65" s="235">
        <f t="shared" ca="1" si="518"/>
        <v>2.9749465982754843E-3</v>
      </c>
      <c r="WG65" s="242">
        <f t="shared" ca="1" si="519"/>
        <v>2.9749465982754843E-3</v>
      </c>
      <c r="WH65" s="241">
        <f t="shared" ca="1" si="578"/>
        <v>1</v>
      </c>
      <c r="WI65" s="220">
        <f t="shared" ca="1" si="783"/>
        <v>5.7061061620490225E-2</v>
      </c>
      <c r="WJ65" s="220">
        <f t="shared" ca="1" si="784"/>
        <v>0</v>
      </c>
      <c r="WK65" s="235">
        <f t="shared" ca="1" si="522"/>
        <v>2.1727342833971291E-3</v>
      </c>
      <c r="WL65" s="235">
        <f t="shared" ca="1" si="523"/>
        <v>2.1727342833971291E-3</v>
      </c>
      <c r="WM65" s="242">
        <f t="shared" ca="1" si="524"/>
        <v>2.1727342833971291E-3</v>
      </c>
      <c r="WN65" s="241">
        <f t="shared" ca="1" si="578"/>
        <v>1</v>
      </c>
      <c r="WO65" s="220">
        <f t="shared" ca="1" si="785"/>
        <v>4.1934687734452851E-2</v>
      </c>
      <c r="WP65" s="220">
        <f t="shared" ca="1" si="786"/>
        <v>0</v>
      </c>
      <c r="WQ65" s="235">
        <f t="shared" ca="1" si="527"/>
        <v>1.5427651975624165E-3</v>
      </c>
      <c r="WR65" s="235">
        <f t="shared" ca="1" si="528"/>
        <v>1.5427651975624165E-3</v>
      </c>
      <c r="WS65" s="242">
        <f t="shared" ca="1" si="529"/>
        <v>1.5427651975624165E-3</v>
      </c>
      <c r="WT65" s="241">
        <f t="shared" ca="1" si="578"/>
        <v>1</v>
      </c>
      <c r="WU65" s="220">
        <f t="shared" ca="1" si="787"/>
        <v>2.9961998908764689E-2</v>
      </c>
      <c r="WV65" s="220">
        <f t="shared" ca="1" si="788"/>
        <v>0</v>
      </c>
      <c r="WW65" s="235">
        <f t="shared" ca="1" si="532"/>
        <v>1.0650177696007403E-3</v>
      </c>
      <c r="WX65" s="235">
        <f t="shared" ca="1" si="533"/>
        <v>1.0650177696007403E-3</v>
      </c>
      <c r="WY65" s="242">
        <f t="shared" ca="1" si="534"/>
        <v>1.0650177696007403E-3</v>
      </c>
      <c r="WZ65" s="241">
        <f t="shared" ca="1" si="578"/>
        <v>1</v>
      </c>
      <c r="XA65" s="220">
        <f t="shared" ca="1" si="789"/>
        <v>2.0825806429510707E-2</v>
      </c>
      <c r="XB65" s="220">
        <f t="shared" ca="1" si="790"/>
        <v>0</v>
      </c>
      <c r="XC65" s="235">
        <f t="shared" ca="1" si="537"/>
        <v>7.1523300597822715E-4</v>
      </c>
      <c r="XD65" s="235">
        <f t="shared" ca="1" si="538"/>
        <v>7.1523300597822715E-4</v>
      </c>
      <c r="XE65" s="242">
        <f t="shared" ca="1" si="539"/>
        <v>7.1523300597822715E-4</v>
      </c>
      <c r="XF65" s="241">
        <f t="shared" ca="1" si="578"/>
        <v>1</v>
      </c>
      <c r="XG65" s="220">
        <f t="shared" ca="1" si="791"/>
        <v>1.410075784309954E-2</v>
      </c>
      <c r="XH65" s="220">
        <f t="shared" ca="1" si="792"/>
        <v>0</v>
      </c>
      <c r="XI65" s="235">
        <f t="shared" ca="1" si="542"/>
        <v>4.6789437576883483E-4</v>
      </c>
      <c r="XJ65" s="235">
        <f t="shared" ca="1" si="543"/>
        <v>4.6789437576883483E-4</v>
      </c>
      <c r="XK65" s="242">
        <f t="shared" ca="1" si="544"/>
        <v>4.6789437576883483E-4</v>
      </c>
    </row>
    <row r="66" spans="2:635" x14ac:dyDescent="0.25">
      <c r="B66" s="65">
        <f t="shared" ca="1" si="14"/>
        <v>2081</v>
      </c>
      <c r="C66" s="65" t="s">
        <v>741</v>
      </c>
      <c r="D66" s="77">
        <f t="shared" si="580"/>
        <v>0</v>
      </c>
      <c r="E66" s="77">
        <f t="shared" si="581"/>
        <v>0</v>
      </c>
      <c r="F66" s="77" t="b">
        <f t="shared" si="793"/>
        <v>0</v>
      </c>
      <c r="G66" s="77" t="b">
        <f t="shared" si="794"/>
        <v>0</v>
      </c>
      <c r="H66" s="15" t="e">
        <f t="shared" ca="1" si="582"/>
        <v>#REF!</v>
      </c>
      <c r="L66" s="326">
        <f t="shared" ca="1" si="583"/>
        <v>3.5000000000000003E-2</v>
      </c>
      <c r="M66" s="327">
        <f t="shared" ca="1" si="584"/>
        <v>3.5000000000000003E-2</v>
      </c>
      <c r="N66" s="322">
        <f t="shared" ca="1" si="579"/>
        <v>-58</v>
      </c>
      <c r="O66" s="322">
        <f t="shared" ca="1" si="585"/>
        <v>0</v>
      </c>
      <c r="P66" s="328">
        <f t="shared" ca="1" si="545"/>
        <v>26.87829936156087</v>
      </c>
      <c r="Q66" s="328">
        <f t="shared" ca="1" si="546"/>
        <v>26.87829936156087</v>
      </c>
      <c r="R66" s="328">
        <f t="shared" ca="1" si="547"/>
        <v>26.87829936156087</v>
      </c>
      <c r="S66" s="329">
        <f t="shared" ca="1" si="586"/>
        <v>3.8642415640549425E-2</v>
      </c>
      <c r="T66" s="329">
        <f t="shared" ca="1" si="587"/>
        <v>3.8642415640549425E-2</v>
      </c>
      <c r="U66" s="329">
        <f t="shared" ca="1" si="588"/>
        <v>3.8642415640549425E-2</v>
      </c>
      <c r="V66" s="320" t="e">
        <f t="shared" ca="1" si="589"/>
        <v>#REF!</v>
      </c>
      <c r="W66" s="320" t="e">
        <f t="shared" ca="1" si="560"/>
        <v>#REF!</v>
      </c>
      <c r="X66" s="320" t="e">
        <f t="shared" ca="1" si="590"/>
        <v>#REF!</v>
      </c>
      <c r="Y66" s="320" t="e">
        <f ca="1">INDEX(SC_ZA_HECMLumpSum,ZAIDX)</f>
        <v>#REF!</v>
      </c>
      <c r="Z66" s="320" t="e">
        <f t="shared" ca="1" si="591"/>
        <v>#REF!</v>
      </c>
      <c r="AA66" s="320" t="e">
        <f t="shared" ca="1" si="557"/>
        <v>#REF!</v>
      </c>
      <c r="AB66" s="320" t="e">
        <f t="shared" ca="1" si="558"/>
        <v>#REF!</v>
      </c>
      <c r="AC66" s="330" t="e">
        <f t="shared" ca="1" si="559"/>
        <v>#REF!</v>
      </c>
      <c r="AD66" s="236" t="e">
        <f t="shared" ca="1" si="548"/>
        <v>#REF!</v>
      </c>
      <c r="AE66" s="320" t="e">
        <f t="shared" ca="1" si="561"/>
        <v>#REF!</v>
      </c>
      <c r="AF66" s="320" t="e">
        <f t="shared" ca="1" si="592"/>
        <v>#REF!</v>
      </c>
      <c r="AG66" s="320" t="e">
        <f t="shared" ca="1" si="549"/>
        <v>#REF!</v>
      </c>
      <c r="AH66" s="284" t="e">
        <f t="shared" ca="1" si="550"/>
        <v>#REF!</v>
      </c>
      <c r="AI66" s="318" t="e">
        <f t="shared" ca="1" si="551"/>
        <v>#REF!</v>
      </c>
      <c r="AJ66" s="331">
        <f t="shared" ca="1" si="807"/>
        <v>1</v>
      </c>
      <c r="AK66" s="220">
        <f t="shared" ca="1" si="593"/>
        <v>1</v>
      </c>
      <c r="AL66" s="220">
        <f t="shared" ca="1" si="594"/>
        <v>0</v>
      </c>
      <c r="AM66" s="235">
        <f t="shared" ca="1" si="554"/>
        <v>1</v>
      </c>
      <c r="AN66" s="235">
        <f t="shared" ca="1" si="555"/>
        <v>1</v>
      </c>
      <c r="AO66" s="242">
        <f t="shared" ca="1" si="556"/>
        <v>1</v>
      </c>
      <c r="AP66" s="241">
        <f t="shared" ca="1" si="807"/>
        <v>1</v>
      </c>
      <c r="AQ66" s="220">
        <f t="shared" ca="1" si="595"/>
        <v>0.99361699999999997</v>
      </c>
      <c r="AR66" s="220">
        <f t="shared" ca="1" si="596"/>
        <v>0</v>
      </c>
      <c r="AS66" s="235">
        <f t="shared" ca="1" si="43"/>
        <v>0.96001642512077301</v>
      </c>
      <c r="AT66" s="235">
        <f t="shared" ca="1" si="44"/>
        <v>0.96001642512077301</v>
      </c>
      <c r="AU66" s="242">
        <f t="shared" ca="1" si="45"/>
        <v>0.96001642512077301</v>
      </c>
      <c r="AV66" s="241">
        <f t="shared" ca="1" si="807"/>
        <v>1</v>
      </c>
      <c r="AW66" s="220">
        <f t="shared" ca="1" si="597"/>
        <v>0.99316689149899995</v>
      </c>
      <c r="AX66" s="220">
        <f t="shared" ca="1" si="598"/>
        <v>0</v>
      </c>
      <c r="AY66" s="235">
        <f t="shared" ca="1" si="48"/>
        <v>0.92713192046395487</v>
      </c>
      <c r="AZ66" s="235">
        <f t="shared" ca="1" si="49"/>
        <v>0.92713192046395487</v>
      </c>
      <c r="BA66" s="242">
        <f t="shared" ca="1" si="50"/>
        <v>0.92713192046395487</v>
      </c>
      <c r="BB66" s="241">
        <f t="shared" ca="1" si="807"/>
        <v>1</v>
      </c>
      <c r="BC66" s="220">
        <f t="shared" ca="1" si="599"/>
        <v>0.99288681843559723</v>
      </c>
      <c r="BD66" s="220">
        <f t="shared" ca="1" si="600"/>
        <v>0</v>
      </c>
      <c r="BE66" s="235">
        <f t="shared" ca="1" si="54"/>
        <v>0.89552702344191704</v>
      </c>
      <c r="BF66" s="235">
        <f t="shared" ca="1" si="55"/>
        <v>0.89552702344191704</v>
      </c>
      <c r="BG66" s="242">
        <f t="shared" ca="1" si="56"/>
        <v>0.89552702344191704</v>
      </c>
      <c r="BH66" s="241">
        <f t="shared" ca="1" si="807"/>
        <v>1</v>
      </c>
      <c r="BI66" s="220">
        <f t="shared" ca="1" si="601"/>
        <v>0.99265845446735712</v>
      </c>
      <c r="BJ66" s="220">
        <f t="shared" ca="1" si="602"/>
        <v>0</v>
      </c>
      <c r="BK66" s="235">
        <f t="shared" ca="1" si="59"/>
        <v>0.86504449490485558</v>
      </c>
      <c r="BL66" s="235">
        <f t="shared" ca="1" si="60"/>
        <v>0.86504449490485558</v>
      </c>
      <c r="BM66" s="242">
        <f t="shared" ca="1" si="61"/>
        <v>0.86504449490485558</v>
      </c>
      <c r="BN66" s="241">
        <f t="shared" ca="1" si="807"/>
        <v>1</v>
      </c>
      <c r="BO66" s="220">
        <f t="shared" ca="1" si="603"/>
        <v>0.99249069518855215</v>
      </c>
      <c r="BP66" s="220">
        <f t="shared" ca="1" si="604"/>
        <v>0</v>
      </c>
      <c r="BQ66" s="235">
        <f t="shared" ca="1" si="64"/>
        <v>0.83565053370552345</v>
      </c>
      <c r="BR66" s="235">
        <f t="shared" ca="1" si="65"/>
        <v>0.83565053370552345</v>
      </c>
      <c r="BS66" s="242">
        <f t="shared" ca="1" si="66"/>
        <v>0.83565053370552345</v>
      </c>
      <c r="BT66" s="241">
        <f t="shared" ca="1" si="807"/>
        <v>1</v>
      </c>
      <c r="BU66" s="220">
        <f t="shared" ca="1" si="605"/>
        <v>0.99233685913079794</v>
      </c>
      <c r="BV66" s="220">
        <f t="shared" ca="1" si="606"/>
        <v>0</v>
      </c>
      <c r="BW66" s="235">
        <f t="shared" ca="1" si="69"/>
        <v>0.80726667427323584</v>
      </c>
      <c r="BX66" s="235">
        <f t="shared" ca="1" si="70"/>
        <v>0.80726667427323584</v>
      </c>
      <c r="BY66" s="242">
        <f t="shared" ca="1" si="71"/>
        <v>0.80726667427323584</v>
      </c>
      <c r="BZ66" s="241">
        <f t="shared" ca="1" si="807"/>
        <v>1</v>
      </c>
      <c r="CA66" s="220">
        <f t="shared" ca="1" si="607"/>
        <v>0.992192970286224</v>
      </c>
      <c r="CB66" s="220">
        <f t="shared" ca="1" si="608"/>
        <v>0</v>
      </c>
      <c r="CC66" s="235">
        <f t="shared" ca="1" si="74"/>
        <v>0.7798547058990013</v>
      </c>
      <c r="CD66" s="235">
        <f t="shared" ca="1" si="75"/>
        <v>0.7798547058990013</v>
      </c>
      <c r="CE66" s="242">
        <f t="shared" ca="1" si="76"/>
        <v>0.7798547058990013</v>
      </c>
      <c r="CF66" s="241">
        <f t="shared" ca="1" si="807"/>
        <v>1</v>
      </c>
      <c r="CG66" s="220">
        <f t="shared" ca="1" si="609"/>
        <v>0.9920590242352354</v>
      </c>
      <c r="CH66" s="220">
        <f t="shared" ca="1" si="610"/>
        <v>0</v>
      </c>
      <c r="CI66" s="235">
        <f t="shared" ca="1" si="79"/>
        <v>0.75338108745285515</v>
      </c>
      <c r="CJ66" s="235">
        <f t="shared" ca="1" si="80"/>
        <v>0.75338108745285515</v>
      </c>
      <c r="CK66" s="242">
        <f t="shared" ca="1" si="81"/>
        <v>0.75338108745285515</v>
      </c>
      <c r="CL66" s="241">
        <f t="shared" ca="1" si="807"/>
        <v>1</v>
      </c>
      <c r="CM66" s="220">
        <f t="shared" ca="1" si="611"/>
        <v>0.99193997715232718</v>
      </c>
      <c r="CN66" s="220">
        <f t="shared" ca="1" si="612"/>
        <v>0</v>
      </c>
      <c r="CO66" s="235">
        <f t="shared" ca="1" si="84"/>
        <v>0.72781708378972065</v>
      </c>
      <c r="CP66" s="235">
        <f t="shared" ca="1" si="85"/>
        <v>0.72781708378972065</v>
      </c>
      <c r="CQ66" s="242">
        <f t="shared" ca="1" si="86"/>
        <v>0.72781708378972065</v>
      </c>
      <c r="CR66" s="241">
        <f t="shared" ca="1" si="807"/>
        <v>1</v>
      </c>
      <c r="CS66" s="220">
        <f t="shared" ca="1" si="613"/>
        <v>0.99183582345472621</v>
      </c>
      <c r="CT66" s="220">
        <f t="shared" ca="1" si="614"/>
        <v>0</v>
      </c>
      <c r="CU66" s="235">
        <f t="shared" ca="1" si="89"/>
        <v>0.70313107535837949</v>
      </c>
      <c r="CV66" s="235">
        <f t="shared" ca="1" si="90"/>
        <v>0.70313107535837949</v>
      </c>
      <c r="CW66" s="242">
        <f t="shared" ca="1" si="91"/>
        <v>0.70313107535837949</v>
      </c>
      <c r="CX66" s="241">
        <f t="shared" ca="1" si="800"/>
        <v>1</v>
      </c>
      <c r="CY66" s="220">
        <f t="shared" ca="1" si="615"/>
        <v>0.99174259088732142</v>
      </c>
      <c r="CZ66" s="220">
        <f t="shared" ca="1" si="616"/>
        <v>0</v>
      </c>
      <c r="DA66" s="235">
        <f t="shared" ca="1" si="94"/>
        <v>0.6792898367510104</v>
      </c>
      <c r="DB66" s="235">
        <f t="shared" ca="1" si="95"/>
        <v>0.6792898367510104</v>
      </c>
      <c r="DC66" s="242">
        <f t="shared" ca="1" si="96"/>
        <v>0.6792898367510104</v>
      </c>
      <c r="DD66" s="241">
        <f t="shared" ca="1" si="800"/>
        <v>1</v>
      </c>
      <c r="DE66" s="220">
        <f t="shared" ca="1" si="617"/>
        <v>0.99164440837082357</v>
      </c>
      <c r="DF66" s="220">
        <f t="shared" ca="1" si="618"/>
        <v>0</v>
      </c>
      <c r="DG66" s="235">
        <f t="shared" ca="1" si="99"/>
        <v>0.65625370730161559</v>
      </c>
      <c r="DH66" s="235">
        <f t="shared" ca="1" si="100"/>
        <v>0.65625370730161559</v>
      </c>
      <c r="DI66" s="242">
        <f t="shared" ca="1" si="101"/>
        <v>0.65625370730161559</v>
      </c>
      <c r="DJ66" s="241">
        <f t="shared" ca="1" si="51"/>
        <v>1</v>
      </c>
      <c r="DK66" s="220">
        <f t="shared" ca="1" si="619"/>
        <v>0.9915115280201019</v>
      </c>
      <c r="DL66" s="220">
        <f t="shared" ca="1" si="620"/>
        <v>0</v>
      </c>
      <c r="DM66" s="235">
        <f t="shared" ca="1" si="104"/>
        <v>0.63397658870032592</v>
      </c>
      <c r="DN66" s="235">
        <f t="shared" ca="1" si="105"/>
        <v>0.63397658870032592</v>
      </c>
      <c r="DO66" s="242">
        <f t="shared" ca="1" si="106"/>
        <v>0.63397658870032592</v>
      </c>
      <c r="DP66" s="241">
        <f t="shared" ca="1" si="801"/>
        <v>1</v>
      </c>
      <c r="DQ66" s="220">
        <f t="shared" ca="1" si="621"/>
        <v>0.99130628513380181</v>
      </c>
      <c r="DR66" s="220">
        <f t="shared" ca="1" si="622"/>
        <v>0</v>
      </c>
      <c r="DS66" s="235">
        <f t="shared" ca="1" si="110"/>
        <v>0.61241097154247814</v>
      </c>
      <c r="DT66" s="235">
        <f t="shared" ca="1" si="111"/>
        <v>0.61241097154247814</v>
      </c>
      <c r="DU66" s="242">
        <f t="shared" ca="1" si="112"/>
        <v>0.61241097154247814</v>
      </c>
      <c r="DV66" s="241">
        <f t="shared" ca="1" si="801"/>
        <v>1</v>
      </c>
      <c r="DW66" s="220">
        <f t="shared" ca="1" si="623"/>
        <v>0.9909999714916955</v>
      </c>
      <c r="DX66" s="220">
        <f t="shared" ca="1" si="624"/>
        <v>0</v>
      </c>
      <c r="DY66" s="235">
        <f t="shared" ca="1" si="115"/>
        <v>0.59151858604084218</v>
      </c>
      <c r="DZ66" s="235">
        <f t="shared" ca="1" si="116"/>
        <v>0.59151858604084218</v>
      </c>
      <c r="EA66" s="242">
        <f t="shared" ca="1" si="117"/>
        <v>0.59151858604084218</v>
      </c>
      <c r="EB66" s="241">
        <f t="shared" ca="1" si="801"/>
        <v>1</v>
      </c>
      <c r="EC66" s="220">
        <f t="shared" ca="1" si="625"/>
        <v>0.99058474250364048</v>
      </c>
      <c r="ED66" s="220">
        <f t="shared" ca="1" si="626"/>
        <v>0</v>
      </c>
      <c r="EE66" s="235">
        <f t="shared" ca="1" si="120"/>
        <v>0.57127607705632</v>
      </c>
      <c r="EF66" s="235">
        <f t="shared" ca="1" si="121"/>
        <v>0.57127607705632</v>
      </c>
      <c r="EG66" s="242">
        <f t="shared" ca="1" si="122"/>
        <v>0.57127607705632</v>
      </c>
      <c r="EH66" s="241">
        <f t="shared" ca="1" si="801"/>
        <v>1</v>
      </c>
      <c r="EI66" s="220">
        <f t="shared" ca="1" si="627"/>
        <v>0.99005973259011348</v>
      </c>
      <c r="EJ66" s="220">
        <f t="shared" ca="1" si="628"/>
        <v>0</v>
      </c>
      <c r="EK66" s="235">
        <f t="shared" ca="1" si="125"/>
        <v>0.55166502486519819</v>
      </c>
      <c r="EL66" s="235">
        <f t="shared" ca="1" si="126"/>
        <v>0.55166502486519819</v>
      </c>
      <c r="EM66" s="242">
        <f t="shared" ca="1" si="127"/>
        <v>0.55166502486519819</v>
      </c>
      <c r="EN66" s="241">
        <f t="shared" ca="1" si="801"/>
        <v>1</v>
      </c>
      <c r="EO66" s="220">
        <f t="shared" ca="1" si="629"/>
        <v>0.98941124346526699</v>
      </c>
      <c r="EP66" s="220">
        <f t="shared" ca="1" si="630"/>
        <v>0</v>
      </c>
      <c r="EQ66" s="235">
        <f t="shared" ca="1" si="130"/>
        <v>0.53266056451585653</v>
      </c>
      <c r="ER66" s="235">
        <f t="shared" ca="1" si="131"/>
        <v>0.53266056451585653</v>
      </c>
      <c r="ES66" s="242">
        <f t="shared" ca="1" si="132"/>
        <v>0.53266056451585653</v>
      </c>
      <c r="ET66" s="241">
        <f t="shared" ca="1" si="801"/>
        <v>1</v>
      </c>
      <c r="EU66" s="220">
        <f t="shared" ca="1" si="631"/>
        <v>0.98862861917168599</v>
      </c>
      <c r="EV66" s="220">
        <f t="shared" ca="1" si="632"/>
        <v>0</v>
      </c>
      <c r="EW66" s="235">
        <f t="shared" ca="1" si="135"/>
        <v>0.51424080194137645</v>
      </c>
      <c r="EX66" s="235">
        <f t="shared" ca="1" si="136"/>
        <v>0.51424080194137645</v>
      </c>
      <c r="EY66" s="242">
        <f t="shared" ca="1" si="137"/>
        <v>0.51424080194137645</v>
      </c>
      <c r="EZ66" s="241">
        <f t="shared" ca="1" si="801"/>
        <v>1</v>
      </c>
      <c r="FA66" s="220">
        <f t="shared" ca="1" si="633"/>
        <v>0.98770524004137961</v>
      </c>
      <c r="FB66" s="220">
        <f t="shared" ca="1" si="634"/>
        <v>0</v>
      </c>
      <c r="FC66" s="235">
        <f t="shared" ca="1" si="140"/>
        <v>0.49638695751919149</v>
      </c>
      <c r="FD66" s="235">
        <f t="shared" ca="1" si="141"/>
        <v>0.49638695751919149</v>
      </c>
      <c r="FE66" s="242">
        <f t="shared" ca="1" si="142"/>
        <v>0.49638695751919149</v>
      </c>
      <c r="FF66" s="241">
        <f t="shared" ca="1" si="801"/>
        <v>1</v>
      </c>
      <c r="FG66" s="220">
        <f t="shared" ca="1" si="635"/>
        <v>0.98663357985593469</v>
      </c>
      <c r="FH66" s="220">
        <f t="shared" ca="1" si="636"/>
        <v>0</v>
      </c>
      <c r="FI66" s="235">
        <f t="shared" ca="1" si="145"/>
        <v>0.4790805581355394</v>
      </c>
      <c r="FJ66" s="235">
        <f t="shared" ca="1" si="146"/>
        <v>0.4790805581355394</v>
      </c>
      <c r="FK66" s="242">
        <f t="shared" ca="1" si="147"/>
        <v>0.4790805581355394</v>
      </c>
      <c r="FL66" s="241">
        <f t="shared" ca="1" si="801"/>
        <v>1</v>
      </c>
      <c r="FM66" s="220">
        <f t="shared" ca="1" si="637"/>
        <v>0.98542199381987161</v>
      </c>
      <c r="FN66" s="220">
        <f t="shared" ca="1" si="638"/>
        <v>0</v>
      </c>
      <c r="FO66" s="235">
        <f t="shared" ca="1" si="150"/>
        <v>0.46231134996149653</v>
      </c>
      <c r="FP66" s="235">
        <f t="shared" ca="1" si="151"/>
        <v>0.46231134996149653</v>
      </c>
      <c r="FQ66" s="242">
        <f t="shared" ca="1" si="152"/>
        <v>0.46231134996149653</v>
      </c>
      <c r="FR66" s="241">
        <f t="shared" ca="1" si="801"/>
        <v>1</v>
      </c>
      <c r="FS66" s="220">
        <f t="shared" ca="1" si="639"/>
        <v>0.98410251377014679</v>
      </c>
      <c r="FT66" s="220">
        <f t="shared" ca="1" si="640"/>
        <v>0</v>
      </c>
      <c r="FU66" s="235">
        <f t="shared" ca="1" si="155"/>
        <v>0.44607953146270346</v>
      </c>
      <c r="FV66" s="235">
        <f t="shared" ca="1" si="156"/>
        <v>0.44607953146270346</v>
      </c>
      <c r="FW66" s="242">
        <f t="shared" ca="1" si="157"/>
        <v>0.44607953146270346</v>
      </c>
      <c r="FX66" s="241">
        <f t="shared" ca="1" si="801"/>
        <v>1</v>
      </c>
      <c r="FY66" s="220">
        <f t="shared" ca="1" si="641"/>
        <v>0.98272181794332725</v>
      </c>
      <c r="FZ66" s="220">
        <f t="shared" ca="1" si="642"/>
        <v>0</v>
      </c>
      <c r="GA66" s="235">
        <f t="shared" ca="1" si="160"/>
        <v>0.43039003080199167</v>
      </c>
      <c r="GB66" s="235">
        <f t="shared" ca="1" si="161"/>
        <v>0.43039003080199167</v>
      </c>
      <c r="GC66" s="242">
        <f t="shared" ca="1" si="162"/>
        <v>0.43039003080199167</v>
      </c>
      <c r="GD66" s="241">
        <f t="shared" ca="1" si="795"/>
        <v>1</v>
      </c>
      <c r="GE66" s="220">
        <f t="shared" ca="1" si="643"/>
        <v>0.98131357757821447</v>
      </c>
      <c r="GF66" s="220">
        <f t="shared" ca="1" si="644"/>
        <v>0</v>
      </c>
      <c r="GG66" s="235">
        <f t="shared" ca="1" si="166"/>
        <v>0.41523988588198307</v>
      </c>
      <c r="GH66" s="235">
        <f t="shared" ca="1" si="167"/>
        <v>0.41523988588198307</v>
      </c>
      <c r="GI66" s="242">
        <f t="shared" ca="1" si="168"/>
        <v>0.41523988588198307</v>
      </c>
      <c r="GJ66" s="241">
        <f t="shared" ca="1" si="795"/>
        <v>1</v>
      </c>
      <c r="GK66" s="220">
        <f t="shared" ca="1" si="645"/>
        <v>0.97988969157714845</v>
      </c>
      <c r="GL66" s="220">
        <f t="shared" ca="1" si="646"/>
        <v>0</v>
      </c>
      <c r="GM66" s="235">
        <f t="shared" ca="1" si="171"/>
        <v>0.40061581913774713</v>
      </c>
      <c r="GN66" s="235">
        <f t="shared" ca="1" si="172"/>
        <v>0.40061581913774713</v>
      </c>
      <c r="GO66" s="242">
        <f t="shared" ca="1" si="173"/>
        <v>0.40061581913774713</v>
      </c>
      <c r="GP66" s="241">
        <f t="shared" ca="1" si="802"/>
        <v>1</v>
      </c>
      <c r="GQ66" s="220">
        <f t="shared" ca="1" si="647"/>
        <v>0.9784443542820721</v>
      </c>
      <c r="GR66" s="220">
        <f t="shared" ca="1" si="648"/>
        <v>0</v>
      </c>
      <c r="GS66" s="235">
        <f t="shared" ca="1" si="176"/>
        <v>0.38649749836185404</v>
      </c>
      <c r="GT66" s="235">
        <f t="shared" ca="1" si="177"/>
        <v>0.38649749836185404</v>
      </c>
      <c r="GU66" s="242">
        <f t="shared" ca="1" si="178"/>
        <v>0.38649749836185404</v>
      </c>
      <c r="GV66" s="241">
        <f t="shared" ca="1" si="802"/>
        <v>1</v>
      </c>
      <c r="GW66" s="220">
        <f t="shared" ca="1" si="649"/>
        <v>0.97697473086194042</v>
      </c>
      <c r="GX66" s="220">
        <f t="shared" ca="1" si="650"/>
        <v>0</v>
      </c>
      <c r="GY66" s="235">
        <f t="shared" ca="1" si="181"/>
        <v>0.37286664649209134</v>
      </c>
      <c r="GZ66" s="235">
        <f t="shared" ca="1" si="182"/>
        <v>0.37286664649209134</v>
      </c>
      <c r="HA66" s="242">
        <f t="shared" ca="1" si="183"/>
        <v>0.37286664649209134</v>
      </c>
      <c r="HB66" s="241">
        <f t="shared" ca="1" si="802"/>
        <v>1</v>
      </c>
      <c r="HC66" s="220">
        <f t="shared" ca="1" si="651"/>
        <v>0.97547214372587476</v>
      </c>
      <c r="HD66" s="220">
        <f t="shared" ca="1" si="652"/>
        <v>0</v>
      </c>
      <c r="HE66" s="235">
        <f t="shared" ca="1" si="186"/>
        <v>0.35970355322684694</v>
      </c>
      <c r="HF66" s="235">
        <f t="shared" ca="1" si="187"/>
        <v>0.35970355322684694</v>
      </c>
      <c r="HG66" s="242">
        <f t="shared" ca="1" si="188"/>
        <v>0.35970355322684694</v>
      </c>
      <c r="HH66" s="241">
        <f t="shared" ca="1" si="802"/>
        <v>1</v>
      </c>
      <c r="HI66" s="220">
        <f t="shared" ca="1" si="653"/>
        <v>0.9739299222666441</v>
      </c>
      <c r="HJ66" s="220">
        <f t="shared" ca="1" si="654"/>
        <v>0</v>
      </c>
      <c r="HK66" s="235">
        <f t="shared" ca="1" si="191"/>
        <v>0.34699020474318382</v>
      </c>
      <c r="HL66" s="235">
        <f t="shared" ca="1" si="192"/>
        <v>0.34699020474318382</v>
      </c>
      <c r="HM66" s="242">
        <f t="shared" ca="1" si="193"/>
        <v>0.34699020474318382</v>
      </c>
      <c r="HN66" s="241">
        <f t="shared" ca="1" si="802"/>
        <v>1</v>
      </c>
      <c r="HO66" s="220">
        <f t="shared" ca="1" si="655"/>
        <v>0.97234631221303847</v>
      </c>
      <c r="HP66" s="220">
        <f t="shared" ca="1" si="656"/>
        <v>0</v>
      </c>
      <c r="HQ66" s="235">
        <f t="shared" ca="1" si="196"/>
        <v>0.33471110982634922</v>
      </c>
      <c r="HR66" s="235">
        <f t="shared" ca="1" si="197"/>
        <v>0.33471110982634922</v>
      </c>
      <c r="HS66" s="242">
        <f t="shared" ca="1" si="198"/>
        <v>0.33471110982634922</v>
      </c>
      <c r="HT66" s="241">
        <f t="shared" ca="1" si="802"/>
        <v>1</v>
      </c>
      <c r="HU66" s="220">
        <f t="shared" ca="1" si="657"/>
        <v>0.97072346621795491</v>
      </c>
      <c r="HV66" s="220">
        <f t="shared" ca="1" si="658"/>
        <v>0</v>
      </c>
      <c r="HW66" s="235">
        <f t="shared" ca="1" si="201"/>
        <v>0.32285263476719722</v>
      </c>
      <c r="HX66" s="235">
        <f t="shared" ca="1" si="202"/>
        <v>0.32285263476719722</v>
      </c>
      <c r="HY66" s="242">
        <f t="shared" ca="1" si="203"/>
        <v>0.32285263476719722</v>
      </c>
      <c r="HZ66" s="241">
        <f t="shared" ca="1" si="802"/>
        <v>1</v>
      </c>
      <c r="IA66" s="220">
        <f t="shared" ca="1" si="659"/>
        <v>0.96906158764378969</v>
      </c>
      <c r="IB66" s="220">
        <f t="shared" ca="1" si="660"/>
        <v>0</v>
      </c>
      <c r="IC66" s="235">
        <f t="shared" ca="1" si="206"/>
        <v>0.31140088024780266</v>
      </c>
      <c r="ID66" s="235">
        <f t="shared" ca="1" si="207"/>
        <v>0.31140088024780266</v>
      </c>
      <c r="IE66" s="242">
        <f t="shared" ca="1" si="208"/>
        <v>0.31140088024780266</v>
      </c>
      <c r="IF66" s="241">
        <f t="shared" ca="1" si="802"/>
        <v>1</v>
      </c>
      <c r="IG66" s="220">
        <f t="shared" ca="1" si="661"/>
        <v>0.96736088455747493</v>
      </c>
      <c r="IH66" s="220">
        <f t="shared" ca="1" si="662"/>
        <v>0</v>
      </c>
      <c r="II66" s="235">
        <f t="shared" ca="1" si="211"/>
        <v>0.30034238811880948</v>
      </c>
      <c r="IJ66" s="235">
        <f t="shared" ca="1" si="212"/>
        <v>0.30034238811880948</v>
      </c>
      <c r="IK66" s="242">
        <f t="shared" ca="1" si="213"/>
        <v>0.30034238811880948</v>
      </c>
      <c r="IL66" s="241">
        <f t="shared" ca="1" si="802"/>
        <v>1</v>
      </c>
      <c r="IM66" s="220">
        <f t="shared" ca="1" si="663"/>
        <v>0.96561963496527148</v>
      </c>
      <c r="IN66" s="220">
        <f t="shared" ca="1" si="664"/>
        <v>0</v>
      </c>
      <c r="IO66" s="235">
        <f t="shared" ca="1" si="216"/>
        <v>0.28966354765236296</v>
      </c>
      <c r="IP66" s="235">
        <f t="shared" ca="1" si="217"/>
        <v>0.28966354765236296</v>
      </c>
      <c r="IQ66" s="242">
        <f t="shared" ca="1" si="218"/>
        <v>0.28966354765236296</v>
      </c>
      <c r="IR66" s="241">
        <f t="shared" ca="1" si="802"/>
        <v>1</v>
      </c>
      <c r="IS66" s="220">
        <f t="shared" ca="1" si="665"/>
        <v>0.96382841054241086</v>
      </c>
      <c r="IT66" s="220">
        <f t="shared" ca="1" si="666"/>
        <v>0</v>
      </c>
      <c r="IU66" s="235">
        <f t="shared" ca="1" si="222"/>
        <v>0.27934900654248102</v>
      </c>
      <c r="IV66" s="235">
        <f t="shared" ca="1" si="223"/>
        <v>0.27934900654248102</v>
      </c>
      <c r="IW66" s="242">
        <f t="shared" ca="1" si="224"/>
        <v>0.27934900654248102</v>
      </c>
      <c r="IX66" s="241">
        <f t="shared" ca="1" si="802"/>
        <v>1</v>
      </c>
      <c r="IY66" s="220">
        <f t="shared" ca="1" si="667"/>
        <v>0.9619778599941694</v>
      </c>
      <c r="IZ66" s="220">
        <f t="shared" ca="1" si="668"/>
        <v>0</v>
      </c>
      <c r="JA66" s="235">
        <f t="shared" ca="1" si="227"/>
        <v>0.26938420913035699</v>
      </c>
      <c r="JB66" s="235">
        <f t="shared" ca="1" si="228"/>
        <v>0.26938420913035699</v>
      </c>
      <c r="JC66" s="242">
        <f t="shared" ca="1" si="229"/>
        <v>0.26938420913035699</v>
      </c>
      <c r="JD66" s="241">
        <f t="shared" ca="1" si="796"/>
        <v>1</v>
      </c>
      <c r="JE66" s="220">
        <f t="shared" ca="1" si="669"/>
        <v>0.96006544800850102</v>
      </c>
      <c r="JF66" s="220">
        <f t="shared" ca="1" si="670"/>
        <v>0</v>
      </c>
      <c r="JG66" s="235">
        <f t="shared" ca="1" si="232"/>
        <v>0.25975717229237277</v>
      </c>
      <c r="JH66" s="235">
        <f t="shared" ca="1" si="233"/>
        <v>0.25975717229237277</v>
      </c>
      <c r="JI66" s="242">
        <f t="shared" ca="1" si="234"/>
        <v>0.25975717229237277</v>
      </c>
      <c r="JJ66" s="241">
        <f t="shared" ca="1" si="796"/>
        <v>1</v>
      </c>
      <c r="JK66" s="220">
        <f t="shared" ca="1" si="671"/>
        <v>0.9580877131856036</v>
      </c>
      <c r="JL66" s="220">
        <f t="shared" ca="1" si="672"/>
        <v>0</v>
      </c>
      <c r="JM66" s="235">
        <f t="shared" ca="1" si="237"/>
        <v>0.25045610871251262</v>
      </c>
      <c r="JN66" s="235">
        <f t="shared" ca="1" si="238"/>
        <v>0.25045610871251262</v>
      </c>
      <c r="JO66" s="242">
        <f t="shared" ca="1" si="239"/>
        <v>0.25045610871251262</v>
      </c>
      <c r="JP66" s="241">
        <f t="shared" ca="1" si="803"/>
        <v>1</v>
      </c>
      <c r="JQ66" s="220">
        <f t="shared" ca="1" si="673"/>
        <v>0.95603644739167326</v>
      </c>
      <c r="JR66" s="220">
        <f t="shared" ca="1" si="674"/>
        <v>0</v>
      </c>
      <c r="JS66" s="235">
        <f t="shared" ca="1" si="242"/>
        <v>0.24146848520169967</v>
      </c>
      <c r="JT66" s="235">
        <f t="shared" ca="1" si="243"/>
        <v>0.24146848520169967</v>
      </c>
      <c r="JU66" s="242">
        <f t="shared" ca="1" si="244"/>
        <v>0.24146848520169967</v>
      </c>
      <c r="JV66" s="241">
        <f t="shared" ca="1" si="803"/>
        <v>1</v>
      </c>
      <c r="JW66" s="220">
        <f t="shared" ca="1" si="675"/>
        <v>0.95389492574951584</v>
      </c>
      <c r="JX66" s="220">
        <f t="shared" ca="1" si="676"/>
        <v>0</v>
      </c>
      <c r="JY66" s="235">
        <f t="shared" ca="1" si="247"/>
        <v>0.23278028579212359</v>
      </c>
      <c r="JZ66" s="235">
        <f t="shared" ca="1" si="248"/>
        <v>0.23278028579212359</v>
      </c>
      <c r="KA66" s="242">
        <f t="shared" ca="1" si="249"/>
        <v>0.23278028579212359</v>
      </c>
      <c r="KB66" s="241">
        <f t="shared" ca="1" si="803"/>
        <v>1</v>
      </c>
      <c r="KC66" s="220">
        <f t="shared" ca="1" si="677"/>
        <v>0.95164182593489555</v>
      </c>
      <c r="KD66" s="220">
        <f t="shared" ca="1" si="678"/>
        <v>0</v>
      </c>
      <c r="KE66" s="235">
        <f t="shared" ca="1" si="252"/>
        <v>0.22437725483776094</v>
      </c>
      <c r="KF66" s="235">
        <f t="shared" ca="1" si="253"/>
        <v>0.22437725483776094</v>
      </c>
      <c r="KG66" s="242">
        <f t="shared" ca="1" si="254"/>
        <v>0.22437725483776094</v>
      </c>
      <c r="KH66" s="241">
        <f t="shared" ca="1" si="803"/>
        <v>1</v>
      </c>
      <c r="KI66" s="220">
        <f t="shared" ca="1" si="679"/>
        <v>0.94925415659362489</v>
      </c>
      <c r="KJ66" s="220">
        <f t="shared" ca="1" si="680"/>
        <v>0</v>
      </c>
      <c r="KK66" s="235">
        <f t="shared" ca="1" si="257"/>
        <v>0.21624569304866956</v>
      </c>
      <c r="KL66" s="235">
        <f t="shared" ca="1" si="258"/>
        <v>0.21624569304866956</v>
      </c>
      <c r="KM66" s="242">
        <f t="shared" ca="1" si="259"/>
        <v>0.21624569304866956</v>
      </c>
      <c r="KN66" s="241">
        <f t="shared" ca="1" si="803"/>
        <v>1</v>
      </c>
      <c r="KO66" s="220">
        <f t="shared" ca="1" si="681"/>
        <v>0.94670635843732753</v>
      </c>
      <c r="KP66" s="220">
        <f t="shared" ca="1" si="682"/>
        <v>0</v>
      </c>
      <c r="KQ66" s="235">
        <f t="shared" ca="1" si="262"/>
        <v>0.2083722604913304</v>
      </c>
      <c r="KR66" s="235">
        <f t="shared" ca="1" si="263"/>
        <v>0.2083722604913304</v>
      </c>
      <c r="KS66" s="242">
        <f t="shared" ca="1" si="264"/>
        <v>0.2083722604913304</v>
      </c>
      <c r="KT66" s="241">
        <f t="shared" ca="1" si="803"/>
        <v>1</v>
      </c>
      <c r="KU66" s="220">
        <f t="shared" ca="1" si="683"/>
        <v>0.94397037706144371</v>
      </c>
      <c r="KV66" s="220">
        <f t="shared" ca="1" si="684"/>
        <v>0</v>
      </c>
      <c r="KW66" s="235">
        <f t="shared" ca="1" si="267"/>
        <v>0.20074402382464779</v>
      </c>
      <c r="KX66" s="235">
        <f t="shared" ca="1" si="268"/>
        <v>0.20074402382464779</v>
      </c>
      <c r="KY66" s="242">
        <f t="shared" ca="1" si="269"/>
        <v>0.20074402382464779</v>
      </c>
      <c r="KZ66" s="241">
        <f t="shared" ca="1" si="803"/>
        <v>1</v>
      </c>
      <c r="LA66" s="220">
        <f t="shared" ca="1" si="685"/>
        <v>0.94102424551463493</v>
      </c>
      <c r="LB66" s="220">
        <f t="shared" ca="1" si="686"/>
        <v>0</v>
      </c>
      <c r="LC66" s="235">
        <f t="shared" ca="1" si="272"/>
        <v>0.19335024321380778</v>
      </c>
      <c r="LD66" s="235">
        <f t="shared" ca="1" si="273"/>
        <v>0.19335024321380778</v>
      </c>
      <c r="LE66" s="242">
        <f t="shared" ca="1" si="274"/>
        <v>0.19335024321380778</v>
      </c>
      <c r="LF66" s="241">
        <f t="shared" ca="1" si="803"/>
        <v>1</v>
      </c>
      <c r="LG66" s="220">
        <f t="shared" ca="1" si="687"/>
        <v>0.93783793741932242</v>
      </c>
      <c r="LH66" s="220">
        <f t="shared" ca="1" si="688"/>
        <v>0</v>
      </c>
      <c r="LI66" s="235">
        <f t="shared" ca="1" si="278"/>
        <v>0.18617928433844047</v>
      </c>
      <c r="LJ66" s="235">
        <f t="shared" ca="1" si="279"/>
        <v>0.18617928433844047</v>
      </c>
      <c r="LK66" s="242">
        <f t="shared" ca="1" si="280"/>
        <v>0.18617928433844047</v>
      </c>
      <c r="LL66" s="241">
        <f t="shared" ca="1" si="803"/>
        <v>1</v>
      </c>
      <c r="LM66" s="220">
        <f t="shared" ca="1" si="689"/>
        <v>0.93436137218530901</v>
      </c>
      <c r="LN66" s="220">
        <f t="shared" ca="1" si="690"/>
        <v>0</v>
      </c>
      <c r="LO66" s="235">
        <f t="shared" ca="1" si="283"/>
        <v>0.17921653887091585</v>
      </c>
      <c r="LP66" s="235">
        <f t="shared" ca="1" si="284"/>
        <v>0.17921653887091585</v>
      </c>
      <c r="LQ66" s="242">
        <f t="shared" ca="1" si="285"/>
        <v>0.17921653887091585</v>
      </c>
      <c r="LR66" s="241">
        <f t="shared" ca="1" si="803"/>
        <v>1</v>
      </c>
      <c r="LS66" s="220">
        <f t="shared" ca="1" si="691"/>
        <v>0.93053889981169891</v>
      </c>
      <c r="LT66" s="220">
        <f t="shared" ca="1" si="692"/>
        <v>0</v>
      </c>
      <c r="LU66" s="235">
        <f t="shared" ca="1" si="288"/>
        <v>0.17244769469603377</v>
      </c>
      <c r="LV66" s="235">
        <f t="shared" ca="1" si="289"/>
        <v>0.17244769469603377</v>
      </c>
      <c r="LW66" s="242">
        <f t="shared" ca="1" si="290"/>
        <v>0.17244769469603377</v>
      </c>
      <c r="LX66" s="241">
        <f t="shared" ca="1" si="803"/>
        <v>1</v>
      </c>
      <c r="LY66" s="220">
        <f t="shared" ca="1" si="693"/>
        <v>0.92632262805665211</v>
      </c>
      <c r="LZ66" s="220">
        <f t="shared" ca="1" si="694"/>
        <v>0</v>
      </c>
      <c r="MA66" s="235">
        <f t="shared" ca="1" si="293"/>
        <v>0.16586119245542613</v>
      </c>
      <c r="MB66" s="235">
        <f t="shared" ca="1" si="294"/>
        <v>0.16586119245542613</v>
      </c>
      <c r="MC66" s="242">
        <f t="shared" ca="1" si="295"/>
        <v>0.16586119245542613</v>
      </c>
      <c r="MD66" s="241">
        <f t="shared" ca="1" si="797"/>
        <v>1</v>
      </c>
      <c r="ME66" s="220">
        <f t="shared" ca="1" si="695"/>
        <v>0.92167897272220412</v>
      </c>
      <c r="MF66" s="220">
        <f t="shared" ca="1" si="696"/>
        <v>0</v>
      </c>
      <c r="MG66" s="235">
        <f t="shared" ca="1" si="298"/>
        <v>0.15944901478033538</v>
      </c>
      <c r="MH66" s="235">
        <f t="shared" ca="1" si="299"/>
        <v>0.15944901478033538</v>
      </c>
      <c r="MI66" s="242">
        <f t="shared" ca="1" si="300"/>
        <v>0.15944901478033538</v>
      </c>
      <c r="MJ66" s="241">
        <f t="shared" ca="1" si="797"/>
        <v>1</v>
      </c>
      <c r="MK66" s="220">
        <f t="shared" ca="1" si="697"/>
        <v>0.91658761807688671</v>
      </c>
      <c r="ML66" s="220">
        <f t="shared" ca="1" si="698"/>
        <v>0</v>
      </c>
      <c r="MM66" s="235">
        <f t="shared" ca="1" si="303"/>
        <v>0.15320600813786359</v>
      </c>
      <c r="MN66" s="235">
        <f t="shared" ca="1" si="304"/>
        <v>0.15320600813786359</v>
      </c>
      <c r="MO66" s="242">
        <f t="shared" ca="1" si="305"/>
        <v>0.15320600813786359</v>
      </c>
      <c r="MP66" s="241">
        <f t="shared" ca="1" si="804"/>
        <v>1</v>
      </c>
      <c r="MQ66" s="220">
        <f t="shared" ca="1" si="699"/>
        <v>0.91103401369895887</v>
      </c>
      <c r="MR66" s="220">
        <f t="shared" ca="1" si="700"/>
        <v>0</v>
      </c>
      <c r="MS66" s="235">
        <f t="shared" ca="1" si="308"/>
        <v>0.1471282443812138</v>
      </c>
      <c r="MT66" s="235">
        <f t="shared" ca="1" si="309"/>
        <v>0.1471282443812138</v>
      </c>
      <c r="MU66" s="242">
        <f t="shared" ca="1" si="310"/>
        <v>0.1471282443812138</v>
      </c>
      <c r="MV66" s="241">
        <f t="shared" ca="1" si="804"/>
        <v>1</v>
      </c>
      <c r="MW66" s="220">
        <f t="shared" ca="1" si="701"/>
        <v>0.90501116783439506</v>
      </c>
      <c r="MX66" s="220">
        <f t="shared" ca="1" si="702"/>
        <v>0</v>
      </c>
      <c r="MY66" s="235">
        <f t="shared" ca="1" si="313"/>
        <v>0.14121312034551653</v>
      </c>
      <c r="MZ66" s="235">
        <f t="shared" ca="1" si="314"/>
        <v>0.14121312034551653</v>
      </c>
      <c r="NA66" s="242">
        <f t="shared" ca="1" si="315"/>
        <v>0.14121312034551653</v>
      </c>
      <c r="NB66" s="241">
        <f t="shared" ca="1" si="804"/>
        <v>1</v>
      </c>
      <c r="NC66" s="220">
        <f t="shared" ca="1" si="703"/>
        <v>0.89850685257116925</v>
      </c>
      <c r="ND66" s="220">
        <f t="shared" ca="1" si="704"/>
        <v>0</v>
      </c>
      <c r="NE66" s="235">
        <f t="shared" ca="1" si="318"/>
        <v>0.13545721898511429</v>
      </c>
      <c r="NF66" s="235">
        <f t="shared" ca="1" si="319"/>
        <v>0.13545721898511429</v>
      </c>
      <c r="NG66" s="242">
        <f t="shared" ca="1" si="320"/>
        <v>0.13545721898511429</v>
      </c>
      <c r="NH66" s="241">
        <f t="shared" ca="1" si="804"/>
        <v>1</v>
      </c>
      <c r="NI66" s="220">
        <f t="shared" ca="1" si="705"/>
        <v>0.89149849912111412</v>
      </c>
      <c r="NJ66" s="220">
        <f t="shared" ca="1" si="706"/>
        <v>0</v>
      </c>
      <c r="NK66" s="235">
        <f t="shared" ca="1" si="323"/>
        <v>0.12985570306959462</v>
      </c>
      <c r="NL66" s="235">
        <f t="shared" ca="1" si="324"/>
        <v>0.12985570306959462</v>
      </c>
      <c r="NM66" s="242">
        <f t="shared" ca="1" si="325"/>
        <v>0.12985570306959462</v>
      </c>
      <c r="NN66" s="241">
        <f t="shared" ca="1" si="804"/>
        <v>1</v>
      </c>
      <c r="NO66" s="220">
        <f t="shared" ca="1" si="707"/>
        <v>0.88395998781254592</v>
      </c>
      <c r="NP66" s="220">
        <f t="shared" ca="1" si="708"/>
        <v>0</v>
      </c>
      <c r="NQ66" s="235">
        <f t="shared" ca="1" si="328"/>
        <v>0.12440352004293539</v>
      </c>
      <c r="NR66" s="235">
        <f t="shared" ca="1" si="329"/>
        <v>0.12440352004293539</v>
      </c>
      <c r="NS66" s="242">
        <f t="shared" ca="1" si="330"/>
        <v>0.12440352004293539</v>
      </c>
      <c r="NT66" s="241">
        <f t="shared" ca="1" si="804"/>
        <v>1</v>
      </c>
      <c r="NU66" s="220">
        <f t="shared" ca="1" si="709"/>
        <v>0.87587705768398794</v>
      </c>
      <c r="NV66" s="220">
        <f t="shared" ca="1" si="710"/>
        <v>0</v>
      </c>
      <c r="NW66" s="235">
        <f t="shared" ca="1" si="334"/>
        <v>0.11909755966730703</v>
      </c>
      <c r="NX66" s="235">
        <f t="shared" ca="1" si="335"/>
        <v>0.11909755966730703</v>
      </c>
      <c r="NY66" s="242">
        <f t="shared" ca="1" si="336"/>
        <v>0.11909755966730703</v>
      </c>
      <c r="NZ66" s="241">
        <f t="shared" ca="1" si="804"/>
        <v>1</v>
      </c>
      <c r="OA66" s="220">
        <f t="shared" ca="1" si="711"/>
        <v>0.86723653050993543</v>
      </c>
      <c r="OB66" s="220">
        <f t="shared" ca="1" si="712"/>
        <v>0</v>
      </c>
      <c r="OC66" s="235">
        <f t="shared" ca="1" si="339"/>
        <v>0.11393493936346769</v>
      </c>
      <c r="OD66" s="235">
        <f t="shared" ca="1" si="340"/>
        <v>0.11393493936346769</v>
      </c>
      <c r="OE66" s="242">
        <f t="shared" ca="1" si="341"/>
        <v>0.11393493936346769</v>
      </c>
      <c r="OF66" s="241">
        <f t="shared" ca="1" si="804"/>
        <v>1</v>
      </c>
      <c r="OG66" s="220">
        <f t="shared" ca="1" si="713"/>
        <v>0.85802474408285889</v>
      </c>
      <c r="OH66" s="220">
        <f t="shared" ca="1" si="714"/>
        <v>0</v>
      </c>
      <c r="OI66" s="235">
        <f t="shared" ca="1" si="344"/>
        <v>0.10891277530197965</v>
      </c>
      <c r="OJ66" s="235">
        <f t="shared" ca="1" si="345"/>
        <v>0.10891277530197965</v>
      </c>
      <c r="OK66" s="242">
        <f t="shared" ca="1" si="346"/>
        <v>0.10891277530197965</v>
      </c>
      <c r="OL66" s="241">
        <f t="shared" ca="1" si="804"/>
        <v>1</v>
      </c>
      <c r="OM66" s="220">
        <f t="shared" ca="1" si="715"/>
        <v>0.84819349656515752</v>
      </c>
      <c r="ON66" s="220">
        <f t="shared" ca="1" si="716"/>
        <v>0</v>
      </c>
      <c r="OO66" s="235">
        <f t="shared" ca="1" si="349"/>
        <v>0.10402401229233778</v>
      </c>
      <c r="OP66" s="235">
        <f t="shared" ca="1" si="350"/>
        <v>0.10402401229233778</v>
      </c>
      <c r="OQ66" s="242">
        <f t="shared" ca="1" si="351"/>
        <v>0.10402401229233778</v>
      </c>
      <c r="OR66" s="241">
        <f t="shared" ca="1" si="804"/>
        <v>1</v>
      </c>
      <c r="OS66" s="220">
        <f t="shared" ca="1" si="717"/>
        <v>0.83771830688257787</v>
      </c>
      <c r="OT66" s="220">
        <f t="shared" ca="1" si="718"/>
        <v>0</v>
      </c>
      <c r="OU66" s="235">
        <f t="shared" ca="1" si="354"/>
        <v>9.9265039362828419E-2</v>
      </c>
      <c r="OV66" s="235">
        <f t="shared" ca="1" si="355"/>
        <v>9.9265039362828419E-2</v>
      </c>
      <c r="OW66" s="242">
        <f t="shared" ca="1" si="356"/>
        <v>9.9265039362828419E-2</v>
      </c>
      <c r="OX66" s="241">
        <f t="shared" ca="1" si="804"/>
        <v>1</v>
      </c>
      <c r="OY66" s="220">
        <f t="shared" ca="1" si="719"/>
        <v>0.82663110509098692</v>
      </c>
      <c r="OZ66" s="220">
        <f t="shared" ca="1" si="720"/>
        <v>0</v>
      </c>
      <c r="PA66" s="235">
        <f t="shared" ca="1" si="359"/>
        <v>9.4638904895518239E-2</v>
      </c>
      <c r="PB66" s="235">
        <f t="shared" ca="1" si="360"/>
        <v>9.4638904895518239E-2</v>
      </c>
      <c r="PC66" s="242">
        <f t="shared" ca="1" si="361"/>
        <v>9.4638904895518239E-2</v>
      </c>
      <c r="PD66" s="241">
        <f t="shared" ca="1" si="798"/>
        <v>1</v>
      </c>
      <c r="PE66" s="220">
        <f t="shared" ca="1" si="721"/>
        <v>0.81497808640251923</v>
      </c>
      <c r="PF66" s="220">
        <f t="shared" ca="1" si="722"/>
        <v>0</v>
      </c>
      <c r="PG66" s="235">
        <f t="shared" ca="1" si="364"/>
        <v>9.0149546138363415E-2</v>
      </c>
      <c r="PH66" s="235">
        <f t="shared" ca="1" si="365"/>
        <v>9.0149546138363415E-2</v>
      </c>
      <c r="PI66" s="242">
        <f t="shared" ca="1" si="366"/>
        <v>9.0149546138363415E-2</v>
      </c>
      <c r="PJ66" s="241">
        <f t="shared" ca="1" si="798"/>
        <v>1</v>
      </c>
      <c r="PK66" s="220">
        <f t="shared" ca="1" si="723"/>
        <v>0.80277052964629592</v>
      </c>
      <c r="PL66" s="220">
        <f t="shared" ca="1" si="724"/>
        <v>0</v>
      </c>
      <c r="PM66" s="235">
        <f t="shared" ca="1" si="369"/>
        <v>8.5796324721504238E-2</v>
      </c>
      <c r="PN66" s="235">
        <f t="shared" ca="1" si="370"/>
        <v>8.5796324721504238E-2</v>
      </c>
      <c r="PO66" s="242">
        <f t="shared" ca="1" si="371"/>
        <v>8.5796324721504238E-2</v>
      </c>
      <c r="PP66" s="241">
        <f t="shared" ca="1" si="805"/>
        <v>1</v>
      </c>
      <c r="PQ66" s="220">
        <f t="shared" ca="1" si="725"/>
        <v>0.78995269259943357</v>
      </c>
      <c r="PR66" s="220">
        <f t="shared" ca="1" si="726"/>
        <v>0</v>
      </c>
      <c r="PS66" s="235">
        <f t="shared" ca="1" si="374"/>
        <v>8.1571415270218356E-2</v>
      </c>
      <c r="PT66" s="235">
        <f t="shared" ca="1" si="375"/>
        <v>8.1571415270218356E-2</v>
      </c>
      <c r="PU66" s="242">
        <f t="shared" ca="1" si="376"/>
        <v>8.1571415270218356E-2</v>
      </c>
      <c r="PV66" s="241">
        <f t="shared" ca="1" si="805"/>
        <v>1</v>
      </c>
      <c r="PW66" s="220">
        <f t="shared" ca="1" si="727"/>
        <v>0.77643739198174988</v>
      </c>
      <c r="PX66" s="220">
        <f t="shared" ca="1" si="728"/>
        <v>0</v>
      </c>
      <c r="PY66" s="235">
        <f t="shared" ca="1" si="379"/>
        <v>7.7464550653488104E-2</v>
      </c>
      <c r="PZ66" s="235">
        <f t="shared" ca="1" si="380"/>
        <v>7.7464550653488104E-2</v>
      </c>
      <c r="QA66" s="242">
        <f t="shared" ca="1" si="381"/>
        <v>7.7464550653488104E-2</v>
      </c>
      <c r="QB66" s="241">
        <f t="shared" ca="1" si="805"/>
        <v>1</v>
      </c>
      <c r="QC66" s="220">
        <f t="shared" ca="1" si="729"/>
        <v>0.76215715546842155</v>
      </c>
      <c r="QD66" s="220">
        <f t="shared" ca="1" si="730"/>
        <v>0</v>
      </c>
      <c r="QE66" s="235">
        <f t="shared" ca="1" si="384"/>
        <v>7.3468427669438799E-2</v>
      </c>
      <c r="QF66" s="235">
        <f t="shared" ca="1" si="385"/>
        <v>7.3468427669438799E-2</v>
      </c>
      <c r="QG66" s="242">
        <f t="shared" ca="1" si="386"/>
        <v>7.3468427669438799E-2</v>
      </c>
      <c r="QH66" s="241">
        <f t="shared" ca="1" si="805"/>
        <v>1</v>
      </c>
      <c r="QI66" s="220">
        <f t="shared" ca="1" si="731"/>
        <v>0.74703900613254992</v>
      </c>
      <c r="QJ66" s="220">
        <f t="shared" ca="1" si="732"/>
        <v>0</v>
      </c>
      <c r="QK66" s="235">
        <f t="shared" ca="1" si="390"/>
        <v>6.9575949698732195E-2</v>
      </c>
      <c r="QL66" s="235">
        <f t="shared" ca="1" si="391"/>
        <v>6.9575949698732195E-2</v>
      </c>
      <c r="QM66" s="242">
        <f t="shared" ca="1" si="392"/>
        <v>6.9575949698732195E-2</v>
      </c>
      <c r="QN66" s="241">
        <f t="shared" ca="1" si="805"/>
        <v>1</v>
      </c>
      <c r="QO66" s="220">
        <f t="shared" ca="1" si="733"/>
        <v>0.73100381386591473</v>
      </c>
      <c r="QP66" s="220">
        <f t="shared" ca="1" si="734"/>
        <v>0</v>
      </c>
      <c r="QQ66" s="235">
        <f t="shared" ca="1" si="395"/>
        <v>6.5780195109612458E-2</v>
      </c>
      <c r="QR66" s="235">
        <f t="shared" ca="1" si="396"/>
        <v>6.5780195109612458E-2</v>
      </c>
      <c r="QS66" s="242">
        <f t="shared" ca="1" si="397"/>
        <v>6.5780195109612458E-2</v>
      </c>
      <c r="QT66" s="241">
        <f t="shared" ca="1" si="805"/>
        <v>1</v>
      </c>
      <c r="QU66" s="220">
        <f t="shared" ca="1" si="735"/>
        <v>0.71393414380833176</v>
      </c>
      <c r="QV66" s="220">
        <f t="shared" ca="1" si="736"/>
        <v>0</v>
      </c>
      <c r="QW66" s="235">
        <f t="shared" ca="1" si="400"/>
        <v>6.2071653887543876E-2</v>
      </c>
      <c r="QX66" s="235">
        <f t="shared" ca="1" si="401"/>
        <v>6.2071653887543876E-2</v>
      </c>
      <c r="QY66" s="242">
        <f t="shared" ca="1" si="402"/>
        <v>6.2071653887543876E-2</v>
      </c>
      <c r="QZ66" s="241">
        <f t="shared" ca="1" si="805"/>
        <v>1</v>
      </c>
      <c r="RA66" s="220">
        <f t="shared" ca="1" si="737"/>
        <v>0.69574167395580788</v>
      </c>
      <c r="RB66" s="220">
        <f t="shared" ca="1" si="738"/>
        <v>0</v>
      </c>
      <c r="RC66" s="235">
        <f t="shared" ca="1" si="405"/>
        <v>5.8444390341238162E-2</v>
      </c>
      <c r="RD66" s="235">
        <f t="shared" ca="1" si="406"/>
        <v>5.8444390341238162E-2</v>
      </c>
      <c r="RE66" s="242">
        <f t="shared" ca="1" si="407"/>
        <v>5.8444390341238162E-2</v>
      </c>
      <c r="RF66" s="241">
        <f t="shared" ca="1" si="805"/>
        <v>1</v>
      </c>
      <c r="RG66" s="220">
        <f t="shared" ca="1" si="739"/>
        <v>0.67640422986988014</v>
      </c>
      <c r="RH66" s="220">
        <f t="shared" ca="1" si="740"/>
        <v>0</v>
      </c>
      <c r="RI66" s="235">
        <f t="shared" ca="1" si="410"/>
        <v>5.4898538121829751E-2</v>
      </c>
      <c r="RJ66" s="235">
        <f t="shared" ca="1" si="411"/>
        <v>5.4898538121829751E-2</v>
      </c>
      <c r="RK66" s="242">
        <f t="shared" ca="1" si="412"/>
        <v>5.4898538121829751E-2</v>
      </c>
      <c r="RL66" s="241">
        <f t="shared" ca="1" si="805"/>
        <v>1</v>
      </c>
      <c r="RM66" s="220">
        <f t="shared" ca="1" si="741"/>
        <v>0.65592135698096043</v>
      </c>
      <c r="RN66" s="220">
        <f t="shared" ca="1" si="742"/>
        <v>0</v>
      </c>
      <c r="RO66" s="235">
        <f t="shared" ca="1" si="415"/>
        <v>5.1435845981086484E-2</v>
      </c>
      <c r="RP66" s="235">
        <f t="shared" ca="1" si="416"/>
        <v>5.1435845981086484E-2</v>
      </c>
      <c r="RQ66" s="242">
        <f t="shared" ca="1" si="417"/>
        <v>5.1435845981086484E-2</v>
      </c>
      <c r="RR66" s="241">
        <f t="shared" ca="1" si="805"/>
        <v>1</v>
      </c>
      <c r="RS66" s="220">
        <f t="shared" ca="1" si="743"/>
        <v>0.63426152193073515</v>
      </c>
      <c r="RT66" s="220">
        <f t="shared" ca="1" si="744"/>
        <v>0</v>
      </c>
      <c r="RU66" s="235">
        <f t="shared" ca="1" si="420"/>
        <v>4.8055392729564286E-2</v>
      </c>
      <c r="RV66" s="235">
        <f t="shared" ca="1" si="421"/>
        <v>4.8055392729564286E-2</v>
      </c>
      <c r="RW66" s="242">
        <f t="shared" ca="1" si="422"/>
        <v>4.8055392729564286E-2</v>
      </c>
      <c r="RX66" s="241">
        <f t="shared" ca="1" si="805"/>
        <v>1</v>
      </c>
      <c r="RY66" s="220">
        <f t="shared" ca="1" si="745"/>
        <v>0.61130062057532053</v>
      </c>
      <c r="RZ66" s="220">
        <f t="shared" ca="1" si="746"/>
        <v>0</v>
      </c>
      <c r="SA66" s="235">
        <f t="shared" ca="1" si="425"/>
        <v>4.4749506722088245E-2</v>
      </c>
      <c r="SB66" s="235">
        <f t="shared" ca="1" si="426"/>
        <v>4.4749506722088245E-2</v>
      </c>
      <c r="SC66" s="242">
        <f t="shared" ca="1" si="427"/>
        <v>4.4749506722088245E-2</v>
      </c>
      <c r="SD66" s="241">
        <f t="shared" ca="1" si="799"/>
        <v>1</v>
      </c>
      <c r="SE66" s="220">
        <f t="shared" ca="1" si="747"/>
        <v>0.58693540044042947</v>
      </c>
      <c r="SF66" s="220">
        <f t="shared" ca="1" si="748"/>
        <v>0</v>
      </c>
      <c r="SG66" s="235">
        <f t="shared" ca="1" si="430"/>
        <v>4.1512928389525854E-2</v>
      </c>
      <c r="SH66" s="235">
        <f t="shared" ca="1" si="431"/>
        <v>4.1512928389525854E-2</v>
      </c>
      <c r="SI66" s="242">
        <f t="shared" ca="1" si="432"/>
        <v>4.1512928389525854E-2</v>
      </c>
      <c r="SJ66" s="241">
        <f t="shared" ca="1" si="799"/>
        <v>1</v>
      </c>
      <c r="SK66" s="220">
        <f t="shared" ca="1" si="749"/>
        <v>0.56117421877969853</v>
      </c>
      <c r="SL66" s="220">
        <f t="shared" ca="1" si="750"/>
        <v>0</v>
      </c>
      <c r="SM66" s="235">
        <f t="shared" ca="1" si="435"/>
        <v>3.8348680627614658E-2</v>
      </c>
      <c r="SN66" s="235">
        <f t="shared" ca="1" si="436"/>
        <v>3.8348680627614658E-2</v>
      </c>
      <c r="SO66" s="242">
        <f t="shared" ca="1" si="437"/>
        <v>3.8348680627614658E-2</v>
      </c>
      <c r="SP66" s="241">
        <f t="shared" ca="1" si="808"/>
        <v>1</v>
      </c>
      <c r="SQ66" s="220">
        <f t="shared" ca="1" si="751"/>
        <v>0.5340633310962325</v>
      </c>
      <c r="SR66" s="220">
        <f t="shared" ca="1" si="752"/>
        <v>0</v>
      </c>
      <c r="SS66" s="235">
        <f t="shared" ca="1" si="440"/>
        <v>3.5261852674216394E-2</v>
      </c>
      <c r="ST66" s="235">
        <f t="shared" ca="1" si="441"/>
        <v>3.5261852674216394E-2</v>
      </c>
      <c r="SU66" s="242">
        <f t="shared" ca="1" si="442"/>
        <v>3.5261852674216394E-2</v>
      </c>
      <c r="SV66" s="241">
        <f t="shared" ca="1" si="808"/>
        <v>1</v>
      </c>
      <c r="SW66" s="220">
        <f t="shared" ca="1" si="753"/>
        <v>0.50563620810864218</v>
      </c>
      <c r="SX66" s="220">
        <f t="shared" ca="1" si="754"/>
        <v>0</v>
      </c>
      <c r="SY66" s="235">
        <f t="shared" ca="1" si="446"/>
        <v>3.2255975632920972E-2</v>
      </c>
      <c r="SZ66" s="235">
        <f t="shared" ca="1" si="447"/>
        <v>3.2255975632920972E-2</v>
      </c>
      <c r="TA66" s="242">
        <f t="shared" ca="1" si="448"/>
        <v>3.2255975632920972E-2</v>
      </c>
      <c r="TB66" s="241">
        <f t="shared" ca="1" si="808"/>
        <v>1</v>
      </c>
      <c r="TC66" s="220">
        <f t="shared" ca="1" si="755"/>
        <v>0.47585575235966748</v>
      </c>
      <c r="TD66" s="220">
        <f t="shared" ca="1" si="756"/>
        <v>0</v>
      </c>
      <c r="TE66" s="235">
        <f t="shared" ca="1" si="451"/>
        <v>2.9329657426153458E-2</v>
      </c>
      <c r="TF66" s="235">
        <f t="shared" ca="1" si="452"/>
        <v>2.9329657426153458E-2</v>
      </c>
      <c r="TG66" s="242">
        <f t="shared" ca="1" si="453"/>
        <v>2.9329657426153458E-2</v>
      </c>
      <c r="TH66" s="241">
        <f t="shared" ca="1" si="808"/>
        <v>1</v>
      </c>
      <c r="TI66" s="220">
        <f t="shared" ca="1" si="757"/>
        <v>0.4447514411066778</v>
      </c>
      <c r="TJ66" s="220">
        <f t="shared" ca="1" si="758"/>
        <v>0</v>
      </c>
      <c r="TK66" s="235">
        <f t="shared" ca="1" si="456"/>
        <v>2.6485530790814431E-2</v>
      </c>
      <c r="TL66" s="235">
        <f t="shared" ca="1" si="457"/>
        <v>2.6485530790814431E-2</v>
      </c>
      <c r="TM66" s="242">
        <f t="shared" ca="1" si="458"/>
        <v>2.6485530790814431E-2</v>
      </c>
      <c r="TN66" s="241">
        <f t="shared" ca="1" si="808"/>
        <v>1</v>
      </c>
      <c r="TO66" s="220">
        <f t="shared" ca="1" si="759"/>
        <v>0.41251096438941365</v>
      </c>
      <c r="TP66" s="220">
        <f t="shared" ca="1" si="760"/>
        <v>0</v>
      </c>
      <c r="TQ66" s="235">
        <f t="shared" ca="1" si="461"/>
        <v>2.3734848481408222E-2</v>
      </c>
      <c r="TR66" s="235">
        <f t="shared" ca="1" si="462"/>
        <v>2.3734848481408222E-2</v>
      </c>
      <c r="TS66" s="242">
        <f t="shared" ca="1" si="463"/>
        <v>2.3734848481408222E-2</v>
      </c>
      <c r="TT66" s="241">
        <f t="shared" ca="1" si="808"/>
        <v>1</v>
      </c>
      <c r="TU66" s="220">
        <f t="shared" ca="1" si="761"/>
        <v>0.37939128408051637</v>
      </c>
      <c r="TV66" s="220">
        <f t="shared" ca="1" si="762"/>
        <v>0</v>
      </c>
      <c r="TW66" s="235">
        <f t="shared" ca="1" si="466"/>
        <v>2.1091038615007652E-2</v>
      </c>
      <c r="TX66" s="235">
        <f t="shared" ca="1" si="467"/>
        <v>2.1091038615007652E-2</v>
      </c>
      <c r="TY66" s="242">
        <f t="shared" ca="1" si="468"/>
        <v>2.1091038615007652E-2</v>
      </c>
      <c r="TZ66" s="241">
        <f t="shared" ca="1" si="808"/>
        <v>1</v>
      </c>
      <c r="UA66" s="220">
        <f t="shared" ca="1" si="763"/>
        <v>0.34565732866521315</v>
      </c>
      <c r="UB66" s="220">
        <f t="shared" ca="1" si="764"/>
        <v>0</v>
      </c>
      <c r="UC66" s="235">
        <f t="shared" ca="1" si="471"/>
        <v>1.8565901280691431E-2</v>
      </c>
      <c r="UD66" s="235">
        <f t="shared" ca="1" si="472"/>
        <v>1.8565901280691431E-2</v>
      </c>
      <c r="UE66" s="242">
        <f t="shared" ca="1" si="473"/>
        <v>1.8565901280691431E-2</v>
      </c>
      <c r="UF66" s="241">
        <f t="shared" ca="1" si="808"/>
        <v>1</v>
      </c>
      <c r="UG66" s="220">
        <f t="shared" ca="1" si="765"/>
        <v>0.31158381183471112</v>
      </c>
      <c r="UH66" s="220">
        <f t="shared" ca="1" si="766"/>
        <v>0</v>
      </c>
      <c r="UI66" s="235">
        <f t="shared" ca="1" si="476"/>
        <v>1.6169805793281151E-2</v>
      </c>
      <c r="UJ66" s="235">
        <f t="shared" ca="1" si="477"/>
        <v>1.6169805793281151E-2</v>
      </c>
      <c r="UK66" s="242">
        <f t="shared" ca="1" si="478"/>
        <v>1.6169805793281151E-2</v>
      </c>
      <c r="UL66" s="241">
        <f t="shared" ca="1" si="808"/>
        <v>1</v>
      </c>
      <c r="UM66" s="220">
        <f t="shared" ca="1" si="767"/>
        <v>0.27748470263514402</v>
      </c>
      <c r="UN66" s="220">
        <f t="shared" ca="1" si="768"/>
        <v>0</v>
      </c>
      <c r="UO66" s="235">
        <f t="shared" ca="1" si="481"/>
        <v>1.3913250808575896E-2</v>
      </c>
      <c r="UP66" s="235">
        <f t="shared" ca="1" si="482"/>
        <v>1.3913250808575896E-2</v>
      </c>
      <c r="UQ66" s="242">
        <f t="shared" ca="1" si="483"/>
        <v>1.3913250808575896E-2</v>
      </c>
      <c r="UR66" s="241">
        <f t="shared" ca="1" si="808"/>
        <v>1</v>
      </c>
      <c r="US66" s="220">
        <f t="shared" ca="1" si="769"/>
        <v>0.24373729058536042</v>
      </c>
      <c r="UT66" s="220">
        <f t="shared" ca="1" si="770"/>
        <v>0</v>
      </c>
      <c r="UU66" s="235">
        <f t="shared" ca="1" si="486"/>
        <v>1.1807860056509861E-2</v>
      </c>
      <c r="UV66" s="235">
        <f t="shared" ca="1" si="487"/>
        <v>1.1807860056509861E-2</v>
      </c>
      <c r="UW66" s="242">
        <f t="shared" ca="1" si="488"/>
        <v>1.1807860056509861E-2</v>
      </c>
      <c r="UX66" s="241">
        <f t="shared" ca="1" si="808"/>
        <v>1</v>
      </c>
      <c r="UY66" s="220">
        <f t="shared" ca="1" si="771"/>
        <v>0.21078985859319374</v>
      </c>
      <c r="UZ66" s="220">
        <f t="shared" ca="1" si="772"/>
        <v>0</v>
      </c>
      <c r="VA66" s="235">
        <f t="shared" ca="1" si="491"/>
        <v>9.866396874889936E-3</v>
      </c>
      <c r="VB66" s="235">
        <f t="shared" ca="1" si="492"/>
        <v>9.866396874889936E-3</v>
      </c>
      <c r="VC66" s="242">
        <f t="shared" ca="1" si="493"/>
        <v>9.866396874889936E-3</v>
      </c>
      <c r="VD66" s="241">
        <f t="shared" ca="1" si="806"/>
        <v>1</v>
      </c>
      <c r="VE66" s="220">
        <f t="shared" ca="1" si="773"/>
        <v>0.17914840370962801</v>
      </c>
      <c r="VF66" s="220">
        <f t="shared" ca="1" si="774"/>
        <v>0</v>
      </c>
      <c r="VG66" s="235">
        <f t="shared" ca="1" si="496"/>
        <v>8.1017989433788233E-3</v>
      </c>
      <c r="VH66" s="235">
        <f t="shared" ca="1" si="497"/>
        <v>8.1017989433788233E-3</v>
      </c>
      <c r="VI66" s="242">
        <f t="shared" ca="1" si="498"/>
        <v>8.1017989433788233E-3</v>
      </c>
      <c r="VJ66" s="241">
        <f t="shared" ca="1" si="806"/>
        <v>1</v>
      </c>
      <c r="VK66" s="220">
        <f t="shared" ca="1" si="775"/>
        <v>0.14933864677755704</v>
      </c>
      <c r="VL66" s="220">
        <f t="shared" ca="1" si="776"/>
        <v>0</v>
      </c>
      <c r="VM66" s="235">
        <f t="shared" ca="1" si="502"/>
        <v>6.5252984585482295E-3</v>
      </c>
      <c r="VN66" s="235">
        <f t="shared" ca="1" si="503"/>
        <v>6.5252984585482295E-3</v>
      </c>
      <c r="VO66" s="242">
        <f t="shared" ca="1" si="504"/>
        <v>6.5252984585482295E-3</v>
      </c>
      <c r="VP66" s="241">
        <f t="shared" ca="1" si="567"/>
        <v>1</v>
      </c>
      <c r="VQ66" s="220">
        <f t="shared" ca="1" si="777"/>
        <v>0.12186078378642688</v>
      </c>
      <c r="VR66" s="220">
        <f t="shared" ca="1" si="778"/>
        <v>0</v>
      </c>
      <c r="VS66" s="235">
        <f t="shared" ca="1" si="507"/>
        <v>5.1446020464451514E-3</v>
      </c>
      <c r="VT66" s="235">
        <f t="shared" ca="1" si="508"/>
        <v>5.1446020464451514E-3</v>
      </c>
      <c r="VU66" s="242">
        <f t="shared" ca="1" si="509"/>
        <v>5.1446020464451514E-3</v>
      </c>
      <c r="VV66" s="241">
        <f t="shared" ca="1" si="578"/>
        <v>1</v>
      </c>
      <c r="VW66" s="220">
        <f t="shared" ca="1" si="779"/>
        <v>9.714071449143126E-2</v>
      </c>
      <c r="VX66" s="220">
        <f t="shared" ca="1" si="780"/>
        <v>0</v>
      </c>
      <c r="VY66" s="235">
        <f t="shared" ca="1" si="512"/>
        <v>3.9623128486120972E-3</v>
      </c>
      <c r="VZ66" s="235">
        <f t="shared" ca="1" si="513"/>
        <v>3.9623128486120972E-3</v>
      </c>
      <c r="WA66" s="242">
        <f t="shared" ca="1" si="514"/>
        <v>3.9623128486120972E-3</v>
      </c>
      <c r="WB66" s="241">
        <f t="shared" ca="1" si="578"/>
        <v>1</v>
      </c>
      <c r="WC66" s="220">
        <f t="shared" ca="1" si="781"/>
        <v>7.5486980683431834E-2</v>
      </c>
      <c r="WD66" s="220">
        <f t="shared" ca="1" si="782"/>
        <v>0</v>
      </c>
      <c r="WE66" s="235">
        <f t="shared" ca="1" si="517"/>
        <v>2.9749465982754843E-3</v>
      </c>
      <c r="WF66" s="235">
        <f t="shared" ca="1" si="518"/>
        <v>2.9749465982754843E-3</v>
      </c>
      <c r="WG66" s="242">
        <f t="shared" ca="1" si="519"/>
        <v>2.9749465982754843E-3</v>
      </c>
      <c r="WH66" s="241">
        <f t="shared" ca="1" si="578"/>
        <v>1</v>
      </c>
      <c r="WI66" s="220">
        <f t="shared" ca="1" si="783"/>
        <v>5.7061061620490225E-2</v>
      </c>
      <c r="WJ66" s="220">
        <f t="shared" ca="1" si="784"/>
        <v>0</v>
      </c>
      <c r="WK66" s="235">
        <f t="shared" ca="1" si="522"/>
        <v>2.1727342833971291E-3</v>
      </c>
      <c r="WL66" s="235">
        <f t="shared" ca="1" si="523"/>
        <v>2.1727342833971291E-3</v>
      </c>
      <c r="WM66" s="242">
        <f t="shared" ca="1" si="524"/>
        <v>2.1727342833971291E-3</v>
      </c>
      <c r="WN66" s="241">
        <f t="shared" ca="1" si="578"/>
        <v>1</v>
      </c>
      <c r="WO66" s="220">
        <f t="shared" ca="1" si="785"/>
        <v>4.1934687734452851E-2</v>
      </c>
      <c r="WP66" s="220">
        <f t="shared" ca="1" si="786"/>
        <v>0</v>
      </c>
      <c r="WQ66" s="235">
        <f t="shared" ca="1" si="527"/>
        <v>1.5427651975624165E-3</v>
      </c>
      <c r="WR66" s="235">
        <f t="shared" ca="1" si="528"/>
        <v>1.5427651975624165E-3</v>
      </c>
      <c r="WS66" s="242">
        <f t="shared" ca="1" si="529"/>
        <v>1.5427651975624165E-3</v>
      </c>
      <c r="WT66" s="241">
        <f t="shared" ca="1" si="578"/>
        <v>1</v>
      </c>
      <c r="WU66" s="220">
        <f t="shared" ca="1" si="787"/>
        <v>2.9961998908764689E-2</v>
      </c>
      <c r="WV66" s="220">
        <f t="shared" ca="1" si="788"/>
        <v>0</v>
      </c>
      <c r="WW66" s="235">
        <f t="shared" ca="1" si="532"/>
        <v>1.0650177696007403E-3</v>
      </c>
      <c r="WX66" s="235">
        <f t="shared" ca="1" si="533"/>
        <v>1.0650177696007403E-3</v>
      </c>
      <c r="WY66" s="242">
        <f t="shared" ca="1" si="534"/>
        <v>1.0650177696007403E-3</v>
      </c>
      <c r="WZ66" s="241">
        <f t="shared" ca="1" si="578"/>
        <v>1</v>
      </c>
      <c r="XA66" s="220">
        <f t="shared" ca="1" si="789"/>
        <v>2.0825806429510707E-2</v>
      </c>
      <c r="XB66" s="220">
        <f t="shared" ca="1" si="790"/>
        <v>0</v>
      </c>
      <c r="XC66" s="235">
        <f t="shared" ca="1" si="537"/>
        <v>7.1523300597822715E-4</v>
      </c>
      <c r="XD66" s="235">
        <f t="shared" ca="1" si="538"/>
        <v>7.1523300597822715E-4</v>
      </c>
      <c r="XE66" s="242">
        <f t="shared" ca="1" si="539"/>
        <v>7.1523300597822715E-4</v>
      </c>
      <c r="XF66" s="241">
        <f t="shared" ca="1" si="578"/>
        <v>1</v>
      </c>
      <c r="XG66" s="220">
        <f t="shared" ca="1" si="791"/>
        <v>1.410075784309954E-2</v>
      </c>
      <c r="XH66" s="220">
        <f t="shared" ca="1" si="792"/>
        <v>0</v>
      </c>
      <c r="XI66" s="235">
        <f t="shared" ca="1" si="542"/>
        <v>4.6789437576883483E-4</v>
      </c>
      <c r="XJ66" s="235">
        <f t="shared" ca="1" si="543"/>
        <v>4.6789437576883483E-4</v>
      </c>
      <c r="XK66" s="242">
        <f t="shared" ca="1" si="544"/>
        <v>4.6789437576883483E-4</v>
      </c>
    </row>
    <row r="67" spans="2:635" x14ac:dyDescent="0.25">
      <c r="B67" s="65">
        <f t="shared" ca="1" si="14"/>
        <v>2082</v>
      </c>
      <c r="C67" s="65" t="s">
        <v>741</v>
      </c>
      <c r="D67" s="77">
        <f t="shared" si="580"/>
        <v>0</v>
      </c>
      <c r="E67" s="77">
        <f t="shared" si="581"/>
        <v>0</v>
      </c>
      <c r="F67" s="77" t="b">
        <f t="shared" si="793"/>
        <v>0</v>
      </c>
      <c r="G67" s="77" t="b">
        <f t="shared" si="794"/>
        <v>0</v>
      </c>
      <c r="H67" s="15" t="e">
        <f t="shared" ca="1" si="582"/>
        <v>#REF!</v>
      </c>
      <c r="L67" s="326">
        <f t="shared" ca="1" si="583"/>
        <v>3.5000000000000003E-2</v>
      </c>
      <c r="M67" s="327">
        <f t="shared" ca="1" si="584"/>
        <v>3.5000000000000003E-2</v>
      </c>
      <c r="N67" s="322">
        <f t="shared" ca="1" si="579"/>
        <v>-59</v>
      </c>
      <c r="O67" s="322">
        <f t="shared" ca="1" si="585"/>
        <v>0</v>
      </c>
      <c r="P67" s="328">
        <f t="shared" ca="1" si="545"/>
        <v>26.87829936156087</v>
      </c>
      <c r="Q67" s="328">
        <f t="shared" ca="1" si="546"/>
        <v>26.87829936156087</v>
      </c>
      <c r="R67" s="328">
        <f t="shared" ca="1" si="547"/>
        <v>26.87829936156087</v>
      </c>
      <c r="S67" s="329">
        <f t="shared" ca="1" si="586"/>
        <v>3.8642415640549425E-2</v>
      </c>
      <c r="T67" s="329">
        <f t="shared" ca="1" si="587"/>
        <v>3.8642415640549425E-2</v>
      </c>
      <c r="U67" s="329">
        <f t="shared" ca="1" si="588"/>
        <v>3.8642415640549425E-2</v>
      </c>
      <c r="V67" s="320" t="e">
        <f t="shared" ca="1" si="589"/>
        <v>#REF!</v>
      </c>
      <c r="W67" s="320" t="e">
        <f t="shared" ca="1" si="560"/>
        <v>#REF!</v>
      </c>
      <c r="X67" s="320" t="e">
        <f t="shared" ca="1" si="590"/>
        <v>#REF!</v>
      </c>
      <c r="Y67" s="320" t="e">
        <f ca="1">INDEX(SC_ZA_HECMLumpSum,ZAIDX)</f>
        <v>#REF!</v>
      </c>
      <c r="Z67" s="320" t="e">
        <f t="shared" ca="1" si="591"/>
        <v>#REF!</v>
      </c>
      <c r="AA67" s="320" t="e">
        <f t="shared" ca="1" si="557"/>
        <v>#REF!</v>
      </c>
      <c r="AB67" s="320" t="e">
        <f t="shared" ca="1" si="558"/>
        <v>#REF!</v>
      </c>
      <c r="AC67" s="330" t="e">
        <f t="shared" ca="1" si="559"/>
        <v>#REF!</v>
      </c>
      <c r="AD67" s="236" t="e">
        <f t="shared" ca="1" si="548"/>
        <v>#REF!</v>
      </c>
      <c r="AE67" s="320" t="e">
        <f t="shared" ca="1" si="561"/>
        <v>#REF!</v>
      </c>
      <c r="AF67" s="320" t="e">
        <f t="shared" ca="1" si="592"/>
        <v>#REF!</v>
      </c>
      <c r="AG67" s="320" t="e">
        <f t="shared" ca="1" si="549"/>
        <v>#REF!</v>
      </c>
      <c r="AH67" s="284" t="e">
        <f t="shared" ca="1" si="550"/>
        <v>#REF!</v>
      </c>
      <c r="AI67" s="318" t="e">
        <f t="shared" ca="1" si="551"/>
        <v>#REF!</v>
      </c>
      <c r="AJ67" s="331">
        <f t="shared" ca="1" si="807"/>
        <v>1</v>
      </c>
      <c r="AK67" s="220">
        <f t="shared" ca="1" si="593"/>
        <v>1</v>
      </c>
      <c r="AL67" s="220">
        <f t="shared" ca="1" si="594"/>
        <v>0</v>
      </c>
      <c r="AM67" s="235">
        <f t="shared" ca="1" si="554"/>
        <v>1</v>
      </c>
      <c r="AN67" s="235">
        <f t="shared" ca="1" si="555"/>
        <v>1</v>
      </c>
      <c r="AO67" s="242">
        <f t="shared" ca="1" si="556"/>
        <v>1</v>
      </c>
      <c r="AP67" s="241">
        <f t="shared" ca="1" si="807"/>
        <v>1</v>
      </c>
      <c r="AQ67" s="220">
        <f t="shared" ca="1" si="595"/>
        <v>0.99361699999999997</v>
      </c>
      <c r="AR67" s="220">
        <f t="shared" ca="1" si="596"/>
        <v>0</v>
      </c>
      <c r="AS67" s="235">
        <f t="shared" ca="1" si="43"/>
        <v>0.96001642512077301</v>
      </c>
      <c r="AT67" s="235">
        <f t="shared" ca="1" si="44"/>
        <v>0.96001642512077301</v>
      </c>
      <c r="AU67" s="242">
        <f t="shared" ca="1" si="45"/>
        <v>0.96001642512077301</v>
      </c>
      <c r="AV67" s="241">
        <f t="shared" ca="1" si="807"/>
        <v>1</v>
      </c>
      <c r="AW67" s="220">
        <f t="shared" ca="1" si="597"/>
        <v>0.99316689149899995</v>
      </c>
      <c r="AX67" s="220">
        <f t="shared" ca="1" si="598"/>
        <v>0</v>
      </c>
      <c r="AY67" s="235">
        <f t="shared" ca="1" si="48"/>
        <v>0.92713192046395487</v>
      </c>
      <c r="AZ67" s="235">
        <f t="shared" ca="1" si="49"/>
        <v>0.92713192046395487</v>
      </c>
      <c r="BA67" s="242">
        <f t="shared" ca="1" si="50"/>
        <v>0.92713192046395487</v>
      </c>
      <c r="BB67" s="241">
        <f t="shared" ca="1" si="807"/>
        <v>1</v>
      </c>
      <c r="BC67" s="220">
        <f t="shared" ca="1" si="599"/>
        <v>0.99288681843559723</v>
      </c>
      <c r="BD67" s="220">
        <f t="shared" ca="1" si="600"/>
        <v>0</v>
      </c>
      <c r="BE67" s="235">
        <f t="shared" ca="1" si="54"/>
        <v>0.89552702344191704</v>
      </c>
      <c r="BF67" s="235">
        <f t="shared" ca="1" si="55"/>
        <v>0.89552702344191704</v>
      </c>
      <c r="BG67" s="242">
        <f t="shared" ca="1" si="56"/>
        <v>0.89552702344191704</v>
      </c>
      <c r="BH67" s="241">
        <f t="shared" ca="1" si="807"/>
        <v>1</v>
      </c>
      <c r="BI67" s="220">
        <f t="shared" ca="1" si="601"/>
        <v>0.99265845446735712</v>
      </c>
      <c r="BJ67" s="220">
        <f t="shared" ca="1" si="602"/>
        <v>0</v>
      </c>
      <c r="BK67" s="235">
        <f t="shared" ca="1" si="59"/>
        <v>0.86504449490485558</v>
      </c>
      <c r="BL67" s="235">
        <f t="shared" ca="1" si="60"/>
        <v>0.86504449490485558</v>
      </c>
      <c r="BM67" s="242">
        <f t="shared" ca="1" si="61"/>
        <v>0.86504449490485558</v>
      </c>
      <c r="BN67" s="241">
        <f t="shared" ca="1" si="807"/>
        <v>1</v>
      </c>
      <c r="BO67" s="220">
        <f t="shared" ca="1" si="603"/>
        <v>0.99249069518855215</v>
      </c>
      <c r="BP67" s="220">
        <f t="shared" ca="1" si="604"/>
        <v>0</v>
      </c>
      <c r="BQ67" s="235">
        <f t="shared" ca="1" si="64"/>
        <v>0.83565053370552345</v>
      </c>
      <c r="BR67" s="235">
        <f t="shared" ca="1" si="65"/>
        <v>0.83565053370552345</v>
      </c>
      <c r="BS67" s="242">
        <f t="shared" ca="1" si="66"/>
        <v>0.83565053370552345</v>
      </c>
      <c r="BT67" s="241">
        <f t="shared" ca="1" si="807"/>
        <v>1</v>
      </c>
      <c r="BU67" s="220">
        <f t="shared" ca="1" si="605"/>
        <v>0.99233685913079794</v>
      </c>
      <c r="BV67" s="220">
        <f t="shared" ca="1" si="606"/>
        <v>0</v>
      </c>
      <c r="BW67" s="235">
        <f t="shared" ca="1" si="69"/>
        <v>0.80726667427323584</v>
      </c>
      <c r="BX67" s="235">
        <f t="shared" ca="1" si="70"/>
        <v>0.80726667427323584</v>
      </c>
      <c r="BY67" s="242">
        <f t="shared" ca="1" si="71"/>
        <v>0.80726667427323584</v>
      </c>
      <c r="BZ67" s="241">
        <f t="shared" ca="1" si="807"/>
        <v>1</v>
      </c>
      <c r="CA67" s="220">
        <f t="shared" ca="1" si="607"/>
        <v>0.992192970286224</v>
      </c>
      <c r="CB67" s="220">
        <f t="shared" ca="1" si="608"/>
        <v>0</v>
      </c>
      <c r="CC67" s="235">
        <f t="shared" ca="1" si="74"/>
        <v>0.7798547058990013</v>
      </c>
      <c r="CD67" s="235">
        <f t="shared" ca="1" si="75"/>
        <v>0.7798547058990013</v>
      </c>
      <c r="CE67" s="242">
        <f t="shared" ca="1" si="76"/>
        <v>0.7798547058990013</v>
      </c>
      <c r="CF67" s="241">
        <f t="shared" ca="1" si="807"/>
        <v>1</v>
      </c>
      <c r="CG67" s="220">
        <f t="shared" ca="1" si="609"/>
        <v>0.9920590242352354</v>
      </c>
      <c r="CH67" s="220">
        <f t="shared" ca="1" si="610"/>
        <v>0</v>
      </c>
      <c r="CI67" s="235">
        <f t="shared" ca="1" si="79"/>
        <v>0.75338108745285515</v>
      </c>
      <c r="CJ67" s="235">
        <f t="shared" ca="1" si="80"/>
        <v>0.75338108745285515</v>
      </c>
      <c r="CK67" s="242">
        <f t="shared" ca="1" si="81"/>
        <v>0.75338108745285515</v>
      </c>
      <c r="CL67" s="241">
        <f t="shared" ca="1" si="807"/>
        <v>1</v>
      </c>
      <c r="CM67" s="220">
        <f t="shared" ca="1" si="611"/>
        <v>0.99193997715232718</v>
      </c>
      <c r="CN67" s="220">
        <f t="shared" ca="1" si="612"/>
        <v>0</v>
      </c>
      <c r="CO67" s="235">
        <f t="shared" ca="1" si="84"/>
        <v>0.72781708378972065</v>
      </c>
      <c r="CP67" s="235">
        <f t="shared" ca="1" si="85"/>
        <v>0.72781708378972065</v>
      </c>
      <c r="CQ67" s="242">
        <f t="shared" ca="1" si="86"/>
        <v>0.72781708378972065</v>
      </c>
      <c r="CR67" s="241">
        <f t="shared" ca="1" si="807"/>
        <v>1</v>
      </c>
      <c r="CS67" s="220">
        <f t="shared" ca="1" si="613"/>
        <v>0.99183582345472621</v>
      </c>
      <c r="CT67" s="220">
        <f t="shared" ca="1" si="614"/>
        <v>0</v>
      </c>
      <c r="CU67" s="235">
        <f t="shared" ca="1" si="89"/>
        <v>0.70313107535837949</v>
      </c>
      <c r="CV67" s="235">
        <f t="shared" ca="1" si="90"/>
        <v>0.70313107535837949</v>
      </c>
      <c r="CW67" s="242">
        <f t="shared" ca="1" si="91"/>
        <v>0.70313107535837949</v>
      </c>
      <c r="CX67" s="241">
        <f t="shared" ca="1" si="800"/>
        <v>1</v>
      </c>
      <c r="CY67" s="220">
        <f t="shared" ca="1" si="615"/>
        <v>0.99174259088732142</v>
      </c>
      <c r="CZ67" s="220">
        <f t="shared" ca="1" si="616"/>
        <v>0</v>
      </c>
      <c r="DA67" s="235">
        <f t="shared" ca="1" si="94"/>
        <v>0.6792898367510104</v>
      </c>
      <c r="DB67" s="235">
        <f t="shared" ca="1" si="95"/>
        <v>0.6792898367510104</v>
      </c>
      <c r="DC67" s="242">
        <f t="shared" ca="1" si="96"/>
        <v>0.6792898367510104</v>
      </c>
      <c r="DD67" s="241">
        <f t="shared" ca="1" si="800"/>
        <v>1</v>
      </c>
      <c r="DE67" s="220">
        <f t="shared" ca="1" si="617"/>
        <v>0.99164440837082357</v>
      </c>
      <c r="DF67" s="220">
        <f t="shared" ca="1" si="618"/>
        <v>0</v>
      </c>
      <c r="DG67" s="235">
        <f t="shared" ca="1" si="99"/>
        <v>0.65625370730161559</v>
      </c>
      <c r="DH67" s="235">
        <f t="shared" ca="1" si="100"/>
        <v>0.65625370730161559</v>
      </c>
      <c r="DI67" s="242">
        <f t="shared" ca="1" si="101"/>
        <v>0.65625370730161559</v>
      </c>
      <c r="DJ67" s="241">
        <f t="shared" ca="1" si="51"/>
        <v>1</v>
      </c>
      <c r="DK67" s="220">
        <f t="shared" ca="1" si="619"/>
        <v>0.9915115280201019</v>
      </c>
      <c r="DL67" s="220">
        <f t="shared" ca="1" si="620"/>
        <v>0</v>
      </c>
      <c r="DM67" s="235">
        <f t="shared" ca="1" si="104"/>
        <v>0.63397658870032592</v>
      </c>
      <c r="DN67" s="235">
        <f t="shared" ca="1" si="105"/>
        <v>0.63397658870032592</v>
      </c>
      <c r="DO67" s="242">
        <f t="shared" ca="1" si="106"/>
        <v>0.63397658870032592</v>
      </c>
      <c r="DP67" s="241">
        <f t="shared" ca="1" si="801"/>
        <v>1</v>
      </c>
      <c r="DQ67" s="220">
        <f t="shared" ca="1" si="621"/>
        <v>0.99130628513380181</v>
      </c>
      <c r="DR67" s="220">
        <f t="shared" ca="1" si="622"/>
        <v>0</v>
      </c>
      <c r="DS67" s="235">
        <f t="shared" ca="1" si="110"/>
        <v>0.61241097154247814</v>
      </c>
      <c r="DT67" s="235">
        <f t="shared" ca="1" si="111"/>
        <v>0.61241097154247814</v>
      </c>
      <c r="DU67" s="242">
        <f t="shared" ca="1" si="112"/>
        <v>0.61241097154247814</v>
      </c>
      <c r="DV67" s="241">
        <f t="shared" ca="1" si="801"/>
        <v>1</v>
      </c>
      <c r="DW67" s="220">
        <f t="shared" ca="1" si="623"/>
        <v>0.9909999714916955</v>
      </c>
      <c r="DX67" s="220">
        <f t="shared" ca="1" si="624"/>
        <v>0</v>
      </c>
      <c r="DY67" s="235">
        <f t="shared" ca="1" si="115"/>
        <v>0.59151858604084218</v>
      </c>
      <c r="DZ67" s="235">
        <f t="shared" ca="1" si="116"/>
        <v>0.59151858604084218</v>
      </c>
      <c r="EA67" s="242">
        <f t="shared" ca="1" si="117"/>
        <v>0.59151858604084218</v>
      </c>
      <c r="EB67" s="241">
        <f t="shared" ca="1" si="801"/>
        <v>1</v>
      </c>
      <c r="EC67" s="220">
        <f t="shared" ca="1" si="625"/>
        <v>0.99058474250364048</v>
      </c>
      <c r="ED67" s="220">
        <f t="shared" ca="1" si="626"/>
        <v>0</v>
      </c>
      <c r="EE67" s="235">
        <f t="shared" ca="1" si="120"/>
        <v>0.57127607705632</v>
      </c>
      <c r="EF67" s="235">
        <f t="shared" ca="1" si="121"/>
        <v>0.57127607705632</v>
      </c>
      <c r="EG67" s="242">
        <f t="shared" ca="1" si="122"/>
        <v>0.57127607705632</v>
      </c>
      <c r="EH67" s="241">
        <f t="shared" ca="1" si="801"/>
        <v>1</v>
      </c>
      <c r="EI67" s="220">
        <f t="shared" ca="1" si="627"/>
        <v>0.99005973259011348</v>
      </c>
      <c r="EJ67" s="220">
        <f t="shared" ca="1" si="628"/>
        <v>0</v>
      </c>
      <c r="EK67" s="235">
        <f t="shared" ca="1" si="125"/>
        <v>0.55166502486519819</v>
      </c>
      <c r="EL67" s="235">
        <f t="shared" ca="1" si="126"/>
        <v>0.55166502486519819</v>
      </c>
      <c r="EM67" s="242">
        <f t="shared" ca="1" si="127"/>
        <v>0.55166502486519819</v>
      </c>
      <c r="EN67" s="241">
        <f t="shared" ca="1" si="801"/>
        <v>1</v>
      </c>
      <c r="EO67" s="220">
        <f t="shared" ca="1" si="629"/>
        <v>0.98941124346526699</v>
      </c>
      <c r="EP67" s="220">
        <f t="shared" ca="1" si="630"/>
        <v>0</v>
      </c>
      <c r="EQ67" s="235">
        <f t="shared" ca="1" si="130"/>
        <v>0.53266056451585653</v>
      </c>
      <c r="ER67" s="235">
        <f t="shared" ca="1" si="131"/>
        <v>0.53266056451585653</v>
      </c>
      <c r="ES67" s="242">
        <f t="shared" ca="1" si="132"/>
        <v>0.53266056451585653</v>
      </c>
      <c r="ET67" s="241">
        <f t="shared" ca="1" si="801"/>
        <v>1</v>
      </c>
      <c r="EU67" s="220">
        <f t="shared" ca="1" si="631"/>
        <v>0.98862861917168599</v>
      </c>
      <c r="EV67" s="220">
        <f t="shared" ca="1" si="632"/>
        <v>0</v>
      </c>
      <c r="EW67" s="235">
        <f t="shared" ca="1" si="135"/>
        <v>0.51424080194137645</v>
      </c>
      <c r="EX67" s="235">
        <f t="shared" ca="1" si="136"/>
        <v>0.51424080194137645</v>
      </c>
      <c r="EY67" s="242">
        <f t="shared" ca="1" si="137"/>
        <v>0.51424080194137645</v>
      </c>
      <c r="EZ67" s="241">
        <f t="shared" ca="1" si="801"/>
        <v>1</v>
      </c>
      <c r="FA67" s="220">
        <f t="shared" ca="1" si="633"/>
        <v>0.98770524004137961</v>
      </c>
      <c r="FB67" s="220">
        <f t="shared" ca="1" si="634"/>
        <v>0</v>
      </c>
      <c r="FC67" s="235">
        <f t="shared" ca="1" si="140"/>
        <v>0.49638695751919149</v>
      </c>
      <c r="FD67" s="235">
        <f t="shared" ca="1" si="141"/>
        <v>0.49638695751919149</v>
      </c>
      <c r="FE67" s="242">
        <f t="shared" ca="1" si="142"/>
        <v>0.49638695751919149</v>
      </c>
      <c r="FF67" s="241">
        <f t="shared" ca="1" si="801"/>
        <v>1</v>
      </c>
      <c r="FG67" s="220">
        <f t="shared" ca="1" si="635"/>
        <v>0.98663357985593469</v>
      </c>
      <c r="FH67" s="220">
        <f t="shared" ca="1" si="636"/>
        <v>0</v>
      </c>
      <c r="FI67" s="235">
        <f t="shared" ca="1" si="145"/>
        <v>0.4790805581355394</v>
      </c>
      <c r="FJ67" s="235">
        <f t="shared" ca="1" si="146"/>
        <v>0.4790805581355394</v>
      </c>
      <c r="FK67" s="242">
        <f t="shared" ca="1" si="147"/>
        <v>0.4790805581355394</v>
      </c>
      <c r="FL67" s="241">
        <f t="shared" ca="1" si="801"/>
        <v>1</v>
      </c>
      <c r="FM67" s="220">
        <f t="shared" ca="1" si="637"/>
        <v>0.98542199381987161</v>
      </c>
      <c r="FN67" s="220">
        <f t="shared" ca="1" si="638"/>
        <v>0</v>
      </c>
      <c r="FO67" s="235">
        <f t="shared" ca="1" si="150"/>
        <v>0.46231134996149653</v>
      </c>
      <c r="FP67" s="235">
        <f t="shared" ca="1" si="151"/>
        <v>0.46231134996149653</v>
      </c>
      <c r="FQ67" s="242">
        <f t="shared" ca="1" si="152"/>
        <v>0.46231134996149653</v>
      </c>
      <c r="FR67" s="241">
        <f t="shared" ca="1" si="801"/>
        <v>1</v>
      </c>
      <c r="FS67" s="220">
        <f t="shared" ca="1" si="639"/>
        <v>0.98410251377014679</v>
      </c>
      <c r="FT67" s="220">
        <f t="shared" ca="1" si="640"/>
        <v>0</v>
      </c>
      <c r="FU67" s="235">
        <f t="shared" ca="1" si="155"/>
        <v>0.44607953146270346</v>
      </c>
      <c r="FV67" s="235">
        <f t="shared" ca="1" si="156"/>
        <v>0.44607953146270346</v>
      </c>
      <c r="FW67" s="242">
        <f t="shared" ca="1" si="157"/>
        <v>0.44607953146270346</v>
      </c>
      <c r="FX67" s="241">
        <f t="shared" ca="1" si="801"/>
        <v>1</v>
      </c>
      <c r="FY67" s="220">
        <f t="shared" ca="1" si="641"/>
        <v>0.98272181794332725</v>
      </c>
      <c r="FZ67" s="220">
        <f t="shared" ca="1" si="642"/>
        <v>0</v>
      </c>
      <c r="GA67" s="235">
        <f t="shared" ca="1" si="160"/>
        <v>0.43039003080199167</v>
      </c>
      <c r="GB67" s="235">
        <f t="shared" ca="1" si="161"/>
        <v>0.43039003080199167</v>
      </c>
      <c r="GC67" s="242">
        <f t="shared" ca="1" si="162"/>
        <v>0.43039003080199167</v>
      </c>
      <c r="GD67" s="241">
        <f t="shared" ca="1" si="795"/>
        <v>1</v>
      </c>
      <c r="GE67" s="220">
        <f t="shared" ca="1" si="643"/>
        <v>0.98131357757821447</v>
      </c>
      <c r="GF67" s="220">
        <f t="shared" ca="1" si="644"/>
        <v>0</v>
      </c>
      <c r="GG67" s="235">
        <f t="shared" ca="1" si="166"/>
        <v>0.41523988588198307</v>
      </c>
      <c r="GH67" s="235">
        <f t="shared" ca="1" si="167"/>
        <v>0.41523988588198307</v>
      </c>
      <c r="GI67" s="242">
        <f t="shared" ca="1" si="168"/>
        <v>0.41523988588198307</v>
      </c>
      <c r="GJ67" s="241">
        <f t="shared" ca="1" si="795"/>
        <v>1</v>
      </c>
      <c r="GK67" s="220">
        <f t="shared" ca="1" si="645"/>
        <v>0.97988969157714845</v>
      </c>
      <c r="GL67" s="220">
        <f t="shared" ca="1" si="646"/>
        <v>0</v>
      </c>
      <c r="GM67" s="235">
        <f t="shared" ca="1" si="171"/>
        <v>0.40061581913774713</v>
      </c>
      <c r="GN67" s="235">
        <f t="shared" ca="1" si="172"/>
        <v>0.40061581913774713</v>
      </c>
      <c r="GO67" s="242">
        <f t="shared" ca="1" si="173"/>
        <v>0.40061581913774713</v>
      </c>
      <c r="GP67" s="241">
        <f t="shared" ca="1" si="802"/>
        <v>1</v>
      </c>
      <c r="GQ67" s="220">
        <f t="shared" ca="1" si="647"/>
        <v>0.9784443542820721</v>
      </c>
      <c r="GR67" s="220">
        <f t="shared" ca="1" si="648"/>
        <v>0</v>
      </c>
      <c r="GS67" s="235">
        <f t="shared" ca="1" si="176"/>
        <v>0.38649749836185404</v>
      </c>
      <c r="GT67" s="235">
        <f t="shared" ca="1" si="177"/>
        <v>0.38649749836185404</v>
      </c>
      <c r="GU67" s="242">
        <f t="shared" ca="1" si="178"/>
        <v>0.38649749836185404</v>
      </c>
      <c r="GV67" s="241">
        <f t="shared" ca="1" si="802"/>
        <v>1</v>
      </c>
      <c r="GW67" s="220">
        <f t="shared" ca="1" si="649"/>
        <v>0.97697473086194042</v>
      </c>
      <c r="GX67" s="220">
        <f t="shared" ca="1" si="650"/>
        <v>0</v>
      </c>
      <c r="GY67" s="235">
        <f t="shared" ca="1" si="181"/>
        <v>0.37286664649209134</v>
      </c>
      <c r="GZ67" s="235">
        <f t="shared" ca="1" si="182"/>
        <v>0.37286664649209134</v>
      </c>
      <c r="HA67" s="242">
        <f t="shared" ca="1" si="183"/>
        <v>0.37286664649209134</v>
      </c>
      <c r="HB67" s="241">
        <f t="shared" ca="1" si="802"/>
        <v>1</v>
      </c>
      <c r="HC67" s="220">
        <f t="shared" ca="1" si="651"/>
        <v>0.97547214372587476</v>
      </c>
      <c r="HD67" s="220">
        <f t="shared" ca="1" si="652"/>
        <v>0</v>
      </c>
      <c r="HE67" s="235">
        <f t="shared" ca="1" si="186"/>
        <v>0.35970355322684694</v>
      </c>
      <c r="HF67" s="235">
        <f t="shared" ca="1" si="187"/>
        <v>0.35970355322684694</v>
      </c>
      <c r="HG67" s="242">
        <f t="shared" ca="1" si="188"/>
        <v>0.35970355322684694</v>
      </c>
      <c r="HH67" s="241">
        <f t="shared" ca="1" si="802"/>
        <v>1</v>
      </c>
      <c r="HI67" s="220">
        <f t="shared" ca="1" si="653"/>
        <v>0.9739299222666441</v>
      </c>
      <c r="HJ67" s="220">
        <f t="shared" ca="1" si="654"/>
        <v>0</v>
      </c>
      <c r="HK67" s="235">
        <f t="shared" ca="1" si="191"/>
        <v>0.34699020474318382</v>
      </c>
      <c r="HL67" s="235">
        <f t="shared" ca="1" si="192"/>
        <v>0.34699020474318382</v>
      </c>
      <c r="HM67" s="242">
        <f t="shared" ca="1" si="193"/>
        <v>0.34699020474318382</v>
      </c>
      <c r="HN67" s="241">
        <f t="shared" ca="1" si="802"/>
        <v>1</v>
      </c>
      <c r="HO67" s="220">
        <f t="shared" ca="1" si="655"/>
        <v>0.97234631221303847</v>
      </c>
      <c r="HP67" s="220">
        <f t="shared" ca="1" si="656"/>
        <v>0</v>
      </c>
      <c r="HQ67" s="235">
        <f t="shared" ca="1" si="196"/>
        <v>0.33471110982634922</v>
      </c>
      <c r="HR67" s="235">
        <f t="shared" ca="1" si="197"/>
        <v>0.33471110982634922</v>
      </c>
      <c r="HS67" s="242">
        <f t="shared" ca="1" si="198"/>
        <v>0.33471110982634922</v>
      </c>
      <c r="HT67" s="241">
        <f t="shared" ca="1" si="802"/>
        <v>1</v>
      </c>
      <c r="HU67" s="220">
        <f t="shared" ca="1" si="657"/>
        <v>0.97072346621795491</v>
      </c>
      <c r="HV67" s="220">
        <f t="shared" ca="1" si="658"/>
        <v>0</v>
      </c>
      <c r="HW67" s="235">
        <f t="shared" ca="1" si="201"/>
        <v>0.32285263476719722</v>
      </c>
      <c r="HX67" s="235">
        <f t="shared" ca="1" si="202"/>
        <v>0.32285263476719722</v>
      </c>
      <c r="HY67" s="242">
        <f t="shared" ca="1" si="203"/>
        <v>0.32285263476719722</v>
      </c>
      <c r="HZ67" s="241">
        <f t="shared" ca="1" si="802"/>
        <v>1</v>
      </c>
      <c r="IA67" s="220">
        <f t="shared" ca="1" si="659"/>
        <v>0.96906158764378969</v>
      </c>
      <c r="IB67" s="220">
        <f t="shared" ca="1" si="660"/>
        <v>0</v>
      </c>
      <c r="IC67" s="235">
        <f t="shared" ca="1" si="206"/>
        <v>0.31140088024780266</v>
      </c>
      <c r="ID67" s="235">
        <f t="shared" ca="1" si="207"/>
        <v>0.31140088024780266</v>
      </c>
      <c r="IE67" s="242">
        <f t="shared" ca="1" si="208"/>
        <v>0.31140088024780266</v>
      </c>
      <c r="IF67" s="241">
        <f t="shared" ca="1" si="802"/>
        <v>1</v>
      </c>
      <c r="IG67" s="220">
        <f t="shared" ca="1" si="661"/>
        <v>0.96736088455747493</v>
      </c>
      <c r="IH67" s="220">
        <f t="shared" ca="1" si="662"/>
        <v>0</v>
      </c>
      <c r="II67" s="235">
        <f t="shared" ca="1" si="211"/>
        <v>0.30034238811880948</v>
      </c>
      <c r="IJ67" s="235">
        <f t="shared" ca="1" si="212"/>
        <v>0.30034238811880948</v>
      </c>
      <c r="IK67" s="242">
        <f t="shared" ca="1" si="213"/>
        <v>0.30034238811880948</v>
      </c>
      <c r="IL67" s="241">
        <f t="shared" ca="1" si="802"/>
        <v>1</v>
      </c>
      <c r="IM67" s="220">
        <f t="shared" ca="1" si="663"/>
        <v>0.96561963496527148</v>
      </c>
      <c r="IN67" s="220">
        <f t="shared" ca="1" si="664"/>
        <v>0</v>
      </c>
      <c r="IO67" s="235">
        <f t="shared" ca="1" si="216"/>
        <v>0.28966354765236296</v>
      </c>
      <c r="IP67" s="235">
        <f t="shared" ca="1" si="217"/>
        <v>0.28966354765236296</v>
      </c>
      <c r="IQ67" s="242">
        <f t="shared" ca="1" si="218"/>
        <v>0.28966354765236296</v>
      </c>
      <c r="IR67" s="241">
        <f t="shared" ca="1" si="802"/>
        <v>1</v>
      </c>
      <c r="IS67" s="220">
        <f t="shared" ca="1" si="665"/>
        <v>0.96382841054241086</v>
      </c>
      <c r="IT67" s="220">
        <f t="shared" ca="1" si="666"/>
        <v>0</v>
      </c>
      <c r="IU67" s="235">
        <f t="shared" ca="1" si="222"/>
        <v>0.27934900654248102</v>
      </c>
      <c r="IV67" s="235">
        <f t="shared" ca="1" si="223"/>
        <v>0.27934900654248102</v>
      </c>
      <c r="IW67" s="242">
        <f t="shared" ca="1" si="224"/>
        <v>0.27934900654248102</v>
      </c>
      <c r="IX67" s="241">
        <f t="shared" ca="1" si="802"/>
        <v>1</v>
      </c>
      <c r="IY67" s="220">
        <f t="shared" ca="1" si="667"/>
        <v>0.9619778599941694</v>
      </c>
      <c r="IZ67" s="220">
        <f t="shared" ca="1" si="668"/>
        <v>0</v>
      </c>
      <c r="JA67" s="235">
        <f t="shared" ca="1" si="227"/>
        <v>0.26938420913035699</v>
      </c>
      <c r="JB67" s="235">
        <f t="shared" ca="1" si="228"/>
        <v>0.26938420913035699</v>
      </c>
      <c r="JC67" s="242">
        <f t="shared" ca="1" si="229"/>
        <v>0.26938420913035699</v>
      </c>
      <c r="JD67" s="241">
        <f t="shared" ca="1" si="796"/>
        <v>1</v>
      </c>
      <c r="JE67" s="220">
        <f t="shared" ca="1" si="669"/>
        <v>0.96006544800850102</v>
      </c>
      <c r="JF67" s="220">
        <f t="shared" ca="1" si="670"/>
        <v>0</v>
      </c>
      <c r="JG67" s="235">
        <f t="shared" ca="1" si="232"/>
        <v>0.25975717229237277</v>
      </c>
      <c r="JH67" s="235">
        <f t="shared" ca="1" si="233"/>
        <v>0.25975717229237277</v>
      </c>
      <c r="JI67" s="242">
        <f t="shared" ca="1" si="234"/>
        <v>0.25975717229237277</v>
      </c>
      <c r="JJ67" s="241">
        <f t="shared" ca="1" si="796"/>
        <v>1</v>
      </c>
      <c r="JK67" s="220">
        <f t="shared" ca="1" si="671"/>
        <v>0.9580877131856036</v>
      </c>
      <c r="JL67" s="220">
        <f t="shared" ca="1" si="672"/>
        <v>0</v>
      </c>
      <c r="JM67" s="235">
        <f t="shared" ca="1" si="237"/>
        <v>0.25045610871251262</v>
      </c>
      <c r="JN67" s="235">
        <f t="shared" ca="1" si="238"/>
        <v>0.25045610871251262</v>
      </c>
      <c r="JO67" s="242">
        <f t="shared" ca="1" si="239"/>
        <v>0.25045610871251262</v>
      </c>
      <c r="JP67" s="241">
        <f t="shared" ca="1" si="803"/>
        <v>1</v>
      </c>
      <c r="JQ67" s="220">
        <f t="shared" ca="1" si="673"/>
        <v>0.95603644739167326</v>
      </c>
      <c r="JR67" s="220">
        <f t="shared" ca="1" si="674"/>
        <v>0</v>
      </c>
      <c r="JS67" s="235">
        <f t="shared" ca="1" si="242"/>
        <v>0.24146848520169967</v>
      </c>
      <c r="JT67" s="235">
        <f t="shared" ca="1" si="243"/>
        <v>0.24146848520169967</v>
      </c>
      <c r="JU67" s="242">
        <f t="shared" ca="1" si="244"/>
        <v>0.24146848520169967</v>
      </c>
      <c r="JV67" s="241">
        <f t="shared" ca="1" si="803"/>
        <v>1</v>
      </c>
      <c r="JW67" s="220">
        <f t="shared" ca="1" si="675"/>
        <v>0.95389492574951584</v>
      </c>
      <c r="JX67" s="220">
        <f t="shared" ca="1" si="676"/>
        <v>0</v>
      </c>
      <c r="JY67" s="235">
        <f t="shared" ca="1" si="247"/>
        <v>0.23278028579212359</v>
      </c>
      <c r="JZ67" s="235">
        <f t="shared" ca="1" si="248"/>
        <v>0.23278028579212359</v>
      </c>
      <c r="KA67" s="242">
        <f t="shared" ca="1" si="249"/>
        <v>0.23278028579212359</v>
      </c>
      <c r="KB67" s="241">
        <f t="shared" ca="1" si="803"/>
        <v>1</v>
      </c>
      <c r="KC67" s="220">
        <f t="shared" ca="1" si="677"/>
        <v>0.95164182593489555</v>
      </c>
      <c r="KD67" s="220">
        <f t="shared" ca="1" si="678"/>
        <v>0</v>
      </c>
      <c r="KE67" s="235">
        <f t="shared" ca="1" si="252"/>
        <v>0.22437725483776094</v>
      </c>
      <c r="KF67" s="235">
        <f t="shared" ca="1" si="253"/>
        <v>0.22437725483776094</v>
      </c>
      <c r="KG67" s="242">
        <f t="shared" ca="1" si="254"/>
        <v>0.22437725483776094</v>
      </c>
      <c r="KH67" s="241">
        <f t="shared" ca="1" si="803"/>
        <v>1</v>
      </c>
      <c r="KI67" s="220">
        <f t="shared" ca="1" si="679"/>
        <v>0.94925415659362489</v>
      </c>
      <c r="KJ67" s="220">
        <f t="shared" ca="1" si="680"/>
        <v>0</v>
      </c>
      <c r="KK67" s="235">
        <f t="shared" ca="1" si="257"/>
        <v>0.21624569304866956</v>
      </c>
      <c r="KL67" s="235">
        <f t="shared" ca="1" si="258"/>
        <v>0.21624569304866956</v>
      </c>
      <c r="KM67" s="242">
        <f t="shared" ca="1" si="259"/>
        <v>0.21624569304866956</v>
      </c>
      <c r="KN67" s="241">
        <f t="shared" ca="1" si="803"/>
        <v>1</v>
      </c>
      <c r="KO67" s="220">
        <f t="shared" ca="1" si="681"/>
        <v>0.94670635843732753</v>
      </c>
      <c r="KP67" s="220">
        <f t="shared" ca="1" si="682"/>
        <v>0</v>
      </c>
      <c r="KQ67" s="235">
        <f t="shared" ca="1" si="262"/>
        <v>0.2083722604913304</v>
      </c>
      <c r="KR67" s="235">
        <f t="shared" ca="1" si="263"/>
        <v>0.2083722604913304</v>
      </c>
      <c r="KS67" s="242">
        <f t="shared" ca="1" si="264"/>
        <v>0.2083722604913304</v>
      </c>
      <c r="KT67" s="241">
        <f t="shared" ca="1" si="803"/>
        <v>1</v>
      </c>
      <c r="KU67" s="220">
        <f t="shared" ca="1" si="683"/>
        <v>0.94397037706144371</v>
      </c>
      <c r="KV67" s="220">
        <f t="shared" ca="1" si="684"/>
        <v>0</v>
      </c>
      <c r="KW67" s="235">
        <f t="shared" ca="1" si="267"/>
        <v>0.20074402382464779</v>
      </c>
      <c r="KX67" s="235">
        <f t="shared" ca="1" si="268"/>
        <v>0.20074402382464779</v>
      </c>
      <c r="KY67" s="242">
        <f t="shared" ca="1" si="269"/>
        <v>0.20074402382464779</v>
      </c>
      <c r="KZ67" s="241">
        <f t="shared" ca="1" si="803"/>
        <v>1</v>
      </c>
      <c r="LA67" s="220">
        <f t="shared" ca="1" si="685"/>
        <v>0.94102424551463493</v>
      </c>
      <c r="LB67" s="220">
        <f t="shared" ca="1" si="686"/>
        <v>0</v>
      </c>
      <c r="LC67" s="235">
        <f t="shared" ca="1" si="272"/>
        <v>0.19335024321380778</v>
      </c>
      <c r="LD67" s="235">
        <f t="shared" ca="1" si="273"/>
        <v>0.19335024321380778</v>
      </c>
      <c r="LE67" s="242">
        <f t="shared" ca="1" si="274"/>
        <v>0.19335024321380778</v>
      </c>
      <c r="LF67" s="241">
        <f t="shared" ca="1" si="803"/>
        <v>1</v>
      </c>
      <c r="LG67" s="220">
        <f t="shared" ca="1" si="687"/>
        <v>0.93783793741932242</v>
      </c>
      <c r="LH67" s="220">
        <f t="shared" ca="1" si="688"/>
        <v>0</v>
      </c>
      <c r="LI67" s="235">
        <f t="shared" ca="1" si="278"/>
        <v>0.18617928433844047</v>
      </c>
      <c r="LJ67" s="235">
        <f t="shared" ca="1" si="279"/>
        <v>0.18617928433844047</v>
      </c>
      <c r="LK67" s="242">
        <f t="shared" ca="1" si="280"/>
        <v>0.18617928433844047</v>
      </c>
      <c r="LL67" s="241">
        <f t="shared" ca="1" si="803"/>
        <v>1</v>
      </c>
      <c r="LM67" s="220">
        <f t="shared" ca="1" si="689"/>
        <v>0.93436137218530901</v>
      </c>
      <c r="LN67" s="220">
        <f t="shared" ca="1" si="690"/>
        <v>0</v>
      </c>
      <c r="LO67" s="235">
        <f t="shared" ca="1" si="283"/>
        <v>0.17921653887091585</v>
      </c>
      <c r="LP67" s="235">
        <f t="shared" ca="1" si="284"/>
        <v>0.17921653887091585</v>
      </c>
      <c r="LQ67" s="242">
        <f t="shared" ca="1" si="285"/>
        <v>0.17921653887091585</v>
      </c>
      <c r="LR67" s="241">
        <f t="shared" ca="1" si="803"/>
        <v>1</v>
      </c>
      <c r="LS67" s="220">
        <f t="shared" ca="1" si="691"/>
        <v>0.93053889981169891</v>
      </c>
      <c r="LT67" s="220">
        <f t="shared" ca="1" si="692"/>
        <v>0</v>
      </c>
      <c r="LU67" s="235">
        <f t="shared" ca="1" si="288"/>
        <v>0.17244769469603377</v>
      </c>
      <c r="LV67" s="235">
        <f t="shared" ca="1" si="289"/>
        <v>0.17244769469603377</v>
      </c>
      <c r="LW67" s="242">
        <f t="shared" ca="1" si="290"/>
        <v>0.17244769469603377</v>
      </c>
      <c r="LX67" s="241">
        <f t="shared" ca="1" si="803"/>
        <v>1</v>
      </c>
      <c r="LY67" s="220">
        <f t="shared" ca="1" si="693"/>
        <v>0.92632262805665211</v>
      </c>
      <c r="LZ67" s="220">
        <f t="shared" ca="1" si="694"/>
        <v>0</v>
      </c>
      <c r="MA67" s="235">
        <f t="shared" ca="1" si="293"/>
        <v>0.16586119245542613</v>
      </c>
      <c r="MB67" s="235">
        <f t="shared" ca="1" si="294"/>
        <v>0.16586119245542613</v>
      </c>
      <c r="MC67" s="242">
        <f t="shared" ca="1" si="295"/>
        <v>0.16586119245542613</v>
      </c>
      <c r="MD67" s="241">
        <f t="shared" ca="1" si="797"/>
        <v>1</v>
      </c>
      <c r="ME67" s="220">
        <f t="shared" ca="1" si="695"/>
        <v>0.92167897272220412</v>
      </c>
      <c r="MF67" s="220">
        <f t="shared" ca="1" si="696"/>
        <v>0</v>
      </c>
      <c r="MG67" s="235">
        <f t="shared" ca="1" si="298"/>
        <v>0.15944901478033538</v>
      </c>
      <c r="MH67" s="235">
        <f t="shared" ca="1" si="299"/>
        <v>0.15944901478033538</v>
      </c>
      <c r="MI67" s="242">
        <f t="shared" ca="1" si="300"/>
        <v>0.15944901478033538</v>
      </c>
      <c r="MJ67" s="241">
        <f t="shared" ca="1" si="797"/>
        <v>1</v>
      </c>
      <c r="MK67" s="220">
        <f t="shared" ca="1" si="697"/>
        <v>0.91658761807688671</v>
      </c>
      <c r="ML67" s="220">
        <f t="shared" ca="1" si="698"/>
        <v>0</v>
      </c>
      <c r="MM67" s="235">
        <f t="shared" ca="1" si="303"/>
        <v>0.15320600813786359</v>
      </c>
      <c r="MN67" s="235">
        <f t="shared" ca="1" si="304"/>
        <v>0.15320600813786359</v>
      </c>
      <c r="MO67" s="242">
        <f t="shared" ca="1" si="305"/>
        <v>0.15320600813786359</v>
      </c>
      <c r="MP67" s="241">
        <f t="shared" ca="1" si="804"/>
        <v>1</v>
      </c>
      <c r="MQ67" s="220">
        <f t="shared" ca="1" si="699"/>
        <v>0.91103401369895887</v>
      </c>
      <c r="MR67" s="220">
        <f t="shared" ca="1" si="700"/>
        <v>0</v>
      </c>
      <c r="MS67" s="235">
        <f t="shared" ca="1" si="308"/>
        <v>0.1471282443812138</v>
      </c>
      <c r="MT67" s="235">
        <f t="shared" ca="1" si="309"/>
        <v>0.1471282443812138</v>
      </c>
      <c r="MU67" s="242">
        <f t="shared" ca="1" si="310"/>
        <v>0.1471282443812138</v>
      </c>
      <c r="MV67" s="241">
        <f t="shared" ca="1" si="804"/>
        <v>1</v>
      </c>
      <c r="MW67" s="220">
        <f t="shared" ca="1" si="701"/>
        <v>0.90501116783439506</v>
      </c>
      <c r="MX67" s="220">
        <f t="shared" ca="1" si="702"/>
        <v>0</v>
      </c>
      <c r="MY67" s="235">
        <f t="shared" ca="1" si="313"/>
        <v>0.14121312034551653</v>
      </c>
      <c r="MZ67" s="235">
        <f t="shared" ca="1" si="314"/>
        <v>0.14121312034551653</v>
      </c>
      <c r="NA67" s="242">
        <f t="shared" ca="1" si="315"/>
        <v>0.14121312034551653</v>
      </c>
      <c r="NB67" s="241">
        <f t="shared" ca="1" si="804"/>
        <v>1</v>
      </c>
      <c r="NC67" s="220">
        <f t="shared" ca="1" si="703"/>
        <v>0.89850685257116925</v>
      </c>
      <c r="ND67" s="220">
        <f t="shared" ca="1" si="704"/>
        <v>0</v>
      </c>
      <c r="NE67" s="235">
        <f t="shared" ca="1" si="318"/>
        <v>0.13545721898511429</v>
      </c>
      <c r="NF67" s="235">
        <f t="shared" ca="1" si="319"/>
        <v>0.13545721898511429</v>
      </c>
      <c r="NG67" s="242">
        <f t="shared" ca="1" si="320"/>
        <v>0.13545721898511429</v>
      </c>
      <c r="NH67" s="241">
        <f t="shared" ca="1" si="804"/>
        <v>1</v>
      </c>
      <c r="NI67" s="220">
        <f t="shared" ca="1" si="705"/>
        <v>0.89149849912111412</v>
      </c>
      <c r="NJ67" s="220">
        <f t="shared" ca="1" si="706"/>
        <v>0</v>
      </c>
      <c r="NK67" s="235">
        <f t="shared" ca="1" si="323"/>
        <v>0.12985570306959462</v>
      </c>
      <c r="NL67" s="235">
        <f t="shared" ca="1" si="324"/>
        <v>0.12985570306959462</v>
      </c>
      <c r="NM67" s="242">
        <f t="shared" ca="1" si="325"/>
        <v>0.12985570306959462</v>
      </c>
      <c r="NN67" s="241">
        <f t="shared" ca="1" si="804"/>
        <v>1</v>
      </c>
      <c r="NO67" s="220">
        <f t="shared" ca="1" si="707"/>
        <v>0.88395998781254592</v>
      </c>
      <c r="NP67" s="220">
        <f t="shared" ca="1" si="708"/>
        <v>0</v>
      </c>
      <c r="NQ67" s="235">
        <f t="shared" ca="1" si="328"/>
        <v>0.12440352004293539</v>
      </c>
      <c r="NR67" s="235">
        <f t="shared" ca="1" si="329"/>
        <v>0.12440352004293539</v>
      </c>
      <c r="NS67" s="242">
        <f t="shared" ca="1" si="330"/>
        <v>0.12440352004293539</v>
      </c>
      <c r="NT67" s="241">
        <f t="shared" ca="1" si="804"/>
        <v>1</v>
      </c>
      <c r="NU67" s="220">
        <f t="shared" ca="1" si="709"/>
        <v>0.87587705768398794</v>
      </c>
      <c r="NV67" s="220">
        <f t="shared" ca="1" si="710"/>
        <v>0</v>
      </c>
      <c r="NW67" s="235">
        <f t="shared" ca="1" si="334"/>
        <v>0.11909755966730703</v>
      </c>
      <c r="NX67" s="235">
        <f t="shared" ca="1" si="335"/>
        <v>0.11909755966730703</v>
      </c>
      <c r="NY67" s="242">
        <f t="shared" ca="1" si="336"/>
        <v>0.11909755966730703</v>
      </c>
      <c r="NZ67" s="241">
        <f t="shared" ca="1" si="804"/>
        <v>1</v>
      </c>
      <c r="OA67" s="220">
        <f t="shared" ca="1" si="711"/>
        <v>0.86723653050993543</v>
      </c>
      <c r="OB67" s="220">
        <f t="shared" ca="1" si="712"/>
        <v>0</v>
      </c>
      <c r="OC67" s="235">
        <f t="shared" ca="1" si="339"/>
        <v>0.11393493936346769</v>
      </c>
      <c r="OD67" s="235">
        <f t="shared" ca="1" si="340"/>
        <v>0.11393493936346769</v>
      </c>
      <c r="OE67" s="242">
        <f t="shared" ca="1" si="341"/>
        <v>0.11393493936346769</v>
      </c>
      <c r="OF67" s="241">
        <f t="shared" ca="1" si="804"/>
        <v>1</v>
      </c>
      <c r="OG67" s="220">
        <f t="shared" ca="1" si="713"/>
        <v>0.85802474408285889</v>
      </c>
      <c r="OH67" s="220">
        <f t="shared" ca="1" si="714"/>
        <v>0</v>
      </c>
      <c r="OI67" s="235">
        <f t="shared" ca="1" si="344"/>
        <v>0.10891277530197965</v>
      </c>
      <c r="OJ67" s="235">
        <f t="shared" ca="1" si="345"/>
        <v>0.10891277530197965</v>
      </c>
      <c r="OK67" s="242">
        <f t="shared" ca="1" si="346"/>
        <v>0.10891277530197965</v>
      </c>
      <c r="OL67" s="241">
        <f t="shared" ca="1" si="804"/>
        <v>1</v>
      </c>
      <c r="OM67" s="220">
        <f t="shared" ca="1" si="715"/>
        <v>0.84819349656515752</v>
      </c>
      <c r="ON67" s="220">
        <f t="shared" ca="1" si="716"/>
        <v>0</v>
      </c>
      <c r="OO67" s="235">
        <f t="shared" ca="1" si="349"/>
        <v>0.10402401229233778</v>
      </c>
      <c r="OP67" s="235">
        <f t="shared" ca="1" si="350"/>
        <v>0.10402401229233778</v>
      </c>
      <c r="OQ67" s="242">
        <f t="shared" ca="1" si="351"/>
        <v>0.10402401229233778</v>
      </c>
      <c r="OR67" s="241">
        <f t="shared" ca="1" si="804"/>
        <v>1</v>
      </c>
      <c r="OS67" s="220">
        <f t="shared" ca="1" si="717"/>
        <v>0.83771830688257787</v>
      </c>
      <c r="OT67" s="220">
        <f t="shared" ca="1" si="718"/>
        <v>0</v>
      </c>
      <c r="OU67" s="235">
        <f t="shared" ca="1" si="354"/>
        <v>9.9265039362828419E-2</v>
      </c>
      <c r="OV67" s="235">
        <f t="shared" ca="1" si="355"/>
        <v>9.9265039362828419E-2</v>
      </c>
      <c r="OW67" s="242">
        <f t="shared" ca="1" si="356"/>
        <v>9.9265039362828419E-2</v>
      </c>
      <c r="OX67" s="241">
        <f t="shared" ca="1" si="804"/>
        <v>1</v>
      </c>
      <c r="OY67" s="220">
        <f t="shared" ca="1" si="719"/>
        <v>0.82663110509098692</v>
      </c>
      <c r="OZ67" s="220">
        <f t="shared" ca="1" si="720"/>
        <v>0</v>
      </c>
      <c r="PA67" s="235">
        <f t="shared" ca="1" si="359"/>
        <v>9.4638904895518239E-2</v>
      </c>
      <c r="PB67" s="235">
        <f t="shared" ca="1" si="360"/>
        <v>9.4638904895518239E-2</v>
      </c>
      <c r="PC67" s="242">
        <f t="shared" ca="1" si="361"/>
        <v>9.4638904895518239E-2</v>
      </c>
      <c r="PD67" s="241">
        <f t="shared" ca="1" si="798"/>
        <v>1</v>
      </c>
      <c r="PE67" s="220">
        <f t="shared" ca="1" si="721"/>
        <v>0.81497808640251923</v>
      </c>
      <c r="PF67" s="220">
        <f t="shared" ca="1" si="722"/>
        <v>0</v>
      </c>
      <c r="PG67" s="235">
        <f t="shared" ca="1" si="364"/>
        <v>9.0149546138363415E-2</v>
      </c>
      <c r="PH67" s="235">
        <f t="shared" ca="1" si="365"/>
        <v>9.0149546138363415E-2</v>
      </c>
      <c r="PI67" s="242">
        <f t="shared" ca="1" si="366"/>
        <v>9.0149546138363415E-2</v>
      </c>
      <c r="PJ67" s="241">
        <f t="shared" ca="1" si="798"/>
        <v>1</v>
      </c>
      <c r="PK67" s="220">
        <f t="shared" ca="1" si="723"/>
        <v>0.80277052964629592</v>
      </c>
      <c r="PL67" s="220">
        <f t="shared" ca="1" si="724"/>
        <v>0</v>
      </c>
      <c r="PM67" s="235">
        <f t="shared" ca="1" si="369"/>
        <v>8.5796324721504238E-2</v>
      </c>
      <c r="PN67" s="235">
        <f t="shared" ca="1" si="370"/>
        <v>8.5796324721504238E-2</v>
      </c>
      <c r="PO67" s="242">
        <f t="shared" ca="1" si="371"/>
        <v>8.5796324721504238E-2</v>
      </c>
      <c r="PP67" s="241">
        <f t="shared" ca="1" si="805"/>
        <v>1</v>
      </c>
      <c r="PQ67" s="220">
        <f t="shared" ca="1" si="725"/>
        <v>0.78995269259943357</v>
      </c>
      <c r="PR67" s="220">
        <f t="shared" ca="1" si="726"/>
        <v>0</v>
      </c>
      <c r="PS67" s="235">
        <f t="shared" ca="1" si="374"/>
        <v>8.1571415270218356E-2</v>
      </c>
      <c r="PT67" s="235">
        <f t="shared" ca="1" si="375"/>
        <v>8.1571415270218356E-2</v>
      </c>
      <c r="PU67" s="242">
        <f t="shared" ca="1" si="376"/>
        <v>8.1571415270218356E-2</v>
      </c>
      <c r="PV67" s="241">
        <f t="shared" ca="1" si="805"/>
        <v>1</v>
      </c>
      <c r="PW67" s="220">
        <f t="shared" ca="1" si="727"/>
        <v>0.77643739198174988</v>
      </c>
      <c r="PX67" s="220">
        <f t="shared" ca="1" si="728"/>
        <v>0</v>
      </c>
      <c r="PY67" s="235">
        <f t="shared" ca="1" si="379"/>
        <v>7.7464550653488104E-2</v>
      </c>
      <c r="PZ67" s="235">
        <f t="shared" ca="1" si="380"/>
        <v>7.7464550653488104E-2</v>
      </c>
      <c r="QA67" s="242">
        <f t="shared" ca="1" si="381"/>
        <v>7.7464550653488104E-2</v>
      </c>
      <c r="QB67" s="241">
        <f t="shared" ca="1" si="805"/>
        <v>1</v>
      </c>
      <c r="QC67" s="220">
        <f t="shared" ca="1" si="729"/>
        <v>0.76215715546842155</v>
      </c>
      <c r="QD67" s="220">
        <f t="shared" ca="1" si="730"/>
        <v>0</v>
      </c>
      <c r="QE67" s="235">
        <f t="shared" ca="1" si="384"/>
        <v>7.3468427669438799E-2</v>
      </c>
      <c r="QF67" s="235">
        <f t="shared" ca="1" si="385"/>
        <v>7.3468427669438799E-2</v>
      </c>
      <c r="QG67" s="242">
        <f t="shared" ca="1" si="386"/>
        <v>7.3468427669438799E-2</v>
      </c>
      <c r="QH67" s="241">
        <f t="shared" ca="1" si="805"/>
        <v>1</v>
      </c>
      <c r="QI67" s="220">
        <f t="shared" ca="1" si="731"/>
        <v>0.74703900613254992</v>
      </c>
      <c r="QJ67" s="220">
        <f t="shared" ca="1" si="732"/>
        <v>0</v>
      </c>
      <c r="QK67" s="235">
        <f t="shared" ca="1" si="390"/>
        <v>6.9575949698732195E-2</v>
      </c>
      <c r="QL67" s="235">
        <f t="shared" ca="1" si="391"/>
        <v>6.9575949698732195E-2</v>
      </c>
      <c r="QM67" s="242">
        <f t="shared" ca="1" si="392"/>
        <v>6.9575949698732195E-2</v>
      </c>
      <c r="QN67" s="241">
        <f t="shared" ca="1" si="805"/>
        <v>1</v>
      </c>
      <c r="QO67" s="220">
        <f t="shared" ca="1" si="733"/>
        <v>0.73100381386591473</v>
      </c>
      <c r="QP67" s="220">
        <f t="shared" ca="1" si="734"/>
        <v>0</v>
      </c>
      <c r="QQ67" s="235">
        <f t="shared" ca="1" si="395"/>
        <v>6.5780195109612458E-2</v>
      </c>
      <c r="QR67" s="235">
        <f t="shared" ca="1" si="396"/>
        <v>6.5780195109612458E-2</v>
      </c>
      <c r="QS67" s="242">
        <f t="shared" ca="1" si="397"/>
        <v>6.5780195109612458E-2</v>
      </c>
      <c r="QT67" s="241">
        <f t="shared" ca="1" si="805"/>
        <v>1</v>
      </c>
      <c r="QU67" s="220">
        <f t="shared" ca="1" si="735"/>
        <v>0.71393414380833176</v>
      </c>
      <c r="QV67" s="220">
        <f t="shared" ca="1" si="736"/>
        <v>0</v>
      </c>
      <c r="QW67" s="235">
        <f t="shared" ca="1" si="400"/>
        <v>6.2071653887543876E-2</v>
      </c>
      <c r="QX67" s="235">
        <f t="shared" ca="1" si="401"/>
        <v>6.2071653887543876E-2</v>
      </c>
      <c r="QY67" s="242">
        <f t="shared" ca="1" si="402"/>
        <v>6.2071653887543876E-2</v>
      </c>
      <c r="QZ67" s="241">
        <f t="shared" ca="1" si="805"/>
        <v>1</v>
      </c>
      <c r="RA67" s="220">
        <f t="shared" ca="1" si="737"/>
        <v>0.69574167395580788</v>
      </c>
      <c r="RB67" s="220">
        <f t="shared" ca="1" si="738"/>
        <v>0</v>
      </c>
      <c r="RC67" s="235">
        <f t="shared" ca="1" si="405"/>
        <v>5.8444390341238162E-2</v>
      </c>
      <c r="RD67" s="235">
        <f t="shared" ca="1" si="406"/>
        <v>5.8444390341238162E-2</v>
      </c>
      <c r="RE67" s="242">
        <f t="shared" ca="1" si="407"/>
        <v>5.8444390341238162E-2</v>
      </c>
      <c r="RF67" s="241">
        <f t="shared" ca="1" si="805"/>
        <v>1</v>
      </c>
      <c r="RG67" s="220">
        <f t="shared" ca="1" si="739"/>
        <v>0.67640422986988014</v>
      </c>
      <c r="RH67" s="220">
        <f t="shared" ca="1" si="740"/>
        <v>0</v>
      </c>
      <c r="RI67" s="235">
        <f t="shared" ca="1" si="410"/>
        <v>5.4898538121829751E-2</v>
      </c>
      <c r="RJ67" s="235">
        <f t="shared" ca="1" si="411"/>
        <v>5.4898538121829751E-2</v>
      </c>
      <c r="RK67" s="242">
        <f t="shared" ca="1" si="412"/>
        <v>5.4898538121829751E-2</v>
      </c>
      <c r="RL67" s="241">
        <f t="shared" ca="1" si="805"/>
        <v>1</v>
      </c>
      <c r="RM67" s="220">
        <f t="shared" ca="1" si="741"/>
        <v>0.65592135698096043</v>
      </c>
      <c r="RN67" s="220">
        <f t="shared" ca="1" si="742"/>
        <v>0</v>
      </c>
      <c r="RO67" s="235">
        <f t="shared" ca="1" si="415"/>
        <v>5.1435845981086484E-2</v>
      </c>
      <c r="RP67" s="235">
        <f t="shared" ca="1" si="416"/>
        <v>5.1435845981086484E-2</v>
      </c>
      <c r="RQ67" s="242">
        <f t="shared" ca="1" si="417"/>
        <v>5.1435845981086484E-2</v>
      </c>
      <c r="RR67" s="241">
        <f t="shared" ca="1" si="805"/>
        <v>1</v>
      </c>
      <c r="RS67" s="220">
        <f t="shared" ca="1" si="743"/>
        <v>0.63426152193073515</v>
      </c>
      <c r="RT67" s="220">
        <f t="shared" ca="1" si="744"/>
        <v>0</v>
      </c>
      <c r="RU67" s="235">
        <f t="shared" ca="1" si="420"/>
        <v>4.8055392729564286E-2</v>
      </c>
      <c r="RV67" s="235">
        <f t="shared" ca="1" si="421"/>
        <v>4.8055392729564286E-2</v>
      </c>
      <c r="RW67" s="242">
        <f t="shared" ca="1" si="422"/>
        <v>4.8055392729564286E-2</v>
      </c>
      <c r="RX67" s="241">
        <f t="shared" ca="1" si="805"/>
        <v>1</v>
      </c>
      <c r="RY67" s="220">
        <f t="shared" ca="1" si="745"/>
        <v>0.61130062057532053</v>
      </c>
      <c r="RZ67" s="220">
        <f t="shared" ca="1" si="746"/>
        <v>0</v>
      </c>
      <c r="SA67" s="235">
        <f t="shared" ca="1" si="425"/>
        <v>4.4749506722088245E-2</v>
      </c>
      <c r="SB67" s="235">
        <f t="shared" ca="1" si="426"/>
        <v>4.4749506722088245E-2</v>
      </c>
      <c r="SC67" s="242">
        <f t="shared" ca="1" si="427"/>
        <v>4.4749506722088245E-2</v>
      </c>
      <c r="SD67" s="241">
        <f t="shared" ca="1" si="799"/>
        <v>1</v>
      </c>
      <c r="SE67" s="220">
        <f t="shared" ca="1" si="747"/>
        <v>0.58693540044042947</v>
      </c>
      <c r="SF67" s="220">
        <f t="shared" ca="1" si="748"/>
        <v>0</v>
      </c>
      <c r="SG67" s="235">
        <f t="shared" ca="1" si="430"/>
        <v>4.1512928389525854E-2</v>
      </c>
      <c r="SH67" s="235">
        <f t="shared" ca="1" si="431"/>
        <v>4.1512928389525854E-2</v>
      </c>
      <c r="SI67" s="242">
        <f t="shared" ca="1" si="432"/>
        <v>4.1512928389525854E-2</v>
      </c>
      <c r="SJ67" s="241">
        <f t="shared" ca="1" si="799"/>
        <v>1</v>
      </c>
      <c r="SK67" s="220">
        <f t="shared" ca="1" si="749"/>
        <v>0.56117421877969853</v>
      </c>
      <c r="SL67" s="220">
        <f t="shared" ca="1" si="750"/>
        <v>0</v>
      </c>
      <c r="SM67" s="235">
        <f t="shared" ca="1" si="435"/>
        <v>3.8348680627614658E-2</v>
      </c>
      <c r="SN67" s="235">
        <f t="shared" ca="1" si="436"/>
        <v>3.8348680627614658E-2</v>
      </c>
      <c r="SO67" s="242">
        <f t="shared" ca="1" si="437"/>
        <v>3.8348680627614658E-2</v>
      </c>
      <c r="SP67" s="241">
        <f t="shared" ca="1" si="808"/>
        <v>1</v>
      </c>
      <c r="SQ67" s="220">
        <f t="shared" ca="1" si="751"/>
        <v>0.5340633310962325</v>
      </c>
      <c r="SR67" s="220">
        <f t="shared" ca="1" si="752"/>
        <v>0</v>
      </c>
      <c r="SS67" s="235">
        <f t="shared" ca="1" si="440"/>
        <v>3.5261852674216394E-2</v>
      </c>
      <c r="ST67" s="235">
        <f t="shared" ca="1" si="441"/>
        <v>3.5261852674216394E-2</v>
      </c>
      <c r="SU67" s="242">
        <f t="shared" ca="1" si="442"/>
        <v>3.5261852674216394E-2</v>
      </c>
      <c r="SV67" s="241">
        <f t="shared" ca="1" si="808"/>
        <v>1</v>
      </c>
      <c r="SW67" s="220">
        <f t="shared" ca="1" si="753"/>
        <v>0.50563620810864218</v>
      </c>
      <c r="SX67" s="220">
        <f t="shared" ca="1" si="754"/>
        <v>0</v>
      </c>
      <c r="SY67" s="235">
        <f t="shared" ca="1" si="446"/>
        <v>3.2255975632920972E-2</v>
      </c>
      <c r="SZ67" s="235">
        <f t="shared" ca="1" si="447"/>
        <v>3.2255975632920972E-2</v>
      </c>
      <c r="TA67" s="242">
        <f t="shared" ca="1" si="448"/>
        <v>3.2255975632920972E-2</v>
      </c>
      <c r="TB67" s="241">
        <f t="shared" ca="1" si="808"/>
        <v>1</v>
      </c>
      <c r="TC67" s="220">
        <f t="shared" ca="1" si="755"/>
        <v>0.47585575235966748</v>
      </c>
      <c r="TD67" s="220">
        <f t="shared" ca="1" si="756"/>
        <v>0</v>
      </c>
      <c r="TE67" s="235">
        <f t="shared" ca="1" si="451"/>
        <v>2.9329657426153458E-2</v>
      </c>
      <c r="TF67" s="235">
        <f t="shared" ca="1" si="452"/>
        <v>2.9329657426153458E-2</v>
      </c>
      <c r="TG67" s="242">
        <f t="shared" ca="1" si="453"/>
        <v>2.9329657426153458E-2</v>
      </c>
      <c r="TH67" s="241">
        <f t="shared" ca="1" si="808"/>
        <v>1</v>
      </c>
      <c r="TI67" s="220">
        <f t="shared" ca="1" si="757"/>
        <v>0.4447514411066778</v>
      </c>
      <c r="TJ67" s="220">
        <f t="shared" ca="1" si="758"/>
        <v>0</v>
      </c>
      <c r="TK67" s="235">
        <f t="shared" ca="1" si="456"/>
        <v>2.6485530790814431E-2</v>
      </c>
      <c r="TL67" s="235">
        <f t="shared" ca="1" si="457"/>
        <v>2.6485530790814431E-2</v>
      </c>
      <c r="TM67" s="242">
        <f t="shared" ca="1" si="458"/>
        <v>2.6485530790814431E-2</v>
      </c>
      <c r="TN67" s="241">
        <f t="shared" ca="1" si="808"/>
        <v>1</v>
      </c>
      <c r="TO67" s="220">
        <f t="shared" ca="1" si="759"/>
        <v>0.41251096438941365</v>
      </c>
      <c r="TP67" s="220">
        <f t="shared" ca="1" si="760"/>
        <v>0</v>
      </c>
      <c r="TQ67" s="235">
        <f t="shared" ca="1" si="461"/>
        <v>2.3734848481408222E-2</v>
      </c>
      <c r="TR67" s="235">
        <f t="shared" ca="1" si="462"/>
        <v>2.3734848481408222E-2</v>
      </c>
      <c r="TS67" s="242">
        <f t="shared" ca="1" si="463"/>
        <v>2.3734848481408222E-2</v>
      </c>
      <c r="TT67" s="241">
        <f t="shared" ca="1" si="808"/>
        <v>1</v>
      </c>
      <c r="TU67" s="220">
        <f t="shared" ca="1" si="761"/>
        <v>0.37939128408051637</v>
      </c>
      <c r="TV67" s="220">
        <f t="shared" ca="1" si="762"/>
        <v>0</v>
      </c>
      <c r="TW67" s="235">
        <f t="shared" ca="1" si="466"/>
        <v>2.1091038615007652E-2</v>
      </c>
      <c r="TX67" s="235">
        <f t="shared" ca="1" si="467"/>
        <v>2.1091038615007652E-2</v>
      </c>
      <c r="TY67" s="242">
        <f t="shared" ca="1" si="468"/>
        <v>2.1091038615007652E-2</v>
      </c>
      <c r="TZ67" s="241">
        <f t="shared" ca="1" si="808"/>
        <v>1</v>
      </c>
      <c r="UA67" s="220">
        <f t="shared" ca="1" si="763"/>
        <v>0.34565732866521315</v>
      </c>
      <c r="UB67" s="220">
        <f t="shared" ca="1" si="764"/>
        <v>0</v>
      </c>
      <c r="UC67" s="235">
        <f t="shared" ca="1" si="471"/>
        <v>1.8565901280691431E-2</v>
      </c>
      <c r="UD67" s="235">
        <f t="shared" ca="1" si="472"/>
        <v>1.8565901280691431E-2</v>
      </c>
      <c r="UE67" s="242">
        <f t="shared" ca="1" si="473"/>
        <v>1.8565901280691431E-2</v>
      </c>
      <c r="UF67" s="241">
        <f t="shared" ca="1" si="808"/>
        <v>1</v>
      </c>
      <c r="UG67" s="220">
        <f t="shared" ca="1" si="765"/>
        <v>0.31158381183471112</v>
      </c>
      <c r="UH67" s="220">
        <f t="shared" ca="1" si="766"/>
        <v>0</v>
      </c>
      <c r="UI67" s="235">
        <f t="shared" ca="1" si="476"/>
        <v>1.6169805793281151E-2</v>
      </c>
      <c r="UJ67" s="235">
        <f t="shared" ca="1" si="477"/>
        <v>1.6169805793281151E-2</v>
      </c>
      <c r="UK67" s="242">
        <f t="shared" ca="1" si="478"/>
        <v>1.6169805793281151E-2</v>
      </c>
      <c r="UL67" s="241">
        <f t="shared" ca="1" si="808"/>
        <v>1</v>
      </c>
      <c r="UM67" s="220">
        <f t="shared" ca="1" si="767"/>
        <v>0.27748470263514402</v>
      </c>
      <c r="UN67" s="220">
        <f t="shared" ca="1" si="768"/>
        <v>0</v>
      </c>
      <c r="UO67" s="235">
        <f t="shared" ca="1" si="481"/>
        <v>1.3913250808575896E-2</v>
      </c>
      <c r="UP67" s="235">
        <f t="shared" ca="1" si="482"/>
        <v>1.3913250808575896E-2</v>
      </c>
      <c r="UQ67" s="242">
        <f t="shared" ca="1" si="483"/>
        <v>1.3913250808575896E-2</v>
      </c>
      <c r="UR67" s="241">
        <f t="shared" ca="1" si="808"/>
        <v>1</v>
      </c>
      <c r="US67" s="220">
        <f t="shared" ca="1" si="769"/>
        <v>0.24373729058536042</v>
      </c>
      <c r="UT67" s="220">
        <f t="shared" ca="1" si="770"/>
        <v>0</v>
      </c>
      <c r="UU67" s="235">
        <f t="shared" ca="1" si="486"/>
        <v>1.1807860056509861E-2</v>
      </c>
      <c r="UV67" s="235">
        <f t="shared" ca="1" si="487"/>
        <v>1.1807860056509861E-2</v>
      </c>
      <c r="UW67" s="242">
        <f t="shared" ca="1" si="488"/>
        <v>1.1807860056509861E-2</v>
      </c>
      <c r="UX67" s="241">
        <f t="shared" ca="1" si="808"/>
        <v>1</v>
      </c>
      <c r="UY67" s="220">
        <f t="shared" ca="1" si="771"/>
        <v>0.21078985859319374</v>
      </c>
      <c r="UZ67" s="220">
        <f t="shared" ca="1" si="772"/>
        <v>0</v>
      </c>
      <c r="VA67" s="235">
        <f t="shared" ca="1" si="491"/>
        <v>9.866396874889936E-3</v>
      </c>
      <c r="VB67" s="235">
        <f t="shared" ca="1" si="492"/>
        <v>9.866396874889936E-3</v>
      </c>
      <c r="VC67" s="242">
        <f t="shared" ca="1" si="493"/>
        <v>9.866396874889936E-3</v>
      </c>
      <c r="VD67" s="241">
        <f t="shared" ca="1" si="806"/>
        <v>1</v>
      </c>
      <c r="VE67" s="220">
        <f t="shared" ca="1" si="773"/>
        <v>0.17914840370962801</v>
      </c>
      <c r="VF67" s="220">
        <f t="shared" ca="1" si="774"/>
        <v>0</v>
      </c>
      <c r="VG67" s="235">
        <f t="shared" ca="1" si="496"/>
        <v>8.1017989433788233E-3</v>
      </c>
      <c r="VH67" s="235">
        <f t="shared" ca="1" si="497"/>
        <v>8.1017989433788233E-3</v>
      </c>
      <c r="VI67" s="242">
        <f t="shared" ca="1" si="498"/>
        <v>8.1017989433788233E-3</v>
      </c>
      <c r="VJ67" s="241">
        <f t="shared" ca="1" si="806"/>
        <v>1</v>
      </c>
      <c r="VK67" s="220">
        <f t="shared" ca="1" si="775"/>
        <v>0.14933864677755704</v>
      </c>
      <c r="VL67" s="220">
        <f t="shared" ca="1" si="776"/>
        <v>0</v>
      </c>
      <c r="VM67" s="235">
        <f t="shared" ca="1" si="502"/>
        <v>6.5252984585482295E-3</v>
      </c>
      <c r="VN67" s="235">
        <f t="shared" ca="1" si="503"/>
        <v>6.5252984585482295E-3</v>
      </c>
      <c r="VO67" s="242">
        <f t="shared" ca="1" si="504"/>
        <v>6.5252984585482295E-3</v>
      </c>
      <c r="VP67" s="241">
        <f t="shared" ca="1" si="567"/>
        <v>1</v>
      </c>
      <c r="VQ67" s="220">
        <f t="shared" ca="1" si="777"/>
        <v>0.12186078378642688</v>
      </c>
      <c r="VR67" s="220">
        <f t="shared" ca="1" si="778"/>
        <v>0</v>
      </c>
      <c r="VS67" s="235">
        <f t="shared" ca="1" si="507"/>
        <v>5.1446020464451514E-3</v>
      </c>
      <c r="VT67" s="235">
        <f t="shared" ca="1" si="508"/>
        <v>5.1446020464451514E-3</v>
      </c>
      <c r="VU67" s="242">
        <f t="shared" ca="1" si="509"/>
        <v>5.1446020464451514E-3</v>
      </c>
      <c r="VV67" s="241">
        <f t="shared" ca="1" si="578"/>
        <v>1</v>
      </c>
      <c r="VW67" s="220">
        <f t="shared" ca="1" si="779"/>
        <v>9.714071449143126E-2</v>
      </c>
      <c r="VX67" s="220">
        <f t="shared" ca="1" si="780"/>
        <v>0</v>
      </c>
      <c r="VY67" s="235">
        <f t="shared" ca="1" si="512"/>
        <v>3.9623128486120972E-3</v>
      </c>
      <c r="VZ67" s="235">
        <f t="shared" ca="1" si="513"/>
        <v>3.9623128486120972E-3</v>
      </c>
      <c r="WA67" s="242">
        <f t="shared" ca="1" si="514"/>
        <v>3.9623128486120972E-3</v>
      </c>
      <c r="WB67" s="241">
        <f t="shared" ca="1" si="578"/>
        <v>1</v>
      </c>
      <c r="WC67" s="220">
        <f t="shared" ca="1" si="781"/>
        <v>7.5486980683431834E-2</v>
      </c>
      <c r="WD67" s="220">
        <f t="shared" ca="1" si="782"/>
        <v>0</v>
      </c>
      <c r="WE67" s="235">
        <f t="shared" ca="1" si="517"/>
        <v>2.9749465982754843E-3</v>
      </c>
      <c r="WF67" s="235">
        <f t="shared" ca="1" si="518"/>
        <v>2.9749465982754843E-3</v>
      </c>
      <c r="WG67" s="242">
        <f t="shared" ca="1" si="519"/>
        <v>2.9749465982754843E-3</v>
      </c>
      <c r="WH67" s="241">
        <f t="shared" ca="1" si="578"/>
        <v>1</v>
      </c>
      <c r="WI67" s="220">
        <f t="shared" ca="1" si="783"/>
        <v>5.7061061620490225E-2</v>
      </c>
      <c r="WJ67" s="220">
        <f t="shared" ca="1" si="784"/>
        <v>0</v>
      </c>
      <c r="WK67" s="235">
        <f t="shared" ca="1" si="522"/>
        <v>2.1727342833971291E-3</v>
      </c>
      <c r="WL67" s="235">
        <f t="shared" ca="1" si="523"/>
        <v>2.1727342833971291E-3</v>
      </c>
      <c r="WM67" s="242">
        <f t="shared" ca="1" si="524"/>
        <v>2.1727342833971291E-3</v>
      </c>
      <c r="WN67" s="241">
        <f t="shared" ca="1" si="578"/>
        <v>1</v>
      </c>
      <c r="WO67" s="220">
        <f t="shared" ca="1" si="785"/>
        <v>4.1934687734452851E-2</v>
      </c>
      <c r="WP67" s="220">
        <f t="shared" ca="1" si="786"/>
        <v>0</v>
      </c>
      <c r="WQ67" s="235">
        <f t="shared" ca="1" si="527"/>
        <v>1.5427651975624165E-3</v>
      </c>
      <c r="WR67" s="235">
        <f t="shared" ca="1" si="528"/>
        <v>1.5427651975624165E-3</v>
      </c>
      <c r="WS67" s="242">
        <f t="shared" ca="1" si="529"/>
        <v>1.5427651975624165E-3</v>
      </c>
      <c r="WT67" s="241">
        <f t="shared" ca="1" si="578"/>
        <v>1</v>
      </c>
      <c r="WU67" s="220">
        <f t="shared" ca="1" si="787"/>
        <v>2.9961998908764689E-2</v>
      </c>
      <c r="WV67" s="220">
        <f t="shared" ca="1" si="788"/>
        <v>0</v>
      </c>
      <c r="WW67" s="235">
        <f t="shared" ca="1" si="532"/>
        <v>1.0650177696007403E-3</v>
      </c>
      <c r="WX67" s="235">
        <f t="shared" ca="1" si="533"/>
        <v>1.0650177696007403E-3</v>
      </c>
      <c r="WY67" s="242">
        <f t="shared" ca="1" si="534"/>
        <v>1.0650177696007403E-3</v>
      </c>
      <c r="WZ67" s="241">
        <f t="shared" ca="1" si="578"/>
        <v>1</v>
      </c>
      <c r="XA67" s="220">
        <f t="shared" ca="1" si="789"/>
        <v>2.0825806429510707E-2</v>
      </c>
      <c r="XB67" s="220">
        <f t="shared" ca="1" si="790"/>
        <v>0</v>
      </c>
      <c r="XC67" s="235">
        <f t="shared" ca="1" si="537"/>
        <v>7.1523300597822715E-4</v>
      </c>
      <c r="XD67" s="235">
        <f t="shared" ca="1" si="538"/>
        <v>7.1523300597822715E-4</v>
      </c>
      <c r="XE67" s="242">
        <f t="shared" ca="1" si="539"/>
        <v>7.1523300597822715E-4</v>
      </c>
      <c r="XF67" s="241">
        <f t="shared" ca="1" si="578"/>
        <v>1</v>
      </c>
      <c r="XG67" s="220">
        <f t="shared" ca="1" si="791"/>
        <v>1.410075784309954E-2</v>
      </c>
      <c r="XH67" s="220">
        <f t="shared" ca="1" si="792"/>
        <v>0</v>
      </c>
      <c r="XI67" s="235">
        <f t="shared" ca="1" si="542"/>
        <v>4.6789437576883483E-4</v>
      </c>
      <c r="XJ67" s="235">
        <f t="shared" ca="1" si="543"/>
        <v>4.6789437576883483E-4</v>
      </c>
      <c r="XK67" s="242">
        <f t="shared" ca="1" si="544"/>
        <v>4.6789437576883483E-4</v>
      </c>
    </row>
    <row r="68" spans="2:635" x14ac:dyDescent="0.25">
      <c r="B68" s="65">
        <f t="shared" ca="1" si="14"/>
        <v>2083</v>
      </c>
      <c r="C68" s="65" t="s">
        <v>741</v>
      </c>
      <c r="D68" s="77">
        <f t="shared" si="580"/>
        <v>0</v>
      </c>
      <c r="E68" s="77">
        <f t="shared" si="581"/>
        <v>0</v>
      </c>
      <c r="F68" s="77" t="b">
        <f t="shared" si="793"/>
        <v>0</v>
      </c>
      <c r="G68" s="77" t="b">
        <f t="shared" si="794"/>
        <v>0</v>
      </c>
      <c r="H68" s="15" t="e">
        <f t="shared" ca="1" si="582"/>
        <v>#REF!</v>
      </c>
      <c r="L68" s="326">
        <f t="shared" ca="1" si="583"/>
        <v>3.5000000000000003E-2</v>
      </c>
      <c r="M68" s="327">
        <f t="shared" ca="1" si="584"/>
        <v>3.5000000000000003E-2</v>
      </c>
      <c r="N68" s="322">
        <f t="shared" ca="1" si="579"/>
        <v>-60</v>
      </c>
      <c r="O68" s="322">
        <f t="shared" ca="1" si="585"/>
        <v>0</v>
      </c>
      <c r="P68" s="328">
        <f t="shared" ca="1" si="545"/>
        <v>26.87829936156087</v>
      </c>
      <c r="Q68" s="328">
        <f t="shared" ca="1" si="546"/>
        <v>26.87829936156087</v>
      </c>
      <c r="R68" s="328">
        <f t="shared" ca="1" si="547"/>
        <v>26.87829936156087</v>
      </c>
      <c r="S68" s="329">
        <f t="shared" ca="1" si="586"/>
        <v>3.8642415640549425E-2</v>
      </c>
      <c r="T68" s="329">
        <f t="shared" ca="1" si="587"/>
        <v>3.8642415640549425E-2</v>
      </c>
      <c r="U68" s="329">
        <f t="shared" ca="1" si="588"/>
        <v>3.8642415640549425E-2</v>
      </c>
      <c r="V68" s="320" t="e">
        <f t="shared" ca="1" si="589"/>
        <v>#REF!</v>
      </c>
      <c r="W68" s="320" t="e">
        <f t="shared" ca="1" si="560"/>
        <v>#REF!</v>
      </c>
      <c r="X68" s="320" t="e">
        <f t="shared" ca="1" si="590"/>
        <v>#REF!</v>
      </c>
      <c r="Y68" s="320" t="e">
        <f ca="1">INDEX(SC_ZA_HECMLumpSum,ZAIDX)</f>
        <v>#REF!</v>
      </c>
      <c r="Z68" s="320" t="e">
        <f t="shared" ca="1" si="591"/>
        <v>#REF!</v>
      </c>
      <c r="AA68" s="320" t="e">
        <f t="shared" ca="1" si="557"/>
        <v>#REF!</v>
      </c>
      <c r="AB68" s="320" t="e">
        <f t="shared" ca="1" si="558"/>
        <v>#REF!</v>
      </c>
      <c r="AC68" s="330" t="e">
        <f t="shared" ca="1" si="559"/>
        <v>#REF!</v>
      </c>
      <c r="AD68" s="236" t="e">
        <f t="shared" ca="1" si="548"/>
        <v>#REF!</v>
      </c>
      <c r="AE68" s="320" t="e">
        <f t="shared" ca="1" si="561"/>
        <v>#REF!</v>
      </c>
      <c r="AF68" s="320" t="e">
        <f t="shared" ca="1" si="592"/>
        <v>#REF!</v>
      </c>
      <c r="AG68" s="320" t="e">
        <f t="shared" ca="1" si="549"/>
        <v>#REF!</v>
      </c>
      <c r="AH68" s="284" t="e">
        <f t="shared" ca="1" si="550"/>
        <v>#REF!</v>
      </c>
      <c r="AI68" s="318" t="e">
        <f t="shared" ca="1" si="551"/>
        <v>#REF!</v>
      </c>
      <c r="AJ68" s="331">
        <f t="shared" ca="1" si="807"/>
        <v>1</v>
      </c>
      <c r="AK68" s="220">
        <f t="shared" ca="1" si="593"/>
        <v>1</v>
      </c>
      <c r="AL68" s="220">
        <f t="shared" ca="1" si="594"/>
        <v>0</v>
      </c>
      <c r="AM68" s="235">
        <f t="shared" ca="1" si="554"/>
        <v>1</v>
      </c>
      <c r="AN68" s="235">
        <f t="shared" ca="1" si="555"/>
        <v>1</v>
      </c>
      <c r="AO68" s="242">
        <f t="shared" ca="1" si="556"/>
        <v>1</v>
      </c>
      <c r="AP68" s="241">
        <f t="shared" ca="1" si="807"/>
        <v>1</v>
      </c>
      <c r="AQ68" s="220">
        <f t="shared" ca="1" si="595"/>
        <v>0.99361699999999997</v>
      </c>
      <c r="AR68" s="220">
        <f t="shared" ca="1" si="596"/>
        <v>0</v>
      </c>
      <c r="AS68" s="235">
        <f t="shared" ca="1" si="43"/>
        <v>0.96001642512077301</v>
      </c>
      <c r="AT68" s="235">
        <f t="shared" ca="1" si="44"/>
        <v>0.96001642512077301</v>
      </c>
      <c r="AU68" s="242">
        <f t="shared" ca="1" si="45"/>
        <v>0.96001642512077301</v>
      </c>
      <c r="AV68" s="241">
        <f t="shared" ca="1" si="807"/>
        <v>1</v>
      </c>
      <c r="AW68" s="220">
        <f t="shared" ca="1" si="597"/>
        <v>0.99316689149899995</v>
      </c>
      <c r="AX68" s="220">
        <f t="shared" ca="1" si="598"/>
        <v>0</v>
      </c>
      <c r="AY68" s="235">
        <f t="shared" ca="1" si="48"/>
        <v>0.92713192046395487</v>
      </c>
      <c r="AZ68" s="235">
        <f t="shared" ca="1" si="49"/>
        <v>0.92713192046395487</v>
      </c>
      <c r="BA68" s="242">
        <f t="shared" ca="1" si="50"/>
        <v>0.92713192046395487</v>
      </c>
      <c r="BB68" s="241">
        <f t="shared" ca="1" si="807"/>
        <v>1</v>
      </c>
      <c r="BC68" s="220">
        <f t="shared" ca="1" si="599"/>
        <v>0.99288681843559723</v>
      </c>
      <c r="BD68" s="220">
        <f t="shared" ca="1" si="600"/>
        <v>0</v>
      </c>
      <c r="BE68" s="235">
        <f t="shared" ca="1" si="54"/>
        <v>0.89552702344191704</v>
      </c>
      <c r="BF68" s="235">
        <f t="shared" ca="1" si="55"/>
        <v>0.89552702344191704</v>
      </c>
      <c r="BG68" s="242">
        <f t="shared" ca="1" si="56"/>
        <v>0.89552702344191704</v>
      </c>
      <c r="BH68" s="241">
        <f t="shared" ca="1" si="807"/>
        <v>1</v>
      </c>
      <c r="BI68" s="220">
        <f t="shared" ca="1" si="601"/>
        <v>0.99265845446735712</v>
      </c>
      <c r="BJ68" s="220">
        <f t="shared" ca="1" si="602"/>
        <v>0</v>
      </c>
      <c r="BK68" s="235">
        <f t="shared" ca="1" si="59"/>
        <v>0.86504449490485558</v>
      </c>
      <c r="BL68" s="235">
        <f t="shared" ca="1" si="60"/>
        <v>0.86504449490485558</v>
      </c>
      <c r="BM68" s="242">
        <f t="shared" ca="1" si="61"/>
        <v>0.86504449490485558</v>
      </c>
      <c r="BN68" s="241">
        <f t="shared" ca="1" si="807"/>
        <v>1</v>
      </c>
      <c r="BO68" s="220">
        <f t="shared" ca="1" si="603"/>
        <v>0.99249069518855215</v>
      </c>
      <c r="BP68" s="220">
        <f t="shared" ca="1" si="604"/>
        <v>0</v>
      </c>
      <c r="BQ68" s="235">
        <f t="shared" ca="1" si="64"/>
        <v>0.83565053370552345</v>
      </c>
      <c r="BR68" s="235">
        <f t="shared" ca="1" si="65"/>
        <v>0.83565053370552345</v>
      </c>
      <c r="BS68" s="242">
        <f t="shared" ca="1" si="66"/>
        <v>0.83565053370552345</v>
      </c>
      <c r="BT68" s="241">
        <f t="shared" ca="1" si="807"/>
        <v>1</v>
      </c>
      <c r="BU68" s="220">
        <f t="shared" ca="1" si="605"/>
        <v>0.99233685913079794</v>
      </c>
      <c r="BV68" s="220">
        <f t="shared" ca="1" si="606"/>
        <v>0</v>
      </c>
      <c r="BW68" s="235">
        <f t="shared" ca="1" si="69"/>
        <v>0.80726667427323584</v>
      </c>
      <c r="BX68" s="235">
        <f t="shared" ca="1" si="70"/>
        <v>0.80726667427323584</v>
      </c>
      <c r="BY68" s="242">
        <f t="shared" ca="1" si="71"/>
        <v>0.80726667427323584</v>
      </c>
      <c r="BZ68" s="241">
        <f t="shared" ca="1" si="807"/>
        <v>1</v>
      </c>
      <c r="CA68" s="220">
        <f t="shared" ca="1" si="607"/>
        <v>0.992192970286224</v>
      </c>
      <c r="CB68" s="220">
        <f t="shared" ca="1" si="608"/>
        <v>0</v>
      </c>
      <c r="CC68" s="235">
        <f t="shared" ca="1" si="74"/>
        <v>0.7798547058990013</v>
      </c>
      <c r="CD68" s="235">
        <f t="shared" ca="1" si="75"/>
        <v>0.7798547058990013</v>
      </c>
      <c r="CE68" s="242">
        <f t="shared" ca="1" si="76"/>
        <v>0.7798547058990013</v>
      </c>
      <c r="CF68" s="241">
        <f t="shared" ca="1" si="807"/>
        <v>1</v>
      </c>
      <c r="CG68" s="220">
        <f t="shared" ca="1" si="609"/>
        <v>0.9920590242352354</v>
      </c>
      <c r="CH68" s="220">
        <f t="shared" ca="1" si="610"/>
        <v>0</v>
      </c>
      <c r="CI68" s="235">
        <f t="shared" ca="1" si="79"/>
        <v>0.75338108745285515</v>
      </c>
      <c r="CJ68" s="235">
        <f t="shared" ca="1" si="80"/>
        <v>0.75338108745285515</v>
      </c>
      <c r="CK68" s="242">
        <f t="shared" ca="1" si="81"/>
        <v>0.75338108745285515</v>
      </c>
      <c r="CL68" s="241">
        <f t="shared" ca="1" si="807"/>
        <v>1</v>
      </c>
      <c r="CM68" s="220">
        <f t="shared" ca="1" si="611"/>
        <v>0.99193997715232718</v>
      </c>
      <c r="CN68" s="220">
        <f t="shared" ca="1" si="612"/>
        <v>0</v>
      </c>
      <c r="CO68" s="235">
        <f t="shared" ca="1" si="84"/>
        <v>0.72781708378972065</v>
      </c>
      <c r="CP68" s="235">
        <f t="shared" ca="1" si="85"/>
        <v>0.72781708378972065</v>
      </c>
      <c r="CQ68" s="242">
        <f t="shared" ca="1" si="86"/>
        <v>0.72781708378972065</v>
      </c>
      <c r="CR68" s="241">
        <f t="shared" ca="1" si="807"/>
        <v>1</v>
      </c>
      <c r="CS68" s="220">
        <f t="shared" ca="1" si="613"/>
        <v>0.99183582345472621</v>
      </c>
      <c r="CT68" s="220">
        <f t="shared" ca="1" si="614"/>
        <v>0</v>
      </c>
      <c r="CU68" s="235">
        <f t="shared" ca="1" si="89"/>
        <v>0.70313107535837949</v>
      </c>
      <c r="CV68" s="235">
        <f t="shared" ca="1" si="90"/>
        <v>0.70313107535837949</v>
      </c>
      <c r="CW68" s="242">
        <f t="shared" ca="1" si="91"/>
        <v>0.70313107535837949</v>
      </c>
      <c r="CX68" s="241">
        <f t="shared" ca="1" si="800"/>
        <v>1</v>
      </c>
      <c r="CY68" s="220">
        <f t="shared" ca="1" si="615"/>
        <v>0.99174259088732142</v>
      </c>
      <c r="CZ68" s="220">
        <f t="shared" ca="1" si="616"/>
        <v>0</v>
      </c>
      <c r="DA68" s="235">
        <f t="shared" ca="1" si="94"/>
        <v>0.6792898367510104</v>
      </c>
      <c r="DB68" s="235">
        <f t="shared" ca="1" si="95"/>
        <v>0.6792898367510104</v>
      </c>
      <c r="DC68" s="242">
        <f t="shared" ca="1" si="96"/>
        <v>0.6792898367510104</v>
      </c>
      <c r="DD68" s="241">
        <f t="shared" ca="1" si="800"/>
        <v>1</v>
      </c>
      <c r="DE68" s="220">
        <f t="shared" ca="1" si="617"/>
        <v>0.99164440837082357</v>
      </c>
      <c r="DF68" s="220">
        <f t="shared" ca="1" si="618"/>
        <v>0</v>
      </c>
      <c r="DG68" s="235">
        <f t="shared" ca="1" si="99"/>
        <v>0.65625370730161559</v>
      </c>
      <c r="DH68" s="235">
        <f t="shared" ca="1" si="100"/>
        <v>0.65625370730161559</v>
      </c>
      <c r="DI68" s="242">
        <f t="shared" ca="1" si="101"/>
        <v>0.65625370730161559</v>
      </c>
      <c r="DJ68" s="241">
        <f t="shared" ca="1" si="51"/>
        <v>1</v>
      </c>
      <c r="DK68" s="220">
        <f t="shared" ca="1" si="619"/>
        <v>0.9915115280201019</v>
      </c>
      <c r="DL68" s="220">
        <f t="shared" ca="1" si="620"/>
        <v>0</v>
      </c>
      <c r="DM68" s="235">
        <f t="shared" ca="1" si="104"/>
        <v>0.63397658870032592</v>
      </c>
      <c r="DN68" s="235">
        <f t="shared" ca="1" si="105"/>
        <v>0.63397658870032592</v>
      </c>
      <c r="DO68" s="242">
        <f t="shared" ca="1" si="106"/>
        <v>0.63397658870032592</v>
      </c>
      <c r="DP68" s="241">
        <f t="shared" ca="1" si="801"/>
        <v>1</v>
      </c>
      <c r="DQ68" s="220">
        <f t="shared" ca="1" si="621"/>
        <v>0.99130628513380181</v>
      </c>
      <c r="DR68" s="220">
        <f t="shared" ca="1" si="622"/>
        <v>0</v>
      </c>
      <c r="DS68" s="235">
        <f t="shared" ca="1" si="110"/>
        <v>0.61241097154247814</v>
      </c>
      <c r="DT68" s="235">
        <f t="shared" ca="1" si="111"/>
        <v>0.61241097154247814</v>
      </c>
      <c r="DU68" s="242">
        <f t="shared" ca="1" si="112"/>
        <v>0.61241097154247814</v>
      </c>
      <c r="DV68" s="241">
        <f t="shared" ca="1" si="801"/>
        <v>1</v>
      </c>
      <c r="DW68" s="220">
        <f t="shared" ca="1" si="623"/>
        <v>0.9909999714916955</v>
      </c>
      <c r="DX68" s="220">
        <f t="shared" ca="1" si="624"/>
        <v>0</v>
      </c>
      <c r="DY68" s="235">
        <f t="shared" ca="1" si="115"/>
        <v>0.59151858604084218</v>
      </c>
      <c r="DZ68" s="235">
        <f t="shared" ca="1" si="116"/>
        <v>0.59151858604084218</v>
      </c>
      <c r="EA68" s="242">
        <f t="shared" ca="1" si="117"/>
        <v>0.59151858604084218</v>
      </c>
      <c r="EB68" s="241">
        <f t="shared" ca="1" si="801"/>
        <v>1</v>
      </c>
      <c r="EC68" s="220">
        <f t="shared" ca="1" si="625"/>
        <v>0.99058474250364048</v>
      </c>
      <c r="ED68" s="220">
        <f t="shared" ca="1" si="626"/>
        <v>0</v>
      </c>
      <c r="EE68" s="235">
        <f t="shared" ca="1" si="120"/>
        <v>0.57127607705632</v>
      </c>
      <c r="EF68" s="235">
        <f t="shared" ca="1" si="121"/>
        <v>0.57127607705632</v>
      </c>
      <c r="EG68" s="242">
        <f t="shared" ca="1" si="122"/>
        <v>0.57127607705632</v>
      </c>
      <c r="EH68" s="241">
        <f t="shared" ca="1" si="801"/>
        <v>1</v>
      </c>
      <c r="EI68" s="220">
        <f t="shared" ca="1" si="627"/>
        <v>0.99005973259011348</v>
      </c>
      <c r="EJ68" s="220">
        <f t="shared" ca="1" si="628"/>
        <v>0</v>
      </c>
      <c r="EK68" s="235">
        <f t="shared" ca="1" si="125"/>
        <v>0.55166502486519819</v>
      </c>
      <c r="EL68" s="235">
        <f t="shared" ca="1" si="126"/>
        <v>0.55166502486519819</v>
      </c>
      <c r="EM68" s="242">
        <f t="shared" ca="1" si="127"/>
        <v>0.55166502486519819</v>
      </c>
      <c r="EN68" s="241">
        <f t="shared" ca="1" si="801"/>
        <v>1</v>
      </c>
      <c r="EO68" s="220">
        <f t="shared" ca="1" si="629"/>
        <v>0.98941124346526699</v>
      </c>
      <c r="EP68" s="220">
        <f t="shared" ca="1" si="630"/>
        <v>0</v>
      </c>
      <c r="EQ68" s="235">
        <f t="shared" ca="1" si="130"/>
        <v>0.53266056451585653</v>
      </c>
      <c r="ER68" s="235">
        <f t="shared" ca="1" si="131"/>
        <v>0.53266056451585653</v>
      </c>
      <c r="ES68" s="242">
        <f t="shared" ca="1" si="132"/>
        <v>0.53266056451585653</v>
      </c>
      <c r="ET68" s="241">
        <f t="shared" ca="1" si="801"/>
        <v>1</v>
      </c>
      <c r="EU68" s="220">
        <f t="shared" ca="1" si="631"/>
        <v>0.98862861917168599</v>
      </c>
      <c r="EV68" s="220">
        <f t="shared" ca="1" si="632"/>
        <v>0</v>
      </c>
      <c r="EW68" s="235">
        <f t="shared" ca="1" si="135"/>
        <v>0.51424080194137645</v>
      </c>
      <c r="EX68" s="235">
        <f t="shared" ca="1" si="136"/>
        <v>0.51424080194137645</v>
      </c>
      <c r="EY68" s="242">
        <f t="shared" ca="1" si="137"/>
        <v>0.51424080194137645</v>
      </c>
      <c r="EZ68" s="241">
        <f t="shared" ca="1" si="801"/>
        <v>1</v>
      </c>
      <c r="FA68" s="220">
        <f t="shared" ca="1" si="633"/>
        <v>0.98770524004137961</v>
      </c>
      <c r="FB68" s="220">
        <f t="shared" ca="1" si="634"/>
        <v>0</v>
      </c>
      <c r="FC68" s="235">
        <f t="shared" ca="1" si="140"/>
        <v>0.49638695751919149</v>
      </c>
      <c r="FD68" s="235">
        <f t="shared" ca="1" si="141"/>
        <v>0.49638695751919149</v>
      </c>
      <c r="FE68" s="242">
        <f t="shared" ca="1" si="142"/>
        <v>0.49638695751919149</v>
      </c>
      <c r="FF68" s="241">
        <f t="shared" ca="1" si="801"/>
        <v>1</v>
      </c>
      <c r="FG68" s="220">
        <f t="shared" ca="1" si="635"/>
        <v>0.98663357985593469</v>
      </c>
      <c r="FH68" s="220">
        <f t="shared" ca="1" si="636"/>
        <v>0</v>
      </c>
      <c r="FI68" s="235">
        <f t="shared" ca="1" si="145"/>
        <v>0.4790805581355394</v>
      </c>
      <c r="FJ68" s="235">
        <f t="shared" ca="1" si="146"/>
        <v>0.4790805581355394</v>
      </c>
      <c r="FK68" s="242">
        <f t="shared" ca="1" si="147"/>
        <v>0.4790805581355394</v>
      </c>
      <c r="FL68" s="241">
        <f t="shared" ca="1" si="801"/>
        <v>1</v>
      </c>
      <c r="FM68" s="220">
        <f t="shared" ca="1" si="637"/>
        <v>0.98542199381987161</v>
      </c>
      <c r="FN68" s="220">
        <f t="shared" ca="1" si="638"/>
        <v>0</v>
      </c>
      <c r="FO68" s="235">
        <f t="shared" ca="1" si="150"/>
        <v>0.46231134996149653</v>
      </c>
      <c r="FP68" s="235">
        <f t="shared" ca="1" si="151"/>
        <v>0.46231134996149653</v>
      </c>
      <c r="FQ68" s="242">
        <f t="shared" ca="1" si="152"/>
        <v>0.46231134996149653</v>
      </c>
      <c r="FR68" s="241">
        <f t="shared" ca="1" si="801"/>
        <v>1</v>
      </c>
      <c r="FS68" s="220">
        <f t="shared" ca="1" si="639"/>
        <v>0.98410251377014679</v>
      </c>
      <c r="FT68" s="220">
        <f t="shared" ca="1" si="640"/>
        <v>0</v>
      </c>
      <c r="FU68" s="235">
        <f t="shared" ca="1" si="155"/>
        <v>0.44607953146270346</v>
      </c>
      <c r="FV68" s="235">
        <f t="shared" ca="1" si="156"/>
        <v>0.44607953146270346</v>
      </c>
      <c r="FW68" s="242">
        <f t="shared" ca="1" si="157"/>
        <v>0.44607953146270346</v>
      </c>
      <c r="FX68" s="241">
        <f t="shared" ca="1" si="801"/>
        <v>1</v>
      </c>
      <c r="FY68" s="220">
        <f t="shared" ca="1" si="641"/>
        <v>0.98272181794332725</v>
      </c>
      <c r="FZ68" s="220">
        <f t="shared" ca="1" si="642"/>
        <v>0</v>
      </c>
      <c r="GA68" s="235">
        <f t="shared" ca="1" si="160"/>
        <v>0.43039003080199167</v>
      </c>
      <c r="GB68" s="235">
        <f t="shared" ca="1" si="161"/>
        <v>0.43039003080199167</v>
      </c>
      <c r="GC68" s="242">
        <f t="shared" ca="1" si="162"/>
        <v>0.43039003080199167</v>
      </c>
      <c r="GD68" s="241">
        <f t="shared" ca="1" si="795"/>
        <v>1</v>
      </c>
      <c r="GE68" s="220">
        <f t="shared" ca="1" si="643"/>
        <v>0.98131357757821447</v>
      </c>
      <c r="GF68" s="220">
        <f t="shared" ca="1" si="644"/>
        <v>0</v>
      </c>
      <c r="GG68" s="235">
        <f t="shared" ca="1" si="166"/>
        <v>0.41523988588198307</v>
      </c>
      <c r="GH68" s="235">
        <f t="shared" ca="1" si="167"/>
        <v>0.41523988588198307</v>
      </c>
      <c r="GI68" s="242">
        <f t="shared" ca="1" si="168"/>
        <v>0.41523988588198307</v>
      </c>
      <c r="GJ68" s="241">
        <f t="shared" ca="1" si="795"/>
        <v>1</v>
      </c>
      <c r="GK68" s="220">
        <f t="shared" ca="1" si="645"/>
        <v>0.97988969157714845</v>
      </c>
      <c r="GL68" s="220">
        <f t="shared" ca="1" si="646"/>
        <v>0</v>
      </c>
      <c r="GM68" s="235">
        <f t="shared" ca="1" si="171"/>
        <v>0.40061581913774713</v>
      </c>
      <c r="GN68" s="235">
        <f t="shared" ca="1" si="172"/>
        <v>0.40061581913774713</v>
      </c>
      <c r="GO68" s="242">
        <f t="shared" ca="1" si="173"/>
        <v>0.40061581913774713</v>
      </c>
      <c r="GP68" s="241">
        <f t="shared" ca="1" si="802"/>
        <v>1</v>
      </c>
      <c r="GQ68" s="220">
        <f t="shared" ca="1" si="647"/>
        <v>0.9784443542820721</v>
      </c>
      <c r="GR68" s="220">
        <f t="shared" ca="1" si="648"/>
        <v>0</v>
      </c>
      <c r="GS68" s="235">
        <f t="shared" ca="1" si="176"/>
        <v>0.38649749836185404</v>
      </c>
      <c r="GT68" s="235">
        <f t="shared" ca="1" si="177"/>
        <v>0.38649749836185404</v>
      </c>
      <c r="GU68" s="242">
        <f t="shared" ca="1" si="178"/>
        <v>0.38649749836185404</v>
      </c>
      <c r="GV68" s="241">
        <f t="shared" ca="1" si="802"/>
        <v>1</v>
      </c>
      <c r="GW68" s="220">
        <f t="shared" ca="1" si="649"/>
        <v>0.97697473086194042</v>
      </c>
      <c r="GX68" s="220">
        <f t="shared" ca="1" si="650"/>
        <v>0</v>
      </c>
      <c r="GY68" s="235">
        <f t="shared" ca="1" si="181"/>
        <v>0.37286664649209134</v>
      </c>
      <c r="GZ68" s="235">
        <f t="shared" ca="1" si="182"/>
        <v>0.37286664649209134</v>
      </c>
      <c r="HA68" s="242">
        <f t="shared" ca="1" si="183"/>
        <v>0.37286664649209134</v>
      </c>
      <c r="HB68" s="241">
        <f t="shared" ca="1" si="802"/>
        <v>1</v>
      </c>
      <c r="HC68" s="220">
        <f t="shared" ca="1" si="651"/>
        <v>0.97547214372587476</v>
      </c>
      <c r="HD68" s="220">
        <f t="shared" ca="1" si="652"/>
        <v>0</v>
      </c>
      <c r="HE68" s="235">
        <f t="shared" ca="1" si="186"/>
        <v>0.35970355322684694</v>
      </c>
      <c r="HF68" s="235">
        <f t="shared" ca="1" si="187"/>
        <v>0.35970355322684694</v>
      </c>
      <c r="HG68" s="242">
        <f t="shared" ca="1" si="188"/>
        <v>0.35970355322684694</v>
      </c>
      <c r="HH68" s="241">
        <f t="shared" ca="1" si="802"/>
        <v>1</v>
      </c>
      <c r="HI68" s="220">
        <f t="shared" ca="1" si="653"/>
        <v>0.9739299222666441</v>
      </c>
      <c r="HJ68" s="220">
        <f t="shared" ca="1" si="654"/>
        <v>0</v>
      </c>
      <c r="HK68" s="235">
        <f t="shared" ca="1" si="191"/>
        <v>0.34699020474318382</v>
      </c>
      <c r="HL68" s="235">
        <f t="shared" ca="1" si="192"/>
        <v>0.34699020474318382</v>
      </c>
      <c r="HM68" s="242">
        <f t="shared" ca="1" si="193"/>
        <v>0.34699020474318382</v>
      </c>
      <c r="HN68" s="241">
        <f t="shared" ca="1" si="802"/>
        <v>1</v>
      </c>
      <c r="HO68" s="220">
        <f t="shared" ca="1" si="655"/>
        <v>0.97234631221303847</v>
      </c>
      <c r="HP68" s="220">
        <f t="shared" ca="1" si="656"/>
        <v>0</v>
      </c>
      <c r="HQ68" s="235">
        <f t="shared" ca="1" si="196"/>
        <v>0.33471110982634922</v>
      </c>
      <c r="HR68" s="235">
        <f t="shared" ca="1" si="197"/>
        <v>0.33471110982634922</v>
      </c>
      <c r="HS68" s="242">
        <f t="shared" ca="1" si="198"/>
        <v>0.33471110982634922</v>
      </c>
      <c r="HT68" s="241">
        <f t="shared" ca="1" si="802"/>
        <v>1</v>
      </c>
      <c r="HU68" s="220">
        <f t="shared" ca="1" si="657"/>
        <v>0.97072346621795491</v>
      </c>
      <c r="HV68" s="220">
        <f t="shared" ca="1" si="658"/>
        <v>0</v>
      </c>
      <c r="HW68" s="235">
        <f t="shared" ca="1" si="201"/>
        <v>0.32285263476719722</v>
      </c>
      <c r="HX68" s="235">
        <f t="shared" ca="1" si="202"/>
        <v>0.32285263476719722</v>
      </c>
      <c r="HY68" s="242">
        <f t="shared" ca="1" si="203"/>
        <v>0.32285263476719722</v>
      </c>
      <c r="HZ68" s="241">
        <f t="shared" ca="1" si="802"/>
        <v>1</v>
      </c>
      <c r="IA68" s="220">
        <f t="shared" ca="1" si="659"/>
        <v>0.96906158764378969</v>
      </c>
      <c r="IB68" s="220">
        <f t="shared" ca="1" si="660"/>
        <v>0</v>
      </c>
      <c r="IC68" s="235">
        <f t="shared" ca="1" si="206"/>
        <v>0.31140088024780266</v>
      </c>
      <c r="ID68" s="235">
        <f t="shared" ca="1" si="207"/>
        <v>0.31140088024780266</v>
      </c>
      <c r="IE68" s="242">
        <f t="shared" ca="1" si="208"/>
        <v>0.31140088024780266</v>
      </c>
      <c r="IF68" s="241">
        <f t="shared" ca="1" si="802"/>
        <v>1</v>
      </c>
      <c r="IG68" s="220">
        <f t="shared" ca="1" si="661"/>
        <v>0.96736088455747493</v>
      </c>
      <c r="IH68" s="220">
        <f t="shared" ca="1" si="662"/>
        <v>0</v>
      </c>
      <c r="II68" s="235">
        <f t="shared" ca="1" si="211"/>
        <v>0.30034238811880948</v>
      </c>
      <c r="IJ68" s="235">
        <f t="shared" ca="1" si="212"/>
        <v>0.30034238811880948</v>
      </c>
      <c r="IK68" s="242">
        <f t="shared" ca="1" si="213"/>
        <v>0.30034238811880948</v>
      </c>
      <c r="IL68" s="241">
        <f t="shared" ca="1" si="802"/>
        <v>1</v>
      </c>
      <c r="IM68" s="220">
        <f t="shared" ca="1" si="663"/>
        <v>0.96561963496527148</v>
      </c>
      <c r="IN68" s="220">
        <f t="shared" ca="1" si="664"/>
        <v>0</v>
      </c>
      <c r="IO68" s="235">
        <f t="shared" ca="1" si="216"/>
        <v>0.28966354765236296</v>
      </c>
      <c r="IP68" s="235">
        <f t="shared" ca="1" si="217"/>
        <v>0.28966354765236296</v>
      </c>
      <c r="IQ68" s="242">
        <f t="shared" ca="1" si="218"/>
        <v>0.28966354765236296</v>
      </c>
      <c r="IR68" s="241">
        <f t="shared" ca="1" si="802"/>
        <v>1</v>
      </c>
      <c r="IS68" s="220">
        <f t="shared" ca="1" si="665"/>
        <v>0.96382841054241086</v>
      </c>
      <c r="IT68" s="220">
        <f t="shared" ca="1" si="666"/>
        <v>0</v>
      </c>
      <c r="IU68" s="235">
        <f t="shared" ca="1" si="222"/>
        <v>0.27934900654248102</v>
      </c>
      <c r="IV68" s="235">
        <f t="shared" ca="1" si="223"/>
        <v>0.27934900654248102</v>
      </c>
      <c r="IW68" s="242">
        <f t="shared" ca="1" si="224"/>
        <v>0.27934900654248102</v>
      </c>
      <c r="IX68" s="241">
        <f t="shared" ca="1" si="802"/>
        <v>1</v>
      </c>
      <c r="IY68" s="220">
        <f t="shared" ca="1" si="667"/>
        <v>0.9619778599941694</v>
      </c>
      <c r="IZ68" s="220">
        <f t="shared" ca="1" si="668"/>
        <v>0</v>
      </c>
      <c r="JA68" s="235">
        <f t="shared" ca="1" si="227"/>
        <v>0.26938420913035699</v>
      </c>
      <c r="JB68" s="235">
        <f t="shared" ca="1" si="228"/>
        <v>0.26938420913035699</v>
      </c>
      <c r="JC68" s="242">
        <f t="shared" ca="1" si="229"/>
        <v>0.26938420913035699</v>
      </c>
      <c r="JD68" s="241">
        <f t="shared" ca="1" si="796"/>
        <v>1</v>
      </c>
      <c r="JE68" s="220">
        <f t="shared" ca="1" si="669"/>
        <v>0.96006544800850102</v>
      </c>
      <c r="JF68" s="220">
        <f t="shared" ca="1" si="670"/>
        <v>0</v>
      </c>
      <c r="JG68" s="235">
        <f t="shared" ca="1" si="232"/>
        <v>0.25975717229237277</v>
      </c>
      <c r="JH68" s="235">
        <f t="shared" ca="1" si="233"/>
        <v>0.25975717229237277</v>
      </c>
      <c r="JI68" s="242">
        <f t="shared" ca="1" si="234"/>
        <v>0.25975717229237277</v>
      </c>
      <c r="JJ68" s="241">
        <f t="shared" ca="1" si="796"/>
        <v>1</v>
      </c>
      <c r="JK68" s="220">
        <f t="shared" ca="1" si="671"/>
        <v>0.9580877131856036</v>
      </c>
      <c r="JL68" s="220">
        <f t="shared" ca="1" si="672"/>
        <v>0</v>
      </c>
      <c r="JM68" s="235">
        <f t="shared" ca="1" si="237"/>
        <v>0.25045610871251262</v>
      </c>
      <c r="JN68" s="235">
        <f t="shared" ca="1" si="238"/>
        <v>0.25045610871251262</v>
      </c>
      <c r="JO68" s="242">
        <f t="shared" ca="1" si="239"/>
        <v>0.25045610871251262</v>
      </c>
      <c r="JP68" s="241">
        <f t="shared" ca="1" si="803"/>
        <v>1</v>
      </c>
      <c r="JQ68" s="220">
        <f t="shared" ca="1" si="673"/>
        <v>0.95603644739167326</v>
      </c>
      <c r="JR68" s="220">
        <f t="shared" ca="1" si="674"/>
        <v>0</v>
      </c>
      <c r="JS68" s="235">
        <f t="shared" ca="1" si="242"/>
        <v>0.24146848520169967</v>
      </c>
      <c r="JT68" s="235">
        <f t="shared" ca="1" si="243"/>
        <v>0.24146848520169967</v>
      </c>
      <c r="JU68" s="242">
        <f t="shared" ca="1" si="244"/>
        <v>0.24146848520169967</v>
      </c>
      <c r="JV68" s="241">
        <f t="shared" ca="1" si="803"/>
        <v>1</v>
      </c>
      <c r="JW68" s="220">
        <f t="shared" ca="1" si="675"/>
        <v>0.95389492574951584</v>
      </c>
      <c r="JX68" s="220">
        <f t="shared" ca="1" si="676"/>
        <v>0</v>
      </c>
      <c r="JY68" s="235">
        <f t="shared" ca="1" si="247"/>
        <v>0.23278028579212359</v>
      </c>
      <c r="JZ68" s="235">
        <f t="shared" ca="1" si="248"/>
        <v>0.23278028579212359</v>
      </c>
      <c r="KA68" s="242">
        <f t="shared" ca="1" si="249"/>
        <v>0.23278028579212359</v>
      </c>
      <c r="KB68" s="241">
        <f t="shared" ca="1" si="803"/>
        <v>1</v>
      </c>
      <c r="KC68" s="220">
        <f t="shared" ca="1" si="677"/>
        <v>0.95164182593489555</v>
      </c>
      <c r="KD68" s="220">
        <f t="shared" ca="1" si="678"/>
        <v>0</v>
      </c>
      <c r="KE68" s="235">
        <f t="shared" ca="1" si="252"/>
        <v>0.22437725483776094</v>
      </c>
      <c r="KF68" s="235">
        <f t="shared" ca="1" si="253"/>
        <v>0.22437725483776094</v>
      </c>
      <c r="KG68" s="242">
        <f t="shared" ca="1" si="254"/>
        <v>0.22437725483776094</v>
      </c>
      <c r="KH68" s="241">
        <f t="shared" ca="1" si="803"/>
        <v>1</v>
      </c>
      <c r="KI68" s="220">
        <f t="shared" ca="1" si="679"/>
        <v>0.94925415659362489</v>
      </c>
      <c r="KJ68" s="220">
        <f t="shared" ca="1" si="680"/>
        <v>0</v>
      </c>
      <c r="KK68" s="235">
        <f t="shared" ca="1" si="257"/>
        <v>0.21624569304866956</v>
      </c>
      <c r="KL68" s="235">
        <f t="shared" ca="1" si="258"/>
        <v>0.21624569304866956</v>
      </c>
      <c r="KM68" s="242">
        <f t="shared" ca="1" si="259"/>
        <v>0.21624569304866956</v>
      </c>
      <c r="KN68" s="241">
        <f t="shared" ca="1" si="803"/>
        <v>1</v>
      </c>
      <c r="KO68" s="220">
        <f t="shared" ca="1" si="681"/>
        <v>0.94670635843732753</v>
      </c>
      <c r="KP68" s="220">
        <f t="shared" ca="1" si="682"/>
        <v>0</v>
      </c>
      <c r="KQ68" s="235">
        <f t="shared" ca="1" si="262"/>
        <v>0.2083722604913304</v>
      </c>
      <c r="KR68" s="235">
        <f t="shared" ca="1" si="263"/>
        <v>0.2083722604913304</v>
      </c>
      <c r="KS68" s="242">
        <f t="shared" ca="1" si="264"/>
        <v>0.2083722604913304</v>
      </c>
      <c r="KT68" s="241">
        <f t="shared" ca="1" si="803"/>
        <v>1</v>
      </c>
      <c r="KU68" s="220">
        <f t="shared" ca="1" si="683"/>
        <v>0.94397037706144371</v>
      </c>
      <c r="KV68" s="220">
        <f t="shared" ca="1" si="684"/>
        <v>0</v>
      </c>
      <c r="KW68" s="235">
        <f t="shared" ca="1" si="267"/>
        <v>0.20074402382464779</v>
      </c>
      <c r="KX68" s="235">
        <f t="shared" ca="1" si="268"/>
        <v>0.20074402382464779</v>
      </c>
      <c r="KY68" s="242">
        <f t="shared" ca="1" si="269"/>
        <v>0.20074402382464779</v>
      </c>
      <c r="KZ68" s="241">
        <f t="shared" ca="1" si="803"/>
        <v>1</v>
      </c>
      <c r="LA68" s="220">
        <f t="shared" ca="1" si="685"/>
        <v>0.94102424551463493</v>
      </c>
      <c r="LB68" s="220">
        <f t="shared" ca="1" si="686"/>
        <v>0</v>
      </c>
      <c r="LC68" s="235">
        <f t="shared" ca="1" si="272"/>
        <v>0.19335024321380778</v>
      </c>
      <c r="LD68" s="235">
        <f t="shared" ca="1" si="273"/>
        <v>0.19335024321380778</v>
      </c>
      <c r="LE68" s="242">
        <f t="shared" ca="1" si="274"/>
        <v>0.19335024321380778</v>
      </c>
      <c r="LF68" s="241">
        <f t="shared" ca="1" si="803"/>
        <v>1</v>
      </c>
      <c r="LG68" s="220">
        <f t="shared" ca="1" si="687"/>
        <v>0.93783793741932242</v>
      </c>
      <c r="LH68" s="220">
        <f t="shared" ca="1" si="688"/>
        <v>0</v>
      </c>
      <c r="LI68" s="235">
        <f t="shared" ca="1" si="278"/>
        <v>0.18617928433844047</v>
      </c>
      <c r="LJ68" s="235">
        <f t="shared" ca="1" si="279"/>
        <v>0.18617928433844047</v>
      </c>
      <c r="LK68" s="242">
        <f t="shared" ca="1" si="280"/>
        <v>0.18617928433844047</v>
      </c>
      <c r="LL68" s="241">
        <f t="shared" ca="1" si="803"/>
        <v>1</v>
      </c>
      <c r="LM68" s="220">
        <f t="shared" ca="1" si="689"/>
        <v>0.93436137218530901</v>
      </c>
      <c r="LN68" s="220">
        <f t="shared" ca="1" si="690"/>
        <v>0</v>
      </c>
      <c r="LO68" s="235">
        <f t="shared" ca="1" si="283"/>
        <v>0.17921653887091585</v>
      </c>
      <c r="LP68" s="235">
        <f t="shared" ca="1" si="284"/>
        <v>0.17921653887091585</v>
      </c>
      <c r="LQ68" s="242">
        <f t="shared" ca="1" si="285"/>
        <v>0.17921653887091585</v>
      </c>
      <c r="LR68" s="241">
        <f t="shared" ca="1" si="803"/>
        <v>1</v>
      </c>
      <c r="LS68" s="220">
        <f t="shared" ca="1" si="691"/>
        <v>0.93053889981169891</v>
      </c>
      <c r="LT68" s="220">
        <f t="shared" ca="1" si="692"/>
        <v>0</v>
      </c>
      <c r="LU68" s="235">
        <f t="shared" ca="1" si="288"/>
        <v>0.17244769469603377</v>
      </c>
      <c r="LV68" s="235">
        <f t="shared" ca="1" si="289"/>
        <v>0.17244769469603377</v>
      </c>
      <c r="LW68" s="242">
        <f t="shared" ca="1" si="290"/>
        <v>0.17244769469603377</v>
      </c>
      <c r="LX68" s="241">
        <f t="shared" ca="1" si="803"/>
        <v>1</v>
      </c>
      <c r="LY68" s="220">
        <f t="shared" ca="1" si="693"/>
        <v>0.92632262805665211</v>
      </c>
      <c r="LZ68" s="220">
        <f t="shared" ca="1" si="694"/>
        <v>0</v>
      </c>
      <c r="MA68" s="235">
        <f t="shared" ca="1" si="293"/>
        <v>0.16586119245542613</v>
      </c>
      <c r="MB68" s="235">
        <f t="shared" ca="1" si="294"/>
        <v>0.16586119245542613</v>
      </c>
      <c r="MC68" s="242">
        <f t="shared" ca="1" si="295"/>
        <v>0.16586119245542613</v>
      </c>
      <c r="MD68" s="241">
        <f t="shared" ca="1" si="797"/>
        <v>1</v>
      </c>
      <c r="ME68" s="220">
        <f t="shared" ca="1" si="695"/>
        <v>0.92167897272220412</v>
      </c>
      <c r="MF68" s="220">
        <f t="shared" ca="1" si="696"/>
        <v>0</v>
      </c>
      <c r="MG68" s="235">
        <f t="shared" ca="1" si="298"/>
        <v>0.15944901478033538</v>
      </c>
      <c r="MH68" s="235">
        <f t="shared" ca="1" si="299"/>
        <v>0.15944901478033538</v>
      </c>
      <c r="MI68" s="242">
        <f t="shared" ca="1" si="300"/>
        <v>0.15944901478033538</v>
      </c>
      <c r="MJ68" s="241">
        <f t="shared" ca="1" si="797"/>
        <v>1</v>
      </c>
      <c r="MK68" s="220">
        <f t="shared" ca="1" si="697"/>
        <v>0.91658761807688671</v>
      </c>
      <c r="ML68" s="220">
        <f t="shared" ca="1" si="698"/>
        <v>0</v>
      </c>
      <c r="MM68" s="235">
        <f t="shared" ca="1" si="303"/>
        <v>0.15320600813786359</v>
      </c>
      <c r="MN68" s="235">
        <f t="shared" ca="1" si="304"/>
        <v>0.15320600813786359</v>
      </c>
      <c r="MO68" s="242">
        <f t="shared" ca="1" si="305"/>
        <v>0.15320600813786359</v>
      </c>
      <c r="MP68" s="241">
        <f t="shared" ca="1" si="804"/>
        <v>1</v>
      </c>
      <c r="MQ68" s="220">
        <f t="shared" ca="1" si="699"/>
        <v>0.91103401369895887</v>
      </c>
      <c r="MR68" s="220">
        <f t="shared" ca="1" si="700"/>
        <v>0</v>
      </c>
      <c r="MS68" s="235">
        <f t="shared" ca="1" si="308"/>
        <v>0.1471282443812138</v>
      </c>
      <c r="MT68" s="235">
        <f t="shared" ca="1" si="309"/>
        <v>0.1471282443812138</v>
      </c>
      <c r="MU68" s="242">
        <f t="shared" ca="1" si="310"/>
        <v>0.1471282443812138</v>
      </c>
      <c r="MV68" s="241">
        <f t="shared" ca="1" si="804"/>
        <v>1</v>
      </c>
      <c r="MW68" s="220">
        <f t="shared" ca="1" si="701"/>
        <v>0.90501116783439506</v>
      </c>
      <c r="MX68" s="220">
        <f t="shared" ca="1" si="702"/>
        <v>0</v>
      </c>
      <c r="MY68" s="235">
        <f t="shared" ca="1" si="313"/>
        <v>0.14121312034551653</v>
      </c>
      <c r="MZ68" s="235">
        <f t="shared" ca="1" si="314"/>
        <v>0.14121312034551653</v>
      </c>
      <c r="NA68" s="242">
        <f t="shared" ca="1" si="315"/>
        <v>0.14121312034551653</v>
      </c>
      <c r="NB68" s="241">
        <f t="shared" ca="1" si="804"/>
        <v>1</v>
      </c>
      <c r="NC68" s="220">
        <f t="shared" ca="1" si="703"/>
        <v>0.89850685257116925</v>
      </c>
      <c r="ND68" s="220">
        <f t="shared" ca="1" si="704"/>
        <v>0</v>
      </c>
      <c r="NE68" s="235">
        <f t="shared" ca="1" si="318"/>
        <v>0.13545721898511429</v>
      </c>
      <c r="NF68" s="235">
        <f t="shared" ca="1" si="319"/>
        <v>0.13545721898511429</v>
      </c>
      <c r="NG68" s="242">
        <f t="shared" ca="1" si="320"/>
        <v>0.13545721898511429</v>
      </c>
      <c r="NH68" s="241">
        <f t="shared" ca="1" si="804"/>
        <v>1</v>
      </c>
      <c r="NI68" s="220">
        <f t="shared" ca="1" si="705"/>
        <v>0.89149849912111412</v>
      </c>
      <c r="NJ68" s="220">
        <f t="shared" ca="1" si="706"/>
        <v>0</v>
      </c>
      <c r="NK68" s="235">
        <f t="shared" ca="1" si="323"/>
        <v>0.12985570306959462</v>
      </c>
      <c r="NL68" s="235">
        <f t="shared" ca="1" si="324"/>
        <v>0.12985570306959462</v>
      </c>
      <c r="NM68" s="242">
        <f t="shared" ca="1" si="325"/>
        <v>0.12985570306959462</v>
      </c>
      <c r="NN68" s="241">
        <f t="shared" ca="1" si="804"/>
        <v>1</v>
      </c>
      <c r="NO68" s="220">
        <f t="shared" ca="1" si="707"/>
        <v>0.88395998781254592</v>
      </c>
      <c r="NP68" s="220">
        <f t="shared" ca="1" si="708"/>
        <v>0</v>
      </c>
      <c r="NQ68" s="235">
        <f t="shared" ca="1" si="328"/>
        <v>0.12440352004293539</v>
      </c>
      <c r="NR68" s="235">
        <f t="shared" ca="1" si="329"/>
        <v>0.12440352004293539</v>
      </c>
      <c r="NS68" s="242">
        <f t="shared" ca="1" si="330"/>
        <v>0.12440352004293539</v>
      </c>
      <c r="NT68" s="241">
        <f t="shared" ca="1" si="804"/>
        <v>1</v>
      </c>
      <c r="NU68" s="220">
        <f t="shared" ca="1" si="709"/>
        <v>0.87587705768398794</v>
      </c>
      <c r="NV68" s="220">
        <f t="shared" ca="1" si="710"/>
        <v>0</v>
      </c>
      <c r="NW68" s="235">
        <f t="shared" ca="1" si="334"/>
        <v>0.11909755966730703</v>
      </c>
      <c r="NX68" s="235">
        <f t="shared" ca="1" si="335"/>
        <v>0.11909755966730703</v>
      </c>
      <c r="NY68" s="242">
        <f t="shared" ca="1" si="336"/>
        <v>0.11909755966730703</v>
      </c>
      <c r="NZ68" s="241">
        <f t="shared" ca="1" si="804"/>
        <v>1</v>
      </c>
      <c r="OA68" s="220">
        <f t="shared" ca="1" si="711"/>
        <v>0.86723653050993543</v>
      </c>
      <c r="OB68" s="220">
        <f t="shared" ca="1" si="712"/>
        <v>0</v>
      </c>
      <c r="OC68" s="235">
        <f t="shared" ca="1" si="339"/>
        <v>0.11393493936346769</v>
      </c>
      <c r="OD68" s="235">
        <f t="shared" ca="1" si="340"/>
        <v>0.11393493936346769</v>
      </c>
      <c r="OE68" s="242">
        <f t="shared" ca="1" si="341"/>
        <v>0.11393493936346769</v>
      </c>
      <c r="OF68" s="241">
        <f t="shared" ca="1" si="804"/>
        <v>1</v>
      </c>
      <c r="OG68" s="220">
        <f t="shared" ca="1" si="713"/>
        <v>0.85802474408285889</v>
      </c>
      <c r="OH68" s="220">
        <f t="shared" ca="1" si="714"/>
        <v>0</v>
      </c>
      <c r="OI68" s="235">
        <f t="shared" ca="1" si="344"/>
        <v>0.10891277530197965</v>
      </c>
      <c r="OJ68" s="235">
        <f t="shared" ca="1" si="345"/>
        <v>0.10891277530197965</v>
      </c>
      <c r="OK68" s="242">
        <f t="shared" ca="1" si="346"/>
        <v>0.10891277530197965</v>
      </c>
      <c r="OL68" s="241">
        <f t="shared" ca="1" si="804"/>
        <v>1</v>
      </c>
      <c r="OM68" s="220">
        <f t="shared" ca="1" si="715"/>
        <v>0.84819349656515752</v>
      </c>
      <c r="ON68" s="220">
        <f t="shared" ca="1" si="716"/>
        <v>0</v>
      </c>
      <c r="OO68" s="235">
        <f t="shared" ca="1" si="349"/>
        <v>0.10402401229233778</v>
      </c>
      <c r="OP68" s="235">
        <f t="shared" ca="1" si="350"/>
        <v>0.10402401229233778</v>
      </c>
      <c r="OQ68" s="242">
        <f t="shared" ca="1" si="351"/>
        <v>0.10402401229233778</v>
      </c>
      <c r="OR68" s="241">
        <f t="shared" ca="1" si="804"/>
        <v>1</v>
      </c>
      <c r="OS68" s="220">
        <f t="shared" ca="1" si="717"/>
        <v>0.83771830688257787</v>
      </c>
      <c r="OT68" s="220">
        <f t="shared" ca="1" si="718"/>
        <v>0</v>
      </c>
      <c r="OU68" s="235">
        <f t="shared" ca="1" si="354"/>
        <v>9.9265039362828419E-2</v>
      </c>
      <c r="OV68" s="235">
        <f t="shared" ca="1" si="355"/>
        <v>9.9265039362828419E-2</v>
      </c>
      <c r="OW68" s="242">
        <f t="shared" ca="1" si="356"/>
        <v>9.9265039362828419E-2</v>
      </c>
      <c r="OX68" s="241">
        <f t="shared" ca="1" si="804"/>
        <v>1</v>
      </c>
      <c r="OY68" s="220">
        <f t="shared" ca="1" si="719"/>
        <v>0.82663110509098692</v>
      </c>
      <c r="OZ68" s="220">
        <f t="shared" ca="1" si="720"/>
        <v>0</v>
      </c>
      <c r="PA68" s="235">
        <f t="shared" ca="1" si="359"/>
        <v>9.4638904895518239E-2</v>
      </c>
      <c r="PB68" s="235">
        <f t="shared" ca="1" si="360"/>
        <v>9.4638904895518239E-2</v>
      </c>
      <c r="PC68" s="242">
        <f t="shared" ca="1" si="361"/>
        <v>9.4638904895518239E-2</v>
      </c>
      <c r="PD68" s="241">
        <f t="shared" ca="1" si="798"/>
        <v>1</v>
      </c>
      <c r="PE68" s="220">
        <f t="shared" ca="1" si="721"/>
        <v>0.81497808640251923</v>
      </c>
      <c r="PF68" s="220">
        <f t="shared" ca="1" si="722"/>
        <v>0</v>
      </c>
      <c r="PG68" s="235">
        <f t="shared" ca="1" si="364"/>
        <v>9.0149546138363415E-2</v>
      </c>
      <c r="PH68" s="235">
        <f t="shared" ca="1" si="365"/>
        <v>9.0149546138363415E-2</v>
      </c>
      <c r="PI68" s="242">
        <f t="shared" ca="1" si="366"/>
        <v>9.0149546138363415E-2</v>
      </c>
      <c r="PJ68" s="241">
        <f t="shared" ca="1" si="798"/>
        <v>1</v>
      </c>
      <c r="PK68" s="220">
        <f t="shared" ca="1" si="723"/>
        <v>0.80277052964629592</v>
      </c>
      <c r="PL68" s="220">
        <f t="shared" ca="1" si="724"/>
        <v>0</v>
      </c>
      <c r="PM68" s="235">
        <f t="shared" ca="1" si="369"/>
        <v>8.5796324721504238E-2</v>
      </c>
      <c r="PN68" s="235">
        <f t="shared" ca="1" si="370"/>
        <v>8.5796324721504238E-2</v>
      </c>
      <c r="PO68" s="242">
        <f t="shared" ca="1" si="371"/>
        <v>8.5796324721504238E-2</v>
      </c>
      <c r="PP68" s="241">
        <f t="shared" ca="1" si="805"/>
        <v>1</v>
      </c>
      <c r="PQ68" s="220">
        <f t="shared" ca="1" si="725"/>
        <v>0.78995269259943357</v>
      </c>
      <c r="PR68" s="220">
        <f t="shared" ca="1" si="726"/>
        <v>0</v>
      </c>
      <c r="PS68" s="235">
        <f t="shared" ca="1" si="374"/>
        <v>8.1571415270218356E-2</v>
      </c>
      <c r="PT68" s="235">
        <f t="shared" ca="1" si="375"/>
        <v>8.1571415270218356E-2</v>
      </c>
      <c r="PU68" s="242">
        <f t="shared" ca="1" si="376"/>
        <v>8.1571415270218356E-2</v>
      </c>
      <c r="PV68" s="241">
        <f t="shared" ca="1" si="805"/>
        <v>1</v>
      </c>
      <c r="PW68" s="220">
        <f t="shared" ca="1" si="727"/>
        <v>0.77643739198174988</v>
      </c>
      <c r="PX68" s="220">
        <f t="shared" ca="1" si="728"/>
        <v>0</v>
      </c>
      <c r="PY68" s="235">
        <f t="shared" ca="1" si="379"/>
        <v>7.7464550653488104E-2</v>
      </c>
      <c r="PZ68" s="235">
        <f t="shared" ca="1" si="380"/>
        <v>7.7464550653488104E-2</v>
      </c>
      <c r="QA68" s="242">
        <f t="shared" ca="1" si="381"/>
        <v>7.7464550653488104E-2</v>
      </c>
      <c r="QB68" s="241">
        <f t="shared" ca="1" si="805"/>
        <v>1</v>
      </c>
      <c r="QC68" s="220">
        <f t="shared" ca="1" si="729"/>
        <v>0.76215715546842155</v>
      </c>
      <c r="QD68" s="220">
        <f t="shared" ca="1" si="730"/>
        <v>0</v>
      </c>
      <c r="QE68" s="235">
        <f t="shared" ca="1" si="384"/>
        <v>7.3468427669438799E-2</v>
      </c>
      <c r="QF68" s="235">
        <f t="shared" ca="1" si="385"/>
        <v>7.3468427669438799E-2</v>
      </c>
      <c r="QG68" s="242">
        <f t="shared" ca="1" si="386"/>
        <v>7.3468427669438799E-2</v>
      </c>
      <c r="QH68" s="241">
        <f t="shared" ca="1" si="805"/>
        <v>1</v>
      </c>
      <c r="QI68" s="220">
        <f t="shared" ca="1" si="731"/>
        <v>0.74703900613254992</v>
      </c>
      <c r="QJ68" s="220">
        <f t="shared" ca="1" si="732"/>
        <v>0</v>
      </c>
      <c r="QK68" s="235">
        <f t="shared" ca="1" si="390"/>
        <v>6.9575949698732195E-2</v>
      </c>
      <c r="QL68" s="235">
        <f t="shared" ca="1" si="391"/>
        <v>6.9575949698732195E-2</v>
      </c>
      <c r="QM68" s="242">
        <f t="shared" ca="1" si="392"/>
        <v>6.9575949698732195E-2</v>
      </c>
      <c r="QN68" s="241">
        <f t="shared" ca="1" si="805"/>
        <v>1</v>
      </c>
      <c r="QO68" s="220">
        <f t="shared" ca="1" si="733"/>
        <v>0.73100381386591473</v>
      </c>
      <c r="QP68" s="220">
        <f t="shared" ca="1" si="734"/>
        <v>0</v>
      </c>
      <c r="QQ68" s="235">
        <f t="shared" ca="1" si="395"/>
        <v>6.5780195109612458E-2</v>
      </c>
      <c r="QR68" s="235">
        <f t="shared" ca="1" si="396"/>
        <v>6.5780195109612458E-2</v>
      </c>
      <c r="QS68" s="242">
        <f t="shared" ca="1" si="397"/>
        <v>6.5780195109612458E-2</v>
      </c>
      <c r="QT68" s="241">
        <f t="shared" ca="1" si="805"/>
        <v>1</v>
      </c>
      <c r="QU68" s="220">
        <f t="shared" ca="1" si="735"/>
        <v>0.71393414380833176</v>
      </c>
      <c r="QV68" s="220">
        <f t="shared" ca="1" si="736"/>
        <v>0</v>
      </c>
      <c r="QW68" s="235">
        <f t="shared" ca="1" si="400"/>
        <v>6.2071653887543876E-2</v>
      </c>
      <c r="QX68" s="235">
        <f t="shared" ca="1" si="401"/>
        <v>6.2071653887543876E-2</v>
      </c>
      <c r="QY68" s="242">
        <f t="shared" ca="1" si="402"/>
        <v>6.2071653887543876E-2</v>
      </c>
      <c r="QZ68" s="241">
        <f t="shared" ca="1" si="805"/>
        <v>1</v>
      </c>
      <c r="RA68" s="220">
        <f t="shared" ca="1" si="737"/>
        <v>0.69574167395580788</v>
      </c>
      <c r="RB68" s="220">
        <f t="shared" ca="1" si="738"/>
        <v>0</v>
      </c>
      <c r="RC68" s="235">
        <f t="shared" ca="1" si="405"/>
        <v>5.8444390341238162E-2</v>
      </c>
      <c r="RD68" s="235">
        <f t="shared" ca="1" si="406"/>
        <v>5.8444390341238162E-2</v>
      </c>
      <c r="RE68" s="242">
        <f t="shared" ca="1" si="407"/>
        <v>5.8444390341238162E-2</v>
      </c>
      <c r="RF68" s="241">
        <f t="shared" ca="1" si="805"/>
        <v>1</v>
      </c>
      <c r="RG68" s="220">
        <f t="shared" ca="1" si="739"/>
        <v>0.67640422986988014</v>
      </c>
      <c r="RH68" s="220">
        <f t="shared" ca="1" si="740"/>
        <v>0</v>
      </c>
      <c r="RI68" s="235">
        <f t="shared" ca="1" si="410"/>
        <v>5.4898538121829751E-2</v>
      </c>
      <c r="RJ68" s="235">
        <f t="shared" ca="1" si="411"/>
        <v>5.4898538121829751E-2</v>
      </c>
      <c r="RK68" s="242">
        <f t="shared" ca="1" si="412"/>
        <v>5.4898538121829751E-2</v>
      </c>
      <c r="RL68" s="241">
        <f t="shared" ca="1" si="805"/>
        <v>1</v>
      </c>
      <c r="RM68" s="220">
        <f t="shared" ca="1" si="741"/>
        <v>0.65592135698096043</v>
      </c>
      <c r="RN68" s="220">
        <f t="shared" ca="1" si="742"/>
        <v>0</v>
      </c>
      <c r="RO68" s="235">
        <f t="shared" ca="1" si="415"/>
        <v>5.1435845981086484E-2</v>
      </c>
      <c r="RP68" s="235">
        <f t="shared" ca="1" si="416"/>
        <v>5.1435845981086484E-2</v>
      </c>
      <c r="RQ68" s="242">
        <f t="shared" ca="1" si="417"/>
        <v>5.1435845981086484E-2</v>
      </c>
      <c r="RR68" s="241">
        <f t="shared" ca="1" si="805"/>
        <v>1</v>
      </c>
      <c r="RS68" s="220">
        <f t="shared" ca="1" si="743"/>
        <v>0.63426152193073515</v>
      </c>
      <c r="RT68" s="220">
        <f t="shared" ca="1" si="744"/>
        <v>0</v>
      </c>
      <c r="RU68" s="235">
        <f t="shared" ca="1" si="420"/>
        <v>4.8055392729564286E-2</v>
      </c>
      <c r="RV68" s="235">
        <f t="shared" ca="1" si="421"/>
        <v>4.8055392729564286E-2</v>
      </c>
      <c r="RW68" s="242">
        <f t="shared" ca="1" si="422"/>
        <v>4.8055392729564286E-2</v>
      </c>
      <c r="RX68" s="241">
        <f t="shared" ca="1" si="805"/>
        <v>1</v>
      </c>
      <c r="RY68" s="220">
        <f t="shared" ca="1" si="745"/>
        <v>0.61130062057532053</v>
      </c>
      <c r="RZ68" s="220">
        <f t="shared" ca="1" si="746"/>
        <v>0</v>
      </c>
      <c r="SA68" s="235">
        <f t="shared" ca="1" si="425"/>
        <v>4.4749506722088245E-2</v>
      </c>
      <c r="SB68" s="235">
        <f t="shared" ca="1" si="426"/>
        <v>4.4749506722088245E-2</v>
      </c>
      <c r="SC68" s="242">
        <f t="shared" ca="1" si="427"/>
        <v>4.4749506722088245E-2</v>
      </c>
      <c r="SD68" s="241">
        <f t="shared" ca="1" si="799"/>
        <v>1</v>
      </c>
      <c r="SE68" s="220">
        <f t="shared" ca="1" si="747"/>
        <v>0.58693540044042947</v>
      </c>
      <c r="SF68" s="220">
        <f t="shared" ca="1" si="748"/>
        <v>0</v>
      </c>
      <c r="SG68" s="235">
        <f t="shared" ca="1" si="430"/>
        <v>4.1512928389525854E-2</v>
      </c>
      <c r="SH68" s="235">
        <f t="shared" ca="1" si="431"/>
        <v>4.1512928389525854E-2</v>
      </c>
      <c r="SI68" s="242">
        <f t="shared" ca="1" si="432"/>
        <v>4.1512928389525854E-2</v>
      </c>
      <c r="SJ68" s="241">
        <f t="shared" ca="1" si="799"/>
        <v>1</v>
      </c>
      <c r="SK68" s="220">
        <f t="shared" ca="1" si="749"/>
        <v>0.56117421877969853</v>
      </c>
      <c r="SL68" s="220">
        <f t="shared" ca="1" si="750"/>
        <v>0</v>
      </c>
      <c r="SM68" s="235">
        <f t="shared" ca="1" si="435"/>
        <v>3.8348680627614658E-2</v>
      </c>
      <c r="SN68" s="235">
        <f t="shared" ca="1" si="436"/>
        <v>3.8348680627614658E-2</v>
      </c>
      <c r="SO68" s="242">
        <f t="shared" ca="1" si="437"/>
        <v>3.8348680627614658E-2</v>
      </c>
      <c r="SP68" s="241">
        <f t="shared" ca="1" si="808"/>
        <v>1</v>
      </c>
      <c r="SQ68" s="220">
        <f t="shared" ca="1" si="751"/>
        <v>0.5340633310962325</v>
      </c>
      <c r="SR68" s="220">
        <f t="shared" ca="1" si="752"/>
        <v>0</v>
      </c>
      <c r="SS68" s="235">
        <f t="shared" ca="1" si="440"/>
        <v>3.5261852674216394E-2</v>
      </c>
      <c r="ST68" s="235">
        <f t="shared" ca="1" si="441"/>
        <v>3.5261852674216394E-2</v>
      </c>
      <c r="SU68" s="242">
        <f t="shared" ca="1" si="442"/>
        <v>3.5261852674216394E-2</v>
      </c>
      <c r="SV68" s="241">
        <f t="shared" ca="1" si="808"/>
        <v>1</v>
      </c>
      <c r="SW68" s="220">
        <f t="shared" ca="1" si="753"/>
        <v>0.50563620810864218</v>
      </c>
      <c r="SX68" s="220">
        <f t="shared" ca="1" si="754"/>
        <v>0</v>
      </c>
      <c r="SY68" s="235">
        <f t="shared" ca="1" si="446"/>
        <v>3.2255975632920972E-2</v>
      </c>
      <c r="SZ68" s="235">
        <f t="shared" ca="1" si="447"/>
        <v>3.2255975632920972E-2</v>
      </c>
      <c r="TA68" s="242">
        <f t="shared" ca="1" si="448"/>
        <v>3.2255975632920972E-2</v>
      </c>
      <c r="TB68" s="241">
        <f t="shared" ca="1" si="808"/>
        <v>1</v>
      </c>
      <c r="TC68" s="220">
        <f t="shared" ca="1" si="755"/>
        <v>0.47585575235966748</v>
      </c>
      <c r="TD68" s="220">
        <f t="shared" ca="1" si="756"/>
        <v>0</v>
      </c>
      <c r="TE68" s="235">
        <f t="shared" ca="1" si="451"/>
        <v>2.9329657426153458E-2</v>
      </c>
      <c r="TF68" s="235">
        <f t="shared" ca="1" si="452"/>
        <v>2.9329657426153458E-2</v>
      </c>
      <c r="TG68" s="242">
        <f t="shared" ca="1" si="453"/>
        <v>2.9329657426153458E-2</v>
      </c>
      <c r="TH68" s="241">
        <f t="shared" ca="1" si="808"/>
        <v>1</v>
      </c>
      <c r="TI68" s="220">
        <f t="shared" ca="1" si="757"/>
        <v>0.4447514411066778</v>
      </c>
      <c r="TJ68" s="220">
        <f t="shared" ca="1" si="758"/>
        <v>0</v>
      </c>
      <c r="TK68" s="235">
        <f t="shared" ca="1" si="456"/>
        <v>2.6485530790814431E-2</v>
      </c>
      <c r="TL68" s="235">
        <f t="shared" ca="1" si="457"/>
        <v>2.6485530790814431E-2</v>
      </c>
      <c r="TM68" s="242">
        <f t="shared" ca="1" si="458"/>
        <v>2.6485530790814431E-2</v>
      </c>
      <c r="TN68" s="241">
        <f t="shared" ca="1" si="808"/>
        <v>1</v>
      </c>
      <c r="TO68" s="220">
        <f t="shared" ca="1" si="759"/>
        <v>0.41251096438941365</v>
      </c>
      <c r="TP68" s="220">
        <f t="shared" ca="1" si="760"/>
        <v>0</v>
      </c>
      <c r="TQ68" s="235">
        <f t="shared" ca="1" si="461"/>
        <v>2.3734848481408222E-2</v>
      </c>
      <c r="TR68" s="235">
        <f t="shared" ca="1" si="462"/>
        <v>2.3734848481408222E-2</v>
      </c>
      <c r="TS68" s="242">
        <f t="shared" ca="1" si="463"/>
        <v>2.3734848481408222E-2</v>
      </c>
      <c r="TT68" s="241">
        <f t="shared" ca="1" si="808"/>
        <v>1</v>
      </c>
      <c r="TU68" s="220">
        <f t="shared" ca="1" si="761"/>
        <v>0.37939128408051637</v>
      </c>
      <c r="TV68" s="220">
        <f t="shared" ca="1" si="762"/>
        <v>0</v>
      </c>
      <c r="TW68" s="235">
        <f t="shared" ca="1" si="466"/>
        <v>2.1091038615007652E-2</v>
      </c>
      <c r="TX68" s="235">
        <f t="shared" ca="1" si="467"/>
        <v>2.1091038615007652E-2</v>
      </c>
      <c r="TY68" s="242">
        <f t="shared" ca="1" si="468"/>
        <v>2.1091038615007652E-2</v>
      </c>
      <c r="TZ68" s="241">
        <f t="shared" ca="1" si="808"/>
        <v>1</v>
      </c>
      <c r="UA68" s="220">
        <f t="shared" ca="1" si="763"/>
        <v>0.34565732866521315</v>
      </c>
      <c r="UB68" s="220">
        <f t="shared" ca="1" si="764"/>
        <v>0</v>
      </c>
      <c r="UC68" s="235">
        <f t="shared" ca="1" si="471"/>
        <v>1.8565901280691431E-2</v>
      </c>
      <c r="UD68" s="235">
        <f t="shared" ca="1" si="472"/>
        <v>1.8565901280691431E-2</v>
      </c>
      <c r="UE68" s="242">
        <f t="shared" ca="1" si="473"/>
        <v>1.8565901280691431E-2</v>
      </c>
      <c r="UF68" s="241">
        <f t="shared" ca="1" si="808"/>
        <v>1</v>
      </c>
      <c r="UG68" s="220">
        <f t="shared" ca="1" si="765"/>
        <v>0.31158381183471112</v>
      </c>
      <c r="UH68" s="220">
        <f t="shared" ca="1" si="766"/>
        <v>0</v>
      </c>
      <c r="UI68" s="235">
        <f t="shared" ca="1" si="476"/>
        <v>1.6169805793281151E-2</v>
      </c>
      <c r="UJ68" s="235">
        <f t="shared" ca="1" si="477"/>
        <v>1.6169805793281151E-2</v>
      </c>
      <c r="UK68" s="242">
        <f t="shared" ca="1" si="478"/>
        <v>1.6169805793281151E-2</v>
      </c>
      <c r="UL68" s="241">
        <f t="shared" ca="1" si="808"/>
        <v>1</v>
      </c>
      <c r="UM68" s="220">
        <f t="shared" ca="1" si="767"/>
        <v>0.27748470263514402</v>
      </c>
      <c r="UN68" s="220">
        <f t="shared" ca="1" si="768"/>
        <v>0</v>
      </c>
      <c r="UO68" s="235">
        <f t="shared" ca="1" si="481"/>
        <v>1.3913250808575896E-2</v>
      </c>
      <c r="UP68" s="235">
        <f t="shared" ca="1" si="482"/>
        <v>1.3913250808575896E-2</v>
      </c>
      <c r="UQ68" s="242">
        <f t="shared" ca="1" si="483"/>
        <v>1.3913250808575896E-2</v>
      </c>
      <c r="UR68" s="241">
        <f t="shared" ca="1" si="808"/>
        <v>1</v>
      </c>
      <c r="US68" s="220">
        <f t="shared" ca="1" si="769"/>
        <v>0.24373729058536042</v>
      </c>
      <c r="UT68" s="220">
        <f t="shared" ca="1" si="770"/>
        <v>0</v>
      </c>
      <c r="UU68" s="235">
        <f t="shared" ca="1" si="486"/>
        <v>1.1807860056509861E-2</v>
      </c>
      <c r="UV68" s="235">
        <f t="shared" ca="1" si="487"/>
        <v>1.1807860056509861E-2</v>
      </c>
      <c r="UW68" s="242">
        <f t="shared" ca="1" si="488"/>
        <v>1.1807860056509861E-2</v>
      </c>
      <c r="UX68" s="241">
        <f t="shared" ca="1" si="808"/>
        <v>1</v>
      </c>
      <c r="UY68" s="220">
        <f t="shared" ca="1" si="771"/>
        <v>0.21078985859319374</v>
      </c>
      <c r="UZ68" s="220">
        <f t="shared" ca="1" si="772"/>
        <v>0</v>
      </c>
      <c r="VA68" s="235">
        <f t="shared" ca="1" si="491"/>
        <v>9.866396874889936E-3</v>
      </c>
      <c r="VB68" s="235">
        <f t="shared" ca="1" si="492"/>
        <v>9.866396874889936E-3</v>
      </c>
      <c r="VC68" s="242">
        <f t="shared" ca="1" si="493"/>
        <v>9.866396874889936E-3</v>
      </c>
      <c r="VD68" s="241">
        <f t="shared" ca="1" si="806"/>
        <v>1</v>
      </c>
      <c r="VE68" s="220">
        <f t="shared" ca="1" si="773"/>
        <v>0.17914840370962801</v>
      </c>
      <c r="VF68" s="220">
        <f t="shared" ca="1" si="774"/>
        <v>0</v>
      </c>
      <c r="VG68" s="235">
        <f t="shared" ca="1" si="496"/>
        <v>8.1017989433788233E-3</v>
      </c>
      <c r="VH68" s="235">
        <f t="shared" ca="1" si="497"/>
        <v>8.1017989433788233E-3</v>
      </c>
      <c r="VI68" s="242">
        <f t="shared" ca="1" si="498"/>
        <v>8.1017989433788233E-3</v>
      </c>
      <c r="VJ68" s="241">
        <f t="shared" ca="1" si="806"/>
        <v>1</v>
      </c>
      <c r="VK68" s="220">
        <f t="shared" ca="1" si="775"/>
        <v>0.14933864677755704</v>
      </c>
      <c r="VL68" s="220">
        <f t="shared" ca="1" si="776"/>
        <v>0</v>
      </c>
      <c r="VM68" s="235">
        <f t="shared" ca="1" si="502"/>
        <v>6.5252984585482295E-3</v>
      </c>
      <c r="VN68" s="235">
        <f t="shared" ca="1" si="503"/>
        <v>6.5252984585482295E-3</v>
      </c>
      <c r="VO68" s="242">
        <f t="shared" ca="1" si="504"/>
        <v>6.5252984585482295E-3</v>
      </c>
      <c r="VP68" s="241">
        <f t="shared" ca="1" si="567"/>
        <v>1</v>
      </c>
      <c r="VQ68" s="220">
        <f t="shared" ca="1" si="777"/>
        <v>0.12186078378642688</v>
      </c>
      <c r="VR68" s="220">
        <f t="shared" ca="1" si="778"/>
        <v>0</v>
      </c>
      <c r="VS68" s="235">
        <f t="shared" ca="1" si="507"/>
        <v>5.1446020464451514E-3</v>
      </c>
      <c r="VT68" s="235">
        <f t="shared" ca="1" si="508"/>
        <v>5.1446020464451514E-3</v>
      </c>
      <c r="VU68" s="242">
        <f t="shared" ca="1" si="509"/>
        <v>5.1446020464451514E-3</v>
      </c>
      <c r="VV68" s="241">
        <f t="shared" ca="1" si="578"/>
        <v>1</v>
      </c>
      <c r="VW68" s="220">
        <f t="shared" ca="1" si="779"/>
        <v>9.714071449143126E-2</v>
      </c>
      <c r="VX68" s="220">
        <f t="shared" ca="1" si="780"/>
        <v>0</v>
      </c>
      <c r="VY68" s="235">
        <f t="shared" ca="1" si="512"/>
        <v>3.9623128486120972E-3</v>
      </c>
      <c r="VZ68" s="235">
        <f t="shared" ca="1" si="513"/>
        <v>3.9623128486120972E-3</v>
      </c>
      <c r="WA68" s="242">
        <f t="shared" ca="1" si="514"/>
        <v>3.9623128486120972E-3</v>
      </c>
      <c r="WB68" s="241">
        <f t="shared" ca="1" si="578"/>
        <v>1</v>
      </c>
      <c r="WC68" s="220">
        <f t="shared" ca="1" si="781"/>
        <v>7.5486980683431834E-2</v>
      </c>
      <c r="WD68" s="220">
        <f t="shared" ca="1" si="782"/>
        <v>0</v>
      </c>
      <c r="WE68" s="235">
        <f t="shared" ca="1" si="517"/>
        <v>2.9749465982754843E-3</v>
      </c>
      <c r="WF68" s="235">
        <f t="shared" ca="1" si="518"/>
        <v>2.9749465982754843E-3</v>
      </c>
      <c r="WG68" s="242">
        <f t="shared" ca="1" si="519"/>
        <v>2.9749465982754843E-3</v>
      </c>
      <c r="WH68" s="241">
        <f t="shared" ca="1" si="578"/>
        <v>1</v>
      </c>
      <c r="WI68" s="220">
        <f t="shared" ca="1" si="783"/>
        <v>5.7061061620490225E-2</v>
      </c>
      <c r="WJ68" s="220">
        <f t="shared" ca="1" si="784"/>
        <v>0</v>
      </c>
      <c r="WK68" s="235">
        <f t="shared" ca="1" si="522"/>
        <v>2.1727342833971291E-3</v>
      </c>
      <c r="WL68" s="235">
        <f t="shared" ca="1" si="523"/>
        <v>2.1727342833971291E-3</v>
      </c>
      <c r="WM68" s="242">
        <f t="shared" ca="1" si="524"/>
        <v>2.1727342833971291E-3</v>
      </c>
      <c r="WN68" s="241">
        <f t="shared" ca="1" si="578"/>
        <v>1</v>
      </c>
      <c r="WO68" s="220">
        <f t="shared" ca="1" si="785"/>
        <v>4.1934687734452851E-2</v>
      </c>
      <c r="WP68" s="220">
        <f t="shared" ca="1" si="786"/>
        <v>0</v>
      </c>
      <c r="WQ68" s="235">
        <f t="shared" ca="1" si="527"/>
        <v>1.5427651975624165E-3</v>
      </c>
      <c r="WR68" s="235">
        <f t="shared" ca="1" si="528"/>
        <v>1.5427651975624165E-3</v>
      </c>
      <c r="WS68" s="242">
        <f t="shared" ca="1" si="529"/>
        <v>1.5427651975624165E-3</v>
      </c>
      <c r="WT68" s="241">
        <f t="shared" ca="1" si="578"/>
        <v>1</v>
      </c>
      <c r="WU68" s="220">
        <f t="shared" ca="1" si="787"/>
        <v>2.9961998908764689E-2</v>
      </c>
      <c r="WV68" s="220">
        <f t="shared" ca="1" si="788"/>
        <v>0</v>
      </c>
      <c r="WW68" s="235">
        <f t="shared" ca="1" si="532"/>
        <v>1.0650177696007403E-3</v>
      </c>
      <c r="WX68" s="235">
        <f t="shared" ca="1" si="533"/>
        <v>1.0650177696007403E-3</v>
      </c>
      <c r="WY68" s="242">
        <f t="shared" ca="1" si="534"/>
        <v>1.0650177696007403E-3</v>
      </c>
      <c r="WZ68" s="241">
        <f t="shared" ca="1" si="578"/>
        <v>1</v>
      </c>
      <c r="XA68" s="220">
        <f t="shared" ca="1" si="789"/>
        <v>2.0825806429510707E-2</v>
      </c>
      <c r="XB68" s="220">
        <f t="shared" ca="1" si="790"/>
        <v>0</v>
      </c>
      <c r="XC68" s="235">
        <f t="shared" ca="1" si="537"/>
        <v>7.1523300597822715E-4</v>
      </c>
      <c r="XD68" s="235">
        <f t="shared" ca="1" si="538"/>
        <v>7.1523300597822715E-4</v>
      </c>
      <c r="XE68" s="242">
        <f t="shared" ca="1" si="539"/>
        <v>7.1523300597822715E-4</v>
      </c>
      <c r="XF68" s="241">
        <f t="shared" ca="1" si="578"/>
        <v>1</v>
      </c>
      <c r="XG68" s="220">
        <f t="shared" ca="1" si="791"/>
        <v>1.410075784309954E-2</v>
      </c>
      <c r="XH68" s="220">
        <f t="shared" ca="1" si="792"/>
        <v>0</v>
      </c>
      <c r="XI68" s="235">
        <f t="shared" ca="1" si="542"/>
        <v>4.6789437576883483E-4</v>
      </c>
      <c r="XJ68" s="235">
        <f t="shared" ca="1" si="543"/>
        <v>4.6789437576883483E-4</v>
      </c>
      <c r="XK68" s="242">
        <f t="shared" ca="1" si="544"/>
        <v>4.6789437576883483E-4</v>
      </c>
    </row>
    <row r="69" spans="2:635" x14ac:dyDescent="0.25">
      <c r="B69" s="65">
        <f t="shared" ca="1" si="14"/>
        <v>2084</v>
      </c>
      <c r="C69" s="65" t="s">
        <v>741</v>
      </c>
      <c r="D69" s="77">
        <f t="shared" si="580"/>
        <v>0</v>
      </c>
      <c r="E69" s="77">
        <f t="shared" si="581"/>
        <v>0</v>
      </c>
      <c r="F69" s="77" t="b">
        <f t="shared" si="793"/>
        <v>0</v>
      </c>
      <c r="G69" s="77" t="b">
        <f t="shared" si="794"/>
        <v>0</v>
      </c>
      <c r="H69" s="15" t="e">
        <f t="shared" ca="1" si="582"/>
        <v>#REF!</v>
      </c>
      <c r="L69" s="326">
        <f t="shared" ca="1" si="583"/>
        <v>3.5000000000000003E-2</v>
      </c>
      <c r="M69" s="327">
        <f t="shared" ca="1" si="584"/>
        <v>3.5000000000000003E-2</v>
      </c>
      <c r="N69" s="322">
        <f t="shared" ca="1" si="579"/>
        <v>-61</v>
      </c>
      <c r="O69" s="322">
        <f t="shared" ca="1" si="585"/>
        <v>0</v>
      </c>
      <c r="P69" s="328">
        <f t="shared" ca="1" si="545"/>
        <v>26.87829936156087</v>
      </c>
      <c r="Q69" s="328">
        <f t="shared" ca="1" si="546"/>
        <v>26.87829936156087</v>
      </c>
      <c r="R69" s="328">
        <f t="shared" ca="1" si="547"/>
        <v>26.87829936156087</v>
      </c>
      <c r="S69" s="329">
        <f t="shared" ca="1" si="586"/>
        <v>3.8642415640549425E-2</v>
      </c>
      <c r="T69" s="329">
        <f t="shared" ca="1" si="587"/>
        <v>3.8642415640549425E-2</v>
      </c>
      <c r="U69" s="329">
        <f t="shared" ca="1" si="588"/>
        <v>3.8642415640549425E-2</v>
      </c>
      <c r="V69" s="320" t="e">
        <f t="shared" ca="1" si="589"/>
        <v>#REF!</v>
      </c>
      <c r="W69" s="320" t="e">
        <f t="shared" ca="1" si="560"/>
        <v>#REF!</v>
      </c>
      <c r="X69" s="320" t="e">
        <f t="shared" ca="1" si="590"/>
        <v>#REF!</v>
      </c>
      <c r="Y69" s="320" t="e">
        <f ca="1">INDEX(SC_ZA_HECMLumpSum,ZAIDX)</f>
        <v>#REF!</v>
      </c>
      <c r="Z69" s="320" t="e">
        <f t="shared" ca="1" si="591"/>
        <v>#REF!</v>
      </c>
      <c r="AA69" s="320" t="e">
        <f t="shared" ca="1" si="557"/>
        <v>#REF!</v>
      </c>
      <c r="AB69" s="320" t="e">
        <f t="shared" ca="1" si="558"/>
        <v>#REF!</v>
      </c>
      <c r="AC69" s="330" t="e">
        <f t="shared" ca="1" si="559"/>
        <v>#REF!</v>
      </c>
      <c r="AD69" s="236" t="e">
        <f t="shared" ca="1" si="548"/>
        <v>#REF!</v>
      </c>
      <c r="AE69" s="320" t="e">
        <f t="shared" ca="1" si="561"/>
        <v>#REF!</v>
      </c>
      <c r="AF69" s="320" t="e">
        <f t="shared" ca="1" si="592"/>
        <v>#REF!</v>
      </c>
      <c r="AG69" s="320" t="e">
        <f t="shared" ca="1" si="549"/>
        <v>#REF!</v>
      </c>
      <c r="AH69" s="284" t="e">
        <f t="shared" ca="1" si="550"/>
        <v>#REF!</v>
      </c>
      <c r="AI69" s="318" t="e">
        <f t="shared" ca="1" si="551"/>
        <v>#REF!</v>
      </c>
      <c r="AJ69" s="331">
        <f t="shared" ca="1" si="807"/>
        <v>1</v>
      </c>
      <c r="AK69" s="220">
        <f t="shared" ca="1" si="593"/>
        <v>1</v>
      </c>
      <c r="AL69" s="220">
        <f t="shared" ca="1" si="594"/>
        <v>0</v>
      </c>
      <c r="AM69" s="235">
        <f t="shared" ca="1" si="554"/>
        <v>1</v>
      </c>
      <c r="AN69" s="235">
        <f t="shared" ca="1" si="555"/>
        <v>1</v>
      </c>
      <c r="AO69" s="242">
        <f t="shared" ca="1" si="556"/>
        <v>1</v>
      </c>
      <c r="AP69" s="241">
        <f t="shared" ca="1" si="807"/>
        <v>1</v>
      </c>
      <c r="AQ69" s="220">
        <f t="shared" ca="1" si="595"/>
        <v>0.99361699999999997</v>
      </c>
      <c r="AR69" s="220">
        <f t="shared" ca="1" si="596"/>
        <v>0</v>
      </c>
      <c r="AS69" s="235">
        <f t="shared" ca="1" si="43"/>
        <v>0.96001642512077301</v>
      </c>
      <c r="AT69" s="235">
        <f t="shared" ca="1" si="44"/>
        <v>0.96001642512077301</v>
      </c>
      <c r="AU69" s="242">
        <f t="shared" ca="1" si="45"/>
        <v>0.96001642512077301</v>
      </c>
      <c r="AV69" s="241">
        <f t="shared" ca="1" si="807"/>
        <v>1</v>
      </c>
      <c r="AW69" s="220">
        <f t="shared" ca="1" si="597"/>
        <v>0.99316689149899995</v>
      </c>
      <c r="AX69" s="220">
        <f t="shared" ca="1" si="598"/>
        <v>0</v>
      </c>
      <c r="AY69" s="235">
        <f t="shared" ca="1" si="48"/>
        <v>0.92713192046395487</v>
      </c>
      <c r="AZ69" s="235">
        <f t="shared" ca="1" si="49"/>
        <v>0.92713192046395487</v>
      </c>
      <c r="BA69" s="242">
        <f t="shared" ca="1" si="50"/>
        <v>0.92713192046395487</v>
      </c>
      <c r="BB69" s="241">
        <f t="shared" ca="1" si="807"/>
        <v>1</v>
      </c>
      <c r="BC69" s="220">
        <f t="shared" ca="1" si="599"/>
        <v>0.99288681843559723</v>
      </c>
      <c r="BD69" s="220">
        <f t="shared" ca="1" si="600"/>
        <v>0</v>
      </c>
      <c r="BE69" s="235">
        <f t="shared" ca="1" si="54"/>
        <v>0.89552702344191704</v>
      </c>
      <c r="BF69" s="235">
        <f t="shared" ca="1" si="55"/>
        <v>0.89552702344191704</v>
      </c>
      <c r="BG69" s="242">
        <f t="shared" ca="1" si="56"/>
        <v>0.89552702344191704</v>
      </c>
      <c r="BH69" s="241">
        <f t="shared" ca="1" si="807"/>
        <v>1</v>
      </c>
      <c r="BI69" s="220">
        <f t="shared" ca="1" si="601"/>
        <v>0.99265845446735712</v>
      </c>
      <c r="BJ69" s="220">
        <f t="shared" ca="1" si="602"/>
        <v>0</v>
      </c>
      <c r="BK69" s="235">
        <f t="shared" ca="1" si="59"/>
        <v>0.86504449490485558</v>
      </c>
      <c r="BL69" s="235">
        <f t="shared" ca="1" si="60"/>
        <v>0.86504449490485558</v>
      </c>
      <c r="BM69" s="242">
        <f t="shared" ca="1" si="61"/>
        <v>0.86504449490485558</v>
      </c>
      <c r="BN69" s="241">
        <f t="shared" ca="1" si="807"/>
        <v>1</v>
      </c>
      <c r="BO69" s="220">
        <f t="shared" ca="1" si="603"/>
        <v>0.99249069518855215</v>
      </c>
      <c r="BP69" s="220">
        <f t="shared" ca="1" si="604"/>
        <v>0</v>
      </c>
      <c r="BQ69" s="235">
        <f t="shared" ca="1" si="64"/>
        <v>0.83565053370552345</v>
      </c>
      <c r="BR69" s="235">
        <f t="shared" ca="1" si="65"/>
        <v>0.83565053370552345</v>
      </c>
      <c r="BS69" s="242">
        <f t="shared" ca="1" si="66"/>
        <v>0.83565053370552345</v>
      </c>
      <c r="BT69" s="241">
        <f t="shared" ca="1" si="807"/>
        <v>1</v>
      </c>
      <c r="BU69" s="220">
        <f t="shared" ca="1" si="605"/>
        <v>0.99233685913079794</v>
      </c>
      <c r="BV69" s="220">
        <f t="shared" ca="1" si="606"/>
        <v>0</v>
      </c>
      <c r="BW69" s="235">
        <f t="shared" ca="1" si="69"/>
        <v>0.80726667427323584</v>
      </c>
      <c r="BX69" s="235">
        <f t="shared" ca="1" si="70"/>
        <v>0.80726667427323584</v>
      </c>
      <c r="BY69" s="242">
        <f t="shared" ca="1" si="71"/>
        <v>0.80726667427323584</v>
      </c>
      <c r="BZ69" s="241">
        <f t="shared" ca="1" si="807"/>
        <v>1</v>
      </c>
      <c r="CA69" s="220">
        <f t="shared" ca="1" si="607"/>
        <v>0.992192970286224</v>
      </c>
      <c r="CB69" s="220">
        <f t="shared" ca="1" si="608"/>
        <v>0</v>
      </c>
      <c r="CC69" s="235">
        <f t="shared" ca="1" si="74"/>
        <v>0.7798547058990013</v>
      </c>
      <c r="CD69" s="235">
        <f t="shared" ca="1" si="75"/>
        <v>0.7798547058990013</v>
      </c>
      <c r="CE69" s="242">
        <f t="shared" ca="1" si="76"/>
        <v>0.7798547058990013</v>
      </c>
      <c r="CF69" s="241">
        <f t="shared" ca="1" si="807"/>
        <v>1</v>
      </c>
      <c r="CG69" s="220">
        <f t="shared" ca="1" si="609"/>
        <v>0.9920590242352354</v>
      </c>
      <c r="CH69" s="220">
        <f t="shared" ca="1" si="610"/>
        <v>0</v>
      </c>
      <c r="CI69" s="235">
        <f t="shared" ca="1" si="79"/>
        <v>0.75338108745285515</v>
      </c>
      <c r="CJ69" s="235">
        <f t="shared" ca="1" si="80"/>
        <v>0.75338108745285515</v>
      </c>
      <c r="CK69" s="242">
        <f t="shared" ca="1" si="81"/>
        <v>0.75338108745285515</v>
      </c>
      <c r="CL69" s="241">
        <f t="shared" ca="1" si="807"/>
        <v>1</v>
      </c>
      <c r="CM69" s="220">
        <f t="shared" ca="1" si="611"/>
        <v>0.99193997715232718</v>
      </c>
      <c r="CN69" s="220">
        <f t="shared" ca="1" si="612"/>
        <v>0</v>
      </c>
      <c r="CO69" s="235">
        <f t="shared" ca="1" si="84"/>
        <v>0.72781708378972065</v>
      </c>
      <c r="CP69" s="235">
        <f t="shared" ca="1" si="85"/>
        <v>0.72781708378972065</v>
      </c>
      <c r="CQ69" s="242">
        <f t="shared" ca="1" si="86"/>
        <v>0.72781708378972065</v>
      </c>
      <c r="CR69" s="241">
        <f t="shared" ca="1" si="807"/>
        <v>1</v>
      </c>
      <c r="CS69" s="220">
        <f t="shared" ca="1" si="613"/>
        <v>0.99183582345472621</v>
      </c>
      <c r="CT69" s="220">
        <f t="shared" ca="1" si="614"/>
        <v>0</v>
      </c>
      <c r="CU69" s="235">
        <f t="shared" ca="1" si="89"/>
        <v>0.70313107535837949</v>
      </c>
      <c r="CV69" s="235">
        <f t="shared" ca="1" si="90"/>
        <v>0.70313107535837949</v>
      </c>
      <c r="CW69" s="242">
        <f t="shared" ca="1" si="91"/>
        <v>0.70313107535837949</v>
      </c>
      <c r="CX69" s="241">
        <f t="shared" ca="1" si="800"/>
        <v>1</v>
      </c>
      <c r="CY69" s="220">
        <f t="shared" ca="1" si="615"/>
        <v>0.99174259088732142</v>
      </c>
      <c r="CZ69" s="220">
        <f t="shared" ca="1" si="616"/>
        <v>0</v>
      </c>
      <c r="DA69" s="235">
        <f t="shared" ca="1" si="94"/>
        <v>0.6792898367510104</v>
      </c>
      <c r="DB69" s="235">
        <f t="shared" ca="1" si="95"/>
        <v>0.6792898367510104</v>
      </c>
      <c r="DC69" s="242">
        <f t="shared" ca="1" si="96"/>
        <v>0.6792898367510104</v>
      </c>
      <c r="DD69" s="241">
        <f t="shared" ca="1" si="800"/>
        <v>1</v>
      </c>
      <c r="DE69" s="220">
        <f t="shared" ca="1" si="617"/>
        <v>0.99164440837082357</v>
      </c>
      <c r="DF69" s="220">
        <f t="shared" ca="1" si="618"/>
        <v>0</v>
      </c>
      <c r="DG69" s="235">
        <f t="shared" ca="1" si="99"/>
        <v>0.65625370730161559</v>
      </c>
      <c r="DH69" s="235">
        <f t="shared" ca="1" si="100"/>
        <v>0.65625370730161559</v>
      </c>
      <c r="DI69" s="242">
        <f t="shared" ca="1" si="101"/>
        <v>0.65625370730161559</v>
      </c>
      <c r="DJ69" s="241">
        <f t="shared" ca="1" si="51"/>
        <v>1</v>
      </c>
      <c r="DK69" s="220">
        <f t="shared" ca="1" si="619"/>
        <v>0.9915115280201019</v>
      </c>
      <c r="DL69" s="220">
        <f t="shared" ca="1" si="620"/>
        <v>0</v>
      </c>
      <c r="DM69" s="235">
        <f t="shared" ca="1" si="104"/>
        <v>0.63397658870032592</v>
      </c>
      <c r="DN69" s="235">
        <f t="shared" ca="1" si="105"/>
        <v>0.63397658870032592</v>
      </c>
      <c r="DO69" s="242">
        <f t="shared" ca="1" si="106"/>
        <v>0.63397658870032592</v>
      </c>
      <c r="DP69" s="241">
        <f t="shared" ca="1" si="801"/>
        <v>1</v>
      </c>
      <c r="DQ69" s="220">
        <f t="shared" ca="1" si="621"/>
        <v>0.99130628513380181</v>
      </c>
      <c r="DR69" s="220">
        <f t="shared" ca="1" si="622"/>
        <v>0</v>
      </c>
      <c r="DS69" s="235">
        <f t="shared" ca="1" si="110"/>
        <v>0.61241097154247814</v>
      </c>
      <c r="DT69" s="235">
        <f t="shared" ca="1" si="111"/>
        <v>0.61241097154247814</v>
      </c>
      <c r="DU69" s="242">
        <f t="shared" ca="1" si="112"/>
        <v>0.61241097154247814</v>
      </c>
      <c r="DV69" s="241">
        <f t="shared" ca="1" si="801"/>
        <v>1</v>
      </c>
      <c r="DW69" s="220">
        <f t="shared" ca="1" si="623"/>
        <v>0.9909999714916955</v>
      </c>
      <c r="DX69" s="220">
        <f t="shared" ca="1" si="624"/>
        <v>0</v>
      </c>
      <c r="DY69" s="235">
        <f t="shared" ca="1" si="115"/>
        <v>0.59151858604084218</v>
      </c>
      <c r="DZ69" s="235">
        <f t="shared" ca="1" si="116"/>
        <v>0.59151858604084218</v>
      </c>
      <c r="EA69" s="242">
        <f t="shared" ca="1" si="117"/>
        <v>0.59151858604084218</v>
      </c>
      <c r="EB69" s="241">
        <f t="shared" ca="1" si="801"/>
        <v>1</v>
      </c>
      <c r="EC69" s="220">
        <f t="shared" ca="1" si="625"/>
        <v>0.99058474250364048</v>
      </c>
      <c r="ED69" s="220">
        <f t="shared" ca="1" si="626"/>
        <v>0</v>
      </c>
      <c r="EE69" s="235">
        <f t="shared" ca="1" si="120"/>
        <v>0.57127607705632</v>
      </c>
      <c r="EF69" s="235">
        <f t="shared" ca="1" si="121"/>
        <v>0.57127607705632</v>
      </c>
      <c r="EG69" s="242">
        <f t="shared" ca="1" si="122"/>
        <v>0.57127607705632</v>
      </c>
      <c r="EH69" s="241">
        <f t="shared" ca="1" si="801"/>
        <v>1</v>
      </c>
      <c r="EI69" s="220">
        <f t="shared" ca="1" si="627"/>
        <v>0.99005973259011348</v>
      </c>
      <c r="EJ69" s="220">
        <f t="shared" ca="1" si="628"/>
        <v>0</v>
      </c>
      <c r="EK69" s="235">
        <f t="shared" ca="1" si="125"/>
        <v>0.55166502486519819</v>
      </c>
      <c r="EL69" s="235">
        <f t="shared" ca="1" si="126"/>
        <v>0.55166502486519819</v>
      </c>
      <c r="EM69" s="242">
        <f t="shared" ca="1" si="127"/>
        <v>0.55166502486519819</v>
      </c>
      <c r="EN69" s="241">
        <f t="shared" ca="1" si="801"/>
        <v>1</v>
      </c>
      <c r="EO69" s="220">
        <f t="shared" ca="1" si="629"/>
        <v>0.98941124346526699</v>
      </c>
      <c r="EP69" s="220">
        <f t="shared" ca="1" si="630"/>
        <v>0</v>
      </c>
      <c r="EQ69" s="235">
        <f t="shared" ca="1" si="130"/>
        <v>0.53266056451585653</v>
      </c>
      <c r="ER69" s="235">
        <f t="shared" ca="1" si="131"/>
        <v>0.53266056451585653</v>
      </c>
      <c r="ES69" s="242">
        <f t="shared" ca="1" si="132"/>
        <v>0.53266056451585653</v>
      </c>
      <c r="ET69" s="241">
        <f t="shared" ca="1" si="801"/>
        <v>1</v>
      </c>
      <c r="EU69" s="220">
        <f t="shared" ca="1" si="631"/>
        <v>0.98862861917168599</v>
      </c>
      <c r="EV69" s="220">
        <f t="shared" ca="1" si="632"/>
        <v>0</v>
      </c>
      <c r="EW69" s="235">
        <f t="shared" ca="1" si="135"/>
        <v>0.51424080194137645</v>
      </c>
      <c r="EX69" s="235">
        <f t="shared" ca="1" si="136"/>
        <v>0.51424080194137645</v>
      </c>
      <c r="EY69" s="242">
        <f t="shared" ca="1" si="137"/>
        <v>0.51424080194137645</v>
      </c>
      <c r="EZ69" s="241">
        <f t="shared" ca="1" si="801"/>
        <v>1</v>
      </c>
      <c r="FA69" s="220">
        <f t="shared" ca="1" si="633"/>
        <v>0.98770524004137961</v>
      </c>
      <c r="FB69" s="220">
        <f t="shared" ca="1" si="634"/>
        <v>0</v>
      </c>
      <c r="FC69" s="235">
        <f t="shared" ca="1" si="140"/>
        <v>0.49638695751919149</v>
      </c>
      <c r="FD69" s="235">
        <f t="shared" ca="1" si="141"/>
        <v>0.49638695751919149</v>
      </c>
      <c r="FE69" s="242">
        <f t="shared" ca="1" si="142"/>
        <v>0.49638695751919149</v>
      </c>
      <c r="FF69" s="241">
        <f t="shared" ca="1" si="801"/>
        <v>1</v>
      </c>
      <c r="FG69" s="220">
        <f t="shared" ca="1" si="635"/>
        <v>0.98663357985593469</v>
      </c>
      <c r="FH69" s="220">
        <f t="shared" ca="1" si="636"/>
        <v>0</v>
      </c>
      <c r="FI69" s="235">
        <f t="shared" ca="1" si="145"/>
        <v>0.4790805581355394</v>
      </c>
      <c r="FJ69" s="235">
        <f t="shared" ca="1" si="146"/>
        <v>0.4790805581355394</v>
      </c>
      <c r="FK69" s="242">
        <f t="shared" ca="1" si="147"/>
        <v>0.4790805581355394</v>
      </c>
      <c r="FL69" s="241">
        <f t="shared" ca="1" si="801"/>
        <v>1</v>
      </c>
      <c r="FM69" s="220">
        <f t="shared" ca="1" si="637"/>
        <v>0.98542199381987161</v>
      </c>
      <c r="FN69" s="220">
        <f t="shared" ca="1" si="638"/>
        <v>0</v>
      </c>
      <c r="FO69" s="235">
        <f t="shared" ca="1" si="150"/>
        <v>0.46231134996149653</v>
      </c>
      <c r="FP69" s="235">
        <f t="shared" ca="1" si="151"/>
        <v>0.46231134996149653</v>
      </c>
      <c r="FQ69" s="242">
        <f t="shared" ca="1" si="152"/>
        <v>0.46231134996149653</v>
      </c>
      <c r="FR69" s="241">
        <f t="shared" ca="1" si="801"/>
        <v>1</v>
      </c>
      <c r="FS69" s="220">
        <f t="shared" ca="1" si="639"/>
        <v>0.98410251377014679</v>
      </c>
      <c r="FT69" s="220">
        <f t="shared" ca="1" si="640"/>
        <v>0</v>
      </c>
      <c r="FU69" s="235">
        <f t="shared" ca="1" si="155"/>
        <v>0.44607953146270346</v>
      </c>
      <c r="FV69" s="235">
        <f t="shared" ca="1" si="156"/>
        <v>0.44607953146270346</v>
      </c>
      <c r="FW69" s="242">
        <f t="shared" ca="1" si="157"/>
        <v>0.44607953146270346</v>
      </c>
      <c r="FX69" s="241">
        <f t="shared" ca="1" si="801"/>
        <v>1</v>
      </c>
      <c r="FY69" s="220">
        <f t="shared" ca="1" si="641"/>
        <v>0.98272181794332725</v>
      </c>
      <c r="FZ69" s="220">
        <f t="shared" ca="1" si="642"/>
        <v>0</v>
      </c>
      <c r="GA69" s="235">
        <f t="shared" ca="1" si="160"/>
        <v>0.43039003080199167</v>
      </c>
      <c r="GB69" s="235">
        <f t="shared" ca="1" si="161"/>
        <v>0.43039003080199167</v>
      </c>
      <c r="GC69" s="242">
        <f t="shared" ca="1" si="162"/>
        <v>0.43039003080199167</v>
      </c>
      <c r="GD69" s="241">
        <f t="shared" ca="1" si="795"/>
        <v>1</v>
      </c>
      <c r="GE69" s="220">
        <f t="shared" ca="1" si="643"/>
        <v>0.98131357757821447</v>
      </c>
      <c r="GF69" s="220">
        <f t="shared" ca="1" si="644"/>
        <v>0</v>
      </c>
      <c r="GG69" s="235">
        <f t="shared" ca="1" si="166"/>
        <v>0.41523988588198307</v>
      </c>
      <c r="GH69" s="235">
        <f t="shared" ca="1" si="167"/>
        <v>0.41523988588198307</v>
      </c>
      <c r="GI69" s="242">
        <f t="shared" ca="1" si="168"/>
        <v>0.41523988588198307</v>
      </c>
      <c r="GJ69" s="241">
        <f t="shared" ca="1" si="795"/>
        <v>1</v>
      </c>
      <c r="GK69" s="220">
        <f t="shared" ca="1" si="645"/>
        <v>0.97988969157714845</v>
      </c>
      <c r="GL69" s="220">
        <f t="shared" ca="1" si="646"/>
        <v>0</v>
      </c>
      <c r="GM69" s="235">
        <f t="shared" ca="1" si="171"/>
        <v>0.40061581913774713</v>
      </c>
      <c r="GN69" s="235">
        <f t="shared" ca="1" si="172"/>
        <v>0.40061581913774713</v>
      </c>
      <c r="GO69" s="242">
        <f t="shared" ca="1" si="173"/>
        <v>0.40061581913774713</v>
      </c>
      <c r="GP69" s="241">
        <f t="shared" ca="1" si="802"/>
        <v>1</v>
      </c>
      <c r="GQ69" s="220">
        <f t="shared" ca="1" si="647"/>
        <v>0.9784443542820721</v>
      </c>
      <c r="GR69" s="220">
        <f t="shared" ca="1" si="648"/>
        <v>0</v>
      </c>
      <c r="GS69" s="235">
        <f t="shared" ca="1" si="176"/>
        <v>0.38649749836185404</v>
      </c>
      <c r="GT69" s="235">
        <f t="shared" ca="1" si="177"/>
        <v>0.38649749836185404</v>
      </c>
      <c r="GU69" s="242">
        <f t="shared" ca="1" si="178"/>
        <v>0.38649749836185404</v>
      </c>
      <c r="GV69" s="241">
        <f t="shared" ca="1" si="802"/>
        <v>1</v>
      </c>
      <c r="GW69" s="220">
        <f t="shared" ca="1" si="649"/>
        <v>0.97697473086194042</v>
      </c>
      <c r="GX69" s="220">
        <f t="shared" ca="1" si="650"/>
        <v>0</v>
      </c>
      <c r="GY69" s="235">
        <f t="shared" ca="1" si="181"/>
        <v>0.37286664649209134</v>
      </c>
      <c r="GZ69" s="235">
        <f t="shared" ca="1" si="182"/>
        <v>0.37286664649209134</v>
      </c>
      <c r="HA69" s="242">
        <f t="shared" ca="1" si="183"/>
        <v>0.37286664649209134</v>
      </c>
      <c r="HB69" s="241">
        <f t="shared" ca="1" si="802"/>
        <v>1</v>
      </c>
      <c r="HC69" s="220">
        <f t="shared" ca="1" si="651"/>
        <v>0.97547214372587476</v>
      </c>
      <c r="HD69" s="220">
        <f t="shared" ca="1" si="652"/>
        <v>0</v>
      </c>
      <c r="HE69" s="235">
        <f t="shared" ca="1" si="186"/>
        <v>0.35970355322684694</v>
      </c>
      <c r="HF69" s="235">
        <f t="shared" ca="1" si="187"/>
        <v>0.35970355322684694</v>
      </c>
      <c r="HG69" s="242">
        <f t="shared" ca="1" si="188"/>
        <v>0.35970355322684694</v>
      </c>
      <c r="HH69" s="241">
        <f t="shared" ca="1" si="802"/>
        <v>1</v>
      </c>
      <c r="HI69" s="220">
        <f t="shared" ca="1" si="653"/>
        <v>0.9739299222666441</v>
      </c>
      <c r="HJ69" s="220">
        <f t="shared" ca="1" si="654"/>
        <v>0</v>
      </c>
      <c r="HK69" s="235">
        <f t="shared" ca="1" si="191"/>
        <v>0.34699020474318382</v>
      </c>
      <c r="HL69" s="235">
        <f t="shared" ca="1" si="192"/>
        <v>0.34699020474318382</v>
      </c>
      <c r="HM69" s="242">
        <f t="shared" ca="1" si="193"/>
        <v>0.34699020474318382</v>
      </c>
      <c r="HN69" s="241">
        <f t="shared" ca="1" si="802"/>
        <v>1</v>
      </c>
      <c r="HO69" s="220">
        <f t="shared" ca="1" si="655"/>
        <v>0.97234631221303847</v>
      </c>
      <c r="HP69" s="220">
        <f t="shared" ca="1" si="656"/>
        <v>0</v>
      </c>
      <c r="HQ69" s="235">
        <f t="shared" ca="1" si="196"/>
        <v>0.33471110982634922</v>
      </c>
      <c r="HR69" s="235">
        <f t="shared" ca="1" si="197"/>
        <v>0.33471110982634922</v>
      </c>
      <c r="HS69" s="242">
        <f t="shared" ca="1" si="198"/>
        <v>0.33471110982634922</v>
      </c>
      <c r="HT69" s="241">
        <f t="shared" ca="1" si="802"/>
        <v>1</v>
      </c>
      <c r="HU69" s="220">
        <f t="shared" ca="1" si="657"/>
        <v>0.97072346621795491</v>
      </c>
      <c r="HV69" s="220">
        <f t="shared" ca="1" si="658"/>
        <v>0</v>
      </c>
      <c r="HW69" s="235">
        <f t="shared" ca="1" si="201"/>
        <v>0.32285263476719722</v>
      </c>
      <c r="HX69" s="235">
        <f t="shared" ca="1" si="202"/>
        <v>0.32285263476719722</v>
      </c>
      <c r="HY69" s="242">
        <f t="shared" ca="1" si="203"/>
        <v>0.32285263476719722</v>
      </c>
      <c r="HZ69" s="241">
        <f t="shared" ca="1" si="802"/>
        <v>1</v>
      </c>
      <c r="IA69" s="220">
        <f t="shared" ca="1" si="659"/>
        <v>0.96906158764378969</v>
      </c>
      <c r="IB69" s="220">
        <f t="shared" ca="1" si="660"/>
        <v>0</v>
      </c>
      <c r="IC69" s="235">
        <f t="shared" ca="1" si="206"/>
        <v>0.31140088024780266</v>
      </c>
      <c r="ID69" s="235">
        <f t="shared" ca="1" si="207"/>
        <v>0.31140088024780266</v>
      </c>
      <c r="IE69" s="242">
        <f t="shared" ca="1" si="208"/>
        <v>0.31140088024780266</v>
      </c>
      <c r="IF69" s="241">
        <f t="shared" ca="1" si="802"/>
        <v>1</v>
      </c>
      <c r="IG69" s="220">
        <f t="shared" ca="1" si="661"/>
        <v>0.96736088455747493</v>
      </c>
      <c r="IH69" s="220">
        <f t="shared" ca="1" si="662"/>
        <v>0</v>
      </c>
      <c r="II69" s="235">
        <f t="shared" ca="1" si="211"/>
        <v>0.30034238811880948</v>
      </c>
      <c r="IJ69" s="235">
        <f t="shared" ca="1" si="212"/>
        <v>0.30034238811880948</v>
      </c>
      <c r="IK69" s="242">
        <f t="shared" ca="1" si="213"/>
        <v>0.30034238811880948</v>
      </c>
      <c r="IL69" s="241">
        <f t="shared" ca="1" si="802"/>
        <v>1</v>
      </c>
      <c r="IM69" s="220">
        <f t="shared" ca="1" si="663"/>
        <v>0.96561963496527148</v>
      </c>
      <c r="IN69" s="220">
        <f t="shared" ca="1" si="664"/>
        <v>0</v>
      </c>
      <c r="IO69" s="235">
        <f t="shared" ca="1" si="216"/>
        <v>0.28966354765236296</v>
      </c>
      <c r="IP69" s="235">
        <f t="shared" ca="1" si="217"/>
        <v>0.28966354765236296</v>
      </c>
      <c r="IQ69" s="242">
        <f t="shared" ca="1" si="218"/>
        <v>0.28966354765236296</v>
      </c>
      <c r="IR69" s="241">
        <f t="shared" ca="1" si="802"/>
        <v>1</v>
      </c>
      <c r="IS69" s="220">
        <f t="shared" ca="1" si="665"/>
        <v>0.96382841054241086</v>
      </c>
      <c r="IT69" s="220">
        <f t="shared" ca="1" si="666"/>
        <v>0</v>
      </c>
      <c r="IU69" s="235">
        <f t="shared" ca="1" si="222"/>
        <v>0.27934900654248102</v>
      </c>
      <c r="IV69" s="235">
        <f t="shared" ca="1" si="223"/>
        <v>0.27934900654248102</v>
      </c>
      <c r="IW69" s="242">
        <f t="shared" ca="1" si="224"/>
        <v>0.27934900654248102</v>
      </c>
      <c r="IX69" s="241">
        <f t="shared" ca="1" si="802"/>
        <v>1</v>
      </c>
      <c r="IY69" s="220">
        <f t="shared" ca="1" si="667"/>
        <v>0.9619778599941694</v>
      </c>
      <c r="IZ69" s="220">
        <f t="shared" ca="1" si="668"/>
        <v>0</v>
      </c>
      <c r="JA69" s="235">
        <f t="shared" ca="1" si="227"/>
        <v>0.26938420913035699</v>
      </c>
      <c r="JB69" s="235">
        <f t="shared" ca="1" si="228"/>
        <v>0.26938420913035699</v>
      </c>
      <c r="JC69" s="242">
        <f t="shared" ca="1" si="229"/>
        <v>0.26938420913035699</v>
      </c>
      <c r="JD69" s="241">
        <f t="shared" ca="1" si="796"/>
        <v>1</v>
      </c>
      <c r="JE69" s="220">
        <f t="shared" ca="1" si="669"/>
        <v>0.96006544800850102</v>
      </c>
      <c r="JF69" s="220">
        <f t="shared" ca="1" si="670"/>
        <v>0</v>
      </c>
      <c r="JG69" s="235">
        <f t="shared" ca="1" si="232"/>
        <v>0.25975717229237277</v>
      </c>
      <c r="JH69" s="235">
        <f t="shared" ca="1" si="233"/>
        <v>0.25975717229237277</v>
      </c>
      <c r="JI69" s="242">
        <f t="shared" ca="1" si="234"/>
        <v>0.25975717229237277</v>
      </c>
      <c r="JJ69" s="241">
        <f t="shared" ca="1" si="796"/>
        <v>1</v>
      </c>
      <c r="JK69" s="220">
        <f t="shared" ca="1" si="671"/>
        <v>0.9580877131856036</v>
      </c>
      <c r="JL69" s="220">
        <f t="shared" ca="1" si="672"/>
        <v>0</v>
      </c>
      <c r="JM69" s="235">
        <f t="shared" ca="1" si="237"/>
        <v>0.25045610871251262</v>
      </c>
      <c r="JN69" s="235">
        <f t="shared" ca="1" si="238"/>
        <v>0.25045610871251262</v>
      </c>
      <c r="JO69" s="242">
        <f t="shared" ca="1" si="239"/>
        <v>0.25045610871251262</v>
      </c>
      <c r="JP69" s="241">
        <f t="shared" ca="1" si="803"/>
        <v>1</v>
      </c>
      <c r="JQ69" s="220">
        <f t="shared" ca="1" si="673"/>
        <v>0.95603644739167326</v>
      </c>
      <c r="JR69" s="220">
        <f t="shared" ca="1" si="674"/>
        <v>0</v>
      </c>
      <c r="JS69" s="235">
        <f t="shared" ca="1" si="242"/>
        <v>0.24146848520169967</v>
      </c>
      <c r="JT69" s="235">
        <f t="shared" ca="1" si="243"/>
        <v>0.24146848520169967</v>
      </c>
      <c r="JU69" s="242">
        <f t="shared" ca="1" si="244"/>
        <v>0.24146848520169967</v>
      </c>
      <c r="JV69" s="241">
        <f t="shared" ca="1" si="803"/>
        <v>1</v>
      </c>
      <c r="JW69" s="220">
        <f t="shared" ca="1" si="675"/>
        <v>0.95389492574951584</v>
      </c>
      <c r="JX69" s="220">
        <f t="shared" ca="1" si="676"/>
        <v>0</v>
      </c>
      <c r="JY69" s="235">
        <f t="shared" ca="1" si="247"/>
        <v>0.23278028579212359</v>
      </c>
      <c r="JZ69" s="235">
        <f t="shared" ca="1" si="248"/>
        <v>0.23278028579212359</v>
      </c>
      <c r="KA69" s="242">
        <f t="shared" ca="1" si="249"/>
        <v>0.23278028579212359</v>
      </c>
      <c r="KB69" s="241">
        <f t="shared" ca="1" si="803"/>
        <v>1</v>
      </c>
      <c r="KC69" s="220">
        <f t="shared" ca="1" si="677"/>
        <v>0.95164182593489555</v>
      </c>
      <c r="KD69" s="220">
        <f t="shared" ca="1" si="678"/>
        <v>0</v>
      </c>
      <c r="KE69" s="235">
        <f t="shared" ca="1" si="252"/>
        <v>0.22437725483776094</v>
      </c>
      <c r="KF69" s="235">
        <f t="shared" ca="1" si="253"/>
        <v>0.22437725483776094</v>
      </c>
      <c r="KG69" s="242">
        <f t="shared" ca="1" si="254"/>
        <v>0.22437725483776094</v>
      </c>
      <c r="KH69" s="241">
        <f t="shared" ca="1" si="803"/>
        <v>1</v>
      </c>
      <c r="KI69" s="220">
        <f t="shared" ca="1" si="679"/>
        <v>0.94925415659362489</v>
      </c>
      <c r="KJ69" s="220">
        <f t="shared" ca="1" si="680"/>
        <v>0</v>
      </c>
      <c r="KK69" s="235">
        <f t="shared" ca="1" si="257"/>
        <v>0.21624569304866956</v>
      </c>
      <c r="KL69" s="235">
        <f t="shared" ca="1" si="258"/>
        <v>0.21624569304866956</v>
      </c>
      <c r="KM69" s="242">
        <f t="shared" ca="1" si="259"/>
        <v>0.21624569304866956</v>
      </c>
      <c r="KN69" s="241">
        <f t="shared" ca="1" si="803"/>
        <v>1</v>
      </c>
      <c r="KO69" s="220">
        <f t="shared" ca="1" si="681"/>
        <v>0.94670635843732753</v>
      </c>
      <c r="KP69" s="220">
        <f t="shared" ca="1" si="682"/>
        <v>0</v>
      </c>
      <c r="KQ69" s="235">
        <f t="shared" ca="1" si="262"/>
        <v>0.2083722604913304</v>
      </c>
      <c r="KR69" s="235">
        <f t="shared" ca="1" si="263"/>
        <v>0.2083722604913304</v>
      </c>
      <c r="KS69" s="242">
        <f t="shared" ca="1" si="264"/>
        <v>0.2083722604913304</v>
      </c>
      <c r="KT69" s="241">
        <f t="shared" ca="1" si="803"/>
        <v>1</v>
      </c>
      <c r="KU69" s="220">
        <f t="shared" ca="1" si="683"/>
        <v>0.94397037706144371</v>
      </c>
      <c r="KV69" s="220">
        <f t="shared" ca="1" si="684"/>
        <v>0</v>
      </c>
      <c r="KW69" s="235">
        <f t="shared" ca="1" si="267"/>
        <v>0.20074402382464779</v>
      </c>
      <c r="KX69" s="235">
        <f t="shared" ca="1" si="268"/>
        <v>0.20074402382464779</v>
      </c>
      <c r="KY69" s="242">
        <f t="shared" ca="1" si="269"/>
        <v>0.20074402382464779</v>
      </c>
      <c r="KZ69" s="241">
        <f t="shared" ca="1" si="803"/>
        <v>1</v>
      </c>
      <c r="LA69" s="220">
        <f t="shared" ca="1" si="685"/>
        <v>0.94102424551463493</v>
      </c>
      <c r="LB69" s="220">
        <f t="shared" ca="1" si="686"/>
        <v>0</v>
      </c>
      <c r="LC69" s="235">
        <f t="shared" ca="1" si="272"/>
        <v>0.19335024321380778</v>
      </c>
      <c r="LD69" s="235">
        <f t="shared" ca="1" si="273"/>
        <v>0.19335024321380778</v>
      </c>
      <c r="LE69" s="242">
        <f t="shared" ca="1" si="274"/>
        <v>0.19335024321380778</v>
      </c>
      <c r="LF69" s="241">
        <f t="shared" ca="1" si="803"/>
        <v>1</v>
      </c>
      <c r="LG69" s="220">
        <f t="shared" ca="1" si="687"/>
        <v>0.93783793741932242</v>
      </c>
      <c r="LH69" s="220">
        <f t="shared" ca="1" si="688"/>
        <v>0</v>
      </c>
      <c r="LI69" s="235">
        <f t="shared" ca="1" si="278"/>
        <v>0.18617928433844047</v>
      </c>
      <c r="LJ69" s="235">
        <f t="shared" ca="1" si="279"/>
        <v>0.18617928433844047</v>
      </c>
      <c r="LK69" s="242">
        <f t="shared" ca="1" si="280"/>
        <v>0.18617928433844047</v>
      </c>
      <c r="LL69" s="241">
        <f t="shared" ca="1" si="803"/>
        <v>1</v>
      </c>
      <c r="LM69" s="220">
        <f t="shared" ca="1" si="689"/>
        <v>0.93436137218530901</v>
      </c>
      <c r="LN69" s="220">
        <f t="shared" ca="1" si="690"/>
        <v>0</v>
      </c>
      <c r="LO69" s="235">
        <f t="shared" ca="1" si="283"/>
        <v>0.17921653887091585</v>
      </c>
      <c r="LP69" s="235">
        <f t="shared" ca="1" si="284"/>
        <v>0.17921653887091585</v>
      </c>
      <c r="LQ69" s="242">
        <f t="shared" ca="1" si="285"/>
        <v>0.17921653887091585</v>
      </c>
      <c r="LR69" s="241">
        <f t="shared" ca="1" si="803"/>
        <v>1</v>
      </c>
      <c r="LS69" s="220">
        <f t="shared" ca="1" si="691"/>
        <v>0.93053889981169891</v>
      </c>
      <c r="LT69" s="220">
        <f t="shared" ca="1" si="692"/>
        <v>0</v>
      </c>
      <c r="LU69" s="235">
        <f t="shared" ca="1" si="288"/>
        <v>0.17244769469603377</v>
      </c>
      <c r="LV69" s="235">
        <f t="shared" ca="1" si="289"/>
        <v>0.17244769469603377</v>
      </c>
      <c r="LW69" s="242">
        <f t="shared" ca="1" si="290"/>
        <v>0.17244769469603377</v>
      </c>
      <c r="LX69" s="241">
        <f t="shared" ca="1" si="803"/>
        <v>1</v>
      </c>
      <c r="LY69" s="220">
        <f t="shared" ca="1" si="693"/>
        <v>0.92632262805665211</v>
      </c>
      <c r="LZ69" s="220">
        <f t="shared" ca="1" si="694"/>
        <v>0</v>
      </c>
      <c r="MA69" s="235">
        <f t="shared" ca="1" si="293"/>
        <v>0.16586119245542613</v>
      </c>
      <c r="MB69" s="235">
        <f t="shared" ca="1" si="294"/>
        <v>0.16586119245542613</v>
      </c>
      <c r="MC69" s="242">
        <f t="shared" ca="1" si="295"/>
        <v>0.16586119245542613</v>
      </c>
      <c r="MD69" s="241">
        <f t="shared" ca="1" si="797"/>
        <v>1</v>
      </c>
      <c r="ME69" s="220">
        <f t="shared" ca="1" si="695"/>
        <v>0.92167897272220412</v>
      </c>
      <c r="MF69" s="220">
        <f t="shared" ca="1" si="696"/>
        <v>0</v>
      </c>
      <c r="MG69" s="235">
        <f t="shared" ca="1" si="298"/>
        <v>0.15944901478033538</v>
      </c>
      <c r="MH69" s="235">
        <f t="shared" ca="1" si="299"/>
        <v>0.15944901478033538</v>
      </c>
      <c r="MI69" s="242">
        <f t="shared" ca="1" si="300"/>
        <v>0.15944901478033538</v>
      </c>
      <c r="MJ69" s="241">
        <f t="shared" ca="1" si="797"/>
        <v>1</v>
      </c>
      <c r="MK69" s="220">
        <f t="shared" ca="1" si="697"/>
        <v>0.91658761807688671</v>
      </c>
      <c r="ML69" s="220">
        <f t="shared" ca="1" si="698"/>
        <v>0</v>
      </c>
      <c r="MM69" s="235">
        <f t="shared" ca="1" si="303"/>
        <v>0.15320600813786359</v>
      </c>
      <c r="MN69" s="235">
        <f t="shared" ca="1" si="304"/>
        <v>0.15320600813786359</v>
      </c>
      <c r="MO69" s="242">
        <f t="shared" ca="1" si="305"/>
        <v>0.15320600813786359</v>
      </c>
      <c r="MP69" s="241">
        <f t="shared" ca="1" si="804"/>
        <v>1</v>
      </c>
      <c r="MQ69" s="220">
        <f t="shared" ca="1" si="699"/>
        <v>0.91103401369895887</v>
      </c>
      <c r="MR69" s="220">
        <f t="shared" ca="1" si="700"/>
        <v>0</v>
      </c>
      <c r="MS69" s="235">
        <f t="shared" ca="1" si="308"/>
        <v>0.1471282443812138</v>
      </c>
      <c r="MT69" s="235">
        <f t="shared" ca="1" si="309"/>
        <v>0.1471282443812138</v>
      </c>
      <c r="MU69" s="242">
        <f t="shared" ca="1" si="310"/>
        <v>0.1471282443812138</v>
      </c>
      <c r="MV69" s="241">
        <f t="shared" ca="1" si="804"/>
        <v>1</v>
      </c>
      <c r="MW69" s="220">
        <f t="shared" ca="1" si="701"/>
        <v>0.90501116783439506</v>
      </c>
      <c r="MX69" s="220">
        <f t="shared" ca="1" si="702"/>
        <v>0</v>
      </c>
      <c r="MY69" s="235">
        <f t="shared" ca="1" si="313"/>
        <v>0.14121312034551653</v>
      </c>
      <c r="MZ69" s="235">
        <f t="shared" ca="1" si="314"/>
        <v>0.14121312034551653</v>
      </c>
      <c r="NA69" s="242">
        <f t="shared" ca="1" si="315"/>
        <v>0.14121312034551653</v>
      </c>
      <c r="NB69" s="241">
        <f t="shared" ca="1" si="804"/>
        <v>1</v>
      </c>
      <c r="NC69" s="220">
        <f t="shared" ca="1" si="703"/>
        <v>0.89850685257116925</v>
      </c>
      <c r="ND69" s="220">
        <f t="shared" ca="1" si="704"/>
        <v>0</v>
      </c>
      <c r="NE69" s="235">
        <f t="shared" ca="1" si="318"/>
        <v>0.13545721898511429</v>
      </c>
      <c r="NF69" s="235">
        <f t="shared" ca="1" si="319"/>
        <v>0.13545721898511429</v>
      </c>
      <c r="NG69" s="242">
        <f t="shared" ca="1" si="320"/>
        <v>0.13545721898511429</v>
      </c>
      <c r="NH69" s="241">
        <f t="shared" ca="1" si="804"/>
        <v>1</v>
      </c>
      <c r="NI69" s="220">
        <f t="shared" ca="1" si="705"/>
        <v>0.89149849912111412</v>
      </c>
      <c r="NJ69" s="220">
        <f t="shared" ca="1" si="706"/>
        <v>0</v>
      </c>
      <c r="NK69" s="235">
        <f t="shared" ca="1" si="323"/>
        <v>0.12985570306959462</v>
      </c>
      <c r="NL69" s="235">
        <f t="shared" ca="1" si="324"/>
        <v>0.12985570306959462</v>
      </c>
      <c r="NM69" s="242">
        <f t="shared" ca="1" si="325"/>
        <v>0.12985570306959462</v>
      </c>
      <c r="NN69" s="241">
        <f t="shared" ca="1" si="804"/>
        <v>1</v>
      </c>
      <c r="NO69" s="220">
        <f t="shared" ca="1" si="707"/>
        <v>0.88395998781254592</v>
      </c>
      <c r="NP69" s="220">
        <f t="shared" ca="1" si="708"/>
        <v>0</v>
      </c>
      <c r="NQ69" s="235">
        <f t="shared" ca="1" si="328"/>
        <v>0.12440352004293539</v>
      </c>
      <c r="NR69" s="235">
        <f t="shared" ca="1" si="329"/>
        <v>0.12440352004293539</v>
      </c>
      <c r="NS69" s="242">
        <f t="shared" ca="1" si="330"/>
        <v>0.12440352004293539</v>
      </c>
      <c r="NT69" s="241">
        <f t="shared" ca="1" si="804"/>
        <v>1</v>
      </c>
      <c r="NU69" s="220">
        <f t="shared" ca="1" si="709"/>
        <v>0.87587705768398794</v>
      </c>
      <c r="NV69" s="220">
        <f t="shared" ca="1" si="710"/>
        <v>0</v>
      </c>
      <c r="NW69" s="235">
        <f t="shared" ca="1" si="334"/>
        <v>0.11909755966730703</v>
      </c>
      <c r="NX69" s="235">
        <f t="shared" ca="1" si="335"/>
        <v>0.11909755966730703</v>
      </c>
      <c r="NY69" s="242">
        <f t="shared" ca="1" si="336"/>
        <v>0.11909755966730703</v>
      </c>
      <c r="NZ69" s="241">
        <f t="shared" ca="1" si="804"/>
        <v>1</v>
      </c>
      <c r="OA69" s="220">
        <f t="shared" ca="1" si="711"/>
        <v>0.86723653050993543</v>
      </c>
      <c r="OB69" s="220">
        <f t="shared" ca="1" si="712"/>
        <v>0</v>
      </c>
      <c r="OC69" s="235">
        <f t="shared" ca="1" si="339"/>
        <v>0.11393493936346769</v>
      </c>
      <c r="OD69" s="235">
        <f t="shared" ca="1" si="340"/>
        <v>0.11393493936346769</v>
      </c>
      <c r="OE69" s="242">
        <f t="shared" ca="1" si="341"/>
        <v>0.11393493936346769</v>
      </c>
      <c r="OF69" s="241">
        <f t="shared" ca="1" si="804"/>
        <v>1</v>
      </c>
      <c r="OG69" s="220">
        <f t="shared" ca="1" si="713"/>
        <v>0.85802474408285889</v>
      </c>
      <c r="OH69" s="220">
        <f t="shared" ca="1" si="714"/>
        <v>0</v>
      </c>
      <c r="OI69" s="235">
        <f t="shared" ca="1" si="344"/>
        <v>0.10891277530197965</v>
      </c>
      <c r="OJ69" s="235">
        <f t="shared" ca="1" si="345"/>
        <v>0.10891277530197965</v>
      </c>
      <c r="OK69" s="242">
        <f t="shared" ca="1" si="346"/>
        <v>0.10891277530197965</v>
      </c>
      <c r="OL69" s="241">
        <f t="shared" ca="1" si="804"/>
        <v>1</v>
      </c>
      <c r="OM69" s="220">
        <f t="shared" ca="1" si="715"/>
        <v>0.84819349656515752</v>
      </c>
      <c r="ON69" s="220">
        <f t="shared" ca="1" si="716"/>
        <v>0</v>
      </c>
      <c r="OO69" s="235">
        <f t="shared" ca="1" si="349"/>
        <v>0.10402401229233778</v>
      </c>
      <c r="OP69" s="235">
        <f t="shared" ca="1" si="350"/>
        <v>0.10402401229233778</v>
      </c>
      <c r="OQ69" s="242">
        <f t="shared" ca="1" si="351"/>
        <v>0.10402401229233778</v>
      </c>
      <c r="OR69" s="241">
        <f t="shared" ca="1" si="804"/>
        <v>1</v>
      </c>
      <c r="OS69" s="220">
        <f t="shared" ca="1" si="717"/>
        <v>0.83771830688257787</v>
      </c>
      <c r="OT69" s="220">
        <f t="shared" ca="1" si="718"/>
        <v>0</v>
      </c>
      <c r="OU69" s="235">
        <f t="shared" ca="1" si="354"/>
        <v>9.9265039362828419E-2</v>
      </c>
      <c r="OV69" s="235">
        <f t="shared" ca="1" si="355"/>
        <v>9.9265039362828419E-2</v>
      </c>
      <c r="OW69" s="242">
        <f t="shared" ca="1" si="356"/>
        <v>9.9265039362828419E-2</v>
      </c>
      <c r="OX69" s="241">
        <f t="shared" ca="1" si="804"/>
        <v>1</v>
      </c>
      <c r="OY69" s="220">
        <f t="shared" ca="1" si="719"/>
        <v>0.82663110509098692</v>
      </c>
      <c r="OZ69" s="220">
        <f t="shared" ca="1" si="720"/>
        <v>0</v>
      </c>
      <c r="PA69" s="235">
        <f t="shared" ca="1" si="359"/>
        <v>9.4638904895518239E-2</v>
      </c>
      <c r="PB69" s="235">
        <f t="shared" ca="1" si="360"/>
        <v>9.4638904895518239E-2</v>
      </c>
      <c r="PC69" s="242">
        <f t="shared" ca="1" si="361"/>
        <v>9.4638904895518239E-2</v>
      </c>
      <c r="PD69" s="241">
        <f t="shared" ca="1" si="798"/>
        <v>1</v>
      </c>
      <c r="PE69" s="220">
        <f t="shared" ca="1" si="721"/>
        <v>0.81497808640251923</v>
      </c>
      <c r="PF69" s="220">
        <f t="shared" ca="1" si="722"/>
        <v>0</v>
      </c>
      <c r="PG69" s="235">
        <f t="shared" ca="1" si="364"/>
        <v>9.0149546138363415E-2</v>
      </c>
      <c r="PH69" s="235">
        <f t="shared" ca="1" si="365"/>
        <v>9.0149546138363415E-2</v>
      </c>
      <c r="PI69" s="242">
        <f t="shared" ca="1" si="366"/>
        <v>9.0149546138363415E-2</v>
      </c>
      <c r="PJ69" s="241">
        <f t="shared" ca="1" si="798"/>
        <v>1</v>
      </c>
      <c r="PK69" s="220">
        <f t="shared" ca="1" si="723"/>
        <v>0.80277052964629592</v>
      </c>
      <c r="PL69" s="220">
        <f t="shared" ca="1" si="724"/>
        <v>0</v>
      </c>
      <c r="PM69" s="235">
        <f t="shared" ca="1" si="369"/>
        <v>8.5796324721504238E-2</v>
      </c>
      <c r="PN69" s="235">
        <f t="shared" ca="1" si="370"/>
        <v>8.5796324721504238E-2</v>
      </c>
      <c r="PO69" s="242">
        <f t="shared" ca="1" si="371"/>
        <v>8.5796324721504238E-2</v>
      </c>
      <c r="PP69" s="241">
        <f t="shared" ca="1" si="805"/>
        <v>1</v>
      </c>
      <c r="PQ69" s="220">
        <f t="shared" ca="1" si="725"/>
        <v>0.78995269259943357</v>
      </c>
      <c r="PR69" s="220">
        <f t="shared" ca="1" si="726"/>
        <v>0</v>
      </c>
      <c r="PS69" s="235">
        <f t="shared" ca="1" si="374"/>
        <v>8.1571415270218356E-2</v>
      </c>
      <c r="PT69" s="235">
        <f t="shared" ca="1" si="375"/>
        <v>8.1571415270218356E-2</v>
      </c>
      <c r="PU69" s="242">
        <f t="shared" ca="1" si="376"/>
        <v>8.1571415270218356E-2</v>
      </c>
      <c r="PV69" s="241">
        <f t="shared" ca="1" si="805"/>
        <v>1</v>
      </c>
      <c r="PW69" s="220">
        <f t="shared" ca="1" si="727"/>
        <v>0.77643739198174988</v>
      </c>
      <c r="PX69" s="220">
        <f t="shared" ca="1" si="728"/>
        <v>0</v>
      </c>
      <c r="PY69" s="235">
        <f t="shared" ca="1" si="379"/>
        <v>7.7464550653488104E-2</v>
      </c>
      <c r="PZ69" s="235">
        <f t="shared" ca="1" si="380"/>
        <v>7.7464550653488104E-2</v>
      </c>
      <c r="QA69" s="242">
        <f t="shared" ca="1" si="381"/>
        <v>7.7464550653488104E-2</v>
      </c>
      <c r="QB69" s="241">
        <f t="shared" ca="1" si="805"/>
        <v>1</v>
      </c>
      <c r="QC69" s="220">
        <f t="shared" ca="1" si="729"/>
        <v>0.76215715546842155</v>
      </c>
      <c r="QD69" s="220">
        <f t="shared" ca="1" si="730"/>
        <v>0</v>
      </c>
      <c r="QE69" s="235">
        <f t="shared" ca="1" si="384"/>
        <v>7.3468427669438799E-2</v>
      </c>
      <c r="QF69" s="235">
        <f t="shared" ca="1" si="385"/>
        <v>7.3468427669438799E-2</v>
      </c>
      <c r="QG69" s="242">
        <f t="shared" ca="1" si="386"/>
        <v>7.3468427669438799E-2</v>
      </c>
      <c r="QH69" s="241">
        <f t="shared" ca="1" si="805"/>
        <v>1</v>
      </c>
      <c r="QI69" s="220">
        <f t="shared" ca="1" si="731"/>
        <v>0.74703900613254992</v>
      </c>
      <c r="QJ69" s="220">
        <f t="shared" ca="1" si="732"/>
        <v>0</v>
      </c>
      <c r="QK69" s="235">
        <f t="shared" ca="1" si="390"/>
        <v>6.9575949698732195E-2</v>
      </c>
      <c r="QL69" s="235">
        <f t="shared" ca="1" si="391"/>
        <v>6.9575949698732195E-2</v>
      </c>
      <c r="QM69" s="242">
        <f t="shared" ca="1" si="392"/>
        <v>6.9575949698732195E-2</v>
      </c>
      <c r="QN69" s="241">
        <f t="shared" ca="1" si="805"/>
        <v>1</v>
      </c>
      <c r="QO69" s="220">
        <f t="shared" ca="1" si="733"/>
        <v>0.73100381386591473</v>
      </c>
      <c r="QP69" s="220">
        <f t="shared" ca="1" si="734"/>
        <v>0</v>
      </c>
      <c r="QQ69" s="235">
        <f t="shared" ca="1" si="395"/>
        <v>6.5780195109612458E-2</v>
      </c>
      <c r="QR69" s="235">
        <f t="shared" ca="1" si="396"/>
        <v>6.5780195109612458E-2</v>
      </c>
      <c r="QS69" s="242">
        <f t="shared" ca="1" si="397"/>
        <v>6.5780195109612458E-2</v>
      </c>
      <c r="QT69" s="241">
        <f t="shared" ca="1" si="805"/>
        <v>1</v>
      </c>
      <c r="QU69" s="220">
        <f t="shared" ca="1" si="735"/>
        <v>0.71393414380833176</v>
      </c>
      <c r="QV69" s="220">
        <f t="shared" ca="1" si="736"/>
        <v>0</v>
      </c>
      <c r="QW69" s="235">
        <f t="shared" ca="1" si="400"/>
        <v>6.2071653887543876E-2</v>
      </c>
      <c r="QX69" s="235">
        <f t="shared" ca="1" si="401"/>
        <v>6.2071653887543876E-2</v>
      </c>
      <c r="QY69" s="242">
        <f t="shared" ca="1" si="402"/>
        <v>6.2071653887543876E-2</v>
      </c>
      <c r="QZ69" s="241">
        <f t="shared" ca="1" si="805"/>
        <v>1</v>
      </c>
      <c r="RA69" s="220">
        <f t="shared" ca="1" si="737"/>
        <v>0.69574167395580788</v>
      </c>
      <c r="RB69" s="220">
        <f t="shared" ca="1" si="738"/>
        <v>0</v>
      </c>
      <c r="RC69" s="235">
        <f t="shared" ca="1" si="405"/>
        <v>5.8444390341238162E-2</v>
      </c>
      <c r="RD69" s="235">
        <f t="shared" ca="1" si="406"/>
        <v>5.8444390341238162E-2</v>
      </c>
      <c r="RE69" s="242">
        <f t="shared" ca="1" si="407"/>
        <v>5.8444390341238162E-2</v>
      </c>
      <c r="RF69" s="241">
        <f t="shared" ca="1" si="805"/>
        <v>1</v>
      </c>
      <c r="RG69" s="220">
        <f t="shared" ca="1" si="739"/>
        <v>0.67640422986988014</v>
      </c>
      <c r="RH69" s="220">
        <f t="shared" ca="1" si="740"/>
        <v>0</v>
      </c>
      <c r="RI69" s="235">
        <f t="shared" ca="1" si="410"/>
        <v>5.4898538121829751E-2</v>
      </c>
      <c r="RJ69" s="235">
        <f t="shared" ca="1" si="411"/>
        <v>5.4898538121829751E-2</v>
      </c>
      <c r="RK69" s="242">
        <f t="shared" ca="1" si="412"/>
        <v>5.4898538121829751E-2</v>
      </c>
      <c r="RL69" s="241">
        <f t="shared" ca="1" si="805"/>
        <v>1</v>
      </c>
      <c r="RM69" s="220">
        <f t="shared" ca="1" si="741"/>
        <v>0.65592135698096043</v>
      </c>
      <c r="RN69" s="220">
        <f t="shared" ca="1" si="742"/>
        <v>0</v>
      </c>
      <c r="RO69" s="235">
        <f t="shared" ca="1" si="415"/>
        <v>5.1435845981086484E-2</v>
      </c>
      <c r="RP69" s="235">
        <f t="shared" ca="1" si="416"/>
        <v>5.1435845981086484E-2</v>
      </c>
      <c r="RQ69" s="242">
        <f t="shared" ca="1" si="417"/>
        <v>5.1435845981086484E-2</v>
      </c>
      <c r="RR69" s="241">
        <f t="shared" ca="1" si="805"/>
        <v>1</v>
      </c>
      <c r="RS69" s="220">
        <f t="shared" ca="1" si="743"/>
        <v>0.63426152193073515</v>
      </c>
      <c r="RT69" s="220">
        <f t="shared" ca="1" si="744"/>
        <v>0</v>
      </c>
      <c r="RU69" s="235">
        <f t="shared" ca="1" si="420"/>
        <v>4.8055392729564286E-2</v>
      </c>
      <c r="RV69" s="235">
        <f t="shared" ca="1" si="421"/>
        <v>4.8055392729564286E-2</v>
      </c>
      <c r="RW69" s="242">
        <f t="shared" ca="1" si="422"/>
        <v>4.8055392729564286E-2</v>
      </c>
      <c r="RX69" s="241">
        <f t="shared" ca="1" si="805"/>
        <v>1</v>
      </c>
      <c r="RY69" s="220">
        <f t="shared" ca="1" si="745"/>
        <v>0.61130062057532053</v>
      </c>
      <c r="RZ69" s="220">
        <f t="shared" ca="1" si="746"/>
        <v>0</v>
      </c>
      <c r="SA69" s="235">
        <f t="shared" ca="1" si="425"/>
        <v>4.4749506722088245E-2</v>
      </c>
      <c r="SB69" s="235">
        <f t="shared" ca="1" si="426"/>
        <v>4.4749506722088245E-2</v>
      </c>
      <c r="SC69" s="242">
        <f t="shared" ca="1" si="427"/>
        <v>4.4749506722088245E-2</v>
      </c>
      <c r="SD69" s="241">
        <f t="shared" ca="1" si="799"/>
        <v>1</v>
      </c>
      <c r="SE69" s="220">
        <f t="shared" ca="1" si="747"/>
        <v>0.58693540044042947</v>
      </c>
      <c r="SF69" s="220">
        <f t="shared" ca="1" si="748"/>
        <v>0</v>
      </c>
      <c r="SG69" s="235">
        <f t="shared" ca="1" si="430"/>
        <v>4.1512928389525854E-2</v>
      </c>
      <c r="SH69" s="235">
        <f t="shared" ca="1" si="431"/>
        <v>4.1512928389525854E-2</v>
      </c>
      <c r="SI69" s="242">
        <f t="shared" ca="1" si="432"/>
        <v>4.1512928389525854E-2</v>
      </c>
      <c r="SJ69" s="241">
        <f t="shared" ca="1" si="799"/>
        <v>1</v>
      </c>
      <c r="SK69" s="220">
        <f t="shared" ca="1" si="749"/>
        <v>0.56117421877969853</v>
      </c>
      <c r="SL69" s="220">
        <f t="shared" ca="1" si="750"/>
        <v>0</v>
      </c>
      <c r="SM69" s="235">
        <f t="shared" ca="1" si="435"/>
        <v>3.8348680627614658E-2</v>
      </c>
      <c r="SN69" s="235">
        <f t="shared" ca="1" si="436"/>
        <v>3.8348680627614658E-2</v>
      </c>
      <c r="SO69" s="242">
        <f t="shared" ca="1" si="437"/>
        <v>3.8348680627614658E-2</v>
      </c>
      <c r="SP69" s="241">
        <f t="shared" ca="1" si="808"/>
        <v>1</v>
      </c>
      <c r="SQ69" s="220">
        <f t="shared" ca="1" si="751"/>
        <v>0.5340633310962325</v>
      </c>
      <c r="SR69" s="220">
        <f t="shared" ca="1" si="752"/>
        <v>0</v>
      </c>
      <c r="SS69" s="235">
        <f t="shared" ca="1" si="440"/>
        <v>3.5261852674216394E-2</v>
      </c>
      <c r="ST69" s="235">
        <f t="shared" ca="1" si="441"/>
        <v>3.5261852674216394E-2</v>
      </c>
      <c r="SU69" s="242">
        <f t="shared" ca="1" si="442"/>
        <v>3.5261852674216394E-2</v>
      </c>
      <c r="SV69" s="241">
        <f t="shared" ca="1" si="808"/>
        <v>1</v>
      </c>
      <c r="SW69" s="220">
        <f t="shared" ca="1" si="753"/>
        <v>0.50563620810864218</v>
      </c>
      <c r="SX69" s="220">
        <f t="shared" ca="1" si="754"/>
        <v>0</v>
      </c>
      <c r="SY69" s="235">
        <f t="shared" ca="1" si="446"/>
        <v>3.2255975632920972E-2</v>
      </c>
      <c r="SZ69" s="235">
        <f t="shared" ca="1" si="447"/>
        <v>3.2255975632920972E-2</v>
      </c>
      <c r="TA69" s="242">
        <f t="shared" ca="1" si="448"/>
        <v>3.2255975632920972E-2</v>
      </c>
      <c r="TB69" s="241">
        <f t="shared" ca="1" si="808"/>
        <v>1</v>
      </c>
      <c r="TC69" s="220">
        <f t="shared" ca="1" si="755"/>
        <v>0.47585575235966748</v>
      </c>
      <c r="TD69" s="220">
        <f t="shared" ca="1" si="756"/>
        <v>0</v>
      </c>
      <c r="TE69" s="235">
        <f t="shared" ca="1" si="451"/>
        <v>2.9329657426153458E-2</v>
      </c>
      <c r="TF69" s="235">
        <f t="shared" ca="1" si="452"/>
        <v>2.9329657426153458E-2</v>
      </c>
      <c r="TG69" s="242">
        <f t="shared" ca="1" si="453"/>
        <v>2.9329657426153458E-2</v>
      </c>
      <c r="TH69" s="241">
        <f t="shared" ca="1" si="808"/>
        <v>1</v>
      </c>
      <c r="TI69" s="220">
        <f t="shared" ca="1" si="757"/>
        <v>0.4447514411066778</v>
      </c>
      <c r="TJ69" s="220">
        <f t="shared" ca="1" si="758"/>
        <v>0</v>
      </c>
      <c r="TK69" s="235">
        <f t="shared" ca="1" si="456"/>
        <v>2.6485530790814431E-2</v>
      </c>
      <c r="TL69" s="235">
        <f t="shared" ca="1" si="457"/>
        <v>2.6485530790814431E-2</v>
      </c>
      <c r="TM69" s="242">
        <f t="shared" ca="1" si="458"/>
        <v>2.6485530790814431E-2</v>
      </c>
      <c r="TN69" s="241">
        <f t="shared" ca="1" si="808"/>
        <v>1</v>
      </c>
      <c r="TO69" s="220">
        <f t="shared" ca="1" si="759"/>
        <v>0.41251096438941365</v>
      </c>
      <c r="TP69" s="220">
        <f t="shared" ca="1" si="760"/>
        <v>0</v>
      </c>
      <c r="TQ69" s="235">
        <f t="shared" ca="1" si="461"/>
        <v>2.3734848481408222E-2</v>
      </c>
      <c r="TR69" s="235">
        <f t="shared" ca="1" si="462"/>
        <v>2.3734848481408222E-2</v>
      </c>
      <c r="TS69" s="242">
        <f t="shared" ca="1" si="463"/>
        <v>2.3734848481408222E-2</v>
      </c>
      <c r="TT69" s="241">
        <f t="shared" ca="1" si="808"/>
        <v>1</v>
      </c>
      <c r="TU69" s="220">
        <f t="shared" ca="1" si="761"/>
        <v>0.37939128408051637</v>
      </c>
      <c r="TV69" s="220">
        <f t="shared" ca="1" si="762"/>
        <v>0</v>
      </c>
      <c r="TW69" s="235">
        <f t="shared" ca="1" si="466"/>
        <v>2.1091038615007652E-2</v>
      </c>
      <c r="TX69" s="235">
        <f t="shared" ca="1" si="467"/>
        <v>2.1091038615007652E-2</v>
      </c>
      <c r="TY69" s="242">
        <f t="shared" ca="1" si="468"/>
        <v>2.1091038615007652E-2</v>
      </c>
      <c r="TZ69" s="241">
        <f t="shared" ca="1" si="808"/>
        <v>1</v>
      </c>
      <c r="UA69" s="220">
        <f t="shared" ca="1" si="763"/>
        <v>0.34565732866521315</v>
      </c>
      <c r="UB69" s="220">
        <f t="shared" ca="1" si="764"/>
        <v>0</v>
      </c>
      <c r="UC69" s="235">
        <f t="shared" ca="1" si="471"/>
        <v>1.8565901280691431E-2</v>
      </c>
      <c r="UD69" s="235">
        <f t="shared" ca="1" si="472"/>
        <v>1.8565901280691431E-2</v>
      </c>
      <c r="UE69" s="242">
        <f t="shared" ca="1" si="473"/>
        <v>1.8565901280691431E-2</v>
      </c>
      <c r="UF69" s="241">
        <f t="shared" ca="1" si="808"/>
        <v>1</v>
      </c>
      <c r="UG69" s="220">
        <f t="shared" ca="1" si="765"/>
        <v>0.31158381183471112</v>
      </c>
      <c r="UH69" s="220">
        <f t="shared" ca="1" si="766"/>
        <v>0</v>
      </c>
      <c r="UI69" s="235">
        <f t="shared" ca="1" si="476"/>
        <v>1.6169805793281151E-2</v>
      </c>
      <c r="UJ69" s="235">
        <f t="shared" ca="1" si="477"/>
        <v>1.6169805793281151E-2</v>
      </c>
      <c r="UK69" s="242">
        <f t="shared" ca="1" si="478"/>
        <v>1.6169805793281151E-2</v>
      </c>
      <c r="UL69" s="241">
        <f t="shared" ca="1" si="808"/>
        <v>1</v>
      </c>
      <c r="UM69" s="220">
        <f t="shared" ca="1" si="767"/>
        <v>0.27748470263514402</v>
      </c>
      <c r="UN69" s="220">
        <f t="shared" ca="1" si="768"/>
        <v>0</v>
      </c>
      <c r="UO69" s="235">
        <f t="shared" ca="1" si="481"/>
        <v>1.3913250808575896E-2</v>
      </c>
      <c r="UP69" s="235">
        <f t="shared" ca="1" si="482"/>
        <v>1.3913250808575896E-2</v>
      </c>
      <c r="UQ69" s="242">
        <f t="shared" ca="1" si="483"/>
        <v>1.3913250808575896E-2</v>
      </c>
      <c r="UR69" s="241">
        <f t="shared" ca="1" si="808"/>
        <v>1</v>
      </c>
      <c r="US69" s="220">
        <f t="shared" ca="1" si="769"/>
        <v>0.24373729058536042</v>
      </c>
      <c r="UT69" s="220">
        <f t="shared" ca="1" si="770"/>
        <v>0</v>
      </c>
      <c r="UU69" s="235">
        <f t="shared" ca="1" si="486"/>
        <v>1.1807860056509861E-2</v>
      </c>
      <c r="UV69" s="235">
        <f t="shared" ca="1" si="487"/>
        <v>1.1807860056509861E-2</v>
      </c>
      <c r="UW69" s="242">
        <f t="shared" ca="1" si="488"/>
        <v>1.1807860056509861E-2</v>
      </c>
      <c r="UX69" s="241">
        <f t="shared" ca="1" si="808"/>
        <v>1</v>
      </c>
      <c r="UY69" s="220">
        <f t="shared" ca="1" si="771"/>
        <v>0.21078985859319374</v>
      </c>
      <c r="UZ69" s="220">
        <f t="shared" ca="1" si="772"/>
        <v>0</v>
      </c>
      <c r="VA69" s="235">
        <f t="shared" ca="1" si="491"/>
        <v>9.866396874889936E-3</v>
      </c>
      <c r="VB69" s="235">
        <f t="shared" ca="1" si="492"/>
        <v>9.866396874889936E-3</v>
      </c>
      <c r="VC69" s="242">
        <f t="shared" ca="1" si="493"/>
        <v>9.866396874889936E-3</v>
      </c>
      <c r="VD69" s="241">
        <f t="shared" ca="1" si="806"/>
        <v>1</v>
      </c>
      <c r="VE69" s="220">
        <f t="shared" ca="1" si="773"/>
        <v>0.17914840370962801</v>
      </c>
      <c r="VF69" s="220">
        <f t="shared" ca="1" si="774"/>
        <v>0</v>
      </c>
      <c r="VG69" s="235">
        <f t="shared" ca="1" si="496"/>
        <v>8.1017989433788233E-3</v>
      </c>
      <c r="VH69" s="235">
        <f t="shared" ca="1" si="497"/>
        <v>8.1017989433788233E-3</v>
      </c>
      <c r="VI69" s="242">
        <f t="shared" ca="1" si="498"/>
        <v>8.1017989433788233E-3</v>
      </c>
      <c r="VJ69" s="241">
        <f t="shared" ca="1" si="806"/>
        <v>1</v>
      </c>
      <c r="VK69" s="220">
        <f t="shared" ca="1" si="775"/>
        <v>0.14933864677755704</v>
      </c>
      <c r="VL69" s="220">
        <f t="shared" ca="1" si="776"/>
        <v>0</v>
      </c>
      <c r="VM69" s="235">
        <f t="shared" ca="1" si="502"/>
        <v>6.5252984585482295E-3</v>
      </c>
      <c r="VN69" s="235">
        <f t="shared" ca="1" si="503"/>
        <v>6.5252984585482295E-3</v>
      </c>
      <c r="VO69" s="242">
        <f t="shared" ca="1" si="504"/>
        <v>6.5252984585482295E-3</v>
      </c>
      <c r="VP69" s="241">
        <f t="shared" ca="1" si="567"/>
        <v>1</v>
      </c>
      <c r="VQ69" s="220">
        <f t="shared" ca="1" si="777"/>
        <v>0.12186078378642688</v>
      </c>
      <c r="VR69" s="220">
        <f t="shared" ca="1" si="778"/>
        <v>0</v>
      </c>
      <c r="VS69" s="235">
        <f t="shared" ca="1" si="507"/>
        <v>5.1446020464451514E-3</v>
      </c>
      <c r="VT69" s="235">
        <f t="shared" ca="1" si="508"/>
        <v>5.1446020464451514E-3</v>
      </c>
      <c r="VU69" s="242">
        <f t="shared" ca="1" si="509"/>
        <v>5.1446020464451514E-3</v>
      </c>
      <c r="VV69" s="241">
        <f t="shared" ca="1" si="578"/>
        <v>1</v>
      </c>
      <c r="VW69" s="220">
        <f t="shared" ca="1" si="779"/>
        <v>9.714071449143126E-2</v>
      </c>
      <c r="VX69" s="220">
        <f t="shared" ca="1" si="780"/>
        <v>0</v>
      </c>
      <c r="VY69" s="235">
        <f t="shared" ca="1" si="512"/>
        <v>3.9623128486120972E-3</v>
      </c>
      <c r="VZ69" s="235">
        <f t="shared" ca="1" si="513"/>
        <v>3.9623128486120972E-3</v>
      </c>
      <c r="WA69" s="242">
        <f t="shared" ca="1" si="514"/>
        <v>3.9623128486120972E-3</v>
      </c>
      <c r="WB69" s="241">
        <f t="shared" ca="1" si="578"/>
        <v>1</v>
      </c>
      <c r="WC69" s="220">
        <f t="shared" ca="1" si="781"/>
        <v>7.5486980683431834E-2</v>
      </c>
      <c r="WD69" s="220">
        <f t="shared" ca="1" si="782"/>
        <v>0</v>
      </c>
      <c r="WE69" s="235">
        <f t="shared" ca="1" si="517"/>
        <v>2.9749465982754843E-3</v>
      </c>
      <c r="WF69" s="235">
        <f t="shared" ca="1" si="518"/>
        <v>2.9749465982754843E-3</v>
      </c>
      <c r="WG69" s="242">
        <f t="shared" ca="1" si="519"/>
        <v>2.9749465982754843E-3</v>
      </c>
      <c r="WH69" s="241">
        <f t="shared" ca="1" si="578"/>
        <v>1</v>
      </c>
      <c r="WI69" s="220">
        <f t="shared" ca="1" si="783"/>
        <v>5.7061061620490225E-2</v>
      </c>
      <c r="WJ69" s="220">
        <f t="shared" ca="1" si="784"/>
        <v>0</v>
      </c>
      <c r="WK69" s="235">
        <f t="shared" ca="1" si="522"/>
        <v>2.1727342833971291E-3</v>
      </c>
      <c r="WL69" s="235">
        <f t="shared" ca="1" si="523"/>
        <v>2.1727342833971291E-3</v>
      </c>
      <c r="WM69" s="242">
        <f t="shared" ca="1" si="524"/>
        <v>2.1727342833971291E-3</v>
      </c>
      <c r="WN69" s="241">
        <f t="shared" ca="1" si="578"/>
        <v>1</v>
      </c>
      <c r="WO69" s="220">
        <f t="shared" ca="1" si="785"/>
        <v>4.1934687734452851E-2</v>
      </c>
      <c r="WP69" s="220">
        <f t="shared" ca="1" si="786"/>
        <v>0</v>
      </c>
      <c r="WQ69" s="235">
        <f t="shared" ca="1" si="527"/>
        <v>1.5427651975624165E-3</v>
      </c>
      <c r="WR69" s="235">
        <f t="shared" ca="1" si="528"/>
        <v>1.5427651975624165E-3</v>
      </c>
      <c r="WS69" s="242">
        <f t="shared" ca="1" si="529"/>
        <v>1.5427651975624165E-3</v>
      </c>
      <c r="WT69" s="241">
        <f t="shared" ca="1" si="578"/>
        <v>1</v>
      </c>
      <c r="WU69" s="220">
        <f t="shared" ca="1" si="787"/>
        <v>2.9961998908764689E-2</v>
      </c>
      <c r="WV69" s="220">
        <f t="shared" ca="1" si="788"/>
        <v>0</v>
      </c>
      <c r="WW69" s="235">
        <f t="shared" ca="1" si="532"/>
        <v>1.0650177696007403E-3</v>
      </c>
      <c r="WX69" s="235">
        <f t="shared" ca="1" si="533"/>
        <v>1.0650177696007403E-3</v>
      </c>
      <c r="WY69" s="242">
        <f t="shared" ca="1" si="534"/>
        <v>1.0650177696007403E-3</v>
      </c>
      <c r="WZ69" s="241">
        <f t="shared" ca="1" si="578"/>
        <v>1</v>
      </c>
      <c r="XA69" s="220">
        <f t="shared" ca="1" si="789"/>
        <v>2.0825806429510707E-2</v>
      </c>
      <c r="XB69" s="220">
        <f t="shared" ca="1" si="790"/>
        <v>0</v>
      </c>
      <c r="XC69" s="235">
        <f t="shared" ca="1" si="537"/>
        <v>7.1523300597822715E-4</v>
      </c>
      <c r="XD69" s="235">
        <f t="shared" ca="1" si="538"/>
        <v>7.1523300597822715E-4</v>
      </c>
      <c r="XE69" s="242">
        <f t="shared" ca="1" si="539"/>
        <v>7.1523300597822715E-4</v>
      </c>
      <c r="XF69" s="241">
        <f t="shared" ca="1" si="578"/>
        <v>1</v>
      </c>
      <c r="XG69" s="220">
        <f t="shared" ca="1" si="791"/>
        <v>1.410075784309954E-2</v>
      </c>
      <c r="XH69" s="220">
        <f t="shared" ca="1" si="792"/>
        <v>0</v>
      </c>
      <c r="XI69" s="235">
        <f t="shared" ca="1" si="542"/>
        <v>4.6789437576883483E-4</v>
      </c>
      <c r="XJ69" s="235">
        <f t="shared" ca="1" si="543"/>
        <v>4.6789437576883483E-4</v>
      </c>
      <c r="XK69" s="242">
        <f t="shared" ca="1" si="544"/>
        <v>4.6789437576883483E-4</v>
      </c>
    </row>
    <row r="70" spans="2:635" x14ac:dyDescent="0.25">
      <c r="B70" s="65">
        <f t="shared" ca="1" si="14"/>
        <v>2085</v>
      </c>
      <c r="C70" s="65" t="s">
        <v>741</v>
      </c>
      <c r="D70" s="77">
        <f t="shared" si="580"/>
        <v>0</v>
      </c>
      <c r="E70" s="77">
        <f t="shared" si="581"/>
        <v>0</v>
      </c>
      <c r="F70" s="77" t="b">
        <f t="shared" si="793"/>
        <v>0</v>
      </c>
      <c r="G70" s="77" t="b">
        <f t="shared" si="794"/>
        <v>0</v>
      </c>
      <c r="H70" s="15" t="e">
        <f t="shared" ca="1" si="582"/>
        <v>#REF!</v>
      </c>
      <c r="L70" s="326">
        <f t="shared" ca="1" si="583"/>
        <v>3.5000000000000003E-2</v>
      </c>
      <c r="M70" s="327">
        <f t="shared" ca="1" si="584"/>
        <v>3.5000000000000003E-2</v>
      </c>
      <c r="N70" s="322">
        <f t="shared" ref="N70:N86" ca="1" si="809">YEAR(SP_TargetRD)-$B70</f>
        <v>-62</v>
      </c>
      <c r="O70" s="322">
        <f t="shared" ca="1" si="585"/>
        <v>0</v>
      </c>
      <c r="P70" s="328">
        <f t="shared" ca="1" si="545"/>
        <v>26.87829936156087</v>
      </c>
      <c r="Q70" s="328">
        <f t="shared" ca="1" si="546"/>
        <v>26.87829936156087</v>
      </c>
      <c r="R70" s="328">
        <f t="shared" ca="1" si="547"/>
        <v>26.87829936156087</v>
      </c>
      <c r="S70" s="329">
        <f t="shared" ca="1" si="586"/>
        <v>3.8642415640549425E-2</v>
      </c>
      <c r="T70" s="329">
        <f t="shared" ca="1" si="587"/>
        <v>3.8642415640549425E-2</v>
      </c>
      <c r="U70" s="329">
        <f t="shared" ca="1" si="588"/>
        <v>3.8642415640549425E-2</v>
      </c>
      <c r="V70" s="320" t="e">
        <f t="shared" ca="1" si="589"/>
        <v>#REF!</v>
      </c>
      <c r="W70" s="320" t="e">
        <f t="shared" ca="1" si="560"/>
        <v>#REF!</v>
      </c>
      <c r="X70" s="320" t="e">
        <f t="shared" ca="1" si="590"/>
        <v>#REF!</v>
      </c>
      <c r="Y70" s="320" t="e">
        <f ca="1">INDEX(SC_ZA_HECMLumpSum,ZAIDX)</f>
        <v>#REF!</v>
      </c>
      <c r="Z70" s="320" t="e">
        <f t="shared" ca="1" si="591"/>
        <v>#REF!</v>
      </c>
      <c r="AA70" s="320" t="e">
        <f t="shared" ca="1" si="557"/>
        <v>#REF!</v>
      </c>
      <c r="AB70" s="320" t="e">
        <f t="shared" ca="1" si="558"/>
        <v>#REF!</v>
      </c>
      <c r="AC70" s="330" t="e">
        <f t="shared" ca="1" si="559"/>
        <v>#REF!</v>
      </c>
      <c r="AD70" s="236" t="e">
        <f t="shared" ca="1" si="548"/>
        <v>#REF!</v>
      </c>
      <c r="AE70" s="320" t="e">
        <f t="shared" ca="1" si="561"/>
        <v>#REF!</v>
      </c>
      <c r="AF70" s="320" t="e">
        <f t="shared" ca="1" si="592"/>
        <v>#REF!</v>
      </c>
      <c r="AG70" s="320" t="e">
        <f t="shared" ca="1" si="549"/>
        <v>#REF!</v>
      </c>
      <c r="AH70" s="284" t="e">
        <f t="shared" ca="1" si="550"/>
        <v>#REF!</v>
      </c>
      <c r="AI70" s="318" t="e">
        <f t="shared" ca="1" si="551"/>
        <v>#REF!</v>
      </c>
      <c r="AJ70" s="331">
        <f t="shared" ca="1" si="807"/>
        <v>1</v>
      </c>
      <c r="AK70" s="220">
        <f t="shared" ca="1" si="593"/>
        <v>1</v>
      </c>
      <c r="AL70" s="220">
        <f t="shared" ca="1" si="594"/>
        <v>0</v>
      </c>
      <c r="AM70" s="235">
        <f t="shared" ca="1" si="554"/>
        <v>1</v>
      </c>
      <c r="AN70" s="235">
        <f t="shared" ca="1" si="555"/>
        <v>1</v>
      </c>
      <c r="AO70" s="242">
        <f t="shared" ca="1" si="556"/>
        <v>1</v>
      </c>
      <c r="AP70" s="241">
        <f t="shared" ca="1" si="807"/>
        <v>1</v>
      </c>
      <c r="AQ70" s="220">
        <f t="shared" ca="1" si="595"/>
        <v>0.99361699999999997</v>
      </c>
      <c r="AR70" s="220">
        <f t="shared" ca="1" si="596"/>
        <v>0</v>
      </c>
      <c r="AS70" s="235">
        <f t="shared" ca="1" si="43"/>
        <v>0.96001642512077301</v>
      </c>
      <c r="AT70" s="235">
        <f t="shared" ca="1" si="44"/>
        <v>0.96001642512077301</v>
      </c>
      <c r="AU70" s="242">
        <f t="shared" ca="1" si="45"/>
        <v>0.96001642512077301</v>
      </c>
      <c r="AV70" s="241">
        <f t="shared" ca="1" si="807"/>
        <v>1</v>
      </c>
      <c r="AW70" s="220">
        <f t="shared" ca="1" si="597"/>
        <v>0.99316689149899995</v>
      </c>
      <c r="AX70" s="220">
        <f t="shared" ca="1" si="598"/>
        <v>0</v>
      </c>
      <c r="AY70" s="235">
        <f t="shared" ca="1" si="48"/>
        <v>0.92713192046395487</v>
      </c>
      <c r="AZ70" s="235">
        <f t="shared" ca="1" si="49"/>
        <v>0.92713192046395487</v>
      </c>
      <c r="BA70" s="242">
        <f t="shared" ca="1" si="50"/>
        <v>0.92713192046395487</v>
      </c>
      <c r="BB70" s="241">
        <f t="shared" ca="1" si="807"/>
        <v>1</v>
      </c>
      <c r="BC70" s="220">
        <f t="shared" ca="1" si="599"/>
        <v>0.99288681843559723</v>
      </c>
      <c r="BD70" s="220">
        <f t="shared" ca="1" si="600"/>
        <v>0</v>
      </c>
      <c r="BE70" s="235">
        <f t="shared" ca="1" si="54"/>
        <v>0.89552702344191704</v>
      </c>
      <c r="BF70" s="235">
        <f t="shared" ca="1" si="55"/>
        <v>0.89552702344191704</v>
      </c>
      <c r="BG70" s="242">
        <f t="shared" ca="1" si="56"/>
        <v>0.89552702344191704</v>
      </c>
      <c r="BH70" s="241">
        <f t="shared" ca="1" si="807"/>
        <v>1</v>
      </c>
      <c r="BI70" s="220">
        <f t="shared" ca="1" si="601"/>
        <v>0.99265845446735712</v>
      </c>
      <c r="BJ70" s="220">
        <f t="shared" ca="1" si="602"/>
        <v>0</v>
      </c>
      <c r="BK70" s="235">
        <f t="shared" ca="1" si="59"/>
        <v>0.86504449490485558</v>
      </c>
      <c r="BL70" s="235">
        <f t="shared" ca="1" si="60"/>
        <v>0.86504449490485558</v>
      </c>
      <c r="BM70" s="242">
        <f t="shared" ca="1" si="61"/>
        <v>0.86504449490485558</v>
      </c>
      <c r="BN70" s="241">
        <f t="shared" ca="1" si="807"/>
        <v>1</v>
      </c>
      <c r="BO70" s="220">
        <f t="shared" ca="1" si="603"/>
        <v>0.99249069518855215</v>
      </c>
      <c r="BP70" s="220">
        <f t="shared" ca="1" si="604"/>
        <v>0</v>
      </c>
      <c r="BQ70" s="235">
        <f t="shared" ca="1" si="64"/>
        <v>0.83565053370552345</v>
      </c>
      <c r="BR70" s="235">
        <f t="shared" ca="1" si="65"/>
        <v>0.83565053370552345</v>
      </c>
      <c r="BS70" s="242">
        <f t="shared" ca="1" si="66"/>
        <v>0.83565053370552345</v>
      </c>
      <c r="BT70" s="241">
        <f t="shared" ca="1" si="807"/>
        <v>1</v>
      </c>
      <c r="BU70" s="220">
        <f t="shared" ca="1" si="605"/>
        <v>0.99233685913079794</v>
      </c>
      <c r="BV70" s="220">
        <f t="shared" ca="1" si="606"/>
        <v>0</v>
      </c>
      <c r="BW70" s="235">
        <f t="shared" ca="1" si="69"/>
        <v>0.80726667427323584</v>
      </c>
      <c r="BX70" s="235">
        <f t="shared" ca="1" si="70"/>
        <v>0.80726667427323584</v>
      </c>
      <c r="BY70" s="242">
        <f t="shared" ca="1" si="71"/>
        <v>0.80726667427323584</v>
      </c>
      <c r="BZ70" s="241">
        <f t="shared" ca="1" si="807"/>
        <v>1</v>
      </c>
      <c r="CA70" s="220">
        <f t="shared" ca="1" si="607"/>
        <v>0.992192970286224</v>
      </c>
      <c r="CB70" s="220">
        <f t="shared" ca="1" si="608"/>
        <v>0</v>
      </c>
      <c r="CC70" s="235">
        <f t="shared" ca="1" si="74"/>
        <v>0.7798547058990013</v>
      </c>
      <c r="CD70" s="235">
        <f t="shared" ca="1" si="75"/>
        <v>0.7798547058990013</v>
      </c>
      <c r="CE70" s="242">
        <f t="shared" ca="1" si="76"/>
        <v>0.7798547058990013</v>
      </c>
      <c r="CF70" s="241">
        <f t="shared" ca="1" si="807"/>
        <v>1</v>
      </c>
      <c r="CG70" s="220">
        <f t="shared" ca="1" si="609"/>
        <v>0.9920590242352354</v>
      </c>
      <c r="CH70" s="220">
        <f t="shared" ca="1" si="610"/>
        <v>0</v>
      </c>
      <c r="CI70" s="235">
        <f t="shared" ca="1" si="79"/>
        <v>0.75338108745285515</v>
      </c>
      <c r="CJ70" s="235">
        <f t="shared" ca="1" si="80"/>
        <v>0.75338108745285515</v>
      </c>
      <c r="CK70" s="242">
        <f t="shared" ca="1" si="81"/>
        <v>0.75338108745285515</v>
      </c>
      <c r="CL70" s="241">
        <f t="shared" ca="1" si="807"/>
        <v>1</v>
      </c>
      <c r="CM70" s="220">
        <f t="shared" ca="1" si="611"/>
        <v>0.99193997715232718</v>
      </c>
      <c r="CN70" s="220">
        <f t="shared" ca="1" si="612"/>
        <v>0</v>
      </c>
      <c r="CO70" s="235">
        <f t="shared" ca="1" si="84"/>
        <v>0.72781708378972065</v>
      </c>
      <c r="CP70" s="235">
        <f t="shared" ca="1" si="85"/>
        <v>0.72781708378972065</v>
      </c>
      <c r="CQ70" s="242">
        <f t="shared" ca="1" si="86"/>
        <v>0.72781708378972065</v>
      </c>
      <c r="CR70" s="241">
        <f t="shared" ca="1" si="807"/>
        <v>1</v>
      </c>
      <c r="CS70" s="220">
        <f t="shared" ca="1" si="613"/>
        <v>0.99183582345472621</v>
      </c>
      <c r="CT70" s="220">
        <f t="shared" ca="1" si="614"/>
        <v>0</v>
      </c>
      <c r="CU70" s="235">
        <f t="shared" ca="1" si="89"/>
        <v>0.70313107535837949</v>
      </c>
      <c r="CV70" s="235">
        <f t="shared" ca="1" si="90"/>
        <v>0.70313107535837949</v>
      </c>
      <c r="CW70" s="242">
        <f t="shared" ca="1" si="91"/>
        <v>0.70313107535837949</v>
      </c>
      <c r="CX70" s="241">
        <f t="shared" ca="1" si="800"/>
        <v>1</v>
      </c>
      <c r="CY70" s="220">
        <f t="shared" ca="1" si="615"/>
        <v>0.99174259088732142</v>
      </c>
      <c r="CZ70" s="220">
        <f t="shared" ca="1" si="616"/>
        <v>0</v>
      </c>
      <c r="DA70" s="235">
        <f t="shared" ca="1" si="94"/>
        <v>0.6792898367510104</v>
      </c>
      <c r="DB70" s="235">
        <f t="shared" ca="1" si="95"/>
        <v>0.6792898367510104</v>
      </c>
      <c r="DC70" s="242">
        <f t="shared" ca="1" si="96"/>
        <v>0.6792898367510104</v>
      </c>
      <c r="DD70" s="241">
        <f t="shared" ca="1" si="800"/>
        <v>1</v>
      </c>
      <c r="DE70" s="220">
        <f t="shared" ca="1" si="617"/>
        <v>0.99164440837082357</v>
      </c>
      <c r="DF70" s="220">
        <f t="shared" ca="1" si="618"/>
        <v>0</v>
      </c>
      <c r="DG70" s="235">
        <f t="shared" ca="1" si="99"/>
        <v>0.65625370730161559</v>
      </c>
      <c r="DH70" s="235">
        <f t="shared" ca="1" si="100"/>
        <v>0.65625370730161559</v>
      </c>
      <c r="DI70" s="242">
        <f t="shared" ca="1" si="101"/>
        <v>0.65625370730161559</v>
      </c>
      <c r="DJ70" s="241">
        <f t="shared" ca="1" si="51"/>
        <v>1</v>
      </c>
      <c r="DK70" s="220">
        <f t="shared" ca="1" si="619"/>
        <v>0.9915115280201019</v>
      </c>
      <c r="DL70" s="220">
        <f t="shared" ca="1" si="620"/>
        <v>0</v>
      </c>
      <c r="DM70" s="235">
        <f t="shared" ca="1" si="104"/>
        <v>0.63397658870032592</v>
      </c>
      <c r="DN70" s="235">
        <f t="shared" ca="1" si="105"/>
        <v>0.63397658870032592</v>
      </c>
      <c r="DO70" s="242">
        <f t="shared" ca="1" si="106"/>
        <v>0.63397658870032592</v>
      </c>
      <c r="DP70" s="241">
        <f t="shared" ca="1" si="801"/>
        <v>1</v>
      </c>
      <c r="DQ70" s="220">
        <f t="shared" ca="1" si="621"/>
        <v>0.99130628513380181</v>
      </c>
      <c r="DR70" s="220">
        <f t="shared" ca="1" si="622"/>
        <v>0</v>
      </c>
      <c r="DS70" s="235">
        <f t="shared" ca="1" si="110"/>
        <v>0.61241097154247814</v>
      </c>
      <c r="DT70" s="235">
        <f t="shared" ca="1" si="111"/>
        <v>0.61241097154247814</v>
      </c>
      <c r="DU70" s="242">
        <f t="shared" ca="1" si="112"/>
        <v>0.61241097154247814</v>
      </c>
      <c r="DV70" s="241">
        <f t="shared" ca="1" si="801"/>
        <v>1</v>
      </c>
      <c r="DW70" s="220">
        <f t="shared" ca="1" si="623"/>
        <v>0.9909999714916955</v>
      </c>
      <c r="DX70" s="220">
        <f t="shared" ca="1" si="624"/>
        <v>0</v>
      </c>
      <c r="DY70" s="235">
        <f t="shared" ca="1" si="115"/>
        <v>0.59151858604084218</v>
      </c>
      <c r="DZ70" s="235">
        <f t="shared" ca="1" si="116"/>
        <v>0.59151858604084218</v>
      </c>
      <c r="EA70" s="242">
        <f t="shared" ca="1" si="117"/>
        <v>0.59151858604084218</v>
      </c>
      <c r="EB70" s="241">
        <f t="shared" ca="1" si="801"/>
        <v>1</v>
      </c>
      <c r="EC70" s="220">
        <f t="shared" ca="1" si="625"/>
        <v>0.99058474250364048</v>
      </c>
      <c r="ED70" s="220">
        <f t="shared" ca="1" si="626"/>
        <v>0</v>
      </c>
      <c r="EE70" s="235">
        <f t="shared" ca="1" si="120"/>
        <v>0.57127607705632</v>
      </c>
      <c r="EF70" s="235">
        <f t="shared" ca="1" si="121"/>
        <v>0.57127607705632</v>
      </c>
      <c r="EG70" s="242">
        <f t="shared" ca="1" si="122"/>
        <v>0.57127607705632</v>
      </c>
      <c r="EH70" s="241">
        <f t="shared" ca="1" si="801"/>
        <v>1</v>
      </c>
      <c r="EI70" s="220">
        <f t="shared" ca="1" si="627"/>
        <v>0.99005973259011348</v>
      </c>
      <c r="EJ70" s="220">
        <f t="shared" ca="1" si="628"/>
        <v>0</v>
      </c>
      <c r="EK70" s="235">
        <f t="shared" ca="1" si="125"/>
        <v>0.55166502486519819</v>
      </c>
      <c r="EL70" s="235">
        <f t="shared" ca="1" si="126"/>
        <v>0.55166502486519819</v>
      </c>
      <c r="EM70" s="242">
        <f t="shared" ca="1" si="127"/>
        <v>0.55166502486519819</v>
      </c>
      <c r="EN70" s="241">
        <f t="shared" ca="1" si="801"/>
        <v>1</v>
      </c>
      <c r="EO70" s="220">
        <f t="shared" ca="1" si="629"/>
        <v>0.98941124346526699</v>
      </c>
      <c r="EP70" s="220">
        <f t="shared" ca="1" si="630"/>
        <v>0</v>
      </c>
      <c r="EQ70" s="235">
        <f t="shared" ca="1" si="130"/>
        <v>0.53266056451585653</v>
      </c>
      <c r="ER70" s="235">
        <f t="shared" ca="1" si="131"/>
        <v>0.53266056451585653</v>
      </c>
      <c r="ES70" s="242">
        <f t="shared" ca="1" si="132"/>
        <v>0.53266056451585653</v>
      </c>
      <c r="ET70" s="241">
        <f t="shared" ca="1" si="801"/>
        <v>1</v>
      </c>
      <c r="EU70" s="220">
        <f t="shared" ca="1" si="631"/>
        <v>0.98862861917168599</v>
      </c>
      <c r="EV70" s="220">
        <f t="shared" ca="1" si="632"/>
        <v>0</v>
      </c>
      <c r="EW70" s="235">
        <f t="shared" ca="1" si="135"/>
        <v>0.51424080194137645</v>
      </c>
      <c r="EX70" s="235">
        <f t="shared" ca="1" si="136"/>
        <v>0.51424080194137645</v>
      </c>
      <c r="EY70" s="242">
        <f t="shared" ca="1" si="137"/>
        <v>0.51424080194137645</v>
      </c>
      <c r="EZ70" s="241">
        <f t="shared" ca="1" si="801"/>
        <v>1</v>
      </c>
      <c r="FA70" s="220">
        <f t="shared" ca="1" si="633"/>
        <v>0.98770524004137961</v>
      </c>
      <c r="FB70" s="220">
        <f t="shared" ca="1" si="634"/>
        <v>0</v>
      </c>
      <c r="FC70" s="235">
        <f t="shared" ca="1" si="140"/>
        <v>0.49638695751919149</v>
      </c>
      <c r="FD70" s="235">
        <f t="shared" ca="1" si="141"/>
        <v>0.49638695751919149</v>
      </c>
      <c r="FE70" s="242">
        <f t="shared" ca="1" si="142"/>
        <v>0.49638695751919149</v>
      </c>
      <c r="FF70" s="241">
        <f t="shared" ca="1" si="801"/>
        <v>1</v>
      </c>
      <c r="FG70" s="220">
        <f t="shared" ca="1" si="635"/>
        <v>0.98663357985593469</v>
      </c>
      <c r="FH70" s="220">
        <f t="shared" ca="1" si="636"/>
        <v>0</v>
      </c>
      <c r="FI70" s="235">
        <f t="shared" ca="1" si="145"/>
        <v>0.4790805581355394</v>
      </c>
      <c r="FJ70" s="235">
        <f t="shared" ca="1" si="146"/>
        <v>0.4790805581355394</v>
      </c>
      <c r="FK70" s="242">
        <f t="shared" ca="1" si="147"/>
        <v>0.4790805581355394</v>
      </c>
      <c r="FL70" s="241">
        <f t="shared" ca="1" si="801"/>
        <v>1</v>
      </c>
      <c r="FM70" s="220">
        <f t="shared" ca="1" si="637"/>
        <v>0.98542199381987161</v>
      </c>
      <c r="FN70" s="220">
        <f t="shared" ca="1" si="638"/>
        <v>0</v>
      </c>
      <c r="FO70" s="235">
        <f t="shared" ca="1" si="150"/>
        <v>0.46231134996149653</v>
      </c>
      <c r="FP70" s="235">
        <f t="shared" ca="1" si="151"/>
        <v>0.46231134996149653</v>
      </c>
      <c r="FQ70" s="242">
        <f t="shared" ca="1" si="152"/>
        <v>0.46231134996149653</v>
      </c>
      <c r="FR70" s="241">
        <f t="shared" ca="1" si="801"/>
        <v>1</v>
      </c>
      <c r="FS70" s="220">
        <f t="shared" ca="1" si="639"/>
        <v>0.98410251377014679</v>
      </c>
      <c r="FT70" s="220">
        <f t="shared" ca="1" si="640"/>
        <v>0</v>
      </c>
      <c r="FU70" s="235">
        <f t="shared" ca="1" si="155"/>
        <v>0.44607953146270346</v>
      </c>
      <c r="FV70" s="235">
        <f t="shared" ca="1" si="156"/>
        <v>0.44607953146270346</v>
      </c>
      <c r="FW70" s="242">
        <f t="shared" ca="1" si="157"/>
        <v>0.44607953146270346</v>
      </c>
      <c r="FX70" s="241">
        <f t="shared" ca="1" si="801"/>
        <v>1</v>
      </c>
      <c r="FY70" s="220">
        <f t="shared" ca="1" si="641"/>
        <v>0.98272181794332725</v>
      </c>
      <c r="FZ70" s="220">
        <f t="shared" ca="1" si="642"/>
        <v>0</v>
      </c>
      <c r="GA70" s="235">
        <f t="shared" ca="1" si="160"/>
        <v>0.43039003080199167</v>
      </c>
      <c r="GB70" s="235">
        <f t="shared" ca="1" si="161"/>
        <v>0.43039003080199167</v>
      </c>
      <c r="GC70" s="242">
        <f t="shared" ca="1" si="162"/>
        <v>0.43039003080199167</v>
      </c>
      <c r="GD70" s="241">
        <f t="shared" ca="1" si="795"/>
        <v>1</v>
      </c>
      <c r="GE70" s="220">
        <f t="shared" ca="1" si="643"/>
        <v>0.98131357757821447</v>
      </c>
      <c r="GF70" s="220">
        <f t="shared" ca="1" si="644"/>
        <v>0</v>
      </c>
      <c r="GG70" s="235">
        <f t="shared" ca="1" si="166"/>
        <v>0.41523988588198307</v>
      </c>
      <c r="GH70" s="235">
        <f t="shared" ca="1" si="167"/>
        <v>0.41523988588198307</v>
      </c>
      <c r="GI70" s="242">
        <f t="shared" ca="1" si="168"/>
        <v>0.41523988588198307</v>
      </c>
      <c r="GJ70" s="241">
        <f t="shared" ca="1" si="795"/>
        <v>1</v>
      </c>
      <c r="GK70" s="220">
        <f t="shared" ca="1" si="645"/>
        <v>0.97988969157714845</v>
      </c>
      <c r="GL70" s="220">
        <f t="shared" ca="1" si="646"/>
        <v>0</v>
      </c>
      <c r="GM70" s="235">
        <f t="shared" ca="1" si="171"/>
        <v>0.40061581913774713</v>
      </c>
      <c r="GN70" s="235">
        <f t="shared" ca="1" si="172"/>
        <v>0.40061581913774713</v>
      </c>
      <c r="GO70" s="242">
        <f t="shared" ca="1" si="173"/>
        <v>0.40061581913774713</v>
      </c>
      <c r="GP70" s="241">
        <f t="shared" ca="1" si="802"/>
        <v>1</v>
      </c>
      <c r="GQ70" s="220">
        <f t="shared" ca="1" si="647"/>
        <v>0.9784443542820721</v>
      </c>
      <c r="GR70" s="220">
        <f t="shared" ca="1" si="648"/>
        <v>0</v>
      </c>
      <c r="GS70" s="235">
        <f t="shared" ca="1" si="176"/>
        <v>0.38649749836185404</v>
      </c>
      <c r="GT70" s="235">
        <f t="shared" ca="1" si="177"/>
        <v>0.38649749836185404</v>
      </c>
      <c r="GU70" s="242">
        <f t="shared" ca="1" si="178"/>
        <v>0.38649749836185404</v>
      </c>
      <c r="GV70" s="241">
        <f t="shared" ca="1" si="802"/>
        <v>1</v>
      </c>
      <c r="GW70" s="220">
        <f t="shared" ca="1" si="649"/>
        <v>0.97697473086194042</v>
      </c>
      <c r="GX70" s="220">
        <f t="shared" ca="1" si="650"/>
        <v>0</v>
      </c>
      <c r="GY70" s="235">
        <f t="shared" ca="1" si="181"/>
        <v>0.37286664649209134</v>
      </c>
      <c r="GZ70" s="235">
        <f t="shared" ca="1" si="182"/>
        <v>0.37286664649209134</v>
      </c>
      <c r="HA70" s="242">
        <f t="shared" ca="1" si="183"/>
        <v>0.37286664649209134</v>
      </c>
      <c r="HB70" s="241">
        <f t="shared" ca="1" si="802"/>
        <v>1</v>
      </c>
      <c r="HC70" s="220">
        <f t="shared" ca="1" si="651"/>
        <v>0.97547214372587476</v>
      </c>
      <c r="HD70" s="220">
        <f t="shared" ca="1" si="652"/>
        <v>0</v>
      </c>
      <c r="HE70" s="235">
        <f t="shared" ca="1" si="186"/>
        <v>0.35970355322684694</v>
      </c>
      <c r="HF70" s="235">
        <f t="shared" ca="1" si="187"/>
        <v>0.35970355322684694</v>
      </c>
      <c r="HG70" s="242">
        <f t="shared" ca="1" si="188"/>
        <v>0.35970355322684694</v>
      </c>
      <c r="HH70" s="241">
        <f t="shared" ca="1" si="802"/>
        <v>1</v>
      </c>
      <c r="HI70" s="220">
        <f t="shared" ca="1" si="653"/>
        <v>0.9739299222666441</v>
      </c>
      <c r="HJ70" s="220">
        <f t="shared" ca="1" si="654"/>
        <v>0</v>
      </c>
      <c r="HK70" s="235">
        <f t="shared" ca="1" si="191"/>
        <v>0.34699020474318382</v>
      </c>
      <c r="HL70" s="235">
        <f t="shared" ca="1" si="192"/>
        <v>0.34699020474318382</v>
      </c>
      <c r="HM70" s="242">
        <f t="shared" ca="1" si="193"/>
        <v>0.34699020474318382</v>
      </c>
      <c r="HN70" s="241">
        <f t="shared" ca="1" si="802"/>
        <v>1</v>
      </c>
      <c r="HO70" s="220">
        <f t="shared" ca="1" si="655"/>
        <v>0.97234631221303847</v>
      </c>
      <c r="HP70" s="220">
        <f t="shared" ca="1" si="656"/>
        <v>0</v>
      </c>
      <c r="HQ70" s="235">
        <f t="shared" ca="1" si="196"/>
        <v>0.33471110982634922</v>
      </c>
      <c r="HR70" s="235">
        <f t="shared" ca="1" si="197"/>
        <v>0.33471110982634922</v>
      </c>
      <c r="HS70" s="242">
        <f t="shared" ca="1" si="198"/>
        <v>0.33471110982634922</v>
      </c>
      <c r="HT70" s="241">
        <f t="shared" ca="1" si="802"/>
        <v>1</v>
      </c>
      <c r="HU70" s="220">
        <f t="shared" ca="1" si="657"/>
        <v>0.97072346621795491</v>
      </c>
      <c r="HV70" s="220">
        <f t="shared" ca="1" si="658"/>
        <v>0</v>
      </c>
      <c r="HW70" s="235">
        <f t="shared" ca="1" si="201"/>
        <v>0.32285263476719722</v>
      </c>
      <c r="HX70" s="235">
        <f t="shared" ca="1" si="202"/>
        <v>0.32285263476719722</v>
      </c>
      <c r="HY70" s="242">
        <f t="shared" ca="1" si="203"/>
        <v>0.32285263476719722</v>
      </c>
      <c r="HZ70" s="241">
        <f t="shared" ca="1" si="802"/>
        <v>1</v>
      </c>
      <c r="IA70" s="220">
        <f t="shared" ca="1" si="659"/>
        <v>0.96906158764378969</v>
      </c>
      <c r="IB70" s="220">
        <f t="shared" ca="1" si="660"/>
        <v>0</v>
      </c>
      <c r="IC70" s="235">
        <f t="shared" ca="1" si="206"/>
        <v>0.31140088024780266</v>
      </c>
      <c r="ID70" s="235">
        <f t="shared" ca="1" si="207"/>
        <v>0.31140088024780266</v>
      </c>
      <c r="IE70" s="242">
        <f t="shared" ca="1" si="208"/>
        <v>0.31140088024780266</v>
      </c>
      <c r="IF70" s="241">
        <f t="shared" ca="1" si="802"/>
        <v>1</v>
      </c>
      <c r="IG70" s="220">
        <f t="shared" ca="1" si="661"/>
        <v>0.96736088455747493</v>
      </c>
      <c r="IH70" s="220">
        <f t="shared" ca="1" si="662"/>
        <v>0</v>
      </c>
      <c r="II70" s="235">
        <f t="shared" ca="1" si="211"/>
        <v>0.30034238811880948</v>
      </c>
      <c r="IJ70" s="235">
        <f t="shared" ca="1" si="212"/>
        <v>0.30034238811880948</v>
      </c>
      <c r="IK70" s="242">
        <f t="shared" ca="1" si="213"/>
        <v>0.30034238811880948</v>
      </c>
      <c r="IL70" s="241">
        <f t="shared" ca="1" si="802"/>
        <v>1</v>
      </c>
      <c r="IM70" s="220">
        <f t="shared" ca="1" si="663"/>
        <v>0.96561963496527148</v>
      </c>
      <c r="IN70" s="220">
        <f t="shared" ca="1" si="664"/>
        <v>0</v>
      </c>
      <c r="IO70" s="235">
        <f t="shared" ca="1" si="216"/>
        <v>0.28966354765236296</v>
      </c>
      <c r="IP70" s="235">
        <f t="shared" ca="1" si="217"/>
        <v>0.28966354765236296</v>
      </c>
      <c r="IQ70" s="242">
        <f t="shared" ca="1" si="218"/>
        <v>0.28966354765236296</v>
      </c>
      <c r="IR70" s="241">
        <f t="shared" ca="1" si="802"/>
        <v>1</v>
      </c>
      <c r="IS70" s="220">
        <f t="shared" ca="1" si="665"/>
        <v>0.96382841054241086</v>
      </c>
      <c r="IT70" s="220">
        <f t="shared" ca="1" si="666"/>
        <v>0</v>
      </c>
      <c r="IU70" s="235">
        <f t="shared" ca="1" si="222"/>
        <v>0.27934900654248102</v>
      </c>
      <c r="IV70" s="235">
        <f t="shared" ca="1" si="223"/>
        <v>0.27934900654248102</v>
      </c>
      <c r="IW70" s="242">
        <f t="shared" ca="1" si="224"/>
        <v>0.27934900654248102</v>
      </c>
      <c r="IX70" s="241">
        <f t="shared" ca="1" si="802"/>
        <v>1</v>
      </c>
      <c r="IY70" s="220">
        <f t="shared" ca="1" si="667"/>
        <v>0.9619778599941694</v>
      </c>
      <c r="IZ70" s="220">
        <f t="shared" ca="1" si="668"/>
        <v>0</v>
      </c>
      <c r="JA70" s="235">
        <f t="shared" ca="1" si="227"/>
        <v>0.26938420913035699</v>
      </c>
      <c r="JB70" s="235">
        <f t="shared" ca="1" si="228"/>
        <v>0.26938420913035699</v>
      </c>
      <c r="JC70" s="242">
        <f t="shared" ca="1" si="229"/>
        <v>0.26938420913035699</v>
      </c>
      <c r="JD70" s="241">
        <f t="shared" ca="1" si="796"/>
        <v>1</v>
      </c>
      <c r="JE70" s="220">
        <f t="shared" ca="1" si="669"/>
        <v>0.96006544800850102</v>
      </c>
      <c r="JF70" s="220">
        <f t="shared" ca="1" si="670"/>
        <v>0</v>
      </c>
      <c r="JG70" s="235">
        <f t="shared" ca="1" si="232"/>
        <v>0.25975717229237277</v>
      </c>
      <c r="JH70" s="235">
        <f t="shared" ca="1" si="233"/>
        <v>0.25975717229237277</v>
      </c>
      <c r="JI70" s="242">
        <f t="shared" ca="1" si="234"/>
        <v>0.25975717229237277</v>
      </c>
      <c r="JJ70" s="241">
        <f t="shared" ca="1" si="796"/>
        <v>1</v>
      </c>
      <c r="JK70" s="220">
        <f t="shared" ca="1" si="671"/>
        <v>0.9580877131856036</v>
      </c>
      <c r="JL70" s="220">
        <f t="shared" ca="1" si="672"/>
        <v>0</v>
      </c>
      <c r="JM70" s="235">
        <f t="shared" ca="1" si="237"/>
        <v>0.25045610871251262</v>
      </c>
      <c r="JN70" s="235">
        <f t="shared" ca="1" si="238"/>
        <v>0.25045610871251262</v>
      </c>
      <c r="JO70" s="242">
        <f t="shared" ca="1" si="239"/>
        <v>0.25045610871251262</v>
      </c>
      <c r="JP70" s="241">
        <f t="shared" ca="1" si="803"/>
        <v>1</v>
      </c>
      <c r="JQ70" s="220">
        <f t="shared" ca="1" si="673"/>
        <v>0.95603644739167326</v>
      </c>
      <c r="JR70" s="220">
        <f t="shared" ca="1" si="674"/>
        <v>0</v>
      </c>
      <c r="JS70" s="235">
        <f t="shared" ca="1" si="242"/>
        <v>0.24146848520169967</v>
      </c>
      <c r="JT70" s="235">
        <f t="shared" ca="1" si="243"/>
        <v>0.24146848520169967</v>
      </c>
      <c r="JU70" s="242">
        <f t="shared" ca="1" si="244"/>
        <v>0.24146848520169967</v>
      </c>
      <c r="JV70" s="241">
        <f t="shared" ca="1" si="803"/>
        <v>1</v>
      </c>
      <c r="JW70" s="220">
        <f t="shared" ca="1" si="675"/>
        <v>0.95389492574951584</v>
      </c>
      <c r="JX70" s="220">
        <f t="shared" ca="1" si="676"/>
        <v>0</v>
      </c>
      <c r="JY70" s="235">
        <f t="shared" ca="1" si="247"/>
        <v>0.23278028579212359</v>
      </c>
      <c r="JZ70" s="235">
        <f t="shared" ca="1" si="248"/>
        <v>0.23278028579212359</v>
      </c>
      <c r="KA70" s="242">
        <f t="shared" ca="1" si="249"/>
        <v>0.23278028579212359</v>
      </c>
      <c r="KB70" s="241">
        <f t="shared" ca="1" si="803"/>
        <v>1</v>
      </c>
      <c r="KC70" s="220">
        <f t="shared" ca="1" si="677"/>
        <v>0.95164182593489555</v>
      </c>
      <c r="KD70" s="220">
        <f t="shared" ca="1" si="678"/>
        <v>0</v>
      </c>
      <c r="KE70" s="235">
        <f t="shared" ca="1" si="252"/>
        <v>0.22437725483776094</v>
      </c>
      <c r="KF70" s="235">
        <f t="shared" ca="1" si="253"/>
        <v>0.22437725483776094</v>
      </c>
      <c r="KG70" s="242">
        <f t="shared" ca="1" si="254"/>
        <v>0.22437725483776094</v>
      </c>
      <c r="KH70" s="241">
        <f t="shared" ca="1" si="803"/>
        <v>1</v>
      </c>
      <c r="KI70" s="220">
        <f t="shared" ca="1" si="679"/>
        <v>0.94925415659362489</v>
      </c>
      <c r="KJ70" s="220">
        <f t="shared" ca="1" si="680"/>
        <v>0</v>
      </c>
      <c r="KK70" s="235">
        <f t="shared" ca="1" si="257"/>
        <v>0.21624569304866956</v>
      </c>
      <c r="KL70" s="235">
        <f t="shared" ca="1" si="258"/>
        <v>0.21624569304866956</v>
      </c>
      <c r="KM70" s="242">
        <f t="shared" ca="1" si="259"/>
        <v>0.21624569304866956</v>
      </c>
      <c r="KN70" s="241">
        <f t="shared" ca="1" si="803"/>
        <v>1</v>
      </c>
      <c r="KO70" s="220">
        <f t="shared" ca="1" si="681"/>
        <v>0.94670635843732753</v>
      </c>
      <c r="KP70" s="220">
        <f t="shared" ca="1" si="682"/>
        <v>0</v>
      </c>
      <c r="KQ70" s="235">
        <f t="shared" ca="1" si="262"/>
        <v>0.2083722604913304</v>
      </c>
      <c r="KR70" s="235">
        <f t="shared" ca="1" si="263"/>
        <v>0.2083722604913304</v>
      </c>
      <c r="KS70" s="242">
        <f t="shared" ca="1" si="264"/>
        <v>0.2083722604913304</v>
      </c>
      <c r="KT70" s="241">
        <f t="shared" ca="1" si="803"/>
        <v>1</v>
      </c>
      <c r="KU70" s="220">
        <f t="shared" ca="1" si="683"/>
        <v>0.94397037706144371</v>
      </c>
      <c r="KV70" s="220">
        <f t="shared" ca="1" si="684"/>
        <v>0</v>
      </c>
      <c r="KW70" s="235">
        <f t="shared" ca="1" si="267"/>
        <v>0.20074402382464779</v>
      </c>
      <c r="KX70" s="235">
        <f t="shared" ca="1" si="268"/>
        <v>0.20074402382464779</v>
      </c>
      <c r="KY70" s="242">
        <f t="shared" ca="1" si="269"/>
        <v>0.20074402382464779</v>
      </c>
      <c r="KZ70" s="241">
        <f t="shared" ca="1" si="803"/>
        <v>1</v>
      </c>
      <c r="LA70" s="220">
        <f t="shared" ca="1" si="685"/>
        <v>0.94102424551463493</v>
      </c>
      <c r="LB70" s="220">
        <f t="shared" ca="1" si="686"/>
        <v>0</v>
      </c>
      <c r="LC70" s="235">
        <f t="shared" ca="1" si="272"/>
        <v>0.19335024321380778</v>
      </c>
      <c r="LD70" s="235">
        <f t="shared" ca="1" si="273"/>
        <v>0.19335024321380778</v>
      </c>
      <c r="LE70" s="242">
        <f t="shared" ca="1" si="274"/>
        <v>0.19335024321380778</v>
      </c>
      <c r="LF70" s="241">
        <f t="shared" ca="1" si="803"/>
        <v>1</v>
      </c>
      <c r="LG70" s="220">
        <f t="shared" ca="1" si="687"/>
        <v>0.93783793741932242</v>
      </c>
      <c r="LH70" s="220">
        <f t="shared" ca="1" si="688"/>
        <v>0</v>
      </c>
      <c r="LI70" s="235">
        <f t="shared" ca="1" si="278"/>
        <v>0.18617928433844047</v>
      </c>
      <c r="LJ70" s="235">
        <f t="shared" ca="1" si="279"/>
        <v>0.18617928433844047</v>
      </c>
      <c r="LK70" s="242">
        <f t="shared" ca="1" si="280"/>
        <v>0.18617928433844047</v>
      </c>
      <c r="LL70" s="241">
        <f t="shared" ca="1" si="803"/>
        <v>1</v>
      </c>
      <c r="LM70" s="220">
        <f t="shared" ca="1" si="689"/>
        <v>0.93436137218530901</v>
      </c>
      <c r="LN70" s="220">
        <f t="shared" ca="1" si="690"/>
        <v>0</v>
      </c>
      <c r="LO70" s="235">
        <f t="shared" ca="1" si="283"/>
        <v>0.17921653887091585</v>
      </c>
      <c r="LP70" s="235">
        <f t="shared" ca="1" si="284"/>
        <v>0.17921653887091585</v>
      </c>
      <c r="LQ70" s="242">
        <f t="shared" ca="1" si="285"/>
        <v>0.17921653887091585</v>
      </c>
      <c r="LR70" s="241">
        <f t="shared" ca="1" si="803"/>
        <v>1</v>
      </c>
      <c r="LS70" s="220">
        <f t="shared" ca="1" si="691"/>
        <v>0.93053889981169891</v>
      </c>
      <c r="LT70" s="220">
        <f t="shared" ca="1" si="692"/>
        <v>0</v>
      </c>
      <c r="LU70" s="235">
        <f t="shared" ca="1" si="288"/>
        <v>0.17244769469603377</v>
      </c>
      <c r="LV70" s="235">
        <f t="shared" ca="1" si="289"/>
        <v>0.17244769469603377</v>
      </c>
      <c r="LW70" s="242">
        <f t="shared" ca="1" si="290"/>
        <v>0.17244769469603377</v>
      </c>
      <c r="LX70" s="241">
        <f t="shared" ca="1" si="803"/>
        <v>1</v>
      </c>
      <c r="LY70" s="220">
        <f t="shared" ca="1" si="693"/>
        <v>0.92632262805665211</v>
      </c>
      <c r="LZ70" s="220">
        <f t="shared" ca="1" si="694"/>
        <v>0</v>
      </c>
      <c r="MA70" s="235">
        <f t="shared" ca="1" si="293"/>
        <v>0.16586119245542613</v>
      </c>
      <c r="MB70" s="235">
        <f t="shared" ca="1" si="294"/>
        <v>0.16586119245542613</v>
      </c>
      <c r="MC70" s="242">
        <f t="shared" ca="1" si="295"/>
        <v>0.16586119245542613</v>
      </c>
      <c r="MD70" s="241">
        <f t="shared" ca="1" si="797"/>
        <v>1</v>
      </c>
      <c r="ME70" s="220">
        <f t="shared" ca="1" si="695"/>
        <v>0.92167897272220412</v>
      </c>
      <c r="MF70" s="220">
        <f t="shared" ca="1" si="696"/>
        <v>0</v>
      </c>
      <c r="MG70" s="235">
        <f t="shared" ca="1" si="298"/>
        <v>0.15944901478033538</v>
      </c>
      <c r="MH70" s="235">
        <f t="shared" ca="1" si="299"/>
        <v>0.15944901478033538</v>
      </c>
      <c r="MI70" s="242">
        <f t="shared" ca="1" si="300"/>
        <v>0.15944901478033538</v>
      </c>
      <c r="MJ70" s="241">
        <f t="shared" ca="1" si="797"/>
        <v>1</v>
      </c>
      <c r="MK70" s="220">
        <f t="shared" ca="1" si="697"/>
        <v>0.91658761807688671</v>
      </c>
      <c r="ML70" s="220">
        <f t="shared" ca="1" si="698"/>
        <v>0</v>
      </c>
      <c r="MM70" s="235">
        <f t="shared" ca="1" si="303"/>
        <v>0.15320600813786359</v>
      </c>
      <c r="MN70" s="235">
        <f t="shared" ca="1" si="304"/>
        <v>0.15320600813786359</v>
      </c>
      <c r="MO70" s="242">
        <f t="shared" ca="1" si="305"/>
        <v>0.15320600813786359</v>
      </c>
      <c r="MP70" s="241">
        <f t="shared" ca="1" si="804"/>
        <v>1</v>
      </c>
      <c r="MQ70" s="220">
        <f t="shared" ca="1" si="699"/>
        <v>0.91103401369895887</v>
      </c>
      <c r="MR70" s="220">
        <f t="shared" ca="1" si="700"/>
        <v>0</v>
      </c>
      <c r="MS70" s="235">
        <f t="shared" ca="1" si="308"/>
        <v>0.1471282443812138</v>
      </c>
      <c r="MT70" s="235">
        <f t="shared" ca="1" si="309"/>
        <v>0.1471282443812138</v>
      </c>
      <c r="MU70" s="242">
        <f t="shared" ca="1" si="310"/>
        <v>0.1471282443812138</v>
      </c>
      <c r="MV70" s="241">
        <f t="shared" ca="1" si="804"/>
        <v>1</v>
      </c>
      <c r="MW70" s="220">
        <f t="shared" ca="1" si="701"/>
        <v>0.90501116783439506</v>
      </c>
      <c r="MX70" s="220">
        <f t="shared" ca="1" si="702"/>
        <v>0</v>
      </c>
      <c r="MY70" s="235">
        <f t="shared" ca="1" si="313"/>
        <v>0.14121312034551653</v>
      </c>
      <c r="MZ70" s="235">
        <f t="shared" ca="1" si="314"/>
        <v>0.14121312034551653</v>
      </c>
      <c r="NA70" s="242">
        <f t="shared" ca="1" si="315"/>
        <v>0.14121312034551653</v>
      </c>
      <c r="NB70" s="241">
        <f t="shared" ca="1" si="804"/>
        <v>1</v>
      </c>
      <c r="NC70" s="220">
        <f t="shared" ca="1" si="703"/>
        <v>0.89850685257116925</v>
      </c>
      <c r="ND70" s="220">
        <f t="shared" ca="1" si="704"/>
        <v>0</v>
      </c>
      <c r="NE70" s="235">
        <f t="shared" ca="1" si="318"/>
        <v>0.13545721898511429</v>
      </c>
      <c r="NF70" s="235">
        <f t="shared" ca="1" si="319"/>
        <v>0.13545721898511429</v>
      </c>
      <c r="NG70" s="242">
        <f t="shared" ca="1" si="320"/>
        <v>0.13545721898511429</v>
      </c>
      <c r="NH70" s="241">
        <f t="shared" ca="1" si="804"/>
        <v>1</v>
      </c>
      <c r="NI70" s="220">
        <f t="shared" ca="1" si="705"/>
        <v>0.89149849912111412</v>
      </c>
      <c r="NJ70" s="220">
        <f t="shared" ca="1" si="706"/>
        <v>0</v>
      </c>
      <c r="NK70" s="235">
        <f t="shared" ca="1" si="323"/>
        <v>0.12985570306959462</v>
      </c>
      <c r="NL70" s="235">
        <f t="shared" ca="1" si="324"/>
        <v>0.12985570306959462</v>
      </c>
      <c r="NM70" s="242">
        <f t="shared" ca="1" si="325"/>
        <v>0.12985570306959462</v>
      </c>
      <c r="NN70" s="241">
        <f t="shared" ca="1" si="804"/>
        <v>1</v>
      </c>
      <c r="NO70" s="220">
        <f t="shared" ca="1" si="707"/>
        <v>0.88395998781254592</v>
      </c>
      <c r="NP70" s="220">
        <f t="shared" ca="1" si="708"/>
        <v>0</v>
      </c>
      <c r="NQ70" s="235">
        <f t="shared" ca="1" si="328"/>
        <v>0.12440352004293539</v>
      </c>
      <c r="NR70" s="235">
        <f t="shared" ca="1" si="329"/>
        <v>0.12440352004293539</v>
      </c>
      <c r="NS70" s="242">
        <f t="shared" ca="1" si="330"/>
        <v>0.12440352004293539</v>
      </c>
      <c r="NT70" s="241">
        <f t="shared" ca="1" si="804"/>
        <v>1</v>
      </c>
      <c r="NU70" s="220">
        <f t="shared" ca="1" si="709"/>
        <v>0.87587705768398794</v>
      </c>
      <c r="NV70" s="220">
        <f t="shared" ca="1" si="710"/>
        <v>0</v>
      </c>
      <c r="NW70" s="235">
        <f t="shared" ca="1" si="334"/>
        <v>0.11909755966730703</v>
      </c>
      <c r="NX70" s="235">
        <f t="shared" ca="1" si="335"/>
        <v>0.11909755966730703</v>
      </c>
      <c r="NY70" s="242">
        <f t="shared" ca="1" si="336"/>
        <v>0.11909755966730703</v>
      </c>
      <c r="NZ70" s="241">
        <f t="shared" ca="1" si="804"/>
        <v>1</v>
      </c>
      <c r="OA70" s="220">
        <f t="shared" ca="1" si="711"/>
        <v>0.86723653050993543</v>
      </c>
      <c r="OB70" s="220">
        <f t="shared" ca="1" si="712"/>
        <v>0</v>
      </c>
      <c r="OC70" s="235">
        <f t="shared" ca="1" si="339"/>
        <v>0.11393493936346769</v>
      </c>
      <c r="OD70" s="235">
        <f t="shared" ca="1" si="340"/>
        <v>0.11393493936346769</v>
      </c>
      <c r="OE70" s="242">
        <f t="shared" ca="1" si="341"/>
        <v>0.11393493936346769</v>
      </c>
      <c r="OF70" s="241">
        <f t="shared" ca="1" si="804"/>
        <v>1</v>
      </c>
      <c r="OG70" s="220">
        <f t="shared" ca="1" si="713"/>
        <v>0.85802474408285889</v>
      </c>
      <c r="OH70" s="220">
        <f t="shared" ca="1" si="714"/>
        <v>0</v>
      </c>
      <c r="OI70" s="235">
        <f t="shared" ca="1" si="344"/>
        <v>0.10891277530197965</v>
      </c>
      <c r="OJ70" s="235">
        <f t="shared" ca="1" si="345"/>
        <v>0.10891277530197965</v>
      </c>
      <c r="OK70" s="242">
        <f t="shared" ca="1" si="346"/>
        <v>0.10891277530197965</v>
      </c>
      <c r="OL70" s="241">
        <f t="shared" ca="1" si="804"/>
        <v>1</v>
      </c>
      <c r="OM70" s="220">
        <f t="shared" ca="1" si="715"/>
        <v>0.84819349656515752</v>
      </c>
      <c r="ON70" s="220">
        <f t="shared" ca="1" si="716"/>
        <v>0</v>
      </c>
      <c r="OO70" s="235">
        <f t="shared" ca="1" si="349"/>
        <v>0.10402401229233778</v>
      </c>
      <c r="OP70" s="235">
        <f t="shared" ca="1" si="350"/>
        <v>0.10402401229233778</v>
      </c>
      <c r="OQ70" s="242">
        <f t="shared" ca="1" si="351"/>
        <v>0.10402401229233778</v>
      </c>
      <c r="OR70" s="241">
        <f t="shared" ca="1" si="804"/>
        <v>1</v>
      </c>
      <c r="OS70" s="220">
        <f t="shared" ca="1" si="717"/>
        <v>0.83771830688257787</v>
      </c>
      <c r="OT70" s="220">
        <f t="shared" ca="1" si="718"/>
        <v>0</v>
      </c>
      <c r="OU70" s="235">
        <f t="shared" ca="1" si="354"/>
        <v>9.9265039362828419E-2</v>
      </c>
      <c r="OV70" s="235">
        <f t="shared" ca="1" si="355"/>
        <v>9.9265039362828419E-2</v>
      </c>
      <c r="OW70" s="242">
        <f t="shared" ca="1" si="356"/>
        <v>9.9265039362828419E-2</v>
      </c>
      <c r="OX70" s="241">
        <f t="shared" ca="1" si="804"/>
        <v>1</v>
      </c>
      <c r="OY70" s="220">
        <f t="shared" ca="1" si="719"/>
        <v>0.82663110509098692</v>
      </c>
      <c r="OZ70" s="220">
        <f t="shared" ca="1" si="720"/>
        <v>0</v>
      </c>
      <c r="PA70" s="235">
        <f t="shared" ca="1" si="359"/>
        <v>9.4638904895518239E-2</v>
      </c>
      <c r="PB70" s="235">
        <f t="shared" ca="1" si="360"/>
        <v>9.4638904895518239E-2</v>
      </c>
      <c r="PC70" s="242">
        <f t="shared" ca="1" si="361"/>
        <v>9.4638904895518239E-2</v>
      </c>
      <c r="PD70" s="241">
        <f t="shared" ca="1" si="798"/>
        <v>1</v>
      </c>
      <c r="PE70" s="220">
        <f t="shared" ca="1" si="721"/>
        <v>0.81497808640251923</v>
      </c>
      <c r="PF70" s="220">
        <f t="shared" ca="1" si="722"/>
        <v>0</v>
      </c>
      <c r="PG70" s="235">
        <f t="shared" ca="1" si="364"/>
        <v>9.0149546138363415E-2</v>
      </c>
      <c r="PH70" s="235">
        <f t="shared" ca="1" si="365"/>
        <v>9.0149546138363415E-2</v>
      </c>
      <c r="PI70" s="242">
        <f t="shared" ca="1" si="366"/>
        <v>9.0149546138363415E-2</v>
      </c>
      <c r="PJ70" s="241">
        <f t="shared" ca="1" si="798"/>
        <v>1</v>
      </c>
      <c r="PK70" s="220">
        <f t="shared" ca="1" si="723"/>
        <v>0.80277052964629592</v>
      </c>
      <c r="PL70" s="220">
        <f t="shared" ca="1" si="724"/>
        <v>0</v>
      </c>
      <c r="PM70" s="235">
        <f t="shared" ca="1" si="369"/>
        <v>8.5796324721504238E-2</v>
      </c>
      <c r="PN70" s="235">
        <f t="shared" ca="1" si="370"/>
        <v>8.5796324721504238E-2</v>
      </c>
      <c r="PO70" s="242">
        <f t="shared" ca="1" si="371"/>
        <v>8.5796324721504238E-2</v>
      </c>
      <c r="PP70" s="241">
        <f t="shared" ca="1" si="805"/>
        <v>1</v>
      </c>
      <c r="PQ70" s="220">
        <f t="shared" ca="1" si="725"/>
        <v>0.78995269259943357</v>
      </c>
      <c r="PR70" s="220">
        <f t="shared" ca="1" si="726"/>
        <v>0</v>
      </c>
      <c r="PS70" s="235">
        <f t="shared" ca="1" si="374"/>
        <v>8.1571415270218356E-2</v>
      </c>
      <c r="PT70" s="235">
        <f t="shared" ca="1" si="375"/>
        <v>8.1571415270218356E-2</v>
      </c>
      <c r="PU70" s="242">
        <f t="shared" ca="1" si="376"/>
        <v>8.1571415270218356E-2</v>
      </c>
      <c r="PV70" s="241">
        <f t="shared" ca="1" si="805"/>
        <v>1</v>
      </c>
      <c r="PW70" s="220">
        <f t="shared" ca="1" si="727"/>
        <v>0.77643739198174988</v>
      </c>
      <c r="PX70" s="220">
        <f t="shared" ca="1" si="728"/>
        <v>0</v>
      </c>
      <c r="PY70" s="235">
        <f t="shared" ca="1" si="379"/>
        <v>7.7464550653488104E-2</v>
      </c>
      <c r="PZ70" s="235">
        <f t="shared" ca="1" si="380"/>
        <v>7.7464550653488104E-2</v>
      </c>
      <c r="QA70" s="242">
        <f t="shared" ca="1" si="381"/>
        <v>7.7464550653488104E-2</v>
      </c>
      <c r="QB70" s="241">
        <f t="shared" ca="1" si="805"/>
        <v>1</v>
      </c>
      <c r="QC70" s="220">
        <f t="shared" ca="1" si="729"/>
        <v>0.76215715546842155</v>
      </c>
      <c r="QD70" s="220">
        <f t="shared" ca="1" si="730"/>
        <v>0</v>
      </c>
      <c r="QE70" s="235">
        <f t="shared" ca="1" si="384"/>
        <v>7.3468427669438799E-2</v>
      </c>
      <c r="QF70" s="235">
        <f t="shared" ca="1" si="385"/>
        <v>7.3468427669438799E-2</v>
      </c>
      <c r="QG70" s="242">
        <f t="shared" ca="1" si="386"/>
        <v>7.3468427669438799E-2</v>
      </c>
      <c r="QH70" s="241">
        <f t="shared" ca="1" si="805"/>
        <v>1</v>
      </c>
      <c r="QI70" s="220">
        <f t="shared" ca="1" si="731"/>
        <v>0.74703900613254992</v>
      </c>
      <c r="QJ70" s="220">
        <f t="shared" ca="1" si="732"/>
        <v>0</v>
      </c>
      <c r="QK70" s="235">
        <f t="shared" ca="1" si="390"/>
        <v>6.9575949698732195E-2</v>
      </c>
      <c r="QL70" s="235">
        <f t="shared" ca="1" si="391"/>
        <v>6.9575949698732195E-2</v>
      </c>
      <c r="QM70" s="242">
        <f t="shared" ca="1" si="392"/>
        <v>6.9575949698732195E-2</v>
      </c>
      <c r="QN70" s="241">
        <f t="shared" ca="1" si="805"/>
        <v>1</v>
      </c>
      <c r="QO70" s="220">
        <f t="shared" ca="1" si="733"/>
        <v>0.73100381386591473</v>
      </c>
      <c r="QP70" s="220">
        <f t="shared" ca="1" si="734"/>
        <v>0</v>
      </c>
      <c r="QQ70" s="235">
        <f t="shared" ca="1" si="395"/>
        <v>6.5780195109612458E-2</v>
      </c>
      <c r="QR70" s="235">
        <f t="shared" ca="1" si="396"/>
        <v>6.5780195109612458E-2</v>
      </c>
      <c r="QS70" s="242">
        <f t="shared" ca="1" si="397"/>
        <v>6.5780195109612458E-2</v>
      </c>
      <c r="QT70" s="241">
        <f t="shared" ca="1" si="805"/>
        <v>1</v>
      </c>
      <c r="QU70" s="220">
        <f t="shared" ca="1" si="735"/>
        <v>0.71393414380833176</v>
      </c>
      <c r="QV70" s="220">
        <f t="shared" ca="1" si="736"/>
        <v>0</v>
      </c>
      <c r="QW70" s="235">
        <f t="shared" ca="1" si="400"/>
        <v>6.2071653887543876E-2</v>
      </c>
      <c r="QX70" s="235">
        <f t="shared" ca="1" si="401"/>
        <v>6.2071653887543876E-2</v>
      </c>
      <c r="QY70" s="242">
        <f t="shared" ca="1" si="402"/>
        <v>6.2071653887543876E-2</v>
      </c>
      <c r="QZ70" s="241">
        <f t="shared" ca="1" si="805"/>
        <v>1</v>
      </c>
      <c r="RA70" s="220">
        <f t="shared" ca="1" si="737"/>
        <v>0.69574167395580788</v>
      </c>
      <c r="RB70" s="220">
        <f t="shared" ca="1" si="738"/>
        <v>0</v>
      </c>
      <c r="RC70" s="235">
        <f t="shared" ca="1" si="405"/>
        <v>5.8444390341238162E-2</v>
      </c>
      <c r="RD70" s="235">
        <f t="shared" ca="1" si="406"/>
        <v>5.8444390341238162E-2</v>
      </c>
      <c r="RE70" s="242">
        <f t="shared" ca="1" si="407"/>
        <v>5.8444390341238162E-2</v>
      </c>
      <c r="RF70" s="241">
        <f t="shared" ca="1" si="805"/>
        <v>1</v>
      </c>
      <c r="RG70" s="220">
        <f t="shared" ca="1" si="739"/>
        <v>0.67640422986988014</v>
      </c>
      <c r="RH70" s="220">
        <f t="shared" ca="1" si="740"/>
        <v>0</v>
      </c>
      <c r="RI70" s="235">
        <f t="shared" ca="1" si="410"/>
        <v>5.4898538121829751E-2</v>
      </c>
      <c r="RJ70" s="235">
        <f t="shared" ca="1" si="411"/>
        <v>5.4898538121829751E-2</v>
      </c>
      <c r="RK70" s="242">
        <f t="shared" ca="1" si="412"/>
        <v>5.4898538121829751E-2</v>
      </c>
      <c r="RL70" s="241">
        <f t="shared" ca="1" si="805"/>
        <v>1</v>
      </c>
      <c r="RM70" s="220">
        <f t="shared" ca="1" si="741"/>
        <v>0.65592135698096043</v>
      </c>
      <c r="RN70" s="220">
        <f t="shared" ca="1" si="742"/>
        <v>0</v>
      </c>
      <c r="RO70" s="235">
        <f t="shared" ca="1" si="415"/>
        <v>5.1435845981086484E-2</v>
      </c>
      <c r="RP70" s="235">
        <f t="shared" ca="1" si="416"/>
        <v>5.1435845981086484E-2</v>
      </c>
      <c r="RQ70" s="242">
        <f t="shared" ca="1" si="417"/>
        <v>5.1435845981086484E-2</v>
      </c>
      <c r="RR70" s="241">
        <f t="shared" ca="1" si="805"/>
        <v>1</v>
      </c>
      <c r="RS70" s="220">
        <f t="shared" ca="1" si="743"/>
        <v>0.63426152193073515</v>
      </c>
      <c r="RT70" s="220">
        <f t="shared" ca="1" si="744"/>
        <v>0</v>
      </c>
      <c r="RU70" s="235">
        <f t="shared" ca="1" si="420"/>
        <v>4.8055392729564286E-2</v>
      </c>
      <c r="RV70" s="235">
        <f t="shared" ca="1" si="421"/>
        <v>4.8055392729564286E-2</v>
      </c>
      <c r="RW70" s="242">
        <f t="shared" ca="1" si="422"/>
        <v>4.8055392729564286E-2</v>
      </c>
      <c r="RX70" s="241">
        <f t="shared" ca="1" si="805"/>
        <v>1</v>
      </c>
      <c r="RY70" s="220">
        <f t="shared" ca="1" si="745"/>
        <v>0.61130062057532053</v>
      </c>
      <c r="RZ70" s="220">
        <f t="shared" ca="1" si="746"/>
        <v>0</v>
      </c>
      <c r="SA70" s="235">
        <f t="shared" ca="1" si="425"/>
        <v>4.4749506722088245E-2</v>
      </c>
      <c r="SB70" s="235">
        <f t="shared" ca="1" si="426"/>
        <v>4.4749506722088245E-2</v>
      </c>
      <c r="SC70" s="242">
        <f t="shared" ca="1" si="427"/>
        <v>4.4749506722088245E-2</v>
      </c>
      <c r="SD70" s="241">
        <f t="shared" ca="1" si="799"/>
        <v>1</v>
      </c>
      <c r="SE70" s="220">
        <f t="shared" ca="1" si="747"/>
        <v>0.58693540044042947</v>
      </c>
      <c r="SF70" s="220">
        <f t="shared" ca="1" si="748"/>
        <v>0</v>
      </c>
      <c r="SG70" s="235">
        <f t="shared" ca="1" si="430"/>
        <v>4.1512928389525854E-2</v>
      </c>
      <c r="SH70" s="235">
        <f t="shared" ca="1" si="431"/>
        <v>4.1512928389525854E-2</v>
      </c>
      <c r="SI70" s="242">
        <f t="shared" ca="1" si="432"/>
        <v>4.1512928389525854E-2</v>
      </c>
      <c r="SJ70" s="241">
        <f t="shared" ca="1" si="799"/>
        <v>1</v>
      </c>
      <c r="SK70" s="220">
        <f t="shared" ca="1" si="749"/>
        <v>0.56117421877969853</v>
      </c>
      <c r="SL70" s="220">
        <f t="shared" ca="1" si="750"/>
        <v>0</v>
      </c>
      <c r="SM70" s="235">
        <f t="shared" ca="1" si="435"/>
        <v>3.8348680627614658E-2</v>
      </c>
      <c r="SN70" s="235">
        <f t="shared" ca="1" si="436"/>
        <v>3.8348680627614658E-2</v>
      </c>
      <c r="SO70" s="242">
        <f t="shared" ca="1" si="437"/>
        <v>3.8348680627614658E-2</v>
      </c>
      <c r="SP70" s="241">
        <f t="shared" ca="1" si="808"/>
        <v>1</v>
      </c>
      <c r="SQ70" s="220">
        <f t="shared" ca="1" si="751"/>
        <v>0.5340633310962325</v>
      </c>
      <c r="SR70" s="220">
        <f t="shared" ca="1" si="752"/>
        <v>0</v>
      </c>
      <c r="SS70" s="235">
        <f t="shared" ca="1" si="440"/>
        <v>3.5261852674216394E-2</v>
      </c>
      <c r="ST70" s="235">
        <f t="shared" ca="1" si="441"/>
        <v>3.5261852674216394E-2</v>
      </c>
      <c r="SU70" s="242">
        <f t="shared" ca="1" si="442"/>
        <v>3.5261852674216394E-2</v>
      </c>
      <c r="SV70" s="241">
        <f t="shared" ca="1" si="808"/>
        <v>1</v>
      </c>
      <c r="SW70" s="220">
        <f t="shared" ca="1" si="753"/>
        <v>0.50563620810864218</v>
      </c>
      <c r="SX70" s="220">
        <f t="shared" ca="1" si="754"/>
        <v>0</v>
      </c>
      <c r="SY70" s="235">
        <f t="shared" ca="1" si="446"/>
        <v>3.2255975632920972E-2</v>
      </c>
      <c r="SZ70" s="235">
        <f t="shared" ca="1" si="447"/>
        <v>3.2255975632920972E-2</v>
      </c>
      <c r="TA70" s="242">
        <f t="shared" ca="1" si="448"/>
        <v>3.2255975632920972E-2</v>
      </c>
      <c r="TB70" s="241">
        <f t="shared" ca="1" si="808"/>
        <v>1</v>
      </c>
      <c r="TC70" s="220">
        <f t="shared" ca="1" si="755"/>
        <v>0.47585575235966748</v>
      </c>
      <c r="TD70" s="220">
        <f t="shared" ca="1" si="756"/>
        <v>0</v>
      </c>
      <c r="TE70" s="235">
        <f t="shared" ca="1" si="451"/>
        <v>2.9329657426153458E-2</v>
      </c>
      <c r="TF70" s="235">
        <f t="shared" ca="1" si="452"/>
        <v>2.9329657426153458E-2</v>
      </c>
      <c r="TG70" s="242">
        <f t="shared" ca="1" si="453"/>
        <v>2.9329657426153458E-2</v>
      </c>
      <c r="TH70" s="241">
        <f t="shared" ca="1" si="808"/>
        <v>1</v>
      </c>
      <c r="TI70" s="220">
        <f t="shared" ca="1" si="757"/>
        <v>0.4447514411066778</v>
      </c>
      <c r="TJ70" s="220">
        <f t="shared" ca="1" si="758"/>
        <v>0</v>
      </c>
      <c r="TK70" s="235">
        <f t="shared" ca="1" si="456"/>
        <v>2.6485530790814431E-2</v>
      </c>
      <c r="TL70" s="235">
        <f t="shared" ca="1" si="457"/>
        <v>2.6485530790814431E-2</v>
      </c>
      <c r="TM70" s="242">
        <f t="shared" ca="1" si="458"/>
        <v>2.6485530790814431E-2</v>
      </c>
      <c r="TN70" s="241">
        <f t="shared" ca="1" si="808"/>
        <v>1</v>
      </c>
      <c r="TO70" s="220">
        <f t="shared" ca="1" si="759"/>
        <v>0.41251096438941365</v>
      </c>
      <c r="TP70" s="220">
        <f t="shared" ca="1" si="760"/>
        <v>0</v>
      </c>
      <c r="TQ70" s="235">
        <f t="shared" ca="1" si="461"/>
        <v>2.3734848481408222E-2</v>
      </c>
      <c r="TR70" s="235">
        <f t="shared" ca="1" si="462"/>
        <v>2.3734848481408222E-2</v>
      </c>
      <c r="TS70" s="242">
        <f t="shared" ca="1" si="463"/>
        <v>2.3734848481408222E-2</v>
      </c>
      <c r="TT70" s="241">
        <f t="shared" ca="1" si="808"/>
        <v>1</v>
      </c>
      <c r="TU70" s="220">
        <f t="shared" ca="1" si="761"/>
        <v>0.37939128408051637</v>
      </c>
      <c r="TV70" s="220">
        <f t="shared" ca="1" si="762"/>
        <v>0</v>
      </c>
      <c r="TW70" s="235">
        <f t="shared" ca="1" si="466"/>
        <v>2.1091038615007652E-2</v>
      </c>
      <c r="TX70" s="235">
        <f t="shared" ca="1" si="467"/>
        <v>2.1091038615007652E-2</v>
      </c>
      <c r="TY70" s="242">
        <f t="shared" ca="1" si="468"/>
        <v>2.1091038615007652E-2</v>
      </c>
      <c r="TZ70" s="241">
        <f t="shared" ca="1" si="808"/>
        <v>1</v>
      </c>
      <c r="UA70" s="220">
        <f t="shared" ca="1" si="763"/>
        <v>0.34565732866521315</v>
      </c>
      <c r="UB70" s="220">
        <f t="shared" ca="1" si="764"/>
        <v>0</v>
      </c>
      <c r="UC70" s="235">
        <f t="shared" ca="1" si="471"/>
        <v>1.8565901280691431E-2</v>
      </c>
      <c r="UD70" s="235">
        <f t="shared" ca="1" si="472"/>
        <v>1.8565901280691431E-2</v>
      </c>
      <c r="UE70" s="242">
        <f t="shared" ca="1" si="473"/>
        <v>1.8565901280691431E-2</v>
      </c>
      <c r="UF70" s="241">
        <f t="shared" ca="1" si="808"/>
        <v>1</v>
      </c>
      <c r="UG70" s="220">
        <f t="shared" ca="1" si="765"/>
        <v>0.31158381183471112</v>
      </c>
      <c r="UH70" s="220">
        <f t="shared" ca="1" si="766"/>
        <v>0</v>
      </c>
      <c r="UI70" s="235">
        <f t="shared" ca="1" si="476"/>
        <v>1.6169805793281151E-2</v>
      </c>
      <c r="UJ70" s="235">
        <f t="shared" ca="1" si="477"/>
        <v>1.6169805793281151E-2</v>
      </c>
      <c r="UK70" s="242">
        <f t="shared" ca="1" si="478"/>
        <v>1.6169805793281151E-2</v>
      </c>
      <c r="UL70" s="241">
        <f t="shared" ca="1" si="808"/>
        <v>1</v>
      </c>
      <c r="UM70" s="220">
        <f t="shared" ca="1" si="767"/>
        <v>0.27748470263514402</v>
      </c>
      <c r="UN70" s="220">
        <f t="shared" ca="1" si="768"/>
        <v>0</v>
      </c>
      <c r="UO70" s="235">
        <f t="shared" ca="1" si="481"/>
        <v>1.3913250808575896E-2</v>
      </c>
      <c r="UP70" s="235">
        <f t="shared" ca="1" si="482"/>
        <v>1.3913250808575896E-2</v>
      </c>
      <c r="UQ70" s="242">
        <f t="shared" ca="1" si="483"/>
        <v>1.3913250808575896E-2</v>
      </c>
      <c r="UR70" s="241">
        <f t="shared" ca="1" si="808"/>
        <v>1</v>
      </c>
      <c r="US70" s="220">
        <f t="shared" ca="1" si="769"/>
        <v>0.24373729058536042</v>
      </c>
      <c r="UT70" s="220">
        <f t="shared" ca="1" si="770"/>
        <v>0</v>
      </c>
      <c r="UU70" s="235">
        <f t="shared" ca="1" si="486"/>
        <v>1.1807860056509861E-2</v>
      </c>
      <c r="UV70" s="235">
        <f t="shared" ca="1" si="487"/>
        <v>1.1807860056509861E-2</v>
      </c>
      <c r="UW70" s="242">
        <f t="shared" ca="1" si="488"/>
        <v>1.1807860056509861E-2</v>
      </c>
      <c r="UX70" s="241">
        <f t="shared" ca="1" si="808"/>
        <v>1</v>
      </c>
      <c r="UY70" s="220">
        <f t="shared" ca="1" si="771"/>
        <v>0.21078985859319374</v>
      </c>
      <c r="UZ70" s="220">
        <f t="shared" ca="1" si="772"/>
        <v>0</v>
      </c>
      <c r="VA70" s="235">
        <f t="shared" ca="1" si="491"/>
        <v>9.866396874889936E-3</v>
      </c>
      <c r="VB70" s="235">
        <f t="shared" ca="1" si="492"/>
        <v>9.866396874889936E-3</v>
      </c>
      <c r="VC70" s="242">
        <f t="shared" ca="1" si="493"/>
        <v>9.866396874889936E-3</v>
      </c>
      <c r="VD70" s="241">
        <f t="shared" ca="1" si="806"/>
        <v>1</v>
      </c>
      <c r="VE70" s="220">
        <f t="shared" ca="1" si="773"/>
        <v>0.17914840370962801</v>
      </c>
      <c r="VF70" s="220">
        <f t="shared" ca="1" si="774"/>
        <v>0</v>
      </c>
      <c r="VG70" s="235">
        <f t="shared" ca="1" si="496"/>
        <v>8.1017989433788233E-3</v>
      </c>
      <c r="VH70" s="235">
        <f t="shared" ca="1" si="497"/>
        <v>8.1017989433788233E-3</v>
      </c>
      <c r="VI70" s="242">
        <f t="shared" ca="1" si="498"/>
        <v>8.1017989433788233E-3</v>
      </c>
      <c r="VJ70" s="241">
        <f t="shared" ca="1" si="806"/>
        <v>1</v>
      </c>
      <c r="VK70" s="220">
        <f t="shared" ca="1" si="775"/>
        <v>0.14933864677755704</v>
      </c>
      <c r="VL70" s="220">
        <f t="shared" ca="1" si="776"/>
        <v>0</v>
      </c>
      <c r="VM70" s="235">
        <f t="shared" ca="1" si="502"/>
        <v>6.5252984585482295E-3</v>
      </c>
      <c r="VN70" s="235">
        <f t="shared" ca="1" si="503"/>
        <v>6.5252984585482295E-3</v>
      </c>
      <c r="VO70" s="242">
        <f t="shared" ca="1" si="504"/>
        <v>6.5252984585482295E-3</v>
      </c>
      <c r="VP70" s="241">
        <f t="shared" ca="1" si="567"/>
        <v>1</v>
      </c>
      <c r="VQ70" s="220">
        <f t="shared" ca="1" si="777"/>
        <v>0.12186078378642688</v>
      </c>
      <c r="VR70" s="220">
        <f t="shared" ca="1" si="778"/>
        <v>0</v>
      </c>
      <c r="VS70" s="235">
        <f t="shared" ca="1" si="507"/>
        <v>5.1446020464451514E-3</v>
      </c>
      <c r="VT70" s="235">
        <f t="shared" ca="1" si="508"/>
        <v>5.1446020464451514E-3</v>
      </c>
      <c r="VU70" s="242">
        <f t="shared" ca="1" si="509"/>
        <v>5.1446020464451514E-3</v>
      </c>
      <c r="VV70" s="241">
        <f t="shared" ca="1" si="578"/>
        <v>1</v>
      </c>
      <c r="VW70" s="220">
        <f t="shared" ca="1" si="779"/>
        <v>9.714071449143126E-2</v>
      </c>
      <c r="VX70" s="220">
        <f t="shared" ca="1" si="780"/>
        <v>0</v>
      </c>
      <c r="VY70" s="235">
        <f t="shared" ca="1" si="512"/>
        <v>3.9623128486120972E-3</v>
      </c>
      <c r="VZ70" s="235">
        <f t="shared" ca="1" si="513"/>
        <v>3.9623128486120972E-3</v>
      </c>
      <c r="WA70" s="242">
        <f t="shared" ca="1" si="514"/>
        <v>3.9623128486120972E-3</v>
      </c>
      <c r="WB70" s="241">
        <f t="shared" ca="1" si="578"/>
        <v>1</v>
      </c>
      <c r="WC70" s="220">
        <f t="shared" ca="1" si="781"/>
        <v>7.5486980683431834E-2</v>
      </c>
      <c r="WD70" s="220">
        <f t="shared" ca="1" si="782"/>
        <v>0</v>
      </c>
      <c r="WE70" s="235">
        <f t="shared" ca="1" si="517"/>
        <v>2.9749465982754843E-3</v>
      </c>
      <c r="WF70" s="235">
        <f t="shared" ca="1" si="518"/>
        <v>2.9749465982754843E-3</v>
      </c>
      <c r="WG70" s="242">
        <f t="shared" ca="1" si="519"/>
        <v>2.9749465982754843E-3</v>
      </c>
      <c r="WH70" s="241">
        <f t="shared" ca="1" si="578"/>
        <v>1</v>
      </c>
      <c r="WI70" s="220">
        <f t="shared" ca="1" si="783"/>
        <v>5.7061061620490225E-2</v>
      </c>
      <c r="WJ70" s="220">
        <f t="shared" ca="1" si="784"/>
        <v>0</v>
      </c>
      <c r="WK70" s="235">
        <f t="shared" ca="1" si="522"/>
        <v>2.1727342833971291E-3</v>
      </c>
      <c r="WL70" s="235">
        <f t="shared" ca="1" si="523"/>
        <v>2.1727342833971291E-3</v>
      </c>
      <c r="WM70" s="242">
        <f t="shared" ca="1" si="524"/>
        <v>2.1727342833971291E-3</v>
      </c>
      <c r="WN70" s="241">
        <f t="shared" ca="1" si="578"/>
        <v>1</v>
      </c>
      <c r="WO70" s="220">
        <f t="shared" ca="1" si="785"/>
        <v>4.1934687734452851E-2</v>
      </c>
      <c r="WP70" s="220">
        <f t="shared" ca="1" si="786"/>
        <v>0</v>
      </c>
      <c r="WQ70" s="235">
        <f t="shared" ca="1" si="527"/>
        <v>1.5427651975624165E-3</v>
      </c>
      <c r="WR70" s="235">
        <f t="shared" ca="1" si="528"/>
        <v>1.5427651975624165E-3</v>
      </c>
      <c r="WS70" s="242">
        <f t="shared" ca="1" si="529"/>
        <v>1.5427651975624165E-3</v>
      </c>
      <c r="WT70" s="241">
        <f t="shared" ca="1" si="578"/>
        <v>1</v>
      </c>
      <c r="WU70" s="220">
        <f t="shared" ca="1" si="787"/>
        <v>2.9961998908764689E-2</v>
      </c>
      <c r="WV70" s="220">
        <f t="shared" ca="1" si="788"/>
        <v>0</v>
      </c>
      <c r="WW70" s="235">
        <f t="shared" ca="1" si="532"/>
        <v>1.0650177696007403E-3</v>
      </c>
      <c r="WX70" s="235">
        <f t="shared" ca="1" si="533"/>
        <v>1.0650177696007403E-3</v>
      </c>
      <c r="WY70" s="242">
        <f t="shared" ca="1" si="534"/>
        <v>1.0650177696007403E-3</v>
      </c>
      <c r="WZ70" s="241">
        <f t="shared" ca="1" si="578"/>
        <v>1</v>
      </c>
      <c r="XA70" s="220">
        <f t="shared" ca="1" si="789"/>
        <v>2.0825806429510707E-2</v>
      </c>
      <c r="XB70" s="220">
        <f t="shared" ca="1" si="790"/>
        <v>0</v>
      </c>
      <c r="XC70" s="235">
        <f t="shared" ca="1" si="537"/>
        <v>7.1523300597822715E-4</v>
      </c>
      <c r="XD70" s="235">
        <f t="shared" ca="1" si="538"/>
        <v>7.1523300597822715E-4</v>
      </c>
      <c r="XE70" s="242">
        <f t="shared" ca="1" si="539"/>
        <v>7.1523300597822715E-4</v>
      </c>
      <c r="XF70" s="241">
        <f t="shared" ca="1" si="578"/>
        <v>1</v>
      </c>
      <c r="XG70" s="220">
        <f t="shared" ca="1" si="791"/>
        <v>1.410075784309954E-2</v>
      </c>
      <c r="XH70" s="220">
        <f t="shared" ca="1" si="792"/>
        <v>0</v>
      </c>
      <c r="XI70" s="235">
        <f t="shared" ca="1" si="542"/>
        <v>4.6789437576883483E-4</v>
      </c>
      <c r="XJ70" s="235">
        <f t="shared" ca="1" si="543"/>
        <v>4.6789437576883483E-4</v>
      </c>
      <c r="XK70" s="242">
        <f t="shared" ca="1" si="544"/>
        <v>4.6789437576883483E-4</v>
      </c>
    </row>
    <row r="71" spans="2:635" x14ac:dyDescent="0.25">
      <c r="B71" s="65">
        <f t="shared" ref="B71:B86" ca="1" si="810">B70+1</f>
        <v>2086</v>
      </c>
      <c r="C71" s="65" t="s">
        <v>741</v>
      </c>
      <c r="D71" s="77">
        <f t="shared" ref="D71:D86" si="811">IF(INDEX(SC_ShowRetireatee,1),IF($B71&lt;YEAR(INDEX(SP_BirthDate,1)),0,$B71-YEAR(INDEX(SP_BirthDate,1))),0)</f>
        <v>0</v>
      </c>
      <c r="E71" s="77">
        <f t="shared" ref="E71:E86" si="812">IF(INDEX(SC_ShowRetireatee,2),IF($B71&lt;YEAR(INDEX(SP_BirthDate,2)),0,$B71-YEAR(INDEX(SP_BirthDate,2))),0)</f>
        <v>0</v>
      </c>
      <c r="F71" s="77" t="b">
        <f t="shared" ref="F71:F86" si="813">IF(INDEX(SC_ShowRetireatee,1),IF($B71&gt;(YEAR(INDEX(SP_BirthDate,1))+INDEX(SP_LifeExp,1)),0,$D71))</f>
        <v>0</v>
      </c>
      <c r="G71" s="77" t="b">
        <f t="shared" ref="G71:G86" si="814">IF(INDEX(SC_ShowRetireatee,2),IF($B71&gt;(YEAR(INDEX(SP_BirthDate,2))+INDEX(SP_LifeExp,2)),0,$E71))</f>
        <v>0</v>
      </c>
      <c r="H71" s="15" t="e">
        <f t="shared" ref="H71:H86" ca="1" si="815">INDEX(SC_EX_APW,EXIDX1)</f>
        <v>#REF!</v>
      </c>
      <c r="L71" s="326">
        <f t="shared" ref="L71:L86" ca="1" si="816">MIN(MAX(IF(SP_AnnyRate="Indexed",INDEX(SP_EA_ARStocks,EAIDX),INDEX(SP_EA_BondYield,EAIDX))*SP_AnnyParticipation-SP_AnnyFees,SP_AnnyFloor),SP_AnnyCeiling)</f>
        <v>3.5000000000000003E-2</v>
      </c>
      <c r="M71" s="327">
        <f t="shared" ref="M71:M86" ca="1" si="817">$L71-IF(SP_AnnyInflation,INDEX(SP_EA_InflationCPRate, EAIDX),0)</f>
        <v>3.5000000000000003E-2</v>
      </c>
      <c r="N71" s="322">
        <f t="shared" ca="1" si="809"/>
        <v>-63</v>
      </c>
      <c r="O71" s="322">
        <f t="shared" ref="O71:O86" ca="1" si="818">MAX(YEAR(SP_TargetRD)-$B71+SP_AnnyPeriod+IF(SC_AnnyPmntPr&gt;0,1,0),0)</f>
        <v>0</v>
      </c>
      <c r="P71" s="328">
        <f t="shared" ca="1" si="545"/>
        <v>26.87829936156087</v>
      </c>
      <c r="Q71" s="328">
        <f t="shared" ca="1" si="546"/>
        <v>26.87829936156087</v>
      </c>
      <c r="R71" s="328">
        <f t="shared" ca="1" si="547"/>
        <v>26.87829936156087</v>
      </c>
      <c r="S71" s="329">
        <f t="shared" ref="S71:S86" ca="1" si="819">IF((P71-AM71)&gt;0,($P72-P71+AM71)/(P71-AM71),0)</f>
        <v>3.8642415640549425E-2</v>
      </c>
      <c r="T71" s="329">
        <f t="shared" ref="T71:T86" ca="1" si="820">IF((Q71-AN71)&gt;0,($P72-Q71+AN71)/(Q71-AN71),0)</f>
        <v>3.8642415640549425E-2</v>
      </c>
      <c r="U71" s="329">
        <f t="shared" ref="U71:U86" ca="1" si="821">IF(SP_AnnyRate="Variable",$T71,$S71)</f>
        <v>3.8642415640549425E-2</v>
      </c>
      <c r="V71" s="320" t="e">
        <f t="shared" ref="V71:V86" ca="1" si="822">MAX(V70+SUM(X70:AB70),0)</f>
        <v>#REF!</v>
      </c>
      <c r="W71" s="320" t="e">
        <f t="shared" ca="1" si="560"/>
        <v>#REF!</v>
      </c>
      <c r="X71" s="320" t="e">
        <f t="shared" ref="X71:X86" ca="1" si="823">MAX(SP_AnnyContrib/INDEX(SC_EA_InflationWageIdx, EAIDX)*ABS($H71),0)</f>
        <v>#REF!</v>
      </c>
      <c r="Y71" s="320" t="e">
        <f ca="1">INDEX(SC_ZA_HECMLumpSum,ZAIDX)</f>
        <v>#REF!</v>
      </c>
      <c r="Z71" s="320" t="e">
        <f t="shared" ref="Z71:Z86" ca="1" si="824">INDEX(SC_EX_RolloverAnny,EXIDX1)</f>
        <v>#REF!</v>
      </c>
      <c r="AA71" s="320" t="e">
        <f t="shared" ca="1" si="557"/>
        <v>#REF!</v>
      </c>
      <c r="AB71" s="320" t="e">
        <f t="shared" ca="1" si="558"/>
        <v>#REF!</v>
      </c>
      <c r="AC71" s="330" t="e">
        <f t="shared" ca="1" si="559"/>
        <v>#REF!</v>
      </c>
      <c r="AD71" s="236" t="e">
        <f t="shared" ca="1" si="548"/>
        <v>#REF!</v>
      </c>
      <c r="AE71" s="320" t="e">
        <f t="shared" ca="1" si="561"/>
        <v>#REF!</v>
      </c>
      <c r="AF71" s="320" t="e">
        <f t="shared" ref="AF71:AF86" ca="1" si="825">-$AA71-$AE71</f>
        <v>#REF!</v>
      </c>
      <c r="AG71" s="320" t="e">
        <f t="shared" ca="1" si="549"/>
        <v>#REF!</v>
      </c>
      <c r="AH71" s="284" t="e">
        <f t="shared" ca="1" si="550"/>
        <v>#REF!</v>
      </c>
      <c r="AI71" s="318" t="e">
        <f t="shared" ca="1" si="551"/>
        <v>#REF!</v>
      </c>
      <c r="AJ71" s="331">
        <f t="shared" ca="1" si="807"/>
        <v>1</v>
      </c>
      <c r="AK71" s="220">
        <f t="shared" ref="AK71:AK86" ca="1" si="826">IF($F71&gt;0,IF(AJ$2&gt;0,PRODUCT(OFFSET(LT_AnnuityLifeTable,$F71,2,AJ$2,1)),100%),0)</f>
        <v>1</v>
      </c>
      <c r="AL71" s="220">
        <f t="shared" ref="AL71:AL86" ca="1" si="827">IF(AND($G71&gt;0,SP_AnnySurvivor),IF(AJ$2&gt;0,PRODUCT(OFFSET(LT_AnnuityLifeTable,$G71,5,AJ$2,1)),100%),0)</f>
        <v>0</v>
      </c>
      <c r="AM71" s="235">
        <f t="shared" ca="1" si="554"/>
        <v>1</v>
      </c>
      <c r="AN71" s="235">
        <f t="shared" ca="1" si="555"/>
        <v>1</v>
      </c>
      <c r="AO71" s="242">
        <f t="shared" ca="1" si="556"/>
        <v>1</v>
      </c>
      <c r="AP71" s="241">
        <f t="shared" ca="1" si="807"/>
        <v>1</v>
      </c>
      <c r="AQ71" s="220">
        <f t="shared" ref="AQ71:AQ86" ca="1" si="828">IF($F71&gt;0,IF(AP$2&gt;0,PRODUCT(OFFSET(LT_AnnuityLifeTable,$F71,2,AP$2,1)),100%),0)</f>
        <v>0.99361699999999997</v>
      </c>
      <c r="AR71" s="220">
        <f t="shared" ref="AR71:AR86" ca="1" si="829">IF(AND($G71&gt;0,SP_AnnySurvivor),IF(AP$2&gt;0,PRODUCT(OFFSET(LT_AnnuityLifeTable,$G71,5,AP$2,1)),100%),0)</f>
        <v>0</v>
      </c>
      <c r="AS71" s="235">
        <f t="shared" ref="AS71:AS86" ca="1" si="830">ABS(AP71)*IF(AP$2&lt;$O71,1,(AQ71+AR71)-(AQ71*AR71))/POWER(1+$L71,AP$2)</f>
        <v>0.96001642512077301</v>
      </c>
      <c r="AT71" s="235">
        <f t="shared" ref="AT71:AT86" ca="1" si="831">ABS(AP71)*IF(AP$2&lt;$O71,1,(AQ71+AR71)-(AQ71*AR71))/POWER(1+$L72,AP$2)</f>
        <v>0.96001642512077301</v>
      </c>
      <c r="AU71" s="242">
        <f t="shared" ref="AU71:AU86" ca="1" si="832">ABS(AP71)*IF(AP$2&lt;$O71,1,(AQ71+AR71)-(AQ71*AR71))/POWER(1+$M71,AP$2)</f>
        <v>0.96001642512077301</v>
      </c>
      <c r="AV71" s="241">
        <f t="shared" ca="1" si="807"/>
        <v>1</v>
      </c>
      <c r="AW71" s="220">
        <f t="shared" ref="AW71:AW86" ca="1" si="833">IF($F71&gt;0,IF(AV$2&gt;0,PRODUCT(OFFSET(LT_AnnuityLifeTable,$F71,2,AV$2,1)),100%),0)</f>
        <v>0.99316689149899995</v>
      </c>
      <c r="AX71" s="220">
        <f t="shared" ref="AX71:AX86" ca="1" si="834">IF(AND($G71&gt;0,SP_AnnySurvivor),IF(AV$2&gt;0,PRODUCT(OFFSET(LT_AnnuityLifeTable,$G71,5,AV$2,1)),100%),0)</f>
        <v>0</v>
      </c>
      <c r="AY71" s="235">
        <f t="shared" ref="AY71:AY86" ca="1" si="835">ABS(AV71)*IF(AV$2&lt;$O71,1,(AW71+AX71)-(AW71*AX71))/POWER(1+$L71,AV$2)</f>
        <v>0.92713192046395487</v>
      </c>
      <c r="AZ71" s="235">
        <f t="shared" ref="AZ71:AZ86" ca="1" si="836">ABS(AV71)*IF(AV$2&lt;$O71,1,(AW71+AX71)-(AW71*AX71))/POWER(1+$L72,AV$2)</f>
        <v>0.92713192046395487</v>
      </c>
      <c r="BA71" s="242">
        <f t="shared" ref="BA71:BA86" ca="1" si="837">ABS(AV71)*IF(AV$2&lt;$O71,1,(AW71+AX71)-(AW71*AX71))/POWER(1+$M71,AV$2)</f>
        <v>0.92713192046395487</v>
      </c>
      <c r="BB71" s="241">
        <f t="shared" ca="1" si="807"/>
        <v>1</v>
      </c>
      <c r="BC71" s="220">
        <f t="shared" ref="BC71:BC86" ca="1" si="838">IF($F71&gt;0,IF(BB$2&gt;0,PRODUCT(OFFSET(LT_AnnuityLifeTable,$F71,2,BB$2,1)),100%),0)</f>
        <v>0.99288681843559723</v>
      </c>
      <c r="BD71" s="220">
        <f t="shared" ref="BD71:BD86" ca="1" si="839">IF(AND($G71&gt;0,SP_AnnySurvivor),IF(BB$2&gt;0,PRODUCT(OFFSET(LT_AnnuityLifeTable,$G71,5,BB$2,1)),100%),0)</f>
        <v>0</v>
      </c>
      <c r="BE71" s="235">
        <f t="shared" ref="BE71:BE86" ca="1" si="840">ABS(BB71)*IF(BB$2&lt;$O71,1,(BC71+BD71)-(BC71*BD71))/POWER(1+$L71,BB$2)</f>
        <v>0.89552702344191704</v>
      </c>
      <c r="BF71" s="235">
        <f t="shared" ref="BF71:BF86" ca="1" si="841">ABS(BB71)*IF(BB$2&lt;$O71,1,(BC71+BD71)-(BC71*BD71))/POWER(1+$L72,BB$2)</f>
        <v>0.89552702344191704</v>
      </c>
      <c r="BG71" s="242">
        <f t="shared" ref="BG71:BG86" ca="1" si="842">ABS(BB71)*IF(BB$2&lt;$O71,1,(BC71+BD71)-(BC71*BD71))/POWER(1+$M71,BB$2)</f>
        <v>0.89552702344191704</v>
      </c>
      <c r="BH71" s="241">
        <f t="shared" ca="1" si="807"/>
        <v>1</v>
      </c>
      <c r="BI71" s="220">
        <f t="shared" ref="BI71:BI86" ca="1" si="843">IF($F71&gt;0,IF(BH$2&gt;0,PRODUCT(OFFSET(LT_AnnuityLifeTable,$F71,2,BH$2,1)),100%),0)</f>
        <v>0.99265845446735712</v>
      </c>
      <c r="BJ71" s="220">
        <f t="shared" ref="BJ71:BJ86" ca="1" si="844">IF(AND($G71&gt;0,SP_AnnySurvivor),IF(BH$2&gt;0,PRODUCT(OFFSET(LT_AnnuityLifeTable,$G71,5,BH$2,1)),100%),0)</f>
        <v>0</v>
      </c>
      <c r="BK71" s="235">
        <f t="shared" ref="BK71:BK86" ca="1" si="845">ABS(BH71)*IF(BH$2&lt;$O71,1,(BI71+BJ71)-(BI71*BJ71))/POWER(1+$L71,BH$2)</f>
        <v>0.86504449490485558</v>
      </c>
      <c r="BL71" s="235">
        <f t="shared" ref="BL71:BL86" ca="1" si="846">ABS(BH71)*IF(BH$2&lt;$O71,1,(BI71+BJ71)-(BI71*BJ71))/POWER(1+$L72,BH$2)</f>
        <v>0.86504449490485558</v>
      </c>
      <c r="BM71" s="242">
        <f t="shared" ref="BM71:BM86" ca="1" si="847">ABS(BH71)*IF(BH$2&lt;$O71,1,(BI71+BJ71)-(BI71*BJ71))/POWER(1+$M71,BH$2)</f>
        <v>0.86504449490485558</v>
      </c>
      <c r="BN71" s="241">
        <f t="shared" ca="1" si="807"/>
        <v>1</v>
      </c>
      <c r="BO71" s="220">
        <f t="shared" ref="BO71:BO86" ca="1" si="848">IF($F71&gt;0,IF(BN$2&gt;0,PRODUCT(OFFSET(LT_AnnuityLifeTable,$F71,2,BN$2,1)),100%),0)</f>
        <v>0.99249069518855215</v>
      </c>
      <c r="BP71" s="220">
        <f t="shared" ref="BP71:BP86" ca="1" si="849">IF(AND($G71&gt;0,SP_AnnySurvivor),IF(BN$2&gt;0,PRODUCT(OFFSET(LT_AnnuityLifeTable,$G71,5,BN$2,1)),100%),0)</f>
        <v>0</v>
      </c>
      <c r="BQ71" s="235">
        <f t="shared" ref="BQ71:BQ86" ca="1" si="850">ABS(BN71)*IF(BN$2&lt;$O71,1,(BO71+BP71)-(BO71*BP71))/POWER(1+$L71,BN$2)</f>
        <v>0.83565053370552345</v>
      </c>
      <c r="BR71" s="235">
        <f t="shared" ref="BR71:BR86" ca="1" si="851">ABS(BN71)*IF(BN$2&lt;$O71,1,(BO71+BP71)-(BO71*BP71))/POWER(1+$L72,BN$2)</f>
        <v>0.83565053370552345</v>
      </c>
      <c r="BS71" s="242">
        <f t="shared" ref="BS71:BS86" ca="1" si="852">ABS(BN71)*IF(BN$2&lt;$O71,1,(BO71+BP71)-(BO71*BP71))/POWER(1+$M71,BN$2)</f>
        <v>0.83565053370552345</v>
      </c>
      <c r="BT71" s="241">
        <f t="shared" ca="1" si="807"/>
        <v>1</v>
      </c>
      <c r="BU71" s="220">
        <f t="shared" ref="BU71:BU86" ca="1" si="853">IF($F71&gt;0,IF(BT$2&gt;0,PRODUCT(OFFSET(LT_AnnuityLifeTable,$F71,2,BT$2,1)),100%),0)</f>
        <v>0.99233685913079794</v>
      </c>
      <c r="BV71" s="220">
        <f t="shared" ref="BV71:BV86" ca="1" si="854">IF(AND($G71&gt;0,SP_AnnySurvivor),IF(BT$2&gt;0,PRODUCT(OFFSET(LT_AnnuityLifeTable,$G71,5,BT$2,1)),100%),0)</f>
        <v>0</v>
      </c>
      <c r="BW71" s="235">
        <f t="shared" ref="BW71:BW86" ca="1" si="855">ABS(BT71)*IF(BT$2&lt;$O71,1,(BU71+BV71)-(BU71*BV71))/POWER(1+$L71,BT$2)</f>
        <v>0.80726667427323584</v>
      </c>
      <c r="BX71" s="235">
        <f t="shared" ref="BX71:BX86" ca="1" si="856">ABS(BT71)*IF(BT$2&lt;$O71,1,(BU71+BV71)-(BU71*BV71))/POWER(1+$L72,BT$2)</f>
        <v>0.80726667427323584</v>
      </c>
      <c r="BY71" s="242">
        <f t="shared" ref="BY71:BY86" ca="1" si="857">ABS(BT71)*IF(BT$2&lt;$O71,1,(BU71+BV71)-(BU71*BV71))/POWER(1+$M71,BT$2)</f>
        <v>0.80726667427323584</v>
      </c>
      <c r="BZ71" s="241">
        <f t="shared" ca="1" si="807"/>
        <v>1</v>
      </c>
      <c r="CA71" s="220">
        <f t="shared" ref="CA71:CA86" ca="1" si="858">IF($F71&gt;0,IF(BZ$2&gt;0,PRODUCT(OFFSET(LT_AnnuityLifeTable,$F71,2,BZ$2,1)),100%),0)</f>
        <v>0.992192970286224</v>
      </c>
      <c r="CB71" s="220">
        <f t="shared" ref="CB71:CB86" ca="1" si="859">IF(AND($G71&gt;0,SP_AnnySurvivor),IF(BZ$2&gt;0,PRODUCT(OFFSET(LT_AnnuityLifeTable,$G71,5,BZ$2,1)),100%),0)</f>
        <v>0</v>
      </c>
      <c r="CC71" s="235">
        <f t="shared" ref="CC71:CC86" ca="1" si="860">ABS(BZ71)*IF(BZ$2&lt;$O71,1,(CA71+CB71)-(CA71*CB71))/POWER(1+$L71,BZ$2)</f>
        <v>0.7798547058990013</v>
      </c>
      <c r="CD71" s="235">
        <f t="shared" ref="CD71:CD86" ca="1" si="861">ABS(BZ71)*IF(BZ$2&lt;$O71,1,(CA71+CB71)-(CA71*CB71))/POWER(1+$L72,BZ$2)</f>
        <v>0.7798547058990013</v>
      </c>
      <c r="CE71" s="242">
        <f t="shared" ref="CE71:CE86" ca="1" si="862">ABS(BZ71)*IF(BZ$2&lt;$O71,1,(CA71+CB71)-(CA71*CB71))/POWER(1+$M71,BZ$2)</f>
        <v>0.7798547058990013</v>
      </c>
      <c r="CF71" s="241">
        <f t="shared" ca="1" si="807"/>
        <v>1</v>
      </c>
      <c r="CG71" s="220">
        <f t="shared" ref="CG71:CG86" ca="1" si="863">IF($F71&gt;0,IF(CF$2&gt;0,PRODUCT(OFFSET(LT_AnnuityLifeTable,$F71,2,CF$2,1)),100%),0)</f>
        <v>0.9920590242352354</v>
      </c>
      <c r="CH71" s="220">
        <f t="shared" ref="CH71:CH86" ca="1" si="864">IF(AND($G71&gt;0,SP_AnnySurvivor),IF(CF$2&gt;0,PRODUCT(OFFSET(LT_AnnuityLifeTable,$G71,5,CF$2,1)),100%),0)</f>
        <v>0</v>
      </c>
      <c r="CI71" s="235">
        <f t="shared" ref="CI71:CI86" ca="1" si="865">ABS(CF71)*IF(CF$2&lt;$O71,1,(CG71+CH71)-(CG71*CH71))/POWER(1+$L71,CF$2)</f>
        <v>0.75338108745285515</v>
      </c>
      <c r="CJ71" s="235">
        <f t="shared" ref="CJ71:CJ86" ca="1" si="866">ABS(CF71)*IF(CF$2&lt;$O71,1,(CG71+CH71)-(CG71*CH71))/POWER(1+$L72,CF$2)</f>
        <v>0.75338108745285515</v>
      </c>
      <c r="CK71" s="242">
        <f t="shared" ref="CK71:CK86" ca="1" si="867">ABS(CF71)*IF(CF$2&lt;$O71,1,(CG71+CH71)-(CG71*CH71))/POWER(1+$M71,CF$2)</f>
        <v>0.75338108745285515</v>
      </c>
      <c r="CL71" s="241">
        <f t="shared" ca="1" si="807"/>
        <v>1</v>
      </c>
      <c r="CM71" s="220">
        <f t="shared" ref="CM71:CM86" ca="1" si="868">IF($F71&gt;0,IF(CL$2&gt;0,PRODUCT(OFFSET(LT_AnnuityLifeTable,$F71,2,CL$2,1)),100%),0)</f>
        <v>0.99193997715232718</v>
      </c>
      <c r="CN71" s="220">
        <f t="shared" ref="CN71:CN86" ca="1" si="869">IF(AND($G71&gt;0,SP_AnnySurvivor),IF(CL$2&gt;0,PRODUCT(OFFSET(LT_AnnuityLifeTable,$G71,5,CL$2,1)),100%),0)</f>
        <v>0</v>
      </c>
      <c r="CO71" s="235">
        <f t="shared" ref="CO71:CO86" ca="1" si="870">ABS(CL71)*IF(CL$2&lt;$O71,1,(CM71+CN71)-(CM71*CN71))/POWER(1+$L71,CL$2)</f>
        <v>0.72781708378972065</v>
      </c>
      <c r="CP71" s="235">
        <f t="shared" ref="CP71:CP86" ca="1" si="871">ABS(CL71)*IF(CL$2&lt;$O71,1,(CM71+CN71)-(CM71*CN71))/POWER(1+$L72,CL$2)</f>
        <v>0.72781708378972065</v>
      </c>
      <c r="CQ71" s="242">
        <f t="shared" ref="CQ71:CQ86" ca="1" si="872">ABS(CL71)*IF(CL$2&lt;$O71,1,(CM71+CN71)-(CM71*CN71))/POWER(1+$M71,CL$2)</f>
        <v>0.72781708378972065</v>
      </c>
      <c r="CR71" s="241">
        <f t="shared" ca="1" si="807"/>
        <v>1</v>
      </c>
      <c r="CS71" s="220">
        <f t="shared" ref="CS71:CS86" ca="1" si="873">IF($F71&gt;0,IF(CR$2&gt;0,PRODUCT(OFFSET(LT_AnnuityLifeTable,$F71,2,CR$2,1)),100%),0)</f>
        <v>0.99183582345472621</v>
      </c>
      <c r="CT71" s="220">
        <f t="shared" ref="CT71:CT86" ca="1" si="874">IF(AND($G71&gt;0,SP_AnnySurvivor),IF(CR$2&gt;0,PRODUCT(OFFSET(LT_AnnuityLifeTable,$G71,5,CR$2,1)),100%),0)</f>
        <v>0</v>
      </c>
      <c r="CU71" s="235">
        <f t="shared" ref="CU71:CU86" ca="1" si="875">ABS(CR71)*IF(CR$2&lt;$O71,1,(CS71+CT71)-(CS71*CT71))/POWER(1+$L71,CR$2)</f>
        <v>0.70313107535837949</v>
      </c>
      <c r="CV71" s="235">
        <f t="shared" ref="CV71:CV86" ca="1" si="876">ABS(CR71)*IF(CR$2&lt;$O71,1,(CS71+CT71)-(CS71*CT71))/POWER(1+$L72,CR$2)</f>
        <v>0.70313107535837949</v>
      </c>
      <c r="CW71" s="242">
        <f t="shared" ref="CW71:CW86" ca="1" si="877">ABS(CR71)*IF(CR$2&lt;$O71,1,(CS71+CT71)-(CS71*CT71))/POWER(1+$M71,CR$2)</f>
        <v>0.70313107535837949</v>
      </c>
      <c r="CX71" s="241">
        <f t="shared" ca="1" si="800"/>
        <v>1</v>
      </c>
      <c r="CY71" s="220">
        <f t="shared" ref="CY71:CY86" ca="1" si="878">IF($F71&gt;0,IF(CX$2&gt;0,PRODUCT(OFFSET(LT_AnnuityLifeTable,$F71,2,CX$2,1)),100%),0)</f>
        <v>0.99174259088732142</v>
      </c>
      <c r="CZ71" s="220">
        <f t="shared" ref="CZ71:CZ86" ca="1" si="879">IF(AND($G71&gt;0,SP_AnnySurvivor),IF(CX$2&gt;0,PRODUCT(OFFSET(LT_AnnuityLifeTable,$G71,5,CX$2,1)),100%),0)</f>
        <v>0</v>
      </c>
      <c r="DA71" s="235">
        <f t="shared" ref="DA71:DA86" ca="1" si="880">ABS(CX71)*IF(CX$2&lt;$O71,1,(CY71+CZ71)-(CY71*CZ71))/POWER(1+$L71,CX$2)</f>
        <v>0.6792898367510104</v>
      </c>
      <c r="DB71" s="235">
        <f t="shared" ref="DB71:DB86" ca="1" si="881">ABS(CX71)*IF(CX$2&lt;$O71,1,(CY71+CZ71)-(CY71*CZ71))/POWER(1+$L72,CX$2)</f>
        <v>0.6792898367510104</v>
      </c>
      <c r="DC71" s="242">
        <f t="shared" ref="DC71:DC86" ca="1" si="882">ABS(CX71)*IF(CX$2&lt;$O71,1,(CY71+CZ71)-(CY71*CZ71))/POWER(1+$M71,CX$2)</f>
        <v>0.6792898367510104</v>
      </c>
      <c r="DD71" s="241">
        <f t="shared" ca="1" si="800"/>
        <v>1</v>
      </c>
      <c r="DE71" s="220">
        <f t="shared" ref="DE71:DE86" ca="1" si="883">IF($F71&gt;0,IF(DD$2&gt;0,PRODUCT(OFFSET(LT_AnnuityLifeTable,$F71,2,DD$2,1)),100%),0)</f>
        <v>0.99164440837082357</v>
      </c>
      <c r="DF71" s="220">
        <f t="shared" ref="DF71:DF86" ca="1" si="884">IF(AND($G71&gt;0,SP_AnnySurvivor),IF(DD$2&gt;0,PRODUCT(OFFSET(LT_AnnuityLifeTable,$G71,5,DD$2,1)),100%),0)</f>
        <v>0</v>
      </c>
      <c r="DG71" s="235">
        <f t="shared" ref="DG71:DG86" ca="1" si="885">ABS(DD71)*IF(DD$2&lt;$O71,1,(DE71+DF71)-(DE71*DF71))/POWER(1+$L71,DD$2)</f>
        <v>0.65625370730161559</v>
      </c>
      <c r="DH71" s="235">
        <f t="shared" ref="DH71:DH86" ca="1" si="886">ABS(DD71)*IF(DD$2&lt;$O71,1,(DE71+DF71)-(DE71*DF71))/POWER(1+$L72,DD$2)</f>
        <v>0.65625370730161559</v>
      </c>
      <c r="DI71" s="242">
        <f t="shared" ref="DI71:DI86" ca="1" si="887">ABS(DD71)*IF(DD$2&lt;$O71,1,(DE71+DF71)-(DE71*DF71))/POWER(1+$M71,DD$2)</f>
        <v>0.65625370730161559</v>
      </c>
      <c r="DJ71" s="241">
        <f t="shared" ref="DJ71:FR86" ca="1" si="888">IF(($B71+DJ$2)&lt;SC_TargetRY,0,IF(($B71+DJ$2)=SC_TargetRY,SC_AnnyPmntPr,IF(SP_AnnyTerms="Life",1,IF(($B71+DJ$2)=(SC_TargetRY+SP_AnnyPeriod),SC_AnnyPmntPr-1,IF(($B71+DJ$2)&gt;(SC_TargetRY+SP_AnnyPeriod),0,1)))))</f>
        <v>1</v>
      </c>
      <c r="DK71" s="220">
        <f t="shared" ref="DK71:DK86" ca="1" si="889">IF($F71&gt;0,IF(DJ$2&gt;0,PRODUCT(OFFSET(LT_AnnuityLifeTable,$F71,2,DJ$2,1)),100%),0)</f>
        <v>0.9915115280201019</v>
      </c>
      <c r="DL71" s="220">
        <f t="shared" ref="DL71:DL86" ca="1" si="890">IF(AND($G71&gt;0,SP_AnnySurvivor),IF(DJ$2&gt;0,PRODUCT(OFFSET(LT_AnnuityLifeTable,$G71,5,DJ$2,1)),100%),0)</f>
        <v>0</v>
      </c>
      <c r="DM71" s="235">
        <f t="shared" ref="DM71:DM86" ca="1" si="891">ABS(DJ71)*IF(DJ$2&lt;$O71,1,(DK71+DL71)-(DK71*DL71))/POWER(1+$L71,DJ$2)</f>
        <v>0.63397658870032592</v>
      </c>
      <c r="DN71" s="235">
        <f t="shared" ref="DN71:DN86" ca="1" si="892">ABS(DJ71)*IF(DJ$2&lt;$O71,1,(DK71+DL71)-(DK71*DL71))/POWER(1+$L72,DJ$2)</f>
        <v>0.63397658870032592</v>
      </c>
      <c r="DO71" s="242">
        <f t="shared" ref="DO71:DO86" ca="1" si="893">ABS(DJ71)*IF(DJ$2&lt;$O71,1,(DK71+DL71)-(DK71*DL71))/POWER(1+$M71,DJ$2)</f>
        <v>0.63397658870032592</v>
      </c>
      <c r="DP71" s="241">
        <f t="shared" ca="1" si="888"/>
        <v>1</v>
      </c>
      <c r="DQ71" s="220">
        <f t="shared" ref="DQ71:DQ86" ca="1" si="894">IF($F71&gt;0,IF(DP$2&gt;0,PRODUCT(OFFSET(LT_AnnuityLifeTable,$F71,2,DP$2,1)),100%),0)</f>
        <v>0.99130628513380181</v>
      </c>
      <c r="DR71" s="220">
        <f t="shared" ref="DR71:DR86" ca="1" si="895">IF(AND($G71&gt;0,SP_AnnySurvivor),IF(DP$2&gt;0,PRODUCT(OFFSET(LT_AnnuityLifeTable,$G71,5,DP$2,1)),100%),0)</f>
        <v>0</v>
      </c>
      <c r="DS71" s="235">
        <f t="shared" ref="DS71:DS86" ca="1" si="896">ABS(DP71)*IF(DP$2&lt;$O71,1,(DQ71+DR71)-(DQ71*DR71))/POWER(1+$L71,DP$2)</f>
        <v>0.61241097154247814</v>
      </c>
      <c r="DT71" s="235">
        <f t="shared" ref="DT71:DT86" ca="1" si="897">ABS(DP71)*IF(DP$2&lt;$O71,1,(DQ71+DR71)-(DQ71*DR71))/POWER(1+$L72,DP$2)</f>
        <v>0.61241097154247814</v>
      </c>
      <c r="DU71" s="242">
        <f t="shared" ref="DU71:DU86" ca="1" si="898">ABS(DP71)*IF(DP$2&lt;$O71,1,(DQ71+DR71)-(DQ71*DR71))/POWER(1+$M71,DP$2)</f>
        <v>0.61241097154247814</v>
      </c>
      <c r="DV71" s="241">
        <f t="shared" ca="1" si="888"/>
        <v>1</v>
      </c>
      <c r="DW71" s="220">
        <f t="shared" ref="DW71:DW86" ca="1" si="899">IF($F71&gt;0,IF(DV$2&gt;0,PRODUCT(OFFSET(LT_AnnuityLifeTable,$F71,2,DV$2,1)),100%),0)</f>
        <v>0.9909999714916955</v>
      </c>
      <c r="DX71" s="220">
        <f t="shared" ref="DX71:DX86" ca="1" si="900">IF(AND($G71&gt;0,SP_AnnySurvivor),IF(DV$2&gt;0,PRODUCT(OFFSET(LT_AnnuityLifeTable,$G71,5,DV$2,1)),100%),0)</f>
        <v>0</v>
      </c>
      <c r="DY71" s="235">
        <f t="shared" ref="DY71:DY86" ca="1" si="901">ABS(DV71)*IF(DV$2&lt;$O71,1,(DW71+DX71)-(DW71*DX71))/POWER(1+$L71,DV$2)</f>
        <v>0.59151858604084218</v>
      </c>
      <c r="DZ71" s="235">
        <f t="shared" ref="DZ71:DZ86" ca="1" si="902">ABS(DV71)*IF(DV$2&lt;$O71,1,(DW71+DX71)-(DW71*DX71))/POWER(1+$L72,DV$2)</f>
        <v>0.59151858604084218</v>
      </c>
      <c r="EA71" s="242">
        <f t="shared" ref="EA71:EA86" ca="1" si="903">ABS(DV71)*IF(DV$2&lt;$O71,1,(DW71+DX71)-(DW71*DX71))/POWER(1+$M71,DV$2)</f>
        <v>0.59151858604084218</v>
      </c>
      <c r="EB71" s="241">
        <f t="shared" ca="1" si="888"/>
        <v>1</v>
      </c>
      <c r="EC71" s="220">
        <f t="shared" ref="EC71:EC86" ca="1" si="904">IF($F71&gt;0,IF(EB$2&gt;0,PRODUCT(OFFSET(LT_AnnuityLifeTable,$F71,2,EB$2,1)),100%),0)</f>
        <v>0.99058474250364048</v>
      </c>
      <c r="ED71" s="220">
        <f t="shared" ref="ED71:ED86" ca="1" si="905">IF(AND($G71&gt;0,SP_AnnySurvivor),IF(EB$2&gt;0,PRODUCT(OFFSET(LT_AnnuityLifeTable,$G71,5,EB$2,1)),100%),0)</f>
        <v>0</v>
      </c>
      <c r="EE71" s="235">
        <f t="shared" ref="EE71:EE86" ca="1" si="906">ABS(EB71)*IF(EB$2&lt;$O71,1,(EC71+ED71)-(EC71*ED71))/POWER(1+$L71,EB$2)</f>
        <v>0.57127607705632</v>
      </c>
      <c r="EF71" s="235">
        <f t="shared" ref="EF71:EF86" ca="1" si="907">ABS(EB71)*IF(EB$2&lt;$O71,1,(EC71+ED71)-(EC71*ED71))/POWER(1+$L72,EB$2)</f>
        <v>0.57127607705632</v>
      </c>
      <c r="EG71" s="242">
        <f t="shared" ref="EG71:EG86" ca="1" si="908">ABS(EB71)*IF(EB$2&lt;$O71,1,(EC71+ED71)-(EC71*ED71))/POWER(1+$M71,EB$2)</f>
        <v>0.57127607705632</v>
      </c>
      <c r="EH71" s="241">
        <f t="shared" ca="1" si="888"/>
        <v>1</v>
      </c>
      <c r="EI71" s="220">
        <f t="shared" ref="EI71:EI86" ca="1" si="909">IF($F71&gt;0,IF(EH$2&gt;0,PRODUCT(OFFSET(LT_AnnuityLifeTable,$F71,2,EH$2,1)),100%),0)</f>
        <v>0.99005973259011348</v>
      </c>
      <c r="EJ71" s="220">
        <f t="shared" ref="EJ71:EJ86" ca="1" si="910">IF(AND($G71&gt;0,SP_AnnySurvivor),IF(EH$2&gt;0,PRODUCT(OFFSET(LT_AnnuityLifeTable,$G71,5,EH$2,1)),100%),0)</f>
        <v>0</v>
      </c>
      <c r="EK71" s="235">
        <f t="shared" ref="EK71:EK86" ca="1" si="911">ABS(EH71)*IF(EH$2&lt;$O71,1,(EI71+EJ71)-(EI71*EJ71))/POWER(1+$L71,EH$2)</f>
        <v>0.55166502486519819</v>
      </c>
      <c r="EL71" s="235">
        <f t="shared" ref="EL71:EL86" ca="1" si="912">ABS(EH71)*IF(EH$2&lt;$O71,1,(EI71+EJ71)-(EI71*EJ71))/POWER(1+$L72,EH$2)</f>
        <v>0.55166502486519819</v>
      </c>
      <c r="EM71" s="242">
        <f t="shared" ref="EM71:EM86" ca="1" si="913">ABS(EH71)*IF(EH$2&lt;$O71,1,(EI71+EJ71)-(EI71*EJ71))/POWER(1+$M71,EH$2)</f>
        <v>0.55166502486519819</v>
      </c>
      <c r="EN71" s="241">
        <f t="shared" ca="1" si="888"/>
        <v>1</v>
      </c>
      <c r="EO71" s="220">
        <f t="shared" ref="EO71:EO86" ca="1" si="914">IF($F71&gt;0,IF(EN$2&gt;0,PRODUCT(OFFSET(LT_AnnuityLifeTable,$F71,2,EN$2,1)),100%),0)</f>
        <v>0.98941124346526699</v>
      </c>
      <c r="EP71" s="220">
        <f t="shared" ref="EP71:EP86" ca="1" si="915">IF(AND($G71&gt;0,SP_AnnySurvivor),IF(EN$2&gt;0,PRODUCT(OFFSET(LT_AnnuityLifeTable,$G71,5,EN$2,1)),100%),0)</f>
        <v>0</v>
      </c>
      <c r="EQ71" s="235">
        <f t="shared" ref="EQ71:EQ86" ca="1" si="916">ABS(EN71)*IF(EN$2&lt;$O71,1,(EO71+EP71)-(EO71*EP71))/POWER(1+$L71,EN$2)</f>
        <v>0.53266056451585653</v>
      </c>
      <c r="ER71" s="235">
        <f t="shared" ref="ER71:ER86" ca="1" si="917">ABS(EN71)*IF(EN$2&lt;$O71,1,(EO71+EP71)-(EO71*EP71))/POWER(1+$L72,EN$2)</f>
        <v>0.53266056451585653</v>
      </c>
      <c r="ES71" s="242">
        <f t="shared" ref="ES71:ES86" ca="1" si="918">ABS(EN71)*IF(EN$2&lt;$O71,1,(EO71+EP71)-(EO71*EP71))/POWER(1+$M71,EN$2)</f>
        <v>0.53266056451585653</v>
      </c>
      <c r="ET71" s="241">
        <f t="shared" ca="1" si="888"/>
        <v>1</v>
      </c>
      <c r="EU71" s="220">
        <f t="shared" ref="EU71:EU86" ca="1" si="919">IF($F71&gt;0,IF(ET$2&gt;0,PRODUCT(OFFSET(LT_AnnuityLifeTable,$F71,2,ET$2,1)),100%),0)</f>
        <v>0.98862861917168599</v>
      </c>
      <c r="EV71" s="220">
        <f t="shared" ref="EV71:EV86" ca="1" si="920">IF(AND($G71&gt;0,SP_AnnySurvivor),IF(ET$2&gt;0,PRODUCT(OFFSET(LT_AnnuityLifeTable,$G71,5,ET$2,1)),100%),0)</f>
        <v>0</v>
      </c>
      <c r="EW71" s="235">
        <f t="shared" ref="EW71:EW86" ca="1" si="921">ABS(ET71)*IF(ET$2&lt;$O71,1,(EU71+EV71)-(EU71*EV71))/POWER(1+$L71,ET$2)</f>
        <v>0.51424080194137645</v>
      </c>
      <c r="EX71" s="235">
        <f t="shared" ref="EX71:EX86" ca="1" si="922">ABS(ET71)*IF(ET$2&lt;$O71,1,(EU71+EV71)-(EU71*EV71))/POWER(1+$L72,ET$2)</f>
        <v>0.51424080194137645</v>
      </c>
      <c r="EY71" s="242">
        <f t="shared" ref="EY71:EY86" ca="1" si="923">ABS(ET71)*IF(ET$2&lt;$O71,1,(EU71+EV71)-(EU71*EV71))/POWER(1+$M71,ET$2)</f>
        <v>0.51424080194137645</v>
      </c>
      <c r="EZ71" s="241">
        <f t="shared" ca="1" si="888"/>
        <v>1</v>
      </c>
      <c r="FA71" s="220">
        <f t="shared" ref="FA71:FA86" ca="1" si="924">IF($F71&gt;0,IF(EZ$2&gt;0,PRODUCT(OFFSET(LT_AnnuityLifeTable,$F71,2,EZ$2,1)),100%),0)</f>
        <v>0.98770524004137961</v>
      </c>
      <c r="FB71" s="220">
        <f t="shared" ref="FB71:FB86" ca="1" si="925">IF(AND($G71&gt;0,SP_AnnySurvivor),IF(EZ$2&gt;0,PRODUCT(OFFSET(LT_AnnuityLifeTable,$G71,5,EZ$2,1)),100%),0)</f>
        <v>0</v>
      </c>
      <c r="FC71" s="235">
        <f t="shared" ref="FC71:FC86" ca="1" si="926">ABS(EZ71)*IF(EZ$2&lt;$O71,1,(FA71+FB71)-(FA71*FB71))/POWER(1+$L71,EZ$2)</f>
        <v>0.49638695751919149</v>
      </c>
      <c r="FD71" s="235">
        <f t="shared" ref="FD71:FD86" ca="1" si="927">ABS(EZ71)*IF(EZ$2&lt;$O71,1,(FA71+FB71)-(FA71*FB71))/POWER(1+$L72,EZ$2)</f>
        <v>0.49638695751919149</v>
      </c>
      <c r="FE71" s="242">
        <f t="shared" ref="FE71:FE86" ca="1" si="928">ABS(EZ71)*IF(EZ$2&lt;$O71,1,(FA71+FB71)-(FA71*FB71))/POWER(1+$M71,EZ$2)</f>
        <v>0.49638695751919149</v>
      </c>
      <c r="FF71" s="241">
        <f t="shared" ca="1" si="888"/>
        <v>1</v>
      </c>
      <c r="FG71" s="220">
        <f t="shared" ref="FG71:FG86" ca="1" si="929">IF($F71&gt;0,IF(FF$2&gt;0,PRODUCT(OFFSET(LT_AnnuityLifeTable,$F71,2,FF$2,1)),100%),0)</f>
        <v>0.98663357985593469</v>
      </c>
      <c r="FH71" s="220">
        <f t="shared" ref="FH71:FH86" ca="1" si="930">IF(AND($G71&gt;0,SP_AnnySurvivor),IF(FF$2&gt;0,PRODUCT(OFFSET(LT_AnnuityLifeTable,$G71,5,FF$2,1)),100%),0)</f>
        <v>0</v>
      </c>
      <c r="FI71" s="235">
        <f t="shared" ref="FI71:FI86" ca="1" si="931">ABS(FF71)*IF(FF$2&lt;$O71,1,(FG71+FH71)-(FG71*FH71))/POWER(1+$L71,FF$2)</f>
        <v>0.4790805581355394</v>
      </c>
      <c r="FJ71" s="235">
        <f t="shared" ref="FJ71:FJ86" ca="1" si="932">ABS(FF71)*IF(FF$2&lt;$O71,1,(FG71+FH71)-(FG71*FH71))/POWER(1+$L72,FF$2)</f>
        <v>0.4790805581355394</v>
      </c>
      <c r="FK71" s="242">
        <f t="shared" ref="FK71:FK86" ca="1" si="933">ABS(FF71)*IF(FF$2&lt;$O71,1,(FG71+FH71)-(FG71*FH71))/POWER(1+$M71,FF$2)</f>
        <v>0.4790805581355394</v>
      </c>
      <c r="FL71" s="241">
        <f t="shared" ca="1" si="888"/>
        <v>1</v>
      </c>
      <c r="FM71" s="220">
        <f t="shared" ref="FM71:FM86" ca="1" si="934">IF($F71&gt;0,IF(FL$2&gt;0,PRODUCT(OFFSET(LT_AnnuityLifeTable,$F71,2,FL$2,1)),100%),0)</f>
        <v>0.98542199381987161</v>
      </c>
      <c r="FN71" s="220">
        <f t="shared" ref="FN71:FN86" ca="1" si="935">IF(AND($G71&gt;0,SP_AnnySurvivor),IF(FL$2&gt;0,PRODUCT(OFFSET(LT_AnnuityLifeTable,$G71,5,FL$2,1)),100%),0)</f>
        <v>0</v>
      </c>
      <c r="FO71" s="235">
        <f t="shared" ref="FO71:FO86" ca="1" si="936">ABS(FL71)*IF(FL$2&lt;$O71,1,(FM71+FN71)-(FM71*FN71))/POWER(1+$L71,FL$2)</f>
        <v>0.46231134996149653</v>
      </c>
      <c r="FP71" s="235">
        <f t="shared" ref="FP71:FP86" ca="1" si="937">ABS(FL71)*IF(FL$2&lt;$O71,1,(FM71+FN71)-(FM71*FN71))/POWER(1+$L72,FL$2)</f>
        <v>0.46231134996149653</v>
      </c>
      <c r="FQ71" s="242">
        <f t="shared" ref="FQ71:FQ86" ca="1" si="938">ABS(FL71)*IF(FL$2&lt;$O71,1,(FM71+FN71)-(FM71*FN71))/POWER(1+$M71,FL$2)</f>
        <v>0.46231134996149653</v>
      </c>
      <c r="FR71" s="241">
        <f t="shared" ca="1" si="888"/>
        <v>1</v>
      </c>
      <c r="FS71" s="220">
        <f t="shared" ref="FS71:FS86" ca="1" si="939">IF($F71&gt;0,IF(FR$2&gt;0,PRODUCT(OFFSET(LT_AnnuityLifeTable,$F71,2,FR$2,1)),100%),0)</f>
        <v>0.98410251377014679</v>
      </c>
      <c r="FT71" s="220">
        <f t="shared" ref="FT71:FT86" ca="1" si="940">IF(AND($G71&gt;0,SP_AnnySurvivor),IF(FR$2&gt;0,PRODUCT(OFFSET(LT_AnnuityLifeTable,$G71,5,FR$2,1)),100%),0)</f>
        <v>0</v>
      </c>
      <c r="FU71" s="235">
        <f t="shared" ref="FU71:FU86" ca="1" si="941">ABS(FR71)*IF(FR$2&lt;$O71,1,(FS71+FT71)-(FS71*FT71))/POWER(1+$L71,FR$2)</f>
        <v>0.44607953146270346</v>
      </c>
      <c r="FV71" s="235">
        <f t="shared" ref="FV71:FV86" ca="1" si="942">ABS(FR71)*IF(FR$2&lt;$O71,1,(FS71+FT71)-(FS71*FT71))/POWER(1+$L72,FR$2)</f>
        <v>0.44607953146270346</v>
      </c>
      <c r="FW71" s="242">
        <f t="shared" ref="FW71:FW86" ca="1" si="943">ABS(FR71)*IF(FR$2&lt;$O71,1,(FS71+FT71)-(FS71*FT71))/POWER(1+$M71,FR$2)</f>
        <v>0.44607953146270346</v>
      </c>
      <c r="FX71" s="241">
        <f t="shared" ca="1" si="801"/>
        <v>1</v>
      </c>
      <c r="FY71" s="220">
        <f t="shared" ref="FY71:FY86" ca="1" si="944">IF($F71&gt;0,IF(FX$2&gt;0,PRODUCT(OFFSET(LT_AnnuityLifeTable,$F71,2,FX$2,1)),100%),0)</f>
        <v>0.98272181794332725</v>
      </c>
      <c r="FZ71" s="220">
        <f t="shared" ref="FZ71:FZ86" ca="1" si="945">IF(AND($G71&gt;0,SP_AnnySurvivor),IF(FX$2&gt;0,PRODUCT(OFFSET(LT_AnnuityLifeTable,$G71,5,FX$2,1)),100%),0)</f>
        <v>0</v>
      </c>
      <c r="GA71" s="235">
        <f t="shared" ref="GA71:GA86" ca="1" si="946">ABS(FX71)*IF(FX$2&lt;$O71,1,(FY71+FZ71)-(FY71*FZ71))/POWER(1+$L71,FX$2)</f>
        <v>0.43039003080199167</v>
      </c>
      <c r="GB71" s="235">
        <f t="shared" ref="GB71:GB86" ca="1" si="947">ABS(FX71)*IF(FX$2&lt;$O71,1,(FY71+FZ71)-(FY71*FZ71))/POWER(1+$L72,FX$2)</f>
        <v>0.43039003080199167</v>
      </c>
      <c r="GC71" s="242">
        <f t="shared" ref="GC71:GC86" ca="1" si="948">ABS(FX71)*IF(FX$2&lt;$O71,1,(FY71+FZ71)-(FY71*FZ71))/POWER(1+$M71,FX$2)</f>
        <v>0.43039003080199167</v>
      </c>
      <c r="GD71" s="241">
        <f t="shared" ca="1" si="795"/>
        <v>1</v>
      </c>
      <c r="GE71" s="220">
        <f t="shared" ref="GE71:GE86" ca="1" si="949">IF($F71&gt;0,IF(GD$2&gt;0,PRODUCT(OFFSET(LT_AnnuityLifeTable,$F71,2,GD$2,1)),100%),0)</f>
        <v>0.98131357757821447</v>
      </c>
      <c r="GF71" s="220">
        <f t="shared" ref="GF71:GF86" ca="1" si="950">IF(AND($G71&gt;0,SP_AnnySurvivor),IF(GD$2&gt;0,PRODUCT(OFFSET(LT_AnnuityLifeTable,$G71,5,GD$2,1)),100%),0)</f>
        <v>0</v>
      </c>
      <c r="GG71" s="235">
        <f t="shared" ref="GG71:GG86" ca="1" si="951">ABS(GD71)*IF(GD$2&lt;$O71,1,(GE71+GF71)-(GE71*GF71))/POWER(1+$L71,GD$2)</f>
        <v>0.41523988588198307</v>
      </c>
      <c r="GH71" s="235">
        <f t="shared" ref="GH71:GH86" ca="1" si="952">ABS(GD71)*IF(GD$2&lt;$O71,1,(GE71+GF71)-(GE71*GF71))/POWER(1+$L72,GD$2)</f>
        <v>0.41523988588198307</v>
      </c>
      <c r="GI71" s="242">
        <f t="shared" ref="GI71:GI86" ca="1" si="953">ABS(GD71)*IF(GD$2&lt;$O71,1,(GE71+GF71)-(GE71*GF71))/POWER(1+$M71,GD$2)</f>
        <v>0.41523988588198307</v>
      </c>
      <c r="GJ71" s="241">
        <f t="shared" ca="1" si="795"/>
        <v>1</v>
      </c>
      <c r="GK71" s="220">
        <f t="shared" ref="GK71:GK86" ca="1" si="954">IF($F71&gt;0,IF(GJ$2&gt;0,PRODUCT(OFFSET(LT_AnnuityLifeTable,$F71,2,GJ$2,1)),100%),0)</f>
        <v>0.97988969157714845</v>
      </c>
      <c r="GL71" s="220">
        <f t="shared" ref="GL71:GL86" ca="1" si="955">IF(AND($G71&gt;0,SP_AnnySurvivor),IF(GJ$2&gt;0,PRODUCT(OFFSET(LT_AnnuityLifeTable,$G71,5,GJ$2,1)),100%),0)</f>
        <v>0</v>
      </c>
      <c r="GM71" s="235">
        <f t="shared" ref="GM71:GM86" ca="1" si="956">ABS(GJ71)*IF(GJ$2&lt;$O71,1,(GK71+GL71)-(GK71*GL71))/POWER(1+$L71,GJ$2)</f>
        <v>0.40061581913774713</v>
      </c>
      <c r="GN71" s="235">
        <f t="shared" ref="GN71:GN86" ca="1" si="957">ABS(GJ71)*IF(GJ$2&lt;$O71,1,(GK71+GL71)-(GK71*GL71))/POWER(1+$L72,GJ$2)</f>
        <v>0.40061581913774713</v>
      </c>
      <c r="GO71" s="242">
        <f t="shared" ref="GO71:GO86" ca="1" si="958">ABS(GJ71)*IF(GJ$2&lt;$O71,1,(GK71+GL71)-(GK71*GL71))/POWER(1+$M71,GJ$2)</f>
        <v>0.40061581913774713</v>
      </c>
      <c r="GP71" s="241">
        <f t="shared" ca="1" si="802"/>
        <v>1</v>
      </c>
      <c r="GQ71" s="220">
        <f t="shared" ref="GQ71:GQ86" ca="1" si="959">IF($F71&gt;0,IF(GP$2&gt;0,PRODUCT(OFFSET(LT_AnnuityLifeTable,$F71,2,GP$2,1)),100%),0)</f>
        <v>0.9784443542820721</v>
      </c>
      <c r="GR71" s="220">
        <f t="shared" ref="GR71:GR86" ca="1" si="960">IF(AND($G71&gt;0,SP_AnnySurvivor),IF(GP$2&gt;0,PRODUCT(OFFSET(LT_AnnuityLifeTable,$G71,5,GP$2,1)),100%),0)</f>
        <v>0</v>
      </c>
      <c r="GS71" s="235">
        <f t="shared" ref="GS71:GS86" ca="1" si="961">ABS(GP71)*IF(GP$2&lt;$O71,1,(GQ71+GR71)-(GQ71*GR71))/POWER(1+$L71,GP$2)</f>
        <v>0.38649749836185404</v>
      </c>
      <c r="GT71" s="235">
        <f t="shared" ref="GT71:GT86" ca="1" si="962">ABS(GP71)*IF(GP$2&lt;$O71,1,(GQ71+GR71)-(GQ71*GR71))/POWER(1+$L72,GP$2)</f>
        <v>0.38649749836185404</v>
      </c>
      <c r="GU71" s="242">
        <f t="shared" ref="GU71:GU86" ca="1" si="963">ABS(GP71)*IF(GP$2&lt;$O71,1,(GQ71+GR71)-(GQ71*GR71))/POWER(1+$M71,GP$2)</f>
        <v>0.38649749836185404</v>
      </c>
      <c r="GV71" s="241">
        <f t="shared" ca="1" si="802"/>
        <v>1</v>
      </c>
      <c r="GW71" s="220">
        <f t="shared" ref="GW71:GW86" ca="1" si="964">IF($F71&gt;0,IF(GV$2&gt;0,PRODUCT(OFFSET(LT_AnnuityLifeTable,$F71,2,GV$2,1)),100%),0)</f>
        <v>0.97697473086194042</v>
      </c>
      <c r="GX71" s="220">
        <f t="shared" ref="GX71:GX86" ca="1" si="965">IF(AND($G71&gt;0,SP_AnnySurvivor),IF(GV$2&gt;0,PRODUCT(OFFSET(LT_AnnuityLifeTable,$G71,5,GV$2,1)),100%),0)</f>
        <v>0</v>
      </c>
      <c r="GY71" s="235">
        <f t="shared" ref="GY71:GY86" ca="1" si="966">ABS(GV71)*IF(GV$2&lt;$O71,1,(GW71+GX71)-(GW71*GX71))/POWER(1+$L71,GV$2)</f>
        <v>0.37286664649209134</v>
      </c>
      <c r="GZ71" s="235">
        <f t="shared" ref="GZ71:GZ86" ca="1" si="967">ABS(GV71)*IF(GV$2&lt;$O71,1,(GW71+GX71)-(GW71*GX71))/POWER(1+$L72,GV$2)</f>
        <v>0.37286664649209134</v>
      </c>
      <c r="HA71" s="242">
        <f t="shared" ref="HA71:HA86" ca="1" si="968">ABS(GV71)*IF(GV$2&lt;$O71,1,(GW71+GX71)-(GW71*GX71))/POWER(1+$M71,GV$2)</f>
        <v>0.37286664649209134</v>
      </c>
      <c r="HB71" s="241">
        <f t="shared" ca="1" si="802"/>
        <v>1</v>
      </c>
      <c r="HC71" s="220">
        <f t="shared" ref="HC71:HC86" ca="1" si="969">IF($F71&gt;0,IF(HB$2&gt;0,PRODUCT(OFFSET(LT_AnnuityLifeTable,$F71,2,HB$2,1)),100%),0)</f>
        <v>0.97547214372587476</v>
      </c>
      <c r="HD71" s="220">
        <f t="shared" ref="HD71:HD86" ca="1" si="970">IF(AND($G71&gt;0,SP_AnnySurvivor),IF(HB$2&gt;0,PRODUCT(OFFSET(LT_AnnuityLifeTable,$G71,5,HB$2,1)),100%),0)</f>
        <v>0</v>
      </c>
      <c r="HE71" s="235">
        <f t="shared" ref="HE71:HE86" ca="1" si="971">ABS(HB71)*IF(HB$2&lt;$O71,1,(HC71+HD71)-(HC71*HD71))/POWER(1+$L71,HB$2)</f>
        <v>0.35970355322684694</v>
      </c>
      <c r="HF71" s="235">
        <f t="shared" ref="HF71:HF86" ca="1" si="972">ABS(HB71)*IF(HB$2&lt;$O71,1,(HC71+HD71)-(HC71*HD71))/POWER(1+$L72,HB$2)</f>
        <v>0.35970355322684694</v>
      </c>
      <c r="HG71" s="242">
        <f t="shared" ref="HG71:HG86" ca="1" si="973">ABS(HB71)*IF(HB$2&lt;$O71,1,(HC71+HD71)-(HC71*HD71))/POWER(1+$M71,HB$2)</f>
        <v>0.35970355322684694</v>
      </c>
      <c r="HH71" s="241">
        <f t="shared" ca="1" si="802"/>
        <v>1</v>
      </c>
      <c r="HI71" s="220">
        <f t="shared" ref="HI71:HI86" ca="1" si="974">IF($F71&gt;0,IF(HH$2&gt;0,PRODUCT(OFFSET(LT_AnnuityLifeTable,$F71,2,HH$2,1)),100%),0)</f>
        <v>0.9739299222666441</v>
      </c>
      <c r="HJ71" s="220">
        <f t="shared" ref="HJ71:HJ86" ca="1" si="975">IF(AND($G71&gt;0,SP_AnnySurvivor),IF(HH$2&gt;0,PRODUCT(OFFSET(LT_AnnuityLifeTable,$G71,5,HH$2,1)),100%),0)</f>
        <v>0</v>
      </c>
      <c r="HK71" s="235">
        <f t="shared" ref="HK71:HK86" ca="1" si="976">ABS(HH71)*IF(HH$2&lt;$O71,1,(HI71+HJ71)-(HI71*HJ71))/POWER(1+$L71,HH$2)</f>
        <v>0.34699020474318382</v>
      </c>
      <c r="HL71" s="235">
        <f t="shared" ref="HL71:HL86" ca="1" si="977">ABS(HH71)*IF(HH$2&lt;$O71,1,(HI71+HJ71)-(HI71*HJ71))/POWER(1+$L72,HH$2)</f>
        <v>0.34699020474318382</v>
      </c>
      <c r="HM71" s="242">
        <f t="shared" ref="HM71:HM86" ca="1" si="978">ABS(HH71)*IF(HH$2&lt;$O71,1,(HI71+HJ71)-(HI71*HJ71))/POWER(1+$M71,HH$2)</f>
        <v>0.34699020474318382</v>
      </c>
      <c r="HN71" s="241">
        <f t="shared" ca="1" si="802"/>
        <v>1</v>
      </c>
      <c r="HO71" s="220">
        <f t="shared" ref="HO71:HO86" ca="1" si="979">IF($F71&gt;0,IF(HN$2&gt;0,PRODUCT(OFFSET(LT_AnnuityLifeTable,$F71,2,HN$2,1)),100%),0)</f>
        <v>0.97234631221303847</v>
      </c>
      <c r="HP71" s="220">
        <f t="shared" ref="HP71:HP86" ca="1" si="980">IF(AND($G71&gt;0,SP_AnnySurvivor),IF(HN$2&gt;0,PRODUCT(OFFSET(LT_AnnuityLifeTable,$G71,5,HN$2,1)),100%),0)</f>
        <v>0</v>
      </c>
      <c r="HQ71" s="235">
        <f t="shared" ref="HQ71:HQ86" ca="1" si="981">ABS(HN71)*IF(HN$2&lt;$O71,1,(HO71+HP71)-(HO71*HP71))/POWER(1+$L71,HN$2)</f>
        <v>0.33471110982634922</v>
      </c>
      <c r="HR71" s="235">
        <f t="shared" ref="HR71:HR86" ca="1" si="982">ABS(HN71)*IF(HN$2&lt;$O71,1,(HO71+HP71)-(HO71*HP71))/POWER(1+$L72,HN$2)</f>
        <v>0.33471110982634922</v>
      </c>
      <c r="HS71" s="242">
        <f t="shared" ref="HS71:HS86" ca="1" si="983">ABS(HN71)*IF(HN$2&lt;$O71,1,(HO71+HP71)-(HO71*HP71))/POWER(1+$M71,HN$2)</f>
        <v>0.33471110982634922</v>
      </c>
      <c r="HT71" s="241">
        <f t="shared" ca="1" si="802"/>
        <v>1</v>
      </c>
      <c r="HU71" s="220">
        <f t="shared" ref="HU71:HU86" ca="1" si="984">IF($F71&gt;0,IF(HT$2&gt;0,PRODUCT(OFFSET(LT_AnnuityLifeTable,$F71,2,HT$2,1)),100%),0)</f>
        <v>0.97072346621795491</v>
      </c>
      <c r="HV71" s="220">
        <f t="shared" ref="HV71:HV86" ca="1" si="985">IF(AND($G71&gt;0,SP_AnnySurvivor),IF(HT$2&gt;0,PRODUCT(OFFSET(LT_AnnuityLifeTable,$G71,5,HT$2,1)),100%),0)</f>
        <v>0</v>
      </c>
      <c r="HW71" s="235">
        <f t="shared" ref="HW71:HW86" ca="1" si="986">ABS(HT71)*IF(HT$2&lt;$O71,1,(HU71+HV71)-(HU71*HV71))/POWER(1+$L71,HT$2)</f>
        <v>0.32285263476719722</v>
      </c>
      <c r="HX71" s="235">
        <f t="shared" ref="HX71:HX86" ca="1" si="987">ABS(HT71)*IF(HT$2&lt;$O71,1,(HU71+HV71)-(HU71*HV71))/POWER(1+$L72,HT$2)</f>
        <v>0.32285263476719722</v>
      </c>
      <c r="HY71" s="242">
        <f t="shared" ref="HY71:HY86" ca="1" si="988">ABS(HT71)*IF(HT$2&lt;$O71,1,(HU71+HV71)-(HU71*HV71))/POWER(1+$M71,HT$2)</f>
        <v>0.32285263476719722</v>
      </c>
      <c r="HZ71" s="241">
        <f t="shared" ca="1" si="802"/>
        <v>1</v>
      </c>
      <c r="IA71" s="220">
        <f t="shared" ref="IA71:IA86" ca="1" si="989">IF($F71&gt;0,IF(HZ$2&gt;0,PRODUCT(OFFSET(LT_AnnuityLifeTable,$F71,2,HZ$2,1)),100%),0)</f>
        <v>0.96906158764378969</v>
      </c>
      <c r="IB71" s="220">
        <f t="shared" ref="IB71:IB86" ca="1" si="990">IF(AND($G71&gt;0,SP_AnnySurvivor),IF(HZ$2&gt;0,PRODUCT(OFFSET(LT_AnnuityLifeTable,$G71,5,HZ$2,1)),100%),0)</f>
        <v>0</v>
      </c>
      <c r="IC71" s="235">
        <f t="shared" ref="IC71:IC86" ca="1" si="991">ABS(HZ71)*IF(HZ$2&lt;$O71,1,(IA71+IB71)-(IA71*IB71))/POWER(1+$L71,HZ$2)</f>
        <v>0.31140088024780266</v>
      </c>
      <c r="ID71" s="235">
        <f t="shared" ref="ID71:ID86" ca="1" si="992">ABS(HZ71)*IF(HZ$2&lt;$O71,1,(IA71+IB71)-(IA71*IB71))/POWER(1+$L72,HZ$2)</f>
        <v>0.31140088024780266</v>
      </c>
      <c r="IE71" s="242">
        <f t="shared" ref="IE71:IE86" ca="1" si="993">ABS(HZ71)*IF(HZ$2&lt;$O71,1,(IA71+IB71)-(IA71*IB71))/POWER(1+$M71,HZ$2)</f>
        <v>0.31140088024780266</v>
      </c>
      <c r="IF71" s="241">
        <f t="shared" ca="1" si="802"/>
        <v>1</v>
      </c>
      <c r="IG71" s="220">
        <f t="shared" ref="IG71:IG86" ca="1" si="994">IF($F71&gt;0,IF(IF$2&gt;0,PRODUCT(OFFSET(LT_AnnuityLifeTable,$F71,2,IF$2,1)),100%),0)</f>
        <v>0.96736088455747493</v>
      </c>
      <c r="IH71" s="220">
        <f t="shared" ref="IH71:IH86" ca="1" si="995">IF(AND($G71&gt;0,SP_AnnySurvivor),IF(IF$2&gt;0,PRODUCT(OFFSET(LT_AnnuityLifeTable,$G71,5,IF$2,1)),100%),0)</f>
        <v>0</v>
      </c>
      <c r="II71" s="235">
        <f t="shared" ref="II71:II86" ca="1" si="996">ABS(IF71)*IF(IF$2&lt;$O71,1,(IG71+IH71)-(IG71*IH71))/POWER(1+$L71,IF$2)</f>
        <v>0.30034238811880948</v>
      </c>
      <c r="IJ71" s="235">
        <f t="shared" ref="IJ71:IJ86" ca="1" si="997">ABS(IF71)*IF(IF$2&lt;$O71,1,(IG71+IH71)-(IG71*IH71))/POWER(1+$L72,IF$2)</f>
        <v>0.30034238811880948</v>
      </c>
      <c r="IK71" s="242">
        <f t="shared" ref="IK71:IK86" ca="1" si="998">ABS(IF71)*IF(IF$2&lt;$O71,1,(IG71+IH71)-(IG71*IH71))/POWER(1+$M71,IF$2)</f>
        <v>0.30034238811880948</v>
      </c>
      <c r="IL71" s="241">
        <f t="shared" ca="1" si="802"/>
        <v>1</v>
      </c>
      <c r="IM71" s="220">
        <f t="shared" ref="IM71:IM86" ca="1" si="999">IF($F71&gt;0,IF(IL$2&gt;0,PRODUCT(OFFSET(LT_AnnuityLifeTable,$F71,2,IL$2,1)),100%),0)</f>
        <v>0.96561963496527148</v>
      </c>
      <c r="IN71" s="220">
        <f t="shared" ref="IN71:IN86" ca="1" si="1000">IF(AND($G71&gt;0,SP_AnnySurvivor),IF(IL$2&gt;0,PRODUCT(OFFSET(LT_AnnuityLifeTable,$G71,5,IL$2,1)),100%),0)</f>
        <v>0</v>
      </c>
      <c r="IO71" s="235">
        <f t="shared" ref="IO71:IO86" ca="1" si="1001">ABS(IL71)*IF(IL$2&lt;$O71,1,(IM71+IN71)-(IM71*IN71))/POWER(1+$L71,IL$2)</f>
        <v>0.28966354765236296</v>
      </c>
      <c r="IP71" s="235">
        <f t="shared" ref="IP71:IP86" ca="1" si="1002">ABS(IL71)*IF(IL$2&lt;$O71,1,(IM71+IN71)-(IM71*IN71))/POWER(1+$L72,IL$2)</f>
        <v>0.28966354765236296</v>
      </c>
      <c r="IQ71" s="242">
        <f t="shared" ref="IQ71:IQ86" ca="1" si="1003">ABS(IL71)*IF(IL$2&lt;$O71,1,(IM71+IN71)-(IM71*IN71))/POWER(1+$M71,IL$2)</f>
        <v>0.28966354765236296</v>
      </c>
      <c r="IR71" s="241">
        <f t="shared" ca="1" si="802"/>
        <v>1</v>
      </c>
      <c r="IS71" s="220">
        <f t="shared" ref="IS71:IS86" ca="1" si="1004">IF($F71&gt;0,IF(IR$2&gt;0,PRODUCT(OFFSET(LT_AnnuityLifeTable,$F71,2,IR$2,1)),100%),0)</f>
        <v>0.96382841054241086</v>
      </c>
      <c r="IT71" s="220">
        <f t="shared" ref="IT71:IT86" ca="1" si="1005">IF(AND($G71&gt;0,SP_AnnySurvivor),IF(IR$2&gt;0,PRODUCT(OFFSET(LT_AnnuityLifeTable,$G71,5,IR$2,1)),100%),0)</f>
        <v>0</v>
      </c>
      <c r="IU71" s="235">
        <f t="shared" ref="IU71:IU86" ca="1" si="1006">ABS(IR71)*IF(IR$2&lt;$O71,1,(IS71+IT71)-(IS71*IT71))/POWER(1+$L71,IR$2)</f>
        <v>0.27934900654248102</v>
      </c>
      <c r="IV71" s="235">
        <f t="shared" ref="IV71:IV86" ca="1" si="1007">ABS(IR71)*IF(IR$2&lt;$O71,1,(IS71+IT71)-(IS71*IT71))/POWER(1+$L72,IR$2)</f>
        <v>0.27934900654248102</v>
      </c>
      <c r="IW71" s="242">
        <f t="shared" ref="IW71:IW86" ca="1" si="1008">ABS(IR71)*IF(IR$2&lt;$O71,1,(IS71+IT71)-(IS71*IT71))/POWER(1+$M71,IR$2)</f>
        <v>0.27934900654248102</v>
      </c>
      <c r="IX71" s="241">
        <f t="shared" ca="1" si="802"/>
        <v>1</v>
      </c>
      <c r="IY71" s="220">
        <f t="shared" ref="IY71:IY86" ca="1" si="1009">IF($F71&gt;0,IF(IX$2&gt;0,PRODUCT(OFFSET(LT_AnnuityLifeTable,$F71,2,IX$2,1)),100%),0)</f>
        <v>0.9619778599941694</v>
      </c>
      <c r="IZ71" s="220">
        <f t="shared" ref="IZ71:IZ86" ca="1" si="1010">IF(AND($G71&gt;0,SP_AnnySurvivor),IF(IX$2&gt;0,PRODUCT(OFFSET(LT_AnnuityLifeTable,$G71,5,IX$2,1)),100%),0)</f>
        <v>0</v>
      </c>
      <c r="JA71" s="235">
        <f t="shared" ref="JA71:JA86" ca="1" si="1011">ABS(IX71)*IF(IX$2&lt;$O71,1,(IY71+IZ71)-(IY71*IZ71))/POWER(1+$L71,IX$2)</f>
        <v>0.26938420913035699</v>
      </c>
      <c r="JB71" s="235">
        <f t="shared" ref="JB71:JB86" ca="1" si="1012">ABS(IX71)*IF(IX$2&lt;$O71,1,(IY71+IZ71)-(IY71*IZ71))/POWER(1+$L72,IX$2)</f>
        <v>0.26938420913035699</v>
      </c>
      <c r="JC71" s="242">
        <f t="shared" ref="JC71:JC86" ca="1" si="1013">ABS(IX71)*IF(IX$2&lt;$O71,1,(IY71+IZ71)-(IY71*IZ71))/POWER(1+$M71,IX$2)</f>
        <v>0.26938420913035699</v>
      </c>
      <c r="JD71" s="241">
        <f t="shared" ca="1" si="796"/>
        <v>1</v>
      </c>
      <c r="JE71" s="220">
        <f t="shared" ref="JE71:JE86" ca="1" si="1014">IF($F71&gt;0,IF(JD$2&gt;0,PRODUCT(OFFSET(LT_AnnuityLifeTable,$F71,2,JD$2,1)),100%),0)</f>
        <v>0.96006544800850102</v>
      </c>
      <c r="JF71" s="220">
        <f t="shared" ref="JF71:JF86" ca="1" si="1015">IF(AND($G71&gt;0,SP_AnnySurvivor),IF(JD$2&gt;0,PRODUCT(OFFSET(LT_AnnuityLifeTable,$G71,5,JD$2,1)),100%),0)</f>
        <v>0</v>
      </c>
      <c r="JG71" s="235">
        <f t="shared" ref="JG71:JG86" ca="1" si="1016">ABS(JD71)*IF(JD$2&lt;$O71,1,(JE71+JF71)-(JE71*JF71))/POWER(1+$L71,JD$2)</f>
        <v>0.25975717229237277</v>
      </c>
      <c r="JH71" s="235">
        <f t="shared" ref="JH71:JH86" ca="1" si="1017">ABS(JD71)*IF(JD$2&lt;$O71,1,(JE71+JF71)-(JE71*JF71))/POWER(1+$L72,JD$2)</f>
        <v>0.25975717229237277</v>
      </c>
      <c r="JI71" s="242">
        <f t="shared" ref="JI71:JI86" ca="1" si="1018">ABS(JD71)*IF(JD$2&lt;$O71,1,(JE71+JF71)-(JE71*JF71))/POWER(1+$M71,JD$2)</f>
        <v>0.25975717229237277</v>
      </c>
      <c r="JJ71" s="241">
        <f t="shared" ca="1" si="796"/>
        <v>1</v>
      </c>
      <c r="JK71" s="220">
        <f t="shared" ref="JK71:JK86" ca="1" si="1019">IF($F71&gt;0,IF(JJ$2&gt;0,PRODUCT(OFFSET(LT_AnnuityLifeTable,$F71,2,JJ$2,1)),100%),0)</f>
        <v>0.9580877131856036</v>
      </c>
      <c r="JL71" s="220">
        <f t="shared" ref="JL71:JL86" ca="1" si="1020">IF(AND($G71&gt;0,SP_AnnySurvivor),IF(JJ$2&gt;0,PRODUCT(OFFSET(LT_AnnuityLifeTable,$G71,5,JJ$2,1)),100%),0)</f>
        <v>0</v>
      </c>
      <c r="JM71" s="235">
        <f t="shared" ref="JM71:JM86" ca="1" si="1021">ABS(JJ71)*IF(JJ$2&lt;$O71,1,(JK71+JL71)-(JK71*JL71))/POWER(1+$L71,JJ$2)</f>
        <v>0.25045610871251262</v>
      </c>
      <c r="JN71" s="235">
        <f t="shared" ref="JN71:JN86" ca="1" si="1022">ABS(JJ71)*IF(JJ$2&lt;$O71,1,(JK71+JL71)-(JK71*JL71))/POWER(1+$L72,JJ$2)</f>
        <v>0.25045610871251262</v>
      </c>
      <c r="JO71" s="242">
        <f t="shared" ref="JO71:JO86" ca="1" si="1023">ABS(JJ71)*IF(JJ$2&lt;$O71,1,(JK71+JL71)-(JK71*JL71))/POWER(1+$M71,JJ$2)</f>
        <v>0.25045610871251262</v>
      </c>
      <c r="JP71" s="241">
        <f t="shared" ca="1" si="803"/>
        <v>1</v>
      </c>
      <c r="JQ71" s="220">
        <f t="shared" ref="JQ71:JQ86" ca="1" si="1024">IF($F71&gt;0,IF(JP$2&gt;0,PRODUCT(OFFSET(LT_AnnuityLifeTable,$F71,2,JP$2,1)),100%),0)</f>
        <v>0.95603644739167326</v>
      </c>
      <c r="JR71" s="220">
        <f t="shared" ref="JR71:JR86" ca="1" si="1025">IF(AND($G71&gt;0,SP_AnnySurvivor),IF(JP$2&gt;0,PRODUCT(OFFSET(LT_AnnuityLifeTable,$G71,5,JP$2,1)),100%),0)</f>
        <v>0</v>
      </c>
      <c r="JS71" s="235">
        <f t="shared" ref="JS71:JS86" ca="1" si="1026">ABS(JP71)*IF(JP$2&lt;$O71,1,(JQ71+JR71)-(JQ71*JR71))/POWER(1+$L71,JP$2)</f>
        <v>0.24146848520169967</v>
      </c>
      <c r="JT71" s="235">
        <f t="shared" ref="JT71:JT86" ca="1" si="1027">ABS(JP71)*IF(JP$2&lt;$O71,1,(JQ71+JR71)-(JQ71*JR71))/POWER(1+$L72,JP$2)</f>
        <v>0.24146848520169967</v>
      </c>
      <c r="JU71" s="242">
        <f t="shared" ref="JU71:JU86" ca="1" si="1028">ABS(JP71)*IF(JP$2&lt;$O71,1,(JQ71+JR71)-(JQ71*JR71))/POWER(1+$M71,JP$2)</f>
        <v>0.24146848520169967</v>
      </c>
      <c r="JV71" s="241">
        <f t="shared" ca="1" si="803"/>
        <v>1</v>
      </c>
      <c r="JW71" s="220">
        <f t="shared" ref="JW71:JW86" ca="1" si="1029">IF($F71&gt;0,IF(JV$2&gt;0,PRODUCT(OFFSET(LT_AnnuityLifeTable,$F71,2,JV$2,1)),100%),0)</f>
        <v>0.95389492574951584</v>
      </c>
      <c r="JX71" s="220">
        <f t="shared" ref="JX71:JX86" ca="1" si="1030">IF(AND($G71&gt;0,SP_AnnySurvivor),IF(JV$2&gt;0,PRODUCT(OFFSET(LT_AnnuityLifeTable,$G71,5,JV$2,1)),100%),0)</f>
        <v>0</v>
      </c>
      <c r="JY71" s="235">
        <f t="shared" ref="JY71:JY86" ca="1" si="1031">ABS(JV71)*IF(JV$2&lt;$O71,1,(JW71+JX71)-(JW71*JX71))/POWER(1+$L71,JV$2)</f>
        <v>0.23278028579212359</v>
      </c>
      <c r="JZ71" s="235">
        <f t="shared" ref="JZ71:JZ86" ca="1" si="1032">ABS(JV71)*IF(JV$2&lt;$O71,1,(JW71+JX71)-(JW71*JX71))/POWER(1+$L72,JV$2)</f>
        <v>0.23278028579212359</v>
      </c>
      <c r="KA71" s="242">
        <f t="shared" ref="KA71:KA86" ca="1" si="1033">ABS(JV71)*IF(JV$2&lt;$O71,1,(JW71+JX71)-(JW71*JX71))/POWER(1+$M71,JV$2)</f>
        <v>0.23278028579212359</v>
      </c>
      <c r="KB71" s="241">
        <f t="shared" ca="1" si="803"/>
        <v>1</v>
      </c>
      <c r="KC71" s="220">
        <f t="shared" ref="KC71:KC86" ca="1" si="1034">IF($F71&gt;0,IF(KB$2&gt;0,PRODUCT(OFFSET(LT_AnnuityLifeTable,$F71,2,KB$2,1)),100%),0)</f>
        <v>0.95164182593489555</v>
      </c>
      <c r="KD71" s="220">
        <f t="shared" ref="KD71:KD86" ca="1" si="1035">IF(AND($G71&gt;0,SP_AnnySurvivor),IF(KB$2&gt;0,PRODUCT(OFFSET(LT_AnnuityLifeTable,$G71,5,KB$2,1)),100%),0)</f>
        <v>0</v>
      </c>
      <c r="KE71" s="235">
        <f t="shared" ref="KE71:KE86" ca="1" si="1036">ABS(KB71)*IF(KB$2&lt;$O71,1,(KC71+KD71)-(KC71*KD71))/POWER(1+$L71,KB$2)</f>
        <v>0.22437725483776094</v>
      </c>
      <c r="KF71" s="235">
        <f t="shared" ref="KF71:KF86" ca="1" si="1037">ABS(KB71)*IF(KB$2&lt;$O71,1,(KC71+KD71)-(KC71*KD71))/POWER(1+$L72,KB$2)</f>
        <v>0.22437725483776094</v>
      </c>
      <c r="KG71" s="242">
        <f t="shared" ref="KG71:KG86" ca="1" si="1038">ABS(KB71)*IF(KB$2&lt;$O71,1,(KC71+KD71)-(KC71*KD71))/POWER(1+$M71,KB$2)</f>
        <v>0.22437725483776094</v>
      </c>
      <c r="KH71" s="241">
        <f t="shared" ca="1" si="803"/>
        <v>1</v>
      </c>
      <c r="KI71" s="220">
        <f t="shared" ref="KI71:KI86" ca="1" si="1039">IF($F71&gt;0,IF(KH$2&gt;0,PRODUCT(OFFSET(LT_AnnuityLifeTable,$F71,2,KH$2,1)),100%),0)</f>
        <v>0.94925415659362489</v>
      </c>
      <c r="KJ71" s="220">
        <f t="shared" ref="KJ71:KJ86" ca="1" si="1040">IF(AND($G71&gt;0,SP_AnnySurvivor),IF(KH$2&gt;0,PRODUCT(OFFSET(LT_AnnuityLifeTable,$G71,5,KH$2,1)),100%),0)</f>
        <v>0</v>
      </c>
      <c r="KK71" s="235">
        <f t="shared" ref="KK71:KK86" ca="1" si="1041">ABS(KH71)*IF(KH$2&lt;$O71,1,(KI71+KJ71)-(KI71*KJ71))/POWER(1+$L71,KH$2)</f>
        <v>0.21624569304866956</v>
      </c>
      <c r="KL71" s="235">
        <f t="shared" ref="KL71:KL86" ca="1" si="1042">ABS(KH71)*IF(KH$2&lt;$O71,1,(KI71+KJ71)-(KI71*KJ71))/POWER(1+$L72,KH$2)</f>
        <v>0.21624569304866956</v>
      </c>
      <c r="KM71" s="242">
        <f t="shared" ref="KM71:KM86" ca="1" si="1043">ABS(KH71)*IF(KH$2&lt;$O71,1,(KI71+KJ71)-(KI71*KJ71))/POWER(1+$M71,KH$2)</f>
        <v>0.21624569304866956</v>
      </c>
      <c r="KN71" s="241">
        <f t="shared" ca="1" si="803"/>
        <v>1</v>
      </c>
      <c r="KO71" s="220">
        <f t="shared" ref="KO71:KO86" ca="1" si="1044">IF($F71&gt;0,IF(KN$2&gt;0,PRODUCT(OFFSET(LT_AnnuityLifeTable,$F71,2,KN$2,1)),100%),0)</f>
        <v>0.94670635843732753</v>
      </c>
      <c r="KP71" s="220">
        <f t="shared" ref="KP71:KP86" ca="1" si="1045">IF(AND($G71&gt;0,SP_AnnySurvivor),IF(KN$2&gt;0,PRODUCT(OFFSET(LT_AnnuityLifeTable,$G71,5,KN$2,1)),100%),0)</f>
        <v>0</v>
      </c>
      <c r="KQ71" s="235">
        <f t="shared" ref="KQ71:KQ86" ca="1" si="1046">ABS(KN71)*IF(KN$2&lt;$O71,1,(KO71+KP71)-(KO71*KP71))/POWER(1+$L71,KN$2)</f>
        <v>0.2083722604913304</v>
      </c>
      <c r="KR71" s="235">
        <f t="shared" ref="KR71:KR86" ca="1" si="1047">ABS(KN71)*IF(KN$2&lt;$O71,1,(KO71+KP71)-(KO71*KP71))/POWER(1+$L72,KN$2)</f>
        <v>0.2083722604913304</v>
      </c>
      <c r="KS71" s="242">
        <f t="shared" ref="KS71:KS86" ca="1" si="1048">ABS(KN71)*IF(KN$2&lt;$O71,1,(KO71+KP71)-(KO71*KP71))/POWER(1+$M71,KN$2)</f>
        <v>0.2083722604913304</v>
      </c>
      <c r="KT71" s="241">
        <f t="shared" ca="1" si="803"/>
        <v>1</v>
      </c>
      <c r="KU71" s="220">
        <f t="shared" ref="KU71:KU86" ca="1" si="1049">IF($F71&gt;0,IF(KT$2&gt;0,PRODUCT(OFFSET(LT_AnnuityLifeTable,$F71,2,KT$2,1)),100%),0)</f>
        <v>0.94397037706144371</v>
      </c>
      <c r="KV71" s="220">
        <f t="shared" ref="KV71:KV86" ca="1" si="1050">IF(AND($G71&gt;0,SP_AnnySurvivor),IF(KT$2&gt;0,PRODUCT(OFFSET(LT_AnnuityLifeTable,$G71,5,KT$2,1)),100%),0)</f>
        <v>0</v>
      </c>
      <c r="KW71" s="235">
        <f t="shared" ref="KW71:KW86" ca="1" si="1051">ABS(KT71)*IF(KT$2&lt;$O71,1,(KU71+KV71)-(KU71*KV71))/POWER(1+$L71,KT$2)</f>
        <v>0.20074402382464779</v>
      </c>
      <c r="KX71" s="235">
        <f t="shared" ref="KX71:KX86" ca="1" si="1052">ABS(KT71)*IF(KT$2&lt;$O71,1,(KU71+KV71)-(KU71*KV71))/POWER(1+$L72,KT$2)</f>
        <v>0.20074402382464779</v>
      </c>
      <c r="KY71" s="242">
        <f t="shared" ref="KY71:KY86" ca="1" si="1053">ABS(KT71)*IF(KT$2&lt;$O71,1,(KU71+KV71)-(KU71*KV71))/POWER(1+$M71,KT$2)</f>
        <v>0.20074402382464779</v>
      </c>
      <c r="KZ71" s="241">
        <f t="shared" ca="1" si="803"/>
        <v>1</v>
      </c>
      <c r="LA71" s="220">
        <f t="shared" ref="LA71:LA86" ca="1" si="1054">IF($F71&gt;0,IF(KZ$2&gt;0,PRODUCT(OFFSET(LT_AnnuityLifeTable,$F71,2,KZ$2,1)),100%),0)</f>
        <v>0.94102424551463493</v>
      </c>
      <c r="LB71" s="220">
        <f t="shared" ref="LB71:LB86" ca="1" si="1055">IF(AND($G71&gt;0,SP_AnnySurvivor),IF(KZ$2&gt;0,PRODUCT(OFFSET(LT_AnnuityLifeTable,$G71,5,KZ$2,1)),100%),0)</f>
        <v>0</v>
      </c>
      <c r="LC71" s="235">
        <f t="shared" ref="LC71:LC86" ca="1" si="1056">ABS(KZ71)*IF(KZ$2&lt;$O71,1,(LA71+LB71)-(LA71*LB71))/POWER(1+$L71,KZ$2)</f>
        <v>0.19335024321380778</v>
      </c>
      <c r="LD71" s="235">
        <f t="shared" ref="LD71:LD86" ca="1" si="1057">ABS(KZ71)*IF(KZ$2&lt;$O71,1,(LA71+LB71)-(LA71*LB71))/POWER(1+$L72,KZ$2)</f>
        <v>0.19335024321380778</v>
      </c>
      <c r="LE71" s="242">
        <f t="shared" ref="LE71:LE86" ca="1" si="1058">ABS(KZ71)*IF(KZ$2&lt;$O71,1,(LA71+LB71)-(LA71*LB71))/POWER(1+$M71,KZ$2)</f>
        <v>0.19335024321380778</v>
      </c>
      <c r="LF71" s="241">
        <f t="shared" ca="1" si="803"/>
        <v>1</v>
      </c>
      <c r="LG71" s="220">
        <f t="shared" ref="LG71:LG86" ca="1" si="1059">IF($F71&gt;0,IF(LF$2&gt;0,PRODUCT(OFFSET(LT_AnnuityLifeTable,$F71,2,LF$2,1)),100%),0)</f>
        <v>0.93783793741932242</v>
      </c>
      <c r="LH71" s="220">
        <f t="shared" ref="LH71:LH86" ca="1" si="1060">IF(AND($G71&gt;0,SP_AnnySurvivor),IF(LF$2&gt;0,PRODUCT(OFFSET(LT_AnnuityLifeTable,$G71,5,LF$2,1)),100%),0)</f>
        <v>0</v>
      </c>
      <c r="LI71" s="235">
        <f t="shared" ref="LI71:LI86" ca="1" si="1061">ABS(LF71)*IF(LF$2&lt;$O71,1,(LG71+LH71)-(LG71*LH71))/POWER(1+$L71,LF$2)</f>
        <v>0.18617928433844047</v>
      </c>
      <c r="LJ71" s="235">
        <f t="shared" ref="LJ71:LJ86" ca="1" si="1062">ABS(LF71)*IF(LF$2&lt;$O71,1,(LG71+LH71)-(LG71*LH71))/POWER(1+$L72,LF$2)</f>
        <v>0.18617928433844047</v>
      </c>
      <c r="LK71" s="242">
        <f t="shared" ref="LK71:LK86" ca="1" si="1063">ABS(LF71)*IF(LF$2&lt;$O71,1,(LG71+LH71)-(LG71*LH71))/POWER(1+$M71,LF$2)</f>
        <v>0.18617928433844047</v>
      </c>
      <c r="LL71" s="241">
        <f t="shared" ca="1" si="803"/>
        <v>1</v>
      </c>
      <c r="LM71" s="220">
        <f t="shared" ref="LM71:LM86" ca="1" si="1064">IF($F71&gt;0,IF(LL$2&gt;0,PRODUCT(OFFSET(LT_AnnuityLifeTable,$F71,2,LL$2,1)),100%),0)</f>
        <v>0.93436137218530901</v>
      </c>
      <c r="LN71" s="220">
        <f t="shared" ref="LN71:LN86" ca="1" si="1065">IF(AND($G71&gt;0,SP_AnnySurvivor),IF(LL$2&gt;0,PRODUCT(OFFSET(LT_AnnuityLifeTable,$G71,5,LL$2,1)),100%),0)</f>
        <v>0</v>
      </c>
      <c r="LO71" s="235">
        <f t="shared" ref="LO71:LO86" ca="1" si="1066">ABS(LL71)*IF(LL$2&lt;$O71,1,(LM71+LN71)-(LM71*LN71))/POWER(1+$L71,LL$2)</f>
        <v>0.17921653887091585</v>
      </c>
      <c r="LP71" s="235">
        <f t="shared" ref="LP71:LP86" ca="1" si="1067">ABS(LL71)*IF(LL$2&lt;$O71,1,(LM71+LN71)-(LM71*LN71))/POWER(1+$L72,LL$2)</f>
        <v>0.17921653887091585</v>
      </c>
      <c r="LQ71" s="242">
        <f t="shared" ref="LQ71:LQ86" ca="1" si="1068">ABS(LL71)*IF(LL$2&lt;$O71,1,(LM71+LN71)-(LM71*LN71))/POWER(1+$M71,LL$2)</f>
        <v>0.17921653887091585</v>
      </c>
      <c r="LR71" s="241">
        <f t="shared" ca="1" si="803"/>
        <v>1</v>
      </c>
      <c r="LS71" s="220">
        <f t="shared" ref="LS71:LS86" ca="1" si="1069">IF($F71&gt;0,IF(LR$2&gt;0,PRODUCT(OFFSET(LT_AnnuityLifeTable,$F71,2,LR$2,1)),100%),0)</f>
        <v>0.93053889981169891</v>
      </c>
      <c r="LT71" s="220">
        <f t="shared" ref="LT71:LT86" ca="1" si="1070">IF(AND($G71&gt;0,SP_AnnySurvivor),IF(LR$2&gt;0,PRODUCT(OFFSET(LT_AnnuityLifeTable,$G71,5,LR$2,1)),100%),0)</f>
        <v>0</v>
      </c>
      <c r="LU71" s="235">
        <f t="shared" ref="LU71:LU86" ca="1" si="1071">ABS(LR71)*IF(LR$2&lt;$O71,1,(LS71+LT71)-(LS71*LT71))/POWER(1+$L71,LR$2)</f>
        <v>0.17244769469603377</v>
      </c>
      <c r="LV71" s="235">
        <f t="shared" ref="LV71:LV86" ca="1" si="1072">ABS(LR71)*IF(LR$2&lt;$O71,1,(LS71+LT71)-(LS71*LT71))/POWER(1+$L72,LR$2)</f>
        <v>0.17244769469603377</v>
      </c>
      <c r="LW71" s="242">
        <f t="shared" ref="LW71:LW86" ca="1" si="1073">ABS(LR71)*IF(LR$2&lt;$O71,1,(LS71+LT71)-(LS71*LT71))/POWER(1+$M71,LR$2)</f>
        <v>0.17244769469603377</v>
      </c>
      <c r="LX71" s="241">
        <f t="shared" ca="1" si="803"/>
        <v>1</v>
      </c>
      <c r="LY71" s="220">
        <f t="shared" ref="LY71:LY86" ca="1" si="1074">IF($F71&gt;0,IF(LX$2&gt;0,PRODUCT(OFFSET(LT_AnnuityLifeTable,$F71,2,LX$2,1)),100%),0)</f>
        <v>0.92632262805665211</v>
      </c>
      <c r="LZ71" s="220">
        <f t="shared" ref="LZ71:LZ86" ca="1" si="1075">IF(AND($G71&gt;0,SP_AnnySurvivor),IF(LX$2&gt;0,PRODUCT(OFFSET(LT_AnnuityLifeTable,$G71,5,LX$2,1)),100%),0)</f>
        <v>0</v>
      </c>
      <c r="MA71" s="235">
        <f t="shared" ref="MA71:MA86" ca="1" si="1076">ABS(LX71)*IF(LX$2&lt;$O71,1,(LY71+LZ71)-(LY71*LZ71))/POWER(1+$L71,LX$2)</f>
        <v>0.16586119245542613</v>
      </c>
      <c r="MB71" s="235">
        <f t="shared" ref="MB71:MB86" ca="1" si="1077">ABS(LX71)*IF(LX$2&lt;$O71,1,(LY71+LZ71)-(LY71*LZ71))/POWER(1+$L72,LX$2)</f>
        <v>0.16586119245542613</v>
      </c>
      <c r="MC71" s="242">
        <f t="shared" ref="MC71:MC86" ca="1" si="1078">ABS(LX71)*IF(LX$2&lt;$O71,1,(LY71+LZ71)-(LY71*LZ71))/POWER(1+$M71,LX$2)</f>
        <v>0.16586119245542613</v>
      </c>
      <c r="MD71" s="241">
        <f t="shared" ca="1" si="797"/>
        <v>1</v>
      </c>
      <c r="ME71" s="220">
        <f t="shared" ref="ME71:ME86" ca="1" si="1079">IF($F71&gt;0,IF(MD$2&gt;0,PRODUCT(OFFSET(LT_AnnuityLifeTable,$F71,2,MD$2,1)),100%),0)</f>
        <v>0.92167897272220412</v>
      </c>
      <c r="MF71" s="220">
        <f t="shared" ref="MF71:MF86" ca="1" si="1080">IF(AND($G71&gt;0,SP_AnnySurvivor),IF(MD$2&gt;0,PRODUCT(OFFSET(LT_AnnuityLifeTable,$G71,5,MD$2,1)),100%),0)</f>
        <v>0</v>
      </c>
      <c r="MG71" s="235">
        <f t="shared" ref="MG71:MG86" ca="1" si="1081">ABS(MD71)*IF(MD$2&lt;$O71,1,(ME71+MF71)-(ME71*MF71))/POWER(1+$L71,MD$2)</f>
        <v>0.15944901478033538</v>
      </c>
      <c r="MH71" s="235">
        <f t="shared" ref="MH71:MH86" ca="1" si="1082">ABS(MD71)*IF(MD$2&lt;$O71,1,(ME71+MF71)-(ME71*MF71))/POWER(1+$L72,MD$2)</f>
        <v>0.15944901478033538</v>
      </c>
      <c r="MI71" s="242">
        <f t="shared" ref="MI71:MI86" ca="1" si="1083">ABS(MD71)*IF(MD$2&lt;$O71,1,(ME71+MF71)-(ME71*MF71))/POWER(1+$M71,MD$2)</f>
        <v>0.15944901478033538</v>
      </c>
      <c r="MJ71" s="241">
        <f t="shared" ca="1" si="797"/>
        <v>1</v>
      </c>
      <c r="MK71" s="220">
        <f t="shared" ref="MK71:MK86" ca="1" si="1084">IF($F71&gt;0,IF(MJ$2&gt;0,PRODUCT(OFFSET(LT_AnnuityLifeTable,$F71,2,MJ$2,1)),100%),0)</f>
        <v>0.91658761807688671</v>
      </c>
      <c r="ML71" s="220">
        <f t="shared" ref="ML71:ML86" ca="1" si="1085">IF(AND($G71&gt;0,SP_AnnySurvivor),IF(MJ$2&gt;0,PRODUCT(OFFSET(LT_AnnuityLifeTable,$G71,5,MJ$2,1)),100%),0)</f>
        <v>0</v>
      </c>
      <c r="MM71" s="235">
        <f t="shared" ref="MM71:MM86" ca="1" si="1086">ABS(MJ71)*IF(MJ$2&lt;$O71,1,(MK71+ML71)-(MK71*ML71))/POWER(1+$L71,MJ$2)</f>
        <v>0.15320600813786359</v>
      </c>
      <c r="MN71" s="235">
        <f t="shared" ref="MN71:MN86" ca="1" si="1087">ABS(MJ71)*IF(MJ$2&lt;$O71,1,(MK71+ML71)-(MK71*ML71))/POWER(1+$L72,MJ$2)</f>
        <v>0.15320600813786359</v>
      </c>
      <c r="MO71" s="242">
        <f t="shared" ref="MO71:MO86" ca="1" si="1088">ABS(MJ71)*IF(MJ$2&lt;$O71,1,(MK71+ML71)-(MK71*ML71))/POWER(1+$M71,MJ$2)</f>
        <v>0.15320600813786359</v>
      </c>
      <c r="MP71" s="241">
        <f t="shared" ca="1" si="804"/>
        <v>1</v>
      </c>
      <c r="MQ71" s="220">
        <f t="shared" ref="MQ71:MQ86" ca="1" si="1089">IF($F71&gt;0,IF(MP$2&gt;0,PRODUCT(OFFSET(LT_AnnuityLifeTable,$F71,2,MP$2,1)),100%),0)</f>
        <v>0.91103401369895887</v>
      </c>
      <c r="MR71" s="220">
        <f t="shared" ref="MR71:MR86" ca="1" si="1090">IF(AND($G71&gt;0,SP_AnnySurvivor),IF(MP$2&gt;0,PRODUCT(OFFSET(LT_AnnuityLifeTable,$G71,5,MP$2,1)),100%),0)</f>
        <v>0</v>
      </c>
      <c r="MS71" s="235">
        <f t="shared" ref="MS71:MS86" ca="1" si="1091">ABS(MP71)*IF(MP$2&lt;$O71,1,(MQ71+MR71)-(MQ71*MR71))/POWER(1+$L71,MP$2)</f>
        <v>0.1471282443812138</v>
      </c>
      <c r="MT71" s="235">
        <f t="shared" ref="MT71:MT86" ca="1" si="1092">ABS(MP71)*IF(MP$2&lt;$O71,1,(MQ71+MR71)-(MQ71*MR71))/POWER(1+$L72,MP$2)</f>
        <v>0.1471282443812138</v>
      </c>
      <c r="MU71" s="242">
        <f t="shared" ref="MU71:MU86" ca="1" si="1093">ABS(MP71)*IF(MP$2&lt;$O71,1,(MQ71+MR71)-(MQ71*MR71))/POWER(1+$M71,MP$2)</f>
        <v>0.1471282443812138</v>
      </c>
      <c r="MV71" s="241">
        <f t="shared" ca="1" si="804"/>
        <v>1</v>
      </c>
      <c r="MW71" s="220">
        <f t="shared" ref="MW71:MW86" ca="1" si="1094">IF($F71&gt;0,IF(MV$2&gt;0,PRODUCT(OFFSET(LT_AnnuityLifeTable,$F71,2,MV$2,1)),100%),0)</f>
        <v>0.90501116783439506</v>
      </c>
      <c r="MX71" s="220">
        <f t="shared" ref="MX71:MX86" ca="1" si="1095">IF(AND($G71&gt;0,SP_AnnySurvivor),IF(MV$2&gt;0,PRODUCT(OFFSET(LT_AnnuityLifeTable,$G71,5,MV$2,1)),100%),0)</f>
        <v>0</v>
      </c>
      <c r="MY71" s="235">
        <f t="shared" ref="MY71:MY86" ca="1" si="1096">ABS(MV71)*IF(MV$2&lt;$O71,1,(MW71+MX71)-(MW71*MX71))/POWER(1+$L71,MV$2)</f>
        <v>0.14121312034551653</v>
      </c>
      <c r="MZ71" s="235">
        <f t="shared" ref="MZ71:MZ86" ca="1" si="1097">ABS(MV71)*IF(MV$2&lt;$O71,1,(MW71+MX71)-(MW71*MX71))/POWER(1+$L72,MV$2)</f>
        <v>0.14121312034551653</v>
      </c>
      <c r="NA71" s="242">
        <f t="shared" ref="NA71:NA86" ca="1" si="1098">ABS(MV71)*IF(MV$2&lt;$O71,1,(MW71+MX71)-(MW71*MX71))/POWER(1+$M71,MV$2)</f>
        <v>0.14121312034551653</v>
      </c>
      <c r="NB71" s="241">
        <f t="shared" ca="1" si="804"/>
        <v>1</v>
      </c>
      <c r="NC71" s="220">
        <f t="shared" ref="NC71:NC86" ca="1" si="1099">IF($F71&gt;0,IF(NB$2&gt;0,PRODUCT(OFFSET(LT_AnnuityLifeTable,$F71,2,NB$2,1)),100%),0)</f>
        <v>0.89850685257116925</v>
      </c>
      <c r="ND71" s="220">
        <f t="shared" ref="ND71:ND86" ca="1" si="1100">IF(AND($G71&gt;0,SP_AnnySurvivor),IF(NB$2&gt;0,PRODUCT(OFFSET(LT_AnnuityLifeTable,$G71,5,NB$2,1)),100%),0)</f>
        <v>0</v>
      </c>
      <c r="NE71" s="235">
        <f t="shared" ref="NE71:NE86" ca="1" si="1101">ABS(NB71)*IF(NB$2&lt;$O71,1,(NC71+ND71)-(NC71*ND71))/POWER(1+$L71,NB$2)</f>
        <v>0.13545721898511429</v>
      </c>
      <c r="NF71" s="235">
        <f t="shared" ref="NF71:NF86" ca="1" si="1102">ABS(NB71)*IF(NB$2&lt;$O71,1,(NC71+ND71)-(NC71*ND71))/POWER(1+$L72,NB$2)</f>
        <v>0.13545721898511429</v>
      </c>
      <c r="NG71" s="242">
        <f t="shared" ref="NG71:NG86" ca="1" si="1103">ABS(NB71)*IF(NB$2&lt;$O71,1,(NC71+ND71)-(NC71*ND71))/POWER(1+$M71,NB$2)</f>
        <v>0.13545721898511429</v>
      </c>
      <c r="NH71" s="241">
        <f t="shared" ca="1" si="804"/>
        <v>1</v>
      </c>
      <c r="NI71" s="220">
        <f t="shared" ref="NI71:NI86" ca="1" si="1104">IF($F71&gt;0,IF(NH$2&gt;0,PRODUCT(OFFSET(LT_AnnuityLifeTable,$F71,2,NH$2,1)),100%),0)</f>
        <v>0.89149849912111412</v>
      </c>
      <c r="NJ71" s="220">
        <f t="shared" ref="NJ71:NJ86" ca="1" si="1105">IF(AND($G71&gt;0,SP_AnnySurvivor),IF(NH$2&gt;0,PRODUCT(OFFSET(LT_AnnuityLifeTable,$G71,5,NH$2,1)),100%),0)</f>
        <v>0</v>
      </c>
      <c r="NK71" s="235">
        <f t="shared" ref="NK71:NK86" ca="1" si="1106">ABS(NH71)*IF(NH$2&lt;$O71,1,(NI71+NJ71)-(NI71*NJ71))/POWER(1+$L71,NH$2)</f>
        <v>0.12985570306959462</v>
      </c>
      <c r="NL71" s="235">
        <f t="shared" ref="NL71:NL86" ca="1" si="1107">ABS(NH71)*IF(NH$2&lt;$O71,1,(NI71+NJ71)-(NI71*NJ71))/POWER(1+$L72,NH$2)</f>
        <v>0.12985570306959462</v>
      </c>
      <c r="NM71" s="242">
        <f t="shared" ref="NM71:NM86" ca="1" si="1108">ABS(NH71)*IF(NH$2&lt;$O71,1,(NI71+NJ71)-(NI71*NJ71))/POWER(1+$M71,NH$2)</f>
        <v>0.12985570306959462</v>
      </c>
      <c r="NN71" s="241">
        <f t="shared" ca="1" si="804"/>
        <v>1</v>
      </c>
      <c r="NO71" s="220">
        <f t="shared" ref="NO71:NO86" ca="1" si="1109">IF($F71&gt;0,IF(NN$2&gt;0,PRODUCT(OFFSET(LT_AnnuityLifeTable,$F71,2,NN$2,1)),100%),0)</f>
        <v>0.88395998781254592</v>
      </c>
      <c r="NP71" s="220">
        <f t="shared" ref="NP71:NP86" ca="1" si="1110">IF(AND($G71&gt;0,SP_AnnySurvivor),IF(NN$2&gt;0,PRODUCT(OFFSET(LT_AnnuityLifeTable,$G71,5,NN$2,1)),100%),0)</f>
        <v>0</v>
      </c>
      <c r="NQ71" s="235">
        <f t="shared" ref="NQ71:NQ86" ca="1" si="1111">ABS(NN71)*IF(NN$2&lt;$O71,1,(NO71+NP71)-(NO71*NP71))/POWER(1+$L71,NN$2)</f>
        <v>0.12440352004293539</v>
      </c>
      <c r="NR71" s="235">
        <f t="shared" ref="NR71:NR86" ca="1" si="1112">ABS(NN71)*IF(NN$2&lt;$O71,1,(NO71+NP71)-(NO71*NP71))/POWER(1+$L72,NN$2)</f>
        <v>0.12440352004293539</v>
      </c>
      <c r="NS71" s="242">
        <f t="shared" ref="NS71:NS86" ca="1" si="1113">ABS(NN71)*IF(NN$2&lt;$O71,1,(NO71+NP71)-(NO71*NP71))/POWER(1+$M71,NN$2)</f>
        <v>0.12440352004293539</v>
      </c>
      <c r="NT71" s="241">
        <f t="shared" ca="1" si="804"/>
        <v>1</v>
      </c>
      <c r="NU71" s="220">
        <f t="shared" ref="NU71:NU86" ca="1" si="1114">IF($F71&gt;0,IF(NT$2&gt;0,PRODUCT(OFFSET(LT_AnnuityLifeTable,$F71,2,NT$2,1)),100%),0)</f>
        <v>0.87587705768398794</v>
      </c>
      <c r="NV71" s="220">
        <f t="shared" ref="NV71:NV86" ca="1" si="1115">IF(AND($G71&gt;0,SP_AnnySurvivor),IF(NT$2&gt;0,PRODUCT(OFFSET(LT_AnnuityLifeTable,$G71,5,NT$2,1)),100%),0)</f>
        <v>0</v>
      </c>
      <c r="NW71" s="235">
        <f t="shared" ref="NW71:NW86" ca="1" si="1116">ABS(NT71)*IF(NT$2&lt;$O71,1,(NU71+NV71)-(NU71*NV71))/POWER(1+$L71,NT$2)</f>
        <v>0.11909755966730703</v>
      </c>
      <c r="NX71" s="235">
        <f t="shared" ref="NX71:NX86" ca="1" si="1117">ABS(NT71)*IF(NT$2&lt;$O71,1,(NU71+NV71)-(NU71*NV71))/POWER(1+$L72,NT$2)</f>
        <v>0.11909755966730703</v>
      </c>
      <c r="NY71" s="242">
        <f t="shared" ref="NY71:NY86" ca="1" si="1118">ABS(NT71)*IF(NT$2&lt;$O71,1,(NU71+NV71)-(NU71*NV71))/POWER(1+$M71,NT$2)</f>
        <v>0.11909755966730703</v>
      </c>
      <c r="NZ71" s="241">
        <f t="shared" ca="1" si="804"/>
        <v>1</v>
      </c>
      <c r="OA71" s="220">
        <f t="shared" ref="OA71:OA86" ca="1" si="1119">IF($F71&gt;0,IF(NZ$2&gt;0,PRODUCT(OFFSET(LT_AnnuityLifeTable,$F71,2,NZ$2,1)),100%),0)</f>
        <v>0.86723653050993543</v>
      </c>
      <c r="OB71" s="220">
        <f t="shared" ref="OB71:OB86" ca="1" si="1120">IF(AND($G71&gt;0,SP_AnnySurvivor),IF(NZ$2&gt;0,PRODUCT(OFFSET(LT_AnnuityLifeTable,$G71,5,NZ$2,1)),100%),0)</f>
        <v>0</v>
      </c>
      <c r="OC71" s="235">
        <f t="shared" ref="OC71:OC86" ca="1" si="1121">ABS(NZ71)*IF(NZ$2&lt;$O71,1,(OA71+OB71)-(OA71*OB71))/POWER(1+$L71,NZ$2)</f>
        <v>0.11393493936346769</v>
      </c>
      <c r="OD71" s="235">
        <f t="shared" ref="OD71:OD86" ca="1" si="1122">ABS(NZ71)*IF(NZ$2&lt;$O71,1,(OA71+OB71)-(OA71*OB71))/POWER(1+$L72,NZ$2)</f>
        <v>0.11393493936346769</v>
      </c>
      <c r="OE71" s="242">
        <f t="shared" ref="OE71:OE86" ca="1" si="1123">ABS(NZ71)*IF(NZ$2&lt;$O71,1,(OA71+OB71)-(OA71*OB71))/POWER(1+$M71,NZ$2)</f>
        <v>0.11393493936346769</v>
      </c>
      <c r="OF71" s="241">
        <f t="shared" ca="1" si="804"/>
        <v>1</v>
      </c>
      <c r="OG71" s="220">
        <f t="shared" ref="OG71:OG86" ca="1" si="1124">IF($F71&gt;0,IF(OF$2&gt;0,PRODUCT(OFFSET(LT_AnnuityLifeTable,$F71,2,OF$2,1)),100%),0)</f>
        <v>0.85802474408285889</v>
      </c>
      <c r="OH71" s="220">
        <f t="shared" ref="OH71:OH86" ca="1" si="1125">IF(AND($G71&gt;0,SP_AnnySurvivor),IF(OF$2&gt;0,PRODUCT(OFFSET(LT_AnnuityLifeTable,$G71,5,OF$2,1)),100%),0)</f>
        <v>0</v>
      </c>
      <c r="OI71" s="235">
        <f t="shared" ref="OI71:OI86" ca="1" si="1126">ABS(OF71)*IF(OF$2&lt;$O71,1,(OG71+OH71)-(OG71*OH71))/POWER(1+$L71,OF$2)</f>
        <v>0.10891277530197965</v>
      </c>
      <c r="OJ71" s="235">
        <f t="shared" ref="OJ71:OJ86" ca="1" si="1127">ABS(OF71)*IF(OF$2&lt;$O71,1,(OG71+OH71)-(OG71*OH71))/POWER(1+$L72,OF$2)</f>
        <v>0.10891277530197965</v>
      </c>
      <c r="OK71" s="242">
        <f t="shared" ref="OK71:OK86" ca="1" si="1128">ABS(OF71)*IF(OF$2&lt;$O71,1,(OG71+OH71)-(OG71*OH71))/POWER(1+$M71,OF$2)</f>
        <v>0.10891277530197965</v>
      </c>
      <c r="OL71" s="241">
        <f t="shared" ca="1" si="804"/>
        <v>1</v>
      </c>
      <c r="OM71" s="220">
        <f t="shared" ref="OM71:OM86" ca="1" si="1129">IF($F71&gt;0,IF(OL$2&gt;0,PRODUCT(OFFSET(LT_AnnuityLifeTable,$F71,2,OL$2,1)),100%),0)</f>
        <v>0.84819349656515752</v>
      </c>
      <c r="ON71" s="220">
        <f t="shared" ref="ON71:ON86" ca="1" si="1130">IF(AND($G71&gt;0,SP_AnnySurvivor),IF(OL$2&gt;0,PRODUCT(OFFSET(LT_AnnuityLifeTable,$G71,5,OL$2,1)),100%),0)</f>
        <v>0</v>
      </c>
      <c r="OO71" s="235">
        <f t="shared" ref="OO71:OO86" ca="1" si="1131">ABS(OL71)*IF(OL$2&lt;$O71,1,(OM71+ON71)-(OM71*ON71))/POWER(1+$L71,OL$2)</f>
        <v>0.10402401229233778</v>
      </c>
      <c r="OP71" s="235">
        <f t="shared" ref="OP71:OP86" ca="1" si="1132">ABS(OL71)*IF(OL$2&lt;$O71,1,(OM71+ON71)-(OM71*ON71))/POWER(1+$L72,OL$2)</f>
        <v>0.10402401229233778</v>
      </c>
      <c r="OQ71" s="242">
        <f t="shared" ref="OQ71:OQ86" ca="1" si="1133">ABS(OL71)*IF(OL$2&lt;$O71,1,(OM71+ON71)-(OM71*ON71))/POWER(1+$M71,OL$2)</f>
        <v>0.10402401229233778</v>
      </c>
      <c r="OR71" s="241">
        <f t="shared" ca="1" si="804"/>
        <v>1</v>
      </c>
      <c r="OS71" s="220">
        <f t="shared" ref="OS71:OS86" ca="1" si="1134">IF($F71&gt;0,IF(OR$2&gt;0,PRODUCT(OFFSET(LT_AnnuityLifeTable,$F71,2,OR$2,1)),100%),0)</f>
        <v>0.83771830688257787</v>
      </c>
      <c r="OT71" s="220">
        <f t="shared" ref="OT71:OT86" ca="1" si="1135">IF(AND($G71&gt;0,SP_AnnySurvivor),IF(OR$2&gt;0,PRODUCT(OFFSET(LT_AnnuityLifeTable,$G71,5,OR$2,1)),100%),0)</f>
        <v>0</v>
      </c>
      <c r="OU71" s="235">
        <f t="shared" ref="OU71:OU86" ca="1" si="1136">ABS(OR71)*IF(OR$2&lt;$O71,1,(OS71+OT71)-(OS71*OT71))/POWER(1+$L71,OR$2)</f>
        <v>9.9265039362828419E-2</v>
      </c>
      <c r="OV71" s="235">
        <f t="shared" ref="OV71:OV86" ca="1" si="1137">ABS(OR71)*IF(OR$2&lt;$O71,1,(OS71+OT71)-(OS71*OT71))/POWER(1+$L72,OR$2)</f>
        <v>9.9265039362828419E-2</v>
      </c>
      <c r="OW71" s="242">
        <f t="shared" ref="OW71:OW86" ca="1" si="1138">ABS(OR71)*IF(OR$2&lt;$O71,1,(OS71+OT71)-(OS71*OT71))/POWER(1+$M71,OR$2)</f>
        <v>9.9265039362828419E-2</v>
      </c>
      <c r="OX71" s="241">
        <f t="shared" ca="1" si="804"/>
        <v>1</v>
      </c>
      <c r="OY71" s="220">
        <f t="shared" ref="OY71:OY86" ca="1" si="1139">IF($F71&gt;0,IF(OX$2&gt;0,PRODUCT(OFFSET(LT_AnnuityLifeTable,$F71,2,OX$2,1)),100%),0)</f>
        <v>0.82663110509098692</v>
      </c>
      <c r="OZ71" s="220">
        <f t="shared" ref="OZ71:OZ86" ca="1" si="1140">IF(AND($G71&gt;0,SP_AnnySurvivor),IF(OX$2&gt;0,PRODUCT(OFFSET(LT_AnnuityLifeTable,$G71,5,OX$2,1)),100%),0)</f>
        <v>0</v>
      </c>
      <c r="PA71" s="235">
        <f t="shared" ref="PA71:PA86" ca="1" si="1141">ABS(OX71)*IF(OX$2&lt;$O71,1,(OY71+OZ71)-(OY71*OZ71))/POWER(1+$L71,OX$2)</f>
        <v>9.4638904895518239E-2</v>
      </c>
      <c r="PB71" s="235">
        <f t="shared" ref="PB71:PB86" ca="1" si="1142">ABS(OX71)*IF(OX$2&lt;$O71,1,(OY71+OZ71)-(OY71*OZ71))/POWER(1+$L72,OX$2)</f>
        <v>9.4638904895518239E-2</v>
      </c>
      <c r="PC71" s="242">
        <f t="shared" ref="PC71:PC86" ca="1" si="1143">ABS(OX71)*IF(OX$2&lt;$O71,1,(OY71+OZ71)-(OY71*OZ71))/POWER(1+$M71,OX$2)</f>
        <v>9.4638904895518239E-2</v>
      </c>
      <c r="PD71" s="241">
        <f t="shared" ca="1" si="798"/>
        <v>1</v>
      </c>
      <c r="PE71" s="220">
        <f t="shared" ref="PE71:PE86" ca="1" si="1144">IF($F71&gt;0,IF(PD$2&gt;0,PRODUCT(OFFSET(LT_AnnuityLifeTable,$F71,2,PD$2,1)),100%),0)</f>
        <v>0.81497808640251923</v>
      </c>
      <c r="PF71" s="220">
        <f t="shared" ref="PF71:PF86" ca="1" si="1145">IF(AND($G71&gt;0,SP_AnnySurvivor),IF(PD$2&gt;0,PRODUCT(OFFSET(LT_AnnuityLifeTable,$G71,5,PD$2,1)),100%),0)</f>
        <v>0</v>
      </c>
      <c r="PG71" s="235">
        <f t="shared" ref="PG71:PG86" ca="1" si="1146">ABS(PD71)*IF(PD$2&lt;$O71,1,(PE71+PF71)-(PE71*PF71))/POWER(1+$L71,PD$2)</f>
        <v>9.0149546138363415E-2</v>
      </c>
      <c r="PH71" s="235">
        <f t="shared" ref="PH71:PH86" ca="1" si="1147">ABS(PD71)*IF(PD$2&lt;$O71,1,(PE71+PF71)-(PE71*PF71))/POWER(1+$L72,PD$2)</f>
        <v>9.0149546138363415E-2</v>
      </c>
      <c r="PI71" s="242">
        <f t="shared" ref="PI71:PI86" ca="1" si="1148">ABS(PD71)*IF(PD$2&lt;$O71,1,(PE71+PF71)-(PE71*PF71))/POWER(1+$M71,PD$2)</f>
        <v>9.0149546138363415E-2</v>
      </c>
      <c r="PJ71" s="241">
        <f t="shared" ca="1" si="798"/>
        <v>1</v>
      </c>
      <c r="PK71" s="220">
        <f t="shared" ref="PK71:PK86" ca="1" si="1149">IF($F71&gt;0,IF(PJ$2&gt;0,PRODUCT(OFFSET(LT_AnnuityLifeTable,$F71,2,PJ$2,1)),100%),0)</f>
        <v>0.80277052964629592</v>
      </c>
      <c r="PL71" s="220">
        <f t="shared" ref="PL71:PL86" ca="1" si="1150">IF(AND($G71&gt;0,SP_AnnySurvivor),IF(PJ$2&gt;0,PRODUCT(OFFSET(LT_AnnuityLifeTable,$G71,5,PJ$2,1)),100%),0)</f>
        <v>0</v>
      </c>
      <c r="PM71" s="235">
        <f t="shared" ref="PM71:PM86" ca="1" si="1151">ABS(PJ71)*IF(PJ$2&lt;$O71,1,(PK71+PL71)-(PK71*PL71))/POWER(1+$L71,PJ$2)</f>
        <v>8.5796324721504238E-2</v>
      </c>
      <c r="PN71" s="235">
        <f t="shared" ref="PN71:PN86" ca="1" si="1152">ABS(PJ71)*IF(PJ$2&lt;$O71,1,(PK71+PL71)-(PK71*PL71))/POWER(1+$L72,PJ$2)</f>
        <v>8.5796324721504238E-2</v>
      </c>
      <c r="PO71" s="242">
        <f t="shared" ref="PO71:PO86" ca="1" si="1153">ABS(PJ71)*IF(PJ$2&lt;$O71,1,(PK71+PL71)-(PK71*PL71))/POWER(1+$M71,PJ$2)</f>
        <v>8.5796324721504238E-2</v>
      </c>
      <c r="PP71" s="241">
        <f t="shared" ca="1" si="805"/>
        <v>1</v>
      </c>
      <c r="PQ71" s="220">
        <f t="shared" ref="PQ71:PQ86" ca="1" si="1154">IF($F71&gt;0,IF(PP$2&gt;0,PRODUCT(OFFSET(LT_AnnuityLifeTable,$F71,2,PP$2,1)),100%),0)</f>
        <v>0.78995269259943357</v>
      </c>
      <c r="PR71" s="220">
        <f t="shared" ref="PR71:PR86" ca="1" si="1155">IF(AND($G71&gt;0,SP_AnnySurvivor),IF(PP$2&gt;0,PRODUCT(OFFSET(LT_AnnuityLifeTable,$G71,5,PP$2,1)),100%),0)</f>
        <v>0</v>
      </c>
      <c r="PS71" s="235">
        <f t="shared" ref="PS71:PS86" ca="1" si="1156">ABS(PP71)*IF(PP$2&lt;$O71,1,(PQ71+PR71)-(PQ71*PR71))/POWER(1+$L71,PP$2)</f>
        <v>8.1571415270218356E-2</v>
      </c>
      <c r="PT71" s="235">
        <f t="shared" ref="PT71:PT86" ca="1" si="1157">ABS(PP71)*IF(PP$2&lt;$O71,1,(PQ71+PR71)-(PQ71*PR71))/POWER(1+$L72,PP$2)</f>
        <v>8.1571415270218356E-2</v>
      </c>
      <c r="PU71" s="242">
        <f t="shared" ref="PU71:PU86" ca="1" si="1158">ABS(PP71)*IF(PP$2&lt;$O71,1,(PQ71+PR71)-(PQ71*PR71))/POWER(1+$M71,PP$2)</f>
        <v>8.1571415270218356E-2</v>
      </c>
      <c r="PV71" s="241">
        <f t="shared" ca="1" si="805"/>
        <v>1</v>
      </c>
      <c r="PW71" s="220">
        <f t="shared" ref="PW71:PW86" ca="1" si="1159">IF($F71&gt;0,IF(PV$2&gt;0,PRODUCT(OFFSET(LT_AnnuityLifeTable,$F71,2,PV$2,1)),100%),0)</f>
        <v>0.77643739198174988</v>
      </c>
      <c r="PX71" s="220">
        <f t="shared" ref="PX71:PX86" ca="1" si="1160">IF(AND($G71&gt;0,SP_AnnySurvivor),IF(PV$2&gt;0,PRODUCT(OFFSET(LT_AnnuityLifeTable,$G71,5,PV$2,1)),100%),0)</f>
        <v>0</v>
      </c>
      <c r="PY71" s="235">
        <f t="shared" ref="PY71:PY86" ca="1" si="1161">ABS(PV71)*IF(PV$2&lt;$O71,1,(PW71+PX71)-(PW71*PX71))/POWER(1+$L71,PV$2)</f>
        <v>7.7464550653488104E-2</v>
      </c>
      <c r="PZ71" s="235">
        <f t="shared" ref="PZ71:PZ86" ca="1" si="1162">ABS(PV71)*IF(PV$2&lt;$O71,1,(PW71+PX71)-(PW71*PX71))/POWER(1+$L72,PV$2)</f>
        <v>7.7464550653488104E-2</v>
      </c>
      <c r="QA71" s="242">
        <f t="shared" ref="QA71:QA86" ca="1" si="1163">ABS(PV71)*IF(PV$2&lt;$O71,1,(PW71+PX71)-(PW71*PX71))/POWER(1+$M71,PV$2)</f>
        <v>7.7464550653488104E-2</v>
      </c>
      <c r="QB71" s="241">
        <f t="shared" ca="1" si="805"/>
        <v>1</v>
      </c>
      <c r="QC71" s="220">
        <f t="shared" ref="QC71:QC86" ca="1" si="1164">IF($F71&gt;0,IF(QB$2&gt;0,PRODUCT(OFFSET(LT_AnnuityLifeTable,$F71,2,QB$2,1)),100%),0)</f>
        <v>0.76215715546842155</v>
      </c>
      <c r="QD71" s="220">
        <f t="shared" ref="QD71:QD86" ca="1" si="1165">IF(AND($G71&gt;0,SP_AnnySurvivor),IF(QB$2&gt;0,PRODUCT(OFFSET(LT_AnnuityLifeTable,$G71,5,QB$2,1)),100%),0)</f>
        <v>0</v>
      </c>
      <c r="QE71" s="235">
        <f t="shared" ref="QE71:QE86" ca="1" si="1166">ABS(QB71)*IF(QB$2&lt;$O71,1,(QC71+QD71)-(QC71*QD71))/POWER(1+$L71,QB$2)</f>
        <v>7.3468427669438799E-2</v>
      </c>
      <c r="QF71" s="235">
        <f t="shared" ref="QF71:QF86" ca="1" si="1167">ABS(QB71)*IF(QB$2&lt;$O71,1,(QC71+QD71)-(QC71*QD71))/POWER(1+$L72,QB$2)</f>
        <v>7.3468427669438799E-2</v>
      </c>
      <c r="QG71" s="242">
        <f t="shared" ref="QG71:QG86" ca="1" si="1168">ABS(QB71)*IF(QB$2&lt;$O71,1,(QC71+QD71)-(QC71*QD71))/POWER(1+$M71,QB$2)</f>
        <v>7.3468427669438799E-2</v>
      </c>
      <c r="QH71" s="241">
        <f t="shared" ca="1" si="805"/>
        <v>1</v>
      </c>
      <c r="QI71" s="220">
        <f t="shared" ref="QI71:QI86" ca="1" si="1169">IF($F71&gt;0,IF(QH$2&gt;0,PRODUCT(OFFSET(LT_AnnuityLifeTable,$F71,2,QH$2,1)),100%),0)</f>
        <v>0.74703900613254992</v>
      </c>
      <c r="QJ71" s="220">
        <f t="shared" ref="QJ71:QJ86" ca="1" si="1170">IF(AND($G71&gt;0,SP_AnnySurvivor),IF(QH$2&gt;0,PRODUCT(OFFSET(LT_AnnuityLifeTable,$G71,5,QH$2,1)),100%),0)</f>
        <v>0</v>
      </c>
      <c r="QK71" s="235">
        <f t="shared" ref="QK71:QK86" ca="1" si="1171">ABS(QH71)*IF(QH$2&lt;$O71,1,(QI71+QJ71)-(QI71*QJ71))/POWER(1+$L71,QH$2)</f>
        <v>6.9575949698732195E-2</v>
      </c>
      <c r="QL71" s="235">
        <f t="shared" ref="QL71:QL86" ca="1" si="1172">ABS(QH71)*IF(QH$2&lt;$O71,1,(QI71+QJ71)-(QI71*QJ71))/POWER(1+$L72,QH$2)</f>
        <v>6.9575949698732195E-2</v>
      </c>
      <c r="QM71" s="242">
        <f t="shared" ref="QM71:QM86" ca="1" si="1173">ABS(QH71)*IF(QH$2&lt;$O71,1,(QI71+QJ71)-(QI71*QJ71))/POWER(1+$M71,QH$2)</f>
        <v>6.9575949698732195E-2</v>
      </c>
      <c r="QN71" s="241">
        <f t="shared" ca="1" si="805"/>
        <v>1</v>
      </c>
      <c r="QO71" s="220">
        <f t="shared" ref="QO71:QO86" ca="1" si="1174">IF($F71&gt;0,IF(QN$2&gt;0,PRODUCT(OFFSET(LT_AnnuityLifeTable,$F71,2,QN$2,1)),100%),0)</f>
        <v>0.73100381386591473</v>
      </c>
      <c r="QP71" s="220">
        <f t="shared" ref="QP71:QP86" ca="1" si="1175">IF(AND($G71&gt;0,SP_AnnySurvivor),IF(QN$2&gt;0,PRODUCT(OFFSET(LT_AnnuityLifeTable,$G71,5,QN$2,1)),100%),0)</f>
        <v>0</v>
      </c>
      <c r="QQ71" s="235">
        <f t="shared" ref="QQ71:QQ86" ca="1" si="1176">ABS(QN71)*IF(QN$2&lt;$O71,1,(QO71+QP71)-(QO71*QP71))/POWER(1+$L71,QN$2)</f>
        <v>6.5780195109612458E-2</v>
      </c>
      <c r="QR71" s="235">
        <f t="shared" ref="QR71:QR86" ca="1" si="1177">ABS(QN71)*IF(QN$2&lt;$O71,1,(QO71+QP71)-(QO71*QP71))/POWER(1+$L72,QN$2)</f>
        <v>6.5780195109612458E-2</v>
      </c>
      <c r="QS71" s="242">
        <f t="shared" ref="QS71:QS86" ca="1" si="1178">ABS(QN71)*IF(QN$2&lt;$O71,1,(QO71+QP71)-(QO71*QP71))/POWER(1+$M71,QN$2)</f>
        <v>6.5780195109612458E-2</v>
      </c>
      <c r="QT71" s="241">
        <f t="shared" ca="1" si="805"/>
        <v>1</v>
      </c>
      <c r="QU71" s="220">
        <f t="shared" ref="QU71:QU86" ca="1" si="1179">IF($F71&gt;0,IF(QT$2&gt;0,PRODUCT(OFFSET(LT_AnnuityLifeTable,$F71,2,QT$2,1)),100%),0)</f>
        <v>0.71393414380833176</v>
      </c>
      <c r="QV71" s="220">
        <f t="shared" ref="QV71:QV86" ca="1" si="1180">IF(AND($G71&gt;0,SP_AnnySurvivor),IF(QT$2&gt;0,PRODUCT(OFFSET(LT_AnnuityLifeTable,$G71,5,QT$2,1)),100%),0)</f>
        <v>0</v>
      </c>
      <c r="QW71" s="235">
        <f t="shared" ref="QW71:QW86" ca="1" si="1181">ABS(QT71)*IF(QT$2&lt;$O71,1,(QU71+QV71)-(QU71*QV71))/POWER(1+$L71,QT$2)</f>
        <v>6.2071653887543876E-2</v>
      </c>
      <c r="QX71" s="235">
        <f t="shared" ref="QX71:QX86" ca="1" si="1182">ABS(QT71)*IF(QT$2&lt;$O71,1,(QU71+QV71)-(QU71*QV71))/POWER(1+$L72,QT$2)</f>
        <v>6.2071653887543876E-2</v>
      </c>
      <c r="QY71" s="242">
        <f t="shared" ref="QY71:QY86" ca="1" si="1183">ABS(QT71)*IF(QT$2&lt;$O71,1,(QU71+QV71)-(QU71*QV71))/POWER(1+$M71,QT$2)</f>
        <v>6.2071653887543876E-2</v>
      </c>
      <c r="QZ71" s="241">
        <f t="shared" ca="1" si="805"/>
        <v>1</v>
      </c>
      <c r="RA71" s="220">
        <f t="shared" ref="RA71:RA86" ca="1" si="1184">IF($F71&gt;0,IF(QZ$2&gt;0,PRODUCT(OFFSET(LT_AnnuityLifeTable,$F71,2,QZ$2,1)),100%),0)</f>
        <v>0.69574167395580788</v>
      </c>
      <c r="RB71" s="220">
        <f t="shared" ref="RB71:RB86" ca="1" si="1185">IF(AND($G71&gt;0,SP_AnnySurvivor),IF(QZ$2&gt;0,PRODUCT(OFFSET(LT_AnnuityLifeTable,$G71,5,QZ$2,1)),100%),0)</f>
        <v>0</v>
      </c>
      <c r="RC71" s="235">
        <f t="shared" ref="RC71:RC86" ca="1" si="1186">ABS(QZ71)*IF(QZ$2&lt;$O71,1,(RA71+RB71)-(RA71*RB71))/POWER(1+$L71,QZ$2)</f>
        <v>5.8444390341238162E-2</v>
      </c>
      <c r="RD71" s="235">
        <f t="shared" ref="RD71:RD86" ca="1" si="1187">ABS(QZ71)*IF(QZ$2&lt;$O71,1,(RA71+RB71)-(RA71*RB71))/POWER(1+$L72,QZ$2)</f>
        <v>5.8444390341238162E-2</v>
      </c>
      <c r="RE71" s="242">
        <f t="shared" ref="RE71:RE86" ca="1" si="1188">ABS(QZ71)*IF(QZ$2&lt;$O71,1,(RA71+RB71)-(RA71*RB71))/POWER(1+$M71,QZ$2)</f>
        <v>5.8444390341238162E-2</v>
      </c>
      <c r="RF71" s="241">
        <f t="shared" ca="1" si="805"/>
        <v>1</v>
      </c>
      <c r="RG71" s="220">
        <f t="shared" ref="RG71:RG86" ca="1" si="1189">IF($F71&gt;0,IF(RF$2&gt;0,PRODUCT(OFFSET(LT_AnnuityLifeTable,$F71,2,RF$2,1)),100%),0)</f>
        <v>0.67640422986988014</v>
      </c>
      <c r="RH71" s="220">
        <f t="shared" ref="RH71:RH86" ca="1" si="1190">IF(AND($G71&gt;0,SP_AnnySurvivor),IF(RF$2&gt;0,PRODUCT(OFFSET(LT_AnnuityLifeTable,$G71,5,RF$2,1)),100%),0)</f>
        <v>0</v>
      </c>
      <c r="RI71" s="235">
        <f t="shared" ref="RI71:RI86" ca="1" si="1191">ABS(RF71)*IF(RF$2&lt;$O71,1,(RG71+RH71)-(RG71*RH71))/POWER(1+$L71,RF$2)</f>
        <v>5.4898538121829751E-2</v>
      </c>
      <c r="RJ71" s="235">
        <f t="shared" ref="RJ71:RJ86" ca="1" si="1192">ABS(RF71)*IF(RF$2&lt;$O71,1,(RG71+RH71)-(RG71*RH71))/POWER(1+$L72,RF$2)</f>
        <v>5.4898538121829751E-2</v>
      </c>
      <c r="RK71" s="242">
        <f t="shared" ref="RK71:RK86" ca="1" si="1193">ABS(RF71)*IF(RF$2&lt;$O71,1,(RG71+RH71)-(RG71*RH71))/POWER(1+$M71,RF$2)</f>
        <v>5.4898538121829751E-2</v>
      </c>
      <c r="RL71" s="241">
        <f t="shared" ca="1" si="805"/>
        <v>1</v>
      </c>
      <c r="RM71" s="220">
        <f t="shared" ref="RM71:RM86" ca="1" si="1194">IF($F71&gt;0,IF(RL$2&gt;0,PRODUCT(OFFSET(LT_AnnuityLifeTable,$F71,2,RL$2,1)),100%),0)</f>
        <v>0.65592135698096043</v>
      </c>
      <c r="RN71" s="220">
        <f t="shared" ref="RN71:RN86" ca="1" si="1195">IF(AND($G71&gt;0,SP_AnnySurvivor),IF(RL$2&gt;0,PRODUCT(OFFSET(LT_AnnuityLifeTable,$G71,5,RL$2,1)),100%),0)</f>
        <v>0</v>
      </c>
      <c r="RO71" s="235">
        <f t="shared" ref="RO71:RO86" ca="1" si="1196">ABS(RL71)*IF(RL$2&lt;$O71,1,(RM71+RN71)-(RM71*RN71))/POWER(1+$L71,RL$2)</f>
        <v>5.1435845981086484E-2</v>
      </c>
      <c r="RP71" s="235">
        <f t="shared" ref="RP71:RP86" ca="1" si="1197">ABS(RL71)*IF(RL$2&lt;$O71,1,(RM71+RN71)-(RM71*RN71))/POWER(1+$L72,RL$2)</f>
        <v>5.1435845981086484E-2</v>
      </c>
      <c r="RQ71" s="242">
        <f t="shared" ref="RQ71:RQ86" ca="1" si="1198">ABS(RL71)*IF(RL$2&lt;$O71,1,(RM71+RN71)-(RM71*RN71))/POWER(1+$M71,RL$2)</f>
        <v>5.1435845981086484E-2</v>
      </c>
      <c r="RR71" s="241">
        <f t="shared" ca="1" si="805"/>
        <v>1</v>
      </c>
      <c r="RS71" s="220">
        <f t="shared" ref="RS71:RS86" ca="1" si="1199">IF($F71&gt;0,IF(RR$2&gt;0,PRODUCT(OFFSET(LT_AnnuityLifeTable,$F71,2,RR$2,1)),100%),0)</f>
        <v>0.63426152193073515</v>
      </c>
      <c r="RT71" s="220">
        <f t="shared" ref="RT71:RT86" ca="1" si="1200">IF(AND($G71&gt;0,SP_AnnySurvivor),IF(RR$2&gt;0,PRODUCT(OFFSET(LT_AnnuityLifeTable,$G71,5,RR$2,1)),100%),0)</f>
        <v>0</v>
      </c>
      <c r="RU71" s="235">
        <f t="shared" ref="RU71:RU86" ca="1" si="1201">ABS(RR71)*IF(RR$2&lt;$O71,1,(RS71+RT71)-(RS71*RT71))/POWER(1+$L71,RR$2)</f>
        <v>4.8055392729564286E-2</v>
      </c>
      <c r="RV71" s="235">
        <f t="shared" ref="RV71:RV86" ca="1" si="1202">ABS(RR71)*IF(RR$2&lt;$O71,1,(RS71+RT71)-(RS71*RT71))/POWER(1+$L72,RR$2)</f>
        <v>4.8055392729564286E-2</v>
      </c>
      <c r="RW71" s="242">
        <f t="shared" ref="RW71:RW86" ca="1" si="1203">ABS(RR71)*IF(RR$2&lt;$O71,1,(RS71+RT71)-(RS71*RT71))/POWER(1+$M71,RR$2)</f>
        <v>4.8055392729564286E-2</v>
      </c>
      <c r="RX71" s="241">
        <f t="shared" ca="1" si="805"/>
        <v>1</v>
      </c>
      <c r="RY71" s="220">
        <f t="shared" ref="RY71:RY86" ca="1" si="1204">IF($F71&gt;0,IF(RX$2&gt;0,PRODUCT(OFFSET(LT_AnnuityLifeTable,$F71,2,RX$2,1)),100%),0)</f>
        <v>0.61130062057532053</v>
      </c>
      <c r="RZ71" s="220">
        <f t="shared" ref="RZ71:RZ86" ca="1" si="1205">IF(AND($G71&gt;0,SP_AnnySurvivor),IF(RX$2&gt;0,PRODUCT(OFFSET(LT_AnnuityLifeTable,$G71,5,RX$2,1)),100%),0)</f>
        <v>0</v>
      </c>
      <c r="SA71" s="235">
        <f t="shared" ref="SA71:SA86" ca="1" si="1206">ABS(RX71)*IF(RX$2&lt;$O71,1,(RY71+RZ71)-(RY71*RZ71))/POWER(1+$L71,RX$2)</f>
        <v>4.4749506722088245E-2</v>
      </c>
      <c r="SB71" s="235">
        <f t="shared" ref="SB71:SB86" ca="1" si="1207">ABS(RX71)*IF(RX$2&lt;$O71,1,(RY71+RZ71)-(RY71*RZ71))/POWER(1+$L72,RX$2)</f>
        <v>4.4749506722088245E-2</v>
      </c>
      <c r="SC71" s="242">
        <f t="shared" ref="SC71:SC86" ca="1" si="1208">ABS(RX71)*IF(RX$2&lt;$O71,1,(RY71+RZ71)-(RY71*RZ71))/POWER(1+$M71,RX$2)</f>
        <v>4.4749506722088245E-2</v>
      </c>
      <c r="SD71" s="241">
        <f t="shared" ca="1" si="799"/>
        <v>1</v>
      </c>
      <c r="SE71" s="220">
        <f t="shared" ref="SE71:SE86" ca="1" si="1209">IF($F71&gt;0,IF(SD$2&gt;0,PRODUCT(OFFSET(LT_AnnuityLifeTable,$F71,2,SD$2,1)),100%),0)</f>
        <v>0.58693540044042947</v>
      </c>
      <c r="SF71" s="220">
        <f t="shared" ref="SF71:SF86" ca="1" si="1210">IF(AND($G71&gt;0,SP_AnnySurvivor),IF(SD$2&gt;0,PRODUCT(OFFSET(LT_AnnuityLifeTable,$G71,5,SD$2,1)),100%),0)</f>
        <v>0</v>
      </c>
      <c r="SG71" s="235">
        <f t="shared" ref="SG71:SG86" ca="1" si="1211">ABS(SD71)*IF(SD$2&lt;$O71,1,(SE71+SF71)-(SE71*SF71))/POWER(1+$L71,SD$2)</f>
        <v>4.1512928389525854E-2</v>
      </c>
      <c r="SH71" s="235">
        <f t="shared" ref="SH71:SH86" ca="1" si="1212">ABS(SD71)*IF(SD$2&lt;$O71,1,(SE71+SF71)-(SE71*SF71))/POWER(1+$L72,SD$2)</f>
        <v>4.1512928389525854E-2</v>
      </c>
      <c r="SI71" s="242">
        <f t="shared" ref="SI71:SI86" ca="1" si="1213">ABS(SD71)*IF(SD$2&lt;$O71,1,(SE71+SF71)-(SE71*SF71))/POWER(1+$M71,SD$2)</f>
        <v>4.1512928389525854E-2</v>
      </c>
      <c r="SJ71" s="241">
        <f t="shared" ca="1" si="799"/>
        <v>1</v>
      </c>
      <c r="SK71" s="220">
        <f t="shared" ref="SK71:SK86" ca="1" si="1214">IF($F71&gt;0,IF(SJ$2&gt;0,PRODUCT(OFFSET(LT_AnnuityLifeTable,$F71,2,SJ$2,1)),100%),0)</f>
        <v>0.56117421877969853</v>
      </c>
      <c r="SL71" s="220">
        <f t="shared" ref="SL71:SL86" ca="1" si="1215">IF(AND($G71&gt;0,SP_AnnySurvivor),IF(SJ$2&gt;0,PRODUCT(OFFSET(LT_AnnuityLifeTable,$G71,5,SJ$2,1)),100%),0)</f>
        <v>0</v>
      </c>
      <c r="SM71" s="235">
        <f t="shared" ref="SM71:SM86" ca="1" si="1216">ABS(SJ71)*IF(SJ$2&lt;$O71,1,(SK71+SL71)-(SK71*SL71))/POWER(1+$L71,SJ$2)</f>
        <v>3.8348680627614658E-2</v>
      </c>
      <c r="SN71" s="235">
        <f t="shared" ref="SN71:SN86" ca="1" si="1217">ABS(SJ71)*IF(SJ$2&lt;$O71,1,(SK71+SL71)-(SK71*SL71))/POWER(1+$L72,SJ$2)</f>
        <v>3.8348680627614658E-2</v>
      </c>
      <c r="SO71" s="242">
        <f t="shared" ref="SO71:SO86" ca="1" si="1218">ABS(SJ71)*IF(SJ$2&lt;$O71,1,(SK71+SL71)-(SK71*SL71))/POWER(1+$M71,SJ$2)</f>
        <v>3.8348680627614658E-2</v>
      </c>
      <c r="SP71" s="241">
        <f t="shared" ca="1" si="808"/>
        <v>1</v>
      </c>
      <c r="SQ71" s="220">
        <f t="shared" ref="SQ71:SQ86" ca="1" si="1219">IF($F71&gt;0,IF(SP$2&gt;0,PRODUCT(OFFSET(LT_AnnuityLifeTable,$F71,2,SP$2,1)),100%),0)</f>
        <v>0.5340633310962325</v>
      </c>
      <c r="SR71" s="220">
        <f t="shared" ref="SR71:SR86" ca="1" si="1220">IF(AND($G71&gt;0,SP_AnnySurvivor),IF(SP$2&gt;0,PRODUCT(OFFSET(LT_AnnuityLifeTable,$G71,5,SP$2,1)),100%),0)</f>
        <v>0</v>
      </c>
      <c r="SS71" s="235">
        <f t="shared" ref="SS71:SS86" ca="1" si="1221">ABS(SP71)*IF(SP$2&lt;$O71,1,(SQ71+SR71)-(SQ71*SR71))/POWER(1+$L71,SP$2)</f>
        <v>3.5261852674216394E-2</v>
      </c>
      <c r="ST71" s="235">
        <f t="shared" ref="ST71:ST86" ca="1" si="1222">ABS(SP71)*IF(SP$2&lt;$O71,1,(SQ71+SR71)-(SQ71*SR71))/POWER(1+$L72,SP$2)</f>
        <v>3.5261852674216394E-2</v>
      </c>
      <c r="SU71" s="242">
        <f t="shared" ref="SU71:SU86" ca="1" si="1223">ABS(SP71)*IF(SP$2&lt;$O71,1,(SQ71+SR71)-(SQ71*SR71))/POWER(1+$M71,SP$2)</f>
        <v>3.5261852674216394E-2</v>
      </c>
      <c r="SV71" s="241">
        <f t="shared" ca="1" si="808"/>
        <v>1</v>
      </c>
      <c r="SW71" s="220">
        <f t="shared" ref="SW71:SW86" ca="1" si="1224">IF($F71&gt;0,IF(SV$2&gt;0,PRODUCT(OFFSET(LT_AnnuityLifeTable,$F71,2,SV$2,1)),100%),0)</f>
        <v>0.50563620810864218</v>
      </c>
      <c r="SX71" s="220">
        <f t="shared" ref="SX71:SX86" ca="1" si="1225">IF(AND($G71&gt;0,SP_AnnySurvivor),IF(SV$2&gt;0,PRODUCT(OFFSET(LT_AnnuityLifeTable,$G71,5,SV$2,1)),100%),0)</f>
        <v>0</v>
      </c>
      <c r="SY71" s="235">
        <f t="shared" ref="SY71:SY86" ca="1" si="1226">ABS(SV71)*IF(SV$2&lt;$O71,1,(SW71+SX71)-(SW71*SX71))/POWER(1+$L71,SV$2)</f>
        <v>3.2255975632920972E-2</v>
      </c>
      <c r="SZ71" s="235">
        <f t="shared" ref="SZ71:SZ86" ca="1" si="1227">ABS(SV71)*IF(SV$2&lt;$O71,1,(SW71+SX71)-(SW71*SX71))/POWER(1+$L72,SV$2)</f>
        <v>3.2255975632920972E-2</v>
      </c>
      <c r="TA71" s="242">
        <f t="shared" ref="TA71:TA86" ca="1" si="1228">ABS(SV71)*IF(SV$2&lt;$O71,1,(SW71+SX71)-(SW71*SX71))/POWER(1+$M71,SV$2)</f>
        <v>3.2255975632920972E-2</v>
      </c>
      <c r="TB71" s="241">
        <f t="shared" ca="1" si="808"/>
        <v>1</v>
      </c>
      <c r="TC71" s="220">
        <f t="shared" ref="TC71:TC86" ca="1" si="1229">IF($F71&gt;0,IF(TB$2&gt;0,PRODUCT(OFFSET(LT_AnnuityLifeTable,$F71,2,TB$2,1)),100%),0)</f>
        <v>0.47585575235966748</v>
      </c>
      <c r="TD71" s="220">
        <f t="shared" ref="TD71:TD86" ca="1" si="1230">IF(AND($G71&gt;0,SP_AnnySurvivor),IF(TB$2&gt;0,PRODUCT(OFFSET(LT_AnnuityLifeTable,$G71,5,TB$2,1)),100%),0)</f>
        <v>0</v>
      </c>
      <c r="TE71" s="235">
        <f t="shared" ref="TE71:TE86" ca="1" si="1231">ABS(TB71)*IF(TB$2&lt;$O71,1,(TC71+TD71)-(TC71*TD71))/POWER(1+$L71,TB$2)</f>
        <v>2.9329657426153458E-2</v>
      </c>
      <c r="TF71" s="235">
        <f t="shared" ref="TF71:TF86" ca="1" si="1232">ABS(TB71)*IF(TB$2&lt;$O71,1,(TC71+TD71)-(TC71*TD71))/POWER(1+$L72,TB$2)</f>
        <v>2.9329657426153458E-2</v>
      </c>
      <c r="TG71" s="242">
        <f t="shared" ref="TG71:TG86" ca="1" si="1233">ABS(TB71)*IF(TB$2&lt;$O71,1,(TC71+TD71)-(TC71*TD71))/POWER(1+$M71,TB$2)</f>
        <v>2.9329657426153458E-2</v>
      </c>
      <c r="TH71" s="241">
        <f t="shared" ca="1" si="808"/>
        <v>1</v>
      </c>
      <c r="TI71" s="220">
        <f t="shared" ref="TI71:TI86" ca="1" si="1234">IF($F71&gt;0,IF(TH$2&gt;0,PRODUCT(OFFSET(LT_AnnuityLifeTable,$F71,2,TH$2,1)),100%),0)</f>
        <v>0.4447514411066778</v>
      </c>
      <c r="TJ71" s="220">
        <f t="shared" ref="TJ71:TJ86" ca="1" si="1235">IF(AND($G71&gt;0,SP_AnnySurvivor),IF(TH$2&gt;0,PRODUCT(OFFSET(LT_AnnuityLifeTable,$G71,5,TH$2,1)),100%),0)</f>
        <v>0</v>
      </c>
      <c r="TK71" s="235">
        <f t="shared" ref="TK71:TK86" ca="1" si="1236">ABS(TH71)*IF(TH$2&lt;$O71,1,(TI71+TJ71)-(TI71*TJ71))/POWER(1+$L71,TH$2)</f>
        <v>2.6485530790814431E-2</v>
      </c>
      <c r="TL71" s="235">
        <f t="shared" ref="TL71:TL86" ca="1" si="1237">ABS(TH71)*IF(TH$2&lt;$O71,1,(TI71+TJ71)-(TI71*TJ71))/POWER(1+$L72,TH$2)</f>
        <v>2.6485530790814431E-2</v>
      </c>
      <c r="TM71" s="242">
        <f t="shared" ref="TM71:TM86" ca="1" si="1238">ABS(TH71)*IF(TH$2&lt;$O71,1,(TI71+TJ71)-(TI71*TJ71))/POWER(1+$M71,TH$2)</f>
        <v>2.6485530790814431E-2</v>
      </c>
      <c r="TN71" s="241">
        <f t="shared" ca="1" si="808"/>
        <v>1</v>
      </c>
      <c r="TO71" s="220">
        <f t="shared" ref="TO71:TO86" ca="1" si="1239">IF($F71&gt;0,IF(TN$2&gt;0,PRODUCT(OFFSET(LT_AnnuityLifeTable,$F71,2,TN$2,1)),100%),0)</f>
        <v>0.41251096438941365</v>
      </c>
      <c r="TP71" s="220">
        <f t="shared" ref="TP71:TP86" ca="1" si="1240">IF(AND($G71&gt;0,SP_AnnySurvivor),IF(TN$2&gt;0,PRODUCT(OFFSET(LT_AnnuityLifeTable,$G71,5,TN$2,1)),100%),0)</f>
        <v>0</v>
      </c>
      <c r="TQ71" s="235">
        <f t="shared" ref="TQ71:TQ86" ca="1" si="1241">ABS(TN71)*IF(TN$2&lt;$O71,1,(TO71+TP71)-(TO71*TP71))/POWER(1+$L71,TN$2)</f>
        <v>2.3734848481408222E-2</v>
      </c>
      <c r="TR71" s="235">
        <f t="shared" ref="TR71:TR86" ca="1" si="1242">ABS(TN71)*IF(TN$2&lt;$O71,1,(TO71+TP71)-(TO71*TP71))/POWER(1+$L72,TN$2)</f>
        <v>2.3734848481408222E-2</v>
      </c>
      <c r="TS71" s="242">
        <f t="shared" ref="TS71:TS86" ca="1" si="1243">ABS(TN71)*IF(TN$2&lt;$O71,1,(TO71+TP71)-(TO71*TP71))/POWER(1+$M71,TN$2)</f>
        <v>2.3734848481408222E-2</v>
      </c>
      <c r="TT71" s="241">
        <f t="shared" ca="1" si="808"/>
        <v>1</v>
      </c>
      <c r="TU71" s="220">
        <f t="shared" ref="TU71:TU86" ca="1" si="1244">IF($F71&gt;0,IF(TT$2&gt;0,PRODUCT(OFFSET(LT_AnnuityLifeTable,$F71,2,TT$2,1)),100%),0)</f>
        <v>0.37939128408051637</v>
      </c>
      <c r="TV71" s="220">
        <f t="shared" ref="TV71:TV86" ca="1" si="1245">IF(AND($G71&gt;0,SP_AnnySurvivor),IF(TT$2&gt;0,PRODUCT(OFFSET(LT_AnnuityLifeTable,$G71,5,TT$2,1)),100%),0)</f>
        <v>0</v>
      </c>
      <c r="TW71" s="235">
        <f t="shared" ref="TW71:TW86" ca="1" si="1246">ABS(TT71)*IF(TT$2&lt;$O71,1,(TU71+TV71)-(TU71*TV71))/POWER(1+$L71,TT$2)</f>
        <v>2.1091038615007652E-2</v>
      </c>
      <c r="TX71" s="235">
        <f t="shared" ref="TX71:TX86" ca="1" si="1247">ABS(TT71)*IF(TT$2&lt;$O71,1,(TU71+TV71)-(TU71*TV71))/POWER(1+$L72,TT$2)</f>
        <v>2.1091038615007652E-2</v>
      </c>
      <c r="TY71" s="242">
        <f t="shared" ref="TY71:TY86" ca="1" si="1248">ABS(TT71)*IF(TT$2&lt;$O71,1,(TU71+TV71)-(TU71*TV71))/POWER(1+$M71,TT$2)</f>
        <v>2.1091038615007652E-2</v>
      </c>
      <c r="TZ71" s="241">
        <f t="shared" ca="1" si="808"/>
        <v>1</v>
      </c>
      <c r="UA71" s="220">
        <f t="shared" ref="UA71:UA86" ca="1" si="1249">IF($F71&gt;0,IF(TZ$2&gt;0,PRODUCT(OFFSET(LT_AnnuityLifeTable,$F71,2,TZ$2,1)),100%),0)</f>
        <v>0.34565732866521315</v>
      </c>
      <c r="UB71" s="220">
        <f t="shared" ref="UB71:UB86" ca="1" si="1250">IF(AND($G71&gt;0,SP_AnnySurvivor),IF(TZ$2&gt;0,PRODUCT(OFFSET(LT_AnnuityLifeTable,$G71,5,TZ$2,1)),100%),0)</f>
        <v>0</v>
      </c>
      <c r="UC71" s="235">
        <f t="shared" ref="UC71:UC86" ca="1" si="1251">ABS(TZ71)*IF(TZ$2&lt;$O71,1,(UA71+UB71)-(UA71*UB71))/POWER(1+$L71,TZ$2)</f>
        <v>1.8565901280691431E-2</v>
      </c>
      <c r="UD71" s="235">
        <f t="shared" ref="UD71:UD86" ca="1" si="1252">ABS(TZ71)*IF(TZ$2&lt;$O71,1,(UA71+UB71)-(UA71*UB71))/POWER(1+$L72,TZ$2)</f>
        <v>1.8565901280691431E-2</v>
      </c>
      <c r="UE71" s="242">
        <f t="shared" ref="UE71:UE86" ca="1" si="1253">ABS(TZ71)*IF(TZ$2&lt;$O71,1,(UA71+UB71)-(UA71*UB71))/POWER(1+$M71,TZ$2)</f>
        <v>1.8565901280691431E-2</v>
      </c>
      <c r="UF71" s="241">
        <f t="shared" ca="1" si="808"/>
        <v>1</v>
      </c>
      <c r="UG71" s="220">
        <f t="shared" ref="UG71:UG86" ca="1" si="1254">IF($F71&gt;0,IF(UF$2&gt;0,PRODUCT(OFFSET(LT_AnnuityLifeTable,$F71,2,UF$2,1)),100%),0)</f>
        <v>0.31158381183471112</v>
      </c>
      <c r="UH71" s="220">
        <f t="shared" ref="UH71:UH86" ca="1" si="1255">IF(AND($G71&gt;0,SP_AnnySurvivor),IF(UF$2&gt;0,PRODUCT(OFFSET(LT_AnnuityLifeTable,$G71,5,UF$2,1)),100%),0)</f>
        <v>0</v>
      </c>
      <c r="UI71" s="235">
        <f t="shared" ref="UI71:UI86" ca="1" si="1256">ABS(UF71)*IF(UF$2&lt;$O71,1,(UG71+UH71)-(UG71*UH71))/POWER(1+$L71,UF$2)</f>
        <v>1.6169805793281151E-2</v>
      </c>
      <c r="UJ71" s="235">
        <f t="shared" ref="UJ71:UJ86" ca="1" si="1257">ABS(UF71)*IF(UF$2&lt;$O71,1,(UG71+UH71)-(UG71*UH71))/POWER(1+$L72,UF$2)</f>
        <v>1.6169805793281151E-2</v>
      </c>
      <c r="UK71" s="242">
        <f t="shared" ref="UK71:UK86" ca="1" si="1258">ABS(UF71)*IF(UF$2&lt;$O71,1,(UG71+UH71)-(UG71*UH71))/POWER(1+$M71,UF$2)</f>
        <v>1.6169805793281151E-2</v>
      </c>
      <c r="UL71" s="241">
        <f t="shared" ca="1" si="808"/>
        <v>1</v>
      </c>
      <c r="UM71" s="220">
        <f t="shared" ref="UM71:UM86" ca="1" si="1259">IF($F71&gt;0,IF(UL$2&gt;0,PRODUCT(OFFSET(LT_AnnuityLifeTable,$F71,2,UL$2,1)),100%),0)</f>
        <v>0.27748470263514402</v>
      </c>
      <c r="UN71" s="220">
        <f t="shared" ref="UN71:UN86" ca="1" si="1260">IF(AND($G71&gt;0,SP_AnnySurvivor),IF(UL$2&gt;0,PRODUCT(OFFSET(LT_AnnuityLifeTable,$G71,5,UL$2,1)),100%),0)</f>
        <v>0</v>
      </c>
      <c r="UO71" s="235">
        <f t="shared" ref="UO71:UO86" ca="1" si="1261">ABS(UL71)*IF(UL$2&lt;$O71,1,(UM71+UN71)-(UM71*UN71))/POWER(1+$L71,UL$2)</f>
        <v>1.3913250808575896E-2</v>
      </c>
      <c r="UP71" s="235">
        <f t="shared" ref="UP71:UP86" ca="1" si="1262">ABS(UL71)*IF(UL$2&lt;$O71,1,(UM71+UN71)-(UM71*UN71))/POWER(1+$L72,UL$2)</f>
        <v>1.3913250808575896E-2</v>
      </c>
      <c r="UQ71" s="242">
        <f t="shared" ref="UQ71:UQ86" ca="1" si="1263">ABS(UL71)*IF(UL$2&lt;$O71,1,(UM71+UN71)-(UM71*UN71))/POWER(1+$M71,UL$2)</f>
        <v>1.3913250808575896E-2</v>
      </c>
      <c r="UR71" s="241">
        <f t="shared" ca="1" si="808"/>
        <v>1</v>
      </c>
      <c r="US71" s="220">
        <f t="shared" ref="US71:US86" ca="1" si="1264">IF($F71&gt;0,IF(UR$2&gt;0,PRODUCT(OFFSET(LT_AnnuityLifeTable,$F71,2,UR$2,1)),100%),0)</f>
        <v>0.24373729058536042</v>
      </c>
      <c r="UT71" s="220">
        <f t="shared" ref="UT71:UT86" ca="1" si="1265">IF(AND($G71&gt;0,SP_AnnySurvivor),IF(UR$2&gt;0,PRODUCT(OFFSET(LT_AnnuityLifeTable,$G71,5,UR$2,1)),100%),0)</f>
        <v>0</v>
      </c>
      <c r="UU71" s="235">
        <f t="shared" ref="UU71:UU86" ca="1" si="1266">ABS(UR71)*IF(UR$2&lt;$O71,1,(US71+UT71)-(US71*UT71))/POWER(1+$L71,UR$2)</f>
        <v>1.1807860056509861E-2</v>
      </c>
      <c r="UV71" s="235">
        <f t="shared" ref="UV71:UV86" ca="1" si="1267">ABS(UR71)*IF(UR$2&lt;$O71,1,(US71+UT71)-(US71*UT71))/POWER(1+$L72,UR$2)</f>
        <v>1.1807860056509861E-2</v>
      </c>
      <c r="UW71" s="242">
        <f t="shared" ref="UW71:UW86" ca="1" si="1268">ABS(UR71)*IF(UR$2&lt;$O71,1,(US71+UT71)-(US71*UT71))/POWER(1+$M71,UR$2)</f>
        <v>1.1807860056509861E-2</v>
      </c>
      <c r="UX71" s="241">
        <f t="shared" ca="1" si="808"/>
        <v>1</v>
      </c>
      <c r="UY71" s="220">
        <f t="shared" ref="UY71:UY86" ca="1" si="1269">IF($F71&gt;0,IF(UX$2&gt;0,PRODUCT(OFFSET(LT_AnnuityLifeTable,$F71,2,UX$2,1)),100%),0)</f>
        <v>0.21078985859319374</v>
      </c>
      <c r="UZ71" s="220">
        <f t="shared" ref="UZ71:UZ86" ca="1" si="1270">IF(AND($G71&gt;0,SP_AnnySurvivor),IF(UX$2&gt;0,PRODUCT(OFFSET(LT_AnnuityLifeTable,$G71,5,UX$2,1)),100%),0)</f>
        <v>0</v>
      </c>
      <c r="VA71" s="235">
        <f t="shared" ref="VA71:VA86" ca="1" si="1271">ABS(UX71)*IF(UX$2&lt;$O71,1,(UY71+UZ71)-(UY71*UZ71))/POWER(1+$L71,UX$2)</f>
        <v>9.866396874889936E-3</v>
      </c>
      <c r="VB71" s="235">
        <f t="shared" ref="VB71:VB86" ca="1" si="1272">ABS(UX71)*IF(UX$2&lt;$O71,1,(UY71+UZ71)-(UY71*UZ71))/POWER(1+$L72,UX$2)</f>
        <v>9.866396874889936E-3</v>
      </c>
      <c r="VC71" s="242">
        <f t="shared" ref="VC71:VC86" ca="1" si="1273">ABS(UX71)*IF(UX$2&lt;$O71,1,(UY71+UZ71)-(UY71*UZ71))/POWER(1+$M71,UX$2)</f>
        <v>9.866396874889936E-3</v>
      </c>
      <c r="VD71" s="241">
        <f t="shared" ca="1" si="806"/>
        <v>1</v>
      </c>
      <c r="VE71" s="220">
        <f t="shared" ref="VE71:VE86" ca="1" si="1274">IF($F71&gt;0,IF(VD$2&gt;0,PRODUCT(OFFSET(LT_AnnuityLifeTable,$F71,2,VD$2,1)),100%),0)</f>
        <v>0.17914840370962801</v>
      </c>
      <c r="VF71" s="220">
        <f t="shared" ref="VF71:VF86" ca="1" si="1275">IF(AND($G71&gt;0,SP_AnnySurvivor),IF(VD$2&gt;0,PRODUCT(OFFSET(LT_AnnuityLifeTable,$G71,5,VD$2,1)),100%),0)</f>
        <v>0</v>
      </c>
      <c r="VG71" s="235">
        <f t="shared" ref="VG71:VG86" ca="1" si="1276">ABS(VD71)*IF(VD$2&lt;$O71,1,(VE71+VF71)-(VE71*VF71))/POWER(1+$L71,VD$2)</f>
        <v>8.1017989433788233E-3</v>
      </c>
      <c r="VH71" s="235">
        <f t="shared" ref="VH71:VH86" ca="1" si="1277">ABS(VD71)*IF(VD$2&lt;$O71,1,(VE71+VF71)-(VE71*VF71))/POWER(1+$L72,VD$2)</f>
        <v>8.1017989433788233E-3</v>
      </c>
      <c r="VI71" s="242">
        <f t="shared" ref="VI71:VI86" ca="1" si="1278">ABS(VD71)*IF(VD$2&lt;$O71,1,(VE71+VF71)-(VE71*VF71))/POWER(1+$M71,VD$2)</f>
        <v>8.1017989433788233E-3</v>
      </c>
      <c r="VJ71" s="241">
        <f t="shared" ca="1" si="806"/>
        <v>1</v>
      </c>
      <c r="VK71" s="220">
        <f t="shared" ref="VK71:VK86" ca="1" si="1279">IF($F71&gt;0,IF(VJ$2&gt;0,PRODUCT(OFFSET(LT_AnnuityLifeTable,$F71,2,VJ$2,1)),100%),0)</f>
        <v>0.14933864677755704</v>
      </c>
      <c r="VL71" s="220">
        <f t="shared" ref="VL71:VL86" ca="1" si="1280">IF(AND($G71&gt;0,SP_AnnySurvivor),IF(VJ$2&gt;0,PRODUCT(OFFSET(LT_AnnuityLifeTable,$G71,5,VJ$2,1)),100%),0)</f>
        <v>0</v>
      </c>
      <c r="VM71" s="235">
        <f t="shared" ref="VM71:VM86" ca="1" si="1281">ABS(VJ71)*IF(VJ$2&lt;$O71,1,(VK71+VL71)-(VK71*VL71))/POWER(1+$L71,VJ$2)</f>
        <v>6.5252984585482295E-3</v>
      </c>
      <c r="VN71" s="235">
        <f t="shared" ref="VN71:VN86" ca="1" si="1282">ABS(VJ71)*IF(VJ$2&lt;$O71,1,(VK71+VL71)-(VK71*VL71))/POWER(1+$L72,VJ$2)</f>
        <v>6.5252984585482295E-3</v>
      </c>
      <c r="VO71" s="242">
        <f t="shared" ref="VO71:VO86" ca="1" si="1283">ABS(VJ71)*IF(VJ$2&lt;$O71,1,(VK71+VL71)-(VK71*VL71))/POWER(1+$M71,VJ$2)</f>
        <v>6.5252984585482295E-3</v>
      </c>
      <c r="VP71" s="241">
        <f t="shared" ca="1" si="567"/>
        <v>1</v>
      </c>
      <c r="VQ71" s="220">
        <f t="shared" ref="VQ71:VQ86" ca="1" si="1284">IF($F71&gt;0,IF(VP$2&gt;0,PRODUCT(OFFSET(LT_AnnuityLifeTable,$F71,2,VP$2,1)),100%),0)</f>
        <v>0.12186078378642688</v>
      </c>
      <c r="VR71" s="220">
        <f t="shared" ref="VR71:VR86" ca="1" si="1285">IF(AND($G71&gt;0,SP_AnnySurvivor),IF(VP$2&gt;0,PRODUCT(OFFSET(LT_AnnuityLifeTable,$G71,5,VP$2,1)),100%),0)</f>
        <v>0</v>
      </c>
      <c r="VS71" s="235">
        <f t="shared" ref="VS71:VS86" ca="1" si="1286">ABS(VP71)*IF(VP$2&lt;$O71,1,(VQ71+VR71)-(VQ71*VR71))/POWER(1+$L71,VP$2)</f>
        <v>5.1446020464451514E-3</v>
      </c>
      <c r="VT71" s="235">
        <f t="shared" ref="VT71:VT86" ca="1" si="1287">ABS(VP71)*IF(VP$2&lt;$O71,1,(VQ71+VR71)-(VQ71*VR71))/POWER(1+$L72,VP$2)</f>
        <v>5.1446020464451514E-3</v>
      </c>
      <c r="VU71" s="242">
        <f t="shared" ref="VU71:VU86" ca="1" si="1288">ABS(VP71)*IF(VP$2&lt;$O71,1,(VQ71+VR71)-(VQ71*VR71))/POWER(1+$M71,VP$2)</f>
        <v>5.1446020464451514E-3</v>
      </c>
      <c r="VV71" s="241">
        <f t="shared" ca="1" si="578"/>
        <v>1</v>
      </c>
      <c r="VW71" s="220">
        <f t="shared" ref="VW71:VW86" ca="1" si="1289">IF($F71&gt;0,IF(VV$2&gt;0,PRODUCT(OFFSET(LT_AnnuityLifeTable,$F71,2,VV$2,1)),100%),0)</f>
        <v>9.714071449143126E-2</v>
      </c>
      <c r="VX71" s="220">
        <f t="shared" ref="VX71:VX86" ca="1" si="1290">IF(AND($G71&gt;0,SP_AnnySurvivor),IF(VV$2&gt;0,PRODUCT(OFFSET(LT_AnnuityLifeTable,$G71,5,VV$2,1)),100%),0)</f>
        <v>0</v>
      </c>
      <c r="VY71" s="235">
        <f t="shared" ref="VY71:VY86" ca="1" si="1291">ABS(VV71)*IF(VV$2&lt;$O71,1,(VW71+VX71)-(VW71*VX71))/POWER(1+$L71,VV$2)</f>
        <v>3.9623128486120972E-3</v>
      </c>
      <c r="VZ71" s="235">
        <f t="shared" ref="VZ71:VZ86" ca="1" si="1292">ABS(VV71)*IF(VV$2&lt;$O71,1,(VW71+VX71)-(VW71*VX71))/POWER(1+$L72,VV$2)</f>
        <v>3.9623128486120972E-3</v>
      </c>
      <c r="WA71" s="242">
        <f t="shared" ref="WA71:WA86" ca="1" si="1293">ABS(VV71)*IF(VV$2&lt;$O71,1,(VW71+VX71)-(VW71*VX71))/POWER(1+$M71,VV$2)</f>
        <v>3.9623128486120972E-3</v>
      </c>
      <c r="WB71" s="241">
        <f t="shared" ca="1" si="578"/>
        <v>1</v>
      </c>
      <c r="WC71" s="220">
        <f t="shared" ref="WC71:WC86" ca="1" si="1294">IF($F71&gt;0,IF(WB$2&gt;0,PRODUCT(OFFSET(LT_AnnuityLifeTable,$F71,2,WB$2,1)),100%),0)</f>
        <v>7.5486980683431834E-2</v>
      </c>
      <c r="WD71" s="220">
        <f t="shared" ref="WD71:WD86" ca="1" si="1295">IF(AND($G71&gt;0,SP_AnnySurvivor),IF(WB$2&gt;0,PRODUCT(OFFSET(LT_AnnuityLifeTable,$G71,5,WB$2,1)),100%),0)</f>
        <v>0</v>
      </c>
      <c r="WE71" s="235">
        <f t="shared" ref="WE71:WE86" ca="1" si="1296">ABS(WB71)*IF(WB$2&lt;$O71,1,(WC71+WD71)-(WC71*WD71))/POWER(1+$L71,WB$2)</f>
        <v>2.9749465982754843E-3</v>
      </c>
      <c r="WF71" s="235">
        <f t="shared" ref="WF71:WF86" ca="1" si="1297">ABS(WB71)*IF(WB$2&lt;$O71,1,(WC71+WD71)-(WC71*WD71))/POWER(1+$L72,WB$2)</f>
        <v>2.9749465982754843E-3</v>
      </c>
      <c r="WG71" s="242">
        <f t="shared" ref="WG71:WG86" ca="1" si="1298">ABS(WB71)*IF(WB$2&lt;$O71,1,(WC71+WD71)-(WC71*WD71))/POWER(1+$M71,WB$2)</f>
        <v>2.9749465982754843E-3</v>
      </c>
      <c r="WH71" s="241">
        <f t="shared" ca="1" si="578"/>
        <v>1</v>
      </c>
      <c r="WI71" s="220">
        <f t="shared" ref="WI71:WI86" ca="1" si="1299">IF($F71&gt;0,IF(WH$2&gt;0,PRODUCT(OFFSET(LT_AnnuityLifeTable,$F71,2,WH$2,1)),100%),0)</f>
        <v>5.7061061620490225E-2</v>
      </c>
      <c r="WJ71" s="220">
        <f t="shared" ref="WJ71:WJ86" ca="1" si="1300">IF(AND($G71&gt;0,SP_AnnySurvivor),IF(WH$2&gt;0,PRODUCT(OFFSET(LT_AnnuityLifeTable,$G71,5,WH$2,1)),100%),0)</f>
        <v>0</v>
      </c>
      <c r="WK71" s="235">
        <f t="shared" ref="WK71:WK86" ca="1" si="1301">ABS(WH71)*IF(WH$2&lt;$O71,1,(WI71+WJ71)-(WI71*WJ71))/POWER(1+$L71,WH$2)</f>
        <v>2.1727342833971291E-3</v>
      </c>
      <c r="WL71" s="235">
        <f t="shared" ref="WL71:WL86" ca="1" si="1302">ABS(WH71)*IF(WH$2&lt;$O71,1,(WI71+WJ71)-(WI71*WJ71))/POWER(1+$L72,WH$2)</f>
        <v>2.1727342833971291E-3</v>
      </c>
      <c r="WM71" s="242">
        <f t="shared" ref="WM71:WM86" ca="1" si="1303">ABS(WH71)*IF(WH$2&lt;$O71,1,(WI71+WJ71)-(WI71*WJ71))/POWER(1+$M71,WH$2)</f>
        <v>2.1727342833971291E-3</v>
      </c>
      <c r="WN71" s="241">
        <f t="shared" ca="1" si="578"/>
        <v>1</v>
      </c>
      <c r="WO71" s="220">
        <f t="shared" ref="WO71:WO86" ca="1" si="1304">IF($F71&gt;0,IF(WN$2&gt;0,PRODUCT(OFFSET(LT_AnnuityLifeTable,$F71,2,WN$2,1)),100%),0)</f>
        <v>4.1934687734452851E-2</v>
      </c>
      <c r="WP71" s="220">
        <f t="shared" ref="WP71:WP86" ca="1" si="1305">IF(AND($G71&gt;0,SP_AnnySurvivor),IF(WN$2&gt;0,PRODUCT(OFFSET(LT_AnnuityLifeTable,$G71,5,WN$2,1)),100%),0)</f>
        <v>0</v>
      </c>
      <c r="WQ71" s="235">
        <f t="shared" ref="WQ71:WQ86" ca="1" si="1306">ABS(WN71)*IF(WN$2&lt;$O71,1,(WO71+WP71)-(WO71*WP71))/POWER(1+$L71,WN$2)</f>
        <v>1.5427651975624165E-3</v>
      </c>
      <c r="WR71" s="235">
        <f t="shared" ref="WR71:WR86" ca="1" si="1307">ABS(WN71)*IF(WN$2&lt;$O71,1,(WO71+WP71)-(WO71*WP71))/POWER(1+$L72,WN$2)</f>
        <v>1.5427651975624165E-3</v>
      </c>
      <c r="WS71" s="242">
        <f t="shared" ref="WS71:WS86" ca="1" si="1308">ABS(WN71)*IF(WN$2&lt;$O71,1,(WO71+WP71)-(WO71*WP71))/POWER(1+$M71,WN$2)</f>
        <v>1.5427651975624165E-3</v>
      </c>
      <c r="WT71" s="241">
        <f t="shared" ca="1" si="578"/>
        <v>1</v>
      </c>
      <c r="WU71" s="220">
        <f t="shared" ref="WU71:WU86" ca="1" si="1309">IF($F71&gt;0,IF(WT$2&gt;0,PRODUCT(OFFSET(LT_AnnuityLifeTable,$F71,2,WT$2,1)),100%),0)</f>
        <v>2.9961998908764689E-2</v>
      </c>
      <c r="WV71" s="220">
        <f t="shared" ref="WV71:WV86" ca="1" si="1310">IF(AND($G71&gt;0,SP_AnnySurvivor),IF(WT$2&gt;0,PRODUCT(OFFSET(LT_AnnuityLifeTable,$G71,5,WT$2,1)),100%),0)</f>
        <v>0</v>
      </c>
      <c r="WW71" s="235">
        <f t="shared" ref="WW71:WW86" ca="1" si="1311">ABS(WT71)*IF(WT$2&lt;$O71,1,(WU71+WV71)-(WU71*WV71))/POWER(1+$L71,WT$2)</f>
        <v>1.0650177696007403E-3</v>
      </c>
      <c r="WX71" s="235">
        <f t="shared" ref="WX71:WX86" ca="1" si="1312">ABS(WT71)*IF(WT$2&lt;$O71,1,(WU71+WV71)-(WU71*WV71))/POWER(1+$L72,WT$2)</f>
        <v>1.0650177696007403E-3</v>
      </c>
      <c r="WY71" s="242">
        <f t="shared" ref="WY71:WY86" ca="1" si="1313">ABS(WT71)*IF(WT$2&lt;$O71,1,(WU71+WV71)-(WU71*WV71))/POWER(1+$M71,WT$2)</f>
        <v>1.0650177696007403E-3</v>
      </c>
      <c r="WZ71" s="241">
        <f t="shared" ca="1" si="578"/>
        <v>1</v>
      </c>
      <c r="XA71" s="220">
        <f t="shared" ref="XA71:XA86" ca="1" si="1314">IF($F71&gt;0,IF(WZ$2&gt;0,PRODUCT(OFFSET(LT_AnnuityLifeTable,$F71,2,WZ$2,1)),100%),0)</f>
        <v>2.0825806429510707E-2</v>
      </c>
      <c r="XB71" s="220">
        <f t="shared" ref="XB71:XB86" ca="1" si="1315">IF(AND($G71&gt;0,SP_AnnySurvivor),IF(WZ$2&gt;0,PRODUCT(OFFSET(LT_AnnuityLifeTable,$G71,5,WZ$2,1)),100%),0)</f>
        <v>0</v>
      </c>
      <c r="XC71" s="235">
        <f t="shared" ref="XC71:XC86" ca="1" si="1316">ABS(WZ71)*IF(WZ$2&lt;$O71,1,(XA71+XB71)-(XA71*XB71))/POWER(1+$L71,WZ$2)</f>
        <v>7.1523300597822715E-4</v>
      </c>
      <c r="XD71" s="235">
        <f t="shared" ref="XD71:XD86" ca="1" si="1317">ABS(WZ71)*IF(WZ$2&lt;$O71,1,(XA71+XB71)-(XA71*XB71))/POWER(1+$L72,WZ$2)</f>
        <v>7.1523300597822715E-4</v>
      </c>
      <c r="XE71" s="242">
        <f t="shared" ref="XE71:XE86" ca="1" si="1318">ABS(WZ71)*IF(WZ$2&lt;$O71,1,(XA71+XB71)-(XA71*XB71))/POWER(1+$M71,WZ$2)</f>
        <v>7.1523300597822715E-4</v>
      </c>
      <c r="XF71" s="241">
        <f t="shared" ca="1" si="578"/>
        <v>1</v>
      </c>
      <c r="XG71" s="220">
        <f t="shared" ref="XG71:XG86" ca="1" si="1319">IF($F71&gt;0,IF(XF$2&gt;0,PRODUCT(OFFSET(LT_AnnuityLifeTable,$F71,2,XF$2,1)),100%),0)</f>
        <v>1.410075784309954E-2</v>
      </c>
      <c r="XH71" s="220">
        <f t="shared" ref="XH71:XH86" ca="1" si="1320">IF(AND($G71&gt;0,SP_AnnySurvivor),IF(XF$2&gt;0,PRODUCT(OFFSET(LT_AnnuityLifeTable,$G71,5,XF$2,1)),100%),0)</f>
        <v>0</v>
      </c>
      <c r="XI71" s="235">
        <f t="shared" ref="XI71:XI86" ca="1" si="1321">ABS(XF71)*IF(XF$2&lt;$O71,1,(XG71+XH71)-(XG71*XH71))/POWER(1+$L71,XF$2)</f>
        <v>4.6789437576883483E-4</v>
      </c>
      <c r="XJ71" s="235">
        <f t="shared" ref="XJ71:XJ86" ca="1" si="1322">ABS(XF71)*IF(XF$2&lt;$O71,1,(XG71+XH71)-(XG71*XH71))/POWER(1+$L72,XF$2)</f>
        <v>4.6789437576883483E-4</v>
      </c>
      <c r="XK71" s="242">
        <f t="shared" ref="XK71:XK86" ca="1" si="1323">ABS(XF71)*IF(XF$2&lt;$O71,1,(XG71+XH71)-(XG71*XH71))/POWER(1+$M71,XF$2)</f>
        <v>4.6789437576883483E-4</v>
      </c>
    </row>
    <row r="72" spans="2:635" x14ac:dyDescent="0.25">
      <c r="B72" s="65">
        <f t="shared" ca="1" si="810"/>
        <v>2087</v>
      </c>
      <c r="C72" s="65" t="s">
        <v>741</v>
      </c>
      <c r="D72" s="77">
        <f t="shared" si="811"/>
        <v>0</v>
      </c>
      <c r="E72" s="77">
        <f t="shared" si="812"/>
        <v>0</v>
      </c>
      <c r="F72" s="77" t="b">
        <f t="shared" si="813"/>
        <v>0</v>
      </c>
      <c r="G72" s="77" t="b">
        <f t="shared" si="814"/>
        <v>0</v>
      </c>
      <c r="H72" s="15" t="e">
        <f t="shared" ca="1" si="815"/>
        <v>#REF!</v>
      </c>
      <c r="L72" s="326">
        <f t="shared" ca="1" si="816"/>
        <v>3.5000000000000003E-2</v>
      </c>
      <c r="M72" s="327">
        <f t="shared" ca="1" si="817"/>
        <v>3.5000000000000003E-2</v>
      </c>
      <c r="N72" s="322">
        <f t="shared" ca="1" si="809"/>
        <v>-64</v>
      </c>
      <c r="O72" s="322">
        <f t="shared" ca="1" si="818"/>
        <v>0</v>
      </c>
      <c r="P72" s="328">
        <f t="shared" ref="P72:P86" ca="1" si="1324">SUMPRODUCT($AJ72:$XK72*(MOD(COLUMN($AJ72:$XK72)-COLUMN($AJ72),6)=3))</f>
        <v>26.87829936156087</v>
      </c>
      <c r="Q72" s="328">
        <f t="shared" ref="Q72:Q86" ca="1" si="1325">SUMPRODUCT($AJ72:$XK72*(MOD(COLUMN($AJ72:$XK72)-COLUMN($AJ72),6)=4))</f>
        <v>26.87829936156087</v>
      </c>
      <c r="R72" s="328">
        <f t="shared" ref="R72:R86" ca="1" si="1326">SUMPRODUCT($AJ72:$XK72*(MOD(COLUMN($AJ72:$XK72)-COLUMN($AJ72),6)=5))</f>
        <v>26.87829936156087</v>
      </c>
      <c r="S72" s="329">
        <f t="shared" ca="1" si="819"/>
        <v>3.8642415640549425E-2</v>
      </c>
      <c r="T72" s="329">
        <f t="shared" ca="1" si="820"/>
        <v>3.8642415640549425E-2</v>
      </c>
      <c r="U72" s="329">
        <f t="shared" ca="1" si="821"/>
        <v>3.8642415640549425E-2</v>
      </c>
      <c r="V72" s="320" t="e">
        <f t="shared" ca="1" si="822"/>
        <v>#REF!</v>
      </c>
      <c r="W72" s="320" t="e">
        <f t="shared" ca="1" si="560"/>
        <v>#REF!</v>
      </c>
      <c r="X72" s="320" t="e">
        <f t="shared" ca="1" si="823"/>
        <v>#REF!</v>
      </c>
      <c r="Y72" s="320" t="e">
        <f ca="1">INDEX(SC_ZA_HECMLumpSum,ZAIDX)</f>
        <v>#REF!</v>
      </c>
      <c r="Z72" s="320" t="e">
        <f t="shared" ca="1" si="824"/>
        <v>#REF!</v>
      </c>
      <c r="AA72" s="320" t="e">
        <f t="shared" ca="1" si="557"/>
        <v>#REF!</v>
      </c>
      <c r="AB72" s="320" t="e">
        <f t="shared" ca="1" si="558"/>
        <v>#REF!</v>
      </c>
      <c r="AC72" s="330" t="e">
        <f t="shared" ca="1" si="559"/>
        <v>#REF!</v>
      </c>
      <c r="AD72" s="236" t="e">
        <f t="shared" ref="AD72:AD86" ca="1" si="1327">-$X72</f>
        <v>#REF!</v>
      </c>
      <c r="AE72" s="320" t="e">
        <f t="shared" ca="1" si="561"/>
        <v>#REF!</v>
      </c>
      <c r="AF72" s="320" t="e">
        <f t="shared" ca="1" si="825"/>
        <v>#REF!</v>
      </c>
      <c r="AG72" s="320" t="e">
        <f t="shared" ref="AG72:AG86" ca="1" si="1328">$AE72+$AF72</f>
        <v>#REF!</v>
      </c>
      <c r="AH72" s="284" t="e">
        <f t="shared" ref="AH72:AH86" ca="1" si="1329">MAX($V72-$W72,0)</f>
        <v>#REF!</v>
      </c>
      <c r="AI72" s="318" t="e">
        <f t="shared" ref="AI72:AI86" ca="1" si="1330">MIN($V72,$W72)</f>
        <v>#REF!</v>
      </c>
      <c r="AJ72" s="331">
        <f t="shared" ca="1" si="807"/>
        <v>1</v>
      </c>
      <c r="AK72" s="220">
        <f t="shared" ca="1" si="826"/>
        <v>1</v>
      </c>
      <c r="AL72" s="220">
        <f t="shared" ca="1" si="827"/>
        <v>0</v>
      </c>
      <c r="AM72" s="235">
        <f t="shared" ref="AM72:AM86" ca="1" si="1331">ABS(AJ72)*IF(AJ$2&lt;$O72,1,(AK72+AL72)-(AK72*AL72))/POWER(1+$L72,AJ$2)</f>
        <v>1</v>
      </c>
      <c r="AN72" s="235">
        <f t="shared" ref="AN72:AN86" ca="1" si="1332">ABS(AJ72)*IF(AJ$2&lt;$O72,1,(AK72+AL72)-(AK72*AL72))/POWER(1+$L73,AJ$2)</f>
        <v>1</v>
      </c>
      <c r="AO72" s="242">
        <f t="shared" ref="AO72:AO86" ca="1" si="1333">ABS(AJ72)*IF(AJ$2&lt;$O72,1,(AK72+AL72)-(AK72*AL72))/POWER(1+$M72,AJ$2)</f>
        <v>1</v>
      </c>
      <c r="AP72" s="241">
        <f t="shared" ca="1" si="807"/>
        <v>1</v>
      </c>
      <c r="AQ72" s="220">
        <f t="shared" ca="1" si="828"/>
        <v>0.99361699999999997</v>
      </c>
      <c r="AR72" s="220">
        <f t="shared" ca="1" si="829"/>
        <v>0</v>
      </c>
      <c r="AS72" s="235">
        <f t="shared" ca="1" si="830"/>
        <v>0.96001642512077301</v>
      </c>
      <c r="AT72" s="235">
        <f t="shared" ca="1" si="831"/>
        <v>0.96001642512077301</v>
      </c>
      <c r="AU72" s="242">
        <f t="shared" ca="1" si="832"/>
        <v>0.96001642512077301</v>
      </c>
      <c r="AV72" s="241">
        <f t="shared" ca="1" si="807"/>
        <v>1</v>
      </c>
      <c r="AW72" s="220">
        <f t="shared" ca="1" si="833"/>
        <v>0.99316689149899995</v>
      </c>
      <c r="AX72" s="220">
        <f t="shared" ca="1" si="834"/>
        <v>0</v>
      </c>
      <c r="AY72" s="235">
        <f t="shared" ca="1" si="835"/>
        <v>0.92713192046395487</v>
      </c>
      <c r="AZ72" s="235">
        <f t="shared" ca="1" si="836"/>
        <v>0.92713192046395487</v>
      </c>
      <c r="BA72" s="242">
        <f t="shared" ca="1" si="837"/>
        <v>0.92713192046395487</v>
      </c>
      <c r="BB72" s="241">
        <f t="shared" ca="1" si="807"/>
        <v>1</v>
      </c>
      <c r="BC72" s="220">
        <f t="shared" ca="1" si="838"/>
        <v>0.99288681843559723</v>
      </c>
      <c r="BD72" s="220">
        <f t="shared" ca="1" si="839"/>
        <v>0</v>
      </c>
      <c r="BE72" s="235">
        <f t="shared" ca="1" si="840"/>
        <v>0.89552702344191704</v>
      </c>
      <c r="BF72" s="235">
        <f t="shared" ca="1" si="841"/>
        <v>0.89552702344191704</v>
      </c>
      <c r="BG72" s="242">
        <f t="shared" ca="1" si="842"/>
        <v>0.89552702344191704</v>
      </c>
      <c r="BH72" s="241">
        <f t="shared" ca="1" si="807"/>
        <v>1</v>
      </c>
      <c r="BI72" s="220">
        <f t="shared" ca="1" si="843"/>
        <v>0.99265845446735712</v>
      </c>
      <c r="BJ72" s="220">
        <f t="shared" ca="1" si="844"/>
        <v>0</v>
      </c>
      <c r="BK72" s="235">
        <f t="shared" ca="1" si="845"/>
        <v>0.86504449490485558</v>
      </c>
      <c r="BL72" s="235">
        <f t="shared" ca="1" si="846"/>
        <v>0.86504449490485558</v>
      </c>
      <c r="BM72" s="242">
        <f t="shared" ca="1" si="847"/>
        <v>0.86504449490485558</v>
      </c>
      <c r="BN72" s="241">
        <f t="shared" ca="1" si="807"/>
        <v>1</v>
      </c>
      <c r="BO72" s="220">
        <f t="shared" ca="1" si="848"/>
        <v>0.99249069518855215</v>
      </c>
      <c r="BP72" s="220">
        <f t="shared" ca="1" si="849"/>
        <v>0</v>
      </c>
      <c r="BQ72" s="235">
        <f t="shared" ca="1" si="850"/>
        <v>0.83565053370552345</v>
      </c>
      <c r="BR72" s="235">
        <f t="shared" ca="1" si="851"/>
        <v>0.83565053370552345</v>
      </c>
      <c r="BS72" s="242">
        <f t="shared" ca="1" si="852"/>
        <v>0.83565053370552345</v>
      </c>
      <c r="BT72" s="241">
        <f t="shared" ca="1" si="807"/>
        <v>1</v>
      </c>
      <c r="BU72" s="220">
        <f t="shared" ca="1" si="853"/>
        <v>0.99233685913079794</v>
      </c>
      <c r="BV72" s="220">
        <f t="shared" ca="1" si="854"/>
        <v>0</v>
      </c>
      <c r="BW72" s="235">
        <f t="shared" ca="1" si="855"/>
        <v>0.80726667427323584</v>
      </c>
      <c r="BX72" s="235">
        <f t="shared" ca="1" si="856"/>
        <v>0.80726667427323584</v>
      </c>
      <c r="BY72" s="242">
        <f t="shared" ca="1" si="857"/>
        <v>0.80726667427323584</v>
      </c>
      <c r="BZ72" s="241">
        <f t="shared" ca="1" si="807"/>
        <v>1</v>
      </c>
      <c r="CA72" s="220">
        <f t="shared" ca="1" si="858"/>
        <v>0.992192970286224</v>
      </c>
      <c r="CB72" s="220">
        <f t="shared" ca="1" si="859"/>
        <v>0</v>
      </c>
      <c r="CC72" s="235">
        <f t="shared" ca="1" si="860"/>
        <v>0.7798547058990013</v>
      </c>
      <c r="CD72" s="235">
        <f t="shared" ca="1" si="861"/>
        <v>0.7798547058990013</v>
      </c>
      <c r="CE72" s="242">
        <f t="shared" ca="1" si="862"/>
        <v>0.7798547058990013</v>
      </c>
      <c r="CF72" s="241">
        <f t="shared" ca="1" si="807"/>
        <v>1</v>
      </c>
      <c r="CG72" s="220">
        <f t="shared" ca="1" si="863"/>
        <v>0.9920590242352354</v>
      </c>
      <c r="CH72" s="220">
        <f t="shared" ca="1" si="864"/>
        <v>0</v>
      </c>
      <c r="CI72" s="235">
        <f t="shared" ca="1" si="865"/>
        <v>0.75338108745285515</v>
      </c>
      <c r="CJ72" s="235">
        <f t="shared" ca="1" si="866"/>
        <v>0.75338108745285515</v>
      </c>
      <c r="CK72" s="242">
        <f t="shared" ca="1" si="867"/>
        <v>0.75338108745285515</v>
      </c>
      <c r="CL72" s="241">
        <f t="shared" ca="1" si="807"/>
        <v>1</v>
      </c>
      <c r="CM72" s="220">
        <f t="shared" ca="1" si="868"/>
        <v>0.99193997715232718</v>
      </c>
      <c r="CN72" s="220">
        <f t="shared" ca="1" si="869"/>
        <v>0</v>
      </c>
      <c r="CO72" s="235">
        <f t="shared" ca="1" si="870"/>
        <v>0.72781708378972065</v>
      </c>
      <c r="CP72" s="235">
        <f t="shared" ca="1" si="871"/>
        <v>0.72781708378972065</v>
      </c>
      <c r="CQ72" s="242">
        <f t="shared" ca="1" si="872"/>
        <v>0.72781708378972065</v>
      </c>
      <c r="CR72" s="241">
        <f t="shared" ca="1" si="807"/>
        <v>1</v>
      </c>
      <c r="CS72" s="220">
        <f t="shared" ca="1" si="873"/>
        <v>0.99183582345472621</v>
      </c>
      <c r="CT72" s="220">
        <f t="shared" ca="1" si="874"/>
        <v>0</v>
      </c>
      <c r="CU72" s="235">
        <f t="shared" ca="1" si="875"/>
        <v>0.70313107535837949</v>
      </c>
      <c r="CV72" s="235">
        <f t="shared" ca="1" si="876"/>
        <v>0.70313107535837949</v>
      </c>
      <c r="CW72" s="242">
        <f t="shared" ca="1" si="877"/>
        <v>0.70313107535837949</v>
      </c>
      <c r="CX72" s="241">
        <f t="shared" ca="1" si="800"/>
        <v>1</v>
      </c>
      <c r="CY72" s="220">
        <f t="shared" ca="1" si="878"/>
        <v>0.99174259088732142</v>
      </c>
      <c r="CZ72" s="220">
        <f t="shared" ca="1" si="879"/>
        <v>0</v>
      </c>
      <c r="DA72" s="235">
        <f t="shared" ca="1" si="880"/>
        <v>0.6792898367510104</v>
      </c>
      <c r="DB72" s="235">
        <f t="shared" ca="1" si="881"/>
        <v>0.6792898367510104</v>
      </c>
      <c r="DC72" s="242">
        <f t="shared" ca="1" si="882"/>
        <v>0.6792898367510104</v>
      </c>
      <c r="DD72" s="241">
        <f t="shared" ca="1" si="800"/>
        <v>1</v>
      </c>
      <c r="DE72" s="220">
        <f t="shared" ca="1" si="883"/>
        <v>0.99164440837082357</v>
      </c>
      <c r="DF72" s="220">
        <f t="shared" ca="1" si="884"/>
        <v>0</v>
      </c>
      <c r="DG72" s="235">
        <f t="shared" ca="1" si="885"/>
        <v>0.65625370730161559</v>
      </c>
      <c r="DH72" s="235">
        <f t="shared" ca="1" si="886"/>
        <v>0.65625370730161559</v>
      </c>
      <c r="DI72" s="242">
        <f t="shared" ca="1" si="887"/>
        <v>0.65625370730161559</v>
      </c>
      <c r="DJ72" s="241">
        <f t="shared" ca="1" si="888"/>
        <v>1</v>
      </c>
      <c r="DK72" s="220">
        <f t="shared" ca="1" si="889"/>
        <v>0.9915115280201019</v>
      </c>
      <c r="DL72" s="220">
        <f t="shared" ca="1" si="890"/>
        <v>0</v>
      </c>
      <c r="DM72" s="235">
        <f t="shared" ca="1" si="891"/>
        <v>0.63397658870032592</v>
      </c>
      <c r="DN72" s="235">
        <f t="shared" ca="1" si="892"/>
        <v>0.63397658870032592</v>
      </c>
      <c r="DO72" s="242">
        <f t="shared" ca="1" si="893"/>
        <v>0.63397658870032592</v>
      </c>
      <c r="DP72" s="241">
        <f t="shared" ca="1" si="888"/>
        <v>1</v>
      </c>
      <c r="DQ72" s="220">
        <f t="shared" ca="1" si="894"/>
        <v>0.99130628513380181</v>
      </c>
      <c r="DR72" s="220">
        <f t="shared" ca="1" si="895"/>
        <v>0</v>
      </c>
      <c r="DS72" s="235">
        <f t="shared" ca="1" si="896"/>
        <v>0.61241097154247814</v>
      </c>
      <c r="DT72" s="235">
        <f t="shared" ca="1" si="897"/>
        <v>0.61241097154247814</v>
      </c>
      <c r="DU72" s="242">
        <f t="shared" ca="1" si="898"/>
        <v>0.61241097154247814</v>
      </c>
      <c r="DV72" s="241">
        <f t="shared" ca="1" si="888"/>
        <v>1</v>
      </c>
      <c r="DW72" s="220">
        <f t="shared" ca="1" si="899"/>
        <v>0.9909999714916955</v>
      </c>
      <c r="DX72" s="220">
        <f t="shared" ca="1" si="900"/>
        <v>0</v>
      </c>
      <c r="DY72" s="235">
        <f t="shared" ca="1" si="901"/>
        <v>0.59151858604084218</v>
      </c>
      <c r="DZ72" s="235">
        <f t="shared" ca="1" si="902"/>
        <v>0.59151858604084218</v>
      </c>
      <c r="EA72" s="242">
        <f t="shared" ca="1" si="903"/>
        <v>0.59151858604084218</v>
      </c>
      <c r="EB72" s="241">
        <f t="shared" ca="1" si="888"/>
        <v>1</v>
      </c>
      <c r="EC72" s="220">
        <f t="shared" ca="1" si="904"/>
        <v>0.99058474250364048</v>
      </c>
      <c r="ED72" s="220">
        <f t="shared" ca="1" si="905"/>
        <v>0</v>
      </c>
      <c r="EE72" s="235">
        <f t="shared" ca="1" si="906"/>
        <v>0.57127607705632</v>
      </c>
      <c r="EF72" s="235">
        <f t="shared" ca="1" si="907"/>
        <v>0.57127607705632</v>
      </c>
      <c r="EG72" s="242">
        <f t="shared" ca="1" si="908"/>
        <v>0.57127607705632</v>
      </c>
      <c r="EH72" s="241">
        <f t="shared" ca="1" si="888"/>
        <v>1</v>
      </c>
      <c r="EI72" s="220">
        <f t="shared" ca="1" si="909"/>
        <v>0.99005973259011348</v>
      </c>
      <c r="EJ72" s="220">
        <f t="shared" ca="1" si="910"/>
        <v>0</v>
      </c>
      <c r="EK72" s="235">
        <f t="shared" ca="1" si="911"/>
        <v>0.55166502486519819</v>
      </c>
      <c r="EL72" s="235">
        <f t="shared" ca="1" si="912"/>
        <v>0.55166502486519819</v>
      </c>
      <c r="EM72" s="242">
        <f t="shared" ca="1" si="913"/>
        <v>0.55166502486519819</v>
      </c>
      <c r="EN72" s="241">
        <f t="shared" ca="1" si="888"/>
        <v>1</v>
      </c>
      <c r="EO72" s="220">
        <f t="shared" ca="1" si="914"/>
        <v>0.98941124346526699</v>
      </c>
      <c r="EP72" s="220">
        <f t="shared" ca="1" si="915"/>
        <v>0</v>
      </c>
      <c r="EQ72" s="235">
        <f t="shared" ca="1" si="916"/>
        <v>0.53266056451585653</v>
      </c>
      <c r="ER72" s="235">
        <f t="shared" ca="1" si="917"/>
        <v>0.53266056451585653</v>
      </c>
      <c r="ES72" s="242">
        <f t="shared" ca="1" si="918"/>
        <v>0.53266056451585653</v>
      </c>
      <c r="ET72" s="241">
        <f t="shared" ca="1" si="888"/>
        <v>1</v>
      </c>
      <c r="EU72" s="220">
        <f t="shared" ca="1" si="919"/>
        <v>0.98862861917168599</v>
      </c>
      <c r="EV72" s="220">
        <f t="shared" ca="1" si="920"/>
        <v>0</v>
      </c>
      <c r="EW72" s="235">
        <f t="shared" ca="1" si="921"/>
        <v>0.51424080194137645</v>
      </c>
      <c r="EX72" s="235">
        <f t="shared" ca="1" si="922"/>
        <v>0.51424080194137645</v>
      </c>
      <c r="EY72" s="242">
        <f t="shared" ca="1" si="923"/>
        <v>0.51424080194137645</v>
      </c>
      <c r="EZ72" s="241">
        <f t="shared" ca="1" si="888"/>
        <v>1</v>
      </c>
      <c r="FA72" s="220">
        <f t="shared" ca="1" si="924"/>
        <v>0.98770524004137961</v>
      </c>
      <c r="FB72" s="220">
        <f t="shared" ca="1" si="925"/>
        <v>0</v>
      </c>
      <c r="FC72" s="235">
        <f t="shared" ca="1" si="926"/>
        <v>0.49638695751919149</v>
      </c>
      <c r="FD72" s="235">
        <f t="shared" ca="1" si="927"/>
        <v>0.49638695751919149</v>
      </c>
      <c r="FE72" s="242">
        <f t="shared" ca="1" si="928"/>
        <v>0.49638695751919149</v>
      </c>
      <c r="FF72" s="241">
        <f t="shared" ca="1" si="888"/>
        <v>1</v>
      </c>
      <c r="FG72" s="220">
        <f t="shared" ca="1" si="929"/>
        <v>0.98663357985593469</v>
      </c>
      <c r="FH72" s="220">
        <f t="shared" ca="1" si="930"/>
        <v>0</v>
      </c>
      <c r="FI72" s="235">
        <f t="shared" ca="1" si="931"/>
        <v>0.4790805581355394</v>
      </c>
      <c r="FJ72" s="235">
        <f t="shared" ca="1" si="932"/>
        <v>0.4790805581355394</v>
      </c>
      <c r="FK72" s="242">
        <f t="shared" ca="1" si="933"/>
        <v>0.4790805581355394</v>
      </c>
      <c r="FL72" s="241">
        <f t="shared" ca="1" si="888"/>
        <v>1</v>
      </c>
      <c r="FM72" s="220">
        <f t="shared" ca="1" si="934"/>
        <v>0.98542199381987161</v>
      </c>
      <c r="FN72" s="220">
        <f t="shared" ca="1" si="935"/>
        <v>0</v>
      </c>
      <c r="FO72" s="235">
        <f t="shared" ca="1" si="936"/>
        <v>0.46231134996149653</v>
      </c>
      <c r="FP72" s="235">
        <f t="shared" ca="1" si="937"/>
        <v>0.46231134996149653</v>
      </c>
      <c r="FQ72" s="242">
        <f t="shared" ca="1" si="938"/>
        <v>0.46231134996149653</v>
      </c>
      <c r="FR72" s="241">
        <f t="shared" ca="1" si="888"/>
        <v>1</v>
      </c>
      <c r="FS72" s="220">
        <f t="shared" ca="1" si="939"/>
        <v>0.98410251377014679</v>
      </c>
      <c r="FT72" s="220">
        <f t="shared" ca="1" si="940"/>
        <v>0</v>
      </c>
      <c r="FU72" s="235">
        <f t="shared" ca="1" si="941"/>
        <v>0.44607953146270346</v>
      </c>
      <c r="FV72" s="235">
        <f t="shared" ca="1" si="942"/>
        <v>0.44607953146270346</v>
      </c>
      <c r="FW72" s="242">
        <f t="shared" ca="1" si="943"/>
        <v>0.44607953146270346</v>
      </c>
      <c r="FX72" s="241">
        <f t="shared" ca="1" si="801"/>
        <v>1</v>
      </c>
      <c r="FY72" s="220">
        <f t="shared" ca="1" si="944"/>
        <v>0.98272181794332725</v>
      </c>
      <c r="FZ72" s="220">
        <f t="shared" ca="1" si="945"/>
        <v>0</v>
      </c>
      <c r="GA72" s="235">
        <f t="shared" ca="1" si="946"/>
        <v>0.43039003080199167</v>
      </c>
      <c r="GB72" s="235">
        <f t="shared" ca="1" si="947"/>
        <v>0.43039003080199167</v>
      </c>
      <c r="GC72" s="242">
        <f t="shared" ca="1" si="948"/>
        <v>0.43039003080199167</v>
      </c>
      <c r="GD72" s="241">
        <f t="shared" ca="1" si="795"/>
        <v>1</v>
      </c>
      <c r="GE72" s="220">
        <f t="shared" ca="1" si="949"/>
        <v>0.98131357757821447</v>
      </c>
      <c r="GF72" s="220">
        <f t="shared" ca="1" si="950"/>
        <v>0</v>
      </c>
      <c r="GG72" s="235">
        <f t="shared" ca="1" si="951"/>
        <v>0.41523988588198307</v>
      </c>
      <c r="GH72" s="235">
        <f t="shared" ca="1" si="952"/>
        <v>0.41523988588198307</v>
      </c>
      <c r="GI72" s="242">
        <f t="shared" ca="1" si="953"/>
        <v>0.41523988588198307</v>
      </c>
      <c r="GJ72" s="241">
        <f t="shared" ca="1" si="795"/>
        <v>1</v>
      </c>
      <c r="GK72" s="220">
        <f t="shared" ca="1" si="954"/>
        <v>0.97988969157714845</v>
      </c>
      <c r="GL72" s="220">
        <f t="shared" ca="1" si="955"/>
        <v>0</v>
      </c>
      <c r="GM72" s="235">
        <f t="shared" ca="1" si="956"/>
        <v>0.40061581913774713</v>
      </c>
      <c r="GN72" s="235">
        <f t="shared" ca="1" si="957"/>
        <v>0.40061581913774713</v>
      </c>
      <c r="GO72" s="242">
        <f t="shared" ca="1" si="958"/>
        <v>0.40061581913774713</v>
      </c>
      <c r="GP72" s="241">
        <f t="shared" ca="1" si="802"/>
        <v>1</v>
      </c>
      <c r="GQ72" s="220">
        <f t="shared" ca="1" si="959"/>
        <v>0.9784443542820721</v>
      </c>
      <c r="GR72" s="220">
        <f t="shared" ca="1" si="960"/>
        <v>0</v>
      </c>
      <c r="GS72" s="235">
        <f t="shared" ca="1" si="961"/>
        <v>0.38649749836185404</v>
      </c>
      <c r="GT72" s="235">
        <f t="shared" ca="1" si="962"/>
        <v>0.38649749836185404</v>
      </c>
      <c r="GU72" s="242">
        <f t="shared" ca="1" si="963"/>
        <v>0.38649749836185404</v>
      </c>
      <c r="GV72" s="241">
        <f t="shared" ca="1" si="802"/>
        <v>1</v>
      </c>
      <c r="GW72" s="220">
        <f t="shared" ca="1" si="964"/>
        <v>0.97697473086194042</v>
      </c>
      <c r="GX72" s="220">
        <f t="shared" ca="1" si="965"/>
        <v>0</v>
      </c>
      <c r="GY72" s="235">
        <f t="shared" ca="1" si="966"/>
        <v>0.37286664649209134</v>
      </c>
      <c r="GZ72" s="235">
        <f t="shared" ca="1" si="967"/>
        <v>0.37286664649209134</v>
      </c>
      <c r="HA72" s="242">
        <f t="shared" ca="1" si="968"/>
        <v>0.37286664649209134</v>
      </c>
      <c r="HB72" s="241">
        <f t="shared" ca="1" si="802"/>
        <v>1</v>
      </c>
      <c r="HC72" s="220">
        <f t="shared" ca="1" si="969"/>
        <v>0.97547214372587476</v>
      </c>
      <c r="HD72" s="220">
        <f t="shared" ca="1" si="970"/>
        <v>0</v>
      </c>
      <c r="HE72" s="235">
        <f t="shared" ca="1" si="971"/>
        <v>0.35970355322684694</v>
      </c>
      <c r="HF72" s="235">
        <f t="shared" ca="1" si="972"/>
        <v>0.35970355322684694</v>
      </c>
      <c r="HG72" s="242">
        <f t="shared" ca="1" si="973"/>
        <v>0.35970355322684694</v>
      </c>
      <c r="HH72" s="241">
        <f t="shared" ca="1" si="802"/>
        <v>1</v>
      </c>
      <c r="HI72" s="220">
        <f t="shared" ca="1" si="974"/>
        <v>0.9739299222666441</v>
      </c>
      <c r="HJ72" s="220">
        <f t="shared" ca="1" si="975"/>
        <v>0</v>
      </c>
      <c r="HK72" s="235">
        <f t="shared" ca="1" si="976"/>
        <v>0.34699020474318382</v>
      </c>
      <c r="HL72" s="235">
        <f t="shared" ca="1" si="977"/>
        <v>0.34699020474318382</v>
      </c>
      <c r="HM72" s="242">
        <f t="shared" ca="1" si="978"/>
        <v>0.34699020474318382</v>
      </c>
      <c r="HN72" s="241">
        <f t="shared" ca="1" si="802"/>
        <v>1</v>
      </c>
      <c r="HO72" s="220">
        <f t="shared" ca="1" si="979"/>
        <v>0.97234631221303847</v>
      </c>
      <c r="HP72" s="220">
        <f t="shared" ca="1" si="980"/>
        <v>0</v>
      </c>
      <c r="HQ72" s="235">
        <f t="shared" ca="1" si="981"/>
        <v>0.33471110982634922</v>
      </c>
      <c r="HR72" s="235">
        <f t="shared" ca="1" si="982"/>
        <v>0.33471110982634922</v>
      </c>
      <c r="HS72" s="242">
        <f t="shared" ca="1" si="983"/>
        <v>0.33471110982634922</v>
      </c>
      <c r="HT72" s="241">
        <f t="shared" ca="1" si="802"/>
        <v>1</v>
      </c>
      <c r="HU72" s="220">
        <f t="shared" ca="1" si="984"/>
        <v>0.97072346621795491</v>
      </c>
      <c r="HV72" s="220">
        <f t="shared" ca="1" si="985"/>
        <v>0</v>
      </c>
      <c r="HW72" s="235">
        <f t="shared" ca="1" si="986"/>
        <v>0.32285263476719722</v>
      </c>
      <c r="HX72" s="235">
        <f t="shared" ca="1" si="987"/>
        <v>0.32285263476719722</v>
      </c>
      <c r="HY72" s="242">
        <f t="shared" ca="1" si="988"/>
        <v>0.32285263476719722</v>
      </c>
      <c r="HZ72" s="241">
        <f t="shared" ca="1" si="802"/>
        <v>1</v>
      </c>
      <c r="IA72" s="220">
        <f t="shared" ca="1" si="989"/>
        <v>0.96906158764378969</v>
      </c>
      <c r="IB72" s="220">
        <f t="shared" ca="1" si="990"/>
        <v>0</v>
      </c>
      <c r="IC72" s="235">
        <f t="shared" ca="1" si="991"/>
        <v>0.31140088024780266</v>
      </c>
      <c r="ID72" s="235">
        <f t="shared" ca="1" si="992"/>
        <v>0.31140088024780266</v>
      </c>
      <c r="IE72" s="242">
        <f t="shared" ca="1" si="993"/>
        <v>0.31140088024780266</v>
      </c>
      <c r="IF72" s="241">
        <f t="shared" ca="1" si="802"/>
        <v>1</v>
      </c>
      <c r="IG72" s="220">
        <f t="shared" ca="1" si="994"/>
        <v>0.96736088455747493</v>
      </c>
      <c r="IH72" s="220">
        <f t="shared" ca="1" si="995"/>
        <v>0</v>
      </c>
      <c r="II72" s="235">
        <f t="shared" ca="1" si="996"/>
        <v>0.30034238811880948</v>
      </c>
      <c r="IJ72" s="235">
        <f t="shared" ca="1" si="997"/>
        <v>0.30034238811880948</v>
      </c>
      <c r="IK72" s="242">
        <f t="shared" ca="1" si="998"/>
        <v>0.30034238811880948</v>
      </c>
      <c r="IL72" s="241">
        <f t="shared" ca="1" si="802"/>
        <v>1</v>
      </c>
      <c r="IM72" s="220">
        <f t="shared" ca="1" si="999"/>
        <v>0.96561963496527148</v>
      </c>
      <c r="IN72" s="220">
        <f t="shared" ca="1" si="1000"/>
        <v>0</v>
      </c>
      <c r="IO72" s="235">
        <f t="shared" ca="1" si="1001"/>
        <v>0.28966354765236296</v>
      </c>
      <c r="IP72" s="235">
        <f t="shared" ca="1" si="1002"/>
        <v>0.28966354765236296</v>
      </c>
      <c r="IQ72" s="242">
        <f t="shared" ca="1" si="1003"/>
        <v>0.28966354765236296</v>
      </c>
      <c r="IR72" s="241">
        <f t="shared" ca="1" si="802"/>
        <v>1</v>
      </c>
      <c r="IS72" s="220">
        <f t="shared" ca="1" si="1004"/>
        <v>0.96382841054241086</v>
      </c>
      <c r="IT72" s="220">
        <f t="shared" ca="1" si="1005"/>
        <v>0</v>
      </c>
      <c r="IU72" s="235">
        <f t="shared" ca="1" si="1006"/>
        <v>0.27934900654248102</v>
      </c>
      <c r="IV72" s="235">
        <f t="shared" ca="1" si="1007"/>
        <v>0.27934900654248102</v>
      </c>
      <c r="IW72" s="242">
        <f t="shared" ca="1" si="1008"/>
        <v>0.27934900654248102</v>
      </c>
      <c r="IX72" s="241">
        <f t="shared" ca="1" si="802"/>
        <v>1</v>
      </c>
      <c r="IY72" s="220">
        <f t="shared" ca="1" si="1009"/>
        <v>0.9619778599941694</v>
      </c>
      <c r="IZ72" s="220">
        <f t="shared" ca="1" si="1010"/>
        <v>0</v>
      </c>
      <c r="JA72" s="235">
        <f t="shared" ca="1" si="1011"/>
        <v>0.26938420913035699</v>
      </c>
      <c r="JB72" s="235">
        <f t="shared" ca="1" si="1012"/>
        <v>0.26938420913035699</v>
      </c>
      <c r="JC72" s="242">
        <f t="shared" ca="1" si="1013"/>
        <v>0.26938420913035699</v>
      </c>
      <c r="JD72" s="241">
        <f t="shared" ca="1" si="796"/>
        <v>1</v>
      </c>
      <c r="JE72" s="220">
        <f t="shared" ca="1" si="1014"/>
        <v>0.96006544800850102</v>
      </c>
      <c r="JF72" s="220">
        <f t="shared" ca="1" si="1015"/>
        <v>0</v>
      </c>
      <c r="JG72" s="235">
        <f t="shared" ca="1" si="1016"/>
        <v>0.25975717229237277</v>
      </c>
      <c r="JH72" s="235">
        <f t="shared" ca="1" si="1017"/>
        <v>0.25975717229237277</v>
      </c>
      <c r="JI72" s="242">
        <f t="shared" ca="1" si="1018"/>
        <v>0.25975717229237277</v>
      </c>
      <c r="JJ72" s="241">
        <f t="shared" ca="1" si="796"/>
        <v>1</v>
      </c>
      <c r="JK72" s="220">
        <f t="shared" ca="1" si="1019"/>
        <v>0.9580877131856036</v>
      </c>
      <c r="JL72" s="220">
        <f t="shared" ca="1" si="1020"/>
        <v>0</v>
      </c>
      <c r="JM72" s="235">
        <f t="shared" ca="1" si="1021"/>
        <v>0.25045610871251262</v>
      </c>
      <c r="JN72" s="235">
        <f t="shared" ca="1" si="1022"/>
        <v>0.25045610871251262</v>
      </c>
      <c r="JO72" s="242">
        <f t="shared" ca="1" si="1023"/>
        <v>0.25045610871251262</v>
      </c>
      <c r="JP72" s="241">
        <f t="shared" ca="1" si="803"/>
        <v>1</v>
      </c>
      <c r="JQ72" s="220">
        <f t="shared" ca="1" si="1024"/>
        <v>0.95603644739167326</v>
      </c>
      <c r="JR72" s="220">
        <f t="shared" ca="1" si="1025"/>
        <v>0</v>
      </c>
      <c r="JS72" s="235">
        <f t="shared" ca="1" si="1026"/>
        <v>0.24146848520169967</v>
      </c>
      <c r="JT72" s="235">
        <f t="shared" ca="1" si="1027"/>
        <v>0.24146848520169967</v>
      </c>
      <c r="JU72" s="242">
        <f t="shared" ca="1" si="1028"/>
        <v>0.24146848520169967</v>
      </c>
      <c r="JV72" s="241">
        <f t="shared" ca="1" si="803"/>
        <v>1</v>
      </c>
      <c r="JW72" s="220">
        <f t="shared" ca="1" si="1029"/>
        <v>0.95389492574951584</v>
      </c>
      <c r="JX72" s="220">
        <f t="shared" ca="1" si="1030"/>
        <v>0</v>
      </c>
      <c r="JY72" s="235">
        <f t="shared" ca="1" si="1031"/>
        <v>0.23278028579212359</v>
      </c>
      <c r="JZ72" s="235">
        <f t="shared" ca="1" si="1032"/>
        <v>0.23278028579212359</v>
      </c>
      <c r="KA72" s="242">
        <f t="shared" ca="1" si="1033"/>
        <v>0.23278028579212359</v>
      </c>
      <c r="KB72" s="241">
        <f t="shared" ca="1" si="803"/>
        <v>1</v>
      </c>
      <c r="KC72" s="220">
        <f t="shared" ca="1" si="1034"/>
        <v>0.95164182593489555</v>
      </c>
      <c r="KD72" s="220">
        <f t="shared" ca="1" si="1035"/>
        <v>0</v>
      </c>
      <c r="KE72" s="235">
        <f t="shared" ca="1" si="1036"/>
        <v>0.22437725483776094</v>
      </c>
      <c r="KF72" s="235">
        <f t="shared" ca="1" si="1037"/>
        <v>0.22437725483776094</v>
      </c>
      <c r="KG72" s="242">
        <f t="shared" ca="1" si="1038"/>
        <v>0.22437725483776094</v>
      </c>
      <c r="KH72" s="241">
        <f t="shared" ca="1" si="803"/>
        <v>1</v>
      </c>
      <c r="KI72" s="220">
        <f t="shared" ca="1" si="1039"/>
        <v>0.94925415659362489</v>
      </c>
      <c r="KJ72" s="220">
        <f t="shared" ca="1" si="1040"/>
        <v>0</v>
      </c>
      <c r="KK72" s="235">
        <f t="shared" ca="1" si="1041"/>
        <v>0.21624569304866956</v>
      </c>
      <c r="KL72" s="235">
        <f t="shared" ca="1" si="1042"/>
        <v>0.21624569304866956</v>
      </c>
      <c r="KM72" s="242">
        <f t="shared" ca="1" si="1043"/>
        <v>0.21624569304866956</v>
      </c>
      <c r="KN72" s="241">
        <f t="shared" ca="1" si="803"/>
        <v>1</v>
      </c>
      <c r="KO72" s="220">
        <f t="shared" ca="1" si="1044"/>
        <v>0.94670635843732753</v>
      </c>
      <c r="KP72" s="220">
        <f t="shared" ca="1" si="1045"/>
        <v>0</v>
      </c>
      <c r="KQ72" s="235">
        <f t="shared" ca="1" si="1046"/>
        <v>0.2083722604913304</v>
      </c>
      <c r="KR72" s="235">
        <f t="shared" ca="1" si="1047"/>
        <v>0.2083722604913304</v>
      </c>
      <c r="KS72" s="242">
        <f t="shared" ca="1" si="1048"/>
        <v>0.2083722604913304</v>
      </c>
      <c r="KT72" s="241">
        <f t="shared" ca="1" si="803"/>
        <v>1</v>
      </c>
      <c r="KU72" s="220">
        <f t="shared" ca="1" si="1049"/>
        <v>0.94397037706144371</v>
      </c>
      <c r="KV72" s="220">
        <f t="shared" ca="1" si="1050"/>
        <v>0</v>
      </c>
      <c r="KW72" s="235">
        <f t="shared" ca="1" si="1051"/>
        <v>0.20074402382464779</v>
      </c>
      <c r="KX72" s="235">
        <f t="shared" ca="1" si="1052"/>
        <v>0.20074402382464779</v>
      </c>
      <c r="KY72" s="242">
        <f t="shared" ca="1" si="1053"/>
        <v>0.20074402382464779</v>
      </c>
      <c r="KZ72" s="241">
        <f t="shared" ca="1" si="803"/>
        <v>1</v>
      </c>
      <c r="LA72" s="220">
        <f t="shared" ca="1" si="1054"/>
        <v>0.94102424551463493</v>
      </c>
      <c r="LB72" s="220">
        <f t="shared" ca="1" si="1055"/>
        <v>0</v>
      </c>
      <c r="LC72" s="235">
        <f t="shared" ca="1" si="1056"/>
        <v>0.19335024321380778</v>
      </c>
      <c r="LD72" s="235">
        <f t="shared" ca="1" si="1057"/>
        <v>0.19335024321380778</v>
      </c>
      <c r="LE72" s="242">
        <f t="shared" ca="1" si="1058"/>
        <v>0.19335024321380778</v>
      </c>
      <c r="LF72" s="241">
        <f t="shared" ca="1" si="803"/>
        <v>1</v>
      </c>
      <c r="LG72" s="220">
        <f t="shared" ca="1" si="1059"/>
        <v>0.93783793741932242</v>
      </c>
      <c r="LH72" s="220">
        <f t="shared" ca="1" si="1060"/>
        <v>0</v>
      </c>
      <c r="LI72" s="235">
        <f t="shared" ca="1" si="1061"/>
        <v>0.18617928433844047</v>
      </c>
      <c r="LJ72" s="235">
        <f t="shared" ca="1" si="1062"/>
        <v>0.18617928433844047</v>
      </c>
      <c r="LK72" s="242">
        <f t="shared" ca="1" si="1063"/>
        <v>0.18617928433844047</v>
      </c>
      <c r="LL72" s="241">
        <f t="shared" ca="1" si="803"/>
        <v>1</v>
      </c>
      <c r="LM72" s="220">
        <f t="shared" ca="1" si="1064"/>
        <v>0.93436137218530901</v>
      </c>
      <c r="LN72" s="220">
        <f t="shared" ca="1" si="1065"/>
        <v>0</v>
      </c>
      <c r="LO72" s="235">
        <f t="shared" ca="1" si="1066"/>
        <v>0.17921653887091585</v>
      </c>
      <c r="LP72" s="235">
        <f t="shared" ca="1" si="1067"/>
        <v>0.17921653887091585</v>
      </c>
      <c r="LQ72" s="242">
        <f t="shared" ca="1" si="1068"/>
        <v>0.17921653887091585</v>
      </c>
      <c r="LR72" s="241">
        <f t="shared" ca="1" si="803"/>
        <v>1</v>
      </c>
      <c r="LS72" s="220">
        <f t="shared" ca="1" si="1069"/>
        <v>0.93053889981169891</v>
      </c>
      <c r="LT72" s="220">
        <f t="shared" ca="1" si="1070"/>
        <v>0</v>
      </c>
      <c r="LU72" s="235">
        <f t="shared" ca="1" si="1071"/>
        <v>0.17244769469603377</v>
      </c>
      <c r="LV72" s="235">
        <f t="shared" ca="1" si="1072"/>
        <v>0.17244769469603377</v>
      </c>
      <c r="LW72" s="242">
        <f t="shared" ca="1" si="1073"/>
        <v>0.17244769469603377</v>
      </c>
      <c r="LX72" s="241">
        <f t="shared" ca="1" si="803"/>
        <v>1</v>
      </c>
      <c r="LY72" s="220">
        <f t="shared" ca="1" si="1074"/>
        <v>0.92632262805665211</v>
      </c>
      <c r="LZ72" s="220">
        <f t="shared" ca="1" si="1075"/>
        <v>0</v>
      </c>
      <c r="MA72" s="235">
        <f t="shared" ca="1" si="1076"/>
        <v>0.16586119245542613</v>
      </c>
      <c r="MB72" s="235">
        <f t="shared" ca="1" si="1077"/>
        <v>0.16586119245542613</v>
      </c>
      <c r="MC72" s="242">
        <f t="shared" ca="1" si="1078"/>
        <v>0.16586119245542613</v>
      </c>
      <c r="MD72" s="241">
        <f t="shared" ca="1" si="797"/>
        <v>1</v>
      </c>
      <c r="ME72" s="220">
        <f t="shared" ca="1" si="1079"/>
        <v>0.92167897272220412</v>
      </c>
      <c r="MF72" s="220">
        <f t="shared" ca="1" si="1080"/>
        <v>0</v>
      </c>
      <c r="MG72" s="235">
        <f t="shared" ca="1" si="1081"/>
        <v>0.15944901478033538</v>
      </c>
      <c r="MH72" s="235">
        <f t="shared" ca="1" si="1082"/>
        <v>0.15944901478033538</v>
      </c>
      <c r="MI72" s="242">
        <f t="shared" ca="1" si="1083"/>
        <v>0.15944901478033538</v>
      </c>
      <c r="MJ72" s="241">
        <f t="shared" ca="1" si="797"/>
        <v>1</v>
      </c>
      <c r="MK72" s="220">
        <f t="shared" ca="1" si="1084"/>
        <v>0.91658761807688671</v>
      </c>
      <c r="ML72" s="220">
        <f t="shared" ca="1" si="1085"/>
        <v>0</v>
      </c>
      <c r="MM72" s="235">
        <f t="shared" ca="1" si="1086"/>
        <v>0.15320600813786359</v>
      </c>
      <c r="MN72" s="235">
        <f t="shared" ca="1" si="1087"/>
        <v>0.15320600813786359</v>
      </c>
      <c r="MO72" s="242">
        <f t="shared" ca="1" si="1088"/>
        <v>0.15320600813786359</v>
      </c>
      <c r="MP72" s="241">
        <f t="shared" ca="1" si="804"/>
        <v>1</v>
      </c>
      <c r="MQ72" s="220">
        <f t="shared" ca="1" si="1089"/>
        <v>0.91103401369895887</v>
      </c>
      <c r="MR72" s="220">
        <f t="shared" ca="1" si="1090"/>
        <v>0</v>
      </c>
      <c r="MS72" s="235">
        <f t="shared" ca="1" si="1091"/>
        <v>0.1471282443812138</v>
      </c>
      <c r="MT72" s="235">
        <f t="shared" ca="1" si="1092"/>
        <v>0.1471282443812138</v>
      </c>
      <c r="MU72" s="242">
        <f t="shared" ca="1" si="1093"/>
        <v>0.1471282443812138</v>
      </c>
      <c r="MV72" s="241">
        <f t="shared" ca="1" si="804"/>
        <v>1</v>
      </c>
      <c r="MW72" s="220">
        <f t="shared" ca="1" si="1094"/>
        <v>0.90501116783439506</v>
      </c>
      <c r="MX72" s="220">
        <f t="shared" ca="1" si="1095"/>
        <v>0</v>
      </c>
      <c r="MY72" s="235">
        <f t="shared" ca="1" si="1096"/>
        <v>0.14121312034551653</v>
      </c>
      <c r="MZ72" s="235">
        <f t="shared" ca="1" si="1097"/>
        <v>0.14121312034551653</v>
      </c>
      <c r="NA72" s="242">
        <f t="shared" ca="1" si="1098"/>
        <v>0.14121312034551653</v>
      </c>
      <c r="NB72" s="241">
        <f t="shared" ca="1" si="804"/>
        <v>1</v>
      </c>
      <c r="NC72" s="220">
        <f t="shared" ca="1" si="1099"/>
        <v>0.89850685257116925</v>
      </c>
      <c r="ND72" s="220">
        <f t="shared" ca="1" si="1100"/>
        <v>0</v>
      </c>
      <c r="NE72" s="235">
        <f t="shared" ca="1" si="1101"/>
        <v>0.13545721898511429</v>
      </c>
      <c r="NF72" s="235">
        <f t="shared" ca="1" si="1102"/>
        <v>0.13545721898511429</v>
      </c>
      <c r="NG72" s="242">
        <f t="shared" ca="1" si="1103"/>
        <v>0.13545721898511429</v>
      </c>
      <c r="NH72" s="241">
        <f t="shared" ca="1" si="804"/>
        <v>1</v>
      </c>
      <c r="NI72" s="220">
        <f t="shared" ca="1" si="1104"/>
        <v>0.89149849912111412</v>
      </c>
      <c r="NJ72" s="220">
        <f t="shared" ca="1" si="1105"/>
        <v>0</v>
      </c>
      <c r="NK72" s="235">
        <f t="shared" ca="1" si="1106"/>
        <v>0.12985570306959462</v>
      </c>
      <c r="NL72" s="235">
        <f t="shared" ca="1" si="1107"/>
        <v>0.12985570306959462</v>
      </c>
      <c r="NM72" s="242">
        <f t="shared" ca="1" si="1108"/>
        <v>0.12985570306959462</v>
      </c>
      <c r="NN72" s="241">
        <f t="shared" ca="1" si="804"/>
        <v>1</v>
      </c>
      <c r="NO72" s="220">
        <f t="shared" ca="1" si="1109"/>
        <v>0.88395998781254592</v>
      </c>
      <c r="NP72" s="220">
        <f t="shared" ca="1" si="1110"/>
        <v>0</v>
      </c>
      <c r="NQ72" s="235">
        <f t="shared" ca="1" si="1111"/>
        <v>0.12440352004293539</v>
      </c>
      <c r="NR72" s="235">
        <f t="shared" ca="1" si="1112"/>
        <v>0.12440352004293539</v>
      </c>
      <c r="NS72" s="242">
        <f t="shared" ca="1" si="1113"/>
        <v>0.12440352004293539</v>
      </c>
      <c r="NT72" s="241">
        <f t="shared" ca="1" si="804"/>
        <v>1</v>
      </c>
      <c r="NU72" s="220">
        <f t="shared" ca="1" si="1114"/>
        <v>0.87587705768398794</v>
      </c>
      <c r="NV72" s="220">
        <f t="shared" ca="1" si="1115"/>
        <v>0</v>
      </c>
      <c r="NW72" s="235">
        <f t="shared" ca="1" si="1116"/>
        <v>0.11909755966730703</v>
      </c>
      <c r="NX72" s="235">
        <f t="shared" ca="1" si="1117"/>
        <v>0.11909755966730703</v>
      </c>
      <c r="NY72" s="242">
        <f t="shared" ca="1" si="1118"/>
        <v>0.11909755966730703</v>
      </c>
      <c r="NZ72" s="241">
        <f t="shared" ca="1" si="804"/>
        <v>1</v>
      </c>
      <c r="OA72" s="220">
        <f t="shared" ca="1" si="1119"/>
        <v>0.86723653050993543</v>
      </c>
      <c r="OB72" s="220">
        <f t="shared" ca="1" si="1120"/>
        <v>0</v>
      </c>
      <c r="OC72" s="235">
        <f t="shared" ca="1" si="1121"/>
        <v>0.11393493936346769</v>
      </c>
      <c r="OD72" s="235">
        <f t="shared" ca="1" si="1122"/>
        <v>0.11393493936346769</v>
      </c>
      <c r="OE72" s="242">
        <f t="shared" ca="1" si="1123"/>
        <v>0.11393493936346769</v>
      </c>
      <c r="OF72" s="241">
        <f t="shared" ca="1" si="804"/>
        <v>1</v>
      </c>
      <c r="OG72" s="220">
        <f t="shared" ca="1" si="1124"/>
        <v>0.85802474408285889</v>
      </c>
      <c r="OH72" s="220">
        <f t="shared" ca="1" si="1125"/>
        <v>0</v>
      </c>
      <c r="OI72" s="235">
        <f t="shared" ca="1" si="1126"/>
        <v>0.10891277530197965</v>
      </c>
      <c r="OJ72" s="235">
        <f t="shared" ca="1" si="1127"/>
        <v>0.10891277530197965</v>
      </c>
      <c r="OK72" s="242">
        <f t="shared" ca="1" si="1128"/>
        <v>0.10891277530197965</v>
      </c>
      <c r="OL72" s="241">
        <f t="shared" ca="1" si="804"/>
        <v>1</v>
      </c>
      <c r="OM72" s="220">
        <f t="shared" ca="1" si="1129"/>
        <v>0.84819349656515752</v>
      </c>
      <c r="ON72" s="220">
        <f t="shared" ca="1" si="1130"/>
        <v>0</v>
      </c>
      <c r="OO72" s="235">
        <f t="shared" ca="1" si="1131"/>
        <v>0.10402401229233778</v>
      </c>
      <c r="OP72" s="235">
        <f t="shared" ca="1" si="1132"/>
        <v>0.10402401229233778</v>
      </c>
      <c r="OQ72" s="242">
        <f t="shared" ca="1" si="1133"/>
        <v>0.10402401229233778</v>
      </c>
      <c r="OR72" s="241">
        <f t="shared" ca="1" si="804"/>
        <v>1</v>
      </c>
      <c r="OS72" s="220">
        <f t="shared" ca="1" si="1134"/>
        <v>0.83771830688257787</v>
      </c>
      <c r="OT72" s="220">
        <f t="shared" ca="1" si="1135"/>
        <v>0</v>
      </c>
      <c r="OU72" s="235">
        <f t="shared" ca="1" si="1136"/>
        <v>9.9265039362828419E-2</v>
      </c>
      <c r="OV72" s="235">
        <f t="shared" ca="1" si="1137"/>
        <v>9.9265039362828419E-2</v>
      </c>
      <c r="OW72" s="242">
        <f t="shared" ca="1" si="1138"/>
        <v>9.9265039362828419E-2</v>
      </c>
      <c r="OX72" s="241">
        <f t="shared" ca="1" si="804"/>
        <v>1</v>
      </c>
      <c r="OY72" s="220">
        <f t="shared" ca="1" si="1139"/>
        <v>0.82663110509098692</v>
      </c>
      <c r="OZ72" s="220">
        <f t="shared" ca="1" si="1140"/>
        <v>0</v>
      </c>
      <c r="PA72" s="235">
        <f t="shared" ca="1" si="1141"/>
        <v>9.4638904895518239E-2</v>
      </c>
      <c r="PB72" s="235">
        <f t="shared" ca="1" si="1142"/>
        <v>9.4638904895518239E-2</v>
      </c>
      <c r="PC72" s="242">
        <f t="shared" ca="1" si="1143"/>
        <v>9.4638904895518239E-2</v>
      </c>
      <c r="PD72" s="241">
        <f t="shared" ca="1" si="798"/>
        <v>1</v>
      </c>
      <c r="PE72" s="220">
        <f t="shared" ca="1" si="1144"/>
        <v>0.81497808640251923</v>
      </c>
      <c r="PF72" s="220">
        <f t="shared" ca="1" si="1145"/>
        <v>0</v>
      </c>
      <c r="PG72" s="235">
        <f t="shared" ca="1" si="1146"/>
        <v>9.0149546138363415E-2</v>
      </c>
      <c r="PH72" s="235">
        <f t="shared" ca="1" si="1147"/>
        <v>9.0149546138363415E-2</v>
      </c>
      <c r="PI72" s="242">
        <f t="shared" ca="1" si="1148"/>
        <v>9.0149546138363415E-2</v>
      </c>
      <c r="PJ72" s="241">
        <f t="shared" ca="1" si="798"/>
        <v>1</v>
      </c>
      <c r="PK72" s="220">
        <f t="shared" ca="1" si="1149"/>
        <v>0.80277052964629592</v>
      </c>
      <c r="PL72" s="220">
        <f t="shared" ca="1" si="1150"/>
        <v>0</v>
      </c>
      <c r="PM72" s="235">
        <f t="shared" ca="1" si="1151"/>
        <v>8.5796324721504238E-2</v>
      </c>
      <c r="PN72" s="235">
        <f t="shared" ca="1" si="1152"/>
        <v>8.5796324721504238E-2</v>
      </c>
      <c r="PO72" s="242">
        <f t="shared" ca="1" si="1153"/>
        <v>8.5796324721504238E-2</v>
      </c>
      <c r="PP72" s="241">
        <f t="shared" ca="1" si="805"/>
        <v>1</v>
      </c>
      <c r="PQ72" s="220">
        <f t="shared" ca="1" si="1154"/>
        <v>0.78995269259943357</v>
      </c>
      <c r="PR72" s="220">
        <f t="shared" ca="1" si="1155"/>
        <v>0</v>
      </c>
      <c r="PS72" s="235">
        <f t="shared" ca="1" si="1156"/>
        <v>8.1571415270218356E-2</v>
      </c>
      <c r="PT72" s="235">
        <f t="shared" ca="1" si="1157"/>
        <v>8.1571415270218356E-2</v>
      </c>
      <c r="PU72" s="242">
        <f t="shared" ca="1" si="1158"/>
        <v>8.1571415270218356E-2</v>
      </c>
      <c r="PV72" s="241">
        <f t="shared" ca="1" si="805"/>
        <v>1</v>
      </c>
      <c r="PW72" s="220">
        <f t="shared" ca="1" si="1159"/>
        <v>0.77643739198174988</v>
      </c>
      <c r="PX72" s="220">
        <f t="shared" ca="1" si="1160"/>
        <v>0</v>
      </c>
      <c r="PY72" s="235">
        <f t="shared" ca="1" si="1161"/>
        <v>7.7464550653488104E-2</v>
      </c>
      <c r="PZ72" s="235">
        <f t="shared" ca="1" si="1162"/>
        <v>7.7464550653488104E-2</v>
      </c>
      <c r="QA72" s="242">
        <f t="shared" ca="1" si="1163"/>
        <v>7.7464550653488104E-2</v>
      </c>
      <c r="QB72" s="241">
        <f t="shared" ca="1" si="805"/>
        <v>1</v>
      </c>
      <c r="QC72" s="220">
        <f t="shared" ca="1" si="1164"/>
        <v>0.76215715546842155</v>
      </c>
      <c r="QD72" s="220">
        <f t="shared" ca="1" si="1165"/>
        <v>0</v>
      </c>
      <c r="QE72" s="235">
        <f t="shared" ca="1" si="1166"/>
        <v>7.3468427669438799E-2</v>
      </c>
      <c r="QF72" s="235">
        <f t="shared" ca="1" si="1167"/>
        <v>7.3468427669438799E-2</v>
      </c>
      <c r="QG72" s="242">
        <f t="shared" ca="1" si="1168"/>
        <v>7.3468427669438799E-2</v>
      </c>
      <c r="QH72" s="241">
        <f t="shared" ca="1" si="805"/>
        <v>1</v>
      </c>
      <c r="QI72" s="220">
        <f t="shared" ca="1" si="1169"/>
        <v>0.74703900613254992</v>
      </c>
      <c r="QJ72" s="220">
        <f t="shared" ca="1" si="1170"/>
        <v>0</v>
      </c>
      <c r="QK72" s="235">
        <f t="shared" ca="1" si="1171"/>
        <v>6.9575949698732195E-2</v>
      </c>
      <c r="QL72" s="235">
        <f t="shared" ca="1" si="1172"/>
        <v>6.9575949698732195E-2</v>
      </c>
      <c r="QM72" s="242">
        <f t="shared" ca="1" si="1173"/>
        <v>6.9575949698732195E-2</v>
      </c>
      <c r="QN72" s="241">
        <f t="shared" ca="1" si="805"/>
        <v>1</v>
      </c>
      <c r="QO72" s="220">
        <f t="shared" ca="1" si="1174"/>
        <v>0.73100381386591473</v>
      </c>
      <c r="QP72" s="220">
        <f t="shared" ca="1" si="1175"/>
        <v>0</v>
      </c>
      <c r="QQ72" s="235">
        <f t="shared" ca="1" si="1176"/>
        <v>6.5780195109612458E-2</v>
      </c>
      <c r="QR72" s="235">
        <f t="shared" ca="1" si="1177"/>
        <v>6.5780195109612458E-2</v>
      </c>
      <c r="QS72" s="242">
        <f t="shared" ca="1" si="1178"/>
        <v>6.5780195109612458E-2</v>
      </c>
      <c r="QT72" s="241">
        <f t="shared" ca="1" si="805"/>
        <v>1</v>
      </c>
      <c r="QU72" s="220">
        <f t="shared" ca="1" si="1179"/>
        <v>0.71393414380833176</v>
      </c>
      <c r="QV72" s="220">
        <f t="shared" ca="1" si="1180"/>
        <v>0</v>
      </c>
      <c r="QW72" s="235">
        <f t="shared" ca="1" si="1181"/>
        <v>6.2071653887543876E-2</v>
      </c>
      <c r="QX72" s="235">
        <f t="shared" ca="1" si="1182"/>
        <v>6.2071653887543876E-2</v>
      </c>
      <c r="QY72" s="242">
        <f t="shared" ca="1" si="1183"/>
        <v>6.2071653887543876E-2</v>
      </c>
      <c r="QZ72" s="241">
        <f t="shared" ca="1" si="805"/>
        <v>1</v>
      </c>
      <c r="RA72" s="220">
        <f t="shared" ca="1" si="1184"/>
        <v>0.69574167395580788</v>
      </c>
      <c r="RB72" s="220">
        <f t="shared" ca="1" si="1185"/>
        <v>0</v>
      </c>
      <c r="RC72" s="235">
        <f t="shared" ca="1" si="1186"/>
        <v>5.8444390341238162E-2</v>
      </c>
      <c r="RD72" s="235">
        <f t="shared" ca="1" si="1187"/>
        <v>5.8444390341238162E-2</v>
      </c>
      <c r="RE72" s="242">
        <f t="shared" ca="1" si="1188"/>
        <v>5.8444390341238162E-2</v>
      </c>
      <c r="RF72" s="241">
        <f t="shared" ca="1" si="805"/>
        <v>1</v>
      </c>
      <c r="RG72" s="220">
        <f t="shared" ca="1" si="1189"/>
        <v>0.67640422986988014</v>
      </c>
      <c r="RH72" s="220">
        <f t="shared" ca="1" si="1190"/>
        <v>0</v>
      </c>
      <c r="RI72" s="235">
        <f t="shared" ca="1" si="1191"/>
        <v>5.4898538121829751E-2</v>
      </c>
      <c r="RJ72" s="235">
        <f t="shared" ca="1" si="1192"/>
        <v>5.4898538121829751E-2</v>
      </c>
      <c r="RK72" s="242">
        <f t="shared" ca="1" si="1193"/>
        <v>5.4898538121829751E-2</v>
      </c>
      <c r="RL72" s="241">
        <f t="shared" ca="1" si="805"/>
        <v>1</v>
      </c>
      <c r="RM72" s="220">
        <f t="shared" ca="1" si="1194"/>
        <v>0.65592135698096043</v>
      </c>
      <c r="RN72" s="220">
        <f t="shared" ca="1" si="1195"/>
        <v>0</v>
      </c>
      <c r="RO72" s="235">
        <f t="shared" ca="1" si="1196"/>
        <v>5.1435845981086484E-2</v>
      </c>
      <c r="RP72" s="235">
        <f t="shared" ca="1" si="1197"/>
        <v>5.1435845981086484E-2</v>
      </c>
      <c r="RQ72" s="242">
        <f t="shared" ca="1" si="1198"/>
        <v>5.1435845981086484E-2</v>
      </c>
      <c r="RR72" s="241">
        <f t="shared" ca="1" si="805"/>
        <v>1</v>
      </c>
      <c r="RS72" s="220">
        <f t="shared" ca="1" si="1199"/>
        <v>0.63426152193073515</v>
      </c>
      <c r="RT72" s="220">
        <f t="shared" ca="1" si="1200"/>
        <v>0</v>
      </c>
      <c r="RU72" s="235">
        <f t="shared" ca="1" si="1201"/>
        <v>4.8055392729564286E-2</v>
      </c>
      <c r="RV72" s="235">
        <f t="shared" ca="1" si="1202"/>
        <v>4.8055392729564286E-2</v>
      </c>
      <c r="RW72" s="242">
        <f t="shared" ca="1" si="1203"/>
        <v>4.8055392729564286E-2</v>
      </c>
      <c r="RX72" s="241">
        <f t="shared" ca="1" si="805"/>
        <v>1</v>
      </c>
      <c r="RY72" s="220">
        <f t="shared" ca="1" si="1204"/>
        <v>0.61130062057532053</v>
      </c>
      <c r="RZ72" s="220">
        <f t="shared" ca="1" si="1205"/>
        <v>0</v>
      </c>
      <c r="SA72" s="235">
        <f t="shared" ca="1" si="1206"/>
        <v>4.4749506722088245E-2</v>
      </c>
      <c r="SB72" s="235">
        <f t="shared" ca="1" si="1207"/>
        <v>4.4749506722088245E-2</v>
      </c>
      <c r="SC72" s="242">
        <f t="shared" ca="1" si="1208"/>
        <v>4.4749506722088245E-2</v>
      </c>
      <c r="SD72" s="241">
        <f t="shared" ca="1" si="799"/>
        <v>1</v>
      </c>
      <c r="SE72" s="220">
        <f t="shared" ca="1" si="1209"/>
        <v>0.58693540044042947</v>
      </c>
      <c r="SF72" s="220">
        <f t="shared" ca="1" si="1210"/>
        <v>0</v>
      </c>
      <c r="SG72" s="235">
        <f t="shared" ca="1" si="1211"/>
        <v>4.1512928389525854E-2</v>
      </c>
      <c r="SH72" s="235">
        <f t="shared" ca="1" si="1212"/>
        <v>4.1512928389525854E-2</v>
      </c>
      <c r="SI72" s="242">
        <f t="shared" ca="1" si="1213"/>
        <v>4.1512928389525854E-2</v>
      </c>
      <c r="SJ72" s="241">
        <f t="shared" ca="1" si="799"/>
        <v>1</v>
      </c>
      <c r="SK72" s="220">
        <f t="shared" ca="1" si="1214"/>
        <v>0.56117421877969853</v>
      </c>
      <c r="SL72" s="220">
        <f t="shared" ca="1" si="1215"/>
        <v>0</v>
      </c>
      <c r="SM72" s="235">
        <f t="shared" ca="1" si="1216"/>
        <v>3.8348680627614658E-2</v>
      </c>
      <c r="SN72" s="235">
        <f t="shared" ca="1" si="1217"/>
        <v>3.8348680627614658E-2</v>
      </c>
      <c r="SO72" s="242">
        <f t="shared" ca="1" si="1218"/>
        <v>3.8348680627614658E-2</v>
      </c>
      <c r="SP72" s="241">
        <f t="shared" ca="1" si="808"/>
        <v>1</v>
      </c>
      <c r="SQ72" s="220">
        <f t="shared" ca="1" si="1219"/>
        <v>0.5340633310962325</v>
      </c>
      <c r="SR72" s="220">
        <f t="shared" ca="1" si="1220"/>
        <v>0</v>
      </c>
      <c r="SS72" s="235">
        <f t="shared" ca="1" si="1221"/>
        <v>3.5261852674216394E-2</v>
      </c>
      <c r="ST72" s="235">
        <f t="shared" ca="1" si="1222"/>
        <v>3.5261852674216394E-2</v>
      </c>
      <c r="SU72" s="242">
        <f t="shared" ca="1" si="1223"/>
        <v>3.5261852674216394E-2</v>
      </c>
      <c r="SV72" s="241">
        <f t="shared" ca="1" si="808"/>
        <v>1</v>
      </c>
      <c r="SW72" s="220">
        <f t="shared" ca="1" si="1224"/>
        <v>0.50563620810864218</v>
      </c>
      <c r="SX72" s="220">
        <f t="shared" ca="1" si="1225"/>
        <v>0</v>
      </c>
      <c r="SY72" s="235">
        <f t="shared" ca="1" si="1226"/>
        <v>3.2255975632920972E-2</v>
      </c>
      <c r="SZ72" s="235">
        <f t="shared" ca="1" si="1227"/>
        <v>3.2255975632920972E-2</v>
      </c>
      <c r="TA72" s="242">
        <f t="shared" ca="1" si="1228"/>
        <v>3.2255975632920972E-2</v>
      </c>
      <c r="TB72" s="241">
        <f t="shared" ca="1" si="808"/>
        <v>1</v>
      </c>
      <c r="TC72" s="220">
        <f t="shared" ca="1" si="1229"/>
        <v>0.47585575235966748</v>
      </c>
      <c r="TD72" s="220">
        <f t="shared" ca="1" si="1230"/>
        <v>0</v>
      </c>
      <c r="TE72" s="235">
        <f t="shared" ca="1" si="1231"/>
        <v>2.9329657426153458E-2</v>
      </c>
      <c r="TF72" s="235">
        <f t="shared" ca="1" si="1232"/>
        <v>2.9329657426153458E-2</v>
      </c>
      <c r="TG72" s="242">
        <f t="shared" ca="1" si="1233"/>
        <v>2.9329657426153458E-2</v>
      </c>
      <c r="TH72" s="241">
        <f t="shared" ca="1" si="808"/>
        <v>1</v>
      </c>
      <c r="TI72" s="220">
        <f t="shared" ca="1" si="1234"/>
        <v>0.4447514411066778</v>
      </c>
      <c r="TJ72" s="220">
        <f t="shared" ca="1" si="1235"/>
        <v>0</v>
      </c>
      <c r="TK72" s="235">
        <f t="shared" ca="1" si="1236"/>
        <v>2.6485530790814431E-2</v>
      </c>
      <c r="TL72" s="235">
        <f t="shared" ca="1" si="1237"/>
        <v>2.6485530790814431E-2</v>
      </c>
      <c r="TM72" s="242">
        <f t="shared" ca="1" si="1238"/>
        <v>2.6485530790814431E-2</v>
      </c>
      <c r="TN72" s="241">
        <f t="shared" ca="1" si="808"/>
        <v>1</v>
      </c>
      <c r="TO72" s="220">
        <f t="shared" ca="1" si="1239"/>
        <v>0.41251096438941365</v>
      </c>
      <c r="TP72" s="220">
        <f t="shared" ca="1" si="1240"/>
        <v>0</v>
      </c>
      <c r="TQ72" s="235">
        <f t="shared" ca="1" si="1241"/>
        <v>2.3734848481408222E-2</v>
      </c>
      <c r="TR72" s="235">
        <f t="shared" ca="1" si="1242"/>
        <v>2.3734848481408222E-2</v>
      </c>
      <c r="TS72" s="242">
        <f t="shared" ca="1" si="1243"/>
        <v>2.3734848481408222E-2</v>
      </c>
      <c r="TT72" s="241">
        <f t="shared" ca="1" si="808"/>
        <v>1</v>
      </c>
      <c r="TU72" s="220">
        <f t="shared" ca="1" si="1244"/>
        <v>0.37939128408051637</v>
      </c>
      <c r="TV72" s="220">
        <f t="shared" ca="1" si="1245"/>
        <v>0</v>
      </c>
      <c r="TW72" s="235">
        <f t="shared" ca="1" si="1246"/>
        <v>2.1091038615007652E-2</v>
      </c>
      <c r="TX72" s="235">
        <f t="shared" ca="1" si="1247"/>
        <v>2.1091038615007652E-2</v>
      </c>
      <c r="TY72" s="242">
        <f t="shared" ca="1" si="1248"/>
        <v>2.1091038615007652E-2</v>
      </c>
      <c r="TZ72" s="241">
        <f t="shared" ca="1" si="808"/>
        <v>1</v>
      </c>
      <c r="UA72" s="220">
        <f t="shared" ca="1" si="1249"/>
        <v>0.34565732866521315</v>
      </c>
      <c r="UB72" s="220">
        <f t="shared" ca="1" si="1250"/>
        <v>0</v>
      </c>
      <c r="UC72" s="235">
        <f t="shared" ca="1" si="1251"/>
        <v>1.8565901280691431E-2</v>
      </c>
      <c r="UD72" s="235">
        <f t="shared" ca="1" si="1252"/>
        <v>1.8565901280691431E-2</v>
      </c>
      <c r="UE72" s="242">
        <f t="shared" ca="1" si="1253"/>
        <v>1.8565901280691431E-2</v>
      </c>
      <c r="UF72" s="241">
        <f t="shared" ca="1" si="808"/>
        <v>1</v>
      </c>
      <c r="UG72" s="220">
        <f t="shared" ca="1" si="1254"/>
        <v>0.31158381183471112</v>
      </c>
      <c r="UH72" s="220">
        <f t="shared" ca="1" si="1255"/>
        <v>0</v>
      </c>
      <c r="UI72" s="235">
        <f t="shared" ca="1" si="1256"/>
        <v>1.6169805793281151E-2</v>
      </c>
      <c r="UJ72" s="235">
        <f t="shared" ca="1" si="1257"/>
        <v>1.6169805793281151E-2</v>
      </c>
      <c r="UK72" s="242">
        <f t="shared" ca="1" si="1258"/>
        <v>1.6169805793281151E-2</v>
      </c>
      <c r="UL72" s="241">
        <f t="shared" ca="1" si="808"/>
        <v>1</v>
      </c>
      <c r="UM72" s="220">
        <f t="shared" ca="1" si="1259"/>
        <v>0.27748470263514402</v>
      </c>
      <c r="UN72" s="220">
        <f t="shared" ca="1" si="1260"/>
        <v>0</v>
      </c>
      <c r="UO72" s="235">
        <f t="shared" ca="1" si="1261"/>
        <v>1.3913250808575896E-2</v>
      </c>
      <c r="UP72" s="235">
        <f t="shared" ca="1" si="1262"/>
        <v>1.3913250808575896E-2</v>
      </c>
      <c r="UQ72" s="242">
        <f t="shared" ca="1" si="1263"/>
        <v>1.3913250808575896E-2</v>
      </c>
      <c r="UR72" s="241">
        <f t="shared" ca="1" si="808"/>
        <v>1</v>
      </c>
      <c r="US72" s="220">
        <f t="shared" ca="1" si="1264"/>
        <v>0.24373729058536042</v>
      </c>
      <c r="UT72" s="220">
        <f t="shared" ca="1" si="1265"/>
        <v>0</v>
      </c>
      <c r="UU72" s="235">
        <f t="shared" ca="1" si="1266"/>
        <v>1.1807860056509861E-2</v>
      </c>
      <c r="UV72" s="235">
        <f t="shared" ca="1" si="1267"/>
        <v>1.1807860056509861E-2</v>
      </c>
      <c r="UW72" s="242">
        <f t="shared" ca="1" si="1268"/>
        <v>1.1807860056509861E-2</v>
      </c>
      <c r="UX72" s="241">
        <f t="shared" ca="1" si="808"/>
        <v>1</v>
      </c>
      <c r="UY72" s="220">
        <f t="shared" ca="1" si="1269"/>
        <v>0.21078985859319374</v>
      </c>
      <c r="UZ72" s="220">
        <f t="shared" ca="1" si="1270"/>
        <v>0</v>
      </c>
      <c r="VA72" s="235">
        <f t="shared" ca="1" si="1271"/>
        <v>9.866396874889936E-3</v>
      </c>
      <c r="VB72" s="235">
        <f t="shared" ca="1" si="1272"/>
        <v>9.866396874889936E-3</v>
      </c>
      <c r="VC72" s="242">
        <f t="shared" ca="1" si="1273"/>
        <v>9.866396874889936E-3</v>
      </c>
      <c r="VD72" s="241">
        <f t="shared" ca="1" si="806"/>
        <v>1</v>
      </c>
      <c r="VE72" s="220">
        <f t="shared" ca="1" si="1274"/>
        <v>0.17914840370962801</v>
      </c>
      <c r="VF72" s="220">
        <f t="shared" ca="1" si="1275"/>
        <v>0</v>
      </c>
      <c r="VG72" s="235">
        <f t="shared" ca="1" si="1276"/>
        <v>8.1017989433788233E-3</v>
      </c>
      <c r="VH72" s="235">
        <f t="shared" ca="1" si="1277"/>
        <v>8.1017989433788233E-3</v>
      </c>
      <c r="VI72" s="242">
        <f t="shared" ca="1" si="1278"/>
        <v>8.1017989433788233E-3</v>
      </c>
      <c r="VJ72" s="241">
        <f t="shared" ca="1" si="806"/>
        <v>1</v>
      </c>
      <c r="VK72" s="220">
        <f t="shared" ca="1" si="1279"/>
        <v>0.14933864677755704</v>
      </c>
      <c r="VL72" s="220">
        <f t="shared" ca="1" si="1280"/>
        <v>0</v>
      </c>
      <c r="VM72" s="235">
        <f t="shared" ca="1" si="1281"/>
        <v>6.5252984585482295E-3</v>
      </c>
      <c r="VN72" s="235">
        <f t="shared" ca="1" si="1282"/>
        <v>6.5252984585482295E-3</v>
      </c>
      <c r="VO72" s="242">
        <f t="shared" ca="1" si="1283"/>
        <v>6.5252984585482295E-3</v>
      </c>
      <c r="VP72" s="241">
        <f t="shared" ca="1" si="567"/>
        <v>1</v>
      </c>
      <c r="VQ72" s="220">
        <f t="shared" ca="1" si="1284"/>
        <v>0.12186078378642688</v>
      </c>
      <c r="VR72" s="220">
        <f t="shared" ca="1" si="1285"/>
        <v>0</v>
      </c>
      <c r="VS72" s="235">
        <f t="shared" ca="1" si="1286"/>
        <v>5.1446020464451514E-3</v>
      </c>
      <c r="VT72" s="235">
        <f t="shared" ca="1" si="1287"/>
        <v>5.1446020464451514E-3</v>
      </c>
      <c r="VU72" s="242">
        <f t="shared" ca="1" si="1288"/>
        <v>5.1446020464451514E-3</v>
      </c>
      <c r="VV72" s="241">
        <f t="shared" ca="1" si="578"/>
        <v>1</v>
      </c>
      <c r="VW72" s="220">
        <f t="shared" ca="1" si="1289"/>
        <v>9.714071449143126E-2</v>
      </c>
      <c r="VX72" s="220">
        <f t="shared" ca="1" si="1290"/>
        <v>0</v>
      </c>
      <c r="VY72" s="235">
        <f t="shared" ca="1" si="1291"/>
        <v>3.9623128486120972E-3</v>
      </c>
      <c r="VZ72" s="235">
        <f t="shared" ca="1" si="1292"/>
        <v>3.9623128486120972E-3</v>
      </c>
      <c r="WA72" s="242">
        <f t="shared" ca="1" si="1293"/>
        <v>3.9623128486120972E-3</v>
      </c>
      <c r="WB72" s="241">
        <f t="shared" ca="1" si="578"/>
        <v>1</v>
      </c>
      <c r="WC72" s="220">
        <f t="shared" ca="1" si="1294"/>
        <v>7.5486980683431834E-2</v>
      </c>
      <c r="WD72" s="220">
        <f t="shared" ca="1" si="1295"/>
        <v>0</v>
      </c>
      <c r="WE72" s="235">
        <f t="shared" ca="1" si="1296"/>
        <v>2.9749465982754843E-3</v>
      </c>
      <c r="WF72" s="235">
        <f t="shared" ca="1" si="1297"/>
        <v>2.9749465982754843E-3</v>
      </c>
      <c r="WG72" s="242">
        <f t="shared" ca="1" si="1298"/>
        <v>2.9749465982754843E-3</v>
      </c>
      <c r="WH72" s="241">
        <f t="shared" ca="1" si="578"/>
        <v>1</v>
      </c>
      <c r="WI72" s="220">
        <f t="shared" ca="1" si="1299"/>
        <v>5.7061061620490225E-2</v>
      </c>
      <c r="WJ72" s="220">
        <f t="shared" ca="1" si="1300"/>
        <v>0</v>
      </c>
      <c r="WK72" s="235">
        <f t="shared" ca="1" si="1301"/>
        <v>2.1727342833971291E-3</v>
      </c>
      <c r="WL72" s="235">
        <f t="shared" ca="1" si="1302"/>
        <v>2.1727342833971291E-3</v>
      </c>
      <c r="WM72" s="242">
        <f t="shared" ca="1" si="1303"/>
        <v>2.1727342833971291E-3</v>
      </c>
      <c r="WN72" s="241">
        <f t="shared" ca="1" si="578"/>
        <v>1</v>
      </c>
      <c r="WO72" s="220">
        <f t="shared" ca="1" si="1304"/>
        <v>4.1934687734452851E-2</v>
      </c>
      <c r="WP72" s="220">
        <f t="shared" ca="1" si="1305"/>
        <v>0</v>
      </c>
      <c r="WQ72" s="235">
        <f t="shared" ca="1" si="1306"/>
        <v>1.5427651975624165E-3</v>
      </c>
      <c r="WR72" s="235">
        <f t="shared" ca="1" si="1307"/>
        <v>1.5427651975624165E-3</v>
      </c>
      <c r="WS72" s="242">
        <f t="shared" ca="1" si="1308"/>
        <v>1.5427651975624165E-3</v>
      </c>
      <c r="WT72" s="241">
        <f t="shared" ca="1" si="578"/>
        <v>1</v>
      </c>
      <c r="WU72" s="220">
        <f t="shared" ca="1" si="1309"/>
        <v>2.9961998908764689E-2</v>
      </c>
      <c r="WV72" s="220">
        <f t="shared" ca="1" si="1310"/>
        <v>0</v>
      </c>
      <c r="WW72" s="235">
        <f t="shared" ca="1" si="1311"/>
        <v>1.0650177696007403E-3</v>
      </c>
      <c r="WX72" s="235">
        <f t="shared" ca="1" si="1312"/>
        <v>1.0650177696007403E-3</v>
      </c>
      <c r="WY72" s="242">
        <f t="shared" ca="1" si="1313"/>
        <v>1.0650177696007403E-3</v>
      </c>
      <c r="WZ72" s="241">
        <f t="shared" ca="1" si="578"/>
        <v>1</v>
      </c>
      <c r="XA72" s="220">
        <f t="shared" ca="1" si="1314"/>
        <v>2.0825806429510707E-2</v>
      </c>
      <c r="XB72" s="220">
        <f t="shared" ca="1" si="1315"/>
        <v>0</v>
      </c>
      <c r="XC72" s="235">
        <f t="shared" ca="1" si="1316"/>
        <v>7.1523300597822715E-4</v>
      </c>
      <c r="XD72" s="235">
        <f t="shared" ca="1" si="1317"/>
        <v>7.1523300597822715E-4</v>
      </c>
      <c r="XE72" s="242">
        <f t="shared" ca="1" si="1318"/>
        <v>7.1523300597822715E-4</v>
      </c>
      <c r="XF72" s="241">
        <f t="shared" ca="1" si="578"/>
        <v>1</v>
      </c>
      <c r="XG72" s="220">
        <f t="shared" ca="1" si="1319"/>
        <v>1.410075784309954E-2</v>
      </c>
      <c r="XH72" s="220">
        <f t="shared" ca="1" si="1320"/>
        <v>0</v>
      </c>
      <c r="XI72" s="235">
        <f t="shared" ca="1" si="1321"/>
        <v>4.6789437576883483E-4</v>
      </c>
      <c r="XJ72" s="235">
        <f t="shared" ca="1" si="1322"/>
        <v>4.6789437576883483E-4</v>
      </c>
      <c r="XK72" s="242">
        <f t="shared" ca="1" si="1323"/>
        <v>4.6789437576883483E-4</v>
      </c>
    </row>
    <row r="73" spans="2:635" x14ac:dyDescent="0.25">
      <c r="B73" s="65">
        <f t="shared" ca="1" si="810"/>
        <v>2088</v>
      </c>
      <c r="C73" s="65" t="s">
        <v>741</v>
      </c>
      <c r="D73" s="77">
        <f t="shared" si="811"/>
        <v>0</v>
      </c>
      <c r="E73" s="77">
        <f t="shared" si="812"/>
        <v>0</v>
      </c>
      <c r="F73" s="77" t="b">
        <f t="shared" si="813"/>
        <v>0</v>
      </c>
      <c r="G73" s="77" t="b">
        <f t="shared" si="814"/>
        <v>0</v>
      </c>
      <c r="H73" s="15" t="e">
        <f t="shared" ca="1" si="815"/>
        <v>#REF!</v>
      </c>
      <c r="L73" s="326">
        <f t="shared" ca="1" si="816"/>
        <v>3.5000000000000003E-2</v>
      </c>
      <c r="M73" s="327">
        <f t="shared" ca="1" si="817"/>
        <v>3.5000000000000003E-2</v>
      </c>
      <c r="N73" s="322">
        <f t="shared" ca="1" si="809"/>
        <v>-65</v>
      </c>
      <c r="O73" s="322">
        <f t="shared" ca="1" si="818"/>
        <v>0</v>
      </c>
      <c r="P73" s="328">
        <f t="shared" ca="1" si="1324"/>
        <v>26.87829936156087</v>
      </c>
      <c r="Q73" s="328">
        <f t="shared" ca="1" si="1325"/>
        <v>26.87829936156087</v>
      </c>
      <c r="R73" s="328">
        <f t="shared" ca="1" si="1326"/>
        <v>26.87829936156087</v>
      </c>
      <c r="S73" s="329">
        <f t="shared" ca="1" si="819"/>
        <v>3.8642415640549425E-2</v>
      </c>
      <c r="T73" s="329">
        <f t="shared" ca="1" si="820"/>
        <v>3.8642415640549425E-2</v>
      </c>
      <c r="U73" s="329">
        <f t="shared" ca="1" si="821"/>
        <v>3.8642415640549425E-2</v>
      </c>
      <c r="V73" s="320" t="e">
        <f t="shared" ca="1" si="822"/>
        <v>#REF!</v>
      </c>
      <c r="W73" s="320" t="e">
        <f t="shared" ca="1" si="560"/>
        <v>#REF!</v>
      </c>
      <c r="X73" s="320" t="e">
        <f t="shared" ca="1" si="823"/>
        <v>#REF!</v>
      </c>
      <c r="Y73" s="320" t="e">
        <f ca="1">INDEX(SC_ZA_HECMLumpSum,ZAIDX)</f>
        <v>#REF!</v>
      </c>
      <c r="Z73" s="320" t="e">
        <f t="shared" ca="1" si="824"/>
        <v>#REF!</v>
      </c>
      <c r="AA73" s="320" t="e">
        <f t="shared" ca="1" si="557"/>
        <v>#REF!</v>
      </c>
      <c r="AB73" s="320" t="e">
        <f t="shared" ca="1" si="558"/>
        <v>#REF!</v>
      </c>
      <c r="AC73" s="330" t="e">
        <f t="shared" ca="1" si="559"/>
        <v>#REF!</v>
      </c>
      <c r="AD73" s="236" t="e">
        <f t="shared" ca="1" si="1327"/>
        <v>#REF!</v>
      </c>
      <c r="AE73" s="320" t="e">
        <f t="shared" ca="1" si="561"/>
        <v>#REF!</v>
      </c>
      <c r="AF73" s="320" t="e">
        <f t="shared" ca="1" si="825"/>
        <v>#REF!</v>
      </c>
      <c r="AG73" s="320" t="e">
        <f t="shared" ca="1" si="1328"/>
        <v>#REF!</v>
      </c>
      <c r="AH73" s="284" t="e">
        <f t="shared" ca="1" si="1329"/>
        <v>#REF!</v>
      </c>
      <c r="AI73" s="318" t="e">
        <f t="shared" ca="1" si="1330"/>
        <v>#REF!</v>
      </c>
      <c r="AJ73" s="331">
        <f t="shared" ca="1" si="807"/>
        <v>1</v>
      </c>
      <c r="AK73" s="220">
        <f t="shared" ca="1" si="826"/>
        <v>1</v>
      </c>
      <c r="AL73" s="220">
        <f t="shared" ca="1" si="827"/>
        <v>0</v>
      </c>
      <c r="AM73" s="235">
        <f t="shared" ca="1" si="1331"/>
        <v>1</v>
      </c>
      <c r="AN73" s="235">
        <f t="shared" ca="1" si="1332"/>
        <v>1</v>
      </c>
      <c r="AO73" s="242">
        <f t="shared" ca="1" si="1333"/>
        <v>1</v>
      </c>
      <c r="AP73" s="241">
        <f t="shared" ca="1" si="807"/>
        <v>1</v>
      </c>
      <c r="AQ73" s="220">
        <f t="shared" ca="1" si="828"/>
        <v>0.99361699999999997</v>
      </c>
      <c r="AR73" s="220">
        <f t="shared" ca="1" si="829"/>
        <v>0</v>
      </c>
      <c r="AS73" s="235">
        <f t="shared" ca="1" si="830"/>
        <v>0.96001642512077301</v>
      </c>
      <c r="AT73" s="235">
        <f t="shared" ca="1" si="831"/>
        <v>0.96001642512077301</v>
      </c>
      <c r="AU73" s="242">
        <f t="shared" ca="1" si="832"/>
        <v>0.96001642512077301</v>
      </c>
      <c r="AV73" s="241">
        <f t="shared" ca="1" si="807"/>
        <v>1</v>
      </c>
      <c r="AW73" s="220">
        <f t="shared" ca="1" si="833"/>
        <v>0.99316689149899995</v>
      </c>
      <c r="AX73" s="220">
        <f t="shared" ca="1" si="834"/>
        <v>0</v>
      </c>
      <c r="AY73" s="235">
        <f t="shared" ca="1" si="835"/>
        <v>0.92713192046395487</v>
      </c>
      <c r="AZ73" s="235">
        <f t="shared" ca="1" si="836"/>
        <v>0.92713192046395487</v>
      </c>
      <c r="BA73" s="242">
        <f t="shared" ca="1" si="837"/>
        <v>0.92713192046395487</v>
      </c>
      <c r="BB73" s="241">
        <f t="shared" ca="1" si="807"/>
        <v>1</v>
      </c>
      <c r="BC73" s="220">
        <f t="shared" ca="1" si="838"/>
        <v>0.99288681843559723</v>
      </c>
      <c r="BD73" s="220">
        <f t="shared" ca="1" si="839"/>
        <v>0</v>
      </c>
      <c r="BE73" s="235">
        <f t="shared" ca="1" si="840"/>
        <v>0.89552702344191704</v>
      </c>
      <c r="BF73" s="235">
        <f t="shared" ca="1" si="841"/>
        <v>0.89552702344191704</v>
      </c>
      <c r="BG73" s="242">
        <f t="shared" ca="1" si="842"/>
        <v>0.89552702344191704</v>
      </c>
      <c r="BH73" s="241">
        <f t="shared" ca="1" si="807"/>
        <v>1</v>
      </c>
      <c r="BI73" s="220">
        <f t="shared" ca="1" si="843"/>
        <v>0.99265845446735712</v>
      </c>
      <c r="BJ73" s="220">
        <f t="shared" ca="1" si="844"/>
        <v>0</v>
      </c>
      <c r="BK73" s="235">
        <f t="shared" ca="1" si="845"/>
        <v>0.86504449490485558</v>
      </c>
      <c r="BL73" s="235">
        <f t="shared" ca="1" si="846"/>
        <v>0.86504449490485558</v>
      </c>
      <c r="BM73" s="242">
        <f t="shared" ca="1" si="847"/>
        <v>0.86504449490485558</v>
      </c>
      <c r="BN73" s="241">
        <f t="shared" ca="1" si="807"/>
        <v>1</v>
      </c>
      <c r="BO73" s="220">
        <f t="shared" ca="1" si="848"/>
        <v>0.99249069518855215</v>
      </c>
      <c r="BP73" s="220">
        <f t="shared" ca="1" si="849"/>
        <v>0</v>
      </c>
      <c r="BQ73" s="235">
        <f t="shared" ca="1" si="850"/>
        <v>0.83565053370552345</v>
      </c>
      <c r="BR73" s="235">
        <f t="shared" ca="1" si="851"/>
        <v>0.83565053370552345</v>
      </c>
      <c r="BS73" s="242">
        <f t="shared" ca="1" si="852"/>
        <v>0.83565053370552345</v>
      </c>
      <c r="BT73" s="241">
        <f t="shared" ca="1" si="807"/>
        <v>1</v>
      </c>
      <c r="BU73" s="220">
        <f t="shared" ca="1" si="853"/>
        <v>0.99233685913079794</v>
      </c>
      <c r="BV73" s="220">
        <f t="shared" ca="1" si="854"/>
        <v>0</v>
      </c>
      <c r="BW73" s="235">
        <f t="shared" ca="1" si="855"/>
        <v>0.80726667427323584</v>
      </c>
      <c r="BX73" s="235">
        <f t="shared" ca="1" si="856"/>
        <v>0.80726667427323584</v>
      </c>
      <c r="BY73" s="242">
        <f t="shared" ca="1" si="857"/>
        <v>0.80726667427323584</v>
      </c>
      <c r="BZ73" s="241">
        <f t="shared" ca="1" si="807"/>
        <v>1</v>
      </c>
      <c r="CA73" s="220">
        <f t="shared" ca="1" si="858"/>
        <v>0.992192970286224</v>
      </c>
      <c r="CB73" s="220">
        <f t="shared" ca="1" si="859"/>
        <v>0</v>
      </c>
      <c r="CC73" s="235">
        <f t="shared" ca="1" si="860"/>
        <v>0.7798547058990013</v>
      </c>
      <c r="CD73" s="235">
        <f t="shared" ca="1" si="861"/>
        <v>0.7798547058990013</v>
      </c>
      <c r="CE73" s="242">
        <f t="shared" ca="1" si="862"/>
        <v>0.7798547058990013</v>
      </c>
      <c r="CF73" s="241">
        <f t="shared" ca="1" si="807"/>
        <v>1</v>
      </c>
      <c r="CG73" s="220">
        <f t="shared" ca="1" si="863"/>
        <v>0.9920590242352354</v>
      </c>
      <c r="CH73" s="220">
        <f t="shared" ca="1" si="864"/>
        <v>0</v>
      </c>
      <c r="CI73" s="235">
        <f t="shared" ca="1" si="865"/>
        <v>0.75338108745285515</v>
      </c>
      <c r="CJ73" s="235">
        <f t="shared" ca="1" si="866"/>
        <v>0.75338108745285515</v>
      </c>
      <c r="CK73" s="242">
        <f t="shared" ca="1" si="867"/>
        <v>0.75338108745285515</v>
      </c>
      <c r="CL73" s="241">
        <f t="shared" ca="1" si="807"/>
        <v>1</v>
      </c>
      <c r="CM73" s="220">
        <f t="shared" ca="1" si="868"/>
        <v>0.99193997715232718</v>
      </c>
      <c r="CN73" s="220">
        <f t="shared" ca="1" si="869"/>
        <v>0</v>
      </c>
      <c r="CO73" s="235">
        <f t="shared" ca="1" si="870"/>
        <v>0.72781708378972065</v>
      </c>
      <c r="CP73" s="235">
        <f t="shared" ca="1" si="871"/>
        <v>0.72781708378972065</v>
      </c>
      <c r="CQ73" s="242">
        <f t="shared" ca="1" si="872"/>
        <v>0.72781708378972065</v>
      </c>
      <c r="CR73" s="241">
        <f t="shared" ca="1" si="807"/>
        <v>1</v>
      </c>
      <c r="CS73" s="220">
        <f t="shared" ca="1" si="873"/>
        <v>0.99183582345472621</v>
      </c>
      <c r="CT73" s="220">
        <f t="shared" ca="1" si="874"/>
        <v>0</v>
      </c>
      <c r="CU73" s="235">
        <f t="shared" ca="1" si="875"/>
        <v>0.70313107535837949</v>
      </c>
      <c r="CV73" s="235">
        <f t="shared" ca="1" si="876"/>
        <v>0.70313107535837949</v>
      </c>
      <c r="CW73" s="242">
        <f t="shared" ca="1" si="877"/>
        <v>0.70313107535837949</v>
      </c>
      <c r="CX73" s="241">
        <f t="shared" ca="1" si="800"/>
        <v>1</v>
      </c>
      <c r="CY73" s="220">
        <f t="shared" ca="1" si="878"/>
        <v>0.99174259088732142</v>
      </c>
      <c r="CZ73" s="220">
        <f t="shared" ca="1" si="879"/>
        <v>0</v>
      </c>
      <c r="DA73" s="235">
        <f t="shared" ca="1" si="880"/>
        <v>0.6792898367510104</v>
      </c>
      <c r="DB73" s="235">
        <f t="shared" ca="1" si="881"/>
        <v>0.6792898367510104</v>
      </c>
      <c r="DC73" s="242">
        <f t="shared" ca="1" si="882"/>
        <v>0.6792898367510104</v>
      </c>
      <c r="DD73" s="241">
        <f t="shared" ca="1" si="800"/>
        <v>1</v>
      </c>
      <c r="DE73" s="220">
        <f t="shared" ca="1" si="883"/>
        <v>0.99164440837082357</v>
      </c>
      <c r="DF73" s="220">
        <f t="shared" ca="1" si="884"/>
        <v>0</v>
      </c>
      <c r="DG73" s="235">
        <f t="shared" ca="1" si="885"/>
        <v>0.65625370730161559</v>
      </c>
      <c r="DH73" s="235">
        <f t="shared" ca="1" si="886"/>
        <v>0.65625370730161559</v>
      </c>
      <c r="DI73" s="242">
        <f t="shared" ca="1" si="887"/>
        <v>0.65625370730161559</v>
      </c>
      <c r="DJ73" s="241">
        <f t="shared" ca="1" si="888"/>
        <v>1</v>
      </c>
      <c r="DK73" s="220">
        <f t="shared" ca="1" si="889"/>
        <v>0.9915115280201019</v>
      </c>
      <c r="DL73" s="220">
        <f t="shared" ca="1" si="890"/>
        <v>0</v>
      </c>
      <c r="DM73" s="235">
        <f t="shared" ca="1" si="891"/>
        <v>0.63397658870032592</v>
      </c>
      <c r="DN73" s="235">
        <f t="shared" ca="1" si="892"/>
        <v>0.63397658870032592</v>
      </c>
      <c r="DO73" s="242">
        <f t="shared" ca="1" si="893"/>
        <v>0.63397658870032592</v>
      </c>
      <c r="DP73" s="241">
        <f t="shared" ca="1" si="888"/>
        <v>1</v>
      </c>
      <c r="DQ73" s="220">
        <f t="shared" ca="1" si="894"/>
        <v>0.99130628513380181</v>
      </c>
      <c r="DR73" s="220">
        <f t="shared" ca="1" si="895"/>
        <v>0</v>
      </c>
      <c r="DS73" s="235">
        <f t="shared" ca="1" si="896"/>
        <v>0.61241097154247814</v>
      </c>
      <c r="DT73" s="235">
        <f t="shared" ca="1" si="897"/>
        <v>0.61241097154247814</v>
      </c>
      <c r="DU73" s="242">
        <f t="shared" ca="1" si="898"/>
        <v>0.61241097154247814</v>
      </c>
      <c r="DV73" s="241">
        <f t="shared" ca="1" si="888"/>
        <v>1</v>
      </c>
      <c r="DW73" s="220">
        <f t="shared" ca="1" si="899"/>
        <v>0.9909999714916955</v>
      </c>
      <c r="DX73" s="220">
        <f t="shared" ca="1" si="900"/>
        <v>0</v>
      </c>
      <c r="DY73" s="235">
        <f t="shared" ca="1" si="901"/>
        <v>0.59151858604084218</v>
      </c>
      <c r="DZ73" s="235">
        <f t="shared" ca="1" si="902"/>
        <v>0.59151858604084218</v>
      </c>
      <c r="EA73" s="242">
        <f t="shared" ca="1" si="903"/>
        <v>0.59151858604084218</v>
      </c>
      <c r="EB73" s="241">
        <f t="shared" ca="1" si="888"/>
        <v>1</v>
      </c>
      <c r="EC73" s="220">
        <f t="shared" ca="1" si="904"/>
        <v>0.99058474250364048</v>
      </c>
      <c r="ED73" s="220">
        <f t="shared" ca="1" si="905"/>
        <v>0</v>
      </c>
      <c r="EE73" s="235">
        <f t="shared" ca="1" si="906"/>
        <v>0.57127607705632</v>
      </c>
      <c r="EF73" s="235">
        <f t="shared" ca="1" si="907"/>
        <v>0.57127607705632</v>
      </c>
      <c r="EG73" s="242">
        <f t="shared" ca="1" si="908"/>
        <v>0.57127607705632</v>
      </c>
      <c r="EH73" s="241">
        <f t="shared" ca="1" si="888"/>
        <v>1</v>
      </c>
      <c r="EI73" s="220">
        <f t="shared" ca="1" si="909"/>
        <v>0.99005973259011348</v>
      </c>
      <c r="EJ73" s="220">
        <f t="shared" ca="1" si="910"/>
        <v>0</v>
      </c>
      <c r="EK73" s="235">
        <f t="shared" ca="1" si="911"/>
        <v>0.55166502486519819</v>
      </c>
      <c r="EL73" s="235">
        <f t="shared" ca="1" si="912"/>
        <v>0.55166502486519819</v>
      </c>
      <c r="EM73" s="242">
        <f t="shared" ca="1" si="913"/>
        <v>0.55166502486519819</v>
      </c>
      <c r="EN73" s="241">
        <f t="shared" ca="1" si="888"/>
        <v>1</v>
      </c>
      <c r="EO73" s="220">
        <f t="shared" ca="1" si="914"/>
        <v>0.98941124346526699</v>
      </c>
      <c r="EP73" s="220">
        <f t="shared" ca="1" si="915"/>
        <v>0</v>
      </c>
      <c r="EQ73" s="235">
        <f t="shared" ca="1" si="916"/>
        <v>0.53266056451585653</v>
      </c>
      <c r="ER73" s="235">
        <f t="shared" ca="1" si="917"/>
        <v>0.53266056451585653</v>
      </c>
      <c r="ES73" s="242">
        <f t="shared" ca="1" si="918"/>
        <v>0.53266056451585653</v>
      </c>
      <c r="ET73" s="241">
        <f t="shared" ca="1" si="888"/>
        <v>1</v>
      </c>
      <c r="EU73" s="220">
        <f t="shared" ca="1" si="919"/>
        <v>0.98862861917168599</v>
      </c>
      <c r="EV73" s="220">
        <f t="shared" ca="1" si="920"/>
        <v>0</v>
      </c>
      <c r="EW73" s="235">
        <f t="shared" ca="1" si="921"/>
        <v>0.51424080194137645</v>
      </c>
      <c r="EX73" s="235">
        <f t="shared" ca="1" si="922"/>
        <v>0.51424080194137645</v>
      </c>
      <c r="EY73" s="242">
        <f t="shared" ca="1" si="923"/>
        <v>0.51424080194137645</v>
      </c>
      <c r="EZ73" s="241">
        <f t="shared" ca="1" si="888"/>
        <v>1</v>
      </c>
      <c r="FA73" s="220">
        <f t="shared" ca="1" si="924"/>
        <v>0.98770524004137961</v>
      </c>
      <c r="FB73" s="220">
        <f t="shared" ca="1" si="925"/>
        <v>0</v>
      </c>
      <c r="FC73" s="235">
        <f t="shared" ca="1" si="926"/>
        <v>0.49638695751919149</v>
      </c>
      <c r="FD73" s="235">
        <f t="shared" ca="1" si="927"/>
        <v>0.49638695751919149</v>
      </c>
      <c r="FE73" s="242">
        <f t="shared" ca="1" si="928"/>
        <v>0.49638695751919149</v>
      </c>
      <c r="FF73" s="241">
        <f t="shared" ca="1" si="888"/>
        <v>1</v>
      </c>
      <c r="FG73" s="220">
        <f t="shared" ca="1" si="929"/>
        <v>0.98663357985593469</v>
      </c>
      <c r="FH73" s="220">
        <f t="shared" ca="1" si="930"/>
        <v>0</v>
      </c>
      <c r="FI73" s="235">
        <f t="shared" ca="1" si="931"/>
        <v>0.4790805581355394</v>
      </c>
      <c r="FJ73" s="235">
        <f t="shared" ca="1" si="932"/>
        <v>0.4790805581355394</v>
      </c>
      <c r="FK73" s="242">
        <f t="shared" ca="1" si="933"/>
        <v>0.4790805581355394</v>
      </c>
      <c r="FL73" s="241">
        <f t="shared" ca="1" si="888"/>
        <v>1</v>
      </c>
      <c r="FM73" s="220">
        <f t="shared" ca="1" si="934"/>
        <v>0.98542199381987161</v>
      </c>
      <c r="FN73" s="220">
        <f t="shared" ca="1" si="935"/>
        <v>0</v>
      </c>
      <c r="FO73" s="235">
        <f t="shared" ca="1" si="936"/>
        <v>0.46231134996149653</v>
      </c>
      <c r="FP73" s="235">
        <f t="shared" ca="1" si="937"/>
        <v>0.46231134996149653</v>
      </c>
      <c r="FQ73" s="242">
        <f t="shared" ca="1" si="938"/>
        <v>0.46231134996149653</v>
      </c>
      <c r="FR73" s="241">
        <f t="shared" ca="1" si="888"/>
        <v>1</v>
      </c>
      <c r="FS73" s="220">
        <f t="shared" ca="1" si="939"/>
        <v>0.98410251377014679</v>
      </c>
      <c r="FT73" s="220">
        <f t="shared" ca="1" si="940"/>
        <v>0</v>
      </c>
      <c r="FU73" s="235">
        <f t="shared" ca="1" si="941"/>
        <v>0.44607953146270346</v>
      </c>
      <c r="FV73" s="235">
        <f t="shared" ca="1" si="942"/>
        <v>0.44607953146270346</v>
      </c>
      <c r="FW73" s="242">
        <f t="shared" ca="1" si="943"/>
        <v>0.44607953146270346</v>
      </c>
      <c r="FX73" s="241">
        <f t="shared" ca="1" si="801"/>
        <v>1</v>
      </c>
      <c r="FY73" s="220">
        <f t="shared" ca="1" si="944"/>
        <v>0.98272181794332725</v>
      </c>
      <c r="FZ73" s="220">
        <f t="shared" ca="1" si="945"/>
        <v>0</v>
      </c>
      <c r="GA73" s="235">
        <f t="shared" ca="1" si="946"/>
        <v>0.43039003080199167</v>
      </c>
      <c r="GB73" s="235">
        <f t="shared" ca="1" si="947"/>
        <v>0.43039003080199167</v>
      </c>
      <c r="GC73" s="242">
        <f t="shared" ca="1" si="948"/>
        <v>0.43039003080199167</v>
      </c>
      <c r="GD73" s="241">
        <f t="shared" ca="1" si="795"/>
        <v>1</v>
      </c>
      <c r="GE73" s="220">
        <f t="shared" ca="1" si="949"/>
        <v>0.98131357757821447</v>
      </c>
      <c r="GF73" s="220">
        <f t="shared" ca="1" si="950"/>
        <v>0</v>
      </c>
      <c r="GG73" s="235">
        <f t="shared" ca="1" si="951"/>
        <v>0.41523988588198307</v>
      </c>
      <c r="GH73" s="235">
        <f t="shared" ca="1" si="952"/>
        <v>0.41523988588198307</v>
      </c>
      <c r="GI73" s="242">
        <f t="shared" ca="1" si="953"/>
        <v>0.41523988588198307</v>
      </c>
      <c r="GJ73" s="241">
        <f t="shared" ca="1" si="795"/>
        <v>1</v>
      </c>
      <c r="GK73" s="220">
        <f t="shared" ca="1" si="954"/>
        <v>0.97988969157714845</v>
      </c>
      <c r="GL73" s="220">
        <f t="shared" ca="1" si="955"/>
        <v>0</v>
      </c>
      <c r="GM73" s="235">
        <f t="shared" ca="1" si="956"/>
        <v>0.40061581913774713</v>
      </c>
      <c r="GN73" s="235">
        <f t="shared" ca="1" si="957"/>
        <v>0.40061581913774713</v>
      </c>
      <c r="GO73" s="242">
        <f t="shared" ca="1" si="958"/>
        <v>0.40061581913774713</v>
      </c>
      <c r="GP73" s="241">
        <f t="shared" ca="1" si="802"/>
        <v>1</v>
      </c>
      <c r="GQ73" s="220">
        <f t="shared" ca="1" si="959"/>
        <v>0.9784443542820721</v>
      </c>
      <c r="GR73" s="220">
        <f t="shared" ca="1" si="960"/>
        <v>0</v>
      </c>
      <c r="GS73" s="235">
        <f t="shared" ca="1" si="961"/>
        <v>0.38649749836185404</v>
      </c>
      <c r="GT73" s="235">
        <f t="shared" ca="1" si="962"/>
        <v>0.38649749836185404</v>
      </c>
      <c r="GU73" s="242">
        <f t="shared" ca="1" si="963"/>
        <v>0.38649749836185404</v>
      </c>
      <c r="GV73" s="241">
        <f t="shared" ca="1" si="802"/>
        <v>1</v>
      </c>
      <c r="GW73" s="220">
        <f t="shared" ca="1" si="964"/>
        <v>0.97697473086194042</v>
      </c>
      <c r="GX73" s="220">
        <f t="shared" ca="1" si="965"/>
        <v>0</v>
      </c>
      <c r="GY73" s="235">
        <f t="shared" ca="1" si="966"/>
        <v>0.37286664649209134</v>
      </c>
      <c r="GZ73" s="235">
        <f t="shared" ca="1" si="967"/>
        <v>0.37286664649209134</v>
      </c>
      <c r="HA73" s="242">
        <f t="shared" ca="1" si="968"/>
        <v>0.37286664649209134</v>
      </c>
      <c r="HB73" s="241">
        <f t="shared" ca="1" si="802"/>
        <v>1</v>
      </c>
      <c r="HC73" s="220">
        <f t="shared" ca="1" si="969"/>
        <v>0.97547214372587476</v>
      </c>
      <c r="HD73" s="220">
        <f t="shared" ca="1" si="970"/>
        <v>0</v>
      </c>
      <c r="HE73" s="235">
        <f t="shared" ca="1" si="971"/>
        <v>0.35970355322684694</v>
      </c>
      <c r="HF73" s="235">
        <f t="shared" ca="1" si="972"/>
        <v>0.35970355322684694</v>
      </c>
      <c r="HG73" s="242">
        <f t="shared" ca="1" si="973"/>
        <v>0.35970355322684694</v>
      </c>
      <c r="HH73" s="241">
        <f t="shared" ca="1" si="802"/>
        <v>1</v>
      </c>
      <c r="HI73" s="220">
        <f t="shared" ca="1" si="974"/>
        <v>0.9739299222666441</v>
      </c>
      <c r="HJ73" s="220">
        <f t="shared" ca="1" si="975"/>
        <v>0</v>
      </c>
      <c r="HK73" s="235">
        <f t="shared" ca="1" si="976"/>
        <v>0.34699020474318382</v>
      </c>
      <c r="HL73" s="235">
        <f t="shared" ca="1" si="977"/>
        <v>0.34699020474318382</v>
      </c>
      <c r="HM73" s="242">
        <f t="shared" ca="1" si="978"/>
        <v>0.34699020474318382</v>
      </c>
      <c r="HN73" s="241">
        <f t="shared" ca="1" si="802"/>
        <v>1</v>
      </c>
      <c r="HO73" s="220">
        <f t="shared" ca="1" si="979"/>
        <v>0.97234631221303847</v>
      </c>
      <c r="HP73" s="220">
        <f t="shared" ca="1" si="980"/>
        <v>0</v>
      </c>
      <c r="HQ73" s="235">
        <f t="shared" ca="1" si="981"/>
        <v>0.33471110982634922</v>
      </c>
      <c r="HR73" s="235">
        <f t="shared" ca="1" si="982"/>
        <v>0.33471110982634922</v>
      </c>
      <c r="HS73" s="242">
        <f t="shared" ca="1" si="983"/>
        <v>0.33471110982634922</v>
      </c>
      <c r="HT73" s="241">
        <f t="shared" ca="1" si="802"/>
        <v>1</v>
      </c>
      <c r="HU73" s="220">
        <f t="shared" ca="1" si="984"/>
        <v>0.97072346621795491</v>
      </c>
      <c r="HV73" s="220">
        <f t="shared" ca="1" si="985"/>
        <v>0</v>
      </c>
      <c r="HW73" s="235">
        <f t="shared" ca="1" si="986"/>
        <v>0.32285263476719722</v>
      </c>
      <c r="HX73" s="235">
        <f t="shared" ca="1" si="987"/>
        <v>0.32285263476719722</v>
      </c>
      <c r="HY73" s="242">
        <f t="shared" ca="1" si="988"/>
        <v>0.32285263476719722</v>
      </c>
      <c r="HZ73" s="241">
        <f t="shared" ca="1" si="802"/>
        <v>1</v>
      </c>
      <c r="IA73" s="220">
        <f t="shared" ca="1" si="989"/>
        <v>0.96906158764378969</v>
      </c>
      <c r="IB73" s="220">
        <f t="shared" ca="1" si="990"/>
        <v>0</v>
      </c>
      <c r="IC73" s="235">
        <f t="shared" ca="1" si="991"/>
        <v>0.31140088024780266</v>
      </c>
      <c r="ID73" s="235">
        <f t="shared" ca="1" si="992"/>
        <v>0.31140088024780266</v>
      </c>
      <c r="IE73" s="242">
        <f t="shared" ca="1" si="993"/>
        <v>0.31140088024780266</v>
      </c>
      <c r="IF73" s="241">
        <f t="shared" ca="1" si="802"/>
        <v>1</v>
      </c>
      <c r="IG73" s="220">
        <f t="shared" ca="1" si="994"/>
        <v>0.96736088455747493</v>
      </c>
      <c r="IH73" s="220">
        <f t="shared" ca="1" si="995"/>
        <v>0</v>
      </c>
      <c r="II73" s="235">
        <f t="shared" ca="1" si="996"/>
        <v>0.30034238811880948</v>
      </c>
      <c r="IJ73" s="235">
        <f t="shared" ca="1" si="997"/>
        <v>0.30034238811880948</v>
      </c>
      <c r="IK73" s="242">
        <f t="shared" ca="1" si="998"/>
        <v>0.30034238811880948</v>
      </c>
      <c r="IL73" s="241">
        <f t="shared" ca="1" si="802"/>
        <v>1</v>
      </c>
      <c r="IM73" s="220">
        <f t="shared" ca="1" si="999"/>
        <v>0.96561963496527148</v>
      </c>
      <c r="IN73" s="220">
        <f t="shared" ca="1" si="1000"/>
        <v>0</v>
      </c>
      <c r="IO73" s="235">
        <f t="shared" ca="1" si="1001"/>
        <v>0.28966354765236296</v>
      </c>
      <c r="IP73" s="235">
        <f t="shared" ca="1" si="1002"/>
        <v>0.28966354765236296</v>
      </c>
      <c r="IQ73" s="242">
        <f t="shared" ca="1" si="1003"/>
        <v>0.28966354765236296</v>
      </c>
      <c r="IR73" s="241">
        <f t="shared" ca="1" si="802"/>
        <v>1</v>
      </c>
      <c r="IS73" s="220">
        <f t="shared" ca="1" si="1004"/>
        <v>0.96382841054241086</v>
      </c>
      <c r="IT73" s="220">
        <f t="shared" ca="1" si="1005"/>
        <v>0</v>
      </c>
      <c r="IU73" s="235">
        <f t="shared" ca="1" si="1006"/>
        <v>0.27934900654248102</v>
      </c>
      <c r="IV73" s="235">
        <f t="shared" ca="1" si="1007"/>
        <v>0.27934900654248102</v>
      </c>
      <c r="IW73" s="242">
        <f t="shared" ca="1" si="1008"/>
        <v>0.27934900654248102</v>
      </c>
      <c r="IX73" s="241">
        <f t="shared" ca="1" si="802"/>
        <v>1</v>
      </c>
      <c r="IY73" s="220">
        <f t="shared" ca="1" si="1009"/>
        <v>0.9619778599941694</v>
      </c>
      <c r="IZ73" s="220">
        <f t="shared" ca="1" si="1010"/>
        <v>0</v>
      </c>
      <c r="JA73" s="235">
        <f t="shared" ca="1" si="1011"/>
        <v>0.26938420913035699</v>
      </c>
      <c r="JB73" s="235">
        <f t="shared" ca="1" si="1012"/>
        <v>0.26938420913035699</v>
      </c>
      <c r="JC73" s="242">
        <f t="shared" ca="1" si="1013"/>
        <v>0.26938420913035699</v>
      </c>
      <c r="JD73" s="241">
        <f t="shared" ca="1" si="796"/>
        <v>1</v>
      </c>
      <c r="JE73" s="220">
        <f t="shared" ca="1" si="1014"/>
        <v>0.96006544800850102</v>
      </c>
      <c r="JF73" s="220">
        <f t="shared" ca="1" si="1015"/>
        <v>0</v>
      </c>
      <c r="JG73" s="235">
        <f t="shared" ca="1" si="1016"/>
        <v>0.25975717229237277</v>
      </c>
      <c r="JH73" s="235">
        <f t="shared" ca="1" si="1017"/>
        <v>0.25975717229237277</v>
      </c>
      <c r="JI73" s="242">
        <f t="shared" ca="1" si="1018"/>
        <v>0.25975717229237277</v>
      </c>
      <c r="JJ73" s="241">
        <f t="shared" ca="1" si="796"/>
        <v>1</v>
      </c>
      <c r="JK73" s="220">
        <f t="shared" ca="1" si="1019"/>
        <v>0.9580877131856036</v>
      </c>
      <c r="JL73" s="220">
        <f t="shared" ca="1" si="1020"/>
        <v>0</v>
      </c>
      <c r="JM73" s="235">
        <f t="shared" ca="1" si="1021"/>
        <v>0.25045610871251262</v>
      </c>
      <c r="JN73" s="235">
        <f t="shared" ca="1" si="1022"/>
        <v>0.25045610871251262</v>
      </c>
      <c r="JO73" s="242">
        <f t="shared" ca="1" si="1023"/>
        <v>0.25045610871251262</v>
      </c>
      <c r="JP73" s="241">
        <f t="shared" ca="1" si="803"/>
        <v>1</v>
      </c>
      <c r="JQ73" s="220">
        <f t="shared" ca="1" si="1024"/>
        <v>0.95603644739167326</v>
      </c>
      <c r="JR73" s="220">
        <f t="shared" ca="1" si="1025"/>
        <v>0</v>
      </c>
      <c r="JS73" s="235">
        <f t="shared" ca="1" si="1026"/>
        <v>0.24146848520169967</v>
      </c>
      <c r="JT73" s="235">
        <f t="shared" ca="1" si="1027"/>
        <v>0.24146848520169967</v>
      </c>
      <c r="JU73" s="242">
        <f t="shared" ca="1" si="1028"/>
        <v>0.24146848520169967</v>
      </c>
      <c r="JV73" s="241">
        <f t="shared" ca="1" si="803"/>
        <v>1</v>
      </c>
      <c r="JW73" s="220">
        <f t="shared" ca="1" si="1029"/>
        <v>0.95389492574951584</v>
      </c>
      <c r="JX73" s="220">
        <f t="shared" ca="1" si="1030"/>
        <v>0</v>
      </c>
      <c r="JY73" s="235">
        <f t="shared" ca="1" si="1031"/>
        <v>0.23278028579212359</v>
      </c>
      <c r="JZ73" s="235">
        <f t="shared" ca="1" si="1032"/>
        <v>0.23278028579212359</v>
      </c>
      <c r="KA73" s="242">
        <f t="shared" ca="1" si="1033"/>
        <v>0.23278028579212359</v>
      </c>
      <c r="KB73" s="241">
        <f t="shared" ca="1" si="803"/>
        <v>1</v>
      </c>
      <c r="KC73" s="220">
        <f t="shared" ca="1" si="1034"/>
        <v>0.95164182593489555</v>
      </c>
      <c r="KD73" s="220">
        <f t="shared" ca="1" si="1035"/>
        <v>0</v>
      </c>
      <c r="KE73" s="235">
        <f t="shared" ca="1" si="1036"/>
        <v>0.22437725483776094</v>
      </c>
      <c r="KF73" s="235">
        <f t="shared" ca="1" si="1037"/>
        <v>0.22437725483776094</v>
      </c>
      <c r="KG73" s="242">
        <f t="shared" ca="1" si="1038"/>
        <v>0.22437725483776094</v>
      </c>
      <c r="KH73" s="241">
        <f t="shared" ca="1" si="803"/>
        <v>1</v>
      </c>
      <c r="KI73" s="220">
        <f t="shared" ca="1" si="1039"/>
        <v>0.94925415659362489</v>
      </c>
      <c r="KJ73" s="220">
        <f t="shared" ca="1" si="1040"/>
        <v>0</v>
      </c>
      <c r="KK73" s="235">
        <f t="shared" ca="1" si="1041"/>
        <v>0.21624569304866956</v>
      </c>
      <c r="KL73" s="235">
        <f t="shared" ca="1" si="1042"/>
        <v>0.21624569304866956</v>
      </c>
      <c r="KM73" s="242">
        <f t="shared" ca="1" si="1043"/>
        <v>0.21624569304866956</v>
      </c>
      <c r="KN73" s="241">
        <f t="shared" ca="1" si="803"/>
        <v>1</v>
      </c>
      <c r="KO73" s="220">
        <f t="shared" ca="1" si="1044"/>
        <v>0.94670635843732753</v>
      </c>
      <c r="KP73" s="220">
        <f t="shared" ca="1" si="1045"/>
        <v>0</v>
      </c>
      <c r="KQ73" s="235">
        <f t="shared" ca="1" si="1046"/>
        <v>0.2083722604913304</v>
      </c>
      <c r="KR73" s="235">
        <f t="shared" ca="1" si="1047"/>
        <v>0.2083722604913304</v>
      </c>
      <c r="KS73" s="242">
        <f t="shared" ca="1" si="1048"/>
        <v>0.2083722604913304</v>
      </c>
      <c r="KT73" s="241">
        <f t="shared" ca="1" si="803"/>
        <v>1</v>
      </c>
      <c r="KU73" s="220">
        <f t="shared" ca="1" si="1049"/>
        <v>0.94397037706144371</v>
      </c>
      <c r="KV73" s="220">
        <f t="shared" ca="1" si="1050"/>
        <v>0</v>
      </c>
      <c r="KW73" s="235">
        <f t="shared" ca="1" si="1051"/>
        <v>0.20074402382464779</v>
      </c>
      <c r="KX73" s="235">
        <f t="shared" ca="1" si="1052"/>
        <v>0.20074402382464779</v>
      </c>
      <c r="KY73" s="242">
        <f t="shared" ca="1" si="1053"/>
        <v>0.20074402382464779</v>
      </c>
      <c r="KZ73" s="241">
        <f t="shared" ca="1" si="803"/>
        <v>1</v>
      </c>
      <c r="LA73" s="220">
        <f t="shared" ca="1" si="1054"/>
        <v>0.94102424551463493</v>
      </c>
      <c r="LB73" s="220">
        <f t="shared" ca="1" si="1055"/>
        <v>0</v>
      </c>
      <c r="LC73" s="235">
        <f t="shared" ca="1" si="1056"/>
        <v>0.19335024321380778</v>
      </c>
      <c r="LD73" s="235">
        <f t="shared" ca="1" si="1057"/>
        <v>0.19335024321380778</v>
      </c>
      <c r="LE73" s="242">
        <f t="shared" ca="1" si="1058"/>
        <v>0.19335024321380778</v>
      </c>
      <c r="LF73" s="241">
        <f t="shared" ca="1" si="803"/>
        <v>1</v>
      </c>
      <c r="LG73" s="220">
        <f t="shared" ca="1" si="1059"/>
        <v>0.93783793741932242</v>
      </c>
      <c r="LH73" s="220">
        <f t="shared" ca="1" si="1060"/>
        <v>0</v>
      </c>
      <c r="LI73" s="235">
        <f t="shared" ca="1" si="1061"/>
        <v>0.18617928433844047</v>
      </c>
      <c r="LJ73" s="235">
        <f t="shared" ca="1" si="1062"/>
        <v>0.18617928433844047</v>
      </c>
      <c r="LK73" s="242">
        <f t="shared" ca="1" si="1063"/>
        <v>0.18617928433844047</v>
      </c>
      <c r="LL73" s="241">
        <f t="shared" ca="1" si="803"/>
        <v>1</v>
      </c>
      <c r="LM73" s="220">
        <f t="shared" ca="1" si="1064"/>
        <v>0.93436137218530901</v>
      </c>
      <c r="LN73" s="220">
        <f t="shared" ca="1" si="1065"/>
        <v>0</v>
      </c>
      <c r="LO73" s="235">
        <f t="shared" ca="1" si="1066"/>
        <v>0.17921653887091585</v>
      </c>
      <c r="LP73" s="235">
        <f t="shared" ca="1" si="1067"/>
        <v>0.17921653887091585</v>
      </c>
      <c r="LQ73" s="242">
        <f t="shared" ca="1" si="1068"/>
        <v>0.17921653887091585</v>
      </c>
      <c r="LR73" s="241">
        <f t="shared" ca="1" si="803"/>
        <v>1</v>
      </c>
      <c r="LS73" s="220">
        <f t="shared" ca="1" si="1069"/>
        <v>0.93053889981169891</v>
      </c>
      <c r="LT73" s="220">
        <f t="shared" ca="1" si="1070"/>
        <v>0</v>
      </c>
      <c r="LU73" s="235">
        <f t="shared" ca="1" si="1071"/>
        <v>0.17244769469603377</v>
      </c>
      <c r="LV73" s="235">
        <f t="shared" ca="1" si="1072"/>
        <v>0.17244769469603377</v>
      </c>
      <c r="LW73" s="242">
        <f t="shared" ca="1" si="1073"/>
        <v>0.17244769469603377</v>
      </c>
      <c r="LX73" s="241">
        <f t="shared" ca="1" si="803"/>
        <v>1</v>
      </c>
      <c r="LY73" s="220">
        <f t="shared" ca="1" si="1074"/>
        <v>0.92632262805665211</v>
      </c>
      <c r="LZ73" s="220">
        <f t="shared" ca="1" si="1075"/>
        <v>0</v>
      </c>
      <c r="MA73" s="235">
        <f t="shared" ca="1" si="1076"/>
        <v>0.16586119245542613</v>
      </c>
      <c r="MB73" s="235">
        <f t="shared" ca="1" si="1077"/>
        <v>0.16586119245542613</v>
      </c>
      <c r="MC73" s="242">
        <f t="shared" ca="1" si="1078"/>
        <v>0.16586119245542613</v>
      </c>
      <c r="MD73" s="241">
        <f t="shared" ca="1" si="797"/>
        <v>1</v>
      </c>
      <c r="ME73" s="220">
        <f t="shared" ca="1" si="1079"/>
        <v>0.92167897272220412</v>
      </c>
      <c r="MF73" s="220">
        <f t="shared" ca="1" si="1080"/>
        <v>0</v>
      </c>
      <c r="MG73" s="235">
        <f t="shared" ca="1" si="1081"/>
        <v>0.15944901478033538</v>
      </c>
      <c r="MH73" s="235">
        <f t="shared" ca="1" si="1082"/>
        <v>0.15944901478033538</v>
      </c>
      <c r="MI73" s="242">
        <f t="shared" ca="1" si="1083"/>
        <v>0.15944901478033538</v>
      </c>
      <c r="MJ73" s="241">
        <f t="shared" ca="1" si="797"/>
        <v>1</v>
      </c>
      <c r="MK73" s="220">
        <f t="shared" ca="1" si="1084"/>
        <v>0.91658761807688671</v>
      </c>
      <c r="ML73" s="220">
        <f t="shared" ca="1" si="1085"/>
        <v>0</v>
      </c>
      <c r="MM73" s="235">
        <f t="shared" ca="1" si="1086"/>
        <v>0.15320600813786359</v>
      </c>
      <c r="MN73" s="235">
        <f t="shared" ca="1" si="1087"/>
        <v>0.15320600813786359</v>
      </c>
      <c r="MO73" s="242">
        <f t="shared" ca="1" si="1088"/>
        <v>0.15320600813786359</v>
      </c>
      <c r="MP73" s="241">
        <f t="shared" ca="1" si="804"/>
        <v>1</v>
      </c>
      <c r="MQ73" s="220">
        <f t="shared" ca="1" si="1089"/>
        <v>0.91103401369895887</v>
      </c>
      <c r="MR73" s="220">
        <f t="shared" ca="1" si="1090"/>
        <v>0</v>
      </c>
      <c r="MS73" s="235">
        <f t="shared" ca="1" si="1091"/>
        <v>0.1471282443812138</v>
      </c>
      <c r="MT73" s="235">
        <f t="shared" ca="1" si="1092"/>
        <v>0.1471282443812138</v>
      </c>
      <c r="MU73" s="242">
        <f t="shared" ca="1" si="1093"/>
        <v>0.1471282443812138</v>
      </c>
      <c r="MV73" s="241">
        <f t="shared" ca="1" si="804"/>
        <v>1</v>
      </c>
      <c r="MW73" s="220">
        <f t="shared" ca="1" si="1094"/>
        <v>0.90501116783439506</v>
      </c>
      <c r="MX73" s="220">
        <f t="shared" ca="1" si="1095"/>
        <v>0</v>
      </c>
      <c r="MY73" s="235">
        <f t="shared" ca="1" si="1096"/>
        <v>0.14121312034551653</v>
      </c>
      <c r="MZ73" s="235">
        <f t="shared" ca="1" si="1097"/>
        <v>0.14121312034551653</v>
      </c>
      <c r="NA73" s="242">
        <f t="shared" ca="1" si="1098"/>
        <v>0.14121312034551653</v>
      </c>
      <c r="NB73" s="241">
        <f t="shared" ca="1" si="804"/>
        <v>1</v>
      </c>
      <c r="NC73" s="220">
        <f t="shared" ca="1" si="1099"/>
        <v>0.89850685257116925</v>
      </c>
      <c r="ND73" s="220">
        <f t="shared" ca="1" si="1100"/>
        <v>0</v>
      </c>
      <c r="NE73" s="235">
        <f t="shared" ca="1" si="1101"/>
        <v>0.13545721898511429</v>
      </c>
      <c r="NF73" s="235">
        <f t="shared" ca="1" si="1102"/>
        <v>0.13545721898511429</v>
      </c>
      <c r="NG73" s="242">
        <f t="shared" ca="1" si="1103"/>
        <v>0.13545721898511429</v>
      </c>
      <c r="NH73" s="241">
        <f t="shared" ca="1" si="804"/>
        <v>1</v>
      </c>
      <c r="NI73" s="220">
        <f t="shared" ca="1" si="1104"/>
        <v>0.89149849912111412</v>
      </c>
      <c r="NJ73" s="220">
        <f t="shared" ca="1" si="1105"/>
        <v>0</v>
      </c>
      <c r="NK73" s="235">
        <f t="shared" ca="1" si="1106"/>
        <v>0.12985570306959462</v>
      </c>
      <c r="NL73" s="235">
        <f t="shared" ca="1" si="1107"/>
        <v>0.12985570306959462</v>
      </c>
      <c r="NM73" s="242">
        <f t="shared" ca="1" si="1108"/>
        <v>0.12985570306959462</v>
      </c>
      <c r="NN73" s="241">
        <f t="shared" ca="1" si="804"/>
        <v>1</v>
      </c>
      <c r="NO73" s="220">
        <f t="shared" ca="1" si="1109"/>
        <v>0.88395998781254592</v>
      </c>
      <c r="NP73" s="220">
        <f t="shared" ca="1" si="1110"/>
        <v>0</v>
      </c>
      <c r="NQ73" s="235">
        <f t="shared" ca="1" si="1111"/>
        <v>0.12440352004293539</v>
      </c>
      <c r="NR73" s="235">
        <f t="shared" ca="1" si="1112"/>
        <v>0.12440352004293539</v>
      </c>
      <c r="NS73" s="242">
        <f t="shared" ca="1" si="1113"/>
        <v>0.12440352004293539</v>
      </c>
      <c r="NT73" s="241">
        <f t="shared" ca="1" si="804"/>
        <v>1</v>
      </c>
      <c r="NU73" s="220">
        <f t="shared" ca="1" si="1114"/>
        <v>0.87587705768398794</v>
      </c>
      <c r="NV73" s="220">
        <f t="shared" ca="1" si="1115"/>
        <v>0</v>
      </c>
      <c r="NW73" s="235">
        <f t="shared" ca="1" si="1116"/>
        <v>0.11909755966730703</v>
      </c>
      <c r="NX73" s="235">
        <f t="shared" ca="1" si="1117"/>
        <v>0.11909755966730703</v>
      </c>
      <c r="NY73" s="242">
        <f t="shared" ca="1" si="1118"/>
        <v>0.11909755966730703</v>
      </c>
      <c r="NZ73" s="241">
        <f t="shared" ca="1" si="804"/>
        <v>1</v>
      </c>
      <c r="OA73" s="220">
        <f t="shared" ca="1" si="1119"/>
        <v>0.86723653050993543</v>
      </c>
      <c r="OB73" s="220">
        <f t="shared" ca="1" si="1120"/>
        <v>0</v>
      </c>
      <c r="OC73" s="235">
        <f t="shared" ca="1" si="1121"/>
        <v>0.11393493936346769</v>
      </c>
      <c r="OD73" s="235">
        <f t="shared" ca="1" si="1122"/>
        <v>0.11393493936346769</v>
      </c>
      <c r="OE73" s="242">
        <f t="shared" ca="1" si="1123"/>
        <v>0.11393493936346769</v>
      </c>
      <c r="OF73" s="241">
        <f t="shared" ca="1" si="804"/>
        <v>1</v>
      </c>
      <c r="OG73" s="220">
        <f t="shared" ca="1" si="1124"/>
        <v>0.85802474408285889</v>
      </c>
      <c r="OH73" s="220">
        <f t="shared" ca="1" si="1125"/>
        <v>0</v>
      </c>
      <c r="OI73" s="235">
        <f t="shared" ca="1" si="1126"/>
        <v>0.10891277530197965</v>
      </c>
      <c r="OJ73" s="235">
        <f t="shared" ca="1" si="1127"/>
        <v>0.10891277530197965</v>
      </c>
      <c r="OK73" s="242">
        <f t="shared" ca="1" si="1128"/>
        <v>0.10891277530197965</v>
      </c>
      <c r="OL73" s="241">
        <f t="shared" ca="1" si="804"/>
        <v>1</v>
      </c>
      <c r="OM73" s="220">
        <f t="shared" ca="1" si="1129"/>
        <v>0.84819349656515752</v>
      </c>
      <c r="ON73" s="220">
        <f t="shared" ca="1" si="1130"/>
        <v>0</v>
      </c>
      <c r="OO73" s="235">
        <f t="shared" ca="1" si="1131"/>
        <v>0.10402401229233778</v>
      </c>
      <c r="OP73" s="235">
        <f t="shared" ca="1" si="1132"/>
        <v>0.10402401229233778</v>
      </c>
      <c r="OQ73" s="242">
        <f t="shared" ca="1" si="1133"/>
        <v>0.10402401229233778</v>
      </c>
      <c r="OR73" s="241">
        <f t="shared" ca="1" si="804"/>
        <v>1</v>
      </c>
      <c r="OS73" s="220">
        <f t="shared" ca="1" si="1134"/>
        <v>0.83771830688257787</v>
      </c>
      <c r="OT73" s="220">
        <f t="shared" ca="1" si="1135"/>
        <v>0</v>
      </c>
      <c r="OU73" s="235">
        <f t="shared" ca="1" si="1136"/>
        <v>9.9265039362828419E-2</v>
      </c>
      <c r="OV73" s="235">
        <f t="shared" ca="1" si="1137"/>
        <v>9.9265039362828419E-2</v>
      </c>
      <c r="OW73" s="242">
        <f t="shared" ca="1" si="1138"/>
        <v>9.9265039362828419E-2</v>
      </c>
      <c r="OX73" s="241">
        <f t="shared" ca="1" si="804"/>
        <v>1</v>
      </c>
      <c r="OY73" s="220">
        <f t="shared" ca="1" si="1139"/>
        <v>0.82663110509098692</v>
      </c>
      <c r="OZ73" s="220">
        <f t="shared" ca="1" si="1140"/>
        <v>0</v>
      </c>
      <c r="PA73" s="235">
        <f t="shared" ca="1" si="1141"/>
        <v>9.4638904895518239E-2</v>
      </c>
      <c r="PB73" s="235">
        <f t="shared" ca="1" si="1142"/>
        <v>9.4638904895518239E-2</v>
      </c>
      <c r="PC73" s="242">
        <f t="shared" ca="1" si="1143"/>
        <v>9.4638904895518239E-2</v>
      </c>
      <c r="PD73" s="241">
        <f t="shared" ca="1" si="798"/>
        <v>1</v>
      </c>
      <c r="PE73" s="220">
        <f t="shared" ca="1" si="1144"/>
        <v>0.81497808640251923</v>
      </c>
      <c r="PF73" s="220">
        <f t="shared" ca="1" si="1145"/>
        <v>0</v>
      </c>
      <c r="PG73" s="235">
        <f t="shared" ca="1" si="1146"/>
        <v>9.0149546138363415E-2</v>
      </c>
      <c r="PH73" s="235">
        <f t="shared" ca="1" si="1147"/>
        <v>9.0149546138363415E-2</v>
      </c>
      <c r="PI73" s="242">
        <f t="shared" ca="1" si="1148"/>
        <v>9.0149546138363415E-2</v>
      </c>
      <c r="PJ73" s="241">
        <f t="shared" ca="1" si="798"/>
        <v>1</v>
      </c>
      <c r="PK73" s="220">
        <f t="shared" ca="1" si="1149"/>
        <v>0.80277052964629592</v>
      </c>
      <c r="PL73" s="220">
        <f t="shared" ca="1" si="1150"/>
        <v>0</v>
      </c>
      <c r="PM73" s="235">
        <f t="shared" ca="1" si="1151"/>
        <v>8.5796324721504238E-2</v>
      </c>
      <c r="PN73" s="235">
        <f t="shared" ca="1" si="1152"/>
        <v>8.5796324721504238E-2</v>
      </c>
      <c r="PO73" s="242">
        <f t="shared" ca="1" si="1153"/>
        <v>8.5796324721504238E-2</v>
      </c>
      <c r="PP73" s="241">
        <f t="shared" ca="1" si="805"/>
        <v>1</v>
      </c>
      <c r="PQ73" s="220">
        <f t="shared" ca="1" si="1154"/>
        <v>0.78995269259943357</v>
      </c>
      <c r="PR73" s="220">
        <f t="shared" ca="1" si="1155"/>
        <v>0</v>
      </c>
      <c r="PS73" s="235">
        <f t="shared" ca="1" si="1156"/>
        <v>8.1571415270218356E-2</v>
      </c>
      <c r="PT73" s="235">
        <f t="shared" ca="1" si="1157"/>
        <v>8.1571415270218356E-2</v>
      </c>
      <c r="PU73" s="242">
        <f t="shared" ca="1" si="1158"/>
        <v>8.1571415270218356E-2</v>
      </c>
      <c r="PV73" s="241">
        <f t="shared" ca="1" si="805"/>
        <v>1</v>
      </c>
      <c r="PW73" s="220">
        <f t="shared" ca="1" si="1159"/>
        <v>0.77643739198174988</v>
      </c>
      <c r="PX73" s="220">
        <f t="shared" ca="1" si="1160"/>
        <v>0</v>
      </c>
      <c r="PY73" s="235">
        <f t="shared" ca="1" si="1161"/>
        <v>7.7464550653488104E-2</v>
      </c>
      <c r="PZ73" s="235">
        <f t="shared" ca="1" si="1162"/>
        <v>7.7464550653488104E-2</v>
      </c>
      <c r="QA73" s="242">
        <f t="shared" ca="1" si="1163"/>
        <v>7.7464550653488104E-2</v>
      </c>
      <c r="QB73" s="241">
        <f t="shared" ca="1" si="805"/>
        <v>1</v>
      </c>
      <c r="QC73" s="220">
        <f t="shared" ca="1" si="1164"/>
        <v>0.76215715546842155</v>
      </c>
      <c r="QD73" s="220">
        <f t="shared" ca="1" si="1165"/>
        <v>0</v>
      </c>
      <c r="QE73" s="235">
        <f t="shared" ca="1" si="1166"/>
        <v>7.3468427669438799E-2</v>
      </c>
      <c r="QF73" s="235">
        <f t="shared" ca="1" si="1167"/>
        <v>7.3468427669438799E-2</v>
      </c>
      <c r="QG73" s="242">
        <f t="shared" ca="1" si="1168"/>
        <v>7.3468427669438799E-2</v>
      </c>
      <c r="QH73" s="241">
        <f t="shared" ca="1" si="805"/>
        <v>1</v>
      </c>
      <c r="QI73" s="220">
        <f t="shared" ca="1" si="1169"/>
        <v>0.74703900613254992</v>
      </c>
      <c r="QJ73" s="220">
        <f t="shared" ca="1" si="1170"/>
        <v>0</v>
      </c>
      <c r="QK73" s="235">
        <f t="shared" ca="1" si="1171"/>
        <v>6.9575949698732195E-2</v>
      </c>
      <c r="QL73" s="235">
        <f t="shared" ca="1" si="1172"/>
        <v>6.9575949698732195E-2</v>
      </c>
      <c r="QM73" s="242">
        <f t="shared" ca="1" si="1173"/>
        <v>6.9575949698732195E-2</v>
      </c>
      <c r="QN73" s="241">
        <f t="shared" ca="1" si="805"/>
        <v>1</v>
      </c>
      <c r="QO73" s="220">
        <f t="shared" ca="1" si="1174"/>
        <v>0.73100381386591473</v>
      </c>
      <c r="QP73" s="220">
        <f t="shared" ca="1" si="1175"/>
        <v>0</v>
      </c>
      <c r="QQ73" s="235">
        <f t="shared" ca="1" si="1176"/>
        <v>6.5780195109612458E-2</v>
      </c>
      <c r="QR73" s="235">
        <f t="shared" ca="1" si="1177"/>
        <v>6.5780195109612458E-2</v>
      </c>
      <c r="QS73" s="242">
        <f t="shared" ca="1" si="1178"/>
        <v>6.5780195109612458E-2</v>
      </c>
      <c r="QT73" s="241">
        <f t="shared" ca="1" si="805"/>
        <v>1</v>
      </c>
      <c r="QU73" s="220">
        <f t="shared" ca="1" si="1179"/>
        <v>0.71393414380833176</v>
      </c>
      <c r="QV73" s="220">
        <f t="shared" ca="1" si="1180"/>
        <v>0</v>
      </c>
      <c r="QW73" s="235">
        <f t="shared" ca="1" si="1181"/>
        <v>6.2071653887543876E-2</v>
      </c>
      <c r="QX73" s="235">
        <f t="shared" ca="1" si="1182"/>
        <v>6.2071653887543876E-2</v>
      </c>
      <c r="QY73" s="242">
        <f t="shared" ca="1" si="1183"/>
        <v>6.2071653887543876E-2</v>
      </c>
      <c r="QZ73" s="241">
        <f t="shared" ca="1" si="805"/>
        <v>1</v>
      </c>
      <c r="RA73" s="220">
        <f t="shared" ca="1" si="1184"/>
        <v>0.69574167395580788</v>
      </c>
      <c r="RB73" s="220">
        <f t="shared" ca="1" si="1185"/>
        <v>0</v>
      </c>
      <c r="RC73" s="235">
        <f t="shared" ca="1" si="1186"/>
        <v>5.8444390341238162E-2</v>
      </c>
      <c r="RD73" s="235">
        <f t="shared" ca="1" si="1187"/>
        <v>5.8444390341238162E-2</v>
      </c>
      <c r="RE73" s="242">
        <f t="shared" ca="1" si="1188"/>
        <v>5.8444390341238162E-2</v>
      </c>
      <c r="RF73" s="241">
        <f t="shared" ca="1" si="805"/>
        <v>1</v>
      </c>
      <c r="RG73" s="220">
        <f t="shared" ca="1" si="1189"/>
        <v>0.67640422986988014</v>
      </c>
      <c r="RH73" s="220">
        <f t="shared" ca="1" si="1190"/>
        <v>0</v>
      </c>
      <c r="RI73" s="235">
        <f t="shared" ca="1" si="1191"/>
        <v>5.4898538121829751E-2</v>
      </c>
      <c r="RJ73" s="235">
        <f t="shared" ca="1" si="1192"/>
        <v>5.4898538121829751E-2</v>
      </c>
      <c r="RK73" s="242">
        <f t="shared" ca="1" si="1193"/>
        <v>5.4898538121829751E-2</v>
      </c>
      <c r="RL73" s="241">
        <f t="shared" ca="1" si="805"/>
        <v>1</v>
      </c>
      <c r="RM73" s="220">
        <f t="shared" ca="1" si="1194"/>
        <v>0.65592135698096043</v>
      </c>
      <c r="RN73" s="220">
        <f t="shared" ca="1" si="1195"/>
        <v>0</v>
      </c>
      <c r="RO73" s="235">
        <f t="shared" ca="1" si="1196"/>
        <v>5.1435845981086484E-2</v>
      </c>
      <c r="RP73" s="235">
        <f t="shared" ca="1" si="1197"/>
        <v>5.1435845981086484E-2</v>
      </c>
      <c r="RQ73" s="242">
        <f t="shared" ca="1" si="1198"/>
        <v>5.1435845981086484E-2</v>
      </c>
      <c r="RR73" s="241">
        <f t="shared" ca="1" si="805"/>
        <v>1</v>
      </c>
      <c r="RS73" s="220">
        <f t="shared" ca="1" si="1199"/>
        <v>0.63426152193073515</v>
      </c>
      <c r="RT73" s="220">
        <f t="shared" ca="1" si="1200"/>
        <v>0</v>
      </c>
      <c r="RU73" s="235">
        <f t="shared" ca="1" si="1201"/>
        <v>4.8055392729564286E-2</v>
      </c>
      <c r="RV73" s="235">
        <f t="shared" ca="1" si="1202"/>
        <v>4.8055392729564286E-2</v>
      </c>
      <c r="RW73" s="242">
        <f t="shared" ca="1" si="1203"/>
        <v>4.8055392729564286E-2</v>
      </c>
      <c r="RX73" s="241">
        <f t="shared" ca="1" si="805"/>
        <v>1</v>
      </c>
      <c r="RY73" s="220">
        <f t="shared" ca="1" si="1204"/>
        <v>0.61130062057532053</v>
      </c>
      <c r="RZ73" s="220">
        <f t="shared" ca="1" si="1205"/>
        <v>0</v>
      </c>
      <c r="SA73" s="235">
        <f t="shared" ca="1" si="1206"/>
        <v>4.4749506722088245E-2</v>
      </c>
      <c r="SB73" s="235">
        <f t="shared" ca="1" si="1207"/>
        <v>4.4749506722088245E-2</v>
      </c>
      <c r="SC73" s="242">
        <f t="shared" ca="1" si="1208"/>
        <v>4.4749506722088245E-2</v>
      </c>
      <c r="SD73" s="241">
        <f t="shared" ca="1" si="799"/>
        <v>1</v>
      </c>
      <c r="SE73" s="220">
        <f t="shared" ca="1" si="1209"/>
        <v>0.58693540044042947</v>
      </c>
      <c r="SF73" s="220">
        <f t="shared" ca="1" si="1210"/>
        <v>0</v>
      </c>
      <c r="SG73" s="235">
        <f t="shared" ca="1" si="1211"/>
        <v>4.1512928389525854E-2</v>
      </c>
      <c r="SH73" s="235">
        <f t="shared" ca="1" si="1212"/>
        <v>4.1512928389525854E-2</v>
      </c>
      <c r="SI73" s="242">
        <f t="shared" ca="1" si="1213"/>
        <v>4.1512928389525854E-2</v>
      </c>
      <c r="SJ73" s="241">
        <f t="shared" ca="1" si="799"/>
        <v>1</v>
      </c>
      <c r="SK73" s="220">
        <f t="shared" ca="1" si="1214"/>
        <v>0.56117421877969853</v>
      </c>
      <c r="SL73" s="220">
        <f t="shared" ca="1" si="1215"/>
        <v>0</v>
      </c>
      <c r="SM73" s="235">
        <f t="shared" ca="1" si="1216"/>
        <v>3.8348680627614658E-2</v>
      </c>
      <c r="SN73" s="235">
        <f t="shared" ca="1" si="1217"/>
        <v>3.8348680627614658E-2</v>
      </c>
      <c r="SO73" s="242">
        <f t="shared" ca="1" si="1218"/>
        <v>3.8348680627614658E-2</v>
      </c>
      <c r="SP73" s="241">
        <f t="shared" ca="1" si="808"/>
        <v>1</v>
      </c>
      <c r="SQ73" s="220">
        <f t="shared" ca="1" si="1219"/>
        <v>0.5340633310962325</v>
      </c>
      <c r="SR73" s="220">
        <f t="shared" ca="1" si="1220"/>
        <v>0</v>
      </c>
      <c r="SS73" s="235">
        <f t="shared" ca="1" si="1221"/>
        <v>3.5261852674216394E-2</v>
      </c>
      <c r="ST73" s="235">
        <f t="shared" ca="1" si="1222"/>
        <v>3.5261852674216394E-2</v>
      </c>
      <c r="SU73" s="242">
        <f t="shared" ca="1" si="1223"/>
        <v>3.5261852674216394E-2</v>
      </c>
      <c r="SV73" s="241">
        <f t="shared" ca="1" si="808"/>
        <v>1</v>
      </c>
      <c r="SW73" s="220">
        <f t="shared" ca="1" si="1224"/>
        <v>0.50563620810864218</v>
      </c>
      <c r="SX73" s="220">
        <f t="shared" ca="1" si="1225"/>
        <v>0</v>
      </c>
      <c r="SY73" s="235">
        <f t="shared" ca="1" si="1226"/>
        <v>3.2255975632920972E-2</v>
      </c>
      <c r="SZ73" s="235">
        <f t="shared" ca="1" si="1227"/>
        <v>3.2255975632920972E-2</v>
      </c>
      <c r="TA73" s="242">
        <f t="shared" ca="1" si="1228"/>
        <v>3.2255975632920972E-2</v>
      </c>
      <c r="TB73" s="241">
        <f t="shared" ca="1" si="808"/>
        <v>1</v>
      </c>
      <c r="TC73" s="220">
        <f t="shared" ca="1" si="1229"/>
        <v>0.47585575235966748</v>
      </c>
      <c r="TD73" s="220">
        <f t="shared" ca="1" si="1230"/>
        <v>0</v>
      </c>
      <c r="TE73" s="235">
        <f t="shared" ca="1" si="1231"/>
        <v>2.9329657426153458E-2</v>
      </c>
      <c r="TF73" s="235">
        <f t="shared" ca="1" si="1232"/>
        <v>2.9329657426153458E-2</v>
      </c>
      <c r="TG73" s="242">
        <f t="shared" ca="1" si="1233"/>
        <v>2.9329657426153458E-2</v>
      </c>
      <c r="TH73" s="241">
        <f t="shared" ca="1" si="808"/>
        <v>1</v>
      </c>
      <c r="TI73" s="220">
        <f t="shared" ca="1" si="1234"/>
        <v>0.4447514411066778</v>
      </c>
      <c r="TJ73" s="220">
        <f t="shared" ca="1" si="1235"/>
        <v>0</v>
      </c>
      <c r="TK73" s="235">
        <f t="shared" ca="1" si="1236"/>
        <v>2.6485530790814431E-2</v>
      </c>
      <c r="TL73" s="235">
        <f t="shared" ca="1" si="1237"/>
        <v>2.6485530790814431E-2</v>
      </c>
      <c r="TM73" s="242">
        <f t="shared" ca="1" si="1238"/>
        <v>2.6485530790814431E-2</v>
      </c>
      <c r="TN73" s="241">
        <f t="shared" ca="1" si="808"/>
        <v>1</v>
      </c>
      <c r="TO73" s="220">
        <f t="shared" ca="1" si="1239"/>
        <v>0.41251096438941365</v>
      </c>
      <c r="TP73" s="220">
        <f t="shared" ca="1" si="1240"/>
        <v>0</v>
      </c>
      <c r="TQ73" s="235">
        <f t="shared" ca="1" si="1241"/>
        <v>2.3734848481408222E-2</v>
      </c>
      <c r="TR73" s="235">
        <f t="shared" ca="1" si="1242"/>
        <v>2.3734848481408222E-2</v>
      </c>
      <c r="TS73" s="242">
        <f t="shared" ca="1" si="1243"/>
        <v>2.3734848481408222E-2</v>
      </c>
      <c r="TT73" s="241">
        <f t="shared" ca="1" si="808"/>
        <v>1</v>
      </c>
      <c r="TU73" s="220">
        <f t="shared" ca="1" si="1244"/>
        <v>0.37939128408051637</v>
      </c>
      <c r="TV73" s="220">
        <f t="shared" ca="1" si="1245"/>
        <v>0</v>
      </c>
      <c r="TW73" s="235">
        <f t="shared" ca="1" si="1246"/>
        <v>2.1091038615007652E-2</v>
      </c>
      <c r="TX73" s="235">
        <f t="shared" ca="1" si="1247"/>
        <v>2.1091038615007652E-2</v>
      </c>
      <c r="TY73" s="242">
        <f t="shared" ca="1" si="1248"/>
        <v>2.1091038615007652E-2</v>
      </c>
      <c r="TZ73" s="241">
        <f t="shared" ca="1" si="808"/>
        <v>1</v>
      </c>
      <c r="UA73" s="220">
        <f t="shared" ca="1" si="1249"/>
        <v>0.34565732866521315</v>
      </c>
      <c r="UB73" s="220">
        <f t="shared" ca="1" si="1250"/>
        <v>0</v>
      </c>
      <c r="UC73" s="235">
        <f t="shared" ca="1" si="1251"/>
        <v>1.8565901280691431E-2</v>
      </c>
      <c r="UD73" s="235">
        <f t="shared" ca="1" si="1252"/>
        <v>1.8565901280691431E-2</v>
      </c>
      <c r="UE73" s="242">
        <f t="shared" ca="1" si="1253"/>
        <v>1.8565901280691431E-2</v>
      </c>
      <c r="UF73" s="241">
        <f t="shared" ca="1" si="808"/>
        <v>1</v>
      </c>
      <c r="UG73" s="220">
        <f t="shared" ca="1" si="1254"/>
        <v>0.31158381183471112</v>
      </c>
      <c r="UH73" s="220">
        <f t="shared" ca="1" si="1255"/>
        <v>0</v>
      </c>
      <c r="UI73" s="235">
        <f t="shared" ca="1" si="1256"/>
        <v>1.6169805793281151E-2</v>
      </c>
      <c r="UJ73" s="235">
        <f t="shared" ca="1" si="1257"/>
        <v>1.6169805793281151E-2</v>
      </c>
      <c r="UK73" s="242">
        <f t="shared" ca="1" si="1258"/>
        <v>1.6169805793281151E-2</v>
      </c>
      <c r="UL73" s="241">
        <f t="shared" ca="1" si="808"/>
        <v>1</v>
      </c>
      <c r="UM73" s="220">
        <f t="shared" ca="1" si="1259"/>
        <v>0.27748470263514402</v>
      </c>
      <c r="UN73" s="220">
        <f t="shared" ca="1" si="1260"/>
        <v>0</v>
      </c>
      <c r="UO73" s="235">
        <f t="shared" ca="1" si="1261"/>
        <v>1.3913250808575896E-2</v>
      </c>
      <c r="UP73" s="235">
        <f t="shared" ca="1" si="1262"/>
        <v>1.3913250808575896E-2</v>
      </c>
      <c r="UQ73" s="242">
        <f t="shared" ca="1" si="1263"/>
        <v>1.3913250808575896E-2</v>
      </c>
      <c r="UR73" s="241">
        <f t="shared" ca="1" si="808"/>
        <v>1</v>
      </c>
      <c r="US73" s="220">
        <f t="shared" ca="1" si="1264"/>
        <v>0.24373729058536042</v>
      </c>
      <c r="UT73" s="220">
        <f t="shared" ca="1" si="1265"/>
        <v>0</v>
      </c>
      <c r="UU73" s="235">
        <f t="shared" ca="1" si="1266"/>
        <v>1.1807860056509861E-2</v>
      </c>
      <c r="UV73" s="235">
        <f t="shared" ca="1" si="1267"/>
        <v>1.1807860056509861E-2</v>
      </c>
      <c r="UW73" s="242">
        <f t="shared" ca="1" si="1268"/>
        <v>1.1807860056509861E-2</v>
      </c>
      <c r="UX73" s="241">
        <f t="shared" ca="1" si="808"/>
        <v>1</v>
      </c>
      <c r="UY73" s="220">
        <f t="shared" ca="1" si="1269"/>
        <v>0.21078985859319374</v>
      </c>
      <c r="UZ73" s="220">
        <f t="shared" ca="1" si="1270"/>
        <v>0</v>
      </c>
      <c r="VA73" s="235">
        <f t="shared" ca="1" si="1271"/>
        <v>9.866396874889936E-3</v>
      </c>
      <c r="VB73" s="235">
        <f t="shared" ca="1" si="1272"/>
        <v>9.866396874889936E-3</v>
      </c>
      <c r="VC73" s="242">
        <f t="shared" ca="1" si="1273"/>
        <v>9.866396874889936E-3</v>
      </c>
      <c r="VD73" s="241">
        <f t="shared" ca="1" si="806"/>
        <v>1</v>
      </c>
      <c r="VE73" s="220">
        <f t="shared" ca="1" si="1274"/>
        <v>0.17914840370962801</v>
      </c>
      <c r="VF73" s="220">
        <f t="shared" ca="1" si="1275"/>
        <v>0</v>
      </c>
      <c r="VG73" s="235">
        <f t="shared" ca="1" si="1276"/>
        <v>8.1017989433788233E-3</v>
      </c>
      <c r="VH73" s="235">
        <f t="shared" ca="1" si="1277"/>
        <v>8.1017989433788233E-3</v>
      </c>
      <c r="VI73" s="242">
        <f t="shared" ca="1" si="1278"/>
        <v>8.1017989433788233E-3</v>
      </c>
      <c r="VJ73" s="241">
        <f t="shared" ca="1" si="806"/>
        <v>1</v>
      </c>
      <c r="VK73" s="220">
        <f t="shared" ca="1" si="1279"/>
        <v>0.14933864677755704</v>
      </c>
      <c r="VL73" s="220">
        <f t="shared" ca="1" si="1280"/>
        <v>0</v>
      </c>
      <c r="VM73" s="235">
        <f t="shared" ca="1" si="1281"/>
        <v>6.5252984585482295E-3</v>
      </c>
      <c r="VN73" s="235">
        <f t="shared" ca="1" si="1282"/>
        <v>6.5252984585482295E-3</v>
      </c>
      <c r="VO73" s="242">
        <f t="shared" ca="1" si="1283"/>
        <v>6.5252984585482295E-3</v>
      </c>
      <c r="VP73" s="241">
        <f t="shared" ca="1" si="567"/>
        <v>1</v>
      </c>
      <c r="VQ73" s="220">
        <f t="shared" ca="1" si="1284"/>
        <v>0.12186078378642688</v>
      </c>
      <c r="VR73" s="220">
        <f t="shared" ca="1" si="1285"/>
        <v>0</v>
      </c>
      <c r="VS73" s="235">
        <f t="shared" ca="1" si="1286"/>
        <v>5.1446020464451514E-3</v>
      </c>
      <c r="VT73" s="235">
        <f t="shared" ca="1" si="1287"/>
        <v>5.1446020464451514E-3</v>
      </c>
      <c r="VU73" s="242">
        <f t="shared" ca="1" si="1288"/>
        <v>5.1446020464451514E-3</v>
      </c>
      <c r="VV73" s="241">
        <f t="shared" ca="1" si="578"/>
        <v>1</v>
      </c>
      <c r="VW73" s="220">
        <f t="shared" ca="1" si="1289"/>
        <v>9.714071449143126E-2</v>
      </c>
      <c r="VX73" s="220">
        <f t="shared" ca="1" si="1290"/>
        <v>0</v>
      </c>
      <c r="VY73" s="235">
        <f t="shared" ca="1" si="1291"/>
        <v>3.9623128486120972E-3</v>
      </c>
      <c r="VZ73" s="235">
        <f t="shared" ca="1" si="1292"/>
        <v>3.9623128486120972E-3</v>
      </c>
      <c r="WA73" s="242">
        <f t="shared" ca="1" si="1293"/>
        <v>3.9623128486120972E-3</v>
      </c>
      <c r="WB73" s="241">
        <f t="shared" ca="1" si="578"/>
        <v>1</v>
      </c>
      <c r="WC73" s="220">
        <f t="shared" ca="1" si="1294"/>
        <v>7.5486980683431834E-2</v>
      </c>
      <c r="WD73" s="220">
        <f t="shared" ca="1" si="1295"/>
        <v>0</v>
      </c>
      <c r="WE73" s="235">
        <f t="shared" ca="1" si="1296"/>
        <v>2.9749465982754843E-3</v>
      </c>
      <c r="WF73" s="235">
        <f t="shared" ca="1" si="1297"/>
        <v>2.9749465982754843E-3</v>
      </c>
      <c r="WG73" s="242">
        <f t="shared" ca="1" si="1298"/>
        <v>2.9749465982754843E-3</v>
      </c>
      <c r="WH73" s="241">
        <f t="shared" ca="1" si="578"/>
        <v>1</v>
      </c>
      <c r="WI73" s="220">
        <f t="shared" ca="1" si="1299"/>
        <v>5.7061061620490225E-2</v>
      </c>
      <c r="WJ73" s="220">
        <f t="shared" ca="1" si="1300"/>
        <v>0</v>
      </c>
      <c r="WK73" s="235">
        <f t="shared" ca="1" si="1301"/>
        <v>2.1727342833971291E-3</v>
      </c>
      <c r="WL73" s="235">
        <f t="shared" ca="1" si="1302"/>
        <v>2.1727342833971291E-3</v>
      </c>
      <c r="WM73" s="242">
        <f t="shared" ca="1" si="1303"/>
        <v>2.1727342833971291E-3</v>
      </c>
      <c r="WN73" s="241">
        <f t="shared" ref="WN73:XF73" ca="1" si="1334">IF(($B73+WN$2)&lt;SC_TargetRY,0,IF(($B73+WN$2)=SC_TargetRY,SC_AnnyPmntPr,IF(SP_AnnyTerms="Life",1,IF(($B73+WN$2)=(SC_TargetRY+SP_AnnyPeriod),SC_AnnyPmntPr-1,IF(($B73+WN$2)&gt;(SC_TargetRY+SP_AnnyPeriod),0,1)))))</f>
        <v>1</v>
      </c>
      <c r="WO73" s="220">
        <f t="shared" ca="1" si="1304"/>
        <v>4.1934687734452851E-2</v>
      </c>
      <c r="WP73" s="220">
        <f t="shared" ca="1" si="1305"/>
        <v>0</v>
      </c>
      <c r="WQ73" s="235">
        <f t="shared" ca="1" si="1306"/>
        <v>1.5427651975624165E-3</v>
      </c>
      <c r="WR73" s="235">
        <f t="shared" ca="1" si="1307"/>
        <v>1.5427651975624165E-3</v>
      </c>
      <c r="WS73" s="242">
        <f t="shared" ca="1" si="1308"/>
        <v>1.5427651975624165E-3</v>
      </c>
      <c r="WT73" s="241">
        <f t="shared" ca="1" si="1334"/>
        <v>1</v>
      </c>
      <c r="WU73" s="220">
        <f t="shared" ca="1" si="1309"/>
        <v>2.9961998908764689E-2</v>
      </c>
      <c r="WV73" s="220">
        <f t="shared" ca="1" si="1310"/>
        <v>0</v>
      </c>
      <c r="WW73" s="235">
        <f t="shared" ca="1" si="1311"/>
        <v>1.0650177696007403E-3</v>
      </c>
      <c r="WX73" s="235">
        <f t="shared" ca="1" si="1312"/>
        <v>1.0650177696007403E-3</v>
      </c>
      <c r="WY73" s="242">
        <f t="shared" ca="1" si="1313"/>
        <v>1.0650177696007403E-3</v>
      </c>
      <c r="WZ73" s="241">
        <f t="shared" ca="1" si="1334"/>
        <v>1</v>
      </c>
      <c r="XA73" s="220">
        <f t="shared" ca="1" si="1314"/>
        <v>2.0825806429510707E-2</v>
      </c>
      <c r="XB73" s="220">
        <f t="shared" ca="1" si="1315"/>
        <v>0</v>
      </c>
      <c r="XC73" s="235">
        <f t="shared" ca="1" si="1316"/>
        <v>7.1523300597822715E-4</v>
      </c>
      <c r="XD73" s="235">
        <f t="shared" ca="1" si="1317"/>
        <v>7.1523300597822715E-4</v>
      </c>
      <c r="XE73" s="242">
        <f t="shared" ca="1" si="1318"/>
        <v>7.1523300597822715E-4</v>
      </c>
      <c r="XF73" s="241">
        <f t="shared" ca="1" si="1334"/>
        <v>1</v>
      </c>
      <c r="XG73" s="220">
        <f t="shared" ca="1" si="1319"/>
        <v>1.410075784309954E-2</v>
      </c>
      <c r="XH73" s="220">
        <f t="shared" ca="1" si="1320"/>
        <v>0</v>
      </c>
      <c r="XI73" s="235">
        <f t="shared" ca="1" si="1321"/>
        <v>4.6789437576883483E-4</v>
      </c>
      <c r="XJ73" s="235">
        <f t="shared" ca="1" si="1322"/>
        <v>4.6789437576883483E-4</v>
      </c>
      <c r="XK73" s="242">
        <f t="shared" ca="1" si="1323"/>
        <v>4.6789437576883483E-4</v>
      </c>
    </row>
    <row r="74" spans="2:635" x14ac:dyDescent="0.25">
      <c r="B74" s="65">
        <f t="shared" ca="1" si="810"/>
        <v>2089</v>
      </c>
      <c r="C74" s="65" t="s">
        <v>741</v>
      </c>
      <c r="D74" s="77">
        <f t="shared" si="811"/>
        <v>0</v>
      </c>
      <c r="E74" s="77">
        <f t="shared" si="812"/>
        <v>0</v>
      </c>
      <c r="F74" s="77" t="b">
        <f t="shared" si="813"/>
        <v>0</v>
      </c>
      <c r="G74" s="77" t="b">
        <f t="shared" si="814"/>
        <v>0</v>
      </c>
      <c r="H74" s="15" t="e">
        <f t="shared" ca="1" si="815"/>
        <v>#REF!</v>
      </c>
      <c r="L74" s="326">
        <f t="shared" ca="1" si="816"/>
        <v>3.5000000000000003E-2</v>
      </c>
      <c r="M74" s="327">
        <f t="shared" ca="1" si="817"/>
        <v>3.5000000000000003E-2</v>
      </c>
      <c r="N74" s="322">
        <f t="shared" ca="1" si="809"/>
        <v>-66</v>
      </c>
      <c r="O74" s="322">
        <f t="shared" ca="1" si="818"/>
        <v>0</v>
      </c>
      <c r="P74" s="328">
        <f t="shared" ca="1" si="1324"/>
        <v>26.87829936156087</v>
      </c>
      <c r="Q74" s="328">
        <f t="shared" ca="1" si="1325"/>
        <v>26.87829936156087</v>
      </c>
      <c r="R74" s="328">
        <f t="shared" ca="1" si="1326"/>
        <v>26.87829936156087</v>
      </c>
      <c r="S74" s="329">
        <f t="shared" ca="1" si="819"/>
        <v>3.8642415640549425E-2</v>
      </c>
      <c r="T74" s="329">
        <f t="shared" ca="1" si="820"/>
        <v>3.8642415640549425E-2</v>
      </c>
      <c r="U74" s="329">
        <f t="shared" ca="1" si="821"/>
        <v>3.8642415640549425E-2</v>
      </c>
      <c r="V74" s="320" t="e">
        <f t="shared" ca="1" si="822"/>
        <v>#REF!</v>
      </c>
      <c r="W74" s="320" t="e">
        <f t="shared" ca="1" si="560"/>
        <v>#REF!</v>
      </c>
      <c r="X74" s="320" t="e">
        <f t="shared" ca="1" si="823"/>
        <v>#REF!</v>
      </c>
      <c r="Y74" s="320" t="e">
        <f ca="1">INDEX(SC_ZA_HECMLumpSum,ZAIDX)</f>
        <v>#REF!</v>
      </c>
      <c r="Z74" s="320" t="e">
        <f t="shared" ca="1" si="824"/>
        <v>#REF!</v>
      </c>
      <c r="AA74" s="320" t="e">
        <f t="shared" ca="1" si="557"/>
        <v>#REF!</v>
      </c>
      <c r="AB74" s="320" t="e">
        <f t="shared" ca="1" si="558"/>
        <v>#REF!</v>
      </c>
      <c r="AC74" s="330" t="e">
        <f t="shared" ca="1" si="559"/>
        <v>#REF!</v>
      </c>
      <c r="AD74" s="236" t="e">
        <f t="shared" ca="1" si="1327"/>
        <v>#REF!</v>
      </c>
      <c r="AE74" s="320" t="e">
        <f t="shared" ca="1" si="561"/>
        <v>#REF!</v>
      </c>
      <c r="AF74" s="320" t="e">
        <f t="shared" ca="1" si="825"/>
        <v>#REF!</v>
      </c>
      <c r="AG74" s="320" t="e">
        <f t="shared" ca="1" si="1328"/>
        <v>#REF!</v>
      </c>
      <c r="AH74" s="284" t="e">
        <f t="shared" ca="1" si="1329"/>
        <v>#REF!</v>
      </c>
      <c r="AI74" s="318" t="e">
        <f t="shared" ca="1" si="1330"/>
        <v>#REF!</v>
      </c>
      <c r="AJ74" s="331">
        <f t="shared" ca="1" si="807"/>
        <v>1</v>
      </c>
      <c r="AK74" s="220">
        <f t="shared" ca="1" si="826"/>
        <v>1</v>
      </c>
      <c r="AL74" s="220">
        <f t="shared" ca="1" si="827"/>
        <v>0</v>
      </c>
      <c r="AM74" s="235">
        <f t="shared" ca="1" si="1331"/>
        <v>1</v>
      </c>
      <c r="AN74" s="235">
        <f t="shared" ca="1" si="1332"/>
        <v>1</v>
      </c>
      <c r="AO74" s="242">
        <f t="shared" ca="1" si="1333"/>
        <v>1</v>
      </c>
      <c r="AP74" s="241">
        <f t="shared" ca="1" si="807"/>
        <v>1</v>
      </c>
      <c r="AQ74" s="220">
        <f t="shared" ca="1" si="828"/>
        <v>0.99361699999999997</v>
      </c>
      <c r="AR74" s="220">
        <f t="shared" ca="1" si="829"/>
        <v>0</v>
      </c>
      <c r="AS74" s="235">
        <f t="shared" ca="1" si="830"/>
        <v>0.96001642512077301</v>
      </c>
      <c r="AT74" s="235">
        <f t="shared" ca="1" si="831"/>
        <v>0.96001642512077301</v>
      </c>
      <c r="AU74" s="242">
        <f t="shared" ca="1" si="832"/>
        <v>0.96001642512077301</v>
      </c>
      <c r="AV74" s="241">
        <f t="shared" ca="1" si="807"/>
        <v>1</v>
      </c>
      <c r="AW74" s="220">
        <f t="shared" ca="1" si="833"/>
        <v>0.99316689149899995</v>
      </c>
      <c r="AX74" s="220">
        <f t="shared" ca="1" si="834"/>
        <v>0</v>
      </c>
      <c r="AY74" s="235">
        <f t="shared" ca="1" si="835"/>
        <v>0.92713192046395487</v>
      </c>
      <c r="AZ74" s="235">
        <f t="shared" ca="1" si="836"/>
        <v>0.92713192046395487</v>
      </c>
      <c r="BA74" s="242">
        <f t="shared" ca="1" si="837"/>
        <v>0.92713192046395487</v>
      </c>
      <c r="BB74" s="241">
        <f t="shared" ca="1" si="807"/>
        <v>1</v>
      </c>
      <c r="BC74" s="220">
        <f t="shared" ca="1" si="838"/>
        <v>0.99288681843559723</v>
      </c>
      <c r="BD74" s="220">
        <f t="shared" ca="1" si="839"/>
        <v>0</v>
      </c>
      <c r="BE74" s="235">
        <f t="shared" ca="1" si="840"/>
        <v>0.89552702344191704</v>
      </c>
      <c r="BF74" s="235">
        <f t="shared" ca="1" si="841"/>
        <v>0.89552702344191704</v>
      </c>
      <c r="BG74" s="242">
        <f t="shared" ca="1" si="842"/>
        <v>0.89552702344191704</v>
      </c>
      <c r="BH74" s="241">
        <f t="shared" ca="1" si="807"/>
        <v>1</v>
      </c>
      <c r="BI74" s="220">
        <f t="shared" ca="1" si="843"/>
        <v>0.99265845446735712</v>
      </c>
      <c r="BJ74" s="220">
        <f t="shared" ca="1" si="844"/>
        <v>0</v>
      </c>
      <c r="BK74" s="235">
        <f t="shared" ca="1" si="845"/>
        <v>0.86504449490485558</v>
      </c>
      <c r="BL74" s="235">
        <f t="shared" ca="1" si="846"/>
        <v>0.86504449490485558</v>
      </c>
      <c r="BM74" s="242">
        <f t="shared" ca="1" si="847"/>
        <v>0.86504449490485558</v>
      </c>
      <c r="BN74" s="241">
        <f t="shared" ca="1" si="807"/>
        <v>1</v>
      </c>
      <c r="BO74" s="220">
        <f t="shared" ca="1" si="848"/>
        <v>0.99249069518855215</v>
      </c>
      <c r="BP74" s="220">
        <f t="shared" ca="1" si="849"/>
        <v>0</v>
      </c>
      <c r="BQ74" s="235">
        <f t="shared" ca="1" si="850"/>
        <v>0.83565053370552345</v>
      </c>
      <c r="BR74" s="235">
        <f t="shared" ca="1" si="851"/>
        <v>0.83565053370552345</v>
      </c>
      <c r="BS74" s="242">
        <f t="shared" ca="1" si="852"/>
        <v>0.83565053370552345</v>
      </c>
      <c r="BT74" s="241">
        <f t="shared" ca="1" si="807"/>
        <v>1</v>
      </c>
      <c r="BU74" s="220">
        <f t="shared" ca="1" si="853"/>
        <v>0.99233685913079794</v>
      </c>
      <c r="BV74" s="220">
        <f t="shared" ca="1" si="854"/>
        <v>0</v>
      </c>
      <c r="BW74" s="235">
        <f t="shared" ca="1" si="855"/>
        <v>0.80726667427323584</v>
      </c>
      <c r="BX74" s="235">
        <f t="shared" ca="1" si="856"/>
        <v>0.80726667427323584</v>
      </c>
      <c r="BY74" s="242">
        <f t="shared" ca="1" si="857"/>
        <v>0.80726667427323584</v>
      </c>
      <c r="BZ74" s="241">
        <f t="shared" ca="1" si="807"/>
        <v>1</v>
      </c>
      <c r="CA74" s="220">
        <f t="shared" ca="1" si="858"/>
        <v>0.992192970286224</v>
      </c>
      <c r="CB74" s="220">
        <f t="shared" ca="1" si="859"/>
        <v>0</v>
      </c>
      <c r="CC74" s="235">
        <f t="shared" ca="1" si="860"/>
        <v>0.7798547058990013</v>
      </c>
      <c r="CD74" s="235">
        <f t="shared" ca="1" si="861"/>
        <v>0.7798547058990013</v>
      </c>
      <c r="CE74" s="242">
        <f t="shared" ca="1" si="862"/>
        <v>0.7798547058990013</v>
      </c>
      <c r="CF74" s="241">
        <f t="shared" ca="1" si="807"/>
        <v>1</v>
      </c>
      <c r="CG74" s="220">
        <f t="shared" ca="1" si="863"/>
        <v>0.9920590242352354</v>
      </c>
      <c r="CH74" s="220">
        <f t="shared" ca="1" si="864"/>
        <v>0</v>
      </c>
      <c r="CI74" s="235">
        <f t="shared" ca="1" si="865"/>
        <v>0.75338108745285515</v>
      </c>
      <c r="CJ74" s="235">
        <f t="shared" ca="1" si="866"/>
        <v>0.75338108745285515</v>
      </c>
      <c r="CK74" s="242">
        <f t="shared" ca="1" si="867"/>
        <v>0.75338108745285515</v>
      </c>
      <c r="CL74" s="241">
        <f t="shared" ca="1" si="807"/>
        <v>1</v>
      </c>
      <c r="CM74" s="220">
        <f t="shared" ca="1" si="868"/>
        <v>0.99193997715232718</v>
      </c>
      <c r="CN74" s="220">
        <f t="shared" ca="1" si="869"/>
        <v>0</v>
      </c>
      <c r="CO74" s="235">
        <f t="shared" ca="1" si="870"/>
        <v>0.72781708378972065</v>
      </c>
      <c r="CP74" s="235">
        <f t="shared" ca="1" si="871"/>
        <v>0.72781708378972065</v>
      </c>
      <c r="CQ74" s="242">
        <f t="shared" ca="1" si="872"/>
        <v>0.72781708378972065</v>
      </c>
      <c r="CR74" s="241">
        <f t="shared" ca="1" si="807"/>
        <v>1</v>
      </c>
      <c r="CS74" s="220">
        <f t="shared" ca="1" si="873"/>
        <v>0.99183582345472621</v>
      </c>
      <c r="CT74" s="220">
        <f t="shared" ca="1" si="874"/>
        <v>0</v>
      </c>
      <c r="CU74" s="235">
        <f t="shared" ca="1" si="875"/>
        <v>0.70313107535837949</v>
      </c>
      <c r="CV74" s="235">
        <f t="shared" ca="1" si="876"/>
        <v>0.70313107535837949</v>
      </c>
      <c r="CW74" s="242">
        <f t="shared" ca="1" si="877"/>
        <v>0.70313107535837949</v>
      </c>
      <c r="CX74" s="241">
        <f t="shared" ca="1" si="800"/>
        <v>1</v>
      </c>
      <c r="CY74" s="220">
        <f t="shared" ca="1" si="878"/>
        <v>0.99174259088732142</v>
      </c>
      <c r="CZ74" s="220">
        <f t="shared" ca="1" si="879"/>
        <v>0</v>
      </c>
      <c r="DA74" s="235">
        <f t="shared" ca="1" si="880"/>
        <v>0.6792898367510104</v>
      </c>
      <c r="DB74" s="235">
        <f t="shared" ca="1" si="881"/>
        <v>0.6792898367510104</v>
      </c>
      <c r="DC74" s="242">
        <f t="shared" ca="1" si="882"/>
        <v>0.6792898367510104</v>
      </c>
      <c r="DD74" s="241">
        <f t="shared" ca="1" si="800"/>
        <v>1</v>
      </c>
      <c r="DE74" s="220">
        <f t="shared" ca="1" si="883"/>
        <v>0.99164440837082357</v>
      </c>
      <c r="DF74" s="220">
        <f t="shared" ca="1" si="884"/>
        <v>0</v>
      </c>
      <c r="DG74" s="235">
        <f t="shared" ca="1" si="885"/>
        <v>0.65625370730161559</v>
      </c>
      <c r="DH74" s="235">
        <f t="shared" ca="1" si="886"/>
        <v>0.65625370730161559</v>
      </c>
      <c r="DI74" s="242">
        <f t="shared" ca="1" si="887"/>
        <v>0.65625370730161559</v>
      </c>
      <c r="DJ74" s="241">
        <f t="shared" ca="1" si="888"/>
        <v>1</v>
      </c>
      <c r="DK74" s="220">
        <f t="shared" ca="1" si="889"/>
        <v>0.9915115280201019</v>
      </c>
      <c r="DL74" s="220">
        <f t="shared" ca="1" si="890"/>
        <v>0</v>
      </c>
      <c r="DM74" s="235">
        <f t="shared" ca="1" si="891"/>
        <v>0.63397658870032592</v>
      </c>
      <c r="DN74" s="235">
        <f t="shared" ca="1" si="892"/>
        <v>0.63397658870032592</v>
      </c>
      <c r="DO74" s="242">
        <f t="shared" ca="1" si="893"/>
        <v>0.63397658870032592</v>
      </c>
      <c r="DP74" s="241">
        <f t="shared" ca="1" si="888"/>
        <v>1</v>
      </c>
      <c r="DQ74" s="220">
        <f t="shared" ca="1" si="894"/>
        <v>0.99130628513380181</v>
      </c>
      <c r="DR74" s="220">
        <f t="shared" ca="1" si="895"/>
        <v>0</v>
      </c>
      <c r="DS74" s="235">
        <f t="shared" ca="1" si="896"/>
        <v>0.61241097154247814</v>
      </c>
      <c r="DT74" s="235">
        <f t="shared" ca="1" si="897"/>
        <v>0.61241097154247814</v>
      </c>
      <c r="DU74" s="242">
        <f t="shared" ca="1" si="898"/>
        <v>0.61241097154247814</v>
      </c>
      <c r="DV74" s="241">
        <f t="shared" ca="1" si="888"/>
        <v>1</v>
      </c>
      <c r="DW74" s="220">
        <f t="shared" ca="1" si="899"/>
        <v>0.9909999714916955</v>
      </c>
      <c r="DX74" s="220">
        <f t="shared" ca="1" si="900"/>
        <v>0</v>
      </c>
      <c r="DY74" s="235">
        <f t="shared" ca="1" si="901"/>
        <v>0.59151858604084218</v>
      </c>
      <c r="DZ74" s="235">
        <f t="shared" ca="1" si="902"/>
        <v>0.59151858604084218</v>
      </c>
      <c r="EA74" s="242">
        <f t="shared" ca="1" si="903"/>
        <v>0.59151858604084218</v>
      </c>
      <c r="EB74" s="241">
        <f t="shared" ca="1" si="888"/>
        <v>1</v>
      </c>
      <c r="EC74" s="220">
        <f t="shared" ca="1" si="904"/>
        <v>0.99058474250364048</v>
      </c>
      <c r="ED74" s="220">
        <f t="shared" ca="1" si="905"/>
        <v>0</v>
      </c>
      <c r="EE74" s="235">
        <f t="shared" ca="1" si="906"/>
        <v>0.57127607705632</v>
      </c>
      <c r="EF74" s="235">
        <f t="shared" ca="1" si="907"/>
        <v>0.57127607705632</v>
      </c>
      <c r="EG74" s="242">
        <f t="shared" ca="1" si="908"/>
        <v>0.57127607705632</v>
      </c>
      <c r="EH74" s="241">
        <f t="shared" ca="1" si="888"/>
        <v>1</v>
      </c>
      <c r="EI74" s="220">
        <f t="shared" ca="1" si="909"/>
        <v>0.99005973259011348</v>
      </c>
      <c r="EJ74" s="220">
        <f t="shared" ca="1" si="910"/>
        <v>0</v>
      </c>
      <c r="EK74" s="235">
        <f t="shared" ca="1" si="911"/>
        <v>0.55166502486519819</v>
      </c>
      <c r="EL74" s="235">
        <f t="shared" ca="1" si="912"/>
        <v>0.55166502486519819</v>
      </c>
      <c r="EM74" s="242">
        <f t="shared" ca="1" si="913"/>
        <v>0.55166502486519819</v>
      </c>
      <c r="EN74" s="241">
        <f t="shared" ca="1" si="888"/>
        <v>1</v>
      </c>
      <c r="EO74" s="220">
        <f t="shared" ca="1" si="914"/>
        <v>0.98941124346526699</v>
      </c>
      <c r="EP74" s="220">
        <f t="shared" ca="1" si="915"/>
        <v>0</v>
      </c>
      <c r="EQ74" s="235">
        <f t="shared" ca="1" si="916"/>
        <v>0.53266056451585653</v>
      </c>
      <c r="ER74" s="235">
        <f t="shared" ca="1" si="917"/>
        <v>0.53266056451585653</v>
      </c>
      <c r="ES74" s="242">
        <f t="shared" ca="1" si="918"/>
        <v>0.53266056451585653</v>
      </c>
      <c r="ET74" s="241">
        <f t="shared" ca="1" si="888"/>
        <v>1</v>
      </c>
      <c r="EU74" s="220">
        <f t="shared" ca="1" si="919"/>
        <v>0.98862861917168599</v>
      </c>
      <c r="EV74" s="220">
        <f t="shared" ca="1" si="920"/>
        <v>0</v>
      </c>
      <c r="EW74" s="235">
        <f t="shared" ca="1" si="921"/>
        <v>0.51424080194137645</v>
      </c>
      <c r="EX74" s="235">
        <f t="shared" ca="1" si="922"/>
        <v>0.51424080194137645</v>
      </c>
      <c r="EY74" s="242">
        <f t="shared" ca="1" si="923"/>
        <v>0.51424080194137645</v>
      </c>
      <c r="EZ74" s="241">
        <f t="shared" ca="1" si="888"/>
        <v>1</v>
      </c>
      <c r="FA74" s="220">
        <f t="shared" ca="1" si="924"/>
        <v>0.98770524004137961</v>
      </c>
      <c r="FB74" s="220">
        <f t="shared" ca="1" si="925"/>
        <v>0</v>
      </c>
      <c r="FC74" s="235">
        <f t="shared" ca="1" si="926"/>
        <v>0.49638695751919149</v>
      </c>
      <c r="FD74" s="235">
        <f t="shared" ca="1" si="927"/>
        <v>0.49638695751919149</v>
      </c>
      <c r="FE74" s="242">
        <f t="shared" ca="1" si="928"/>
        <v>0.49638695751919149</v>
      </c>
      <c r="FF74" s="241">
        <f t="shared" ca="1" si="888"/>
        <v>1</v>
      </c>
      <c r="FG74" s="220">
        <f t="shared" ca="1" si="929"/>
        <v>0.98663357985593469</v>
      </c>
      <c r="FH74" s="220">
        <f t="shared" ca="1" si="930"/>
        <v>0</v>
      </c>
      <c r="FI74" s="235">
        <f t="shared" ca="1" si="931"/>
        <v>0.4790805581355394</v>
      </c>
      <c r="FJ74" s="235">
        <f t="shared" ca="1" si="932"/>
        <v>0.4790805581355394</v>
      </c>
      <c r="FK74" s="242">
        <f t="shared" ca="1" si="933"/>
        <v>0.4790805581355394</v>
      </c>
      <c r="FL74" s="241">
        <f t="shared" ca="1" si="888"/>
        <v>1</v>
      </c>
      <c r="FM74" s="220">
        <f t="shared" ca="1" si="934"/>
        <v>0.98542199381987161</v>
      </c>
      <c r="FN74" s="220">
        <f t="shared" ca="1" si="935"/>
        <v>0</v>
      </c>
      <c r="FO74" s="235">
        <f t="shared" ca="1" si="936"/>
        <v>0.46231134996149653</v>
      </c>
      <c r="FP74" s="235">
        <f t="shared" ca="1" si="937"/>
        <v>0.46231134996149653</v>
      </c>
      <c r="FQ74" s="242">
        <f t="shared" ca="1" si="938"/>
        <v>0.46231134996149653</v>
      </c>
      <c r="FR74" s="241">
        <f t="shared" ca="1" si="888"/>
        <v>1</v>
      </c>
      <c r="FS74" s="220">
        <f t="shared" ca="1" si="939"/>
        <v>0.98410251377014679</v>
      </c>
      <c r="FT74" s="220">
        <f t="shared" ca="1" si="940"/>
        <v>0</v>
      </c>
      <c r="FU74" s="235">
        <f t="shared" ca="1" si="941"/>
        <v>0.44607953146270346</v>
      </c>
      <c r="FV74" s="235">
        <f t="shared" ca="1" si="942"/>
        <v>0.44607953146270346</v>
      </c>
      <c r="FW74" s="242">
        <f t="shared" ca="1" si="943"/>
        <v>0.44607953146270346</v>
      </c>
      <c r="FX74" s="241">
        <f t="shared" ca="1" si="801"/>
        <v>1</v>
      </c>
      <c r="FY74" s="220">
        <f t="shared" ca="1" si="944"/>
        <v>0.98272181794332725</v>
      </c>
      <c r="FZ74" s="220">
        <f t="shared" ca="1" si="945"/>
        <v>0</v>
      </c>
      <c r="GA74" s="235">
        <f t="shared" ca="1" si="946"/>
        <v>0.43039003080199167</v>
      </c>
      <c r="GB74" s="235">
        <f t="shared" ca="1" si="947"/>
        <v>0.43039003080199167</v>
      </c>
      <c r="GC74" s="242">
        <f t="shared" ca="1" si="948"/>
        <v>0.43039003080199167</v>
      </c>
      <c r="GD74" s="241">
        <f t="shared" ca="1" si="795"/>
        <v>1</v>
      </c>
      <c r="GE74" s="220">
        <f t="shared" ca="1" si="949"/>
        <v>0.98131357757821447</v>
      </c>
      <c r="GF74" s="220">
        <f t="shared" ca="1" si="950"/>
        <v>0</v>
      </c>
      <c r="GG74" s="235">
        <f t="shared" ca="1" si="951"/>
        <v>0.41523988588198307</v>
      </c>
      <c r="GH74" s="235">
        <f t="shared" ca="1" si="952"/>
        <v>0.41523988588198307</v>
      </c>
      <c r="GI74" s="242">
        <f t="shared" ca="1" si="953"/>
        <v>0.41523988588198307</v>
      </c>
      <c r="GJ74" s="241">
        <f t="shared" ca="1" si="795"/>
        <v>1</v>
      </c>
      <c r="GK74" s="220">
        <f t="shared" ca="1" si="954"/>
        <v>0.97988969157714845</v>
      </c>
      <c r="GL74" s="220">
        <f t="shared" ca="1" si="955"/>
        <v>0</v>
      </c>
      <c r="GM74" s="235">
        <f t="shared" ca="1" si="956"/>
        <v>0.40061581913774713</v>
      </c>
      <c r="GN74" s="235">
        <f t="shared" ca="1" si="957"/>
        <v>0.40061581913774713</v>
      </c>
      <c r="GO74" s="242">
        <f t="shared" ca="1" si="958"/>
        <v>0.40061581913774713</v>
      </c>
      <c r="GP74" s="241">
        <f t="shared" ca="1" si="802"/>
        <v>1</v>
      </c>
      <c r="GQ74" s="220">
        <f t="shared" ca="1" si="959"/>
        <v>0.9784443542820721</v>
      </c>
      <c r="GR74" s="220">
        <f t="shared" ca="1" si="960"/>
        <v>0</v>
      </c>
      <c r="GS74" s="235">
        <f t="shared" ca="1" si="961"/>
        <v>0.38649749836185404</v>
      </c>
      <c r="GT74" s="235">
        <f t="shared" ca="1" si="962"/>
        <v>0.38649749836185404</v>
      </c>
      <c r="GU74" s="242">
        <f t="shared" ca="1" si="963"/>
        <v>0.38649749836185404</v>
      </c>
      <c r="GV74" s="241">
        <f t="shared" ca="1" si="802"/>
        <v>1</v>
      </c>
      <c r="GW74" s="220">
        <f t="shared" ca="1" si="964"/>
        <v>0.97697473086194042</v>
      </c>
      <c r="GX74" s="220">
        <f t="shared" ca="1" si="965"/>
        <v>0</v>
      </c>
      <c r="GY74" s="235">
        <f t="shared" ca="1" si="966"/>
        <v>0.37286664649209134</v>
      </c>
      <c r="GZ74" s="235">
        <f t="shared" ca="1" si="967"/>
        <v>0.37286664649209134</v>
      </c>
      <c r="HA74" s="242">
        <f t="shared" ca="1" si="968"/>
        <v>0.37286664649209134</v>
      </c>
      <c r="HB74" s="241">
        <f t="shared" ca="1" si="802"/>
        <v>1</v>
      </c>
      <c r="HC74" s="220">
        <f t="shared" ca="1" si="969"/>
        <v>0.97547214372587476</v>
      </c>
      <c r="HD74" s="220">
        <f t="shared" ca="1" si="970"/>
        <v>0</v>
      </c>
      <c r="HE74" s="235">
        <f t="shared" ca="1" si="971"/>
        <v>0.35970355322684694</v>
      </c>
      <c r="HF74" s="235">
        <f t="shared" ca="1" si="972"/>
        <v>0.35970355322684694</v>
      </c>
      <c r="HG74" s="242">
        <f t="shared" ca="1" si="973"/>
        <v>0.35970355322684694</v>
      </c>
      <c r="HH74" s="241">
        <f t="shared" ca="1" si="802"/>
        <v>1</v>
      </c>
      <c r="HI74" s="220">
        <f t="shared" ca="1" si="974"/>
        <v>0.9739299222666441</v>
      </c>
      <c r="HJ74" s="220">
        <f t="shared" ca="1" si="975"/>
        <v>0</v>
      </c>
      <c r="HK74" s="235">
        <f t="shared" ca="1" si="976"/>
        <v>0.34699020474318382</v>
      </c>
      <c r="HL74" s="235">
        <f t="shared" ca="1" si="977"/>
        <v>0.34699020474318382</v>
      </c>
      <c r="HM74" s="242">
        <f t="shared" ca="1" si="978"/>
        <v>0.34699020474318382</v>
      </c>
      <c r="HN74" s="241">
        <f t="shared" ca="1" si="802"/>
        <v>1</v>
      </c>
      <c r="HO74" s="220">
        <f t="shared" ca="1" si="979"/>
        <v>0.97234631221303847</v>
      </c>
      <c r="HP74" s="220">
        <f t="shared" ca="1" si="980"/>
        <v>0</v>
      </c>
      <c r="HQ74" s="235">
        <f t="shared" ca="1" si="981"/>
        <v>0.33471110982634922</v>
      </c>
      <c r="HR74" s="235">
        <f t="shared" ca="1" si="982"/>
        <v>0.33471110982634922</v>
      </c>
      <c r="HS74" s="242">
        <f t="shared" ca="1" si="983"/>
        <v>0.33471110982634922</v>
      </c>
      <c r="HT74" s="241">
        <f t="shared" ca="1" si="802"/>
        <v>1</v>
      </c>
      <c r="HU74" s="220">
        <f t="shared" ca="1" si="984"/>
        <v>0.97072346621795491</v>
      </c>
      <c r="HV74" s="220">
        <f t="shared" ca="1" si="985"/>
        <v>0</v>
      </c>
      <c r="HW74" s="235">
        <f t="shared" ca="1" si="986"/>
        <v>0.32285263476719722</v>
      </c>
      <c r="HX74" s="235">
        <f t="shared" ca="1" si="987"/>
        <v>0.32285263476719722</v>
      </c>
      <c r="HY74" s="242">
        <f t="shared" ca="1" si="988"/>
        <v>0.32285263476719722</v>
      </c>
      <c r="HZ74" s="241">
        <f t="shared" ca="1" si="802"/>
        <v>1</v>
      </c>
      <c r="IA74" s="220">
        <f t="shared" ca="1" si="989"/>
        <v>0.96906158764378969</v>
      </c>
      <c r="IB74" s="220">
        <f t="shared" ca="1" si="990"/>
        <v>0</v>
      </c>
      <c r="IC74" s="235">
        <f t="shared" ca="1" si="991"/>
        <v>0.31140088024780266</v>
      </c>
      <c r="ID74" s="235">
        <f t="shared" ca="1" si="992"/>
        <v>0.31140088024780266</v>
      </c>
      <c r="IE74" s="242">
        <f t="shared" ca="1" si="993"/>
        <v>0.31140088024780266</v>
      </c>
      <c r="IF74" s="241">
        <f t="shared" ca="1" si="802"/>
        <v>1</v>
      </c>
      <c r="IG74" s="220">
        <f t="shared" ca="1" si="994"/>
        <v>0.96736088455747493</v>
      </c>
      <c r="IH74" s="220">
        <f t="shared" ca="1" si="995"/>
        <v>0</v>
      </c>
      <c r="II74" s="235">
        <f t="shared" ca="1" si="996"/>
        <v>0.30034238811880948</v>
      </c>
      <c r="IJ74" s="235">
        <f t="shared" ca="1" si="997"/>
        <v>0.30034238811880948</v>
      </c>
      <c r="IK74" s="242">
        <f t="shared" ca="1" si="998"/>
        <v>0.30034238811880948</v>
      </c>
      <c r="IL74" s="241">
        <f t="shared" ca="1" si="802"/>
        <v>1</v>
      </c>
      <c r="IM74" s="220">
        <f t="shared" ca="1" si="999"/>
        <v>0.96561963496527148</v>
      </c>
      <c r="IN74" s="220">
        <f t="shared" ca="1" si="1000"/>
        <v>0</v>
      </c>
      <c r="IO74" s="235">
        <f t="shared" ca="1" si="1001"/>
        <v>0.28966354765236296</v>
      </c>
      <c r="IP74" s="235">
        <f t="shared" ca="1" si="1002"/>
        <v>0.28966354765236296</v>
      </c>
      <c r="IQ74" s="242">
        <f t="shared" ca="1" si="1003"/>
        <v>0.28966354765236296</v>
      </c>
      <c r="IR74" s="241">
        <f t="shared" ca="1" si="802"/>
        <v>1</v>
      </c>
      <c r="IS74" s="220">
        <f t="shared" ca="1" si="1004"/>
        <v>0.96382841054241086</v>
      </c>
      <c r="IT74" s="220">
        <f t="shared" ca="1" si="1005"/>
        <v>0</v>
      </c>
      <c r="IU74" s="235">
        <f t="shared" ca="1" si="1006"/>
        <v>0.27934900654248102</v>
      </c>
      <c r="IV74" s="235">
        <f t="shared" ca="1" si="1007"/>
        <v>0.27934900654248102</v>
      </c>
      <c r="IW74" s="242">
        <f t="shared" ca="1" si="1008"/>
        <v>0.27934900654248102</v>
      </c>
      <c r="IX74" s="241">
        <f t="shared" ca="1" si="802"/>
        <v>1</v>
      </c>
      <c r="IY74" s="220">
        <f t="shared" ca="1" si="1009"/>
        <v>0.9619778599941694</v>
      </c>
      <c r="IZ74" s="220">
        <f t="shared" ca="1" si="1010"/>
        <v>0</v>
      </c>
      <c r="JA74" s="235">
        <f t="shared" ca="1" si="1011"/>
        <v>0.26938420913035699</v>
      </c>
      <c r="JB74" s="235">
        <f t="shared" ca="1" si="1012"/>
        <v>0.26938420913035699</v>
      </c>
      <c r="JC74" s="242">
        <f t="shared" ca="1" si="1013"/>
        <v>0.26938420913035699</v>
      </c>
      <c r="JD74" s="241">
        <f t="shared" ca="1" si="796"/>
        <v>1</v>
      </c>
      <c r="JE74" s="220">
        <f t="shared" ca="1" si="1014"/>
        <v>0.96006544800850102</v>
      </c>
      <c r="JF74" s="220">
        <f t="shared" ca="1" si="1015"/>
        <v>0</v>
      </c>
      <c r="JG74" s="235">
        <f t="shared" ca="1" si="1016"/>
        <v>0.25975717229237277</v>
      </c>
      <c r="JH74" s="235">
        <f t="shared" ca="1" si="1017"/>
        <v>0.25975717229237277</v>
      </c>
      <c r="JI74" s="242">
        <f t="shared" ca="1" si="1018"/>
        <v>0.25975717229237277</v>
      </c>
      <c r="JJ74" s="241">
        <f t="shared" ca="1" si="796"/>
        <v>1</v>
      </c>
      <c r="JK74" s="220">
        <f t="shared" ca="1" si="1019"/>
        <v>0.9580877131856036</v>
      </c>
      <c r="JL74" s="220">
        <f t="shared" ca="1" si="1020"/>
        <v>0</v>
      </c>
      <c r="JM74" s="235">
        <f t="shared" ca="1" si="1021"/>
        <v>0.25045610871251262</v>
      </c>
      <c r="JN74" s="235">
        <f t="shared" ca="1" si="1022"/>
        <v>0.25045610871251262</v>
      </c>
      <c r="JO74" s="242">
        <f t="shared" ca="1" si="1023"/>
        <v>0.25045610871251262</v>
      </c>
      <c r="JP74" s="241">
        <f t="shared" ca="1" si="803"/>
        <v>1</v>
      </c>
      <c r="JQ74" s="220">
        <f t="shared" ca="1" si="1024"/>
        <v>0.95603644739167326</v>
      </c>
      <c r="JR74" s="220">
        <f t="shared" ca="1" si="1025"/>
        <v>0</v>
      </c>
      <c r="JS74" s="235">
        <f t="shared" ca="1" si="1026"/>
        <v>0.24146848520169967</v>
      </c>
      <c r="JT74" s="235">
        <f t="shared" ca="1" si="1027"/>
        <v>0.24146848520169967</v>
      </c>
      <c r="JU74" s="242">
        <f t="shared" ca="1" si="1028"/>
        <v>0.24146848520169967</v>
      </c>
      <c r="JV74" s="241">
        <f t="shared" ca="1" si="803"/>
        <v>1</v>
      </c>
      <c r="JW74" s="220">
        <f t="shared" ca="1" si="1029"/>
        <v>0.95389492574951584</v>
      </c>
      <c r="JX74" s="220">
        <f t="shared" ca="1" si="1030"/>
        <v>0</v>
      </c>
      <c r="JY74" s="235">
        <f t="shared" ca="1" si="1031"/>
        <v>0.23278028579212359</v>
      </c>
      <c r="JZ74" s="235">
        <f t="shared" ca="1" si="1032"/>
        <v>0.23278028579212359</v>
      </c>
      <c r="KA74" s="242">
        <f t="shared" ca="1" si="1033"/>
        <v>0.23278028579212359</v>
      </c>
      <c r="KB74" s="241">
        <f t="shared" ca="1" si="803"/>
        <v>1</v>
      </c>
      <c r="KC74" s="220">
        <f t="shared" ca="1" si="1034"/>
        <v>0.95164182593489555</v>
      </c>
      <c r="KD74" s="220">
        <f t="shared" ca="1" si="1035"/>
        <v>0</v>
      </c>
      <c r="KE74" s="235">
        <f t="shared" ca="1" si="1036"/>
        <v>0.22437725483776094</v>
      </c>
      <c r="KF74" s="235">
        <f t="shared" ca="1" si="1037"/>
        <v>0.22437725483776094</v>
      </c>
      <c r="KG74" s="242">
        <f t="shared" ca="1" si="1038"/>
        <v>0.22437725483776094</v>
      </c>
      <c r="KH74" s="241">
        <f t="shared" ca="1" si="803"/>
        <v>1</v>
      </c>
      <c r="KI74" s="220">
        <f t="shared" ca="1" si="1039"/>
        <v>0.94925415659362489</v>
      </c>
      <c r="KJ74" s="220">
        <f t="shared" ca="1" si="1040"/>
        <v>0</v>
      </c>
      <c r="KK74" s="235">
        <f t="shared" ca="1" si="1041"/>
        <v>0.21624569304866956</v>
      </c>
      <c r="KL74" s="235">
        <f t="shared" ca="1" si="1042"/>
        <v>0.21624569304866956</v>
      </c>
      <c r="KM74" s="242">
        <f t="shared" ca="1" si="1043"/>
        <v>0.21624569304866956</v>
      </c>
      <c r="KN74" s="241">
        <f t="shared" ca="1" si="803"/>
        <v>1</v>
      </c>
      <c r="KO74" s="220">
        <f t="shared" ca="1" si="1044"/>
        <v>0.94670635843732753</v>
      </c>
      <c r="KP74" s="220">
        <f t="shared" ca="1" si="1045"/>
        <v>0</v>
      </c>
      <c r="KQ74" s="235">
        <f t="shared" ca="1" si="1046"/>
        <v>0.2083722604913304</v>
      </c>
      <c r="KR74" s="235">
        <f t="shared" ca="1" si="1047"/>
        <v>0.2083722604913304</v>
      </c>
      <c r="KS74" s="242">
        <f t="shared" ca="1" si="1048"/>
        <v>0.2083722604913304</v>
      </c>
      <c r="KT74" s="241">
        <f t="shared" ca="1" si="803"/>
        <v>1</v>
      </c>
      <c r="KU74" s="220">
        <f t="shared" ca="1" si="1049"/>
        <v>0.94397037706144371</v>
      </c>
      <c r="KV74" s="220">
        <f t="shared" ca="1" si="1050"/>
        <v>0</v>
      </c>
      <c r="KW74" s="235">
        <f t="shared" ca="1" si="1051"/>
        <v>0.20074402382464779</v>
      </c>
      <c r="KX74" s="235">
        <f t="shared" ca="1" si="1052"/>
        <v>0.20074402382464779</v>
      </c>
      <c r="KY74" s="242">
        <f t="shared" ca="1" si="1053"/>
        <v>0.20074402382464779</v>
      </c>
      <c r="KZ74" s="241">
        <f t="shared" ca="1" si="803"/>
        <v>1</v>
      </c>
      <c r="LA74" s="220">
        <f t="shared" ca="1" si="1054"/>
        <v>0.94102424551463493</v>
      </c>
      <c r="LB74" s="220">
        <f t="shared" ca="1" si="1055"/>
        <v>0</v>
      </c>
      <c r="LC74" s="235">
        <f t="shared" ca="1" si="1056"/>
        <v>0.19335024321380778</v>
      </c>
      <c r="LD74" s="235">
        <f t="shared" ca="1" si="1057"/>
        <v>0.19335024321380778</v>
      </c>
      <c r="LE74" s="242">
        <f t="shared" ca="1" si="1058"/>
        <v>0.19335024321380778</v>
      </c>
      <c r="LF74" s="241">
        <f t="shared" ca="1" si="803"/>
        <v>1</v>
      </c>
      <c r="LG74" s="220">
        <f t="shared" ca="1" si="1059"/>
        <v>0.93783793741932242</v>
      </c>
      <c r="LH74" s="220">
        <f t="shared" ca="1" si="1060"/>
        <v>0</v>
      </c>
      <c r="LI74" s="235">
        <f t="shared" ca="1" si="1061"/>
        <v>0.18617928433844047</v>
      </c>
      <c r="LJ74" s="235">
        <f t="shared" ca="1" si="1062"/>
        <v>0.18617928433844047</v>
      </c>
      <c r="LK74" s="242">
        <f t="shared" ca="1" si="1063"/>
        <v>0.18617928433844047</v>
      </c>
      <c r="LL74" s="241">
        <f t="shared" ca="1" si="803"/>
        <v>1</v>
      </c>
      <c r="LM74" s="220">
        <f t="shared" ca="1" si="1064"/>
        <v>0.93436137218530901</v>
      </c>
      <c r="LN74" s="220">
        <f t="shared" ca="1" si="1065"/>
        <v>0</v>
      </c>
      <c r="LO74" s="235">
        <f t="shared" ca="1" si="1066"/>
        <v>0.17921653887091585</v>
      </c>
      <c r="LP74" s="235">
        <f t="shared" ca="1" si="1067"/>
        <v>0.17921653887091585</v>
      </c>
      <c r="LQ74" s="242">
        <f t="shared" ca="1" si="1068"/>
        <v>0.17921653887091585</v>
      </c>
      <c r="LR74" s="241">
        <f t="shared" ca="1" si="803"/>
        <v>1</v>
      </c>
      <c r="LS74" s="220">
        <f t="shared" ca="1" si="1069"/>
        <v>0.93053889981169891</v>
      </c>
      <c r="LT74" s="220">
        <f t="shared" ca="1" si="1070"/>
        <v>0</v>
      </c>
      <c r="LU74" s="235">
        <f t="shared" ca="1" si="1071"/>
        <v>0.17244769469603377</v>
      </c>
      <c r="LV74" s="235">
        <f t="shared" ca="1" si="1072"/>
        <v>0.17244769469603377</v>
      </c>
      <c r="LW74" s="242">
        <f t="shared" ca="1" si="1073"/>
        <v>0.17244769469603377</v>
      </c>
      <c r="LX74" s="241">
        <f t="shared" ca="1" si="803"/>
        <v>1</v>
      </c>
      <c r="LY74" s="220">
        <f t="shared" ca="1" si="1074"/>
        <v>0.92632262805665211</v>
      </c>
      <c r="LZ74" s="220">
        <f t="shared" ca="1" si="1075"/>
        <v>0</v>
      </c>
      <c r="MA74" s="235">
        <f t="shared" ca="1" si="1076"/>
        <v>0.16586119245542613</v>
      </c>
      <c r="MB74" s="235">
        <f t="shared" ca="1" si="1077"/>
        <v>0.16586119245542613</v>
      </c>
      <c r="MC74" s="242">
        <f t="shared" ca="1" si="1078"/>
        <v>0.16586119245542613</v>
      </c>
      <c r="MD74" s="241">
        <f t="shared" ca="1" si="797"/>
        <v>1</v>
      </c>
      <c r="ME74" s="220">
        <f t="shared" ca="1" si="1079"/>
        <v>0.92167897272220412</v>
      </c>
      <c r="MF74" s="220">
        <f t="shared" ca="1" si="1080"/>
        <v>0</v>
      </c>
      <c r="MG74" s="235">
        <f t="shared" ca="1" si="1081"/>
        <v>0.15944901478033538</v>
      </c>
      <c r="MH74" s="235">
        <f t="shared" ca="1" si="1082"/>
        <v>0.15944901478033538</v>
      </c>
      <c r="MI74" s="242">
        <f t="shared" ca="1" si="1083"/>
        <v>0.15944901478033538</v>
      </c>
      <c r="MJ74" s="241">
        <f t="shared" ca="1" si="797"/>
        <v>1</v>
      </c>
      <c r="MK74" s="220">
        <f t="shared" ca="1" si="1084"/>
        <v>0.91658761807688671</v>
      </c>
      <c r="ML74" s="220">
        <f t="shared" ca="1" si="1085"/>
        <v>0</v>
      </c>
      <c r="MM74" s="235">
        <f t="shared" ca="1" si="1086"/>
        <v>0.15320600813786359</v>
      </c>
      <c r="MN74" s="235">
        <f t="shared" ca="1" si="1087"/>
        <v>0.15320600813786359</v>
      </c>
      <c r="MO74" s="242">
        <f t="shared" ca="1" si="1088"/>
        <v>0.15320600813786359</v>
      </c>
      <c r="MP74" s="241">
        <f t="shared" ca="1" si="804"/>
        <v>1</v>
      </c>
      <c r="MQ74" s="220">
        <f t="shared" ca="1" si="1089"/>
        <v>0.91103401369895887</v>
      </c>
      <c r="MR74" s="220">
        <f t="shared" ca="1" si="1090"/>
        <v>0</v>
      </c>
      <c r="MS74" s="235">
        <f t="shared" ca="1" si="1091"/>
        <v>0.1471282443812138</v>
      </c>
      <c r="MT74" s="235">
        <f t="shared" ca="1" si="1092"/>
        <v>0.1471282443812138</v>
      </c>
      <c r="MU74" s="242">
        <f t="shared" ca="1" si="1093"/>
        <v>0.1471282443812138</v>
      </c>
      <c r="MV74" s="241">
        <f t="shared" ca="1" si="804"/>
        <v>1</v>
      </c>
      <c r="MW74" s="220">
        <f t="shared" ca="1" si="1094"/>
        <v>0.90501116783439506</v>
      </c>
      <c r="MX74" s="220">
        <f t="shared" ca="1" si="1095"/>
        <v>0</v>
      </c>
      <c r="MY74" s="235">
        <f t="shared" ca="1" si="1096"/>
        <v>0.14121312034551653</v>
      </c>
      <c r="MZ74" s="235">
        <f t="shared" ca="1" si="1097"/>
        <v>0.14121312034551653</v>
      </c>
      <c r="NA74" s="242">
        <f t="shared" ca="1" si="1098"/>
        <v>0.14121312034551653</v>
      </c>
      <c r="NB74" s="241">
        <f t="shared" ca="1" si="804"/>
        <v>1</v>
      </c>
      <c r="NC74" s="220">
        <f t="shared" ca="1" si="1099"/>
        <v>0.89850685257116925</v>
      </c>
      <c r="ND74" s="220">
        <f t="shared" ca="1" si="1100"/>
        <v>0</v>
      </c>
      <c r="NE74" s="235">
        <f t="shared" ca="1" si="1101"/>
        <v>0.13545721898511429</v>
      </c>
      <c r="NF74" s="235">
        <f t="shared" ca="1" si="1102"/>
        <v>0.13545721898511429</v>
      </c>
      <c r="NG74" s="242">
        <f t="shared" ca="1" si="1103"/>
        <v>0.13545721898511429</v>
      </c>
      <c r="NH74" s="241">
        <f t="shared" ca="1" si="804"/>
        <v>1</v>
      </c>
      <c r="NI74" s="220">
        <f t="shared" ca="1" si="1104"/>
        <v>0.89149849912111412</v>
      </c>
      <c r="NJ74" s="220">
        <f t="shared" ca="1" si="1105"/>
        <v>0</v>
      </c>
      <c r="NK74" s="235">
        <f t="shared" ca="1" si="1106"/>
        <v>0.12985570306959462</v>
      </c>
      <c r="NL74" s="235">
        <f t="shared" ca="1" si="1107"/>
        <v>0.12985570306959462</v>
      </c>
      <c r="NM74" s="242">
        <f t="shared" ca="1" si="1108"/>
        <v>0.12985570306959462</v>
      </c>
      <c r="NN74" s="241">
        <f t="shared" ca="1" si="804"/>
        <v>1</v>
      </c>
      <c r="NO74" s="220">
        <f t="shared" ca="1" si="1109"/>
        <v>0.88395998781254592</v>
      </c>
      <c r="NP74" s="220">
        <f t="shared" ca="1" si="1110"/>
        <v>0</v>
      </c>
      <c r="NQ74" s="235">
        <f t="shared" ca="1" si="1111"/>
        <v>0.12440352004293539</v>
      </c>
      <c r="NR74" s="235">
        <f t="shared" ca="1" si="1112"/>
        <v>0.12440352004293539</v>
      </c>
      <c r="NS74" s="242">
        <f t="shared" ca="1" si="1113"/>
        <v>0.12440352004293539</v>
      </c>
      <c r="NT74" s="241">
        <f t="shared" ca="1" si="804"/>
        <v>1</v>
      </c>
      <c r="NU74" s="220">
        <f t="shared" ca="1" si="1114"/>
        <v>0.87587705768398794</v>
      </c>
      <c r="NV74" s="220">
        <f t="shared" ca="1" si="1115"/>
        <v>0</v>
      </c>
      <c r="NW74" s="235">
        <f t="shared" ca="1" si="1116"/>
        <v>0.11909755966730703</v>
      </c>
      <c r="NX74" s="235">
        <f t="shared" ca="1" si="1117"/>
        <v>0.11909755966730703</v>
      </c>
      <c r="NY74" s="242">
        <f t="shared" ca="1" si="1118"/>
        <v>0.11909755966730703</v>
      </c>
      <c r="NZ74" s="241">
        <f t="shared" ca="1" si="804"/>
        <v>1</v>
      </c>
      <c r="OA74" s="220">
        <f t="shared" ca="1" si="1119"/>
        <v>0.86723653050993543</v>
      </c>
      <c r="OB74" s="220">
        <f t="shared" ca="1" si="1120"/>
        <v>0</v>
      </c>
      <c r="OC74" s="235">
        <f t="shared" ca="1" si="1121"/>
        <v>0.11393493936346769</v>
      </c>
      <c r="OD74" s="235">
        <f t="shared" ca="1" si="1122"/>
        <v>0.11393493936346769</v>
      </c>
      <c r="OE74" s="242">
        <f t="shared" ca="1" si="1123"/>
        <v>0.11393493936346769</v>
      </c>
      <c r="OF74" s="241">
        <f t="shared" ca="1" si="804"/>
        <v>1</v>
      </c>
      <c r="OG74" s="220">
        <f t="shared" ca="1" si="1124"/>
        <v>0.85802474408285889</v>
      </c>
      <c r="OH74" s="220">
        <f t="shared" ca="1" si="1125"/>
        <v>0</v>
      </c>
      <c r="OI74" s="235">
        <f t="shared" ca="1" si="1126"/>
        <v>0.10891277530197965</v>
      </c>
      <c r="OJ74" s="235">
        <f t="shared" ca="1" si="1127"/>
        <v>0.10891277530197965</v>
      </c>
      <c r="OK74" s="242">
        <f t="shared" ca="1" si="1128"/>
        <v>0.10891277530197965</v>
      </c>
      <c r="OL74" s="241">
        <f t="shared" ca="1" si="804"/>
        <v>1</v>
      </c>
      <c r="OM74" s="220">
        <f t="shared" ca="1" si="1129"/>
        <v>0.84819349656515752</v>
      </c>
      <c r="ON74" s="220">
        <f t="shared" ca="1" si="1130"/>
        <v>0</v>
      </c>
      <c r="OO74" s="235">
        <f t="shared" ca="1" si="1131"/>
        <v>0.10402401229233778</v>
      </c>
      <c r="OP74" s="235">
        <f t="shared" ca="1" si="1132"/>
        <v>0.10402401229233778</v>
      </c>
      <c r="OQ74" s="242">
        <f t="shared" ca="1" si="1133"/>
        <v>0.10402401229233778</v>
      </c>
      <c r="OR74" s="241">
        <f t="shared" ca="1" si="804"/>
        <v>1</v>
      </c>
      <c r="OS74" s="220">
        <f t="shared" ca="1" si="1134"/>
        <v>0.83771830688257787</v>
      </c>
      <c r="OT74" s="220">
        <f t="shared" ca="1" si="1135"/>
        <v>0</v>
      </c>
      <c r="OU74" s="235">
        <f t="shared" ca="1" si="1136"/>
        <v>9.9265039362828419E-2</v>
      </c>
      <c r="OV74" s="235">
        <f t="shared" ca="1" si="1137"/>
        <v>9.9265039362828419E-2</v>
      </c>
      <c r="OW74" s="242">
        <f t="shared" ca="1" si="1138"/>
        <v>9.9265039362828419E-2</v>
      </c>
      <c r="OX74" s="241">
        <f t="shared" ca="1" si="804"/>
        <v>1</v>
      </c>
      <c r="OY74" s="220">
        <f t="shared" ca="1" si="1139"/>
        <v>0.82663110509098692</v>
      </c>
      <c r="OZ74" s="220">
        <f t="shared" ca="1" si="1140"/>
        <v>0</v>
      </c>
      <c r="PA74" s="235">
        <f t="shared" ca="1" si="1141"/>
        <v>9.4638904895518239E-2</v>
      </c>
      <c r="PB74" s="235">
        <f t="shared" ca="1" si="1142"/>
        <v>9.4638904895518239E-2</v>
      </c>
      <c r="PC74" s="242">
        <f t="shared" ca="1" si="1143"/>
        <v>9.4638904895518239E-2</v>
      </c>
      <c r="PD74" s="241">
        <f t="shared" ca="1" si="798"/>
        <v>1</v>
      </c>
      <c r="PE74" s="220">
        <f t="shared" ca="1" si="1144"/>
        <v>0.81497808640251923</v>
      </c>
      <c r="PF74" s="220">
        <f t="shared" ca="1" si="1145"/>
        <v>0</v>
      </c>
      <c r="PG74" s="235">
        <f t="shared" ca="1" si="1146"/>
        <v>9.0149546138363415E-2</v>
      </c>
      <c r="PH74" s="235">
        <f t="shared" ca="1" si="1147"/>
        <v>9.0149546138363415E-2</v>
      </c>
      <c r="PI74" s="242">
        <f t="shared" ca="1" si="1148"/>
        <v>9.0149546138363415E-2</v>
      </c>
      <c r="PJ74" s="241">
        <f t="shared" ca="1" si="798"/>
        <v>1</v>
      </c>
      <c r="PK74" s="220">
        <f t="shared" ca="1" si="1149"/>
        <v>0.80277052964629592</v>
      </c>
      <c r="PL74" s="220">
        <f t="shared" ca="1" si="1150"/>
        <v>0</v>
      </c>
      <c r="PM74" s="235">
        <f t="shared" ca="1" si="1151"/>
        <v>8.5796324721504238E-2</v>
      </c>
      <c r="PN74" s="235">
        <f t="shared" ca="1" si="1152"/>
        <v>8.5796324721504238E-2</v>
      </c>
      <c r="PO74" s="242">
        <f t="shared" ca="1" si="1153"/>
        <v>8.5796324721504238E-2</v>
      </c>
      <c r="PP74" s="241">
        <f t="shared" ca="1" si="805"/>
        <v>1</v>
      </c>
      <c r="PQ74" s="220">
        <f t="shared" ca="1" si="1154"/>
        <v>0.78995269259943357</v>
      </c>
      <c r="PR74" s="220">
        <f t="shared" ca="1" si="1155"/>
        <v>0</v>
      </c>
      <c r="PS74" s="235">
        <f t="shared" ca="1" si="1156"/>
        <v>8.1571415270218356E-2</v>
      </c>
      <c r="PT74" s="235">
        <f t="shared" ca="1" si="1157"/>
        <v>8.1571415270218356E-2</v>
      </c>
      <c r="PU74" s="242">
        <f t="shared" ca="1" si="1158"/>
        <v>8.1571415270218356E-2</v>
      </c>
      <c r="PV74" s="241">
        <f t="shared" ca="1" si="805"/>
        <v>1</v>
      </c>
      <c r="PW74" s="220">
        <f t="shared" ca="1" si="1159"/>
        <v>0.77643739198174988</v>
      </c>
      <c r="PX74" s="220">
        <f t="shared" ca="1" si="1160"/>
        <v>0</v>
      </c>
      <c r="PY74" s="235">
        <f t="shared" ca="1" si="1161"/>
        <v>7.7464550653488104E-2</v>
      </c>
      <c r="PZ74" s="235">
        <f t="shared" ca="1" si="1162"/>
        <v>7.7464550653488104E-2</v>
      </c>
      <c r="QA74" s="242">
        <f t="shared" ca="1" si="1163"/>
        <v>7.7464550653488104E-2</v>
      </c>
      <c r="QB74" s="241">
        <f t="shared" ca="1" si="805"/>
        <v>1</v>
      </c>
      <c r="QC74" s="220">
        <f t="shared" ca="1" si="1164"/>
        <v>0.76215715546842155</v>
      </c>
      <c r="QD74" s="220">
        <f t="shared" ca="1" si="1165"/>
        <v>0</v>
      </c>
      <c r="QE74" s="235">
        <f t="shared" ca="1" si="1166"/>
        <v>7.3468427669438799E-2</v>
      </c>
      <c r="QF74" s="235">
        <f t="shared" ca="1" si="1167"/>
        <v>7.3468427669438799E-2</v>
      </c>
      <c r="QG74" s="242">
        <f t="shared" ca="1" si="1168"/>
        <v>7.3468427669438799E-2</v>
      </c>
      <c r="QH74" s="241">
        <f t="shared" ca="1" si="805"/>
        <v>1</v>
      </c>
      <c r="QI74" s="220">
        <f t="shared" ca="1" si="1169"/>
        <v>0.74703900613254992</v>
      </c>
      <c r="QJ74" s="220">
        <f t="shared" ca="1" si="1170"/>
        <v>0</v>
      </c>
      <c r="QK74" s="235">
        <f t="shared" ca="1" si="1171"/>
        <v>6.9575949698732195E-2</v>
      </c>
      <c r="QL74" s="235">
        <f t="shared" ca="1" si="1172"/>
        <v>6.9575949698732195E-2</v>
      </c>
      <c r="QM74" s="242">
        <f t="shared" ca="1" si="1173"/>
        <v>6.9575949698732195E-2</v>
      </c>
      <c r="QN74" s="241">
        <f t="shared" ca="1" si="805"/>
        <v>1</v>
      </c>
      <c r="QO74" s="220">
        <f t="shared" ca="1" si="1174"/>
        <v>0.73100381386591473</v>
      </c>
      <c r="QP74" s="220">
        <f t="shared" ca="1" si="1175"/>
        <v>0</v>
      </c>
      <c r="QQ74" s="235">
        <f t="shared" ca="1" si="1176"/>
        <v>6.5780195109612458E-2</v>
      </c>
      <c r="QR74" s="235">
        <f t="shared" ca="1" si="1177"/>
        <v>6.5780195109612458E-2</v>
      </c>
      <c r="QS74" s="242">
        <f t="shared" ca="1" si="1178"/>
        <v>6.5780195109612458E-2</v>
      </c>
      <c r="QT74" s="241">
        <f t="shared" ca="1" si="805"/>
        <v>1</v>
      </c>
      <c r="QU74" s="220">
        <f t="shared" ca="1" si="1179"/>
        <v>0.71393414380833176</v>
      </c>
      <c r="QV74" s="220">
        <f t="shared" ca="1" si="1180"/>
        <v>0</v>
      </c>
      <c r="QW74" s="235">
        <f t="shared" ca="1" si="1181"/>
        <v>6.2071653887543876E-2</v>
      </c>
      <c r="QX74" s="235">
        <f t="shared" ca="1" si="1182"/>
        <v>6.2071653887543876E-2</v>
      </c>
      <c r="QY74" s="242">
        <f t="shared" ca="1" si="1183"/>
        <v>6.2071653887543876E-2</v>
      </c>
      <c r="QZ74" s="241">
        <f t="shared" ca="1" si="805"/>
        <v>1</v>
      </c>
      <c r="RA74" s="220">
        <f t="shared" ca="1" si="1184"/>
        <v>0.69574167395580788</v>
      </c>
      <c r="RB74" s="220">
        <f t="shared" ca="1" si="1185"/>
        <v>0</v>
      </c>
      <c r="RC74" s="235">
        <f t="shared" ca="1" si="1186"/>
        <v>5.8444390341238162E-2</v>
      </c>
      <c r="RD74" s="235">
        <f t="shared" ca="1" si="1187"/>
        <v>5.8444390341238162E-2</v>
      </c>
      <c r="RE74" s="242">
        <f t="shared" ca="1" si="1188"/>
        <v>5.8444390341238162E-2</v>
      </c>
      <c r="RF74" s="241">
        <f t="shared" ca="1" si="805"/>
        <v>1</v>
      </c>
      <c r="RG74" s="220">
        <f t="shared" ca="1" si="1189"/>
        <v>0.67640422986988014</v>
      </c>
      <c r="RH74" s="220">
        <f t="shared" ca="1" si="1190"/>
        <v>0</v>
      </c>
      <c r="RI74" s="235">
        <f t="shared" ca="1" si="1191"/>
        <v>5.4898538121829751E-2</v>
      </c>
      <c r="RJ74" s="235">
        <f t="shared" ca="1" si="1192"/>
        <v>5.4898538121829751E-2</v>
      </c>
      <c r="RK74" s="242">
        <f t="shared" ca="1" si="1193"/>
        <v>5.4898538121829751E-2</v>
      </c>
      <c r="RL74" s="241">
        <f t="shared" ca="1" si="805"/>
        <v>1</v>
      </c>
      <c r="RM74" s="220">
        <f t="shared" ca="1" si="1194"/>
        <v>0.65592135698096043</v>
      </c>
      <c r="RN74" s="220">
        <f t="shared" ca="1" si="1195"/>
        <v>0</v>
      </c>
      <c r="RO74" s="235">
        <f t="shared" ca="1" si="1196"/>
        <v>5.1435845981086484E-2</v>
      </c>
      <c r="RP74" s="235">
        <f t="shared" ca="1" si="1197"/>
        <v>5.1435845981086484E-2</v>
      </c>
      <c r="RQ74" s="242">
        <f t="shared" ca="1" si="1198"/>
        <v>5.1435845981086484E-2</v>
      </c>
      <c r="RR74" s="241">
        <f t="shared" ca="1" si="805"/>
        <v>1</v>
      </c>
      <c r="RS74" s="220">
        <f t="shared" ca="1" si="1199"/>
        <v>0.63426152193073515</v>
      </c>
      <c r="RT74" s="220">
        <f t="shared" ca="1" si="1200"/>
        <v>0</v>
      </c>
      <c r="RU74" s="235">
        <f t="shared" ca="1" si="1201"/>
        <v>4.8055392729564286E-2</v>
      </c>
      <c r="RV74" s="235">
        <f t="shared" ca="1" si="1202"/>
        <v>4.8055392729564286E-2</v>
      </c>
      <c r="RW74" s="242">
        <f t="shared" ca="1" si="1203"/>
        <v>4.8055392729564286E-2</v>
      </c>
      <c r="RX74" s="241">
        <f t="shared" ca="1" si="805"/>
        <v>1</v>
      </c>
      <c r="RY74" s="220">
        <f t="shared" ca="1" si="1204"/>
        <v>0.61130062057532053</v>
      </c>
      <c r="RZ74" s="220">
        <f t="shared" ca="1" si="1205"/>
        <v>0</v>
      </c>
      <c r="SA74" s="235">
        <f t="shared" ca="1" si="1206"/>
        <v>4.4749506722088245E-2</v>
      </c>
      <c r="SB74" s="235">
        <f t="shared" ca="1" si="1207"/>
        <v>4.4749506722088245E-2</v>
      </c>
      <c r="SC74" s="242">
        <f t="shared" ca="1" si="1208"/>
        <v>4.4749506722088245E-2</v>
      </c>
      <c r="SD74" s="241">
        <f t="shared" ca="1" si="799"/>
        <v>1</v>
      </c>
      <c r="SE74" s="220">
        <f t="shared" ca="1" si="1209"/>
        <v>0.58693540044042947</v>
      </c>
      <c r="SF74" s="220">
        <f t="shared" ca="1" si="1210"/>
        <v>0</v>
      </c>
      <c r="SG74" s="235">
        <f t="shared" ca="1" si="1211"/>
        <v>4.1512928389525854E-2</v>
      </c>
      <c r="SH74" s="235">
        <f t="shared" ca="1" si="1212"/>
        <v>4.1512928389525854E-2</v>
      </c>
      <c r="SI74" s="242">
        <f t="shared" ca="1" si="1213"/>
        <v>4.1512928389525854E-2</v>
      </c>
      <c r="SJ74" s="241">
        <f t="shared" ca="1" si="799"/>
        <v>1</v>
      </c>
      <c r="SK74" s="220">
        <f t="shared" ca="1" si="1214"/>
        <v>0.56117421877969853</v>
      </c>
      <c r="SL74" s="220">
        <f t="shared" ca="1" si="1215"/>
        <v>0</v>
      </c>
      <c r="SM74" s="235">
        <f t="shared" ca="1" si="1216"/>
        <v>3.8348680627614658E-2</v>
      </c>
      <c r="SN74" s="235">
        <f t="shared" ca="1" si="1217"/>
        <v>3.8348680627614658E-2</v>
      </c>
      <c r="SO74" s="242">
        <f t="shared" ca="1" si="1218"/>
        <v>3.8348680627614658E-2</v>
      </c>
      <c r="SP74" s="241">
        <f t="shared" ca="1" si="808"/>
        <v>1</v>
      </c>
      <c r="SQ74" s="220">
        <f t="shared" ca="1" si="1219"/>
        <v>0.5340633310962325</v>
      </c>
      <c r="SR74" s="220">
        <f t="shared" ca="1" si="1220"/>
        <v>0</v>
      </c>
      <c r="SS74" s="235">
        <f t="shared" ca="1" si="1221"/>
        <v>3.5261852674216394E-2</v>
      </c>
      <c r="ST74" s="235">
        <f t="shared" ca="1" si="1222"/>
        <v>3.5261852674216394E-2</v>
      </c>
      <c r="SU74" s="242">
        <f t="shared" ca="1" si="1223"/>
        <v>3.5261852674216394E-2</v>
      </c>
      <c r="SV74" s="241">
        <f t="shared" ca="1" si="808"/>
        <v>1</v>
      </c>
      <c r="SW74" s="220">
        <f t="shared" ca="1" si="1224"/>
        <v>0.50563620810864218</v>
      </c>
      <c r="SX74" s="220">
        <f t="shared" ca="1" si="1225"/>
        <v>0</v>
      </c>
      <c r="SY74" s="235">
        <f t="shared" ca="1" si="1226"/>
        <v>3.2255975632920972E-2</v>
      </c>
      <c r="SZ74" s="235">
        <f t="shared" ca="1" si="1227"/>
        <v>3.2255975632920972E-2</v>
      </c>
      <c r="TA74" s="242">
        <f t="shared" ca="1" si="1228"/>
        <v>3.2255975632920972E-2</v>
      </c>
      <c r="TB74" s="241">
        <f t="shared" ca="1" si="808"/>
        <v>1</v>
      </c>
      <c r="TC74" s="220">
        <f t="shared" ca="1" si="1229"/>
        <v>0.47585575235966748</v>
      </c>
      <c r="TD74" s="220">
        <f t="shared" ca="1" si="1230"/>
        <v>0</v>
      </c>
      <c r="TE74" s="235">
        <f t="shared" ca="1" si="1231"/>
        <v>2.9329657426153458E-2</v>
      </c>
      <c r="TF74" s="235">
        <f t="shared" ca="1" si="1232"/>
        <v>2.9329657426153458E-2</v>
      </c>
      <c r="TG74" s="242">
        <f t="shared" ca="1" si="1233"/>
        <v>2.9329657426153458E-2</v>
      </c>
      <c r="TH74" s="241">
        <f t="shared" ca="1" si="808"/>
        <v>1</v>
      </c>
      <c r="TI74" s="220">
        <f t="shared" ca="1" si="1234"/>
        <v>0.4447514411066778</v>
      </c>
      <c r="TJ74" s="220">
        <f t="shared" ca="1" si="1235"/>
        <v>0</v>
      </c>
      <c r="TK74" s="235">
        <f t="shared" ca="1" si="1236"/>
        <v>2.6485530790814431E-2</v>
      </c>
      <c r="TL74" s="235">
        <f t="shared" ca="1" si="1237"/>
        <v>2.6485530790814431E-2</v>
      </c>
      <c r="TM74" s="242">
        <f t="shared" ca="1" si="1238"/>
        <v>2.6485530790814431E-2</v>
      </c>
      <c r="TN74" s="241">
        <f t="shared" ca="1" si="808"/>
        <v>1</v>
      </c>
      <c r="TO74" s="220">
        <f t="shared" ca="1" si="1239"/>
        <v>0.41251096438941365</v>
      </c>
      <c r="TP74" s="220">
        <f t="shared" ca="1" si="1240"/>
        <v>0</v>
      </c>
      <c r="TQ74" s="235">
        <f t="shared" ca="1" si="1241"/>
        <v>2.3734848481408222E-2</v>
      </c>
      <c r="TR74" s="235">
        <f t="shared" ca="1" si="1242"/>
        <v>2.3734848481408222E-2</v>
      </c>
      <c r="TS74" s="242">
        <f t="shared" ca="1" si="1243"/>
        <v>2.3734848481408222E-2</v>
      </c>
      <c r="TT74" s="241">
        <f t="shared" ca="1" si="808"/>
        <v>1</v>
      </c>
      <c r="TU74" s="220">
        <f t="shared" ca="1" si="1244"/>
        <v>0.37939128408051637</v>
      </c>
      <c r="TV74" s="220">
        <f t="shared" ca="1" si="1245"/>
        <v>0</v>
      </c>
      <c r="TW74" s="235">
        <f t="shared" ca="1" si="1246"/>
        <v>2.1091038615007652E-2</v>
      </c>
      <c r="TX74" s="235">
        <f t="shared" ca="1" si="1247"/>
        <v>2.1091038615007652E-2</v>
      </c>
      <c r="TY74" s="242">
        <f t="shared" ca="1" si="1248"/>
        <v>2.1091038615007652E-2</v>
      </c>
      <c r="TZ74" s="241">
        <f t="shared" ca="1" si="808"/>
        <v>1</v>
      </c>
      <c r="UA74" s="220">
        <f t="shared" ca="1" si="1249"/>
        <v>0.34565732866521315</v>
      </c>
      <c r="UB74" s="220">
        <f t="shared" ca="1" si="1250"/>
        <v>0</v>
      </c>
      <c r="UC74" s="235">
        <f t="shared" ca="1" si="1251"/>
        <v>1.8565901280691431E-2</v>
      </c>
      <c r="UD74" s="235">
        <f t="shared" ca="1" si="1252"/>
        <v>1.8565901280691431E-2</v>
      </c>
      <c r="UE74" s="242">
        <f t="shared" ca="1" si="1253"/>
        <v>1.8565901280691431E-2</v>
      </c>
      <c r="UF74" s="241">
        <f t="shared" ca="1" si="808"/>
        <v>1</v>
      </c>
      <c r="UG74" s="220">
        <f t="shared" ca="1" si="1254"/>
        <v>0.31158381183471112</v>
      </c>
      <c r="UH74" s="220">
        <f t="shared" ca="1" si="1255"/>
        <v>0</v>
      </c>
      <c r="UI74" s="235">
        <f t="shared" ca="1" si="1256"/>
        <v>1.6169805793281151E-2</v>
      </c>
      <c r="UJ74" s="235">
        <f t="shared" ca="1" si="1257"/>
        <v>1.6169805793281151E-2</v>
      </c>
      <c r="UK74" s="242">
        <f t="shared" ca="1" si="1258"/>
        <v>1.6169805793281151E-2</v>
      </c>
      <c r="UL74" s="241">
        <f t="shared" ca="1" si="808"/>
        <v>1</v>
      </c>
      <c r="UM74" s="220">
        <f t="shared" ca="1" si="1259"/>
        <v>0.27748470263514402</v>
      </c>
      <c r="UN74" s="220">
        <f t="shared" ca="1" si="1260"/>
        <v>0</v>
      </c>
      <c r="UO74" s="235">
        <f t="shared" ca="1" si="1261"/>
        <v>1.3913250808575896E-2</v>
      </c>
      <c r="UP74" s="235">
        <f t="shared" ca="1" si="1262"/>
        <v>1.3913250808575896E-2</v>
      </c>
      <c r="UQ74" s="242">
        <f t="shared" ca="1" si="1263"/>
        <v>1.3913250808575896E-2</v>
      </c>
      <c r="UR74" s="241">
        <f t="shared" ca="1" si="808"/>
        <v>1</v>
      </c>
      <c r="US74" s="220">
        <f t="shared" ca="1" si="1264"/>
        <v>0.24373729058536042</v>
      </c>
      <c r="UT74" s="220">
        <f t="shared" ca="1" si="1265"/>
        <v>0</v>
      </c>
      <c r="UU74" s="235">
        <f t="shared" ca="1" si="1266"/>
        <v>1.1807860056509861E-2</v>
      </c>
      <c r="UV74" s="235">
        <f t="shared" ca="1" si="1267"/>
        <v>1.1807860056509861E-2</v>
      </c>
      <c r="UW74" s="242">
        <f t="shared" ca="1" si="1268"/>
        <v>1.1807860056509861E-2</v>
      </c>
      <c r="UX74" s="241">
        <f t="shared" ca="1" si="808"/>
        <v>1</v>
      </c>
      <c r="UY74" s="220">
        <f t="shared" ca="1" si="1269"/>
        <v>0.21078985859319374</v>
      </c>
      <c r="UZ74" s="220">
        <f t="shared" ca="1" si="1270"/>
        <v>0</v>
      </c>
      <c r="VA74" s="235">
        <f t="shared" ca="1" si="1271"/>
        <v>9.866396874889936E-3</v>
      </c>
      <c r="VB74" s="235">
        <f t="shared" ca="1" si="1272"/>
        <v>9.866396874889936E-3</v>
      </c>
      <c r="VC74" s="242">
        <f t="shared" ca="1" si="1273"/>
        <v>9.866396874889936E-3</v>
      </c>
      <c r="VD74" s="241">
        <f t="shared" ca="1" si="806"/>
        <v>1</v>
      </c>
      <c r="VE74" s="220">
        <f t="shared" ca="1" si="1274"/>
        <v>0.17914840370962801</v>
      </c>
      <c r="VF74" s="220">
        <f t="shared" ca="1" si="1275"/>
        <v>0</v>
      </c>
      <c r="VG74" s="235">
        <f t="shared" ca="1" si="1276"/>
        <v>8.1017989433788233E-3</v>
      </c>
      <c r="VH74" s="235">
        <f t="shared" ca="1" si="1277"/>
        <v>8.1017989433788233E-3</v>
      </c>
      <c r="VI74" s="242">
        <f t="shared" ca="1" si="1278"/>
        <v>8.1017989433788233E-3</v>
      </c>
      <c r="VJ74" s="241">
        <f t="shared" ca="1" si="806"/>
        <v>1</v>
      </c>
      <c r="VK74" s="220">
        <f t="shared" ca="1" si="1279"/>
        <v>0.14933864677755704</v>
      </c>
      <c r="VL74" s="220">
        <f t="shared" ca="1" si="1280"/>
        <v>0</v>
      </c>
      <c r="VM74" s="235">
        <f t="shared" ca="1" si="1281"/>
        <v>6.5252984585482295E-3</v>
      </c>
      <c r="VN74" s="235">
        <f t="shared" ca="1" si="1282"/>
        <v>6.5252984585482295E-3</v>
      </c>
      <c r="VO74" s="242">
        <f t="shared" ca="1" si="1283"/>
        <v>6.5252984585482295E-3</v>
      </c>
      <c r="VP74" s="241">
        <f t="shared" ca="1" si="567"/>
        <v>1</v>
      </c>
      <c r="VQ74" s="220">
        <f t="shared" ca="1" si="1284"/>
        <v>0.12186078378642688</v>
      </c>
      <c r="VR74" s="220">
        <f t="shared" ca="1" si="1285"/>
        <v>0</v>
      </c>
      <c r="VS74" s="235">
        <f t="shared" ca="1" si="1286"/>
        <v>5.1446020464451514E-3</v>
      </c>
      <c r="VT74" s="235">
        <f t="shared" ca="1" si="1287"/>
        <v>5.1446020464451514E-3</v>
      </c>
      <c r="VU74" s="242">
        <f t="shared" ca="1" si="1288"/>
        <v>5.1446020464451514E-3</v>
      </c>
      <c r="VV74" s="241">
        <f t="shared" ref="VV74:XF86" ca="1" si="1335">IF(($B74+VV$2)&lt;SC_TargetRY,0,IF(($B74+VV$2)=SC_TargetRY,SC_AnnyPmntPr,IF(SP_AnnyTerms="Life",1,IF(($B74+VV$2)=(SC_TargetRY+SP_AnnyPeriod),SC_AnnyPmntPr-1,IF(($B74+VV$2)&gt;(SC_TargetRY+SP_AnnyPeriod),0,1)))))</f>
        <v>1</v>
      </c>
      <c r="VW74" s="220">
        <f t="shared" ca="1" si="1289"/>
        <v>9.714071449143126E-2</v>
      </c>
      <c r="VX74" s="220">
        <f t="shared" ca="1" si="1290"/>
        <v>0</v>
      </c>
      <c r="VY74" s="235">
        <f t="shared" ca="1" si="1291"/>
        <v>3.9623128486120972E-3</v>
      </c>
      <c r="VZ74" s="235">
        <f t="shared" ca="1" si="1292"/>
        <v>3.9623128486120972E-3</v>
      </c>
      <c r="WA74" s="242">
        <f t="shared" ca="1" si="1293"/>
        <v>3.9623128486120972E-3</v>
      </c>
      <c r="WB74" s="241">
        <f t="shared" ca="1" si="1335"/>
        <v>1</v>
      </c>
      <c r="WC74" s="220">
        <f t="shared" ca="1" si="1294"/>
        <v>7.5486980683431834E-2</v>
      </c>
      <c r="WD74" s="220">
        <f t="shared" ca="1" si="1295"/>
        <v>0</v>
      </c>
      <c r="WE74" s="235">
        <f t="shared" ca="1" si="1296"/>
        <v>2.9749465982754843E-3</v>
      </c>
      <c r="WF74" s="235">
        <f t="shared" ca="1" si="1297"/>
        <v>2.9749465982754843E-3</v>
      </c>
      <c r="WG74" s="242">
        <f t="shared" ca="1" si="1298"/>
        <v>2.9749465982754843E-3</v>
      </c>
      <c r="WH74" s="241">
        <f t="shared" ca="1" si="1335"/>
        <v>1</v>
      </c>
      <c r="WI74" s="220">
        <f t="shared" ca="1" si="1299"/>
        <v>5.7061061620490225E-2</v>
      </c>
      <c r="WJ74" s="220">
        <f t="shared" ca="1" si="1300"/>
        <v>0</v>
      </c>
      <c r="WK74" s="235">
        <f t="shared" ca="1" si="1301"/>
        <v>2.1727342833971291E-3</v>
      </c>
      <c r="WL74" s="235">
        <f t="shared" ca="1" si="1302"/>
        <v>2.1727342833971291E-3</v>
      </c>
      <c r="WM74" s="242">
        <f t="shared" ca="1" si="1303"/>
        <v>2.1727342833971291E-3</v>
      </c>
      <c r="WN74" s="241">
        <f t="shared" ca="1" si="1335"/>
        <v>1</v>
      </c>
      <c r="WO74" s="220">
        <f t="shared" ca="1" si="1304"/>
        <v>4.1934687734452851E-2</v>
      </c>
      <c r="WP74" s="220">
        <f t="shared" ca="1" si="1305"/>
        <v>0</v>
      </c>
      <c r="WQ74" s="235">
        <f t="shared" ca="1" si="1306"/>
        <v>1.5427651975624165E-3</v>
      </c>
      <c r="WR74" s="235">
        <f t="shared" ca="1" si="1307"/>
        <v>1.5427651975624165E-3</v>
      </c>
      <c r="WS74" s="242">
        <f t="shared" ca="1" si="1308"/>
        <v>1.5427651975624165E-3</v>
      </c>
      <c r="WT74" s="241">
        <f t="shared" ca="1" si="1335"/>
        <v>1</v>
      </c>
      <c r="WU74" s="220">
        <f t="shared" ca="1" si="1309"/>
        <v>2.9961998908764689E-2</v>
      </c>
      <c r="WV74" s="220">
        <f t="shared" ca="1" si="1310"/>
        <v>0</v>
      </c>
      <c r="WW74" s="235">
        <f t="shared" ca="1" si="1311"/>
        <v>1.0650177696007403E-3</v>
      </c>
      <c r="WX74" s="235">
        <f t="shared" ca="1" si="1312"/>
        <v>1.0650177696007403E-3</v>
      </c>
      <c r="WY74" s="242">
        <f t="shared" ca="1" si="1313"/>
        <v>1.0650177696007403E-3</v>
      </c>
      <c r="WZ74" s="241">
        <f t="shared" ca="1" si="1335"/>
        <v>1</v>
      </c>
      <c r="XA74" s="220">
        <f t="shared" ca="1" si="1314"/>
        <v>2.0825806429510707E-2</v>
      </c>
      <c r="XB74" s="220">
        <f t="shared" ca="1" si="1315"/>
        <v>0</v>
      </c>
      <c r="XC74" s="235">
        <f t="shared" ca="1" si="1316"/>
        <v>7.1523300597822715E-4</v>
      </c>
      <c r="XD74" s="235">
        <f t="shared" ca="1" si="1317"/>
        <v>7.1523300597822715E-4</v>
      </c>
      <c r="XE74" s="242">
        <f t="shared" ca="1" si="1318"/>
        <v>7.1523300597822715E-4</v>
      </c>
      <c r="XF74" s="241">
        <f t="shared" ca="1" si="1335"/>
        <v>1</v>
      </c>
      <c r="XG74" s="220">
        <f t="shared" ca="1" si="1319"/>
        <v>1.410075784309954E-2</v>
      </c>
      <c r="XH74" s="220">
        <f t="shared" ca="1" si="1320"/>
        <v>0</v>
      </c>
      <c r="XI74" s="235">
        <f t="shared" ca="1" si="1321"/>
        <v>4.6789437576883483E-4</v>
      </c>
      <c r="XJ74" s="235">
        <f t="shared" ca="1" si="1322"/>
        <v>4.6789437576883483E-4</v>
      </c>
      <c r="XK74" s="242">
        <f t="shared" ca="1" si="1323"/>
        <v>4.6789437576883483E-4</v>
      </c>
    </row>
    <row r="75" spans="2:635" x14ac:dyDescent="0.25">
      <c r="B75" s="65">
        <f t="shared" ca="1" si="810"/>
        <v>2090</v>
      </c>
      <c r="C75" s="65" t="s">
        <v>741</v>
      </c>
      <c r="D75" s="77">
        <f t="shared" si="811"/>
        <v>0</v>
      </c>
      <c r="E75" s="77">
        <f t="shared" si="812"/>
        <v>0</v>
      </c>
      <c r="F75" s="77" t="b">
        <f t="shared" si="813"/>
        <v>0</v>
      </c>
      <c r="G75" s="77" t="b">
        <f t="shared" si="814"/>
        <v>0</v>
      </c>
      <c r="H75" s="15" t="e">
        <f t="shared" ca="1" si="815"/>
        <v>#REF!</v>
      </c>
      <c r="L75" s="326">
        <f t="shared" ca="1" si="816"/>
        <v>3.5000000000000003E-2</v>
      </c>
      <c r="M75" s="327">
        <f t="shared" ca="1" si="817"/>
        <v>3.5000000000000003E-2</v>
      </c>
      <c r="N75" s="322">
        <f t="shared" ca="1" si="809"/>
        <v>-67</v>
      </c>
      <c r="O75" s="322">
        <f t="shared" ca="1" si="818"/>
        <v>0</v>
      </c>
      <c r="P75" s="328">
        <f t="shared" ca="1" si="1324"/>
        <v>26.87829936156087</v>
      </c>
      <c r="Q75" s="328">
        <f t="shared" ca="1" si="1325"/>
        <v>26.87829936156087</v>
      </c>
      <c r="R75" s="328">
        <f t="shared" ca="1" si="1326"/>
        <v>26.87829936156087</v>
      </c>
      <c r="S75" s="329">
        <f t="shared" ca="1" si="819"/>
        <v>3.8642415640549425E-2</v>
      </c>
      <c r="T75" s="329">
        <f t="shared" ca="1" si="820"/>
        <v>3.8642415640549425E-2</v>
      </c>
      <c r="U75" s="329">
        <f t="shared" ca="1" si="821"/>
        <v>3.8642415640549425E-2</v>
      </c>
      <c r="V75" s="320" t="e">
        <f t="shared" ca="1" si="822"/>
        <v>#REF!</v>
      </c>
      <c r="W75" s="320" t="e">
        <f t="shared" ca="1" si="560"/>
        <v>#REF!</v>
      </c>
      <c r="X75" s="320" t="e">
        <f t="shared" ca="1" si="823"/>
        <v>#REF!</v>
      </c>
      <c r="Y75" s="320" t="e">
        <f ca="1">INDEX(SC_ZA_HECMLumpSum,ZAIDX)</f>
        <v>#REF!</v>
      </c>
      <c r="Z75" s="320" t="e">
        <f t="shared" ca="1" si="824"/>
        <v>#REF!</v>
      </c>
      <c r="AA75" s="320" t="e">
        <f t="shared" ca="1" si="557"/>
        <v>#REF!</v>
      </c>
      <c r="AB75" s="320" t="e">
        <f t="shared" ca="1" si="558"/>
        <v>#REF!</v>
      </c>
      <c r="AC75" s="330" t="e">
        <f t="shared" ca="1" si="559"/>
        <v>#REF!</v>
      </c>
      <c r="AD75" s="236" t="e">
        <f t="shared" ca="1" si="1327"/>
        <v>#REF!</v>
      </c>
      <c r="AE75" s="320" t="e">
        <f t="shared" ca="1" si="561"/>
        <v>#REF!</v>
      </c>
      <c r="AF75" s="320" t="e">
        <f t="shared" ca="1" si="825"/>
        <v>#REF!</v>
      </c>
      <c r="AG75" s="320" t="e">
        <f t="shared" ca="1" si="1328"/>
        <v>#REF!</v>
      </c>
      <c r="AH75" s="284" t="e">
        <f t="shared" ca="1" si="1329"/>
        <v>#REF!</v>
      </c>
      <c r="AI75" s="318" t="e">
        <f t="shared" ca="1" si="1330"/>
        <v>#REF!</v>
      </c>
      <c r="AJ75" s="331">
        <f t="shared" ca="1" si="807"/>
        <v>1</v>
      </c>
      <c r="AK75" s="220">
        <f t="shared" ca="1" si="826"/>
        <v>1</v>
      </c>
      <c r="AL75" s="220">
        <f t="shared" ca="1" si="827"/>
        <v>0</v>
      </c>
      <c r="AM75" s="235">
        <f t="shared" ca="1" si="1331"/>
        <v>1</v>
      </c>
      <c r="AN75" s="235">
        <f t="shared" ca="1" si="1332"/>
        <v>1</v>
      </c>
      <c r="AO75" s="242">
        <f t="shared" ca="1" si="1333"/>
        <v>1</v>
      </c>
      <c r="AP75" s="241">
        <f t="shared" ca="1" si="807"/>
        <v>1</v>
      </c>
      <c r="AQ75" s="220">
        <f t="shared" ca="1" si="828"/>
        <v>0.99361699999999997</v>
      </c>
      <c r="AR75" s="220">
        <f t="shared" ca="1" si="829"/>
        <v>0</v>
      </c>
      <c r="AS75" s="235">
        <f t="shared" ca="1" si="830"/>
        <v>0.96001642512077301</v>
      </c>
      <c r="AT75" s="235">
        <f t="shared" ca="1" si="831"/>
        <v>0.96001642512077301</v>
      </c>
      <c r="AU75" s="242">
        <f t="shared" ca="1" si="832"/>
        <v>0.96001642512077301</v>
      </c>
      <c r="AV75" s="241">
        <f t="shared" ca="1" si="807"/>
        <v>1</v>
      </c>
      <c r="AW75" s="220">
        <f t="shared" ca="1" si="833"/>
        <v>0.99316689149899995</v>
      </c>
      <c r="AX75" s="220">
        <f t="shared" ca="1" si="834"/>
        <v>0</v>
      </c>
      <c r="AY75" s="235">
        <f t="shared" ca="1" si="835"/>
        <v>0.92713192046395487</v>
      </c>
      <c r="AZ75" s="235">
        <f t="shared" ca="1" si="836"/>
        <v>0.92713192046395487</v>
      </c>
      <c r="BA75" s="242">
        <f t="shared" ca="1" si="837"/>
        <v>0.92713192046395487</v>
      </c>
      <c r="BB75" s="241">
        <f t="shared" ca="1" si="807"/>
        <v>1</v>
      </c>
      <c r="BC75" s="220">
        <f t="shared" ca="1" si="838"/>
        <v>0.99288681843559723</v>
      </c>
      <c r="BD75" s="220">
        <f t="shared" ca="1" si="839"/>
        <v>0</v>
      </c>
      <c r="BE75" s="235">
        <f t="shared" ca="1" si="840"/>
        <v>0.89552702344191704</v>
      </c>
      <c r="BF75" s="235">
        <f t="shared" ca="1" si="841"/>
        <v>0.89552702344191704</v>
      </c>
      <c r="BG75" s="242">
        <f t="shared" ca="1" si="842"/>
        <v>0.89552702344191704</v>
      </c>
      <c r="BH75" s="241">
        <f t="shared" ca="1" si="807"/>
        <v>1</v>
      </c>
      <c r="BI75" s="220">
        <f t="shared" ca="1" si="843"/>
        <v>0.99265845446735712</v>
      </c>
      <c r="BJ75" s="220">
        <f t="shared" ca="1" si="844"/>
        <v>0</v>
      </c>
      <c r="BK75" s="235">
        <f t="shared" ca="1" si="845"/>
        <v>0.86504449490485558</v>
      </c>
      <c r="BL75" s="235">
        <f t="shared" ca="1" si="846"/>
        <v>0.86504449490485558</v>
      </c>
      <c r="BM75" s="242">
        <f t="shared" ca="1" si="847"/>
        <v>0.86504449490485558</v>
      </c>
      <c r="BN75" s="241">
        <f t="shared" ca="1" si="807"/>
        <v>1</v>
      </c>
      <c r="BO75" s="220">
        <f t="shared" ca="1" si="848"/>
        <v>0.99249069518855215</v>
      </c>
      <c r="BP75" s="220">
        <f t="shared" ca="1" si="849"/>
        <v>0</v>
      </c>
      <c r="BQ75" s="235">
        <f t="shared" ca="1" si="850"/>
        <v>0.83565053370552345</v>
      </c>
      <c r="BR75" s="235">
        <f t="shared" ca="1" si="851"/>
        <v>0.83565053370552345</v>
      </c>
      <c r="BS75" s="242">
        <f t="shared" ca="1" si="852"/>
        <v>0.83565053370552345</v>
      </c>
      <c r="BT75" s="241">
        <f t="shared" ca="1" si="807"/>
        <v>1</v>
      </c>
      <c r="BU75" s="220">
        <f t="shared" ca="1" si="853"/>
        <v>0.99233685913079794</v>
      </c>
      <c r="BV75" s="220">
        <f t="shared" ca="1" si="854"/>
        <v>0</v>
      </c>
      <c r="BW75" s="235">
        <f t="shared" ca="1" si="855"/>
        <v>0.80726667427323584</v>
      </c>
      <c r="BX75" s="235">
        <f t="shared" ca="1" si="856"/>
        <v>0.80726667427323584</v>
      </c>
      <c r="BY75" s="242">
        <f t="shared" ca="1" si="857"/>
        <v>0.80726667427323584</v>
      </c>
      <c r="BZ75" s="241">
        <f t="shared" ca="1" si="807"/>
        <v>1</v>
      </c>
      <c r="CA75" s="220">
        <f t="shared" ca="1" si="858"/>
        <v>0.992192970286224</v>
      </c>
      <c r="CB75" s="220">
        <f t="shared" ca="1" si="859"/>
        <v>0</v>
      </c>
      <c r="CC75" s="235">
        <f t="shared" ca="1" si="860"/>
        <v>0.7798547058990013</v>
      </c>
      <c r="CD75" s="235">
        <f t="shared" ca="1" si="861"/>
        <v>0.7798547058990013</v>
      </c>
      <c r="CE75" s="242">
        <f t="shared" ca="1" si="862"/>
        <v>0.7798547058990013</v>
      </c>
      <c r="CF75" s="241">
        <f t="shared" ca="1" si="807"/>
        <v>1</v>
      </c>
      <c r="CG75" s="220">
        <f t="shared" ca="1" si="863"/>
        <v>0.9920590242352354</v>
      </c>
      <c r="CH75" s="220">
        <f t="shared" ca="1" si="864"/>
        <v>0</v>
      </c>
      <c r="CI75" s="235">
        <f t="shared" ca="1" si="865"/>
        <v>0.75338108745285515</v>
      </c>
      <c r="CJ75" s="235">
        <f t="shared" ca="1" si="866"/>
        <v>0.75338108745285515</v>
      </c>
      <c r="CK75" s="242">
        <f t="shared" ca="1" si="867"/>
        <v>0.75338108745285515</v>
      </c>
      <c r="CL75" s="241">
        <f t="shared" ca="1" si="807"/>
        <v>1</v>
      </c>
      <c r="CM75" s="220">
        <f t="shared" ca="1" si="868"/>
        <v>0.99193997715232718</v>
      </c>
      <c r="CN75" s="220">
        <f t="shared" ca="1" si="869"/>
        <v>0</v>
      </c>
      <c r="CO75" s="235">
        <f t="shared" ca="1" si="870"/>
        <v>0.72781708378972065</v>
      </c>
      <c r="CP75" s="235">
        <f t="shared" ca="1" si="871"/>
        <v>0.72781708378972065</v>
      </c>
      <c r="CQ75" s="242">
        <f t="shared" ca="1" si="872"/>
        <v>0.72781708378972065</v>
      </c>
      <c r="CR75" s="241">
        <f t="shared" ca="1" si="807"/>
        <v>1</v>
      </c>
      <c r="CS75" s="220">
        <f t="shared" ca="1" si="873"/>
        <v>0.99183582345472621</v>
      </c>
      <c r="CT75" s="220">
        <f t="shared" ca="1" si="874"/>
        <v>0</v>
      </c>
      <c r="CU75" s="235">
        <f t="shared" ca="1" si="875"/>
        <v>0.70313107535837949</v>
      </c>
      <c r="CV75" s="235">
        <f t="shared" ca="1" si="876"/>
        <v>0.70313107535837949</v>
      </c>
      <c r="CW75" s="242">
        <f t="shared" ca="1" si="877"/>
        <v>0.70313107535837949</v>
      </c>
      <c r="CX75" s="241">
        <f t="shared" ca="1" si="800"/>
        <v>1</v>
      </c>
      <c r="CY75" s="220">
        <f t="shared" ca="1" si="878"/>
        <v>0.99174259088732142</v>
      </c>
      <c r="CZ75" s="220">
        <f t="shared" ca="1" si="879"/>
        <v>0</v>
      </c>
      <c r="DA75" s="235">
        <f t="shared" ca="1" si="880"/>
        <v>0.6792898367510104</v>
      </c>
      <c r="DB75" s="235">
        <f t="shared" ca="1" si="881"/>
        <v>0.6792898367510104</v>
      </c>
      <c r="DC75" s="242">
        <f t="shared" ca="1" si="882"/>
        <v>0.6792898367510104</v>
      </c>
      <c r="DD75" s="241">
        <f t="shared" ca="1" si="800"/>
        <v>1</v>
      </c>
      <c r="DE75" s="220">
        <f t="shared" ca="1" si="883"/>
        <v>0.99164440837082357</v>
      </c>
      <c r="DF75" s="220">
        <f t="shared" ca="1" si="884"/>
        <v>0</v>
      </c>
      <c r="DG75" s="235">
        <f t="shared" ca="1" si="885"/>
        <v>0.65625370730161559</v>
      </c>
      <c r="DH75" s="235">
        <f t="shared" ca="1" si="886"/>
        <v>0.65625370730161559</v>
      </c>
      <c r="DI75" s="242">
        <f t="shared" ca="1" si="887"/>
        <v>0.65625370730161559</v>
      </c>
      <c r="DJ75" s="241">
        <f t="shared" ca="1" si="888"/>
        <v>1</v>
      </c>
      <c r="DK75" s="220">
        <f t="shared" ca="1" si="889"/>
        <v>0.9915115280201019</v>
      </c>
      <c r="DL75" s="220">
        <f t="shared" ca="1" si="890"/>
        <v>0</v>
      </c>
      <c r="DM75" s="235">
        <f t="shared" ca="1" si="891"/>
        <v>0.63397658870032592</v>
      </c>
      <c r="DN75" s="235">
        <f t="shared" ca="1" si="892"/>
        <v>0.63397658870032592</v>
      </c>
      <c r="DO75" s="242">
        <f t="shared" ca="1" si="893"/>
        <v>0.63397658870032592</v>
      </c>
      <c r="DP75" s="241">
        <f t="shared" ca="1" si="888"/>
        <v>1</v>
      </c>
      <c r="DQ75" s="220">
        <f t="shared" ca="1" si="894"/>
        <v>0.99130628513380181</v>
      </c>
      <c r="DR75" s="220">
        <f t="shared" ca="1" si="895"/>
        <v>0</v>
      </c>
      <c r="DS75" s="235">
        <f t="shared" ca="1" si="896"/>
        <v>0.61241097154247814</v>
      </c>
      <c r="DT75" s="235">
        <f t="shared" ca="1" si="897"/>
        <v>0.61241097154247814</v>
      </c>
      <c r="DU75" s="242">
        <f t="shared" ca="1" si="898"/>
        <v>0.61241097154247814</v>
      </c>
      <c r="DV75" s="241">
        <f t="shared" ca="1" si="888"/>
        <v>1</v>
      </c>
      <c r="DW75" s="220">
        <f t="shared" ca="1" si="899"/>
        <v>0.9909999714916955</v>
      </c>
      <c r="DX75" s="220">
        <f t="shared" ca="1" si="900"/>
        <v>0</v>
      </c>
      <c r="DY75" s="235">
        <f t="shared" ca="1" si="901"/>
        <v>0.59151858604084218</v>
      </c>
      <c r="DZ75" s="235">
        <f t="shared" ca="1" si="902"/>
        <v>0.59151858604084218</v>
      </c>
      <c r="EA75" s="242">
        <f t="shared" ca="1" si="903"/>
        <v>0.59151858604084218</v>
      </c>
      <c r="EB75" s="241">
        <f t="shared" ca="1" si="888"/>
        <v>1</v>
      </c>
      <c r="EC75" s="220">
        <f t="shared" ca="1" si="904"/>
        <v>0.99058474250364048</v>
      </c>
      <c r="ED75" s="220">
        <f t="shared" ca="1" si="905"/>
        <v>0</v>
      </c>
      <c r="EE75" s="235">
        <f t="shared" ca="1" si="906"/>
        <v>0.57127607705632</v>
      </c>
      <c r="EF75" s="235">
        <f t="shared" ca="1" si="907"/>
        <v>0.57127607705632</v>
      </c>
      <c r="EG75" s="242">
        <f t="shared" ca="1" si="908"/>
        <v>0.57127607705632</v>
      </c>
      <c r="EH75" s="241">
        <f t="shared" ca="1" si="888"/>
        <v>1</v>
      </c>
      <c r="EI75" s="220">
        <f t="shared" ca="1" si="909"/>
        <v>0.99005973259011348</v>
      </c>
      <c r="EJ75" s="220">
        <f t="shared" ca="1" si="910"/>
        <v>0</v>
      </c>
      <c r="EK75" s="235">
        <f t="shared" ca="1" si="911"/>
        <v>0.55166502486519819</v>
      </c>
      <c r="EL75" s="235">
        <f t="shared" ca="1" si="912"/>
        <v>0.55166502486519819</v>
      </c>
      <c r="EM75" s="242">
        <f t="shared" ca="1" si="913"/>
        <v>0.55166502486519819</v>
      </c>
      <c r="EN75" s="241">
        <f t="shared" ca="1" si="888"/>
        <v>1</v>
      </c>
      <c r="EO75" s="220">
        <f t="shared" ca="1" si="914"/>
        <v>0.98941124346526699</v>
      </c>
      <c r="EP75" s="220">
        <f t="shared" ca="1" si="915"/>
        <v>0</v>
      </c>
      <c r="EQ75" s="235">
        <f t="shared" ca="1" si="916"/>
        <v>0.53266056451585653</v>
      </c>
      <c r="ER75" s="235">
        <f t="shared" ca="1" si="917"/>
        <v>0.53266056451585653</v>
      </c>
      <c r="ES75" s="242">
        <f t="shared" ca="1" si="918"/>
        <v>0.53266056451585653</v>
      </c>
      <c r="ET75" s="241">
        <f t="shared" ca="1" si="888"/>
        <v>1</v>
      </c>
      <c r="EU75" s="220">
        <f t="shared" ca="1" si="919"/>
        <v>0.98862861917168599</v>
      </c>
      <c r="EV75" s="220">
        <f t="shared" ca="1" si="920"/>
        <v>0</v>
      </c>
      <c r="EW75" s="235">
        <f t="shared" ca="1" si="921"/>
        <v>0.51424080194137645</v>
      </c>
      <c r="EX75" s="235">
        <f t="shared" ca="1" si="922"/>
        <v>0.51424080194137645</v>
      </c>
      <c r="EY75" s="242">
        <f t="shared" ca="1" si="923"/>
        <v>0.51424080194137645</v>
      </c>
      <c r="EZ75" s="241">
        <f t="shared" ca="1" si="888"/>
        <v>1</v>
      </c>
      <c r="FA75" s="220">
        <f t="shared" ca="1" si="924"/>
        <v>0.98770524004137961</v>
      </c>
      <c r="FB75" s="220">
        <f t="shared" ca="1" si="925"/>
        <v>0</v>
      </c>
      <c r="FC75" s="235">
        <f t="shared" ca="1" si="926"/>
        <v>0.49638695751919149</v>
      </c>
      <c r="FD75" s="235">
        <f t="shared" ca="1" si="927"/>
        <v>0.49638695751919149</v>
      </c>
      <c r="FE75" s="242">
        <f t="shared" ca="1" si="928"/>
        <v>0.49638695751919149</v>
      </c>
      <c r="FF75" s="241">
        <f t="shared" ca="1" si="888"/>
        <v>1</v>
      </c>
      <c r="FG75" s="220">
        <f t="shared" ca="1" si="929"/>
        <v>0.98663357985593469</v>
      </c>
      <c r="FH75" s="220">
        <f t="shared" ca="1" si="930"/>
        <v>0</v>
      </c>
      <c r="FI75" s="235">
        <f t="shared" ca="1" si="931"/>
        <v>0.4790805581355394</v>
      </c>
      <c r="FJ75" s="235">
        <f t="shared" ca="1" si="932"/>
        <v>0.4790805581355394</v>
      </c>
      <c r="FK75" s="242">
        <f t="shared" ca="1" si="933"/>
        <v>0.4790805581355394</v>
      </c>
      <c r="FL75" s="241">
        <f t="shared" ca="1" si="888"/>
        <v>1</v>
      </c>
      <c r="FM75" s="220">
        <f t="shared" ca="1" si="934"/>
        <v>0.98542199381987161</v>
      </c>
      <c r="FN75" s="220">
        <f t="shared" ca="1" si="935"/>
        <v>0</v>
      </c>
      <c r="FO75" s="235">
        <f t="shared" ca="1" si="936"/>
        <v>0.46231134996149653</v>
      </c>
      <c r="FP75" s="235">
        <f t="shared" ca="1" si="937"/>
        <v>0.46231134996149653</v>
      </c>
      <c r="FQ75" s="242">
        <f t="shared" ca="1" si="938"/>
        <v>0.46231134996149653</v>
      </c>
      <c r="FR75" s="241">
        <f t="shared" ca="1" si="888"/>
        <v>1</v>
      </c>
      <c r="FS75" s="220">
        <f t="shared" ca="1" si="939"/>
        <v>0.98410251377014679</v>
      </c>
      <c r="FT75" s="220">
        <f t="shared" ca="1" si="940"/>
        <v>0</v>
      </c>
      <c r="FU75" s="235">
        <f t="shared" ca="1" si="941"/>
        <v>0.44607953146270346</v>
      </c>
      <c r="FV75" s="235">
        <f t="shared" ca="1" si="942"/>
        <v>0.44607953146270346</v>
      </c>
      <c r="FW75" s="242">
        <f t="shared" ca="1" si="943"/>
        <v>0.44607953146270346</v>
      </c>
      <c r="FX75" s="241">
        <f t="shared" ca="1" si="801"/>
        <v>1</v>
      </c>
      <c r="FY75" s="220">
        <f t="shared" ca="1" si="944"/>
        <v>0.98272181794332725</v>
      </c>
      <c r="FZ75" s="220">
        <f t="shared" ca="1" si="945"/>
        <v>0</v>
      </c>
      <c r="GA75" s="235">
        <f t="shared" ca="1" si="946"/>
        <v>0.43039003080199167</v>
      </c>
      <c r="GB75" s="235">
        <f t="shared" ca="1" si="947"/>
        <v>0.43039003080199167</v>
      </c>
      <c r="GC75" s="242">
        <f t="shared" ca="1" si="948"/>
        <v>0.43039003080199167</v>
      </c>
      <c r="GD75" s="241">
        <f t="shared" ca="1" si="795"/>
        <v>1</v>
      </c>
      <c r="GE75" s="220">
        <f t="shared" ca="1" si="949"/>
        <v>0.98131357757821447</v>
      </c>
      <c r="GF75" s="220">
        <f t="shared" ca="1" si="950"/>
        <v>0</v>
      </c>
      <c r="GG75" s="235">
        <f t="shared" ca="1" si="951"/>
        <v>0.41523988588198307</v>
      </c>
      <c r="GH75" s="235">
        <f t="shared" ca="1" si="952"/>
        <v>0.41523988588198307</v>
      </c>
      <c r="GI75" s="242">
        <f t="shared" ca="1" si="953"/>
        <v>0.41523988588198307</v>
      </c>
      <c r="GJ75" s="241">
        <f t="shared" ca="1" si="795"/>
        <v>1</v>
      </c>
      <c r="GK75" s="220">
        <f t="shared" ca="1" si="954"/>
        <v>0.97988969157714845</v>
      </c>
      <c r="GL75" s="220">
        <f t="shared" ca="1" si="955"/>
        <v>0</v>
      </c>
      <c r="GM75" s="235">
        <f t="shared" ca="1" si="956"/>
        <v>0.40061581913774713</v>
      </c>
      <c r="GN75" s="235">
        <f t="shared" ca="1" si="957"/>
        <v>0.40061581913774713</v>
      </c>
      <c r="GO75" s="242">
        <f t="shared" ca="1" si="958"/>
        <v>0.40061581913774713</v>
      </c>
      <c r="GP75" s="241">
        <f t="shared" ca="1" si="802"/>
        <v>1</v>
      </c>
      <c r="GQ75" s="220">
        <f t="shared" ca="1" si="959"/>
        <v>0.9784443542820721</v>
      </c>
      <c r="GR75" s="220">
        <f t="shared" ca="1" si="960"/>
        <v>0</v>
      </c>
      <c r="GS75" s="235">
        <f t="shared" ca="1" si="961"/>
        <v>0.38649749836185404</v>
      </c>
      <c r="GT75" s="235">
        <f t="shared" ca="1" si="962"/>
        <v>0.38649749836185404</v>
      </c>
      <c r="GU75" s="242">
        <f t="shared" ca="1" si="963"/>
        <v>0.38649749836185404</v>
      </c>
      <c r="GV75" s="241">
        <f t="shared" ca="1" si="802"/>
        <v>1</v>
      </c>
      <c r="GW75" s="220">
        <f t="shared" ca="1" si="964"/>
        <v>0.97697473086194042</v>
      </c>
      <c r="GX75" s="220">
        <f t="shared" ca="1" si="965"/>
        <v>0</v>
      </c>
      <c r="GY75" s="235">
        <f t="shared" ca="1" si="966"/>
        <v>0.37286664649209134</v>
      </c>
      <c r="GZ75" s="235">
        <f t="shared" ca="1" si="967"/>
        <v>0.37286664649209134</v>
      </c>
      <c r="HA75" s="242">
        <f t="shared" ca="1" si="968"/>
        <v>0.37286664649209134</v>
      </c>
      <c r="HB75" s="241">
        <f t="shared" ca="1" si="802"/>
        <v>1</v>
      </c>
      <c r="HC75" s="220">
        <f t="shared" ca="1" si="969"/>
        <v>0.97547214372587476</v>
      </c>
      <c r="HD75" s="220">
        <f t="shared" ca="1" si="970"/>
        <v>0</v>
      </c>
      <c r="HE75" s="235">
        <f t="shared" ca="1" si="971"/>
        <v>0.35970355322684694</v>
      </c>
      <c r="HF75" s="235">
        <f t="shared" ca="1" si="972"/>
        <v>0.35970355322684694</v>
      </c>
      <c r="HG75" s="242">
        <f t="shared" ca="1" si="973"/>
        <v>0.35970355322684694</v>
      </c>
      <c r="HH75" s="241">
        <f t="shared" ca="1" si="802"/>
        <v>1</v>
      </c>
      <c r="HI75" s="220">
        <f t="shared" ca="1" si="974"/>
        <v>0.9739299222666441</v>
      </c>
      <c r="HJ75" s="220">
        <f t="shared" ca="1" si="975"/>
        <v>0</v>
      </c>
      <c r="HK75" s="235">
        <f t="shared" ca="1" si="976"/>
        <v>0.34699020474318382</v>
      </c>
      <c r="HL75" s="235">
        <f t="shared" ca="1" si="977"/>
        <v>0.34699020474318382</v>
      </c>
      <c r="HM75" s="242">
        <f t="shared" ca="1" si="978"/>
        <v>0.34699020474318382</v>
      </c>
      <c r="HN75" s="241">
        <f t="shared" ca="1" si="802"/>
        <v>1</v>
      </c>
      <c r="HO75" s="220">
        <f t="shared" ca="1" si="979"/>
        <v>0.97234631221303847</v>
      </c>
      <c r="HP75" s="220">
        <f t="shared" ca="1" si="980"/>
        <v>0</v>
      </c>
      <c r="HQ75" s="235">
        <f t="shared" ca="1" si="981"/>
        <v>0.33471110982634922</v>
      </c>
      <c r="HR75" s="235">
        <f t="shared" ca="1" si="982"/>
        <v>0.33471110982634922</v>
      </c>
      <c r="HS75" s="242">
        <f t="shared" ca="1" si="983"/>
        <v>0.33471110982634922</v>
      </c>
      <c r="HT75" s="241">
        <f t="shared" ca="1" si="802"/>
        <v>1</v>
      </c>
      <c r="HU75" s="220">
        <f t="shared" ca="1" si="984"/>
        <v>0.97072346621795491</v>
      </c>
      <c r="HV75" s="220">
        <f t="shared" ca="1" si="985"/>
        <v>0</v>
      </c>
      <c r="HW75" s="235">
        <f t="shared" ca="1" si="986"/>
        <v>0.32285263476719722</v>
      </c>
      <c r="HX75" s="235">
        <f t="shared" ca="1" si="987"/>
        <v>0.32285263476719722</v>
      </c>
      <c r="HY75" s="242">
        <f t="shared" ca="1" si="988"/>
        <v>0.32285263476719722</v>
      </c>
      <c r="HZ75" s="241">
        <f t="shared" ca="1" si="802"/>
        <v>1</v>
      </c>
      <c r="IA75" s="220">
        <f t="shared" ca="1" si="989"/>
        <v>0.96906158764378969</v>
      </c>
      <c r="IB75" s="220">
        <f t="shared" ca="1" si="990"/>
        <v>0</v>
      </c>
      <c r="IC75" s="235">
        <f t="shared" ca="1" si="991"/>
        <v>0.31140088024780266</v>
      </c>
      <c r="ID75" s="235">
        <f t="shared" ca="1" si="992"/>
        <v>0.31140088024780266</v>
      </c>
      <c r="IE75" s="242">
        <f t="shared" ca="1" si="993"/>
        <v>0.31140088024780266</v>
      </c>
      <c r="IF75" s="241">
        <f t="shared" ca="1" si="802"/>
        <v>1</v>
      </c>
      <c r="IG75" s="220">
        <f t="shared" ca="1" si="994"/>
        <v>0.96736088455747493</v>
      </c>
      <c r="IH75" s="220">
        <f t="shared" ca="1" si="995"/>
        <v>0</v>
      </c>
      <c r="II75" s="235">
        <f t="shared" ca="1" si="996"/>
        <v>0.30034238811880948</v>
      </c>
      <c r="IJ75" s="235">
        <f t="shared" ca="1" si="997"/>
        <v>0.30034238811880948</v>
      </c>
      <c r="IK75" s="242">
        <f t="shared" ca="1" si="998"/>
        <v>0.30034238811880948</v>
      </c>
      <c r="IL75" s="241">
        <f t="shared" ca="1" si="802"/>
        <v>1</v>
      </c>
      <c r="IM75" s="220">
        <f t="shared" ca="1" si="999"/>
        <v>0.96561963496527148</v>
      </c>
      <c r="IN75" s="220">
        <f t="shared" ca="1" si="1000"/>
        <v>0</v>
      </c>
      <c r="IO75" s="235">
        <f t="shared" ca="1" si="1001"/>
        <v>0.28966354765236296</v>
      </c>
      <c r="IP75" s="235">
        <f t="shared" ca="1" si="1002"/>
        <v>0.28966354765236296</v>
      </c>
      <c r="IQ75" s="242">
        <f t="shared" ca="1" si="1003"/>
        <v>0.28966354765236296</v>
      </c>
      <c r="IR75" s="241">
        <f t="shared" ca="1" si="802"/>
        <v>1</v>
      </c>
      <c r="IS75" s="220">
        <f t="shared" ca="1" si="1004"/>
        <v>0.96382841054241086</v>
      </c>
      <c r="IT75" s="220">
        <f t="shared" ca="1" si="1005"/>
        <v>0</v>
      </c>
      <c r="IU75" s="235">
        <f t="shared" ca="1" si="1006"/>
        <v>0.27934900654248102</v>
      </c>
      <c r="IV75" s="235">
        <f t="shared" ca="1" si="1007"/>
        <v>0.27934900654248102</v>
      </c>
      <c r="IW75" s="242">
        <f t="shared" ca="1" si="1008"/>
        <v>0.27934900654248102</v>
      </c>
      <c r="IX75" s="241">
        <f t="shared" ca="1" si="802"/>
        <v>1</v>
      </c>
      <c r="IY75" s="220">
        <f t="shared" ca="1" si="1009"/>
        <v>0.9619778599941694</v>
      </c>
      <c r="IZ75" s="220">
        <f t="shared" ca="1" si="1010"/>
        <v>0</v>
      </c>
      <c r="JA75" s="235">
        <f t="shared" ca="1" si="1011"/>
        <v>0.26938420913035699</v>
      </c>
      <c r="JB75" s="235">
        <f t="shared" ca="1" si="1012"/>
        <v>0.26938420913035699</v>
      </c>
      <c r="JC75" s="242">
        <f t="shared" ca="1" si="1013"/>
        <v>0.26938420913035699</v>
      </c>
      <c r="JD75" s="241">
        <f t="shared" ca="1" si="796"/>
        <v>1</v>
      </c>
      <c r="JE75" s="220">
        <f t="shared" ca="1" si="1014"/>
        <v>0.96006544800850102</v>
      </c>
      <c r="JF75" s="220">
        <f t="shared" ca="1" si="1015"/>
        <v>0</v>
      </c>
      <c r="JG75" s="235">
        <f t="shared" ca="1" si="1016"/>
        <v>0.25975717229237277</v>
      </c>
      <c r="JH75" s="235">
        <f t="shared" ca="1" si="1017"/>
        <v>0.25975717229237277</v>
      </c>
      <c r="JI75" s="242">
        <f t="shared" ca="1" si="1018"/>
        <v>0.25975717229237277</v>
      </c>
      <c r="JJ75" s="241">
        <f t="shared" ca="1" si="796"/>
        <v>1</v>
      </c>
      <c r="JK75" s="220">
        <f t="shared" ca="1" si="1019"/>
        <v>0.9580877131856036</v>
      </c>
      <c r="JL75" s="220">
        <f t="shared" ca="1" si="1020"/>
        <v>0</v>
      </c>
      <c r="JM75" s="235">
        <f t="shared" ca="1" si="1021"/>
        <v>0.25045610871251262</v>
      </c>
      <c r="JN75" s="235">
        <f t="shared" ca="1" si="1022"/>
        <v>0.25045610871251262</v>
      </c>
      <c r="JO75" s="242">
        <f t="shared" ca="1" si="1023"/>
        <v>0.25045610871251262</v>
      </c>
      <c r="JP75" s="241">
        <f t="shared" ca="1" si="803"/>
        <v>1</v>
      </c>
      <c r="JQ75" s="220">
        <f t="shared" ca="1" si="1024"/>
        <v>0.95603644739167326</v>
      </c>
      <c r="JR75" s="220">
        <f t="shared" ca="1" si="1025"/>
        <v>0</v>
      </c>
      <c r="JS75" s="235">
        <f t="shared" ca="1" si="1026"/>
        <v>0.24146848520169967</v>
      </c>
      <c r="JT75" s="235">
        <f t="shared" ca="1" si="1027"/>
        <v>0.24146848520169967</v>
      </c>
      <c r="JU75" s="242">
        <f t="shared" ca="1" si="1028"/>
        <v>0.24146848520169967</v>
      </c>
      <c r="JV75" s="241">
        <f t="shared" ca="1" si="803"/>
        <v>1</v>
      </c>
      <c r="JW75" s="220">
        <f t="shared" ca="1" si="1029"/>
        <v>0.95389492574951584</v>
      </c>
      <c r="JX75" s="220">
        <f t="shared" ca="1" si="1030"/>
        <v>0</v>
      </c>
      <c r="JY75" s="235">
        <f t="shared" ca="1" si="1031"/>
        <v>0.23278028579212359</v>
      </c>
      <c r="JZ75" s="235">
        <f t="shared" ca="1" si="1032"/>
        <v>0.23278028579212359</v>
      </c>
      <c r="KA75" s="242">
        <f t="shared" ca="1" si="1033"/>
        <v>0.23278028579212359</v>
      </c>
      <c r="KB75" s="241">
        <f t="shared" ca="1" si="803"/>
        <v>1</v>
      </c>
      <c r="KC75" s="220">
        <f t="shared" ca="1" si="1034"/>
        <v>0.95164182593489555</v>
      </c>
      <c r="KD75" s="220">
        <f t="shared" ca="1" si="1035"/>
        <v>0</v>
      </c>
      <c r="KE75" s="235">
        <f t="shared" ca="1" si="1036"/>
        <v>0.22437725483776094</v>
      </c>
      <c r="KF75" s="235">
        <f t="shared" ca="1" si="1037"/>
        <v>0.22437725483776094</v>
      </c>
      <c r="KG75" s="242">
        <f t="shared" ca="1" si="1038"/>
        <v>0.22437725483776094</v>
      </c>
      <c r="KH75" s="241">
        <f t="shared" ca="1" si="803"/>
        <v>1</v>
      </c>
      <c r="KI75" s="220">
        <f t="shared" ca="1" si="1039"/>
        <v>0.94925415659362489</v>
      </c>
      <c r="KJ75" s="220">
        <f t="shared" ca="1" si="1040"/>
        <v>0</v>
      </c>
      <c r="KK75" s="235">
        <f t="shared" ca="1" si="1041"/>
        <v>0.21624569304866956</v>
      </c>
      <c r="KL75" s="235">
        <f t="shared" ca="1" si="1042"/>
        <v>0.21624569304866956</v>
      </c>
      <c r="KM75" s="242">
        <f t="shared" ca="1" si="1043"/>
        <v>0.21624569304866956</v>
      </c>
      <c r="KN75" s="241">
        <f t="shared" ca="1" si="803"/>
        <v>1</v>
      </c>
      <c r="KO75" s="220">
        <f t="shared" ca="1" si="1044"/>
        <v>0.94670635843732753</v>
      </c>
      <c r="KP75" s="220">
        <f t="shared" ca="1" si="1045"/>
        <v>0</v>
      </c>
      <c r="KQ75" s="235">
        <f t="shared" ca="1" si="1046"/>
        <v>0.2083722604913304</v>
      </c>
      <c r="KR75" s="235">
        <f t="shared" ca="1" si="1047"/>
        <v>0.2083722604913304</v>
      </c>
      <c r="KS75" s="242">
        <f t="shared" ca="1" si="1048"/>
        <v>0.2083722604913304</v>
      </c>
      <c r="KT75" s="241">
        <f t="shared" ca="1" si="803"/>
        <v>1</v>
      </c>
      <c r="KU75" s="220">
        <f t="shared" ca="1" si="1049"/>
        <v>0.94397037706144371</v>
      </c>
      <c r="KV75" s="220">
        <f t="shared" ca="1" si="1050"/>
        <v>0</v>
      </c>
      <c r="KW75" s="235">
        <f t="shared" ca="1" si="1051"/>
        <v>0.20074402382464779</v>
      </c>
      <c r="KX75" s="235">
        <f t="shared" ca="1" si="1052"/>
        <v>0.20074402382464779</v>
      </c>
      <c r="KY75" s="242">
        <f t="shared" ca="1" si="1053"/>
        <v>0.20074402382464779</v>
      </c>
      <c r="KZ75" s="241">
        <f t="shared" ca="1" si="803"/>
        <v>1</v>
      </c>
      <c r="LA75" s="220">
        <f t="shared" ca="1" si="1054"/>
        <v>0.94102424551463493</v>
      </c>
      <c r="LB75" s="220">
        <f t="shared" ca="1" si="1055"/>
        <v>0</v>
      </c>
      <c r="LC75" s="235">
        <f t="shared" ca="1" si="1056"/>
        <v>0.19335024321380778</v>
      </c>
      <c r="LD75" s="235">
        <f t="shared" ca="1" si="1057"/>
        <v>0.19335024321380778</v>
      </c>
      <c r="LE75" s="242">
        <f t="shared" ca="1" si="1058"/>
        <v>0.19335024321380778</v>
      </c>
      <c r="LF75" s="241">
        <f t="shared" ca="1" si="803"/>
        <v>1</v>
      </c>
      <c r="LG75" s="220">
        <f t="shared" ca="1" si="1059"/>
        <v>0.93783793741932242</v>
      </c>
      <c r="LH75" s="220">
        <f t="shared" ca="1" si="1060"/>
        <v>0</v>
      </c>
      <c r="LI75" s="235">
        <f t="shared" ca="1" si="1061"/>
        <v>0.18617928433844047</v>
      </c>
      <c r="LJ75" s="235">
        <f t="shared" ca="1" si="1062"/>
        <v>0.18617928433844047</v>
      </c>
      <c r="LK75" s="242">
        <f t="shared" ca="1" si="1063"/>
        <v>0.18617928433844047</v>
      </c>
      <c r="LL75" s="241">
        <f t="shared" ca="1" si="803"/>
        <v>1</v>
      </c>
      <c r="LM75" s="220">
        <f t="shared" ca="1" si="1064"/>
        <v>0.93436137218530901</v>
      </c>
      <c r="LN75" s="220">
        <f t="shared" ca="1" si="1065"/>
        <v>0</v>
      </c>
      <c r="LO75" s="235">
        <f t="shared" ca="1" si="1066"/>
        <v>0.17921653887091585</v>
      </c>
      <c r="LP75" s="235">
        <f t="shared" ca="1" si="1067"/>
        <v>0.17921653887091585</v>
      </c>
      <c r="LQ75" s="242">
        <f t="shared" ca="1" si="1068"/>
        <v>0.17921653887091585</v>
      </c>
      <c r="LR75" s="241">
        <f t="shared" ca="1" si="803"/>
        <v>1</v>
      </c>
      <c r="LS75" s="220">
        <f t="shared" ca="1" si="1069"/>
        <v>0.93053889981169891</v>
      </c>
      <c r="LT75" s="220">
        <f t="shared" ca="1" si="1070"/>
        <v>0</v>
      </c>
      <c r="LU75" s="235">
        <f t="shared" ca="1" si="1071"/>
        <v>0.17244769469603377</v>
      </c>
      <c r="LV75" s="235">
        <f t="shared" ca="1" si="1072"/>
        <v>0.17244769469603377</v>
      </c>
      <c r="LW75" s="242">
        <f t="shared" ca="1" si="1073"/>
        <v>0.17244769469603377</v>
      </c>
      <c r="LX75" s="241">
        <f t="shared" ca="1" si="803"/>
        <v>1</v>
      </c>
      <c r="LY75" s="220">
        <f t="shared" ca="1" si="1074"/>
        <v>0.92632262805665211</v>
      </c>
      <c r="LZ75" s="220">
        <f t="shared" ca="1" si="1075"/>
        <v>0</v>
      </c>
      <c r="MA75" s="235">
        <f t="shared" ca="1" si="1076"/>
        <v>0.16586119245542613</v>
      </c>
      <c r="MB75" s="235">
        <f t="shared" ca="1" si="1077"/>
        <v>0.16586119245542613</v>
      </c>
      <c r="MC75" s="242">
        <f t="shared" ca="1" si="1078"/>
        <v>0.16586119245542613</v>
      </c>
      <c r="MD75" s="241">
        <f t="shared" ca="1" si="797"/>
        <v>1</v>
      </c>
      <c r="ME75" s="220">
        <f t="shared" ca="1" si="1079"/>
        <v>0.92167897272220412</v>
      </c>
      <c r="MF75" s="220">
        <f t="shared" ca="1" si="1080"/>
        <v>0</v>
      </c>
      <c r="MG75" s="235">
        <f t="shared" ca="1" si="1081"/>
        <v>0.15944901478033538</v>
      </c>
      <c r="MH75" s="235">
        <f t="shared" ca="1" si="1082"/>
        <v>0.15944901478033538</v>
      </c>
      <c r="MI75" s="242">
        <f t="shared" ca="1" si="1083"/>
        <v>0.15944901478033538</v>
      </c>
      <c r="MJ75" s="241">
        <f t="shared" ca="1" si="797"/>
        <v>1</v>
      </c>
      <c r="MK75" s="220">
        <f t="shared" ca="1" si="1084"/>
        <v>0.91658761807688671</v>
      </c>
      <c r="ML75" s="220">
        <f t="shared" ca="1" si="1085"/>
        <v>0</v>
      </c>
      <c r="MM75" s="235">
        <f t="shared" ca="1" si="1086"/>
        <v>0.15320600813786359</v>
      </c>
      <c r="MN75" s="235">
        <f t="shared" ca="1" si="1087"/>
        <v>0.15320600813786359</v>
      </c>
      <c r="MO75" s="242">
        <f t="shared" ca="1" si="1088"/>
        <v>0.15320600813786359</v>
      </c>
      <c r="MP75" s="241">
        <f t="shared" ca="1" si="804"/>
        <v>1</v>
      </c>
      <c r="MQ75" s="220">
        <f t="shared" ca="1" si="1089"/>
        <v>0.91103401369895887</v>
      </c>
      <c r="MR75" s="220">
        <f t="shared" ca="1" si="1090"/>
        <v>0</v>
      </c>
      <c r="MS75" s="235">
        <f t="shared" ca="1" si="1091"/>
        <v>0.1471282443812138</v>
      </c>
      <c r="MT75" s="235">
        <f t="shared" ca="1" si="1092"/>
        <v>0.1471282443812138</v>
      </c>
      <c r="MU75" s="242">
        <f t="shared" ca="1" si="1093"/>
        <v>0.1471282443812138</v>
      </c>
      <c r="MV75" s="241">
        <f t="shared" ca="1" si="804"/>
        <v>1</v>
      </c>
      <c r="MW75" s="220">
        <f t="shared" ca="1" si="1094"/>
        <v>0.90501116783439506</v>
      </c>
      <c r="MX75" s="220">
        <f t="shared" ca="1" si="1095"/>
        <v>0</v>
      </c>
      <c r="MY75" s="235">
        <f t="shared" ca="1" si="1096"/>
        <v>0.14121312034551653</v>
      </c>
      <c r="MZ75" s="235">
        <f t="shared" ca="1" si="1097"/>
        <v>0.14121312034551653</v>
      </c>
      <c r="NA75" s="242">
        <f t="shared" ca="1" si="1098"/>
        <v>0.14121312034551653</v>
      </c>
      <c r="NB75" s="241">
        <f t="shared" ca="1" si="804"/>
        <v>1</v>
      </c>
      <c r="NC75" s="220">
        <f t="shared" ca="1" si="1099"/>
        <v>0.89850685257116925</v>
      </c>
      <c r="ND75" s="220">
        <f t="shared" ca="1" si="1100"/>
        <v>0</v>
      </c>
      <c r="NE75" s="235">
        <f t="shared" ca="1" si="1101"/>
        <v>0.13545721898511429</v>
      </c>
      <c r="NF75" s="235">
        <f t="shared" ca="1" si="1102"/>
        <v>0.13545721898511429</v>
      </c>
      <c r="NG75" s="242">
        <f t="shared" ca="1" si="1103"/>
        <v>0.13545721898511429</v>
      </c>
      <c r="NH75" s="241">
        <f t="shared" ca="1" si="804"/>
        <v>1</v>
      </c>
      <c r="NI75" s="220">
        <f t="shared" ca="1" si="1104"/>
        <v>0.89149849912111412</v>
      </c>
      <c r="NJ75" s="220">
        <f t="shared" ca="1" si="1105"/>
        <v>0</v>
      </c>
      <c r="NK75" s="235">
        <f t="shared" ca="1" si="1106"/>
        <v>0.12985570306959462</v>
      </c>
      <c r="NL75" s="235">
        <f t="shared" ca="1" si="1107"/>
        <v>0.12985570306959462</v>
      </c>
      <c r="NM75" s="242">
        <f t="shared" ca="1" si="1108"/>
        <v>0.12985570306959462</v>
      </c>
      <c r="NN75" s="241">
        <f t="shared" ca="1" si="804"/>
        <v>1</v>
      </c>
      <c r="NO75" s="220">
        <f t="shared" ca="1" si="1109"/>
        <v>0.88395998781254592</v>
      </c>
      <c r="NP75" s="220">
        <f t="shared" ca="1" si="1110"/>
        <v>0</v>
      </c>
      <c r="NQ75" s="235">
        <f t="shared" ca="1" si="1111"/>
        <v>0.12440352004293539</v>
      </c>
      <c r="NR75" s="235">
        <f t="shared" ca="1" si="1112"/>
        <v>0.12440352004293539</v>
      </c>
      <c r="NS75" s="242">
        <f t="shared" ca="1" si="1113"/>
        <v>0.12440352004293539</v>
      </c>
      <c r="NT75" s="241">
        <f t="shared" ca="1" si="804"/>
        <v>1</v>
      </c>
      <c r="NU75" s="220">
        <f t="shared" ca="1" si="1114"/>
        <v>0.87587705768398794</v>
      </c>
      <c r="NV75" s="220">
        <f t="shared" ca="1" si="1115"/>
        <v>0</v>
      </c>
      <c r="NW75" s="235">
        <f t="shared" ca="1" si="1116"/>
        <v>0.11909755966730703</v>
      </c>
      <c r="NX75" s="235">
        <f t="shared" ca="1" si="1117"/>
        <v>0.11909755966730703</v>
      </c>
      <c r="NY75" s="242">
        <f t="shared" ca="1" si="1118"/>
        <v>0.11909755966730703</v>
      </c>
      <c r="NZ75" s="241">
        <f t="shared" ca="1" si="804"/>
        <v>1</v>
      </c>
      <c r="OA75" s="220">
        <f t="shared" ca="1" si="1119"/>
        <v>0.86723653050993543</v>
      </c>
      <c r="OB75" s="220">
        <f t="shared" ca="1" si="1120"/>
        <v>0</v>
      </c>
      <c r="OC75" s="235">
        <f t="shared" ca="1" si="1121"/>
        <v>0.11393493936346769</v>
      </c>
      <c r="OD75" s="235">
        <f t="shared" ca="1" si="1122"/>
        <v>0.11393493936346769</v>
      </c>
      <c r="OE75" s="242">
        <f t="shared" ca="1" si="1123"/>
        <v>0.11393493936346769</v>
      </c>
      <c r="OF75" s="241">
        <f t="shared" ca="1" si="804"/>
        <v>1</v>
      </c>
      <c r="OG75" s="220">
        <f t="shared" ca="1" si="1124"/>
        <v>0.85802474408285889</v>
      </c>
      <c r="OH75" s="220">
        <f t="shared" ca="1" si="1125"/>
        <v>0</v>
      </c>
      <c r="OI75" s="235">
        <f t="shared" ca="1" si="1126"/>
        <v>0.10891277530197965</v>
      </c>
      <c r="OJ75" s="235">
        <f t="shared" ca="1" si="1127"/>
        <v>0.10891277530197965</v>
      </c>
      <c r="OK75" s="242">
        <f t="shared" ca="1" si="1128"/>
        <v>0.10891277530197965</v>
      </c>
      <c r="OL75" s="241">
        <f t="shared" ca="1" si="804"/>
        <v>1</v>
      </c>
      <c r="OM75" s="220">
        <f t="shared" ca="1" si="1129"/>
        <v>0.84819349656515752</v>
      </c>
      <c r="ON75" s="220">
        <f t="shared" ca="1" si="1130"/>
        <v>0</v>
      </c>
      <c r="OO75" s="235">
        <f t="shared" ca="1" si="1131"/>
        <v>0.10402401229233778</v>
      </c>
      <c r="OP75" s="235">
        <f t="shared" ca="1" si="1132"/>
        <v>0.10402401229233778</v>
      </c>
      <c r="OQ75" s="242">
        <f t="shared" ca="1" si="1133"/>
        <v>0.10402401229233778</v>
      </c>
      <c r="OR75" s="241">
        <f t="shared" ca="1" si="804"/>
        <v>1</v>
      </c>
      <c r="OS75" s="220">
        <f t="shared" ca="1" si="1134"/>
        <v>0.83771830688257787</v>
      </c>
      <c r="OT75" s="220">
        <f t="shared" ca="1" si="1135"/>
        <v>0</v>
      </c>
      <c r="OU75" s="235">
        <f t="shared" ca="1" si="1136"/>
        <v>9.9265039362828419E-2</v>
      </c>
      <c r="OV75" s="235">
        <f t="shared" ca="1" si="1137"/>
        <v>9.9265039362828419E-2</v>
      </c>
      <c r="OW75" s="242">
        <f t="shared" ca="1" si="1138"/>
        <v>9.9265039362828419E-2</v>
      </c>
      <c r="OX75" s="241">
        <f t="shared" ca="1" si="804"/>
        <v>1</v>
      </c>
      <c r="OY75" s="220">
        <f t="shared" ca="1" si="1139"/>
        <v>0.82663110509098692</v>
      </c>
      <c r="OZ75" s="220">
        <f t="shared" ca="1" si="1140"/>
        <v>0</v>
      </c>
      <c r="PA75" s="235">
        <f t="shared" ca="1" si="1141"/>
        <v>9.4638904895518239E-2</v>
      </c>
      <c r="PB75" s="235">
        <f t="shared" ca="1" si="1142"/>
        <v>9.4638904895518239E-2</v>
      </c>
      <c r="PC75" s="242">
        <f t="shared" ca="1" si="1143"/>
        <v>9.4638904895518239E-2</v>
      </c>
      <c r="PD75" s="241">
        <f t="shared" ca="1" si="798"/>
        <v>1</v>
      </c>
      <c r="PE75" s="220">
        <f t="shared" ca="1" si="1144"/>
        <v>0.81497808640251923</v>
      </c>
      <c r="PF75" s="220">
        <f t="shared" ca="1" si="1145"/>
        <v>0</v>
      </c>
      <c r="PG75" s="235">
        <f t="shared" ca="1" si="1146"/>
        <v>9.0149546138363415E-2</v>
      </c>
      <c r="PH75" s="235">
        <f t="shared" ca="1" si="1147"/>
        <v>9.0149546138363415E-2</v>
      </c>
      <c r="PI75" s="242">
        <f t="shared" ca="1" si="1148"/>
        <v>9.0149546138363415E-2</v>
      </c>
      <c r="PJ75" s="241">
        <f t="shared" ca="1" si="798"/>
        <v>1</v>
      </c>
      <c r="PK75" s="220">
        <f t="shared" ca="1" si="1149"/>
        <v>0.80277052964629592</v>
      </c>
      <c r="PL75" s="220">
        <f t="shared" ca="1" si="1150"/>
        <v>0</v>
      </c>
      <c r="PM75" s="235">
        <f t="shared" ca="1" si="1151"/>
        <v>8.5796324721504238E-2</v>
      </c>
      <c r="PN75" s="235">
        <f t="shared" ca="1" si="1152"/>
        <v>8.5796324721504238E-2</v>
      </c>
      <c r="PO75" s="242">
        <f t="shared" ca="1" si="1153"/>
        <v>8.5796324721504238E-2</v>
      </c>
      <c r="PP75" s="241">
        <f t="shared" ca="1" si="805"/>
        <v>1</v>
      </c>
      <c r="PQ75" s="220">
        <f t="shared" ca="1" si="1154"/>
        <v>0.78995269259943357</v>
      </c>
      <c r="PR75" s="220">
        <f t="shared" ca="1" si="1155"/>
        <v>0</v>
      </c>
      <c r="PS75" s="235">
        <f t="shared" ca="1" si="1156"/>
        <v>8.1571415270218356E-2</v>
      </c>
      <c r="PT75" s="235">
        <f t="shared" ca="1" si="1157"/>
        <v>8.1571415270218356E-2</v>
      </c>
      <c r="PU75" s="242">
        <f t="shared" ca="1" si="1158"/>
        <v>8.1571415270218356E-2</v>
      </c>
      <c r="PV75" s="241">
        <f t="shared" ca="1" si="805"/>
        <v>1</v>
      </c>
      <c r="PW75" s="220">
        <f t="shared" ca="1" si="1159"/>
        <v>0.77643739198174988</v>
      </c>
      <c r="PX75" s="220">
        <f t="shared" ca="1" si="1160"/>
        <v>0</v>
      </c>
      <c r="PY75" s="235">
        <f t="shared" ca="1" si="1161"/>
        <v>7.7464550653488104E-2</v>
      </c>
      <c r="PZ75" s="235">
        <f t="shared" ca="1" si="1162"/>
        <v>7.7464550653488104E-2</v>
      </c>
      <c r="QA75" s="242">
        <f t="shared" ca="1" si="1163"/>
        <v>7.7464550653488104E-2</v>
      </c>
      <c r="QB75" s="241">
        <f t="shared" ca="1" si="805"/>
        <v>1</v>
      </c>
      <c r="QC75" s="220">
        <f t="shared" ca="1" si="1164"/>
        <v>0.76215715546842155</v>
      </c>
      <c r="QD75" s="220">
        <f t="shared" ca="1" si="1165"/>
        <v>0</v>
      </c>
      <c r="QE75" s="235">
        <f t="shared" ca="1" si="1166"/>
        <v>7.3468427669438799E-2</v>
      </c>
      <c r="QF75" s="235">
        <f t="shared" ca="1" si="1167"/>
        <v>7.3468427669438799E-2</v>
      </c>
      <c r="QG75" s="242">
        <f t="shared" ca="1" si="1168"/>
        <v>7.3468427669438799E-2</v>
      </c>
      <c r="QH75" s="241">
        <f t="shared" ca="1" si="805"/>
        <v>1</v>
      </c>
      <c r="QI75" s="220">
        <f t="shared" ca="1" si="1169"/>
        <v>0.74703900613254992</v>
      </c>
      <c r="QJ75" s="220">
        <f t="shared" ca="1" si="1170"/>
        <v>0</v>
      </c>
      <c r="QK75" s="235">
        <f t="shared" ca="1" si="1171"/>
        <v>6.9575949698732195E-2</v>
      </c>
      <c r="QL75" s="235">
        <f t="shared" ca="1" si="1172"/>
        <v>6.9575949698732195E-2</v>
      </c>
      <c r="QM75" s="242">
        <f t="shared" ca="1" si="1173"/>
        <v>6.9575949698732195E-2</v>
      </c>
      <c r="QN75" s="241">
        <f t="shared" ca="1" si="805"/>
        <v>1</v>
      </c>
      <c r="QO75" s="220">
        <f t="shared" ca="1" si="1174"/>
        <v>0.73100381386591473</v>
      </c>
      <c r="QP75" s="220">
        <f t="shared" ca="1" si="1175"/>
        <v>0</v>
      </c>
      <c r="QQ75" s="235">
        <f t="shared" ca="1" si="1176"/>
        <v>6.5780195109612458E-2</v>
      </c>
      <c r="QR75" s="235">
        <f t="shared" ca="1" si="1177"/>
        <v>6.5780195109612458E-2</v>
      </c>
      <c r="QS75" s="242">
        <f t="shared" ca="1" si="1178"/>
        <v>6.5780195109612458E-2</v>
      </c>
      <c r="QT75" s="241">
        <f t="shared" ca="1" si="805"/>
        <v>1</v>
      </c>
      <c r="QU75" s="220">
        <f t="shared" ca="1" si="1179"/>
        <v>0.71393414380833176</v>
      </c>
      <c r="QV75" s="220">
        <f t="shared" ca="1" si="1180"/>
        <v>0</v>
      </c>
      <c r="QW75" s="235">
        <f t="shared" ca="1" si="1181"/>
        <v>6.2071653887543876E-2</v>
      </c>
      <c r="QX75" s="235">
        <f t="shared" ca="1" si="1182"/>
        <v>6.2071653887543876E-2</v>
      </c>
      <c r="QY75" s="242">
        <f t="shared" ca="1" si="1183"/>
        <v>6.2071653887543876E-2</v>
      </c>
      <c r="QZ75" s="241">
        <f t="shared" ca="1" si="805"/>
        <v>1</v>
      </c>
      <c r="RA75" s="220">
        <f t="shared" ca="1" si="1184"/>
        <v>0.69574167395580788</v>
      </c>
      <c r="RB75" s="220">
        <f t="shared" ca="1" si="1185"/>
        <v>0</v>
      </c>
      <c r="RC75" s="235">
        <f t="shared" ca="1" si="1186"/>
        <v>5.8444390341238162E-2</v>
      </c>
      <c r="RD75" s="235">
        <f t="shared" ca="1" si="1187"/>
        <v>5.8444390341238162E-2</v>
      </c>
      <c r="RE75" s="242">
        <f t="shared" ca="1" si="1188"/>
        <v>5.8444390341238162E-2</v>
      </c>
      <c r="RF75" s="241">
        <f t="shared" ca="1" si="805"/>
        <v>1</v>
      </c>
      <c r="RG75" s="220">
        <f t="shared" ca="1" si="1189"/>
        <v>0.67640422986988014</v>
      </c>
      <c r="RH75" s="220">
        <f t="shared" ca="1" si="1190"/>
        <v>0</v>
      </c>
      <c r="RI75" s="235">
        <f t="shared" ca="1" si="1191"/>
        <v>5.4898538121829751E-2</v>
      </c>
      <c r="RJ75" s="235">
        <f t="shared" ca="1" si="1192"/>
        <v>5.4898538121829751E-2</v>
      </c>
      <c r="RK75" s="242">
        <f t="shared" ca="1" si="1193"/>
        <v>5.4898538121829751E-2</v>
      </c>
      <c r="RL75" s="241">
        <f t="shared" ca="1" si="805"/>
        <v>1</v>
      </c>
      <c r="RM75" s="220">
        <f t="shared" ca="1" si="1194"/>
        <v>0.65592135698096043</v>
      </c>
      <c r="RN75" s="220">
        <f t="shared" ca="1" si="1195"/>
        <v>0</v>
      </c>
      <c r="RO75" s="235">
        <f t="shared" ca="1" si="1196"/>
        <v>5.1435845981086484E-2</v>
      </c>
      <c r="RP75" s="235">
        <f t="shared" ca="1" si="1197"/>
        <v>5.1435845981086484E-2</v>
      </c>
      <c r="RQ75" s="242">
        <f t="shared" ca="1" si="1198"/>
        <v>5.1435845981086484E-2</v>
      </c>
      <c r="RR75" s="241">
        <f t="shared" ca="1" si="805"/>
        <v>1</v>
      </c>
      <c r="RS75" s="220">
        <f t="shared" ca="1" si="1199"/>
        <v>0.63426152193073515</v>
      </c>
      <c r="RT75" s="220">
        <f t="shared" ca="1" si="1200"/>
        <v>0</v>
      </c>
      <c r="RU75" s="235">
        <f t="shared" ca="1" si="1201"/>
        <v>4.8055392729564286E-2</v>
      </c>
      <c r="RV75" s="235">
        <f t="shared" ca="1" si="1202"/>
        <v>4.8055392729564286E-2</v>
      </c>
      <c r="RW75" s="242">
        <f t="shared" ca="1" si="1203"/>
        <v>4.8055392729564286E-2</v>
      </c>
      <c r="RX75" s="241">
        <f t="shared" ca="1" si="805"/>
        <v>1</v>
      </c>
      <c r="RY75" s="220">
        <f t="shared" ca="1" si="1204"/>
        <v>0.61130062057532053</v>
      </c>
      <c r="RZ75" s="220">
        <f t="shared" ca="1" si="1205"/>
        <v>0</v>
      </c>
      <c r="SA75" s="235">
        <f t="shared" ca="1" si="1206"/>
        <v>4.4749506722088245E-2</v>
      </c>
      <c r="SB75" s="235">
        <f t="shared" ca="1" si="1207"/>
        <v>4.4749506722088245E-2</v>
      </c>
      <c r="SC75" s="242">
        <f t="shared" ca="1" si="1208"/>
        <v>4.4749506722088245E-2</v>
      </c>
      <c r="SD75" s="241">
        <f t="shared" ca="1" si="799"/>
        <v>1</v>
      </c>
      <c r="SE75" s="220">
        <f t="shared" ca="1" si="1209"/>
        <v>0.58693540044042947</v>
      </c>
      <c r="SF75" s="220">
        <f t="shared" ca="1" si="1210"/>
        <v>0</v>
      </c>
      <c r="SG75" s="235">
        <f t="shared" ca="1" si="1211"/>
        <v>4.1512928389525854E-2</v>
      </c>
      <c r="SH75" s="235">
        <f t="shared" ca="1" si="1212"/>
        <v>4.1512928389525854E-2</v>
      </c>
      <c r="SI75" s="242">
        <f t="shared" ca="1" si="1213"/>
        <v>4.1512928389525854E-2</v>
      </c>
      <c r="SJ75" s="241">
        <f t="shared" ca="1" si="799"/>
        <v>1</v>
      </c>
      <c r="SK75" s="220">
        <f t="shared" ca="1" si="1214"/>
        <v>0.56117421877969853</v>
      </c>
      <c r="SL75" s="220">
        <f t="shared" ca="1" si="1215"/>
        <v>0</v>
      </c>
      <c r="SM75" s="235">
        <f t="shared" ca="1" si="1216"/>
        <v>3.8348680627614658E-2</v>
      </c>
      <c r="SN75" s="235">
        <f t="shared" ca="1" si="1217"/>
        <v>3.8348680627614658E-2</v>
      </c>
      <c r="SO75" s="242">
        <f t="shared" ca="1" si="1218"/>
        <v>3.8348680627614658E-2</v>
      </c>
      <c r="SP75" s="241">
        <f t="shared" ca="1" si="808"/>
        <v>1</v>
      </c>
      <c r="SQ75" s="220">
        <f t="shared" ca="1" si="1219"/>
        <v>0.5340633310962325</v>
      </c>
      <c r="SR75" s="220">
        <f t="shared" ca="1" si="1220"/>
        <v>0</v>
      </c>
      <c r="SS75" s="235">
        <f t="shared" ca="1" si="1221"/>
        <v>3.5261852674216394E-2</v>
      </c>
      <c r="ST75" s="235">
        <f t="shared" ca="1" si="1222"/>
        <v>3.5261852674216394E-2</v>
      </c>
      <c r="SU75" s="242">
        <f t="shared" ca="1" si="1223"/>
        <v>3.5261852674216394E-2</v>
      </c>
      <c r="SV75" s="241">
        <f t="shared" ca="1" si="808"/>
        <v>1</v>
      </c>
      <c r="SW75" s="220">
        <f t="shared" ca="1" si="1224"/>
        <v>0.50563620810864218</v>
      </c>
      <c r="SX75" s="220">
        <f t="shared" ca="1" si="1225"/>
        <v>0</v>
      </c>
      <c r="SY75" s="235">
        <f t="shared" ca="1" si="1226"/>
        <v>3.2255975632920972E-2</v>
      </c>
      <c r="SZ75" s="235">
        <f t="shared" ca="1" si="1227"/>
        <v>3.2255975632920972E-2</v>
      </c>
      <c r="TA75" s="242">
        <f t="shared" ca="1" si="1228"/>
        <v>3.2255975632920972E-2</v>
      </c>
      <c r="TB75" s="241">
        <f t="shared" ca="1" si="808"/>
        <v>1</v>
      </c>
      <c r="TC75" s="220">
        <f t="shared" ca="1" si="1229"/>
        <v>0.47585575235966748</v>
      </c>
      <c r="TD75" s="220">
        <f t="shared" ca="1" si="1230"/>
        <v>0</v>
      </c>
      <c r="TE75" s="235">
        <f t="shared" ca="1" si="1231"/>
        <v>2.9329657426153458E-2</v>
      </c>
      <c r="TF75" s="235">
        <f t="shared" ca="1" si="1232"/>
        <v>2.9329657426153458E-2</v>
      </c>
      <c r="TG75" s="242">
        <f t="shared" ca="1" si="1233"/>
        <v>2.9329657426153458E-2</v>
      </c>
      <c r="TH75" s="241">
        <f t="shared" ca="1" si="808"/>
        <v>1</v>
      </c>
      <c r="TI75" s="220">
        <f t="shared" ca="1" si="1234"/>
        <v>0.4447514411066778</v>
      </c>
      <c r="TJ75" s="220">
        <f t="shared" ca="1" si="1235"/>
        <v>0</v>
      </c>
      <c r="TK75" s="235">
        <f t="shared" ca="1" si="1236"/>
        <v>2.6485530790814431E-2</v>
      </c>
      <c r="TL75" s="235">
        <f t="shared" ca="1" si="1237"/>
        <v>2.6485530790814431E-2</v>
      </c>
      <c r="TM75" s="242">
        <f t="shared" ca="1" si="1238"/>
        <v>2.6485530790814431E-2</v>
      </c>
      <c r="TN75" s="241">
        <f t="shared" ca="1" si="808"/>
        <v>1</v>
      </c>
      <c r="TO75" s="220">
        <f t="shared" ca="1" si="1239"/>
        <v>0.41251096438941365</v>
      </c>
      <c r="TP75" s="220">
        <f t="shared" ca="1" si="1240"/>
        <v>0</v>
      </c>
      <c r="TQ75" s="235">
        <f t="shared" ca="1" si="1241"/>
        <v>2.3734848481408222E-2</v>
      </c>
      <c r="TR75" s="235">
        <f t="shared" ca="1" si="1242"/>
        <v>2.3734848481408222E-2</v>
      </c>
      <c r="TS75" s="242">
        <f t="shared" ca="1" si="1243"/>
        <v>2.3734848481408222E-2</v>
      </c>
      <c r="TT75" s="241">
        <f t="shared" ca="1" si="808"/>
        <v>1</v>
      </c>
      <c r="TU75" s="220">
        <f t="shared" ca="1" si="1244"/>
        <v>0.37939128408051637</v>
      </c>
      <c r="TV75" s="220">
        <f t="shared" ca="1" si="1245"/>
        <v>0</v>
      </c>
      <c r="TW75" s="235">
        <f t="shared" ca="1" si="1246"/>
        <v>2.1091038615007652E-2</v>
      </c>
      <c r="TX75" s="235">
        <f t="shared" ca="1" si="1247"/>
        <v>2.1091038615007652E-2</v>
      </c>
      <c r="TY75" s="242">
        <f t="shared" ca="1" si="1248"/>
        <v>2.1091038615007652E-2</v>
      </c>
      <c r="TZ75" s="241">
        <f t="shared" ca="1" si="808"/>
        <v>1</v>
      </c>
      <c r="UA75" s="220">
        <f t="shared" ca="1" si="1249"/>
        <v>0.34565732866521315</v>
      </c>
      <c r="UB75" s="220">
        <f t="shared" ca="1" si="1250"/>
        <v>0</v>
      </c>
      <c r="UC75" s="235">
        <f t="shared" ca="1" si="1251"/>
        <v>1.8565901280691431E-2</v>
      </c>
      <c r="UD75" s="235">
        <f t="shared" ca="1" si="1252"/>
        <v>1.8565901280691431E-2</v>
      </c>
      <c r="UE75" s="242">
        <f t="shared" ca="1" si="1253"/>
        <v>1.8565901280691431E-2</v>
      </c>
      <c r="UF75" s="241">
        <f t="shared" ca="1" si="808"/>
        <v>1</v>
      </c>
      <c r="UG75" s="220">
        <f t="shared" ca="1" si="1254"/>
        <v>0.31158381183471112</v>
      </c>
      <c r="UH75" s="220">
        <f t="shared" ca="1" si="1255"/>
        <v>0</v>
      </c>
      <c r="UI75" s="235">
        <f t="shared" ca="1" si="1256"/>
        <v>1.6169805793281151E-2</v>
      </c>
      <c r="UJ75" s="235">
        <f t="shared" ca="1" si="1257"/>
        <v>1.6169805793281151E-2</v>
      </c>
      <c r="UK75" s="242">
        <f t="shared" ca="1" si="1258"/>
        <v>1.6169805793281151E-2</v>
      </c>
      <c r="UL75" s="241">
        <f t="shared" ca="1" si="808"/>
        <v>1</v>
      </c>
      <c r="UM75" s="220">
        <f t="shared" ca="1" si="1259"/>
        <v>0.27748470263514402</v>
      </c>
      <c r="UN75" s="220">
        <f t="shared" ca="1" si="1260"/>
        <v>0</v>
      </c>
      <c r="UO75" s="235">
        <f t="shared" ca="1" si="1261"/>
        <v>1.3913250808575896E-2</v>
      </c>
      <c r="UP75" s="235">
        <f t="shared" ca="1" si="1262"/>
        <v>1.3913250808575896E-2</v>
      </c>
      <c r="UQ75" s="242">
        <f t="shared" ca="1" si="1263"/>
        <v>1.3913250808575896E-2</v>
      </c>
      <c r="UR75" s="241">
        <f t="shared" ca="1" si="808"/>
        <v>1</v>
      </c>
      <c r="US75" s="220">
        <f t="shared" ca="1" si="1264"/>
        <v>0.24373729058536042</v>
      </c>
      <c r="UT75" s="220">
        <f t="shared" ca="1" si="1265"/>
        <v>0</v>
      </c>
      <c r="UU75" s="235">
        <f t="shared" ca="1" si="1266"/>
        <v>1.1807860056509861E-2</v>
      </c>
      <c r="UV75" s="235">
        <f t="shared" ca="1" si="1267"/>
        <v>1.1807860056509861E-2</v>
      </c>
      <c r="UW75" s="242">
        <f t="shared" ca="1" si="1268"/>
        <v>1.1807860056509861E-2</v>
      </c>
      <c r="UX75" s="241">
        <f t="shared" ca="1" si="808"/>
        <v>1</v>
      </c>
      <c r="UY75" s="220">
        <f t="shared" ca="1" si="1269"/>
        <v>0.21078985859319374</v>
      </c>
      <c r="UZ75" s="220">
        <f t="shared" ca="1" si="1270"/>
        <v>0</v>
      </c>
      <c r="VA75" s="235">
        <f t="shared" ca="1" si="1271"/>
        <v>9.866396874889936E-3</v>
      </c>
      <c r="VB75" s="235">
        <f t="shared" ca="1" si="1272"/>
        <v>9.866396874889936E-3</v>
      </c>
      <c r="VC75" s="242">
        <f t="shared" ca="1" si="1273"/>
        <v>9.866396874889936E-3</v>
      </c>
      <c r="VD75" s="241">
        <f t="shared" ca="1" si="806"/>
        <v>1</v>
      </c>
      <c r="VE75" s="220">
        <f t="shared" ca="1" si="1274"/>
        <v>0.17914840370962801</v>
      </c>
      <c r="VF75" s="220">
        <f t="shared" ca="1" si="1275"/>
        <v>0</v>
      </c>
      <c r="VG75" s="235">
        <f t="shared" ca="1" si="1276"/>
        <v>8.1017989433788233E-3</v>
      </c>
      <c r="VH75" s="235">
        <f t="shared" ca="1" si="1277"/>
        <v>8.1017989433788233E-3</v>
      </c>
      <c r="VI75" s="242">
        <f t="shared" ca="1" si="1278"/>
        <v>8.1017989433788233E-3</v>
      </c>
      <c r="VJ75" s="241">
        <f t="shared" ca="1" si="806"/>
        <v>1</v>
      </c>
      <c r="VK75" s="220">
        <f t="shared" ca="1" si="1279"/>
        <v>0.14933864677755704</v>
      </c>
      <c r="VL75" s="220">
        <f t="shared" ca="1" si="1280"/>
        <v>0</v>
      </c>
      <c r="VM75" s="235">
        <f t="shared" ca="1" si="1281"/>
        <v>6.5252984585482295E-3</v>
      </c>
      <c r="VN75" s="235">
        <f t="shared" ca="1" si="1282"/>
        <v>6.5252984585482295E-3</v>
      </c>
      <c r="VO75" s="242">
        <f t="shared" ca="1" si="1283"/>
        <v>6.5252984585482295E-3</v>
      </c>
      <c r="VP75" s="241">
        <f t="shared" ca="1" si="567"/>
        <v>1</v>
      </c>
      <c r="VQ75" s="220">
        <f t="shared" ca="1" si="1284"/>
        <v>0.12186078378642688</v>
      </c>
      <c r="VR75" s="220">
        <f t="shared" ca="1" si="1285"/>
        <v>0</v>
      </c>
      <c r="VS75" s="235">
        <f t="shared" ca="1" si="1286"/>
        <v>5.1446020464451514E-3</v>
      </c>
      <c r="VT75" s="235">
        <f t="shared" ca="1" si="1287"/>
        <v>5.1446020464451514E-3</v>
      </c>
      <c r="VU75" s="242">
        <f t="shared" ca="1" si="1288"/>
        <v>5.1446020464451514E-3</v>
      </c>
      <c r="VV75" s="241">
        <f t="shared" ca="1" si="1335"/>
        <v>1</v>
      </c>
      <c r="VW75" s="220">
        <f t="shared" ca="1" si="1289"/>
        <v>9.714071449143126E-2</v>
      </c>
      <c r="VX75" s="220">
        <f t="shared" ca="1" si="1290"/>
        <v>0</v>
      </c>
      <c r="VY75" s="235">
        <f t="shared" ca="1" si="1291"/>
        <v>3.9623128486120972E-3</v>
      </c>
      <c r="VZ75" s="235">
        <f t="shared" ca="1" si="1292"/>
        <v>3.9623128486120972E-3</v>
      </c>
      <c r="WA75" s="242">
        <f t="shared" ca="1" si="1293"/>
        <v>3.9623128486120972E-3</v>
      </c>
      <c r="WB75" s="241">
        <f t="shared" ca="1" si="1335"/>
        <v>1</v>
      </c>
      <c r="WC75" s="220">
        <f t="shared" ca="1" si="1294"/>
        <v>7.5486980683431834E-2</v>
      </c>
      <c r="WD75" s="220">
        <f t="shared" ca="1" si="1295"/>
        <v>0</v>
      </c>
      <c r="WE75" s="235">
        <f t="shared" ca="1" si="1296"/>
        <v>2.9749465982754843E-3</v>
      </c>
      <c r="WF75" s="235">
        <f t="shared" ca="1" si="1297"/>
        <v>2.9749465982754843E-3</v>
      </c>
      <c r="WG75" s="242">
        <f t="shared" ca="1" si="1298"/>
        <v>2.9749465982754843E-3</v>
      </c>
      <c r="WH75" s="241">
        <f t="shared" ca="1" si="1335"/>
        <v>1</v>
      </c>
      <c r="WI75" s="220">
        <f t="shared" ca="1" si="1299"/>
        <v>5.7061061620490225E-2</v>
      </c>
      <c r="WJ75" s="220">
        <f t="shared" ca="1" si="1300"/>
        <v>0</v>
      </c>
      <c r="WK75" s="235">
        <f t="shared" ca="1" si="1301"/>
        <v>2.1727342833971291E-3</v>
      </c>
      <c r="WL75" s="235">
        <f t="shared" ca="1" si="1302"/>
        <v>2.1727342833971291E-3</v>
      </c>
      <c r="WM75" s="242">
        <f t="shared" ca="1" si="1303"/>
        <v>2.1727342833971291E-3</v>
      </c>
      <c r="WN75" s="241">
        <f t="shared" ca="1" si="1335"/>
        <v>1</v>
      </c>
      <c r="WO75" s="220">
        <f t="shared" ca="1" si="1304"/>
        <v>4.1934687734452851E-2</v>
      </c>
      <c r="WP75" s="220">
        <f t="shared" ca="1" si="1305"/>
        <v>0</v>
      </c>
      <c r="WQ75" s="235">
        <f t="shared" ca="1" si="1306"/>
        <v>1.5427651975624165E-3</v>
      </c>
      <c r="WR75" s="235">
        <f t="shared" ca="1" si="1307"/>
        <v>1.5427651975624165E-3</v>
      </c>
      <c r="WS75" s="242">
        <f t="shared" ca="1" si="1308"/>
        <v>1.5427651975624165E-3</v>
      </c>
      <c r="WT75" s="241">
        <f t="shared" ca="1" si="1335"/>
        <v>1</v>
      </c>
      <c r="WU75" s="220">
        <f t="shared" ca="1" si="1309"/>
        <v>2.9961998908764689E-2</v>
      </c>
      <c r="WV75" s="220">
        <f t="shared" ca="1" si="1310"/>
        <v>0</v>
      </c>
      <c r="WW75" s="235">
        <f t="shared" ca="1" si="1311"/>
        <v>1.0650177696007403E-3</v>
      </c>
      <c r="WX75" s="235">
        <f t="shared" ca="1" si="1312"/>
        <v>1.0650177696007403E-3</v>
      </c>
      <c r="WY75" s="242">
        <f t="shared" ca="1" si="1313"/>
        <v>1.0650177696007403E-3</v>
      </c>
      <c r="WZ75" s="241">
        <f t="shared" ca="1" si="1335"/>
        <v>1</v>
      </c>
      <c r="XA75" s="220">
        <f t="shared" ca="1" si="1314"/>
        <v>2.0825806429510707E-2</v>
      </c>
      <c r="XB75" s="220">
        <f t="shared" ca="1" si="1315"/>
        <v>0</v>
      </c>
      <c r="XC75" s="235">
        <f t="shared" ca="1" si="1316"/>
        <v>7.1523300597822715E-4</v>
      </c>
      <c r="XD75" s="235">
        <f t="shared" ca="1" si="1317"/>
        <v>7.1523300597822715E-4</v>
      </c>
      <c r="XE75" s="242">
        <f t="shared" ca="1" si="1318"/>
        <v>7.1523300597822715E-4</v>
      </c>
      <c r="XF75" s="241">
        <f t="shared" ca="1" si="1335"/>
        <v>1</v>
      </c>
      <c r="XG75" s="220">
        <f t="shared" ca="1" si="1319"/>
        <v>1.410075784309954E-2</v>
      </c>
      <c r="XH75" s="220">
        <f t="shared" ca="1" si="1320"/>
        <v>0</v>
      </c>
      <c r="XI75" s="235">
        <f t="shared" ca="1" si="1321"/>
        <v>4.6789437576883483E-4</v>
      </c>
      <c r="XJ75" s="235">
        <f t="shared" ca="1" si="1322"/>
        <v>4.6789437576883483E-4</v>
      </c>
      <c r="XK75" s="242">
        <f t="shared" ca="1" si="1323"/>
        <v>4.6789437576883483E-4</v>
      </c>
    </row>
    <row r="76" spans="2:635" x14ac:dyDescent="0.25">
      <c r="B76" s="65">
        <f t="shared" ca="1" si="810"/>
        <v>2091</v>
      </c>
      <c r="C76" s="65" t="s">
        <v>741</v>
      </c>
      <c r="D76" s="77">
        <f t="shared" si="811"/>
        <v>0</v>
      </c>
      <c r="E76" s="77">
        <f t="shared" si="812"/>
        <v>0</v>
      </c>
      <c r="F76" s="77" t="b">
        <f t="shared" si="813"/>
        <v>0</v>
      </c>
      <c r="G76" s="77" t="b">
        <f t="shared" si="814"/>
        <v>0</v>
      </c>
      <c r="H76" s="15" t="e">
        <f t="shared" ca="1" si="815"/>
        <v>#REF!</v>
      </c>
      <c r="L76" s="326">
        <f t="shared" ca="1" si="816"/>
        <v>3.5000000000000003E-2</v>
      </c>
      <c r="M76" s="327">
        <f t="shared" ca="1" si="817"/>
        <v>3.5000000000000003E-2</v>
      </c>
      <c r="N76" s="322">
        <f t="shared" ca="1" si="809"/>
        <v>-68</v>
      </c>
      <c r="O76" s="322">
        <f t="shared" ca="1" si="818"/>
        <v>0</v>
      </c>
      <c r="P76" s="328">
        <f t="shared" ca="1" si="1324"/>
        <v>26.87829936156087</v>
      </c>
      <c r="Q76" s="328">
        <f t="shared" ca="1" si="1325"/>
        <v>26.87829936156087</v>
      </c>
      <c r="R76" s="328">
        <f t="shared" ca="1" si="1326"/>
        <v>26.87829936156087</v>
      </c>
      <c r="S76" s="329">
        <f t="shared" ca="1" si="819"/>
        <v>3.8642415640549425E-2</v>
      </c>
      <c r="T76" s="329">
        <f t="shared" ca="1" si="820"/>
        <v>3.8642415640549425E-2</v>
      </c>
      <c r="U76" s="329">
        <f t="shared" ca="1" si="821"/>
        <v>3.8642415640549425E-2</v>
      </c>
      <c r="V76" s="320" t="e">
        <f t="shared" ca="1" si="822"/>
        <v>#REF!</v>
      </c>
      <c r="W76" s="320" t="e">
        <f t="shared" ca="1" si="560"/>
        <v>#REF!</v>
      </c>
      <c r="X76" s="320" t="e">
        <f t="shared" ca="1" si="823"/>
        <v>#REF!</v>
      </c>
      <c r="Y76" s="320" t="e">
        <f ca="1">INDEX(SC_ZA_HECMLumpSum,ZAIDX)</f>
        <v>#REF!</v>
      </c>
      <c r="Z76" s="320" t="e">
        <f t="shared" ca="1" si="824"/>
        <v>#REF!</v>
      </c>
      <c r="AA76" s="320" t="e">
        <f t="shared" ca="1" si="557"/>
        <v>#REF!</v>
      </c>
      <c r="AB76" s="320" t="e">
        <f t="shared" ca="1" si="558"/>
        <v>#REF!</v>
      </c>
      <c r="AC76" s="330" t="e">
        <f t="shared" ca="1" si="559"/>
        <v>#REF!</v>
      </c>
      <c r="AD76" s="236" t="e">
        <f t="shared" ca="1" si="1327"/>
        <v>#REF!</v>
      </c>
      <c r="AE76" s="320" t="e">
        <f t="shared" ca="1" si="561"/>
        <v>#REF!</v>
      </c>
      <c r="AF76" s="320" t="e">
        <f t="shared" ca="1" si="825"/>
        <v>#REF!</v>
      </c>
      <c r="AG76" s="320" t="e">
        <f t="shared" ca="1" si="1328"/>
        <v>#REF!</v>
      </c>
      <c r="AH76" s="284" t="e">
        <f t="shared" ca="1" si="1329"/>
        <v>#REF!</v>
      </c>
      <c r="AI76" s="318" t="e">
        <f t="shared" ca="1" si="1330"/>
        <v>#REF!</v>
      </c>
      <c r="AJ76" s="331">
        <f t="shared" ca="1" si="807"/>
        <v>1</v>
      </c>
      <c r="AK76" s="220">
        <f t="shared" ca="1" si="826"/>
        <v>1</v>
      </c>
      <c r="AL76" s="220">
        <f t="shared" ca="1" si="827"/>
        <v>0</v>
      </c>
      <c r="AM76" s="235">
        <f t="shared" ca="1" si="1331"/>
        <v>1</v>
      </c>
      <c r="AN76" s="235">
        <f t="shared" ca="1" si="1332"/>
        <v>1</v>
      </c>
      <c r="AO76" s="242">
        <f t="shared" ca="1" si="1333"/>
        <v>1</v>
      </c>
      <c r="AP76" s="241">
        <f t="shared" ca="1" si="807"/>
        <v>1</v>
      </c>
      <c r="AQ76" s="220">
        <f t="shared" ca="1" si="828"/>
        <v>0.99361699999999997</v>
      </c>
      <c r="AR76" s="220">
        <f t="shared" ca="1" si="829"/>
        <v>0</v>
      </c>
      <c r="AS76" s="235">
        <f t="shared" ca="1" si="830"/>
        <v>0.96001642512077301</v>
      </c>
      <c r="AT76" s="235">
        <f t="shared" ca="1" si="831"/>
        <v>0.96001642512077301</v>
      </c>
      <c r="AU76" s="242">
        <f t="shared" ca="1" si="832"/>
        <v>0.96001642512077301</v>
      </c>
      <c r="AV76" s="241">
        <f t="shared" ca="1" si="807"/>
        <v>1</v>
      </c>
      <c r="AW76" s="220">
        <f t="shared" ca="1" si="833"/>
        <v>0.99316689149899995</v>
      </c>
      <c r="AX76" s="220">
        <f t="shared" ca="1" si="834"/>
        <v>0</v>
      </c>
      <c r="AY76" s="235">
        <f t="shared" ca="1" si="835"/>
        <v>0.92713192046395487</v>
      </c>
      <c r="AZ76" s="235">
        <f t="shared" ca="1" si="836"/>
        <v>0.92713192046395487</v>
      </c>
      <c r="BA76" s="242">
        <f t="shared" ca="1" si="837"/>
        <v>0.92713192046395487</v>
      </c>
      <c r="BB76" s="241">
        <f t="shared" ca="1" si="807"/>
        <v>1</v>
      </c>
      <c r="BC76" s="220">
        <f t="shared" ca="1" si="838"/>
        <v>0.99288681843559723</v>
      </c>
      <c r="BD76" s="220">
        <f t="shared" ca="1" si="839"/>
        <v>0</v>
      </c>
      <c r="BE76" s="235">
        <f t="shared" ca="1" si="840"/>
        <v>0.89552702344191704</v>
      </c>
      <c r="BF76" s="235">
        <f t="shared" ca="1" si="841"/>
        <v>0.89552702344191704</v>
      </c>
      <c r="BG76" s="242">
        <f t="shared" ca="1" si="842"/>
        <v>0.89552702344191704</v>
      </c>
      <c r="BH76" s="241">
        <f t="shared" ca="1" si="807"/>
        <v>1</v>
      </c>
      <c r="BI76" s="220">
        <f t="shared" ca="1" si="843"/>
        <v>0.99265845446735712</v>
      </c>
      <c r="BJ76" s="220">
        <f t="shared" ca="1" si="844"/>
        <v>0</v>
      </c>
      <c r="BK76" s="235">
        <f t="shared" ca="1" si="845"/>
        <v>0.86504449490485558</v>
      </c>
      <c r="BL76" s="235">
        <f t="shared" ca="1" si="846"/>
        <v>0.86504449490485558</v>
      </c>
      <c r="BM76" s="242">
        <f t="shared" ca="1" si="847"/>
        <v>0.86504449490485558</v>
      </c>
      <c r="BN76" s="241">
        <f t="shared" ca="1" si="807"/>
        <v>1</v>
      </c>
      <c r="BO76" s="220">
        <f t="shared" ca="1" si="848"/>
        <v>0.99249069518855215</v>
      </c>
      <c r="BP76" s="220">
        <f t="shared" ca="1" si="849"/>
        <v>0</v>
      </c>
      <c r="BQ76" s="235">
        <f t="shared" ca="1" si="850"/>
        <v>0.83565053370552345</v>
      </c>
      <c r="BR76" s="235">
        <f t="shared" ca="1" si="851"/>
        <v>0.83565053370552345</v>
      </c>
      <c r="BS76" s="242">
        <f t="shared" ca="1" si="852"/>
        <v>0.83565053370552345</v>
      </c>
      <c r="BT76" s="241">
        <f t="shared" ca="1" si="807"/>
        <v>1</v>
      </c>
      <c r="BU76" s="220">
        <f t="shared" ca="1" si="853"/>
        <v>0.99233685913079794</v>
      </c>
      <c r="BV76" s="220">
        <f t="shared" ca="1" si="854"/>
        <v>0</v>
      </c>
      <c r="BW76" s="235">
        <f t="shared" ca="1" si="855"/>
        <v>0.80726667427323584</v>
      </c>
      <c r="BX76" s="235">
        <f t="shared" ca="1" si="856"/>
        <v>0.80726667427323584</v>
      </c>
      <c r="BY76" s="242">
        <f t="shared" ca="1" si="857"/>
        <v>0.80726667427323584</v>
      </c>
      <c r="BZ76" s="241">
        <f t="shared" ca="1" si="807"/>
        <v>1</v>
      </c>
      <c r="CA76" s="220">
        <f t="shared" ca="1" si="858"/>
        <v>0.992192970286224</v>
      </c>
      <c r="CB76" s="220">
        <f t="shared" ca="1" si="859"/>
        <v>0</v>
      </c>
      <c r="CC76" s="235">
        <f t="shared" ca="1" si="860"/>
        <v>0.7798547058990013</v>
      </c>
      <c r="CD76" s="235">
        <f t="shared" ca="1" si="861"/>
        <v>0.7798547058990013</v>
      </c>
      <c r="CE76" s="242">
        <f t="shared" ca="1" si="862"/>
        <v>0.7798547058990013</v>
      </c>
      <c r="CF76" s="241">
        <f t="shared" ca="1" si="807"/>
        <v>1</v>
      </c>
      <c r="CG76" s="220">
        <f t="shared" ca="1" si="863"/>
        <v>0.9920590242352354</v>
      </c>
      <c r="CH76" s="220">
        <f t="shared" ca="1" si="864"/>
        <v>0</v>
      </c>
      <c r="CI76" s="235">
        <f t="shared" ca="1" si="865"/>
        <v>0.75338108745285515</v>
      </c>
      <c r="CJ76" s="235">
        <f t="shared" ca="1" si="866"/>
        <v>0.75338108745285515</v>
      </c>
      <c r="CK76" s="242">
        <f t="shared" ca="1" si="867"/>
        <v>0.75338108745285515</v>
      </c>
      <c r="CL76" s="241">
        <f t="shared" ca="1" si="807"/>
        <v>1</v>
      </c>
      <c r="CM76" s="220">
        <f t="shared" ca="1" si="868"/>
        <v>0.99193997715232718</v>
      </c>
      <c r="CN76" s="220">
        <f t="shared" ca="1" si="869"/>
        <v>0</v>
      </c>
      <c r="CO76" s="235">
        <f t="shared" ca="1" si="870"/>
        <v>0.72781708378972065</v>
      </c>
      <c r="CP76" s="235">
        <f t="shared" ca="1" si="871"/>
        <v>0.72781708378972065</v>
      </c>
      <c r="CQ76" s="242">
        <f t="shared" ca="1" si="872"/>
        <v>0.72781708378972065</v>
      </c>
      <c r="CR76" s="241">
        <f t="shared" ca="1" si="807"/>
        <v>1</v>
      </c>
      <c r="CS76" s="220">
        <f t="shared" ca="1" si="873"/>
        <v>0.99183582345472621</v>
      </c>
      <c r="CT76" s="220">
        <f t="shared" ca="1" si="874"/>
        <v>0</v>
      </c>
      <c r="CU76" s="235">
        <f t="shared" ca="1" si="875"/>
        <v>0.70313107535837949</v>
      </c>
      <c r="CV76" s="235">
        <f t="shared" ca="1" si="876"/>
        <v>0.70313107535837949</v>
      </c>
      <c r="CW76" s="242">
        <f t="shared" ca="1" si="877"/>
        <v>0.70313107535837949</v>
      </c>
      <c r="CX76" s="241">
        <f t="shared" ca="1" si="800"/>
        <v>1</v>
      </c>
      <c r="CY76" s="220">
        <f t="shared" ca="1" si="878"/>
        <v>0.99174259088732142</v>
      </c>
      <c r="CZ76" s="220">
        <f t="shared" ca="1" si="879"/>
        <v>0</v>
      </c>
      <c r="DA76" s="235">
        <f t="shared" ca="1" si="880"/>
        <v>0.6792898367510104</v>
      </c>
      <c r="DB76" s="235">
        <f t="shared" ca="1" si="881"/>
        <v>0.6792898367510104</v>
      </c>
      <c r="DC76" s="242">
        <f t="shared" ca="1" si="882"/>
        <v>0.6792898367510104</v>
      </c>
      <c r="DD76" s="241">
        <f t="shared" ca="1" si="800"/>
        <v>1</v>
      </c>
      <c r="DE76" s="220">
        <f t="shared" ca="1" si="883"/>
        <v>0.99164440837082357</v>
      </c>
      <c r="DF76" s="220">
        <f t="shared" ca="1" si="884"/>
        <v>0</v>
      </c>
      <c r="DG76" s="235">
        <f t="shared" ca="1" si="885"/>
        <v>0.65625370730161559</v>
      </c>
      <c r="DH76" s="235">
        <f t="shared" ca="1" si="886"/>
        <v>0.65625370730161559</v>
      </c>
      <c r="DI76" s="242">
        <f t="shared" ca="1" si="887"/>
        <v>0.65625370730161559</v>
      </c>
      <c r="DJ76" s="241">
        <f t="shared" ca="1" si="888"/>
        <v>1</v>
      </c>
      <c r="DK76" s="220">
        <f t="shared" ca="1" si="889"/>
        <v>0.9915115280201019</v>
      </c>
      <c r="DL76" s="220">
        <f t="shared" ca="1" si="890"/>
        <v>0</v>
      </c>
      <c r="DM76" s="235">
        <f t="shared" ca="1" si="891"/>
        <v>0.63397658870032592</v>
      </c>
      <c r="DN76" s="235">
        <f t="shared" ca="1" si="892"/>
        <v>0.63397658870032592</v>
      </c>
      <c r="DO76" s="242">
        <f t="shared" ca="1" si="893"/>
        <v>0.63397658870032592</v>
      </c>
      <c r="DP76" s="241">
        <f t="shared" ca="1" si="888"/>
        <v>1</v>
      </c>
      <c r="DQ76" s="220">
        <f t="shared" ca="1" si="894"/>
        <v>0.99130628513380181</v>
      </c>
      <c r="DR76" s="220">
        <f t="shared" ca="1" si="895"/>
        <v>0</v>
      </c>
      <c r="DS76" s="235">
        <f t="shared" ca="1" si="896"/>
        <v>0.61241097154247814</v>
      </c>
      <c r="DT76" s="235">
        <f t="shared" ca="1" si="897"/>
        <v>0.61241097154247814</v>
      </c>
      <c r="DU76" s="242">
        <f t="shared" ca="1" si="898"/>
        <v>0.61241097154247814</v>
      </c>
      <c r="DV76" s="241">
        <f t="shared" ca="1" si="888"/>
        <v>1</v>
      </c>
      <c r="DW76" s="220">
        <f t="shared" ca="1" si="899"/>
        <v>0.9909999714916955</v>
      </c>
      <c r="DX76" s="220">
        <f t="shared" ca="1" si="900"/>
        <v>0</v>
      </c>
      <c r="DY76" s="235">
        <f t="shared" ca="1" si="901"/>
        <v>0.59151858604084218</v>
      </c>
      <c r="DZ76" s="235">
        <f t="shared" ca="1" si="902"/>
        <v>0.59151858604084218</v>
      </c>
      <c r="EA76" s="242">
        <f t="shared" ca="1" si="903"/>
        <v>0.59151858604084218</v>
      </c>
      <c r="EB76" s="241">
        <f t="shared" ca="1" si="888"/>
        <v>1</v>
      </c>
      <c r="EC76" s="220">
        <f t="shared" ca="1" si="904"/>
        <v>0.99058474250364048</v>
      </c>
      <c r="ED76" s="220">
        <f t="shared" ca="1" si="905"/>
        <v>0</v>
      </c>
      <c r="EE76" s="235">
        <f t="shared" ca="1" si="906"/>
        <v>0.57127607705632</v>
      </c>
      <c r="EF76" s="235">
        <f t="shared" ca="1" si="907"/>
        <v>0.57127607705632</v>
      </c>
      <c r="EG76" s="242">
        <f t="shared" ca="1" si="908"/>
        <v>0.57127607705632</v>
      </c>
      <c r="EH76" s="241">
        <f t="shared" ca="1" si="888"/>
        <v>1</v>
      </c>
      <c r="EI76" s="220">
        <f t="shared" ca="1" si="909"/>
        <v>0.99005973259011348</v>
      </c>
      <c r="EJ76" s="220">
        <f t="shared" ca="1" si="910"/>
        <v>0</v>
      </c>
      <c r="EK76" s="235">
        <f t="shared" ca="1" si="911"/>
        <v>0.55166502486519819</v>
      </c>
      <c r="EL76" s="235">
        <f t="shared" ca="1" si="912"/>
        <v>0.55166502486519819</v>
      </c>
      <c r="EM76" s="242">
        <f t="shared" ca="1" si="913"/>
        <v>0.55166502486519819</v>
      </c>
      <c r="EN76" s="241">
        <f t="shared" ca="1" si="888"/>
        <v>1</v>
      </c>
      <c r="EO76" s="220">
        <f t="shared" ca="1" si="914"/>
        <v>0.98941124346526699</v>
      </c>
      <c r="EP76" s="220">
        <f t="shared" ca="1" si="915"/>
        <v>0</v>
      </c>
      <c r="EQ76" s="235">
        <f t="shared" ca="1" si="916"/>
        <v>0.53266056451585653</v>
      </c>
      <c r="ER76" s="235">
        <f t="shared" ca="1" si="917"/>
        <v>0.53266056451585653</v>
      </c>
      <c r="ES76" s="242">
        <f t="shared" ca="1" si="918"/>
        <v>0.53266056451585653</v>
      </c>
      <c r="ET76" s="241">
        <f t="shared" ca="1" si="888"/>
        <v>1</v>
      </c>
      <c r="EU76" s="220">
        <f t="shared" ca="1" si="919"/>
        <v>0.98862861917168599</v>
      </c>
      <c r="EV76" s="220">
        <f t="shared" ca="1" si="920"/>
        <v>0</v>
      </c>
      <c r="EW76" s="235">
        <f t="shared" ca="1" si="921"/>
        <v>0.51424080194137645</v>
      </c>
      <c r="EX76" s="235">
        <f t="shared" ca="1" si="922"/>
        <v>0.51424080194137645</v>
      </c>
      <c r="EY76" s="242">
        <f t="shared" ca="1" si="923"/>
        <v>0.51424080194137645</v>
      </c>
      <c r="EZ76" s="241">
        <f t="shared" ca="1" si="888"/>
        <v>1</v>
      </c>
      <c r="FA76" s="220">
        <f t="shared" ca="1" si="924"/>
        <v>0.98770524004137961</v>
      </c>
      <c r="FB76" s="220">
        <f t="shared" ca="1" si="925"/>
        <v>0</v>
      </c>
      <c r="FC76" s="235">
        <f t="shared" ca="1" si="926"/>
        <v>0.49638695751919149</v>
      </c>
      <c r="FD76" s="235">
        <f t="shared" ca="1" si="927"/>
        <v>0.49638695751919149</v>
      </c>
      <c r="FE76" s="242">
        <f t="shared" ca="1" si="928"/>
        <v>0.49638695751919149</v>
      </c>
      <c r="FF76" s="241">
        <f t="shared" ca="1" si="888"/>
        <v>1</v>
      </c>
      <c r="FG76" s="220">
        <f t="shared" ca="1" si="929"/>
        <v>0.98663357985593469</v>
      </c>
      <c r="FH76" s="220">
        <f t="shared" ca="1" si="930"/>
        <v>0</v>
      </c>
      <c r="FI76" s="235">
        <f t="shared" ca="1" si="931"/>
        <v>0.4790805581355394</v>
      </c>
      <c r="FJ76" s="235">
        <f t="shared" ca="1" si="932"/>
        <v>0.4790805581355394</v>
      </c>
      <c r="FK76" s="242">
        <f t="shared" ca="1" si="933"/>
        <v>0.4790805581355394</v>
      </c>
      <c r="FL76" s="241">
        <f t="shared" ca="1" si="888"/>
        <v>1</v>
      </c>
      <c r="FM76" s="220">
        <f t="shared" ca="1" si="934"/>
        <v>0.98542199381987161</v>
      </c>
      <c r="FN76" s="220">
        <f t="shared" ca="1" si="935"/>
        <v>0</v>
      </c>
      <c r="FO76" s="235">
        <f t="shared" ca="1" si="936"/>
        <v>0.46231134996149653</v>
      </c>
      <c r="FP76" s="235">
        <f t="shared" ca="1" si="937"/>
        <v>0.46231134996149653</v>
      </c>
      <c r="FQ76" s="242">
        <f t="shared" ca="1" si="938"/>
        <v>0.46231134996149653</v>
      </c>
      <c r="FR76" s="241">
        <f t="shared" ca="1" si="888"/>
        <v>1</v>
      </c>
      <c r="FS76" s="220">
        <f t="shared" ca="1" si="939"/>
        <v>0.98410251377014679</v>
      </c>
      <c r="FT76" s="220">
        <f t="shared" ca="1" si="940"/>
        <v>0</v>
      </c>
      <c r="FU76" s="235">
        <f t="shared" ca="1" si="941"/>
        <v>0.44607953146270346</v>
      </c>
      <c r="FV76" s="235">
        <f t="shared" ca="1" si="942"/>
        <v>0.44607953146270346</v>
      </c>
      <c r="FW76" s="242">
        <f t="shared" ca="1" si="943"/>
        <v>0.44607953146270346</v>
      </c>
      <c r="FX76" s="241">
        <f t="shared" ca="1" si="801"/>
        <v>1</v>
      </c>
      <c r="FY76" s="220">
        <f t="shared" ca="1" si="944"/>
        <v>0.98272181794332725</v>
      </c>
      <c r="FZ76" s="220">
        <f t="shared" ca="1" si="945"/>
        <v>0</v>
      </c>
      <c r="GA76" s="235">
        <f t="shared" ca="1" si="946"/>
        <v>0.43039003080199167</v>
      </c>
      <c r="GB76" s="235">
        <f t="shared" ca="1" si="947"/>
        <v>0.43039003080199167</v>
      </c>
      <c r="GC76" s="242">
        <f t="shared" ca="1" si="948"/>
        <v>0.43039003080199167</v>
      </c>
      <c r="GD76" s="241">
        <f t="shared" ca="1" si="795"/>
        <v>1</v>
      </c>
      <c r="GE76" s="220">
        <f t="shared" ca="1" si="949"/>
        <v>0.98131357757821447</v>
      </c>
      <c r="GF76" s="220">
        <f t="shared" ca="1" si="950"/>
        <v>0</v>
      </c>
      <c r="GG76" s="235">
        <f t="shared" ca="1" si="951"/>
        <v>0.41523988588198307</v>
      </c>
      <c r="GH76" s="235">
        <f t="shared" ca="1" si="952"/>
        <v>0.41523988588198307</v>
      </c>
      <c r="GI76" s="242">
        <f t="shared" ca="1" si="953"/>
        <v>0.41523988588198307</v>
      </c>
      <c r="GJ76" s="241">
        <f t="shared" ca="1" si="795"/>
        <v>1</v>
      </c>
      <c r="GK76" s="220">
        <f t="shared" ca="1" si="954"/>
        <v>0.97988969157714845</v>
      </c>
      <c r="GL76" s="220">
        <f t="shared" ca="1" si="955"/>
        <v>0</v>
      </c>
      <c r="GM76" s="235">
        <f t="shared" ca="1" si="956"/>
        <v>0.40061581913774713</v>
      </c>
      <c r="GN76" s="235">
        <f t="shared" ca="1" si="957"/>
        <v>0.40061581913774713</v>
      </c>
      <c r="GO76" s="242">
        <f t="shared" ca="1" si="958"/>
        <v>0.40061581913774713</v>
      </c>
      <c r="GP76" s="241">
        <f t="shared" ca="1" si="802"/>
        <v>1</v>
      </c>
      <c r="GQ76" s="220">
        <f t="shared" ca="1" si="959"/>
        <v>0.9784443542820721</v>
      </c>
      <c r="GR76" s="220">
        <f t="shared" ca="1" si="960"/>
        <v>0</v>
      </c>
      <c r="GS76" s="235">
        <f t="shared" ca="1" si="961"/>
        <v>0.38649749836185404</v>
      </c>
      <c r="GT76" s="235">
        <f t="shared" ca="1" si="962"/>
        <v>0.38649749836185404</v>
      </c>
      <c r="GU76" s="242">
        <f t="shared" ca="1" si="963"/>
        <v>0.38649749836185404</v>
      </c>
      <c r="GV76" s="241">
        <f t="shared" ca="1" si="802"/>
        <v>1</v>
      </c>
      <c r="GW76" s="220">
        <f t="shared" ca="1" si="964"/>
        <v>0.97697473086194042</v>
      </c>
      <c r="GX76" s="220">
        <f t="shared" ca="1" si="965"/>
        <v>0</v>
      </c>
      <c r="GY76" s="235">
        <f t="shared" ca="1" si="966"/>
        <v>0.37286664649209134</v>
      </c>
      <c r="GZ76" s="235">
        <f t="shared" ca="1" si="967"/>
        <v>0.37286664649209134</v>
      </c>
      <c r="HA76" s="242">
        <f t="shared" ca="1" si="968"/>
        <v>0.37286664649209134</v>
      </c>
      <c r="HB76" s="241">
        <f t="shared" ca="1" si="802"/>
        <v>1</v>
      </c>
      <c r="HC76" s="220">
        <f t="shared" ca="1" si="969"/>
        <v>0.97547214372587476</v>
      </c>
      <c r="HD76" s="220">
        <f t="shared" ca="1" si="970"/>
        <v>0</v>
      </c>
      <c r="HE76" s="235">
        <f t="shared" ca="1" si="971"/>
        <v>0.35970355322684694</v>
      </c>
      <c r="HF76" s="235">
        <f t="shared" ca="1" si="972"/>
        <v>0.35970355322684694</v>
      </c>
      <c r="HG76" s="242">
        <f t="shared" ca="1" si="973"/>
        <v>0.35970355322684694</v>
      </c>
      <c r="HH76" s="241">
        <f t="shared" ca="1" si="802"/>
        <v>1</v>
      </c>
      <c r="HI76" s="220">
        <f t="shared" ca="1" si="974"/>
        <v>0.9739299222666441</v>
      </c>
      <c r="HJ76" s="220">
        <f t="shared" ca="1" si="975"/>
        <v>0</v>
      </c>
      <c r="HK76" s="235">
        <f t="shared" ca="1" si="976"/>
        <v>0.34699020474318382</v>
      </c>
      <c r="HL76" s="235">
        <f t="shared" ca="1" si="977"/>
        <v>0.34699020474318382</v>
      </c>
      <c r="HM76" s="242">
        <f t="shared" ca="1" si="978"/>
        <v>0.34699020474318382</v>
      </c>
      <c r="HN76" s="241">
        <f t="shared" ca="1" si="802"/>
        <v>1</v>
      </c>
      <c r="HO76" s="220">
        <f t="shared" ca="1" si="979"/>
        <v>0.97234631221303847</v>
      </c>
      <c r="HP76" s="220">
        <f t="shared" ca="1" si="980"/>
        <v>0</v>
      </c>
      <c r="HQ76" s="235">
        <f t="shared" ca="1" si="981"/>
        <v>0.33471110982634922</v>
      </c>
      <c r="HR76" s="235">
        <f t="shared" ca="1" si="982"/>
        <v>0.33471110982634922</v>
      </c>
      <c r="HS76" s="242">
        <f t="shared" ca="1" si="983"/>
        <v>0.33471110982634922</v>
      </c>
      <c r="HT76" s="241">
        <f t="shared" ca="1" si="802"/>
        <v>1</v>
      </c>
      <c r="HU76" s="220">
        <f t="shared" ca="1" si="984"/>
        <v>0.97072346621795491</v>
      </c>
      <c r="HV76" s="220">
        <f t="shared" ca="1" si="985"/>
        <v>0</v>
      </c>
      <c r="HW76" s="235">
        <f t="shared" ca="1" si="986"/>
        <v>0.32285263476719722</v>
      </c>
      <c r="HX76" s="235">
        <f t="shared" ca="1" si="987"/>
        <v>0.32285263476719722</v>
      </c>
      <c r="HY76" s="242">
        <f t="shared" ca="1" si="988"/>
        <v>0.32285263476719722</v>
      </c>
      <c r="HZ76" s="241">
        <f t="shared" ca="1" si="802"/>
        <v>1</v>
      </c>
      <c r="IA76" s="220">
        <f t="shared" ca="1" si="989"/>
        <v>0.96906158764378969</v>
      </c>
      <c r="IB76" s="220">
        <f t="shared" ca="1" si="990"/>
        <v>0</v>
      </c>
      <c r="IC76" s="235">
        <f t="shared" ca="1" si="991"/>
        <v>0.31140088024780266</v>
      </c>
      <c r="ID76" s="235">
        <f t="shared" ca="1" si="992"/>
        <v>0.31140088024780266</v>
      </c>
      <c r="IE76" s="242">
        <f t="shared" ca="1" si="993"/>
        <v>0.31140088024780266</v>
      </c>
      <c r="IF76" s="241">
        <f t="shared" ca="1" si="802"/>
        <v>1</v>
      </c>
      <c r="IG76" s="220">
        <f t="shared" ca="1" si="994"/>
        <v>0.96736088455747493</v>
      </c>
      <c r="IH76" s="220">
        <f t="shared" ca="1" si="995"/>
        <v>0</v>
      </c>
      <c r="II76" s="235">
        <f t="shared" ca="1" si="996"/>
        <v>0.30034238811880948</v>
      </c>
      <c r="IJ76" s="235">
        <f t="shared" ca="1" si="997"/>
        <v>0.30034238811880948</v>
      </c>
      <c r="IK76" s="242">
        <f t="shared" ca="1" si="998"/>
        <v>0.30034238811880948</v>
      </c>
      <c r="IL76" s="241">
        <f t="shared" ca="1" si="802"/>
        <v>1</v>
      </c>
      <c r="IM76" s="220">
        <f t="shared" ca="1" si="999"/>
        <v>0.96561963496527148</v>
      </c>
      <c r="IN76" s="220">
        <f t="shared" ca="1" si="1000"/>
        <v>0</v>
      </c>
      <c r="IO76" s="235">
        <f t="shared" ca="1" si="1001"/>
        <v>0.28966354765236296</v>
      </c>
      <c r="IP76" s="235">
        <f t="shared" ca="1" si="1002"/>
        <v>0.28966354765236296</v>
      </c>
      <c r="IQ76" s="242">
        <f t="shared" ca="1" si="1003"/>
        <v>0.28966354765236296</v>
      </c>
      <c r="IR76" s="241">
        <f t="shared" ca="1" si="802"/>
        <v>1</v>
      </c>
      <c r="IS76" s="220">
        <f t="shared" ca="1" si="1004"/>
        <v>0.96382841054241086</v>
      </c>
      <c r="IT76" s="220">
        <f t="shared" ca="1" si="1005"/>
        <v>0</v>
      </c>
      <c r="IU76" s="235">
        <f t="shared" ca="1" si="1006"/>
        <v>0.27934900654248102</v>
      </c>
      <c r="IV76" s="235">
        <f t="shared" ca="1" si="1007"/>
        <v>0.27934900654248102</v>
      </c>
      <c r="IW76" s="242">
        <f t="shared" ca="1" si="1008"/>
        <v>0.27934900654248102</v>
      </c>
      <c r="IX76" s="241">
        <f t="shared" ca="1" si="802"/>
        <v>1</v>
      </c>
      <c r="IY76" s="220">
        <f t="shared" ca="1" si="1009"/>
        <v>0.9619778599941694</v>
      </c>
      <c r="IZ76" s="220">
        <f t="shared" ca="1" si="1010"/>
        <v>0</v>
      </c>
      <c r="JA76" s="235">
        <f t="shared" ca="1" si="1011"/>
        <v>0.26938420913035699</v>
      </c>
      <c r="JB76" s="235">
        <f t="shared" ca="1" si="1012"/>
        <v>0.26938420913035699</v>
      </c>
      <c r="JC76" s="242">
        <f t="shared" ca="1" si="1013"/>
        <v>0.26938420913035699</v>
      </c>
      <c r="JD76" s="241">
        <f t="shared" ca="1" si="796"/>
        <v>1</v>
      </c>
      <c r="JE76" s="220">
        <f t="shared" ca="1" si="1014"/>
        <v>0.96006544800850102</v>
      </c>
      <c r="JF76" s="220">
        <f t="shared" ca="1" si="1015"/>
        <v>0</v>
      </c>
      <c r="JG76" s="235">
        <f t="shared" ca="1" si="1016"/>
        <v>0.25975717229237277</v>
      </c>
      <c r="JH76" s="235">
        <f t="shared" ca="1" si="1017"/>
        <v>0.25975717229237277</v>
      </c>
      <c r="JI76" s="242">
        <f t="shared" ca="1" si="1018"/>
        <v>0.25975717229237277</v>
      </c>
      <c r="JJ76" s="241">
        <f t="shared" ca="1" si="796"/>
        <v>1</v>
      </c>
      <c r="JK76" s="220">
        <f t="shared" ca="1" si="1019"/>
        <v>0.9580877131856036</v>
      </c>
      <c r="JL76" s="220">
        <f t="shared" ca="1" si="1020"/>
        <v>0</v>
      </c>
      <c r="JM76" s="235">
        <f t="shared" ca="1" si="1021"/>
        <v>0.25045610871251262</v>
      </c>
      <c r="JN76" s="235">
        <f t="shared" ca="1" si="1022"/>
        <v>0.25045610871251262</v>
      </c>
      <c r="JO76" s="242">
        <f t="shared" ca="1" si="1023"/>
        <v>0.25045610871251262</v>
      </c>
      <c r="JP76" s="241">
        <f t="shared" ca="1" si="803"/>
        <v>1</v>
      </c>
      <c r="JQ76" s="220">
        <f t="shared" ca="1" si="1024"/>
        <v>0.95603644739167326</v>
      </c>
      <c r="JR76" s="220">
        <f t="shared" ca="1" si="1025"/>
        <v>0</v>
      </c>
      <c r="JS76" s="235">
        <f t="shared" ca="1" si="1026"/>
        <v>0.24146848520169967</v>
      </c>
      <c r="JT76" s="235">
        <f t="shared" ca="1" si="1027"/>
        <v>0.24146848520169967</v>
      </c>
      <c r="JU76" s="242">
        <f t="shared" ca="1" si="1028"/>
        <v>0.24146848520169967</v>
      </c>
      <c r="JV76" s="241">
        <f t="shared" ca="1" si="803"/>
        <v>1</v>
      </c>
      <c r="JW76" s="220">
        <f t="shared" ca="1" si="1029"/>
        <v>0.95389492574951584</v>
      </c>
      <c r="JX76" s="220">
        <f t="shared" ca="1" si="1030"/>
        <v>0</v>
      </c>
      <c r="JY76" s="235">
        <f t="shared" ca="1" si="1031"/>
        <v>0.23278028579212359</v>
      </c>
      <c r="JZ76" s="235">
        <f t="shared" ca="1" si="1032"/>
        <v>0.23278028579212359</v>
      </c>
      <c r="KA76" s="242">
        <f t="shared" ca="1" si="1033"/>
        <v>0.23278028579212359</v>
      </c>
      <c r="KB76" s="241">
        <f t="shared" ca="1" si="803"/>
        <v>1</v>
      </c>
      <c r="KC76" s="220">
        <f t="shared" ca="1" si="1034"/>
        <v>0.95164182593489555</v>
      </c>
      <c r="KD76" s="220">
        <f t="shared" ca="1" si="1035"/>
        <v>0</v>
      </c>
      <c r="KE76" s="235">
        <f t="shared" ca="1" si="1036"/>
        <v>0.22437725483776094</v>
      </c>
      <c r="KF76" s="235">
        <f t="shared" ca="1" si="1037"/>
        <v>0.22437725483776094</v>
      </c>
      <c r="KG76" s="242">
        <f t="shared" ca="1" si="1038"/>
        <v>0.22437725483776094</v>
      </c>
      <c r="KH76" s="241">
        <f t="shared" ca="1" si="803"/>
        <v>1</v>
      </c>
      <c r="KI76" s="220">
        <f t="shared" ca="1" si="1039"/>
        <v>0.94925415659362489</v>
      </c>
      <c r="KJ76" s="220">
        <f t="shared" ca="1" si="1040"/>
        <v>0</v>
      </c>
      <c r="KK76" s="235">
        <f t="shared" ca="1" si="1041"/>
        <v>0.21624569304866956</v>
      </c>
      <c r="KL76" s="235">
        <f t="shared" ca="1" si="1042"/>
        <v>0.21624569304866956</v>
      </c>
      <c r="KM76" s="242">
        <f t="shared" ca="1" si="1043"/>
        <v>0.21624569304866956</v>
      </c>
      <c r="KN76" s="241">
        <f t="shared" ca="1" si="803"/>
        <v>1</v>
      </c>
      <c r="KO76" s="220">
        <f t="shared" ca="1" si="1044"/>
        <v>0.94670635843732753</v>
      </c>
      <c r="KP76" s="220">
        <f t="shared" ca="1" si="1045"/>
        <v>0</v>
      </c>
      <c r="KQ76" s="235">
        <f t="shared" ca="1" si="1046"/>
        <v>0.2083722604913304</v>
      </c>
      <c r="KR76" s="235">
        <f t="shared" ca="1" si="1047"/>
        <v>0.2083722604913304</v>
      </c>
      <c r="KS76" s="242">
        <f t="shared" ca="1" si="1048"/>
        <v>0.2083722604913304</v>
      </c>
      <c r="KT76" s="241">
        <f t="shared" ca="1" si="803"/>
        <v>1</v>
      </c>
      <c r="KU76" s="220">
        <f t="shared" ca="1" si="1049"/>
        <v>0.94397037706144371</v>
      </c>
      <c r="KV76" s="220">
        <f t="shared" ca="1" si="1050"/>
        <v>0</v>
      </c>
      <c r="KW76" s="235">
        <f t="shared" ca="1" si="1051"/>
        <v>0.20074402382464779</v>
      </c>
      <c r="KX76" s="235">
        <f t="shared" ca="1" si="1052"/>
        <v>0.20074402382464779</v>
      </c>
      <c r="KY76" s="242">
        <f t="shared" ca="1" si="1053"/>
        <v>0.20074402382464779</v>
      </c>
      <c r="KZ76" s="241">
        <f t="shared" ca="1" si="803"/>
        <v>1</v>
      </c>
      <c r="LA76" s="220">
        <f t="shared" ca="1" si="1054"/>
        <v>0.94102424551463493</v>
      </c>
      <c r="LB76" s="220">
        <f t="shared" ca="1" si="1055"/>
        <v>0</v>
      </c>
      <c r="LC76" s="235">
        <f t="shared" ca="1" si="1056"/>
        <v>0.19335024321380778</v>
      </c>
      <c r="LD76" s="235">
        <f t="shared" ca="1" si="1057"/>
        <v>0.19335024321380778</v>
      </c>
      <c r="LE76" s="242">
        <f t="shared" ca="1" si="1058"/>
        <v>0.19335024321380778</v>
      </c>
      <c r="LF76" s="241">
        <f t="shared" ca="1" si="803"/>
        <v>1</v>
      </c>
      <c r="LG76" s="220">
        <f t="shared" ca="1" si="1059"/>
        <v>0.93783793741932242</v>
      </c>
      <c r="LH76" s="220">
        <f t="shared" ca="1" si="1060"/>
        <v>0</v>
      </c>
      <c r="LI76" s="235">
        <f t="shared" ca="1" si="1061"/>
        <v>0.18617928433844047</v>
      </c>
      <c r="LJ76" s="235">
        <f t="shared" ca="1" si="1062"/>
        <v>0.18617928433844047</v>
      </c>
      <c r="LK76" s="242">
        <f t="shared" ca="1" si="1063"/>
        <v>0.18617928433844047</v>
      </c>
      <c r="LL76" s="241">
        <f t="shared" ca="1" si="803"/>
        <v>1</v>
      </c>
      <c r="LM76" s="220">
        <f t="shared" ca="1" si="1064"/>
        <v>0.93436137218530901</v>
      </c>
      <c r="LN76" s="220">
        <f t="shared" ca="1" si="1065"/>
        <v>0</v>
      </c>
      <c r="LO76" s="235">
        <f t="shared" ca="1" si="1066"/>
        <v>0.17921653887091585</v>
      </c>
      <c r="LP76" s="235">
        <f t="shared" ca="1" si="1067"/>
        <v>0.17921653887091585</v>
      </c>
      <c r="LQ76" s="242">
        <f t="shared" ca="1" si="1068"/>
        <v>0.17921653887091585</v>
      </c>
      <c r="LR76" s="241">
        <f t="shared" ca="1" si="803"/>
        <v>1</v>
      </c>
      <c r="LS76" s="220">
        <f t="shared" ca="1" si="1069"/>
        <v>0.93053889981169891</v>
      </c>
      <c r="LT76" s="220">
        <f t="shared" ca="1" si="1070"/>
        <v>0</v>
      </c>
      <c r="LU76" s="235">
        <f t="shared" ca="1" si="1071"/>
        <v>0.17244769469603377</v>
      </c>
      <c r="LV76" s="235">
        <f t="shared" ca="1" si="1072"/>
        <v>0.17244769469603377</v>
      </c>
      <c r="LW76" s="242">
        <f t="shared" ca="1" si="1073"/>
        <v>0.17244769469603377</v>
      </c>
      <c r="LX76" s="241">
        <f t="shared" ca="1" si="803"/>
        <v>1</v>
      </c>
      <c r="LY76" s="220">
        <f t="shared" ca="1" si="1074"/>
        <v>0.92632262805665211</v>
      </c>
      <c r="LZ76" s="220">
        <f t="shared" ca="1" si="1075"/>
        <v>0</v>
      </c>
      <c r="MA76" s="235">
        <f t="shared" ca="1" si="1076"/>
        <v>0.16586119245542613</v>
      </c>
      <c r="MB76" s="235">
        <f t="shared" ca="1" si="1077"/>
        <v>0.16586119245542613</v>
      </c>
      <c r="MC76" s="242">
        <f t="shared" ca="1" si="1078"/>
        <v>0.16586119245542613</v>
      </c>
      <c r="MD76" s="241">
        <f t="shared" ca="1" si="797"/>
        <v>1</v>
      </c>
      <c r="ME76" s="220">
        <f t="shared" ca="1" si="1079"/>
        <v>0.92167897272220412</v>
      </c>
      <c r="MF76" s="220">
        <f t="shared" ca="1" si="1080"/>
        <v>0</v>
      </c>
      <c r="MG76" s="235">
        <f t="shared" ca="1" si="1081"/>
        <v>0.15944901478033538</v>
      </c>
      <c r="MH76" s="235">
        <f t="shared" ca="1" si="1082"/>
        <v>0.15944901478033538</v>
      </c>
      <c r="MI76" s="242">
        <f t="shared" ca="1" si="1083"/>
        <v>0.15944901478033538</v>
      </c>
      <c r="MJ76" s="241">
        <f t="shared" ca="1" si="797"/>
        <v>1</v>
      </c>
      <c r="MK76" s="220">
        <f t="shared" ca="1" si="1084"/>
        <v>0.91658761807688671</v>
      </c>
      <c r="ML76" s="220">
        <f t="shared" ca="1" si="1085"/>
        <v>0</v>
      </c>
      <c r="MM76" s="235">
        <f t="shared" ca="1" si="1086"/>
        <v>0.15320600813786359</v>
      </c>
      <c r="MN76" s="235">
        <f t="shared" ca="1" si="1087"/>
        <v>0.15320600813786359</v>
      </c>
      <c r="MO76" s="242">
        <f t="shared" ca="1" si="1088"/>
        <v>0.15320600813786359</v>
      </c>
      <c r="MP76" s="241">
        <f t="shared" ca="1" si="804"/>
        <v>1</v>
      </c>
      <c r="MQ76" s="220">
        <f t="shared" ca="1" si="1089"/>
        <v>0.91103401369895887</v>
      </c>
      <c r="MR76" s="220">
        <f t="shared" ca="1" si="1090"/>
        <v>0</v>
      </c>
      <c r="MS76" s="235">
        <f t="shared" ca="1" si="1091"/>
        <v>0.1471282443812138</v>
      </c>
      <c r="MT76" s="235">
        <f t="shared" ca="1" si="1092"/>
        <v>0.1471282443812138</v>
      </c>
      <c r="MU76" s="242">
        <f t="shared" ca="1" si="1093"/>
        <v>0.1471282443812138</v>
      </c>
      <c r="MV76" s="241">
        <f t="shared" ca="1" si="804"/>
        <v>1</v>
      </c>
      <c r="MW76" s="220">
        <f t="shared" ca="1" si="1094"/>
        <v>0.90501116783439506</v>
      </c>
      <c r="MX76" s="220">
        <f t="shared" ca="1" si="1095"/>
        <v>0</v>
      </c>
      <c r="MY76" s="235">
        <f t="shared" ca="1" si="1096"/>
        <v>0.14121312034551653</v>
      </c>
      <c r="MZ76" s="235">
        <f t="shared" ca="1" si="1097"/>
        <v>0.14121312034551653</v>
      </c>
      <c r="NA76" s="242">
        <f t="shared" ca="1" si="1098"/>
        <v>0.14121312034551653</v>
      </c>
      <c r="NB76" s="241">
        <f t="shared" ca="1" si="804"/>
        <v>1</v>
      </c>
      <c r="NC76" s="220">
        <f t="shared" ca="1" si="1099"/>
        <v>0.89850685257116925</v>
      </c>
      <c r="ND76" s="220">
        <f t="shared" ca="1" si="1100"/>
        <v>0</v>
      </c>
      <c r="NE76" s="235">
        <f t="shared" ca="1" si="1101"/>
        <v>0.13545721898511429</v>
      </c>
      <c r="NF76" s="235">
        <f t="shared" ca="1" si="1102"/>
        <v>0.13545721898511429</v>
      </c>
      <c r="NG76" s="242">
        <f t="shared" ca="1" si="1103"/>
        <v>0.13545721898511429</v>
      </c>
      <c r="NH76" s="241">
        <f t="shared" ca="1" si="804"/>
        <v>1</v>
      </c>
      <c r="NI76" s="220">
        <f t="shared" ca="1" si="1104"/>
        <v>0.89149849912111412</v>
      </c>
      <c r="NJ76" s="220">
        <f t="shared" ca="1" si="1105"/>
        <v>0</v>
      </c>
      <c r="NK76" s="235">
        <f t="shared" ca="1" si="1106"/>
        <v>0.12985570306959462</v>
      </c>
      <c r="NL76" s="235">
        <f t="shared" ca="1" si="1107"/>
        <v>0.12985570306959462</v>
      </c>
      <c r="NM76" s="242">
        <f t="shared" ca="1" si="1108"/>
        <v>0.12985570306959462</v>
      </c>
      <c r="NN76" s="241">
        <f t="shared" ca="1" si="804"/>
        <v>1</v>
      </c>
      <c r="NO76" s="220">
        <f t="shared" ca="1" si="1109"/>
        <v>0.88395998781254592</v>
      </c>
      <c r="NP76" s="220">
        <f t="shared" ca="1" si="1110"/>
        <v>0</v>
      </c>
      <c r="NQ76" s="235">
        <f t="shared" ca="1" si="1111"/>
        <v>0.12440352004293539</v>
      </c>
      <c r="NR76" s="235">
        <f t="shared" ca="1" si="1112"/>
        <v>0.12440352004293539</v>
      </c>
      <c r="NS76" s="242">
        <f t="shared" ca="1" si="1113"/>
        <v>0.12440352004293539</v>
      </c>
      <c r="NT76" s="241">
        <f t="shared" ca="1" si="804"/>
        <v>1</v>
      </c>
      <c r="NU76" s="220">
        <f t="shared" ca="1" si="1114"/>
        <v>0.87587705768398794</v>
      </c>
      <c r="NV76" s="220">
        <f t="shared" ca="1" si="1115"/>
        <v>0</v>
      </c>
      <c r="NW76" s="235">
        <f t="shared" ca="1" si="1116"/>
        <v>0.11909755966730703</v>
      </c>
      <c r="NX76" s="235">
        <f t="shared" ca="1" si="1117"/>
        <v>0.11909755966730703</v>
      </c>
      <c r="NY76" s="242">
        <f t="shared" ca="1" si="1118"/>
        <v>0.11909755966730703</v>
      </c>
      <c r="NZ76" s="241">
        <f t="shared" ca="1" si="804"/>
        <v>1</v>
      </c>
      <c r="OA76" s="220">
        <f t="shared" ca="1" si="1119"/>
        <v>0.86723653050993543</v>
      </c>
      <c r="OB76" s="220">
        <f t="shared" ca="1" si="1120"/>
        <v>0</v>
      </c>
      <c r="OC76" s="235">
        <f t="shared" ca="1" si="1121"/>
        <v>0.11393493936346769</v>
      </c>
      <c r="OD76" s="235">
        <f t="shared" ca="1" si="1122"/>
        <v>0.11393493936346769</v>
      </c>
      <c r="OE76" s="242">
        <f t="shared" ca="1" si="1123"/>
        <v>0.11393493936346769</v>
      </c>
      <c r="OF76" s="241">
        <f t="shared" ca="1" si="804"/>
        <v>1</v>
      </c>
      <c r="OG76" s="220">
        <f t="shared" ca="1" si="1124"/>
        <v>0.85802474408285889</v>
      </c>
      <c r="OH76" s="220">
        <f t="shared" ca="1" si="1125"/>
        <v>0</v>
      </c>
      <c r="OI76" s="235">
        <f t="shared" ca="1" si="1126"/>
        <v>0.10891277530197965</v>
      </c>
      <c r="OJ76" s="235">
        <f t="shared" ca="1" si="1127"/>
        <v>0.10891277530197965</v>
      </c>
      <c r="OK76" s="242">
        <f t="shared" ca="1" si="1128"/>
        <v>0.10891277530197965</v>
      </c>
      <c r="OL76" s="241">
        <f t="shared" ca="1" si="804"/>
        <v>1</v>
      </c>
      <c r="OM76" s="220">
        <f t="shared" ca="1" si="1129"/>
        <v>0.84819349656515752</v>
      </c>
      <c r="ON76" s="220">
        <f t="shared" ca="1" si="1130"/>
        <v>0</v>
      </c>
      <c r="OO76" s="235">
        <f t="shared" ca="1" si="1131"/>
        <v>0.10402401229233778</v>
      </c>
      <c r="OP76" s="235">
        <f t="shared" ca="1" si="1132"/>
        <v>0.10402401229233778</v>
      </c>
      <c r="OQ76" s="242">
        <f t="shared" ca="1" si="1133"/>
        <v>0.10402401229233778</v>
      </c>
      <c r="OR76" s="241">
        <f t="shared" ca="1" si="804"/>
        <v>1</v>
      </c>
      <c r="OS76" s="220">
        <f t="shared" ca="1" si="1134"/>
        <v>0.83771830688257787</v>
      </c>
      <c r="OT76" s="220">
        <f t="shared" ca="1" si="1135"/>
        <v>0</v>
      </c>
      <c r="OU76" s="235">
        <f t="shared" ca="1" si="1136"/>
        <v>9.9265039362828419E-2</v>
      </c>
      <c r="OV76" s="235">
        <f t="shared" ca="1" si="1137"/>
        <v>9.9265039362828419E-2</v>
      </c>
      <c r="OW76" s="242">
        <f t="shared" ca="1" si="1138"/>
        <v>9.9265039362828419E-2</v>
      </c>
      <c r="OX76" s="241">
        <f t="shared" ca="1" si="804"/>
        <v>1</v>
      </c>
      <c r="OY76" s="220">
        <f t="shared" ca="1" si="1139"/>
        <v>0.82663110509098692</v>
      </c>
      <c r="OZ76" s="220">
        <f t="shared" ca="1" si="1140"/>
        <v>0</v>
      </c>
      <c r="PA76" s="235">
        <f t="shared" ca="1" si="1141"/>
        <v>9.4638904895518239E-2</v>
      </c>
      <c r="PB76" s="235">
        <f t="shared" ca="1" si="1142"/>
        <v>9.4638904895518239E-2</v>
      </c>
      <c r="PC76" s="242">
        <f t="shared" ca="1" si="1143"/>
        <v>9.4638904895518239E-2</v>
      </c>
      <c r="PD76" s="241">
        <f t="shared" ca="1" si="798"/>
        <v>1</v>
      </c>
      <c r="PE76" s="220">
        <f t="shared" ca="1" si="1144"/>
        <v>0.81497808640251923</v>
      </c>
      <c r="PF76" s="220">
        <f t="shared" ca="1" si="1145"/>
        <v>0</v>
      </c>
      <c r="PG76" s="235">
        <f t="shared" ca="1" si="1146"/>
        <v>9.0149546138363415E-2</v>
      </c>
      <c r="PH76" s="235">
        <f t="shared" ca="1" si="1147"/>
        <v>9.0149546138363415E-2</v>
      </c>
      <c r="PI76" s="242">
        <f t="shared" ca="1" si="1148"/>
        <v>9.0149546138363415E-2</v>
      </c>
      <c r="PJ76" s="241">
        <f t="shared" ca="1" si="798"/>
        <v>1</v>
      </c>
      <c r="PK76" s="220">
        <f t="shared" ca="1" si="1149"/>
        <v>0.80277052964629592</v>
      </c>
      <c r="PL76" s="220">
        <f t="shared" ca="1" si="1150"/>
        <v>0</v>
      </c>
      <c r="PM76" s="235">
        <f t="shared" ca="1" si="1151"/>
        <v>8.5796324721504238E-2</v>
      </c>
      <c r="PN76" s="235">
        <f t="shared" ca="1" si="1152"/>
        <v>8.5796324721504238E-2</v>
      </c>
      <c r="PO76" s="242">
        <f t="shared" ca="1" si="1153"/>
        <v>8.5796324721504238E-2</v>
      </c>
      <c r="PP76" s="241">
        <f t="shared" ca="1" si="805"/>
        <v>1</v>
      </c>
      <c r="PQ76" s="220">
        <f t="shared" ca="1" si="1154"/>
        <v>0.78995269259943357</v>
      </c>
      <c r="PR76" s="220">
        <f t="shared" ca="1" si="1155"/>
        <v>0</v>
      </c>
      <c r="PS76" s="235">
        <f t="shared" ca="1" si="1156"/>
        <v>8.1571415270218356E-2</v>
      </c>
      <c r="PT76" s="235">
        <f t="shared" ca="1" si="1157"/>
        <v>8.1571415270218356E-2</v>
      </c>
      <c r="PU76" s="242">
        <f t="shared" ca="1" si="1158"/>
        <v>8.1571415270218356E-2</v>
      </c>
      <c r="PV76" s="241">
        <f t="shared" ca="1" si="805"/>
        <v>1</v>
      </c>
      <c r="PW76" s="220">
        <f t="shared" ca="1" si="1159"/>
        <v>0.77643739198174988</v>
      </c>
      <c r="PX76" s="220">
        <f t="shared" ca="1" si="1160"/>
        <v>0</v>
      </c>
      <c r="PY76" s="235">
        <f t="shared" ca="1" si="1161"/>
        <v>7.7464550653488104E-2</v>
      </c>
      <c r="PZ76" s="235">
        <f t="shared" ca="1" si="1162"/>
        <v>7.7464550653488104E-2</v>
      </c>
      <c r="QA76" s="242">
        <f t="shared" ca="1" si="1163"/>
        <v>7.7464550653488104E-2</v>
      </c>
      <c r="QB76" s="241">
        <f t="shared" ca="1" si="805"/>
        <v>1</v>
      </c>
      <c r="QC76" s="220">
        <f t="shared" ca="1" si="1164"/>
        <v>0.76215715546842155</v>
      </c>
      <c r="QD76" s="220">
        <f t="shared" ca="1" si="1165"/>
        <v>0</v>
      </c>
      <c r="QE76" s="235">
        <f t="shared" ca="1" si="1166"/>
        <v>7.3468427669438799E-2</v>
      </c>
      <c r="QF76" s="235">
        <f t="shared" ca="1" si="1167"/>
        <v>7.3468427669438799E-2</v>
      </c>
      <c r="QG76" s="242">
        <f t="shared" ca="1" si="1168"/>
        <v>7.3468427669438799E-2</v>
      </c>
      <c r="QH76" s="241">
        <f t="shared" ca="1" si="805"/>
        <v>1</v>
      </c>
      <c r="QI76" s="220">
        <f t="shared" ca="1" si="1169"/>
        <v>0.74703900613254992</v>
      </c>
      <c r="QJ76" s="220">
        <f t="shared" ca="1" si="1170"/>
        <v>0</v>
      </c>
      <c r="QK76" s="235">
        <f t="shared" ca="1" si="1171"/>
        <v>6.9575949698732195E-2</v>
      </c>
      <c r="QL76" s="235">
        <f t="shared" ca="1" si="1172"/>
        <v>6.9575949698732195E-2</v>
      </c>
      <c r="QM76" s="242">
        <f t="shared" ca="1" si="1173"/>
        <v>6.9575949698732195E-2</v>
      </c>
      <c r="QN76" s="241">
        <f t="shared" ca="1" si="805"/>
        <v>1</v>
      </c>
      <c r="QO76" s="220">
        <f t="shared" ca="1" si="1174"/>
        <v>0.73100381386591473</v>
      </c>
      <c r="QP76" s="220">
        <f t="shared" ca="1" si="1175"/>
        <v>0</v>
      </c>
      <c r="QQ76" s="235">
        <f t="shared" ca="1" si="1176"/>
        <v>6.5780195109612458E-2</v>
      </c>
      <c r="QR76" s="235">
        <f t="shared" ca="1" si="1177"/>
        <v>6.5780195109612458E-2</v>
      </c>
      <c r="QS76" s="242">
        <f t="shared" ca="1" si="1178"/>
        <v>6.5780195109612458E-2</v>
      </c>
      <c r="QT76" s="241">
        <f t="shared" ca="1" si="805"/>
        <v>1</v>
      </c>
      <c r="QU76" s="220">
        <f t="shared" ca="1" si="1179"/>
        <v>0.71393414380833176</v>
      </c>
      <c r="QV76" s="220">
        <f t="shared" ca="1" si="1180"/>
        <v>0</v>
      </c>
      <c r="QW76" s="235">
        <f t="shared" ca="1" si="1181"/>
        <v>6.2071653887543876E-2</v>
      </c>
      <c r="QX76" s="235">
        <f t="shared" ca="1" si="1182"/>
        <v>6.2071653887543876E-2</v>
      </c>
      <c r="QY76" s="242">
        <f t="shared" ca="1" si="1183"/>
        <v>6.2071653887543876E-2</v>
      </c>
      <c r="QZ76" s="241">
        <f t="shared" ca="1" si="805"/>
        <v>1</v>
      </c>
      <c r="RA76" s="220">
        <f t="shared" ca="1" si="1184"/>
        <v>0.69574167395580788</v>
      </c>
      <c r="RB76" s="220">
        <f t="shared" ca="1" si="1185"/>
        <v>0</v>
      </c>
      <c r="RC76" s="235">
        <f t="shared" ca="1" si="1186"/>
        <v>5.8444390341238162E-2</v>
      </c>
      <c r="RD76" s="235">
        <f t="shared" ca="1" si="1187"/>
        <v>5.8444390341238162E-2</v>
      </c>
      <c r="RE76" s="242">
        <f t="shared" ca="1" si="1188"/>
        <v>5.8444390341238162E-2</v>
      </c>
      <c r="RF76" s="241">
        <f t="shared" ca="1" si="805"/>
        <v>1</v>
      </c>
      <c r="RG76" s="220">
        <f t="shared" ca="1" si="1189"/>
        <v>0.67640422986988014</v>
      </c>
      <c r="RH76" s="220">
        <f t="shared" ca="1" si="1190"/>
        <v>0</v>
      </c>
      <c r="RI76" s="235">
        <f t="shared" ca="1" si="1191"/>
        <v>5.4898538121829751E-2</v>
      </c>
      <c r="RJ76" s="235">
        <f t="shared" ca="1" si="1192"/>
        <v>5.4898538121829751E-2</v>
      </c>
      <c r="RK76" s="242">
        <f t="shared" ca="1" si="1193"/>
        <v>5.4898538121829751E-2</v>
      </c>
      <c r="RL76" s="241">
        <f t="shared" ca="1" si="805"/>
        <v>1</v>
      </c>
      <c r="RM76" s="220">
        <f t="shared" ca="1" si="1194"/>
        <v>0.65592135698096043</v>
      </c>
      <c r="RN76" s="220">
        <f t="shared" ca="1" si="1195"/>
        <v>0</v>
      </c>
      <c r="RO76" s="235">
        <f t="shared" ca="1" si="1196"/>
        <v>5.1435845981086484E-2</v>
      </c>
      <c r="RP76" s="235">
        <f t="shared" ca="1" si="1197"/>
        <v>5.1435845981086484E-2</v>
      </c>
      <c r="RQ76" s="242">
        <f t="shared" ca="1" si="1198"/>
        <v>5.1435845981086484E-2</v>
      </c>
      <c r="RR76" s="241">
        <f t="shared" ca="1" si="805"/>
        <v>1</v>
      </c>
      <c r="RS76" s="220">
        <f t="shared" ca="1" si="1199"/>
        <v>0.63426152193073515</v>
      </c>
      <c r="RT76" s="220">
        <f t="shared" ca="1" si="1200"/>
        <v>0</v>
      </c>
      <c r="RU76" s="235">
        <f t="shared" ca="1" si="1201"/>
        <v>4.8055392729564286E-2</v>
      </c>
      <c r="RV76" s="235">
        <f t="shared" ca="1" si="1202"/>
        <v>4.8055392729564286E-2</v>
      </c>
      <c r="RW76" s="242">
        <f t="shared" ca="1" si="1203"/>
        <v>4.8055392729564286E-2</v>
      </c>
      <c r="RX76" s="241">
        <f t="shared" ca="1" si="805"/>
        <v>1</v>
      </c>
      <c r="RY76" s="220">
        <f t="shared" ca="1" si="1204"/>
        <v>0.61130062057532053</v>
      </c>
      <c r="RZ76" s="220">
        <f t="shared" ca="1" si="1205"/>
        <v>0</v>
      </c>
      <c r="SA76" s="235">
        <f t="shared" ca="1" si="1206"/>
        <v>4.4749506722088245E-2</v>
      </c>
      <c r="SB76" s="235">
        <f t="shared" ca="1" si="1207"/>
        <v>4.4749506722088245E-2</v>
      </c>
      <c r="SC76" s="242">
        <f t="shared" ca="1" si="1208"/>
        <v>4.4749506722088245E-2</v>
      </c>
      <c r="SD76" s="241">
        <f t="shared" ca="1" si="799"/>
        <v>1</v>
      </c>
      <c r="SE76" s="220">
        <f t="shared" ca="1" si="1209"/>
        <v>0.58693540044042947</v>
      </c>
      <c r="SF76" s="220">
        <f t="shared" ca="1" si="1210"/>
        <v>0</v>
      </c>
      <c r="SG76" s="235">
        <f t="shared" ca="1" si="1211"/>
        <v>4.1512928389525854E-2</v>
      </c>
      <c r="SH76" s="235">
        <f t="shared" ca="1" si="1212"/>
        <v>4.1512928389525854E-2</v>
      </c>
      <c r="SI76" s="242">
        <f t="shared" ca="1" si="1213"/>
        <v>4.1512928389525854E-2</v>
      </c>
      <c r="SJ76" s="241">
        <f t="shared" ca="1" si="799"/>
        <v>1</v>
      </c>
      <c r="SK76" s="220">
        <f t="shared" ca="1" si="1214"/>
        <v>0.56117421877969853</v>
      </c>
      <c r="SL76" s="220">
        <f t="shared" ca="1" si="1215"/>
        <v>0</v>
      </c>
      <c r="SM76" s="235">
        <f t="shared" ca="1" si="1216"/>
        <v>3.8348680627614658E-2</v>
      </c>
      <c r="SN76" s="235">
        <f t="shared" ca="1" si="1217"/>
        <v>3.8348680627614658E-2</v>
      </c>
      <c r="SO76" s="242">
        <f t="shared" ca="1" si="1218"/>
        <v>3.8348680627614658E-2</v>
      </c>
      <c r="SP76" s="241">
        <f t="shared" ca="1" si="808"/>
        <v>1</v>
      </c>
      <c r="SQ76" s="220">
        <f t="shared" ca="1" si="1219"/>
        <v>0.5340633310962325</v>
      </c>
      <c r="SR76" s="220">
        <f t="shared" ca="1" si="1220"/>
        <v>0</v>
      </c>
      <c r="SS76" s="235">
        <f t="shared" ca="1" si="1221"/>
        <v>3.5261852674216394E-2</v>
      </c>
      <c r="ST76" s="235">
        <f t="shared" ca="1" si="1222"/>
        <v>3.5261852674216394E-2</v>
      </c>
      <c r="SU76" s="242">
        <f t="shared" ca="1" si="1223"/>
        <v>3.5261852674216394E-2</v>
      </c>
      <c r="SV76" s="241">
        <f t="shared" ca="1" si="808"/>
        <v>1</v>
      </c>
      <c r="SW76" s="220">
        <f t="shared" ca="1" si="1224"/>
        <v>0.50563620810864218</v>
      </c>
      <c r="SX76" s="220">
        <f t="shared" ca="1" si="1225"/>
        <v>0</v>
      </c>
      <c r="SY76" s="235">
        <f t="shared" ca="1" si="1226"/>
        <v>3.2255975632920972E-2</v>
      </c>
      <c r="SZ76" s="235">
        <f t="shared" ca="1" si="1227"/>
        <v>3.2255975632920972E-2</v>
      </c>
      <c r="TA76" s="242">
        <f t="shared" ca="1" si="1228"/>
        <v>3.2255975632920972E-2</v>
      </c>
      <c r="TB76" s="241">
        <f t="shared" ca="1" si="808"/>
        <v>1</v>
      </c>
      <c r="TC76" s="220">
        <f t="shared" ca="1" si="1229"/>
        <v>0.47585575235966748</v>
      </c>
      <c r="TD76" s="220">
        <f t="shared" ca="1" si="1230"/>
        <v>0</v>
      </c>
      <c r="TE76" s="235">
        <f t="shared" ca="1" si="1231"/>
        <v>2.9329657426153458E-2</v>
      </c>
      <c r="TF76" s="235">
        <f t="shared" ca="1" si="1232"/>
        <v>2.9329657426153458E-2</v>
      </c>
      <c r="TG76" s="242">
        <f t="shared" ca="1" si="1233"/>
        <v>2.9329657426153458E-2</v>
      </c>
      <c r="TH76" s="241">
        <f t="shared" ca="1" si="808"/>
        <v>1</v>
      </c>
      <c r="TI76" s="220">
        <f t="shared" ca="1" si="1234"/>
        <v>0.4447514411066778</v>
      </c>
      <c r="TJ76" s="220">
        <f t="shared" ca="1" si="1235"/>
        <v>0</v>
      </c>
      <c r="TK76" s="235">
        <f t="shared" ca="1" si="1236"/>
        <v>2.6485530790814431E-2</v>
      </c>
      <c r="TL76" s="235">
        <f t="shared" ca="1" si="1237"/>
        <v>2.6485530790814431E-2</v>
      </c>
      <c r="TM76" s="242">
        <f t="shared" ca="1" si="1238"/>
        <v>2.6485530790814431E-2</v>
      </c>
      <c r="TN76" s="241">
        <f t="shared" ca="1" si="808"/>
        <v>1</v>
      </c>
      <c r="TO76" s="220">
        <f t="shared" ca="1" si="1239"/>
        <v>0.41251096438941365</v>
      </c>
      <c r="TP76" s="220">
        <f t="shared" ca="1" si="1240"/>
        <v>0</v>
      </c>
      <c r="TQ76" s="235">
        <f t="shared" ca="1" si="1241"/>
        <v>2.3734848481408222E-2</v>
      </c>
      <c r="TR76" s="235">
        <f t="shared" ca="1" si="1242"/>
        <v>2.3734848481408222E-2</v>
      </c>
      <c r="TS76" s="242">
        <f t="shared" ca="1" si="1243"/>
        <v>2.3734848481408222E-2</v>
      </c>
      <c r="TT76" s="241">
        <f t="shared" ca="1" si="808"/>
        <v>1</v>
      </c>
      <c r="TU76" s="220">
        <f t="shared" ca="1" si="1244"/>
        <v>0.37939128408051637</v>
      </c>
      <c r="TV76" s="220">
        <f t="shared" ca="1" si="1245"/>
        <v>0</v>
      </c>
      <c r="TW76" s="235">
        <f t="shared" ca="1" si="1246"/>
        <v>2.1091038615007652E-2</v>
      </c>
      <c r="TX76" s="235">
        <f t="shared" ca="1" si="1247"/>
        <v>2.1091038615007652E-2</v>
      </c>
      <c r="TY76" s="242">
        <f t="shared" ca="1" si="1248"/>
        <v>2.1091038615007652E-2</v>
      </c>
      <c r="TZ76" s="241">
        <f t="shared" ca="1" si="808"/>
        <v>1</v>
      </c>
      <c r="UA76" s="220">
        <f t="shared" ca="1" si="1249"/>
        <v>0.34565732866521315</v>
      </c>
      <c r="UB76" s="220">
        <f t="shared" ca="1" si="1250"/>
        <v>0</v>
      </c>
      <c r="UC76" s="235">
        <f t="shared" ca="1" si="1251"/>
        <v>1.8565901280691431E-2</v>
      </c>
      <c r="UD76" s="235">
        <f t="shared" ca="1" si="1252"/>
        <v>1.8565901280691431E-2</v>
      </c>
      <c r="UE76" s="242">
        <f t="shared" ca="1" si="1253"/>
        <v>1.8565901280691431E-2</v>
      </c>
      <c r="UF76" s="241">
        <f t="shared" ca="1" si="808"/>
        <v>1</v>
      </c>
      <c r="UG76" s="220">
        <f t="shared" ca="1" si="1254"/>
        <v>0.31158381183471112</v>
      </c>
      <c r="UH76" s="220">
        <f t="shared" ca="1" si="1255"/>
        <v>0</v>
      </c>
      <c r="UI76" s="235">
        <f t="shared" ca="1" si="1256"/>
        <v>1.6169805793281151E-2</v>
      </c>
      <c r="UJ76" s="235">
        <f t="shared" ca="1" si="1257"/>
        <v>1.6169805793281151E-2</v>
      </c>
      <c r="UK76" s="242">
        <f t="shared" ca="1" si="1258"/>
        <v>1.6169805793281151E-2</v>
      </c>
      <c r="UL76" s="241">
        <f t="shared" ca="1" si="808"/>
        <v>1</v>
      </c>
      <c r="UM76" s="220">
        <f t="shared" ca="1" si="1259"/>
        <v>0.27748470263514402</v>
      </c>
      <c r="UN76" s="220">
        <f t="shared" ca="1" si="1260"/>
        <v>0</v>
      </c>
      <c r="UO76" s="235">
        <f t="shared" ca="1" si="1261"/>
        <v>1.3913250808575896E-2</v>
      </c>
      <c r="UP76" s="235">
        <f t="shared" ca="1" si="1262"/>
        <v>1.3913250808575896E-2</v>
      </c>
      <c r="UQ76" s="242">
        <f t="shared" ca="1" si="1263"/>
        <v>1.3913250808575896E-2</v>
      </c>
      <c r="UR76" s="241">
        <f t="shared" ca="1" si="808"/>
        <v>1</v>
      </c>
      <c r="US76" s="220">
        <f t="shared" ca="1" si="1264"/>
        <v>0.24373729058536042</v>
      </c>
      <c r="UT76" s="220">
        <f t="shared" ca="1" si="1265"/>
        <v>0</v>
      </c>
      <c r="UU76" s="235">
        <f t="shared" ca="1" si="1266"/>
        <v>1.1807860056509861E-2</v>
      </c>
      <c r="UV76" s="235">
        <f t="shared" ca="1" si="1267"/>
        <v>1.1807860056509861E-2</v>
      </c>
      <c r="UW76" s="242">
        <f t="shared" ca="1" si="1268"/>
        <v>1.1807860056509861E-2</v>
      </c>
      <c r="UX76" s="241">
        <f t="shared" ca="1" si="808"/>
        <v>1</v>
      </c>
      <c r="UY76" s="220">
        <f t="shared" ca="1" si="1269"/>
        <v>0.21078985859319374</v>
      </c>
      <c r="UZ76" s="220">
        <f t="shared" ca="1" si="1270"/>
        <v>0</v>
      </c>
      <c r="VA76" s="235">
        <f t="shared" ca="1" si="1271"/>
        <v>9.866396874889936E-3</v>
      </c>
      <c r="VB76" s="235">
        <f t="shared" ca="1" si="1272"/>
        <v>9.866396874889936E-3</v>
      </c>
      <c r="VC76" s="242">
        <f t="shared" ca="1" si="1273"/>
        <v>9.866396874889936E-3</v>
      </c>
      <c r="VD76" s="241">
        <f t="shared" ca="1" si="806"/>
        <v>1</v>
      </c>
      <c r="VE76" s="220">
        <f t="shared" ca="1" si="1274"/>
        <v>0.17914840370962801</v>
      </c>
      <c r="VF76" s="220">
        <f t="shared" ca="1" si="1275"/>
        <v>0</v>
      </c>
      <c r="VG76" s="235">
        <f t="shared" ca="1" si="1276"/>
        <v>8.1017989433788233E-3</v>
      </c>
      <c r="VH76" s="235">
        <f t="shared" ca="1" si="1277"/>
        <v>8.1017989433788233E-3</v>
      </c>
      <c r="VI76" s="242">
        <f t="shared" ca="1" si="1278"/>
        <v>8.1017989433788233E-3</v>
      </c>
      <c r="VJ76" s="241">
        <f t="shared" ca="1" si="806"/>
        <v>1</v>
      </c>
      <c r="VK76" s="220">
        <f t="shared" ca="1" si="1279"/>
        <v>0.14933864677755704</v>
      </c>
      <c r="VL76" s="220">
        <f t="shared" ca="1" si="1280"/>
        <v>0</v>
      </c>
      <c r="VM76" s="235">
        <f t="shared" ca="1" si="1281"/>
        <v>6.5252984585482295E-3</v>
      </c>
      <c r="VN76" s="235">
        <f t="shared" ca="1" si="1282"/>
        <v>6.5252984585482295E-3</v>
      </c>
      <c r="VO76" s="242">
        <f t="shared" ca="1" si="1283"/>
        <v>6.5252984585482295E-3</v>
      </c>
      <c r="VP76" s="241">
        <f t="shared" ca="1" si="567"/>
        <v>1</v>
      </c>
      <c r="VQ76" s="220">
        <f t="shared" ca="1" si="1284"/>
        <v>0.12186078378642688</v>
      </c>
      <c r="VR76" s="220">
        <f t="shared" ca="1" si="1285"/>
        <v>0</v>
      </c>
      <c r="VS76" s="235">
        <f t="shared" ca="1" si="1286"/>
        <v>5.1446020464451514E-3</v>
      </c>
      <c r="VT76" s="235">
        <f t="shared" ca="1" si="1287"/>
        <v>5.1446020464451514E-3</v>
      </c>
      <c r="VU76" s="242">
        <f t="shared" ca="1" si="1288"/>
        <v>5.1446020464451514E-3</v>
      </c>
      <c r="VV76" s="241">
        <f t="shared" ca="1" si="1335"/>
        <v>1</v>
      </c>
      <c r="VW76" s="220">
        <f t="shared" ca="1" si="1289"/>
        <v>9.714071449143126E-2</v>
      </c>
      <c r="VX76" s="220">
        <f t="shared" ca="1" si="1290"/>
        <v>0</v>
      </c>
      <c r="VY76" s="235">
        <f t="shared" ca="1" si="1291"/>
        <v>3.9623128486120972E-3</v>
      </c>
      <c r="VZ76" s="235">
        <f t="shared" ca="1" si="1292"/>
        <v>3.9623128486120972E-3</v>
      </c>
      <c r="WA76" s="242">
        <f t="shared" ca="1" si="1293"/>
        <v>3.9623128486120972E-3</v>
      </c>
      <c r="WB76" s="241">
        <f t="shared" ca="1" si="1335"/>
        <v>1</v>
      </c>
      <c r="WC76" s="220">
        <f t="shared" ca="1" si="1294"/>
        <v>7.5486980683431834E-2</v>
      </c>
      <c r="WD76" s="220">
        <f t="shared" ca="1" si="1295"/>
        <v>0</v>
      </c>
      <c r="WE76" s="235">
        <f t="shared" ca="1" si="1296"/>
        <v>2.9749465982754843E-3</v>
      </c>
      <c r="WF76" s="235">
        <f t="shared" ca="1" si="1297"/>
        <v>2.9749465982754843E-3</v>
      </c>
      <c r="WG76" s="242">
        <f t="shared" ca="1" si="1298"/>
        <v>2.9749465982754843E-3</v>
      </c>
      <c r="WH76" s="241">
        <f t="shared" ca="1" si="1335"/>
        <v>1</v>
      </c>
      <c r="WI76" s="220">
        <f t="shared" ca="1" si="1299"/>
        <v>5.7061061620490225E-2</v>
      </c>
      <c r="WJ76" s="220">
        <f t="shared" ca="1" si="1300"/>
        <v>0</v>
      </c>
      <c r="WK76" s="235">
        <f t="shared" ca="1" si="1301"/>
        <v>2.1727342833971291E-3</v>
      </c>
      <c r="WL76" s="235">
        <f t="shared" ca="1" si="1302"/>
        <v>2.1727342833971291E-3</v>
      </c>
      <c r="WM76" s="242">
        <f t="shared" ca="1" si="1303"/>
        <v>2.1727342833971291E-3</v>
      </c>
      <c r="WN76" s="241">
        <f t="shared" ca="1" si="1335"/>
        <v>1</v>
      </c>
      <c r="WO76" s="220">
        <f t="shared" ca="1" si="1304"/>
        <v>4.1934687734452851E-2</v>
      </c>
      <c r="WP76" s="220">
        <f t="shared" ca="1" si="1305"/>
        <v>0</v>
      </c>
      <c r="WQ76" s="235">
        <f t="shared" ca="1" si="1306"/>
        <v>1.5427651975624165E-3</v>
      </c>
      <c r="WR76" s="235">
        <f t="shared" ca="1" si="1307"/>
        <v>1.5427651975624165E-3</v>
      </c>
      <c r="WS76" s="242">
        <f t="shared" ca="1" si="1308"/>
        <v>1.5427651975624165E-3</v>
      </c>
      <c r="WT76" s="241">
        <f t="shared" ca="1" si="1335"/>
        <v>1</v>
      </c>
      <c r="WU76" s="220">
        <f t="shared" ca="1" si="1309"/>
        <v>2.9961998908764689E-2</v>
      </c>
      <c r="WV76" s="220">
        <f t="shared" ca="1" si="1310"/>
        <v>0</v>
      </c>
      <c r="WW76" s="235">
        <f t="shared" ca="1" si="1311"/>
        <v>1.0650177696007403E-3</v>
      </c>
      <c r="WX76" s="235">
        <f t="shared" ca="1" si="1312"/>
        <v>1.0650177696007403E-3</v>
      </c>
      <c r="WY76" s="242">
        <f t="shared" ca="1" si="1313"/>
        <v>1.0650177696007403E-3</v>
      </c>
      <c r="WZ76" s="241">
        <f t="shared" ca="1" si="1335"/>
        <v>1</v>
      </c>
      <c r="XA76" s="220">
        <f t="shared" ca="1" si="1314"/>
        <v>2.0825806429510707E-2</v>
      </c>
      <c r="XB76" s="220">
        <f t="shared" ca="1" si="1315"/>
        <v>0</v>
      </c>
      <c r="XC76" s="235">
        <f t="shared" ca="1" si="1316"/>
        <v>7.1523300597822715E-4</v>
      </c>
      <c r="XD76" s="235">
        <f t="shared" ca="1" si="1317"/>
        <v>7.1523300597822715E-4</v>
      </c>
      <c r="XE76" s="242">
        <f t="shared" ca="1" si="1318"/>
        <v>7.1523300597822715E-4</v>
      </c>
      <c r="XF76" s="241">
        <f t="shared" ca="1" si="1335"/>
        <v>1</v>
      </c>
      <c r="XG76" s="220">
        <f t="shared" ca="1" si="1319"/>
        <v>1.410075784309954E-2</v>
      </c>
      <c r="XH76" s="220">
        <f t="shared" ca="1" si="1320"/>
        <v>0</v>
      </c>
      <c r="XI76" s="235">
        <f t="shared" ca="1" si="1321"/>
        <v>4.6789437576883483E-4</v>
      </c>
      <c r="XJ76" s="235">
        <f t="shared" ca="1" si="1322"/>
        <v>4.6789437576883483E-4</v>
      </c>
      <c r="XK76" s="242">
        <f t="shared" ca="1" si="1323"/>
        <v>4.6789437576883483E-4</v>
      </c>
    </row>
    <row r="77" spans="2:635" x14ac:dyDescent="0.25">
      <c r="B77" s="65">
        <f t="shared" ca="1" si="810"/>
        <v>2092</v>
      </c>
      <c r="C77" s="65" t="s">
        <v>741</v>
      </c>
      <c r="D77" s="77">
        <f t="shared" si="811"/>
        <v>0</v>
      </c>
      <c r="E77" s="77">
        <f t="shared" si="812"/>
        <v>0</v>
      </c>
      <c r="F77" s="77" t="b">
        <f t="shared" si="813"/>
        <v>0</v>
      </c>
      <c r="G77" s="77" t="b">
        <f t="shared" si="814"/>
        <v>0</v>
      </c>
      <c r="H77" s="15" t="e">
        <f t="shared" ca="1" si="815"/>
        <v>#REF!</v>
      </c>
      <c r="L77" s="326">
        <f t="shared" ca="1" si="816"/>
        <v>3.5000000000000003E-2</v>
      </c>
      <c r="M77" s="327">
        <f t="shared" ca="1" si="817"/>
        <v>3.5000000000000003E-2</v>
      </c>
      <c r="N77" s="322">
        <f t="shared" ca="1" si="809"/>
        <v>-69</v>
      </c>
      <c r="O77" s="322">
        <f t="shared" ca="1" si="818"/>
        <v>0</v>
      </c>
      <c r="P77" s="328">
        <f t="shared" ca="1" si="1324"/>
        <v>26.87829936156087</v>
      </c>
      <c r="Q77" s="328">
        <f t="shared" ca="1" si="1325"/>
        <v>26.87829936156087</v>
      </c>
      <c r="R77" s="328">
        <f t="shared" ca="1" si="1326"/>
        <v>26.87829936156087</v>
      </c>
      <c r="S77" s="329">
        <f t="shared" ca="1" si="819"/>
        <v>3.8642415640549425E-2</v>
      </c>
      <c r="T77" s="329">
        <f t="shared" ca="1" si="820"/>
        <v>3.8642415640549425E-2</v>
      </c>
      <c r="U77" s="329">
        <f t="shared" ca="1" si="821"/>
        <v>3.8642415640549425E-2</v>
      </c>
      <c r="V77" s="320" t="e">
        <f t="shared" ca="1" si="822"/>
        <v>#REF!</v>
      </c>
      <c r="W77" s="320" t="e">
        <f t="shared" ca="1" si="560"/>
        <v>#REF!</v>
      </c>
      <c r="X77" s="320" t="e">
        <f t="shared" ca="1" si="823"/>
        <v>#REF!</v>
      </c>
      <c r="Y77" s="320" t="e">
        <f ca="1">INDEX(SC_ZA_HECMLumpSum,ZAIDX)</f>
        <v>#REF!</v>
      </c>
      <c r="Z77" s="320" t="e">
        <f t="shared" ca="1" si="824"/>
        <v>#REF!</v>
      </c>
      <c r="AA77" s="320" t="e">
        <f t="shared" ca="1" si="557"/>
        <v>#REF!</v>
      </c>
      <c r="AB77" s="320" t="e">
        <f t="shared" ca="1" si="558"/>
        <v>#REF!</v>
      </c>
      <c r="AC77" s="330" t="e">
        <f t="shared" ca="1" si="559"/>
        <v>#REF!</v>
      </c>
      <c r="AD77" s="236" t="e">
        <f t="shared" ca="1" si="1327"/>
        <v>#REF!</v>
      </c>
      <c r="AE77" s="320" t="e">
        <f t="shared" ca="1" si="561"/>
        <v>#REF!</v>
      </c>
      <c r="AF77" s="320" t="e">
        <f t="shared" ca="1" si="825"/>
        <v>#REF!</v>
      </c>
      <c r="AG77" s="320" t="e">
        <f t="shared" ca="1" si="1328"/>
        <v>#REF!</v>
      </c>
      <c r="AH77" s="284" t="e">
        <f t="shared" ca="1" si="1329"/>
        <v>#REF!</v>
      </c>
      <c r="AI77" s="318" t="e">
        <f t="shared" ca="1" si="1330"/>
        <v>#REF!</v>
      </c>
      <c r="AJ77" s="331">
        <f t="shared" ca="1" si="807"/>
        <v>1</v>
      </c>
      <c r="AK77" s="220">
        <f t="shared" ca="1" si="826"/>
        <v>1</v>
      </c>
      <c r="AL77" s="220">
        <f t="shared" ca="1" si="827"/>
        <v>0</v>
      </c>
      <c r="AM77" s="235">
        <f t="shared" ca="1" si="1331"/>
        <v>1</v>
      </c>
      <c r="AN77" s="235">
        <f t="shared" ca="1" si="1332"/>
        <v>1</v>
      </c>
      <c r="AO77" s="242">
        <f t="shared" ca="1" si="1333"/>
        <v>1</v>
      </c>
      <c r="AP77" s="241">
        <f t="shared" ca="1" si="807"/>
        <v>1</v>
      </c>
      <c r="AQ77" s="220">
        <f t="shared" ca="1" si="828"/>
        <v>0.99361699999999997</v>
      </c>
      <c r="AR77" s="220">
        <f t="shared" ca="1" si="829"/>
        <v>0</v>
      </c>
      <c r="AS77" s="235">
        <f t="shared" ca="1" si="830"/>
        <v>0.96001642512077301</v>
      </c>
      <c r="AT77" s="235">
        <f t="shared" ca="1" si="831"/>
        <v>0.96001642512077301</v>
      </c>
      <c r="AU77" s="242">
        <f t="shared" ca="1" si="832"/>
        <v>0.96001642512077301</v>
      </c>
      <c r="AV77" s="241">
        <f t="shared" ca="1" si="807"/>
        <v>1</v>
      </c>
      <c r="AW77" s="220">
        <f t="shared" ca="1" si="833"/>
        <v>0.99316689149899995</v>
      </c>
      <c r="AX77" s="220">
        <f t="shared" ca="1" si="834"/>
        <v>0</v>
      </c>
      <c r="AY77" s="235">
        <f t="shared" ca="1" si="835"/>
        <v>0.92713192046395487</v>
      </c>
      <c r="AZ77" s="235">
        <f t="shared" ca="1" si="836"/>
        <v>0.92713192046395487</v>
      </c>
      <c r="BA77" s="242">
        <f t="shared" ca="1" si="837"/>
        <v>0.92713192046395487</v>
      </c>
      <c r="BB77" s="241">
        <f t="shared" ca="1" si="807"/>
        <v>1</v>
      </c>
      <c r="BC77" s="220">
        <f t="shared" ca="1" si="838"/>
        <v>0.99288681843559723</v>
      </c>
      <c r="BD77" s="220">
        <f t="shared" ca="1" si="839"/>
        <v>0</v>
      </c>
      <c r="BE77" s="235">
        <f t="shared" ca="1" si="840"/>
        <v>0.89552702344191704</v>
      </c>
      <c r="BF77" s="235">
        <f t="shared" ca="1" si="841"/>
        <v>0.89552702344191704</v>
      </c>
      <c r="BG77" s="242">
        <f t="shared" ca="1" si="842"/>
        <v>0.89552702344191704</v>
      </c>
      <c r="BH77" s="241">
        <f t="shared" ca="1" si="807"/>
        <v>1</v>
      </c>
      <c r="BI77" s="220">
        <f t="shared" ca="1" si="843"/>
        <v>0.99265845446735712</v>
      </c>
      <c r="BJ77" s="220">
        <f t="shared" ca="1" si="844"/>
        <v>0</v>
      </c>
      <c r="BK77" s="235">
        <f t="shared" ca="1" si="845"/>
        <v>0.86504449490485558</v>
      </c>
      <c r="BL77" s="235">
        <f t="shared" ca="1" si="846"/>
        <v>0.86504449490485558</v>
      </c>
      <c r="BM77" s="242">
        <f t="shared" ca="1" si="847"/>
        <v>0.86504449490485558</v>
      </c>
      <c r="BN77" s="241">
        <f t="shared" ca="1" si="807"/>
        <v>1</v>
      </c>
      <c r="BO77" s="220">
        <f t="shared" ca="1" si="848"/>
        <v>0.99249069518855215</v>
      </c>
      <c r="BP77" s="220">
        <f t="shared" ca="1" si="849"/>
        <v>0</v>
      </c>
      <c r="BQ77" s="235">
        <f t="shared" ca="1" si="850"/>
        <v>0.83565053370552345</v>
      </c>
      <c r="BR77" s="235">
        <f t="shared" ca="1" si="851"/>
        <v>0.83565053370552345</v>
      </c>
      <c r="BS77" s="242">
        <f t="shared" ca="1" si="852"/>
        <v>0.83565053370552345</v>
      </c>
      <c r="BT77" s="241">
        <f t="shared" ca="1" si="807"/>
        <v>1</v>
      </c>
      <c r="BU77" s="220">
        <f t="shared" ca="1" si="853"/>
        <v>0.99233685913079794</v>
      </c>
      <c r="BV77" s="220">
        <f t="shared" ca="1" si="854"/>
        <v>0</v>
      </c>
      <c r="BW77" s="235">
        <f t="shared" ca="1" si="855"/>
        <v>0.80726667427323584</v>
      </c>
      <c r="BX77" s="235">
        <f t="shared" ca="1" si="856"/>
        <v>0.80726667427323584</v>
      </c>
      <c r="BY77" s="242">
        <f t="shared" ca="1" si="857"/>
        <v>0.80726667427323584</v>
      </c>
      <c r="BZ77" s="241">
        <f t="shared" ca="1" si="807"/>
        <v>1</v>
      </c>
      <c r="CA77" s="220">
        <f t="shared" ca="1" si="858"/>
        <v>0.992192970286224</v>
      </c>
      <c r="CB77" s="220">
        <f t="shared" ca="1" si="859"/>
        <v>0</v>
      </c>
      <c r="CC77" s="235">
        <f t="shared" ca="1" si="860"/>
        <v>0.7798547058990013</v>
      </c>
      <c r="CD77" s="235">
        <f t="shared" ca="1" si="861"/>
        <v>0.7798547058990013</v>
      </c>
      <c r="CE77" s="242">
        <f t="shared" ca="1" si="862"/>
        <v>0.7798547058990013</v>
      </c>
      <c r="CF77" s="241">
        <f t="shared" ca="1" si="807"/>
        <v>1</v>
      </c>
      <c r="CG77" s="220">
        <f t="shared" ca="1" si="863"/>
        <v>0.9920590242352354</v>
      </c>
      <c r="CH77" s="220">
        <f t="shared" ca="1" si="864"/>
        <v>0</v>
      </c>
      <c r="CI77" s="235">
        <f t="shared" ca="1" si="865"/>
        <v>0.75338108745285515</v>
      </c>
      <c r="CJ77" s="235">
        <f t="shared" ca="1" si="866"/>
        <v>0.75338108745285515</v>
      </c>
      <c r="CK77" s="242">
        <f t="shared" ca="1" si="867"/>
        <v>0.75338108745285515</v>
      </c>
      <c r="CL77" s="241">
        <f t="shared" ca="1" si="807"/>
        <v>1</v>
      </c>
      <c r="CM77" s="220">
        <f t="shared" ca="1" si="868"/>
        <v>0.99193997715232718</v>
      </c>
      <c r="CN77" s="220">
        <f t="shared" ca="1" si="869"/>
        <v>0</v>
      </c>
      <c r="CO77" s="235">
        <f t="shared" ca="1" si="870"/>
        <v>0.72781708378972065</v>
      </c>
      <c r="CP77" s="235">
        <f t="shared" ca="1" si="871"/>
        <v>0.72781708378972065</v>
      </c>
      <c r="CQ77" s="242">
        <f t="shared" ca="1" si="872"/>
        <v>0.72781708378972065</v>
      </c>
      <c r="CR77" s="241">
        <f t="shared" ca="1" si="807"/>
        <v>1</v>
      </c>
      <c r="CS77" s="220">
        <f t="shared" ca="1" si="873"/>
        <v>0.99183582345472621</v>
      </c>
      <c r="CT77" s="220">
        <f t="shared" ca="1" si="874"/>
        <v>0</v>
      </c>
      <c r="CU77" s="235">
        <f t="shared" ca="1" si="875"/>
        <v>0.70313107535837949</v>
      </c>
      <c r="CV77" s="235">
        <f t="shared" ca="1" si="876"/>
        <v>0.70313107535837949</v>
      </c>
      <c r="CW77" s="242">
        <f t="shared" ca="1" si="877"/>
        <v>0.70313107535837949</v>
      </c>
      <c r="CX77" s="241">
        <f t="shared" ca="1" si="800"/>
        <v>1</v>
      </c>
      <c r="CY77" s="220">
        <f t="shared" ca="1" si="878"/>
        <v>0.99174259088732142</v>
      </c>
      <c r="CZ77" s="220">
        <f t="shared" ca="1" si="879"/>
        <v>0</v>
      </c>
      <c r="DA77" s="235">
        <f t="shared" ca="1" si="880"/>
        <v>0.6792898367510104</v>
      </c>
      <c r="DB77" s="235">
        <f t="shared" ca="1" si="881"/>
        <v>0.6792898367510104</v>
      </c>
      <c r="DC77" s="242">
        <f t="shared" ca="1" si="882"/>
        <v>0.6792898367510104</v>
      </c>
      <c r="DD77" s="241">
        <f t="shared" ca="1" si="800"/>
        <v>1</v>
      </c>
      <c r="DE77" s="220">
        <f t="shared" ca="1" si="883"/>
        <v>0.99164440837082357</v>
      </c>
      <c r="DF77" s="220">
        <f t="shared" ca="1" si="884"/>
        <v>0</v>
      </c>
      <c r="DG77" s="235">
        <f t="shared" ca="1" si="885"/>
        <v>0.65625370730161559</v>
      </c>
      <c r="DH77" s="235">
        <f t="shared" ca="1" si="886"/>
        <v>0.65625370730161559</v>
      </c>
      <c r="DI77" s="242">
        <f t="shared" ca="1" si="887"/>
        <v>0.65625370730161559</v>
      </c>
      <c r="DJ77" s="241">
        <f t="shared" ca="1" si="888"/>
        <v>1</v>
      </c>
      <c r="DK77" s="220">
        <f t="shared" ca="1" si="889"/>
        <v>0.9915115280201019</v>
      </c>
      <c r="DL77" s="220">
        <f t="shared" ca="1" si="890"/>
        <v>0</v>
      </c>
      <c r="DM77" s="235">
        <f t="shared" ca="1" si="891"/>
        <v>0.63397658870032592</v>
      </c>
      <c r="DN77" s="235">
        <f t="shared" ca="1" si="892"/>
        <v>0.63397658870032592</v>
      </c>
      <c r="DO77" s="242">
        <f t="shared" ca="1" si="893"/>
        <v>0.63397658870032592</v>
      </c>
      <c r="DP77" s="241">
        <f t="shared" ca="1" si="888"/>
        <v>1</v>
      </c>
      <c r="DQ77" s="220">
        <f t="shared" ca="1" si="894"/>
        <v>0.99130628513380181</v>
      </c>
      <c r="DR77" s="220">
        <f t="shared" ca="1" si="895"/>
        <v>0</v>
      </c>
      <c r="DS77" s="235">
        <f t="shared" ca="1" si="896"/>
        <v>0.61241097154247814</v>
      </c>
      <c r="DT77" s="235">
        <f t="shared" ca="1" si="897"/>
        <v>0.61241097154247814</v>
      </c>
      <c r="DU77" s="242">
        <f t="shared" ca="1" si="898"/>
        <v>0.61241097154247814</v>
      </c>
      <c r="DV77" s="241">
        <f t="shared" ca="1" si="888"/>
        <v>1</v>
      </c>
      <c r="DW77" s="220">
        <f t="shared" ca="1" si="899"/>
        <v>0.9909999714916955</v>
      </c>
      <c r="DX77" s="220">
        <f t="shared" ca="1" si="900"/>
        <v>0</v>
      </c>
      <c r="DY77" s="235">
        <f t="shared" ca="1" si="901"/>
        <v>0.59151858604084218</v>
      </c>
      <c r="DZ77" s="235">
        <f t="shared" ca="1" si="902"/>
        <v>0.59151858604084218</v>
      </c>
      <c r="EA77" s="242">
        <f t="shared" ca="1" si="903"/>
        <v>0.59151858604084218</v>
      </c>
      <c r="EB77" s="241">
        <f t="shared" ca="1" si="888"/>
        <v>1</v>
      </c>
      <c r="EC77" s="220">
        <f t="shared" ca="1" si="904"/>
        <v>0.99058474250364048</v>
      </c>
      <c r="ED77" s="220">
        <f t="shared" ca="1" si="905"/>
        <v>0</v>
      </c>
      <c r="EE77" s="235">
        <f t="shared" ca="1" si="906"/>
        <v>0.57127607705632</v>
      </c>
      <c r="EF77" s="235">
        <f t="shared" ca="1" si="907"/>
        <v>0.57127607705632</v>
      </c>
      <c r="EG77" s="242">
        <f t="shared" ca="1" si="908"/>
        <v>0.57127607705632</v>
      </c>
      <c r="EH77" s="241">
        <f t="shared" ca="1" si="888"/>
        <v>1</v>
      </c>
      <c r="EI77" s="220">
        <f t="shared" ca="1" si="909"/>
        <v>0.99005973259011348</v>
      </c>
      <c r="EJ77" s="220">
        <f t="shared" ca="1" si="910"/>
        <v>0</v>
      </c>
      <c r="EK77" s="235">
        <f t="shared" ca="1" si="911"/>
        <v>0.55166502486519819</v>
      </c>
      <c r="EL77" s="235">
        <f t="shared" ca="1" si="912"/>
        <v>0.55166502486519819</v>
      </c>
      <c r="EM77" s="242">
        <f t="shared" ca="1" si="913"/>
        <v>0.55166502486519819</v>
      </c>
      <c r="EN77" s="241">
        <f t="shared" ca="1" si="888"/>
        <v>1</v>
      </c>
      <c r="EO77" s="220">
        <f t="shared" ca="1" si="914"/>
        <v>0.98941124346526699</v>
      </c>
      <c r="EP77" s="220">
        <f t="shared" ca="1" si="915"/>
        <v>0</v>
      </c>
      <c r="EQ77" s="235">
        <f t="shared" ca="1" si="916"/>
        <v>0.53266056451585653</v>
      </c>
      <c r="ER77" s="235">
        <f t="shared" ca="1" si="917"/>
        <v>0.53266056451585653</v>
      </c>
      <c r="ES77" s="242">
        <f t="shared" ca="1" si="918"/>
        <v>0.53266056451585653</v>
      </c>
      <c r="ET77" s="241">
        <f t="shared" ca="1" si="888"/>
        <v>1</v>
      </c>
      <c r="EU77" s="220">
        <f t="shared" ca="1" si="919"/>
        <v>0.98862861917168599</v>
      </c>
      <c r="EV77" s="220">
        <f t="shared" ca="1" si="920"/>
        <v>0</v>
      </c>
      <c r="EW77" s="235">
        <f t="shared" ca="1" si="921"/>
        <v>0.51424080194137645</v>
      </c>
      <c r="EX77" s="235">
        <f t="shared" ca="1" si="922"/>
        <v>0.51424080194137645</v>
      </c>
      <c r="EY77" s="242">
        <f t="shared" ca="1" si="923"/>
        <v>0.51424080194137645</v>
      </c>
      <c r="EZ77" s="241">
        <f t="shared" ca="1" si="888"/>
        <v>1</v>
      </c>
      <c r="FA77" s="220">
        <f t="shared" ca="1" si="924"/>
        <v>0.98770524004137961</v>
      </c>
      <c r="FB77" s="220">
        <f t="shared" ca="1" si="925"/>
        <v>0</v>
      </c>
      <c r="FC77" s="235">
        <f t="shared" ca="1" si="926"/>
        <v>0.49638695751919149</v>
      </c>
      <c r="FD77" s="235">
        <f t="shared" ca="1" si="927"/>
        <v>0.49638695751919149</v>
      </c>
      <c r="FE77" s="242">
        <f t="shared" ca="1" si="928"/>
        <v>0.49638695751919149</v>
      </c>
      <c r="FF77" s="241">
        <f t="shared" ca="1" si="888"/>
        <v>1</v>
      </c>
      <c r="FG77" s="220">
        <f t="shared" ca="1" si="929"/>
        <v>0.98663357985593469</v>
      </c>
      <c r="FH77" s="220">
        <f t="shared" ca="1" si="930"/>
        <v>0</v>
      </c>
      <c r="FI77" s="235">
        <f t="shared" ca="1" si="931"/>
        <v>0.4790805581355394</v>
      </c>
      <c r="FJ77" s="235">
        <f t="shared" ca="1" si="932"/>
        <v>0.4790805581355394</v>
      </c>
      <c r="FK77" s="242">
        <f t="shared" ca="1" si="933"/>
        <v>0.4790805581355394</v>
      </c>
      <c r="FL77" s="241">
        <f t="shared" ca="1" si="888"/>
        <v>1</v>
      </c>
      <c r="FM77" s="220">
        <f t="shared" ca="1" si="934"/>
        <v>0.98542199381987161</v>
      </c>
      <c r="FN77" s="220">
        <f t="shared" ca="1" si="935"/>
        <v>0</v>
      </c>
      <c r="FO77" s="235">
        <f t="shared" ca="1" si="936"/>
        <v>0.46231134996149653</v>
      </c>
      <c r="FP77" s="235">
        <f t="shared" ca="1" si="937"/>
        <v>0.46231134996149653</v>
      </c>
      <c r="FQ77" s="242">
        <f t="shared" ca="1" si="938"/>
        <v>0.46231134996149653</v>
      </c>
      <c r="FR77" s="241">
        <f t="shared" ca="1" si="888"/>
        <v>1</v>
      </c>
      <c r="FS77" s="220">
        <f t="shared" ca="1" si="939"/>
        <v>0.98410251377014679</v>
      </c>
      <c r="FT77" s="220">
        <f t="shared" ca="1" si="940"/>
        <v>0</v>
      </c>
      <c r="FU77" s="235">
        <f t="shared" ca="1" si="941"/>
        <v>0.44607953146270346</v>
      </c>
      <c r="FV77" s="235">
        <f t="shared" ca="1" si="942"/>
        <v>0.44607953146270346</v>
      </c>
      <c r="FW77" s="242">
        <f t="shared" ca="1" si="943"/>
        <v>0.44607953146270346</v>
      </c>
      <c r="FX77" s="241">
        <f t="shared" ca="1" si="801"/>
        <v>1</v>
      </c>
      <c r="FY77" s="220">
        <f t="shared" ca="1" si="944"/>
        <v>0.98272181794332725</v>
      </c>
      <c r="FZ77" s="220">
        <f t="shared" ca="1" si="945"/>
        <v>0</v>
      </c>
      <c r="GA77" s="235">
        <f t="shared" ca="1" si="946"/>
        <v>0.43039003080199167</v>
      </c>
      <c r="GB77" s="235">
        <f t="shared" ca="1" si="947"/>
        <v>0.43039003080199167</v>
      </c>
      <c r="GC77" s="242">
        <f t="shared" ca="1" si="948"/>
        <v>0.43039003080199167</v>
      </c>
      <c r="GD77" s="241">
        <f t="shared" ca="1" si="795"/>
        <v>1</v>
      </c>
      <c r="GE77" s="220">
        <f t="shared" ca="1" si="949"/>
        <v>0.98131357757821447</v>
      </c>
      <c r="GF77" s="220">
        <f t="shared" ca="1" si="950"/>
        <v>0</v>
      </c>
      <c r="GG77" s="235">
        <f t="shared" ca="1" si="951"/>
        <v>0.41523988588198307</v>
      </c>
      <c r="GH77" s="235">
        <f t="shared" ca="1" si="952"/>
        <v>0.41523988588198307</v>
      </c>
      <c r="GI77" s="242">
        <f t="shared" ca="1" si="953"/>
        <v>0.41523988588198307</v>
      </c>
      <c r="GJ77" s="241">
        <f t="shared" ca="1" si="795"/>
        <v>1</v>
      </c>
      <c r="GK77" s="220">
        <f t="shared" ca="1" si="954"/>
        <v>0.97988969157714845</v>
      </c>
      <c r="GL77" s="220">
        <f t="shared" ca="1" si="955"/>
        <v>0</v>
      </c>
      <c r="GM77" s="235">
        <f t="shared" ca="1" si="956"/>
        <v>0.40061581913774713</v>
      </c>
      <c r="GN77" s="235">
        <f t="shared" ca="1" si="957"/>
        <v>0.40061581913774713</v>
      </c>
      <c r="GO77" s="242">
        <f t="shared" ca="1" si="958"/>
        <v>0.40061581913774713</v>
      </c>
      <c r="GP77" s="241">
        <f t="shared" ca="1" si="802"/>
        <v>1</v>
      </c>
      <c r="GQ77" s="220">
        <f t="shared" ca="1" si="959"/>
        <v>0.9784443542820721</v>
      </c>
      <c r="GR77" s="220">
        <f t="shared" ca="1" si="960"/>
        <v>0</v>
      </c>
      <c r="GS77" s="235">
        <f t="shared" ca="1" si="961"/>
        <v>0.38649749836185404</v>
      </c>
      <c r="GT77" s="235">
        <f t="shared" ca="1" si="962"/>
        <v>0.38649749836185404</v>
      </c>
      <c r="GU77" s="242">
        <f t="shared" ca="1" si="963"/>
        <v>0.38649749836185404</v>
      </c>
      <c r="GV77" s="241">
        <f t="shared" ca="1" si="802"/>
        <v>1</v>
      </c>
      <c r="GW77" s="220">
        <f t="shared" ca="1" si="964"/>
        <v>0.97697473086194042</v>
      </c>
      <c r="GX77" s="220">
        <f t="shared" ca="1" si="965"/>
        <v>0</v>
      </c>
      <c r="GY77" s="235">
        <f t="shared" ca="1" si="966"/>
        <v>0.37286664649209134</v>
      </c>
      <c r="GZ77" s="235">
        <f t="shared" ca="1" si="967"/>
        <v>0.37286664649209134</v>
      </c>
      <c r="HA77" s="242">
        <f t="shared" ca="1" si="968"/>
        <v>0.37286664649209134</v>
      </c>
      <c r="HB77" s="241">
        <f t="shared" ca="1" si="802"/>
        <v>1</v>
      </c>
      <c r="HC77" s="220">
        <f t="shared" ca="1" si="969"/>
        <v>0.97547214372587476</v>
      </c>
      <c r="HD77" s="220">
        <f t="shared" ca="1" si="970"/>
        <v>0</v>
      </c>
      <c r="HE77" s="235">
        <f t="shared" ca="1" si="971"/>
        <v>0.35970355322684694</v>
      </c>
      <c r="HF77" s="235">
        <f t="shared" ca="1" si="972"/>
        <v>0.35970355322684694</v>
      </c>
      <c r="HG77" s="242">
        <f t="shared" ca="1" si="973"/>
        <v>0.35970355322684694</v>
      </c>
      <c r="HH77" s="241">
        <f t="shared" ca="1" si="802"/>
        <v>1</v>
      </c>
      <c r="HI77" s="220">
        <f t="shared" ca="1" si="974"/>
        <v>0.9739299222666441</v>
      </c>
      <c r="HJ77" s="220">
        <f t="shared" ca="1" si="975"/>
        <v>0</v>
      </c>
      <c r="HK77" s="235">
        <f t="shared" ca="1" si="976"/>
        <v>0.34699020474318382</v>
      </c>
      <c r="HL77" s="235">
        <f t="shared" ca="1" si="977"/>
        <v>0.34699020474318382</v>
      </c>
      <c r="HM77" s="242">
        <f t="shared" ca="1" si="978"/>
        <v>0.34699020474318382</v>
      </c>
      <c r="HN77" s="241">
        <f t="shared" ca="1" si="802"/>
        <v>1</v>
      </c>
      <c r="HO77" s="220">
        <f t="shared" ca="1" si="979"/>
        <v>0.97234631221303847</v>
      </c>
      <c r="HP77" s="220">
        <f t="shared" ca="1" si="980"/>
        <v>0</v>
      </c>
      <c r="HQ77" s="235">
        <f t="shared" ca="1" si="981"/>
        <v>0.33471110982634922</v>
      </c>
      <c r="HR77" s="235">
        <f t="shared" ca="1" si="982"/>
        <v>0.33471110982634922</v>
      </c>
      <c r="HS77" s="242">
        <f t="shared" ca="1" si="983"/>
        <v>0.33471110982634922</v>
      </c>
      <c r="HT77" s="241">
        <f t="shared" ca="1" si="802"/>
        <v>1</v>
      </c>
      <c r="HU77" s="220">
        <f t="shared" ca="1" si="984"/>
        <v>0.97072346621795491</v>
      </c>
      <c r="HV77" s="220">
        <f t="shared" ca="1" si="985"/>
        <v>0</v>
      </c>
      <c r="HW77" s="235">
        <f t="shared" ca="1" si="986"/>
        <v>0.32285263476719722</v>
      </c>
      <c r="HX77" s="235">
        <f t="shared" ca="1" si="987"/>
        <v>0.32285263476719722</v>
      </c>
      <c r="HY77" s="242">
        <f t="shared" ca="1" si="988"/>
        <v>0.32285263476719722</v>
      </c>
      <c r="HZ77" s="241">
        <f t="shared" ca="1" si="802"/>
        <v>1</v>
      </c>
      <c r="IA77" s="220">
        <f t="shared" ca="1" si="989"/>
        <v>0.96906158764378969</v>
      </c>
      <c r="IB77" s="220">
        <f t="shared" ca="1" si="990"/>
        <v>0</v>
      </c>
      <c r="IC77" s="235">
        <f t="shared" ca="1" si="991"/>
        <v>0.31140088024780266</v>
      </c>
      <c r="ID77" s="235">
        <f t="shared" ca="1" si="992"/>
        <v>0.31140088024780266</v>
      </c>
      <c r="IE77" s="242">
        <f t="shared" ca="1" si="993"/>
        <v>0.31140088024780266</v>
      </c>
      <c r="IF77" s="241">
        <f t="shared" ca="1" si="802"/>
        <v>1</v>
      </c>
      <c r="IG77" s="220">
        <f t="shared" ca="1" si="994"/>
        <v>0.96736088455747493</v>
      </c>
      <c r="IH77" s="220">
        <f t="shared" ca="1" si="995"/>
        <v>0</v>
      </c>
      <c r="II77" s="235">
        <f t="shared" ca="1" si="996"/>
        <v>0.30034238811880948</v>
      </c>
      <c r="IJ77" s="235">
        <f t="shared" ca="1" si="997"/>
        <v>0.30034238811880948</v>
      </c>
      <c r="IK77" s="242">
        <f t="shared" ca="1" si="998"/>
        <v>0.30034238811880948</v>
      </c>
      <c r="IL77" s="241">
        <f t="shared" ca="1" si="802"/>
        <v>1</v>
      </c>
      <c r="IM77" s="220">
        <f t="shared" ca="1" si="999"/>
        <v>0.96561963496527148</v>
      </c>
      <c r="IN77" s="220">
        <f t="shared" ca="1" si="1000"/>
        <v>0</v>
      </c>
      <c r="IO77" s="235">
        <f t="shared" ca="1" si="1001"/>
        <v>0.28966354765236296</v>
      </c>
      <c r="IP77" s="235">
        <f t="shared" ca="1" si="1002"/>
        <v>0.28966354765236296</v>
      </c>
      <c r="IQ77" s="242">
        <f t="shared" ca="1" si="1003"/>
        <v>0.28966354765236296</v>
      </c>
      <c r="IR77" s="241">
        <f t="shared" ca="1" si="802"/>
        <v>1</v>
      </c>
      <c r="IS77" s="220">
        <f t="shared" ca="1" si="1004"/>
        <v>0.96382841054241086</v>
      </c>
      <c r="IT77" s="220">
        <f t="shared" ca="1" si="1005"/>
        <v>0</v>
      </c>
      <c r="IU77" s="235">
        <f t="shared" ca="1" si="1006"/>
        <v>0.27934900654248102</v>
      </c>
      <c r="IV77" s="235">
        <f t="shared" ca="1" si="1007"/>
        <v>0.27934900654248102</v>
      </c>
      <c r="IW77" s="242">
        <f t="shared" ca="1" si="1008"/>
        <v>0.27934900654248102</v>
      </c>
      <c r="IX77" s="241">
        <f t="shared" ca="1" si="802"/>
        <v>1</v>
      </c>
      <c r="IY77" s="220">
        <f t="shared" ca="1" si="1009"/>
        <v>0.9619778599941694</v>
      </c>
      <c r="IZ77" s="220">
        <f t="shared" ca="1" si="1010"/>
        <v>0</v>
      </c>
      <c r="JA77" s="235">
        <f t="shared" ca="1" si="1011"/>
        <v>0.26938420913035699</v>
      </c>
      <c r="JB77" s="235">
        <f t="shared" ca="1" si="1012"/>
        <v>0.26938420913035699</v>
      </c>
      <c r="JC77" s="242">
        <f t="shared" ca="1" si="1013"/>
        <v>0.26938420913035699</v>
      </c>
      <c r="JD77" s="241">
        <f t="shared" ca="1" si="796"/>
        <v>1</v>
      </c>
      <c r="JE77" s="220">
        <f t="shared" ca="1" si="1014"/>
        <v>0.96006544800850102</v>
      </c>
      <c r="JF77" s="220">
        <f t="shared" ca="1" si="1015"/>
        <v>0</v>
      </c>
      <c r="JG77" s="235">
        <f t="shared" ca="1" si="1016"/>
        <v>0.25975717229237277</v>
      </c>
      <c r="JH77" s="235">
        <f t="shared" ca="1" si="1017"/>
        <v>0.25975717229237277</v>
      </c>
      <c r="JI77" s="242">
        <f t="shared" ca="1" si="1018"/>
        <v>0.25975717229237277</v>
      </c>
      <c r="JJ77" s="241">
        <f t="shared" ca="1" si="796"/>
        <v>1</v>
      </c>
      <c r="JK77" s="220">
        <f t="shared" ca="1" si="1019"/>
        <v>0.9580877131856036</v>
      </c>
      <c r="JL77" s="220">
        <f t="shared" ca="1" si="1020"/>
        <v>0</v>
      </c>
      <c r="JM77" s="235">
        <f t="shared" ca="1" si="1021"/>
        <v>0.25045610871251262</v>
      </c>
      <c r="JN77" s="235">
        <f t="shared" ca="1" si="1022"/>
        <v>0.25045610871251262</v>
      </c>
      <c r="JO77" s="242">
        <f t="shared" ca="1" si="1023"/>
        <v>0.25045610871251262</v>
      </c>
      <c r="JP77" s="241">
        <f t="shared" ca="1" si="803"/>
        <v>1</v>
      </c>
      <c r="JQ77" s="220">
        <f t="shared" ca="1" si="1024"/>
        <v>0.95603644739167326</v>
      </c>
      <c r="JR77" s="220">
        <f t="shared" ca="1" si="1025"/>
        <v>0</v>
      </c>
      <c r="JS77" s="235">
        <f t="shared" ca="1" si="1026"/>
        <v>0.24146848520169967</v>
      </c>
      <c r="JT77" s="235">
        <f t="shared" ca="1" si="1027"/>
        <v>0.24146848520169967</v>
      </c>
      <c r="JU77" s="242">
        <f t="shared" ca="1" si="1028"/>
        <v>0.24146848520169967</v>
      </c>
      <c r="JV77" s="241">
        <f t="shared" ca="1" si="803"/>
        <v>1</v>
      </c>
      <c r="JW77" s="220">
        <f t="shared" ca="1" si="1029"/>
        <v>0.95389492574951584</v>
      </c>
      <c r="JX77" s="220">
        <f t="shared" ca="1" si="1030"/>
        <v>0</v>
      </c>
      <c r="JY77" s="235">
        <f t="shared" ca="1" si="1031"/>
        <v>0.23278028579212359</v>
      </c>
      <c r="JZ77" s="235">
        <f t="shared" ca="1" si="1032"/>
        <v>0.23278028579212359</v>
      </c>
      <c r="KA77" s="242">
        <f t="shared" ca="1" si="1033"/>
        <v>0.23278028579212359</v>
      </c>
      <c r="KB77" s="241">
        <f t="shared" ca="1" si="803"/>
        <v>1</v>
      </c>
      <c r="KC77" s="220">
        <f t="shared" ca="1" si="1034"/>
        <v>0.95164182593489555</v>
      </c>
      <c r="KD77" s="220">
        <f t="shared" ca="1" si="1035"/>
        <v>0</v>
      </c>
      <c r="KE77" s="235">
        <f t="shared" ca="1" si="1036"/>
        <v>0.22437725483776094</v>
      </c>
      <c r="KF77" s="235">
        <f t="shared" ca="1" si="1037"/>
        <v>0.22437725483776094</v>
      </c>
      <c r="KG77" s="242">
        <f t="shared" ca="1" si="1038"/>
        <v>0.22437725483776094</v>
      </c>
      <c r="KH77" s="241">
        <f t="shared" ca="1" si="803"/>
        <v>1</v>
      </c>
      <c r="KI77" s="220">
        <f t="shared" ca="1" si="1039"/>
        <v>0.94925415659362489</v>
      </c>
      <c r="KJ77" s="220">
        <f t="shared" ca="1" si="1040"/>
        <v>0</v>
      </c>
      <c r="KK77" s="235">
        <f t="shared" ca="1" si="1041"/>
        <v>0.21624569304866956</v>
      </c>
      <c r="KL77" s="235">
        <f t="shared" ca="1" si="1042"/>
        <v>0.21624569304866956</v>
      </c>
      <c r="KM77" s="242">
        <f t="shared" ca="1" si="1043"/>
        <v>0.21624569304866956</v>
      </c>
      <c r="KN77" s="241">
        <f t="shared" ca="1" si="803"/>
        <v>1</v>
      </c>
      <c r="KO77" s="220">
        <f t="shared" ca="1" si="1044"/>
        <v>0.94670635843732753</v>
      </c>
      <c r="KP77" s="220">
        <f t="shared" ca="1" si="1045"/>
        <v>0</v>
      </c>
      <c r="KQ77" s="235">
        <f t="shared" ca="1" si="1046"/>
        <v>0.2083722604913304</v>
      </c>
      <c r="KR77" s="235">
        <f t="shared" ca="1" si="1047"/>
        <v>0.2083722604913304</v>
      </c>
      <c r="KS77" s="242">
        <f t="shared" ca="1" si="1048"/>
        <v>0.2083722604913304</v>
      </c>
      <c r="KT77" s="241">
        <f t="shared" ca="1" si="803"/>
        <v>1</v>
      </c>
      <c r="KU77" s="220">
        <f t="shared" ca="1" si="1049"/>
        <v>0.94397037706144371</v>
      </c>
      <c r="KV77" s="220">
        <f t="shared" ca="1" si="1050"/>
        <v>0</v>
      </c>
      <c r="KW77" s="235">
        <f t="shared" ca="1" si="1051"/>
        <v>0.20074402382464779</v>
      </c>
      <c r="KX77" s="235">
        <f t="shared" ca="1" si="1052"/>
        <v>0.20074402382464779</v>
      </c>
      <c r="KY77" s="242">
        <f t="shared" ca="1" si="1053"/>
        <v>0.20074402382464779</v>
      </c>
      <c r="KZ77" s="241">
        <f t="shared" ca="1" si="803"/>
        <v>1</v>
      </c>
      <c r="LA77" s="220">
        <f t="shared" ca="1" si="1054"/>
        <v>0.94102424551463493</v>
      </c>
      <c r="LB77" s="220">
        <f t="shared" ca="1" si="1055"/>
        <v>0</v>
      </c>
      <c r="LC77" s="235">
        <f t="shared" ca="1" si="1056"/>
        <v>0.19335024321380778</v>
      </c>
      <c r="LD77" s="235">
        <f t="shared" ca="1" si="1057"/>
        <v>0.19335024321380778</v>
      </c>
      <c r="LE77" s="242">
        <f t="shared" ca="1" si="1058"/>
        <v>0.19335024321380778</v>
      </c>
      <c r="LF77" s="241">
        <f t="shared" ca="1" si="803"/>
        <v>1</v>
      </c>
      <c r="LG77" s="220">
        <f t="shared" ca="1" si="1059"/>
        <v>0.93783793741932242</v>
      </c>
      <c r="LH77" s="220">
        <f t="shared" ca="1" si="1060"/>
        <v>0</v>
      </c>
      <c r="LI77" s="235">
        <f t="shared" ca="1" si="1061"/>
        <v>0.18617928433844047</v>
      </c>
      <c r="LJ77" s="235">
        <f t="shared" ca="1" si="1062"/>
        <v>0.18617928433844047</v>
      </c>
      <c r="LK77" s="242">
        <f t="shared" ca="1" si="1063"/>
        <v>0.18617928433844047</v>
      </c>
      <c r="LL77" s="241">
        <f t="shared" ca="1" si="803"/>
        <v>1</v>
      </c>
      <c r="LM77" s="220">
        <f t="shared" ca="1" si="1064"/>
        <v>0.93436137218530901</v>
      </c>
      <c r="LN77" s="220">
        <f t="shared" ca="1" si="1065"/>
        <v>0</v>
      </c>
      <c r="LO77" s="235">
        <f t="shared" ca="1" si="1066"/>
        <v>0.17921653887091585</v>
      </c>
      <c r="LP77" s="235">
        <f t="shared" ca="1" si="1067"/>
        <v>0.17921653887091585</v>
      </c>
      <c r="LQ77" s="242">
        <f t="shared" ca="1" si="1068"/>
        <v>0.17921653887091585</v>
      </c>
      <c r="LR77" s="241">
        <f t="shared" ca="1" si="803"/>
        <v>1</v>
      </c>
      <c r="LS77" s="220">
        <f t="shared" ca="1" si="1069"/>
        <v>0.93053889981169891</v>
      </c>
      <c r="LT77" s="220">
        <f t="shared" ca="1" si="1070"/>
        <v>0</v>
      </c>
      <c r="LU77" s="235">
        <f t="shared" ca="1" si="1071"/>
        <v>0.17244769469603377</v>
      </c>
      <c r="LV77" s="235">
        <f t="shared" ca="1" si="1072"/>
        <v>0.17244769469603377</v>
      </c>
      <c r="LW77" s="242">
        <f t="shared" ca="1" si="1073"/>
        <v>0.17244769469603377</v>
      </c>
      <c r="LX77" s="241">
        <f t="shared" ca="1" si="803"/>
        <v>1</v>
      </c>
      <c r="LY77" s="220">
        <f t="shared" ca="1" si="1074"/>
        <v>0.92632262805665211</v>
      </c>
      <c r="LZ77" s="220">
        <f t="shared" ca="1" si="1075"/>
        <v>0</v>
      </c>
      <c r="MA77" s="235">
        <f t="shared" ca="1" si="1076"/>
        <v>0.16586119245542613</v>
      </c>
      <c r="MB77" s="235">
        <f t="shared" ca="1" si="1077"/>
        <v>0.16586119245542613</v>
      </c>
      <c r="MC77" s="242">
        <f t="shared" ca="1" si="1078"/>
        <v>0.16586119245542613</v>
      </c>
      <c r="MD77" s="241">
        <f t="shared" ca="1" si="797"/>
        <v>1</v>
      </c>
      <c r="ME77" s="220">
        <f t="shared" ca="1" si="1079"/>
        <v>0.92167897272220412</v>
      </c>
      <c r="MF77" s="220">
        <f t="shared" ca="1" si="1080"/>
        <v>0</v>
      </c>
      <c r="MG77" s="235">
        <f t="shared" ca="1" si="1081"/>
        <v>0.15944901478033538</v>
      </c>
      <c r="MH77" s="235">
        <f t="shared" ca="1" si="1082"/>
        <v>0.15944901478033538</v>
      </c>
      <c r="MI77" s="242">
        <f t="shared" ca="1" si="1083"/>
        <v>0.15944901478033538</v>
      </c>
      <c r="MJ77" s="241">
        <f t="shared" ca="1" si="797"/>
        <v>1</v>
      </c>
      <c r="MK77" s="220">
        <f t="shared" ca="1" si="1084"/>
        <v>0.91658761807688671</v>
      </c>
      <c r="ML77" s="220">
        <f t="shared" ca="1" si="1085"/>
        <v>0</v>
      </c>
      <c r="MM77" s="235">
        <f t="shared" ca="1" si="1086"/>
        <v>0.15320600813786359</v>
      </c>
      <c r="MN77" s="235">
        <f t="shared" ca="1" si="1087"/>
        <v>0.15320600813786359</v>
      </c>
      <c r="MO77" s="242">
        <f t="shared" ca="1" si="1088"/>
        <v>0.15320600813786359</v>
      </c>
      <c r="MP77" s="241">
        <f t="shared" ca="1" si="804"/>
        <v>1</v>
      </c>
      <c r="MQ77" s="220">
        <f t="shared" ca="1" si="1089"/>
        <v>0.91103401369895887</v>
      </c>
      <c r="MR77" s="220">
        <f t="shared" ca="1" si="1090"/>
        <v>0</v>
      </c>
      <c r="MS77" s="235">
        <f t="shared" ca="1" si="1091"/>
        <v>0.1471282443812138</v>
      </c>
      <c r="MT77" s="235">
        <f t="shared" ca="1" si="1092"/>
        <v>0.1471282443812138</v>
      </c>
      <c r="MU77" s="242">
        <f t="shared" ca="1" si="1093"/>
        <v>0.1471282443812138</v>
      </c>
      <c r="MV77" s="241">
        <f t="shared" ca="1" si="804"/>
        <v>1</v>
      </c>
      <c r="MW77" s="220">
        <f t="shared" ca="1" si="1094"/>
        <v>0.90501116783439506</v>
      </c>
      <c r="MX77" s="220">
        <f t="shared" ca="1" si="1095"/>
        <v>0</v>
      </c>
      <c r="MY77" s="235">
        <f t="shared" ca="1" si="1096"/>
        <v>0.14121312034551653</v>
      </c>
      <c r="MZ77" s="235">
        <f t="shared" ca="1" si="1097"/>
        <v>0.14121312034551653</v>
      </c>
      <c r="NA77" s="242">
        <f t="shared" ca="1" si="1098"/>
        <v>0.14121312034551653</v>
      </c>
      <c r="NB77" s="241">
        <f t="shared" ca="1" si="804"/>
        <v>1</v>
      </c>
      <c r="NC77" s="220">
        <f t="shared" ca="1" si="1099"/>
        <v>0.89850685257116925</v>
      </c>
      <c r="ND77" s="220">
        <f t="shared" ca="1" si="1100"/>
        <v>0</v>
      </c>
      <c r="NE77" s="235">
        <f t="shared" ca="1" si="1101"/>
        <v>0.13545721898511429</v>
      </c>
      <c r="NF77" s="235">
        <f t="shared" ca="1" si="1102"/>
        <v>0.13545721898511429</v>
      </c>
      <c r="NG77" s="242">
        <f t="shared" ca="1" si="1103"/>
        <v>0.13545721898511429</v>
      </c>
      <c r="NH77" s="241">
        <f t="shared" ca="1" si="804"/>
        <v>1</v>
      </c>
      <c r="NI77" s="220">
        <f t="shared" ca="1" si="1104"/>
        <v>0.89149849912111412</v>
      </c>
      <c r="NJ77" s="220">
        <f t="shared" ca="1" si="1105"/>
        <v>0</v>
      </c>
      <c r="NK77" s="235">
        <f t="shared" ca="1" si="1106"/>
        <v>0.12985570306959462</v>
      </c>
      <c r="NL77" s="235">
        <f t="shared" ca="1" si="1107"/>
        <v>0.12985570306959462</v>
      </c>
      <c r="NM77" s="242">
        <f t="shared" ca="1" si="1108"/>
        <v>0.12985570306959462</v>
      </c>
      <c r="NN77" s="241">
        <f t="shared" ca="1" si="804"/>
        <v>1</v>
      </c>
      <c r="NO77" s="220">
        <f t="shared" ca="1" si="1109"/>
        <v>0.88395998781254592</v>
      </c>
      <c r="NP77" s="220">
        <f t="shared" ca="1" si="1110"/>
        <v>0</v>
      </c>
      <c r="NQ77" s="235">
        <f t="shared" ca="1" si="1111"/>
        <v>0.12440352004293539</v>
      </c>
      <c r="NR77" s="235">
        <f t="shared" ca="1" si="1112"/>
        <v>0.12440352004293539</v>
      </c>
      <c r="NS77" s="242">
        <f t="shared" ca="1" si="1113"/>
        <v>0.12440352004293539</v>
      </c>
      <c r="NT77" s="241">
        <f t="shared" ca="1" si="804"/>
        <v>1</v>
      </c>
      <c r="NU77" s="220">
        <f t="shared" ca="1" si="1114"/>
        <v>0.87587705768398794</v>
      </c>
      <c r="NV77" s="220">
        <f t="shared" ca="1" si="1115"/>
        <v>0</v>
      </c>
      <c r="NW77" s="235">
        <f t="shared" ca="1" si="1116"/>
        <v>0.11909755966730703</v>
      </c>
      <c r="NX77" s="235">
        <f t="shared" ca="1" si="1117"/>
        <v>0.11909755966730703</v>
      </c>
      <c r="NY77" s="242">
        <f t="shared" ca="1" si="1118"/>
        <v>0.11909755966730703</v>
      </c>
      <c r="NZ77" s="241">
        <f t="shared" ca="1" si="804"/>
        <v>1</v>
      </c>
      <c r="OA77" s="220">
        <f t="shared" ca="1" si="1119"/>
        <v>0.86723653050993543</v>
      </c>
      <c r="OB77" s="220">
        <f t="shared" ca="1" si="1120"/>
        <v>0</v>
      </c>
      <c r="OC77" s="235">
        <f t="shared" ca="1" si="1121"/>
        <v>0.11393493936346769</v>
      </c>
      <c r="OD77" s="235">
        <f t="shared" ca="1" si="1122"/>
        <v>0.11393493936346769</v>
      </c>
      <c r="OE77" s="242">
        <f t="shared" ca="1" si="1123"/>
        <v>0.11393493936346769</v>
      </c>
      <c r="OF77" s="241">
        <f t="shared" ca="1" si="804"/>
        <v>1</v>
      </c>
      <c r="OG77" s="220">
        <f t="shared" ca="1" si="1124"/>
        <v>0.85802474408285889</v>
      </c>
      <c r="OH77" s="220">
        <f t="shared" ca="1" si="1125"/>
        <v>0</v>
      </c>
      <c r="OI77" s="235">
        <f t="shared" ca="1" si="1126"/>
        <v>0.10891277530197965</v>
      </c>
      <c r="OJ77" s="235">
        <f t="shared" ca="1" si="1127"/>
        <v>0.10891277530197965</v>
      </c>
      <c r="OK77" s="242">
        <f t="shared" ca="1" si="1128"/>
        <v>0.10891277530197965</v>
      </c>
      <c r="OL77" s="241">
        <f t="shared" ca="1" si="804"/>
        <v>1</v>
      </c>
      <c r="OM77" s="220">
        <f t="shared" ca="1" si="1129"/>
        <v>0.84819349656515752</v>
      </c>
      <c r="ON77" s="220">
        <f t="shared" ca="1" si="1130"/>
        <v>0</v>
      </c>
      <c r="OO77" s="235">
        <f t="shared" ca="1" si="1131"/>
        <v>0.10402401229233778</v>
      </c>
      <c r="OP77" s="235">
        <f t="shared" ca="1" si="1132"/>
        <v>0.10402401229233778</v>
      </c>
      <c r="OQ77" s="242">
        <f t="shared" ca="1" si="1133"/>
        <v>0.10402401229233778</v>
      </c>
      <c r="OR77" s="241">
        <f t="shared" ca="1" si="804"/>
        <v>1</v>
      </c>
      <c r="OS77" s="220">
        <f t="shared" ca="1" si="1134"/>
        <v>0.83771830688257787</v>
      </c>
      <c r="OT77" s="220">
        <f t="shared" ca="1" si="1135"/>
        <v>0</v>
      </c>
      <c r="OU77" s="235">
        <f t="shared" ca="1" si="1136"/>
        <v>9.9265039362828419E-2</v>
      </c>
      <c r="OV77" s="235">
        <f t="shared" ca="1" si="1137"/>
        <v>9.9265039362828419E-2</v>
      </c>
      <c r="OW77" s="242">
        <f t="shared" ca="1" si="1138"/>
        <v>9.9265039362828419E-2</v>
      </c>
      <c r="OX77" s="241">
        <f t="shared" ca="1" si="804"/>
        <v>1</v>
      </c>
      <c r="OY77" s="220">
        <f t="shared" ca="1" si="1139"/>
        <v>0.82663110509098692</v>
      </c>
      <c r="OZ77" s="220">
        <f t="shared" ca="1" si="1140"/>
        <v>0</v>
      </c>
      <c r="PA77" s="235">
        <f t="shared" ca="1" si="1141"/>
        <v>9.4638904895518239E-2</v>
      </c>
      <c r="PB77" s="235">
        <f t="shared" ca="1" si="1142"/>
        <v>9.4638904895518239E-2</v>
      </c>
      <c r="PC77" s="242">
        <f t="shared" ca="1" si="1143"/>
        <v>9.4638904895518239E-2</v>
      </c>
      <c r="PD77" s="241">
        <f t="shared" ca="1" si="798"/>
        <v>1</v>
      </c>
      <c r="PE77" s="220">
        <f t="shared" ca="1" si="1144"/>
        <v>0.81497808640251923</v>
      </c>
      <c r="PF77" s="220">
        <f t="shared" ca="1" si="1145"/>
        <v>0</v>
      </c>
      <c r="PG77" s="235">
        <f t="shared" ca="1" si="1146"/>
        <v>9.0149546138363415E-2</v>
      </c>
      <c r="PH77" s="235">
        <f t="shared" ca="1" si="1147"/>
        <v>9.0149546138363415E-2</v>
      </c>
      <c r="PI77" s="242">
        <f t="shared" ca="1" si="1148"/>
        <v>9.0149546138363415E-2</v>
      </c>
      <c r="PJ77" s="241">
        <f t="shared" ca="1" si="798"/>
        <v>1</v>
      </c>
      <c r="PK77" s="220">
        <f t="shared" ca="1" si="1149"/>
        <v>0.80277052964629592</v>
      </c>
      <c r="PL77" s="220">
        <f t="shared" ca="1" si="1150"/>
        <v>0</v>
      </c>
      <c r="PM77" s="235">
        <f t="shared" ca="1" si="1151"/>
        <v>8.5796324721504238E-2</v>
      </c>
      <c r="PN77" s="235">
        <f t="shared" ca="1" si="1152"/>
        <v>8.5796324721504238E-2</v>
      </c>
      <c r="PO77" s="242">
        <f t="shared" ca="1" si="1153"/>
        <v>8.5796324721504238E-2</v>
      </c>
      <c r="PP77" s="241">
        <f t="shared" ca="1" si="805"/>
        <v>1</v>
      </c>
      <c r="PQ77" s="220">
        <f t="shared" ca="1" si="1154"/>
        <v>0.78995269259943357</v>
      </c>
      <c r="PR77" s="220">
        <f t="shared" ca="1" si="1155"/>
        <v>0</v>
      </c>
      <c r="PS77" s="235">
        <f t="shared" ca="1" si="1156"/>
        <v>8.1571415270218356E-2</v>
      </c>
      <c r="PT77" s="235">
        <f t="shared" ca="1" si="1157"/>
        <v>8.1571415270218356E-2</v>
      </c>
      <c r="PU77" s="242">
        <f t="shared" ca="1" si="1158"/>
        <v>8.1571415270218356E-2</v>
      </c>
      <c r="PV77" s="241">
        <f t="shared" ca="1" si="805"/>
        <v>1</v>
      </c>
      <c r="PW77" s="220">
        <f t="shared" ca="1" si="1159"/>
        <v>0.77643739198174988</v>
      </c>
      <c r="PX77" s="220">
        <f t="shared" ca="1" si="1160"/>
        <v>0</v>
      </c>
      <c r="PY77" s="235">
        <f t="shared" ca="1" si="1161"/>
        <v>7.7464550653488104E-2</v>
      </c>
      <c r="PZ77" s="235">
        <f t="shared" ca="1" si="1162"/>
        <v>7.7464550653488104E-2</v>
      </c>
      <c r="QA77" s="242">
        <f t="shared" ca="1" si="1163"/>
        <v>7.7464550653488104E-2</v>
      </c>
      <c r="QB77" s="241">
        <f t="shared" ca="1" si="805"/>
        <v>1</v>
      </c>
      <c r="QC77" s="220">
        <f t="shared" ca="1" si="1164"/>
        <v>0.76215715546842155</v>
      </c>
      <c r="QD77" s="220">
        <f t="shared" ca="1" si="1165"/>
        <v>0</v>
      </c>
      <c r="QE77" s="235">
        <f t="shared" ca="1" si="1166"/>
        <v>7.3468427669438799E-2</v>
      </c>
      <c r="QF77" s="235">
        <f t="shared" ca="1" si="1167"/>
        <v>7.3468427669438799E-2</v>
      </c>
      <c r="QG77" s="242">
        <f t="shared" ca="1" si="1168"/>
        <v>7.3468427669438799E-2</v>
      </c>
      <c r="QH77" s="241">
        <f t="shared" ca="1" si="805"/>
        <v>1</v>
      </c>
      <c r="QI77" s="220">
        <f t="shared" ca="1" si="1169"/>
        <v>0.74703900613254992</v>
      </c>
      <c r="QJ77" s="220">
        <f t="shared" ca="1" si="1170"/>
        <v>0</v>
      </c>
      <c r="QK77" s="235">
        <f t="shared" ca="1" si="1171"/>
        <v>6.9575949698732195E-2</v>
      </c>
      <c r="QL77" s="235">
        <f t="shared" ca="1" si="1172"/>
        <v>6.9575949698732195E-2</v>
      </c>
      <c r="QM77" s="242">
        <f t="shared" ca="1" si="1173"/>
        <v>6.9575949698732195E-2</v>
      </c>
      <c r="QN77" s="241">
        <f t="shared" ca="1" si="805"/>
        <v>1</v>
      </c>
      <c r="QO77" s="220">
        <f t="shared" ca="1" si="1174"/>
        <v>0.73100381386591473</v>
      </c>
      <c r="QP77" s="220">
        <f t="shared" ca="1" si="1175"/>
        <v>0</v>
      </c>
      <c r="QQ77" s="235">
        <f t="shared" ca="1" si="1176"/>
        <v>6.5780195109612458E-2</v>
      </c>
      <c r="QR77" s="235">
        <f t="shared" ca="1" si="1177"/>
        <v>6.5780195109612458E-2</v>
      </c>
      <c r="QS77" s="242">
        <f t="shared" ca="1" si="1178"/>
        <v>6.5780195109612458E-2</v>
      </c>
      <c r="QT77" s="241">
        <f t="shared" ca="1" si="805"/>
        <v>1</v>
      </c>
      <c r="QU77" s="220">
        <f t="shared" ca="1" si="1179"/>
        <v>0.71393414380833176</v>
      </c>
      <c r="QV77" s="220">
        <f t="shared" ca="1" si="1180"/>
        <v>0</v>
      </c>
      <c r="QW77" s="235">
        <f t="shared" ca="1" si="1181"/>
        <v>6.2071653887543876E-2</v>
      </c>
      <c r="QX77" s="235">
        <f t="shared" ca="1" si="1182"/>
        <v>6.2071653887543876E-2</v>
      </c>
      <c r="QY77" s="242">
        <f t="shared" ca="1" si="1183"/>
        <v>6.2071653887543876E-2</v>
      </c>
      <c r="QZ77" s="241">
        <f t="shared" ca="1" si="805"/>
        <v>1</v>
      </c>
      <c r="RA77" s="220">
        <f t="shared" ca="1" si="1184"/>
        <v>0.69574167395580788</v>
      </c>
      <c r="RB77" s="220">
        <f t="shared" ca="1" si="1185"/>
        <v>0</v>
      </c>
      <c r="RC77" s="235">
        <f t="shared" ca="1" si="1186"/>
        <v>5.8444390341238162E-2</v>
      </c>
      <c r="RD77" s="235">
        <f t="shared" ca="1" si="1187"/>
        <v>5.8444390341238162E-2</v>
      </c>
      <c r="RE77" s="242">
        <f t="shared" ca="1" si="1188"/>
        <v>5.8444390341238162E-2</v>
      </c>
      <c r="RF77" s="241">
        <f t="shared" ca="1" si="805"/>
        <v>1</v>
      </c>
      <c r="RG77" s="220">
        <f t="shared" ca="1" si="1189"/>
        <v>0.67640422986988014</v>
      </c>
      <c r="RH77" s="220">
        <f t="shared" ca="1" si="1190"/>
        <v>0</v>
      </c>
      <c r="RI77" s="235">
        <f t="shared" ca="1" si="1191"/>
        <v>5.4898538121829751E-2</v>
      </c>
      <c r="RJ77" s="235">
        <f t="shared" ca="1" si="1192"/>
        <v>5.4898538121829751E-2</v>
      </c>
      <c r="RK77" s="242">
        <f t="shared" ca="1" si="1193"/>
        <v>5.4898538121829751E-2</v>
      </c>
      <c r="RL77" s="241">
        <f t="shared" ca="1" si="805"/>
        <v>1</v>
      </c>
      <c r="RM77" s="220">
        <f t="shared" ca="1" si="1194"/>
        <v>0.65592135698096043</v>
      </c>
      <c r="RN77" s="220">
        <f t="shared" ca="1" si="1195"/>
        <v>0</v>
      </c>
      <c r="RO77" s="235">
        <f t="shared" ca="1" si="1196"/>
        <v>5.1435845981086484E-2</v>
      </c>
      <c r="RP77" s="235">
        <f t="shared" ca="1" si="1197"/>
        <v>5.1435845981086484E-2</v>
      </c>
      <c r="RQ77" s="242">
        <f t="shared" ca="1" si="1198"/>
        <v>5.1435845981086484E-2</v>
      </c>
      <c r="RR77" s="241">
        <f t="shared" ca="1" si="805"/>
        <v>1</v>
      </c>
      <c r="RS77" s="220">
        <f t="shared" ca="1" si="1199"/>
        <v>0.63426152193073515</v>
      </c>
      <c r="RT77" s="220">
        <f t="shared" ca="1" si="1200"/>
        <v>0</v>
      </c>
      <c r="RU77" s="235">
        <f t="shared" ca="1" si="1201"/>
        <v>4.8055392729564286E-2</v>
      </c>
      <c r="RV77" s="235">
        <f t="shared" ca="1" si="1202"/>
        <v>4.8055392729564286E-2</v>
      </c>
      <c r="RW77" s="242">
        <f t="shared" ca="1" si="1203"/>
        <v>4.8055392729564286E-2</v>
      </c>
      <c r="RX77" s="241">
        <f t="shared" ca="1" si="805"/>
        <v>1</v>
      </c>
      <c r="RY77" s="220">
        <f t="shared" ca="1" si="1204"/>
        <v>0.61130062057532053</v>
      </c>
      <c r="RZ77" s="220">
        <f t="shared" ca="1" si="1205"/>
        <v>0</v>
      </c>
      <c r="SA77" s="235">
        <f t="shared" ca="1" si="1206"/>
        <v>4.4749506722088245E-2</v>
      </c>
      <c r="SB77" s="235">
        <f t="shared" ca="1" si="1207"/>
        <v>4.4749506722088245E-2</v>
      </c>
      <c r="SC77" s="242">
        <f t="shared" ca="1" si="1208"/>
        <v>4.4749506722088245E-2</v>
      </c>
      <c r="SD77" s="241">
        <f t="shared" ca="1" si="799"/>
        <v>1</v>
      </c>
      <c r="SE77" s="220">
        <f t="shared" ca="1" si="1209"/>
        <v>0.58693540044042947</v>
      </c>
      <c r="SF77" s="220">
        <f t="shared" ca="1" si="1210"/>
        <v>0</v>
      </c>
      <c r="SG77" s="235">
        <f t="shared" ca="1" si="1211"/>
        <v>4.1512928389525854E-2</v>
      </c>
      <c r="SH77" s="235">
        <f t="shared" ca="1" si="1212"/>
        <v>4.1512928389525854E-2</v>
      </c>
      <c r="SI77" s="242">
        <f t="shared" ca="1" si="1213"/>
        <v>4.1512928389525854E-2</v>
      </c>
      <c r="SJ77" s="241">
        <f t="shared" ca="1" si="799"/>
        <v>1</v>
      </c>
      <c r="SK77" s="220">
        <f t="shared" ca="1" si="1214"/>
        <v>0.56117421877969853</v>
      </c>
      <c r="SL77" s="220">
        <f t="shared" ca="1" si="1215"/>
        <v>0</v>
      </c>
      <c r="SM77" s="235">
        <f t="shared" ca="1" si="1216"/>
        <v>3.8348680627614658E-2</v>
      </c>
      <c r="SN77" s="235">
        <f t="shared" ca="1" si="1217"/>
        <v>3.8348680627614658E-2</v>
      </c>
      <c r="SO77" s="242">
        <f t="shared" ca="1" si="1218"/>
        <v>3.8348680627614658E-2</v>
      </c>
      <c r="SP77" s="241">
        <f t="shared" ca="1" si="808"/>
        <v>1</v>
      </c>
      <c r="SQ77" s="220">
        <f t="shared" ca="1" si="1219"/>
        <v>0.5340633310962325</v>
      </c>
      <c r="SR77" s="220">
        <f t="shared" ca="1" si="1220"/>
        <v>0</v>
      </c>
      <c r="SS77" s="235">
        <f t="shared" ca="1" si="1221"/>
        <v>3.5261852674216394E-2</v>
      </c>
      <c r="ST77" s="235">
        <f t="shared" ca="1" si="1222"/>
        <v>3.5261852674216394E-2</v>
      </c>
      <c r="SU77" s="242">
        <f t="shared" ca="1" si="1223"/>
        <v>3.5261852674216394E-2</v>
      </c>
      <c r="SV77" s="241">
        <f t="shared" ca="1" si="808"/>
        <v>1</v>
      </c>
      <c r="SW77" s="220">
        <f t="shared" ca="1" si="1224"/>
        <v>0.50563620810864218</v>
      </c>
      <c r="SX77" s="220">
        <f t="shared" ca="1" si="1225"/>
        <v>0</v>
      </c>
      <c r="SY77" s="235">
        <f t="shared" ca="1" si="1226"/>
        <v>3.2255975632920972E-2</v>
      </c>
      <c r="SZ77" s="235">
        <f t="shared" ca="1" si="1227"/>
        <v>3.2255975632920972E-2</v>
      </c>
      <c r="TA77" s="242">
        <f t="shared" ca="1" si="1228"/>
        <v>3.2255975632920972E-2</v>
      </c>
      <c r="TB77" s="241">
        <f t="shared" ca="1" si="808"/>
        <v>1</v>
      </c>
      <c r="TC77" s="220">
        <f t="shared" ca="1" si="1229"/>
        <v>0.47585575235966748</v>
      </c>
      <c r="TD77" s="220">
        <f t="shared" ca="1" si="1230"/>
        <v>0</v>
      </c>
      <c r="TE77" s="235">
        <f t="shared" ca="1" si="1231"/>
        <v>2.9329657426153458E-2</v>
      </c>
      <c r="TF77" s="235">
        <f t="shared" ca="1" si="1232"/>
        <v>2.9329657426153458E-2</v>
      </c>
      <c r="TG77" s="242">
        <f t="shared" ca="1" si="1233"/>
        <v>2.9329657426153458E-2</v>
      </c>
      <c r="TH77" s="241">
        <f t="shared" ca="1" si="808"/>
        <v>1</v>
      </c>
      <c r="TI77" s="220">
        <f t="shared" ca="1" si="1234"/>
        <v>0.4447514411066778</v>
      </c>
      <c r="TJ77" s="220">
        <f t="shared" ca="1" si="1235"/>
        <v>0</v>
      </c>
      <c r="TK77" s="235">
        <f t="shared" ca="1" si="1236"/>
        <v>2.6485530790814431E-2</v>
      </c>
      <c r="TL77" s="235">
        <f t="shared" ca="1" si="1237"/>
        <v>2.6485530790814431E-2</v>
      </c>
      <c r="TM77" s="242">
        <f t="shared" ca="1" si="1238"/>
        <v>2.6485530790814431E-2</v>
      </c>
      <c r="TN77" s="241">
        <f t="shared" ca="1" si="808"/>
        <v>1</v>
      </c>
      <c r="TO77" s="220">
        <f t="shared" ca="1" si="1239"/>
        <v>0.41251096438941365</v>
      </c>
      <c r="TP77" s="220">
        <f t="shared" ca="1" si="1240"/>
        <v>0</v>
      </c>
      <c r="TQ77" s="235">
        <f t="shared" ca="1" si="1241"/>
        <v>2.3734848481408222E-2</v>
      </c>
      <c r="TR77" s="235">
        <f t="shared" ca="1" si="1242"/>
        <v>2.3734848481408222E-2</v>
      </c>
      <c r="TS77" s="242">
        <f t="shared" ca="1" si="1243"/>
        <v>2.3734848481408222E-2</v>
      </c>
      <c r="TT77" s="241">
        <f t="shared" ca="1" si="808"/>
        <v>1</v>
      </c>
      <c r="TU77" s="220">
        <f t="shared" ca="1" si="1244"/>
        <v>0.37939128408051637</v>
      </c>
      <c r="TV77" s="220">
        <f t="shared" ca="1" si="1245"/>
        <v>0</v>
      </c>
      <c r="TW77" s="235">
        <f t="shared" ca="1" si="1246"/>
        <v>2.1091038615007652E-2</v>
      </c>
      <c r="TX77" s="235">
        <f t="shared" ca="1" si="1247"/>
        <v>2.1091038615007652E-2</v>
      </c>
      <c r="TY77" s="242">
        <f t="shared" ca="1" si="1248"/>
        <v>2.1091038615007652E-2</v>
      </c>
      <c r="TZ77" s="241">
        <f t="shared" ca="1" si="808"/>
        <v>1</v>
      </c>
      <c r="UA77" s="220">
        <f t="shared" ca="1" si="1249"/>
        <v>0.34565732866521315</v>
      </c>
      <c r="UB77" s="220">
        <f t="shared" ca="1" si="1250"/>
        <v>0</v>
      </c>
      <c r="UC77" s="235">
        <f t="shared" ca="1" si="1251"/>
        <v>1.8565901280691431E-2</v>
      </c>
      <c r="UD77" s="235">
        <f t="shared" ca="1" si="1252"/>
        <v>1.8565901280691431E-2</v>
      </c>
      <c r="UE77" s="242">
        <f t="shared" ca="1" si="1253"/>
        <v>1.8565901280691431E-2</v>
      </c>
      <c r="UF77" s="241">
        <f t="shared" ca="1" si="808"/>
        <v>1</v>
      </c>
      <c r="UG77" s="220">
        <f t="shared" ca="1" si="1254"/>
        <v>0.31158381183471112</v>
      </c>
      <c r="UH77" s="220">
        <f t="shared" ca="1" si="1255"/>
        <v>0</v>
      </c>
      <c r="UI77" s="235">
        <f t="shared" ca="1" si="1256"/>
        <v>1.6169805793281151E-2</v>
      </c>
      <c r="UJ77" s="235">
        <f t="shared" ca="1" si="1257"/>
        <v>1.6169805793281151E-2</v>
      </c>
      <c r="UK77" s="242">
        <f t="shared" ca="1" si="1258"/>
        <v>1.6169805793281151E-2</v>
      </c>
      <c r="UL77" s="241">
        <f t="shared" ca="1" si="808"/>
        <v>1</v>
      </c>
      <c r="UM77" s="220">
        <f t="shared" ca="1" si="1259"/>
        <v>0.27748470263514402</v>
      </c>
      <c r="UN77" s="220">
        <f t="shared" ca="1" si="1260"/>
        <v>0</v>
      </c>
      <c r="UO77" s="235">
        <f t="shared" ca="1" si="1261"/>
        <v>1.3913250808575896E-2</v>
      </c>
      <c r="UP77" s="235">
        <f t="shared" ca="1" si="1262"/>
        <v>1.3913250808575896E-2</v>
      </c>
      <c r="UQ77" s="242">
        <f t="shared" ca="1" si="1263"/>
        <v>1.3913250808575896E-2</v>
      </c>
      <c r="UR77" s="241">
        <f t="shared" ca="1" si="808"/>
        <v>1</v>
      </c>
      <c r="US77" s="220">
        <f t="shared" ca="1" si="1264"/>
        <v>0.24373729058536042</v>
      </c>
      <c r="UT77" s="220">
        <f t="shared" ca="1" si="1265"/>
        <v>0</v>
      </c>
      <c r="UU77" s="235">
        <f t="shared" ca="1" si="1266"/>
        <v>1.1807860056509861E-2</v>
      </c>
      <c r="UV77" s="235">
        <f t="shared" ca="1" si="1267"/>
        <v>1.1807860056509861E-2</v>
      </c>
      <c r="UW77" s="242">
        <f t="shared" ca="1" si="1268"/>
        <v>1.1807860056509861E-2</v>
      </c>
      <c r="UX77" s="241">
        <f t="shared" ca="1" si="808"/>
        <v>1</v>
      </c>
      <c r="UY77" s="220">
        <f t="shared" ca="1" si="1269"/>
        <v>0.21078985859319374</v>
      </c>
      <c r="UZ77" s="220">
        <f t="shared" ca="1" si="1270"/>
        <v>0</v>
      </c>
      <c r="VA77" s="235">
        <f t="shared" ca="1" si="1271"/>
        <v>9.866396874889936E-3</v>
      </c>
      <c r="VB77" s="235">
        <f t="shared" ca="1" si="1272"/>
        <v>9.866396874889936E-3</v>
      </c>
      <c r="VC77" s="242">
        <f t="shared" ca="1" si="1273"/>
        <v>9.866396874889936E-3</v>
      </c>
      <c r="VD77" s="241">
        <f t="shared" ca="1" si="806"/>
        <v>1</v>
      </c>
      <c r="VE77" s="220">
        <f t="shared" ca="1" si="1274"/>
        <v>0.17914840370962801</v>
      </c>
      <c r="VF77" s="220">
        <f t="shared" ca="1" si="1275"/>
        <v>0</v>
      </c>
      <c r="VG77" s="235">
        <f t="shared" ca="1" si="1276"/>
        <v>8.1017989433788233E-3</v>
      </c>
      <c r="VH77" s="235">
        <f t="shared" ca="1" si="1277"/>
        <v>8.1017989433788233E-3</v>
      </c>
      <c r="VI77" s="242">
        <f t="shared" ca="1" si="1278"/>
        <v>8.1017989433788233E-3</v>
      </c>
      <c r="VJ77" s="241">
        <f t="shared" ca="1" si="806"/>
        <v>1</v>
      </c>
      <c r="VK77" s="220">
        <f t="shared" ca="1" si="1279"/>
        <v>0.14933864677755704</v>
      </c>
      <c r="VL77" s="220">
        <f t="shared" ca="1" si="1280"/>
        <v>0</v>
      </c>
      <c r="VM77" s="235">
        <f t="shared" ca="1" si="1281"/>
        <v>6.5252984585482295E-3</v>
      </c>
      <c r="VN77" s="235">
        <f t="shared" ca="1" si="1282"/>
        <v>6.5252984585482295E-3</v>
      </c>
      <c r="VO77" s="242">
        <f t="shared" ca="1" si="1283"/>
        <v>6.5252984585482295E-3</v>
      </c>
      <c r="VP77" s="241">
        <f t="shared" ca="1" si="567"/>
        <v>1</v>
      </c>
      <c r="VQ77" s="220">
        <f t="shared" ca="1" si="1284"/>
        <v>0.12186078378642688</v>
      </c>
      <c r="VR77" s="220">
        <f t="shared" ca="1" si="1285"/>
        <v>0</v>
      </c>
      <c r="VS77" s="235">
        <f t="shared" ca="1" si="1286"/>
        <v>5.1446020464451514E-3</v>
      </c>
      <c r="VT77" s="235">
        <f t="shared" ca="1" si="1287"/>
        <v>5.1446020464451514E-3</v>
      </c>
      <c r="VU77" s="242">
        <f t="shared" ca="1" si="1288"/>
        <v>5.1446020464451514E-3</v>
      </c>
      <c r="VV77" s="241">
        <f t="shared" ca="1" si="1335"/>
        <v>1</v>
      </c>
      <c r="VW77" s="220">
        <f t="shared" ca="1" si="1289"/>
        <v>9.714071449143126E-2</v>
      </c>
      <c r="VX77" s="220">
        <f t="shared" ca="1" si="1290"/>
        <v>0</v>
      </c>
      <c r="VY77" s="235">
        <f t="shared" ca="1" si="1291"/>
        <v>3.9623128486120972E-3</v>
      </c>
      <c r="VZ77" s="235">
        <f t="shared" ca="1" si="1292"/>
        <v>3.9623128486120972E-3</v>
      </c>
      <c r="WA77" s="242">
        <f t="shared" ca="1" si="1293"/>
        <v>3.9623128486120972E-3</v>
      </c>
      <c r="WB77" s="241">
        <f t="shared" ca="1" si="1335"/>
        <v>1</v>
      </c>
      <c r="WC77" s="220">
        <f t="shared" ca="1" si="1294"/>
        <v>7.5486980683431834E-2</v>
      </c>
      <c r="WD77" s="220">
        <f t="shared" ca="1" si="1295"/>
        <v>0</v>
      </c>
      <c r="WE77" s="235">
        <f t="shared" ca="1" si="1296"/>
        <v>2.9749465982754843E-3</v>
      </c>
      <c r="WF77" s="235">
        <f t="shared" ca="1" si="1297"/>
        <v>2.9749465982754843E-3</v>
      </c>
      <c r="WG77" s="242">
        <f t="shared" ca="1" si="1298"/>
        <v>2.9749465982754843E-3</v>
      </c>
      <c r="WH77" s="241">
        <f t="shared" ca="1" si="1335"/>
        <v>1</v>
      </c>
      <c r="WI77" s="220">
        <f t="shared" ca="1" si="1299"/>
        <v>5.7061061620490225E-2</v>
      </c>
      <c r="WJ77" s="220">
        <f t="shared" ca="1" si="1300"/>
        <v>0</v>
      </c>
      <c r="WK77" s="235">
        <f t="shared" ca="1" si="1301"/>
        <v>2.1727342833971291E-3</v>
      </c>
      <c r="WL77" s="235">
        <f t="shared" ca="1" si="1302"/>
        <v>2.1727342833971291E-3</v>
      </c>
      <c r="WM77" s="242">
        <f t="shared" ca="1" si="1303"/>
        <v>2.1727342833971291E-3</v>
      </c>
      <c r="WN77" s="241">
        <f t="shared" ca="1" si="1335"/>
        <v>1</v>
      </c>
      <c r="WO77" s="220">
        <f t="shared" ca="1" si="1304"/>
        <v>4.1934687734452851E-2</v>
      </c>
      <c r="WP77" s="220">
        <f t="shared" ca="1" si="1305"/>
        <v>0</v>
      </c>
      <c r="WQ77" s="235">
        <f t="shared" ca="1" si="1306"/>
        <v>1.5427651975624165E-3</v>
      </c>
      <c r="WR77" s="235">
        <f t="shared" ca="1" si="1307"/>
        <v>1.5427651975624165E-3</v>
      </c>
      <c r="WS77" s="242">
        <f t="shared" ca="1" si="1308"/>
        <v>1.5427651975624165E-3</v>
      </c>
      <c r="WT77" s="241">
        <f t="shared" ca="1" si="1335"/>
        <v>1</v>
      </c>
      <c r="WU77" s="220">
        <f t="shared" ca="1" si="1309"/>
        <v>2.9961998908764689E-2</v>
      </c>
      <c r="WV77" s="220">
        <f t="shared" ca="1" si="1310"/>
        <v>0</v>
      </c>
      <c r="WW77" s="235">
        <f t="shared" ca="1" si="1311"/>
        <v>1.0650177696007403E-3</v>
      </c>
      <c r="WX77" s="235">
        <f t="shared" ca="1" si="1312"/>
        <v>1.0650177696007403E-3</v>
      </c>
      <c r="WY77" s="242">
        <f t="shared" ca="1" si="1313"/>
        <v>1.0650177696007403E-3</v>
      </c>
      <c r="WZ77" s="241">
        <f t="shared" ca="1" si="1335"/>
        <v>1</v>
      </c>
      <c r="XA77" s="220">
        <f t="shared" ca="1" si="1314"/>
        <v>2.0825806429510707E-2</v>
      </c>
      <c r="XB77" s="220">
        <f t="shared" ca="1" si="1315"/>
        <v>0</v>
      </c>
      <c r="XC77" s="235">
        <f t="shared" ca="1" si="1316"/>
        <v>7.1523300597822715E-4</v>
      </c>
      <c r="XD77" s="235">
        <f t="shared" ca="1" si="1317"/>
        <v>7.1523300597822715E-4</v>
      </c>
      <c r="XE77" s="242">
        <f t="shared" ca="1" si="1318"/>
        <v>7.1523300597822715E-4</v>
      </c>
      <c r="XF77" s="241">
        <f t="shared" ca="1" si="1335"/>
        <v>1</v>
      </c>
      <c r="XG77" s="220">
        <f t="shared" ca="1" si="1319"/>
        <v>1.410075784309954E-2</v>
      </c>
      <c r="XH77" s="220">
        <f t="shared" ca="1" si="1320"/>
        <v>0</v>
      </c>
      <c r="XI77" s="235">
        <f t="shared" ca="1" si="1321"/>
        <v>4.6789437576883483E-4</v>
      </c>
      <c r="XJ77" s="235">
        <f t="shared" ca="1" si="1322"/>
        <v>4.6789437576883483E-4</v>
      </c>
      <c r="XK77" s="242">
        <f t="shared" ca="1" si="1323"/>
        <v>4.6789437576883483E-4</v>
      </c>
    </row>
    <row r="78" spans="2:635" x14ac:dyDescent="0.25">
      <c r="B78" s="65">
        <f t="shared" ca="1" si="810"/>
        <v>2093</v>
      </c>
      <c r="C78" s="65" t="s">
        <v>741</v>
      </c>
      <c r="D78" s="77">
        <f t="shared" si="811"/>
        <v>0</v>
      </c>
      <c r="E78" s="77">
        <f t="shared" si="812"/>
        <v>0</v>
      </c>
      <c r="F78" s="77" t="b">
        <f t="shared" si="813"/>
        <v>0</v>
      </c>
      <c r="G78" s="77" t="b">
        <f t="shared" si="814"/>
        <v>0</v>
      </c>
      <c r="H78" s="15" t="e">
        <f t="shared" ca="1" si="815"/>
        <v>#REF!</v>
      </c>
      <c r="L78" s="326">
        <f t="shared" ca="1" si="816"/>
        <v>3.5000000000000003E-2</v>
      </c>
      <c r="M78" s="327">
        <f t="shared" ca="1" si="817"/>
        <v>3.5000000000000003E-2</v>
      </c>
      <c r="N78" s="322">
        <f t="shared" ca="1" si="809"/>
        <v>-70</v>
      </c>
      <c r="O78" s="322">
        <f t="shared" ca="1" si="818"/>
        <v>0</v>
      </c>
      <c r="P78" s="328">
        <f t="shared" ca="1" si="1324"/>
        <v>26.87829936156087</v>
      </c>
      <c r="Q78" s="328">
        <f t="shared" ca="1" si="1325"/>
        <v>26.87829936156087</v>
      </c>
      <c r="R78" s="328">
        <f t="shared" ca="1" si="1326"/>
        <v>26.87829936156087</v>
      </c>
      <c r="S78" s="329">
        <f t="shared" ca="1" si="819"/>
        <v>3.8642415640549425E-2</v>
      </c>
      <c r="T78" s="329">
        <f t="shared" ca="1" si="820"/>
        <v>3.8642415640549425E-2</v>
      </c>
      <c r="U78" s="329">
        <f t="shared" ca="1" si="821"/>
        <v>3.8642415640549425E-2</v>
      </c>
      <c r="V78" s="320" t="e">
        <f t="shared" ca="1" si="822"/>
        <v>#REF!</v>
      </c>
      <c r="W78" s="320" t="e">
        <f t="shared" ca="1" si="560"/>
        <v>#REF!</v>
      </c>
      <c r="X78" s="320" t="e">
        <f t="shared" ca="1" si="823"/>
        <v>#REF!</v>
      </c>
      <c r="Y78" s="320" t="e">
        <f ca="1">INDEX(SC_ZA_HECMLumpSum,ZAIDX)</f>
        <v>#REF!</v>
      </c>
      <c r="Z78" s="320" t="e">
        <f t="shared" ca="1" si="824"/>
        <v>#REF!</v>
      </c>
      <c r="AA78" s="320" t="e">
        <f t="shared" ca="1" si="557"/>
        <v>#REF!</v>
      </c>
      <c r="AB78" s="320" t="e">
        <f t="shared" ca="1" si="558"/>
        <v>#REF!</v>
      </c>
      <c r="AC78" s="330" t="e">
        <f t="shared" ca="1" si="559"/>
        <v>#REF!</v>
      </c>
      <c r="AD78" s="236" t="e">
        <f t="shared" ca="1" si="1327"/>
        <v>#REF!</v>
      </c>
      <c r="AE78" s="320" t="e">
        <f t="shared" ca="1" si="561"/>
        <v>#REF!</v>
      </c>
      <c r="AF78" s="320" t="e">
        <f t="shared" ca="1" si="825"/>
        <v>#REF!</v>
      </c>
      <c r="AG78" s="320" t="e">
        <f t="shared" ca="1" si="1328"/>
        <v>#REF!</v>
      </c>
      <c r="AH78" s="284" t="e">
        <f t="shared" ca="1" si="1329"/>
        <v>#REF!</v>
      </c>
      <c r="AI78" s="318" t="e">
        <f t="shared" ca="1" si="1330"/>
        <v>#REF!</v>
      </c>
      <c r="AJ78" s="331">
        <f t="shared" ca="1" si="807"/>
        <v>1</v>
      </c>
      <c r="AK78" s="220">
        <f t="shared" ca="1" si="826"/>
        <v>1</v>
      </c>
      <c r="AL78" s="220">
        <f t="shared" ca="1" si="827"/>
        <v>0</v>
      </c>
      <c r="AM78" s="235">
        <f t="shared" ca="1" si="1331"/>
        <v>1</v>
      </c>
      <c r="AN78" s="235">
        <f t="shared" ca="1" si="1332"/>
        <v>1</v>
      </c>
      <c r="AO78" s="242">
        <f t="shared" ca="1" si="1333"/>
        <v>1</v>
      </c>
      <c r="AP78" s="241">
        <f t="shared" ca="1" si="807"/>
        <v>1</v>
      </c>
      <c r="AQ78" s="220">
        <f t="shared" ca="1" si="828"/>
        <v>0.99361699999999997</v>
      </c>
      <c r="AR78" s="220">
        <f t="shared" ca="1" si="829"/>
        <v>0</v>
      </c>
      <c r="AS78" s="235">
        <f t="shared" ca="1" si="830"/>
        <v>0.96001642512077301</v>
      </c>
      <c r="AT78" s="235">
        <f t="shared" ca="1" si="831"/>
        <v>0.96001642512077301</v>
      </c>
      <c r="AU78" s="242">
        <f t="shared" ca="1" si="832"/>
        <v>0.96001642512077301</v>
      </c>
      <c r="AV78" s="241">
        <f t="shared" ca="1" si="807"/>
        <v>1</v>
      </c>
      <c r="AW78" s="220">
        <f t="shared" ca="1" si="833"/>
        <v>0.99316689149899995</v>
      </c>
      <c r="AX78" s="220">
        <f t="shared" ca="1" si="834"/>
        <v>0</v>
      </c>
      <c r="AY78" s="235">
        <f t="shared" ca="1" si="835"/>
        <v>0.92713192046395487</v>
      </c>
      <c r="AZ78" s="235">
        <f t="shared" ca="1" si="836"/>
        <v>0.92713192046395487</v>
      </c>
      <c r="BA78" s="242">
        <f t="shared" ca="1" si="837"/>
        <v>0.92713192046395487</v>
      </c>
      <c r="BB78" s="241">
        <f t="shared" ca="1" si="807"/>
        <v>1</v>
      </c>
      <c r="BC78" s="220">
        <f t="shared" ca="1" si="838"/>
        <v>0.99288681843559723</v>
      </c>
      <c r="BD78" s="220">
        <f t="shared" ca="1" si="839"/>
        <v>0</v>
      </c>
      <c r="BE78" s="235">
        <f t="shared" ca="1" si="840"/>
        <v>0.89552702344191704</v>
      </c>
      <c r="BF78" s="235">
        <f t="shared" ca="1" si="841"/>
        <v>0.89552702344191704</v>
      </c>
      <c r="BG78" s="242">
        <f t="shared" ca="1" si="842"/>
        <v>0.89552702344191704</v>
      </c>
      <c r="BH78" s="241">
        <f t="shared" ca="1" si="807"/>
        <v>1</v>
      </c>
      <c r="BI78" s="220">
        <f t="shared" ca="1" si="843"/>
        <v>0.99265845446735712</v>
      </c>
      <c r="BJ78" s="220">
        <f t="shared" ca="1" si="844"/>
        <v>0</v>
      </c>
      <c r="BK78" s="235">
        <f t="shared" ca="1" si="845"/>
        <v>0.86504449490485558</v>
      </c>
      <c r="BL78" s="235">
        <f t="shared" ca="1" si="846"/>
        <v>0.86504449490485558</v>
      </c>
      <c r="BM78" s="242">
        <f t="shared" ca="1" si="847"/>
        <v>0.86504449490485558</v>
      </c>
      <c r="BN78" s="241">
        <f t="shared" ca="1" si="807"/>
        <v>1</v>
      </c>
      <c r="BO78" s="220">
        <f t="shared" ca="1" si="848"/>
        <v>0.99249069518855215</v>
      </c>
      <c r="BP78" s="220">
        <f t="shared" ca="1" si="849"/>
        <v>0</v>
      </c>
      <c r="BQ78" s="235">
        <f t="shared" ca="1" si="850"/>
        <v>0.83565053370552345</v>
      </c>
      <c r="BR78" s="235">
        <f t="shared" ca="1" si="851"/>
        <v>0.83565053370552345</v>
      </c>
      <c r="BS78" s="242">
        <f t="shared" ca="1" si="852"/>
        <v>0.83565053370552345</v>
      </c>
      <c r="BT78" s="241">
        <f t="shared" ca="1" si="807"/>
        <v>1</v>
      </c>
      <c r="BU78" s="220">
        <f t="shared" ca="1" si="853"/>
        <v>0.99233685913079794</v>
      </c>
      <c r="BV78" s="220">
        <f t="shared" ca="1" si="854"/>
        <v>0</v>
      </c>
      <c r="BW78" s="235">
        <f t="shared" ca="1" si="855"/>
        <v>0.80726667427323584</v>
      </c>
      <c r="BX78" s="235">
        <f t="shared" ca="1" si="856"/>
        <v>0.80726667427323584</v>
      </c>
      <c r="BY78" s="242">
        <f t="shared" ca="1" si="857"/>
        <v>0.80726667427323584</v>
      </c>
      <c r="BZ78" s="241">
        <f t="shared" ca="1" si="807"/>
        <v>1</v>
      </c>
      <c r="CA78" s="220">
        <f t="shared" ca="1" si="858"/>
        <v>0.992192970286224</v>
      </c>
      <c r="CB78" s="220">
        <f t="shared" ca="1" si="859"/>
        <v>0</v>
      </c>
      <c r="CC78" s="235">
        <f t="shared" ca="1" si="860"/>
        <v>0.7798547058990013</v>
      </c>
      <c r="CD78" s="235">
        <f t="shared" ca="1" si="861"/>
        <v>0.7798547058990013</v>
      </c>
      <c r="CE78" s="242">
        <f t="shared" ca="1" si="862"/>
        <v>0.7798547058990013</v>
      </c>
      <c r="CF78" s="241">
        <f t="shared" ca="1" si="807"/>
        <v>1</v>
      </c>
      <c r="CG78" s="220">
        <f t="shared" ca="1" si="863"/>
        <v>0.9920590242352354</v>
      </c>
      <c r="CH78" s="220">
        <f t="shared" ca="1" si="864"/>
        <v>0</v>
      </c>
      <c r="CI78" s="235">
        <f t="shared" ca="1" si="865"/>
        <v>0.75338108745285515</v>
      </c>
      <c r="CJ78" s="235">
        <f t="shared" ca="1" si="866"/>
        <v>0.75338108745285515</v>
      </c>
      <c r="CK78" s="242">
        <f t="shared" ca="1" si="867"/>
        <v>0.75338108745285515</v>
      </c>
      <c r="CL78" s="241">
        <f t="shared" ca="1" si="807"/>
        <v>1</v>
      </c>
      <c r="CM78" s="220">
        <f t="shared" ca="1" si="868"/>
        <v>0.99193997715232718</v>
      </c>
      <c r="CN78" s="220">
        <f t="shared" ca="1" si="869"/>
        <v>0</v>
      </c>
      <c r="CO78" s="235">
        <f t="shared" ca="1" si="870"/>
        <v>0.72781708378972065</v>
      </c>
      <c r="CP78" s="235">
        <f t="shared" ca="1" si="871"/>
        <v>0.72781708378972065</v>
      </c>
      <c r="CQ78" s="242">
        <f t="shared" ca="1" si="872"/>
        <v>0.72781708378972065</v>
      </c>
      <c r="CR78" s="241">
        <f t="shared" ca="1" si="807"/>
        <v>1</v>
      </c>
      <c r="CS78" s="220">
        <f t="shared" ca="1" si="873"/>
        <v>0.99183582345472621</v>
      </c>
      <c r="CT78" s="220">
        <f t="shared" ca="1" si="874"/>
        <v>0</v>
      </c>
      <c r="CU78" s="235">
        <f t="shared" ca="1" si="875"/>
        <v>0.70313107535837949</v>
      </c>
      <c r="CV78" s="235">
        <f t="shared" ca="1" si="876"/>
        <v>0.70313107535837949</v>
      </c>
      <c r="CW78" s="242">
        <f t="shared" ca="1" si="877"/>
        <v>0.70313107535837949</v>
      </c>
      <c r="CX78" s="241">
        <f t="shared" ca="1" si="800"/>
        <v>1</v>
      </c>
      <c r="CY78" s="220">
        <f t="shared" ca="1" si="878"/>
        <v>0.99174259088732142</v>
      </c>
      <c r="CZ78" s="220">
        <f t="shared" ca="1" si="879"/>
        <v>0</v>
      </c>
      <c r="DA78" s="235">
        <f t="shared" ca="1" si="880"/>
        <v>0.6792898367510104</v>
      </c>
      <c r="DB78" s="235">
        <f t="shared" ca="1" si="881"/>
        <v>0.6792898367510104</v>
      </c>
      <c r="DC78" s="242">
        <f t="shared" ca="1" si="882"/>
        <v>0.6792898367510104</v>
      </c>
      <c r="DD78" s="241">
        <f t="shared" ca="1" si="800"/>
        <v>1</v>
      </c>
      <c r="DE78" s="220">
        <f t="shared" ca="1" si="883"/>
        <v>0.99164440837082357</v>
      </c>
      <c r="DF78" s="220">
        <f t="shared" ca="1" si="884"/>
        <v>0</v>
      </c>
      <c r="DG78" s="235">
        <f t="shared" ca="1" si="885"/>
        <v>0.65625370730161559</v>
      </c>
      <c r="DH78" s="235">
        <f t="shared" ca="1" si="886"/>
        <v>0.65625370730161559</v>
      </c>
      <c r="DI78" s="242">
        <f t="shared" ca="1" si="887"/>
        <v>0.65625370730161559</v>
      </c>
      <c r="DJ78" s="241">
        <f t="shared" ca="1" si="888"/>
        <v>1</v>
      </c>
      <c r="DK78" s="220">
        <f t="shared" ca="1" si="889"/>
        <v>0.9915115280201019</v>
      </c>
      <c r="DL78" s="220">
        <f t="shared" ca="1" si="890"/>
        <v>0</v>
      </c>
      <c r="DM78" s="235">
        <f t="shared" ca="1" si="891"/>
        <v>0.63397658870032592</v>
      </c>
      <c r="DN78" s="235">
        <f t="shared" ca="1" si="892"/>
        <v>0.63397658870032592</v>
      </c>
      <c r="DO78" s="242">
        <f t="shared" ca="1" si="893"/>
        <v>0.63397658870032592</v>
      </c>
      <c r="DP78" s="241">
        <f t="shared" ca="1" si="888"/>
        <v>1</v>
      </c>
      <c r="DQ78" s="220">
        <f t="shared" ca="1" si="894"/>
        <v>0.99130628513380181</v>
      </c>
      <c r="DR78" s="220">
        <f t="shared" ca="1" si="895"/>
        <v>0</v>
      </c>
      <c r="DS78" s="235">
        <f t="shared" ca="1" si="896"/>
        <v>0.61241097154247814</v>
      </c>
      <c r="DT78" s="235">
        <f t="shared" ca="1" si="897"/>
        <v>0.61241097154247814</v>
      </c>
      <c r="DU78" s="242">
        <f t="shared" ca="1" si="898"/>
        <v>0.61241097154247814</v>
      </c>
      <c r="DV78" s="241">
        <f t="shared" ca="1" si="888"/>
        <v>1</v>
      </c>
      <c r="DW78" s="220">
        <f t="shared" ca="1" si="899"/>
        <v>0.9909999714916955</v>
      </c>
      <c r="DX78" s="220">
        <f t="shared" ca="1" si="900"/>
        <v>0</v>
      </c>
      <c r="DY78" s="235">
        <f t="shared" ca="1" si="901"/>
        <v>0.59151858604084218</v>
      </c>
      <c r="DZ78" s="235">
        <f t="shared" ca="1" si="902"/>
        <v>0.59151858604084218</v>
      </c>
      <c r="EA78" s="242">
        <f t="shared" ca="1" si="903"/>
        <v>0.59151858604084218</v>
      </c>
      <c r="EB78" s="241">
        <f t="shared" ca="1" si="888"/>
        <v>1</v>
      </c>
      <c r="EC78" s="220">
        <f t="shared" ca="1" si="904"/>
        <v>0.99058474250364048</v>
      </c>
      <c r="ED78" s="220">
        <f t="shared" ca="1" si="905"/>
        <v>0</v>
      </c>
      <c r="EE78" s="235">
        <f t="shared" ca="1" si="906"/>
        <v>0.57127607705632</v>
      </c>
      <c r="EF78" s="235">
        <f t="shared" ca="1" si="907"/>
        <v>0.57127607705632</v>
      </c>
      <c r="EG78" s="242">
        <f t="shared" ca="1" si="908"/>
        <v>0.57127607705632</v>
      </c>
      <c r="EH78" s="241">
        <f t="shared" ca="1" si="888"/>
        <v>1</v>
      </c>
      <c r="EI78" s="220">
        <f t="shared" ca="1" si="909"/>
        <v>0.99005973259011348</v>
      </c>
      <c r="EJ78" s="220">
        <f t="shared" ca="1" si="910"/>
        <v>0</v>
      </c>
      <c r="EK78" s="235">
        <f t="shared" ca="1" si="911"/>
        <v>0.55166502486519819</v>
      </c>
      <c r="EL78" s="235">
        <f t="shared" ca="1" si="912"/>
        <v>0.55166502486519819</v>
      </c>
      <c r="EM78" s="242">
        <f t="shared" ca="1" si="913"/>
        <v>0.55166502486519819</v>
      </c>
      <c r="EN78" s="241">
        <f t="shared" ca="1" si="888"/>
        <v>1</v>
      </c>
      <c r="EO78" s="220">
        <f t="shared" ca="1" si="914"/>
        <v>0.98941124346526699</v>
      </c>
      <c r="EP78" s="220">
        <f t="shared" ca="1" si="915"/>
        <v>0</v>
      </c>
      <c r="EQ78" s="235">
        <f t="shared" ca="1" si="916"/>
        <v>0.53266056451585653</v>
      </c>
      <c r="ER78" s="235">
        <f t="shared" ca="1" si="917"/>
        <v>0.53266056451585653</v>
      </c>
      <c r="ES78" s="242">
        <f t="shared" ca="1" si="918"/>
        <v>0.53266056451585653</v>
      </c>
      <c r="ET78" s="241">
        <f t="shared" ca="1" si="888"/>
        <v>1</v>
      </c>
      <c r="EU78" s="220">
        <f t="shared" ca="1" si="919"/>
        <v>0.98862861917168599</v>
      </c>
      <c r="EV78" s="220">
        <f t="shared" ca="1" si="920"/>
        <v>0</v>
      </c>
      <c r="EW78" s="235">
        <f t="shared" ca="1" si="921"/>
        <v>0.51424080194137645</v>
      </c>
      <c r="EX78" s="235">
        <f t="shared" ca="1" si="922"/>
        <v>0.51424080194137645</v>
      </c>
      <c r="EY78" s="242">
        <f t="shared" ca="1" si="923"/>
        <v>0.51424080194137645</v>
      </c>
      <c r="EZ78" s="241">
        <f t="shared" ca="1" si="888"/>
        <v>1</v>
      </c>
      <c r="FA78" s="220">
        <f t="shared" ca="1" si="924"/>
        <v>0.98770524004137961</v>
      </c>
      <c r="FB78" s="220">
        <f t="shared" ca="1" si="925"/>
        <v>0</v>
      </c>
      <c r="FC78" s="235">
        <f t="shared" ca="1" si="926"/>
        <v>0.49638695751919149</v>
      </c>
      <c r="FD78" s="235">
        <f t="shared" ca="1" si="927"/>
        <v>0.49638695751919149</v>
      </c>
      <c r="FE78" s="242">
        <f t="shared" ca="1" si="928"/>
        <v>0.49638695751919149</v>
      </c>
      <c r="FF78" s="241">
        <f t="shared" ca="1" si="888"/>
        <v>1</v>
      </c>
      <c r="FG78" s="220">
        <f t="shared" ca="1" si="929"/>
        <v>0.98663357985593469</v>
      </c>
      <c r="FH78" s="220">
        <f t="shared" ca="1" si="930"/>
        <v>0</v>
      </c>
      <c r="FI78" s="235">
        <f t="shared" ca="1" si="931"/>
        <v>0.4790805581355394</v>
      </c>
      <c r="FJ78" s="235">
        <f t="shared" ca="1" si="932"/>
        <v>0.4790805581355394</v>
      </c>
      <c r="FK78" s="242">
        <f t="shared" ca="1" si="933"/>
        <v>0.4790805581355394</v>
      </c>
      <c r="FL78" s="241">
        <f t="shared" ca="1" si="888"/>
        <v>1</v>
      </c>
      <c r="FM78" s="220">
        <f t="shared" ca="1" si="934"/>
        <v>0.98542199381987161</v>
      </c>
      <c r="FN78" s="220">
        <f t="shared" ca="1" si="935"/>
        <v>0</v>
      </c>
      <c r="FO78" s="235">
        <f t="shared" ca="1" si="936"/>
        <v>0.46231134996149653</v>
      </c>
      <c r="FP78" s="235">
        <f t="shared" ca="1" si="937"/>
        <v>0.46231134996149653</v>
      </c>
      <c r="FQ78" s="242">
        <f t="shared" ca="1" si="938"/>
        <v>0.46231134996149653</v>
      </c>
      <c r="FR78" s="241">
        <f t="shared" ca="1" si="888"/>
        <v>1</v>
      </c>
      <c r="FS78" s="220">
        <f t="shared" ca="1" si="939"/>
        <v>0.98410251377014679</v>
      </c>
      <c r="FT78" s="220">
        <f t="shared" ca="1" si="940"/>
        <v>0</v>
      </c>
      <c r="FU78" s="235">
        <f t="shared" ca="1" si="941"/>
        <v>0.44607953146270346</v>
      </c>
      <c r="FV78" s="235">
        <f t="shared" ca="1" si="942"/>
        <v>0.44607953146270346</v>
      </c>
      <c r="FW78" s="242">
        <f t="shared" ca="1" si="943"/>
        <v>0.44607953146270346</v>
      </c>
      <c r="FX78" s="241">
        <f t="shared" ca="1" si="801"/>
        <v>1</v>
      </c>
      <c r="FY78" s="220">
        <f t="shared" ca="1" si="944"/>
        <v>0.98272181794332725</v>
      </c>
      <c r="FZ78" s="220">
        <f t="shared" ca="1" si="945"/>
        <v>0</v>
      </c>
      <c r="GA78" s="235">
        <f t="shared" ca="1" si="946"/>
        <v>0.43039003080199167</v>
      </c>
      <c r="GB78" s="235">
        <f t="shared" ca="1" si="947"/>
        <v>0.43039003080199167</v>
      </c>
      <c r="GC78" s="242">
        <f t="shared" ca="1" si="948"/>
        <v>0.43039003080199167</v>
      </c>
      <c r="GD78" s="241">
        <f t="shared" ca="1" si="795"/>
        <v>1</v>
      </c>
      <c r="GE78" s="220">
        <f t="shared" ca="1" si="949"/>
        <v>0.98131357757821447</v>
      </c>
      <c r="GF78" s="220">
        <f t="shared" ca="1" si="950"/>
        <v>0</v>
      </c>
      <c r="GG78" s="235">
        <f t="shared" ca="1" si="951"/>
        <v>0.41523988588198307</v>
      </c>
      <c r="GH78" s="235">
        <f t="shared" ca="1" si="952"/>
        <v>0.41523988588198307</v>
      </c>
      <c r="GI78" s="242">
        <f t="shared" ca="1" si="953"/>
        <v>0.41523988588198307</v>
      </c>
      <c r="GJ78" s="241">
        <f t="shared" ca="1" si="795"/>
        <v>1</v>
      </c>
      <c r="GK78" s="220">
        <f t="shared" ca="1" si="954"/>
        <v>0.97988969157714845</v>
      </c>
      <c r="GL78" s="220">
        <f t="shared" ca="1" si="955"/>
        <v>0</v>
      </c>
      <c r="GM78" s="235">
        <f t="shared" ca="1" si="956"/>
        <v>0.40061581913774713</v>
      </c>
      <c r="GN78" s="235">
        <f t="shared" ca="1" si="957"/>
        <v>0.40061581913774713</v>
      </c>
      <c r="GO78" s="242">
        <f t="shared" ca="1" si="958"/>
        <v>0.40061581913774713</v>
      </c>
      <c r="GP78" s="241">
        <f t="shared" ca="1" si="802"/>
        <v>1</v>
      </c>
      <c r="GQ78" s="220">
        <f t="shared" ca="1" si="959"/>
        <v>0.9784443542820721</v>
      </c>
      <c r="GR78" s="220">
        <f t="shared" ca="1" si="960"/>
        <v>0</v>
      </c>
      <c r="GS78" s="235">
        <f t="shared" ca="1" si="961"/>
        <v>0.38649749836185404</v>
      </c>
      <c r="GT78" s="235">
        <f t="shared" ca="1" si="962"/>
        <v>0.38649749836185404</v>
      </c>
      <c r="GU78" s="242">
        <f t="shared" ca="1" si="963"/>
        <v>0.38649749836185404</v>
      </c>
      <c r="GV78" s="241">
        <f t="shared" ca="1" si="802"/>
        <v>1</v>
      </c>
      <c r="GW78" s="220">
        <f t="shared" ca="1" si="964"/>
        <v>0.97697473086194042</v>
      </c>
      <c r="GX78" s="220">
        <f t="shared" ca="1" si="965"/>
        <v>0</v>
      </c>
      <c r="GY78" s="235">
        <f t="shared" ca="1" si="966"/>
        <v>0.37286664649209134</v>
      </c>
      <c r="GZ78" s="235">
        <f t="shared" ca="1" si="967"/>
        <v>0.37286664649209134</v>
      </c>
      <c r="HA78" s="242">
        <f t="shared" ca="1" si="968"/>
        <v>0.37286664649209134</v>
      </c>
      <c r="HB78" s="241">
        <f t="shared" ref="HB78:JJ86" ca="1" si="1336">IF(($B78+HB$2)&lt;SC_TargetRY,0,IF(($B78+HB$2)=SC_TargetRY,SC_AnnyPmntPr,IF(SP_AnnyTerms="Life",1,IF(($B78+HB$2)=(SC_TargetRY+SP_AnnyPeriod),SC_AnnyPmntPr-1,IF(($B78+HB$2)&gt;(SC_TargetRY+SP_AnnyPeriod),0,1)))))</f>
        <v>1</v>
      </c>
      <c r="HC78" s="220">
        <f t="shared" ca="1" si="969"/>
        <v>0.97547214372587476</v>
      </c>
      <c r="HD78" s="220">
        <f t="shared" ca="1" si="970"/>
        <v>0</v>
      </c>
      <c r="HE78" s="235">
        <f t="shared" ca="1" si="971"/>
        <v>0.35970355322684694</v>
      </c>
      <c r="HF78" s="235">
        <f t="shared" ca="1" si="972"/>
        <v>0.35970355322684694</v>
      </c>
      <c r="HG78" s="242">
        <f t="shared" ca="1" si="973"/>
        <v>0.35970355322684694</v>
      </c>
      <c r="HH78" s="241">
        <f t="shared" ca="1" si="1336"/>
        <v>1</v>
      </c>
      <c r="HI78" s="220">
        <f t="shared" ca="1" si="974"/>
        <v>0.9739299222666441</v>
      </c>
      <c r="HJ78" s="220">
        <f t="shared" ca="1" si="975"/>
        <v>0</v>
      </c>
      <c r="HK78" s="235">
        <f t="shared" ca="1" si="976"/>
        <v>0.34699020474318382</v>
      </c>
      <c r="HL78" s="235">
        <f t="shared" ca="1" si="977"/>
        <v>0.34699020474318382</v>
      </c>
      <c r="HM78" s="242">
        <f t="shared" ca="1" si="978"/>
        <v>0.34699020474318382</v>
      </c>
      <c r="HN78" s="241">
        <f t="shared" ca="1" si="1336"/>
        <v>1</v>
      </c>
      <c r="HO78" s="220">
        <f t="shared" ca="1" si="979"/>
        <v>0.97234631221303847</v>
      </c>
      <c r="HP78" s="220">
        <f t="shared" ca="1" si="980"/>
        <v>0</v>
      </c>
      <c r="HQ78" s="235">
        <f t="shared" ca="1" si="981"/>
        <v>0.33471110982634922</v>
      </c>
      <c r="HR78" s="235">
        <f t="shared" ca="1" si="982"/>
        <v>0.33471110982634922</v>
      </c>
      <c r="HS78" s="242">
        <f t="shared" ca="1" si="983"/>
        <v>0.33471110982634922</v>
      </c>
      <c r="HT78" s="241">
        <f t="shared" ca="1" si="1336"/>
        <v>1</v>
      </c>
      <c r="HU78" s="220">
        <f t="shared" ca="1" si="984"/>
        <v>0.97072346621795491</v>
      </c>
      <c r="HV78" s="220">
        <f t="shared" ca="1" si="985"/>
        <v>0</v>
      </c>
      <c r="HW78" s="235">
        <f t="shared" ca="1" si="986"/>
        <v>0.32285263476719722</v>
      </c>
      <c r="HX78" s="235">
        <f t="shared" ca="1" si="987"/>
        <v>0.32285263476719722</v>
      </c>
      <c r="HY78" s="242">
        <f t="shared" ca="1" si="988"/>
        <v>0.32285263476719722</v>
      </c>
      <c r="HZ78" s="241">
        <f t="shared" ca="1" si="1336"/>
        <v>1</v>
      </c>
      <c r="IA78" s="220">
        <f t="shared" ca="1" si="989"/>
        <v>0.96906158764378969</v>
      </c>
      <c r="IB78" s="220">
        <f t="shared" ca="1" si="990"/>
        <v>0</v>
      </c>
      <c r="IC78" s="235">
        <f t="shared" ca="1" si="991"/>
        <v>0.31140088024780266</v>
      </c>
      <c r="ID78" s="235">
        <f t="shared" ca="1" si="992"/>
        <v>0.31140088024780266</v>
      </c>
      <c r="IE78" s="242">
        <f t="shared" ca="1" si="993"/>
        <v>0.31140088024780266</v>
      </c>
      <c r="IF78" s="241">
        <f t="shared" ca="1" si="1336"/>
        <v>1</v>
      </c>
      <c r="IG78" s="220">
        <f t="shared" ca="1" si="994"/>
        <v>0.96736088455747493</v>
      </c>
      <c r="IH78" s="220">
        <f t="shared" ca="1" si="995"/>
        <v>0</v>
      </c>
      <c r="II78" s="235">
        <f t="shared" ca="1" si="996"/>
        <v>0.30034238811880948</v>
      </c>
      <c r="IJ78" s="235">
        <f t="shared" ca="1" si="997"/>
        <v>0.30034238811880948</v>
      </c>
      <c r="IK78" s="242">
        <f t="shared" ca="1" si="998"/>
        <v>0.30034238811880948</v>
      </c>
      <c r="IL78" s="241">
        <f t="shared" ca="1" si="1336"/>
        <v>1</v>
      </c>
      <c r="IM78" s="220">
        <f t="shared" ca="1" si="999"/>
        <v>0.96561963496527148</v>
      </c>
      <c r="IN78" s="220">
        <f t="shared" ca="1" si="1000"/>
        <v>0</v>
      </c>
      <c r="IO78" s="235">
        <f t="shared" ca="1" si="1001"/>
        <v>0.28966354765236296</v>
      </c>
      <c r="IP78" s="235">
        <f t="shared" ca="1" si="1002"/>
        <v>0.28966354765236296</v>
      </c>
      <c r="IQ78" s="242">
        <f t="shared" ca="1" si="1003"/>
        <v>0.28966354765236296</v>
      </c>
      <c r="IR78" s="241">
        <f t="shared" ca="1" si="1336"/>
        <v>1</v>
      </c>
      <c r="IS78" s="220">
        <f t="shared" ca="1" si="1004"/>
        <v>0.96382841054241086</v>
      </c>
      <c r="IT78" s="220">
        <f t="shared" ca="1" si="1005"/>
        <v>0</v>
      </c>
      <c r="IU78" s="235">
        <f t="shared" ca="1" si="1006"/>
        <v>0.27934900654248102</v>
      </c>
      <c r="IV78" s="235">
        <f t="shared" ca="1" si="1007"/>
        <v>0.27934900654248102</v>
      </c>
      <c r="IW78" s="242">
        <f t="shared" ca="1" si="1008"/>
        <v>0.27934900654248102</v>
      </c>
      <c r="IX78" s="241">
        <f t="shared" ca="1" si="1336"/>
        <v>1</v>
      </c>
      <c r="IY78" s="220">
        <f t="shared" ca="1" si="1009"/>
        <v>0.9619778599941694</v>
      </c>
      <c r="IZ78" s="220">
        <f t="shared" ca="1" si="1010"/>
        <v>0</v>
      </c>
      <c r="JA78" s="235">
        <f t="shared" ca="1" si="1011"/>
        <v>0.26938420913035699</v>
      </c>
      <c r="JB78" s="235">
        <f t="shared" ca="1" si="1012"/>
        <v>0.26938420913035699</v>
      </c>
      <c r="JC78" s="242">
        <f t="shared" ca="1" si="1013"/>
        <v>0.26938420913035699</v>
      </c>
      <c r="JD78" s="241">
        <f t="shared" ca="1" si="1336"/>
        <v>1</v>
      </c>
      <c r="JE78" s="220">
        <f t="shared" ca="1" si="1014"/>
        <v>0.96006544800850102</v>
      </c>
      <c r="JF78" s="220">
        <f t="shared" ca="1" si="1015"/>
        <v>0</v>
      </c>
      <c r="JG78" s="235">
        <f t="shared" ca="1" si="1016"/>
        <v>0.25975717229237277</v>
      </c>
      <c r="JH78" s="235">
        <f t="shared" ca="1" si="1017"/>
        <v>0.25975717229237277</v>
      </c>
      <c r="JI78" s="242">
        <f t="shared" ca="1" si="1018"/>
        <v>0.25975717229237277</v>
      </c>
      <c r="JJ78" s="241">
        <f t="shared" ca="1" si="1336"/>
        <v>1</v>
      </c>
      <c r="JK78" s="220">
        <f t="shared" ca="1" si="1019"/>
        <v>0.9580877131856036</v>
      </c>
      <c r="JL78" s="220">
        <f t="shared" ca="1" si="1020"/>
        <v>0</v>
      </c>
      <c r="JM78" s="235">
        <f t="shared" ca="1" si="1021"/>
        <v>0.25045610871251262</v>
      </c>
      <c r="JN78" s="235">
        <f t="shared" ca="1" si="1022"/>
        <v>0.25045610871251262</v>
      </c>
      <c r="JO78" s="242">
        <f t="shared" ca="1" si="1023"/>
        <v>0.25045610871251262</v>
      </c>
      <c r="JP78" s="241">
        <f t="shared" ca="1" si="803"/>
        <v>1</v>
      </c>
      <c r="JQ78" s="220">
        <f t="shared" ca="1" si="1024"/>
        <v>0.95603644739167326</v>
      </c>
      <c r="JR78" s="220">
        <f t="shared" ca="1" si="1025"/>
        <v>0</v>
      </c>
      <c r="JS78" s="235">
        <f t="shared" ca="1" si="1026"/>
        <v>0.24146848520169967</v>
      </c>
      <c r="JT78" s="235">
        <f t="shared" ca="1" si="1027"/>
        <v>0.24146848520169967</v>
      </c>
      <c r="JU78" s="242">
        <f t="shared" ca="1" si="1028"/>
        <v>0.24146848520169967</v>
      </c>
      <c r="JV78" s="241">
        <f t="shared" ca="1" si="803"/>
        <v>1</v>
      </c>
      <c r="JW78" s="220">
        <f t="shared" ca="1" si="1029"/>
        <v>0.95389492574951584</v>
      </c>
      <c r="JX78" s="220">
        <f t="shared" ca="1" si="1030"/>
        <v>0</v>
      </c>
      <c r="JY78" s="235">
        <f t="shared" ca="1" si="1031"/>
        <v>0.23278028579212359</v>
      </c>
      <c r="JZ78" s="235">
        <f t="shared" ca="1" si="1032"/>
        <v>0.23278028579212359</v>
      </c>
      <c r="KA78" s="242">
        <f t="shared" ca="1" si="1033"/>
        <v>0.23278028579212359</v>
      </c>
      <c r="KB78" s="241">
        <f t="shared" ref="KB78:MJ86" ca="1" si="1337">IF(($B78+KB$2)&lt;SC_TargetRY,0,IF(($B78+KB$2)=SC_TargetRY,SC_AnnyPmntPr,IF(SP_AnnyTerms="Life",1,IF(($B78+KB$2)=(SC_TargetRY+SP_AnnyPeriod),SC_AnnyPmntPr-1,IF(($B78+KB$2)&gt;(SC_TargetRY+SP_AnnyPeriod),0,1)))))</f>
        <v>1</v>
      </c>
      <c r="KC78" s="220">
        <f t="shared" ca="1" si="1034"/>
        <v>0.95164182593489555</v>
      </c>
      <c r="KD78" s="220">
        <f t="shared" ca="1" si="1035"/>
        <v>0</v>
      </c>
      <c r="KE78" s="235">
        <f t="shared" ca="1" si="1036"/>
        <v>0.22437725483776094</v>
      </c>
      <c r="KF78" s="235">
        <f t="shared" ca="1" si="1037"/>
        <v>0.22437725483776094</v>
      </c>
      <c r="KG78" s="242">
        <f t="shared" ca="1" si="1038"/>
        <v>0.22437725483776094</v>
      </c>
      <c r="KH78" s="241">
        <f t="shared" ca="1" si="1337"/>
        <v>1</v>
      </c>
      <c r="KI78" s="220">
        <f t="shared" ca="1" si="1039"/>
        <v>0.94925415659362489</v>
      </c>
      <c r="KJ78" s="220">
        <f t="shared" ca="1" si="1040"/>
        <v>0</v>
      </c>
      <c r="KK78" s="235">
        <f t="shared" ca="1" si="1041"/>
        <v>0.21624569304866956</v>
      </c>
      <c r="KL78" s="235">
        <f t="shared" ca="1" si="1042"/>
        <v>0.21624569304866956</v>
      </c>
      <c r="KM78" s="242">
        <f t="shared" ca="1" si="1043"/>
        <v>0.21624569304866956</v>
      </c>
      <c r="KN78" s="241">
        <f t="shared" ca="1" si="1337"/>
        <v>1</v>
      </c>
      <c r="KO78" s="220">
        <f t="shared" ca="1" si="1044"/>
        <v>0.94670635843732753</v>
      </c>
      <c r="KP78" s="220">
        <f t="shared" ca="1" si="1045"/>
        <v>0</v>
      </c>
      <c r="KQ78" s="235">
        <f t="shared" ca="1" si="1046"/>
        <v>0.2083722604913304</v>
      </c>
      <c r="KR78" s="235">
        <f t="shared" ca="1" si="1047"/>
        <v>0.2083722604913304</v>
      </c>
      <c r="KS78" s="242">
        <f t="shared" ca="1" si="1048"/>
        <v>0.2083722604913304</v>
      </c>
      <c r="KT78" s="241">
        <f t="shared" ca="1" si="1337"/>
        <v>1</v>
      </c>
      <c r="KU78" s="220">
        <f t="shared" ca="1" si="1049"/>
        <v>0.94397037706144371</v>
      </c>
      <c r="KV78" s="220">
        <f t="shared" ca="1" si="1050"/>
        <v>0</v>
      </c>
      <c r="KW78" s="235">
        <f t="shared" ca="1" si="1051"/>
        <v>0.20074402382464779</v>
      </c>
      <c r="KX78" s="235">
        <f t="shared" ca="1" si="1052"/>
        <v>0.20074402382464779</v>
      </c>
      <c r="KY78" s="242">
        <f t="shared" ca="1" si="1053"/>
        <v>0.20074402382464779</v>
      </c>
      <c r="KZ78" s="241">
        <f t="shared" ca="1" si="1337"/>
        <v>1</v>
      </c>
      <c r="LA78" s="220">
        <f t="shared" ca="1" si="1054"/>
        <v>0.94102424551463493</v>
      </c>
      <c r="LB78" s="220">
        <f t="shared" ca="1" si="1055"/>
        <v>0</v>
      </c>
      <c r="LC78" s="235">
        <f t="shared" ca="1" si="1056"/>
        <v>0.19335024321380778</v>
      </c>
      <c r="LD78" s="235">
        <f t="shared" ca="1" si="1057"/>
        <v>0.19335024321380778</v>
      </c>
      <c r="LE78" s="242">
        <f t="shared" ca="1" si="1058"/>
        <v>0.19335024321380778</v>
      </c>
      <c r="LF78" s="241">
        <f t="shared" ca="1" si="1337"/>
        <v>1</v>
      </c>
      <c r="LG78" s="220">
        <f t="shared" ca="1" si="1059"/>
        <v>0.93783793741932242</v>
      </c>
      <c r="LH78" s="220">
        <f t="shared" ca="1" si="1060"/>
        <v>0</v>
      </c>
      <c r="LI78" s="235">
        <f t="shared" ca="1" si="1061"/>
        <v>0.18617928433844047</v>
      </c>
      <c r="LJ78" s="235">
        <f t="shared" ca="1" si="1062"/>
        <v>0.18617928433844047</v>
      </c>
      <c r="LK78" s="242">
        <f t="shared" ca="1" si="1063"/>
        <v>0.18617928433844047</v>
      </c>
      <c r="LL78" s="241">
        <f t="shared" ca="1" si="1337"/>
        <v>1</v>
      </c>
      <c r="LM78" s="220">
        <f t="shared" ca="1" si="1064"/>
        <v>0.93436137218530901</v>
      </c>
      <c r="LN78" s="220">
        <f t="shared" ca="1" si="1065"/>
        <v>0</v>
      </c>
      <c r="LO78" s="235">
        <f t="shared" ca="1" si="1066"/>
        <v>0.17921653887091585</v>
      </c>
      <c r="LP78" s="235">
        <f t="shared" ca="1" si="1067"/>
        <v>0.17921653887091585</v>
      </c>
      <c r="LQ78" s="242">
        <f t="shared" ca="1" si="1068"/>
        <v>0.17921653887091585</v>
      </c>
      <c r="LR78" s="241">
        <f t="shared" ca="1" si="1337"/>
        <v>1</v>
      </c>
      <c r="LS78" s="220">
        <f t="shared" ca="1" si="1069"/>
        <v>0.93053889981169891</v>
      </c>
      <c r="LT78" s="220">
        <f t="shared" ca="1" si="1070"/>
        <v>0</v>
      </c>
      <c r="LU78" s="235">
        <f t="shared" ca="1" si="1071"/>
        <v>0.17244769469603377</v>
      </c>
      <c r="LV78" s="235">
        <f t="shared" ca="1" si="1072"/>
        <v>0.17244769469603377</v>
      </c>
      <c r="LW78" s="242">
        <f t="shared" ca="1" si="1073"/>
        <v>0.17244769469603377</v>
      </c>
      <c r="LX78" s="241">
        <f t="shared" ca="1" si="1337"/>
        <v>1</v>
      </c>
      <c r="LY78" s="220">
        <f t="shared" ca="1" si="1074"/>
        <v>0.92632262805665211</v>
      </c>
      <c r="LZ78" s="220">
        <f t="shared" ca="1" si="1075"/>
        <v>0</v>
      </c>
      <c r="MA78" s="235">
        <f t="shared" ca="1" si="1076"/>
        <v>0.16586119245542613</v>
      </c>
      <c r="MB78" s="235">
        <f t="shared" ca="1" si="1077"/>
        <v>0.16586119245542613</v>
      </c>
      <c r="MC78" s="242">
        <f t="shared" ca="1" si="1078"/>
        <v>0.16586119245542613</v>
      </c>
      <c r="MD78" s="241">
        <f t="shared" ca="1" si="1337"/>
        <v>1</v>
      </c>
      <c r="ME78" s="220">
        <f t="shared" ca="1" si="1079"/>
        <v>0.92167897272220412</v>
      </c>
      <c r="MF78" s="220">
        <f t="shared" ca="1" si="1080"/>
        <v>0</v>
      </c>
      <c r="MG78" s="235">
        <f t="shared" ca="1" si="1081"/>
        <v>0.15944901478033538</v>
      </c>
      <c r="MH78" s="235">
        <f t="shared" ca="1" si="1082"/>
        <v>0.15944901478033538</v>
      </c>
      <c r="MI78" s="242">
        <f t="shared" ca="1" si="1083"/>
        <v>0.15944901478033538</v>
      </c>
      <c r="MJ78" s="241">
        <f t="shared" ca="1" si="1337"/>
        <v>1</v>
      </c>
      <c r="MK78" s="220">
        <f t="shared" ca="1" si="1084"/>
        <v>0.91658761807688671</v>
      </c>
      <c r="ML78" s="220">
        <f t="shared" ca="1" si="1085"/>
        <v>0</v>
      </c>
      <c r="MM78" s="235">
        <f t="shared" ca="1" si="1086"/>
        <v>0.15320600813786359</v>
      </c>
      <c r="MN78" s="235">
        <f t="shared" ca="1" si="1087"/>
        <v>0.15320600813786359</v>
      </c>
      <c r="MO78" s="242">
        <f t="shared" ca="1" si="1088"/>
        <v>0.15320600813786359</v>
      </c>
      <c r="MP78" s="241">
        <f t="shared" ca="1" si="804"/>
        <v>1</v>
      </c>
      <c r="MQ78" s="220">
        <f t="shared" ca="1" si="1089"/>
        <v>0.91103401369895887</v>
      </c>
      <c r="MR78" s="220">
        <f t="shared" ca="1" si="1090"/>
        <v>0</v>
      </c>
      <c r="MS78" s="235">
        <f t="shared" ca="1" si="1091"/>
        <v>0.1471282443812138</v>
      </c>
      <c r="MT78" s="235">
        <f t="shared" ca="1" si="1092"/>
        <v>0.1471282443812138</v>
      </c>
      <c r="MU78" s="242">
        <f t="shared" ca="1" si="1093"/>
        <v>0.1471282443812138</v>
      </c>
      <c r="MV78" s="241">
        <f t="shared" ca="1" si="804"/>
        <v>1</v>
      </c>
      <c r="MW78" s="220">
        <f t="shared" ca="1" si="1094"/>
        <v>0.90501116783439506</v>
      </c>
      <c r="MX78" s="220">
        <f t="shared" ca="1" si="1095"/>
        <v>0</v>
      </c>
      <c r="MY78" s="235">
        <f t="shared" ca="1" si="1096"/>
        <v>0.14121312034551653</v>
      </c>
      <c r="MZ78" s="235">
        <f t="shared" ca="1" si="1097"/>
        <v>0.14121312034551653</v>
      </c>
      <c r="NA78" s="242">
        <f t="shared" ca="1" si="1098"/>
        <v>0.14121312034551653</v>
      </c>
      <c r="NB78" s="241">
        <f t="shared" ref="NB78:PJ86" ca="1" si="1338">IF(($B78+NB$2)&lt;SC_TargetRY,0,IF(($B78+NB$2)=SC_TargetRY,SC_AnnyPmntPr,IF(SP_AnnyTerms="Life",1,IF(($B78+NB$2)=(SC_TargetRY+SP_AnnyPeriod),SC_AnnyPmntPr-1,IF(($B78+NB$2)&gt;(SC_TargetRY+SP_AnnyPeriod),0,1)))))</f>
        <v>1</v>
      </c>
      <c r="NC78" s="220">
        <f t="shared" ca="1" si="1099"/>
        <v>0.89850685257116925</v>
      </c>
      <c r="ND78" s="220">
        <f t="shared" ca="1" si="1100"/>
        <v>0</v>
      </c>
      <c r="NE78" s="235">
        <f t="shared" ca="1" si="1101"/>
        <v>0.13545721898511429</v>
      </c>
      <c r="NF78" s="235">
        <f t="shared" ca="1" si="1102"/>
        <v>0.13545721898511429</v>
      </c>
      <c r="NG78" s="242">
        <f t="shared" ca="1" si="1103"/>
        <v>0.13545721898511429</v>
      </c>
      <c r="NH78" s="241">
        <f t="shared" ca="1" si="1338"/>
        <v>1</v>
      </c>
      <c r="NI78" s="220">
        <f t="shared" ca="1" si="1104"/>
        <v>0.89149849912111412</v>
      </c>
      <c r="NJ78" s="220">
        <f t="shared" ca="1" si="1105"/>
        <v>0</v>
      </c>
      <c r="NK78" s="235">
        <f t="shared" ca="1" si="1106"/>
        <v>0.12985570306959462</v>
      </c>
      <c r="NL78" s="235">
        <f t="shared" ca="1" si="1107"/>
        <v>0.12985570306959462</v>
      </c>
      <c r="NM78" s="242">
        <f t="shared" ca="1" si="1108"/>
        <v>0.12985570306959462</v>
      </c>
      <c r="NN78" s="241">
        <f t="shared" ca="1" si="1338"/>
        <v>1</v>
      </c>
      <c r="NO78" s="220">
        <f t="shared" ca="1" si="1109"/>
        <v>0.88395998781254592</v>
      </c>
      <c r="NP78" s="220">
        <f t="shared" ca="1" si="1110"/>
        <v>0</v>
      </c>
      <c r="NQ78" s="235">
        <f t="shared" ca="1" si="1111"/>
        <v>0.12440352004293539</v>
      </c>
      <c r="NR78" s="235">
        <f t="shared" ca="1" si="1112"/>
        <v>0.12440352004293539</v>
      </c>
      <c r="NS78" s="242">
        <f t="shared" ca="1" si="1113"/>
        <v>0.12440352004293539</v>
      </c>
      <c r="NT78" s="241">
        <f t="shared" ca="1" si="1338"/>
        <v>1</v>
      </c>
      <c r="NU78" s="220">
        <f t="shared" ca="1" si="1114"/>
        <v>0.87587705768398794</v>
      </c>
      <c r="NV78" s="220">
        <f t="shared" ca="1" si="1115"/>
        <v>0</v>
      </c>
      <c r="NW78" s="235">
        <f t="shared" ca="1" si="1116"/>
        <v>0.11909755966730703</v>
      </c>
      <c r="NX78" s="235">
        <f t="shared" ca="1" si="1117"/>
        <v>0.11909755966730703</v>
      </c>
      <c r="NY78" s="242">
        <f t="shared" ca="1" si="1118"/>
        <v>0.11909755966730703</v>
      </c>
      <c r="NZ78" s="241">
        <f t="shared" ca="1" si="1338"/>
        <v>1</v>
      </c>
      <c r="OA78" s="220">
        <f t="shared" ca="1" si="1119"/>
        <v>0.86723653050993543</v>
      </c>
      <c r="OB78" s="220">
        <f t="shared" ca="1" si="1120"/>
        <v>0</v>
      </c>
      <c r="OC78" s="235">
        <f t="shared" ca="1" si="1121"/>
        <v>0.11393493936346769</v>
      </c>
      <c r="OD78" s="235">
        <f t="shared" ca="1" si="1122"/>
        <v>0.11393493936346769</v>
      </c>
      <c r="OE78" s="242">
        <f t="shared" ca="1" si="1123"/>
        <v>0.11393493936346769</v>
      </c>
      <c r="OF78" s="241">
        <f t="shared" ca="1" si="1338"/>
        <v>1</v>
      </c>
      <c r="OG78" s="220">
        <f t="shared" ca="1" si="1124"/>
        <v>0.85802474408285889</v>
      </c>
      <c r="OH78" s="220">
        <f t="shared" ca="1" si="1125"/>
        <v>0</v>
      </c>
      <c r="OI78" s="235">
        <f t="shared" ca="1" si="1126"/>
        <v>0.10891277530197965</v>
      </c>
      <c r="OJ78" s="235">
        <f t="shared" ca="1" si="1127"/>
        <v>0.10891277530197965</v>
      </c>
      <c r="OK78" s="242">
        <f t="shared" ca="1" si="1128"/>
        <v>0.10891277530197965</v>
      </c>
      <c r="OL78" s="241">
        <f t="shared" ca="1" si="1338"/>
        <v>1</v>
      </c>
      <c r="OM78" s="220">
        <f t="shared" ca="1" si="1129"/>
        <v>0.84819349656515752</v>
      </c>
      <c r="ON78" s="220">
        <f t="shared" ca="1" si="1130"/>
        <v>0</v>
      </c>
      <c r="OO78" s="235">
        <f t="shared" ca="1" si="1131"/>
        <v>0.10402401229233778</v>
      </c>
      <c r="OP78" s="235">
        <f t="shared" ca="1" si="1132"/>
        <v>0.10402401229233778</v>
      </c>
      <c r="OQ78" s="242">
        <f t="shared" ca="1" si="1133"/>
        <v>0.10402401229233778</v>
      </c>
      <c r="OR78" s="241">
        <f t="shared" ca="1" si="1338"/>
        <v>1</v>
      </c>
      <c r="OS78" s="220">
        <f t="shared" ca="1" si="1134"/>
        <v>0.83771830688257787</v>
      </c>
      <c r="OT78" s="220">
        <f t="shared" ca="1" si="1135"/>
        <v>0</v>
      </c>
      <c r="OU78" s="235">
        <f t="shared" ca="1" si="1136"/>
        <v>9.9265039362828419E-2</v>
      </c>
      <c r="OV78" s="235">
        <f t="shared" ca="1" si="1137"/>
        <v>9.9265039362828419E-2</v>
      </c>
      <c r="OW78" s="242">
        <f t="shared" ca="1" si="1138"/>
        <v>9.9265039362828419E-2</v>
      </c>
      <c r="OX78" s="241">
        <f t="shared" ca="1" si="1338"/>
        <v>1</v>
      </c>
      <c r="OY78" s="220">
        <f t="shared" ca="1" si="1139"/>
        <v>0.82663110509098692</v>
      </c>
      <c r="OZ78" s="220">
        <f t="shared" ca="1" si="1140"/>
        <v>0</v>
      </c>
      <c r="PA78" s="235">
        <f t="shared" ca="1" si="1141"/>
        <v>9.4638904895518239E-2</v>
      </c>
      <c r="PB78" s="235">
        <f t="shared" ca="1" si="1142"/>
        <v>9.4638904895518239E-2</v>
      </c>
      <c r="PC78" s="242">
        <f t="shared" ca="1" si="1143"/>
        <v>9.4638904895518239E-2</v>
      </c>
      <c r="PD78" s="241">
        <f t="shared" ca="1" si="1338"/>
        <v>1</v>
      </c>
      <c r="PE78" s="220">
        <f t="shared" ca="1" si="1144"/>
        <v>0.81497808640251923</v>
      </c>
      <c r="PF78" s="220">
        <f t="shared" ca="1" si="1145"/>
        <v>0</v>
      </c>
      <c r="PG78" s="235">
        <f t="shared" ca="1" si="1146"/>
        <v>9.0149546138363415E-2</v>
      </c>
      <c r="PH78" s="235">
        <f t="shared" ca="1" si="1147"/>
        <v>9.0149546138363415E-2</v>
      </c>
      <c r="PI78" s="242">
        <f t="shared" ca="1" si="1148"/>
        <v>9.0149546138363415E-2</v>
      </c>
      <c r="PJ78" s="241">
        <f t="shared" ca="1" si="1338"/>
        <v>1</v>
      </c>
      <c r="PK78" s="220">
        <f t="shared" ca="1" si="1149"/>
        <v>0.80277052964629592</v>
      </c>
      <c r="PL78" s="220">
        <f t="shared" ca="1" si="1150"/>
        <v>0</v>
      </c>
      <c r="PM78" s="235">
        <f t="shared" ca="1" si="1151"/>
        <v>8.5796324721504238E-2</v>
      </c>
      <c r="PN78" s="235">
        <f t="shared" ca="1" si="1152"/>
        <v>8.5796324721504238E-2</v>
      </c>
      <c r="PO78" s="242">
        <f t="shared" ca="1" si="1153"/>
        <v>8.5796324721504238E-2</v>
      </c>
      <c r="PP78" s="241">
        <f t="shared" ca="1" si="805"/>
        <v>1</v>
      </c>
      <c r="PQ78" s="220">
        <f t="shared" ca="1" si="1154"/>
        <v>0.78995269259943357</v>
      </c>
      <c r="PR78" s="220">
        <f t="shared" ca="1" si="1155"/>
        <v>0</v>
      </c>
      <c r="PS78" s="235">
        <f t="shared" ca="1" si="1156"/>
        <v>8.1571415270218356E-2</v>
      </c>
      <c r="PT78" s="235">
        <f t="shared" ca="1" si="1157"/>
        <v>8.1571415270218356E-2</v>
      </c>
      <c r="PU78" s="242">
        <f t="shared" ca="1" si="1158"/>
        <v>8.1571415270218356E-2</v>
      </c>
      <c r="PV78" s="241">
        <f t="shared" ca="1" si="805"/>
        <v>1</v>
      </c>
      <c r="PW78" s="220">
        <f t="shared" ca="1" si="1159"/>
        <v>0.77643739198174988</v>
      </c>
      <c r="PX78" s="220">
        <f t="shared" ca="1" si="1160"/>
        <v>0</v>
      </c>
      <c r="PY78" s="235">
        <f t="shared" ca="1" si="1161"/>
        <v>7.7464550653488104E-2</v>
      </c>
      <c r="PZ78" s="235">
        <f t="shared" ca="1" si="1162"/>
        <v>7.7464550653488104E-2</v>
      </c>
      <c r="QA78" s="242">
        <f t="shared" ca="1" si="1163"/>
        <v>7.7464550653488104E-2</v>
      </c>
      <c r="QB78" s="241">
        <f t="shared" ref="QB78:SJ86" ca="1" si="1339">IF(($B78+QB$2)&lt;SC_TargetRY,0,IF(($B78+QB$2)=SC_TargetRY,SC_AnnyPmntPr,IF(SP_AnnyTerms="Life",1,IF(($B78+QB$2)=(SC_TargetRY+SP_AnnyPeriod),SC_AnnyPmntPr-1,IF(($B78+QB$2)&gt;(SC_TargetRY+SP_AnnyPeriod),0,1)))))</f>
        <v>1</v>
      </c>
      <c r="QC78" s="220">
        <f t="shared" ca="1" si="1164"/>
        <v>0.76215715546842155</v>
      </c>
      <c r="QD78" s="220">
        <f t="shared" ca="1" si="1165"/>
        <v>0</v>
      </c>
      <c r="QE78" s="235">
        <f t="shared" ca="1" si="1166"/>
        <v>7.3468427669438799E-2</v>
      </c>
      <c r="QF78" s="235">
        <f t="shared" ca="1" si="1167"/>
        <v>7.3468427669438799E-2</v>
      </c>
      <c r="QG78" s="242">
        <f t="shared" ca="1" si="1168"/>
        <v>7.3468427669438799E-2</v>
      </c>
      <c r="QH78" s="241">
        <f t="shared" ca="1" si="1339"/>
        <v>1</v>
      </c>
      <c r="QI78" s="220">
        <f t="shared" ca="1" si="1169"/>
        <v>0.74703900613254992</v>
      </c>
      <c r="QJ78" s="220">
        <f t="shared" ca="1" si="1170"/>
        <v>0</v>
      </c>
      <c r="QK78" s="235">
        <f t="shared" ca="1" si="1171"/>
        <v>6.9575949698732195E-2</v>
      </c>
      <c r="QL78" s="235">
        <f t="shared" ca="1" si="1172"/>
        <v>6.9575949698732195E-2</v>
      </c>
      <c r="QM78" s="242">
        <f t="shared" ca="1" si="1173"/>
        <v>6.9575949698732195E-2</v>
      </c>
      <c r="QN78" s="241">
        <f t="shared" ca="1" si="1339"/>
        <v>1</v>
      </c>
      <c r="QO78" s="220">
        <f t="shared" ca="1" si="1174"/>
        <v>0.73100381386591473</v>
      </c>
      <c r="QP78" s="220">
        <f t="shared" ca="1" si="1175"/>
        <v>0</v>
      </c>
      <c r="QQ78" s="235">
        <f t="shared" ca="1" si="1176"/>
        <v>6.5780195109612458E-2</v>
      </c>
      <c r="QR78" s="235">
        <f t="shared" ca="1" si="1177"/>
        <v>6.5780195109612458E-2</v>
      </c>
      <c r="QS78" s="242">
        <f t="shared" ca="1" si="1178"/>
        <v>6.5780195109612458E-2</v>
      </c>
      <c r="QT78" s="241">
        <f t="shared" ca="1" si="1339"/>
        <v>1</v>
      </c>
      <c r="QU78" s="220">
        <f t="shared" ca="1" si="1179"/>
        <v>0.71393414380833176</v>
      </c>
      <c r="QV78" s="220">
        <f t="shared" ca="1" si="1180"/>
        <v>0</v>
      </c>
      <c r="QW78" s="235">
        <f t="shared" ca="1" si="1181"/>
        <v>6.2071653887543876E-2</v>
      </c>
      <c r="QX78" s="235">
        <f t="shared" ca="1" si="1182"/>
        <v>6.2071653887543876E-2</v>
      </c>
      <c r="QY78" s="242">
        <f t="shared" ca="1" si="1183"/>
        <v>6.2071653887543876E-2</v>
      </c>
      <c r="QZ78" s="241">
        <f t="shared" ca="1" si="1339"/>
        <v>1</v>
      </c>
      <c r="RA78" s="220">
        <f t="shared" ca="1" si="1184"/>
        <v>0.69574167395580788</v>
      </c>
      <c r="RB78" s="220">
        <f t="shared" ca="1" si="1185"/>
        <v>0</v>
      </c>
      <c r="RC78" s="235">
        <f t="shared" ca="1" si="1186"/>
        <v>5.8444390341238162E-2</v>
      </c>
      <c r="RD78" s="235">
        <f t="shared" ca="1" si="1187"/>
        <v>5.8444390341238162E-2</v>
      </c>
      <c r="RE78" s="242">
        <f t="shared" ca="1" si="1188"/>
        <v>5.8444390341238162E-2</v>
      </c>
      <c r="RF78" s="241">
        <f t="shared" ca="1" si="1339"/>
        <v>1</v>
      </c>
      <c r="RG78" s="220">
        <f t="shared" ca="1" si="1189"/>
        <v>0.67640422986988014</v>
      </c>
      <c r="RH78" s="220">
        <f t="shared" ca="1" si="1190"/>
        <v>0</v>
      </c>
      <c r="RI78" s="235">
        <f t="shared" ca="1" si="1191"/>
        <v>5.4898538121829751E-2</v>
      </c>
      <c r="RJ78" s="235">
        <f t="shared" ca="1" si="1192"/>
        <v>5.4898538121829751E-2</v>
      </c>
      <c r="RK78" s="242">
        <f t="shared" ca="1" si="1193"/>
        <v>5.4898538121829751E-2</v>
      </c>
      <c r="RL78" s="241">
        <f t="shared" ca="1" si="1339"/>
        <v>1</v>
      </c>
      <c r="RM78" s="220">
        <f t="shared" ca="1" si="1194"/>
        <v>0.65592135698096043</v>
      </c>
      <c r="RN78" s="220">
        <f t="shared" ca="1" si="1195"/>
        <v>0</v>
      </c>
      <c r="RO78" s="235">
        <f t="shared" ca="1" si="1196"/>
        <v>5.1435845981086484E-2</v>
      </c>
      <c r="RP78" s="235">
        <f t="shared" ca="1" si="1197"/>
        <v>5.1435845981086484E-2</v>
      </c>
      <c r="RQ78" s="242">
        <f t="shared" ca="1" si="1198"/>
        <v>5.1435845981086484E-2</v>
      </c>
      <c r="RR78" s="241">
        <f t="shared" ca="1" si="1339"/>
        <v>1</v>
      </c>
      <c r="RS78" s="220">
        <f t="shared" ca="1" si="1199"/>
        <v>0.63426152193073515</v>
      </c>
      <c r="RT78" s="220">
        <f t="shared" ca="1" si="1200"/>
        <v>0</v>
      </c>
      <c r="RU78" s="235">
        <f t="shared" ca="1" si="1201"/>
        <v>4.8055392729564286E-2</v>
      </c>
      <c r="RV78" s="235">
        <f t="shared" ca="1" si="1202"/>
        <v>4.8055392729564286E-2</v>
      </c>
      <c r="RW78" s="242">
        <f t="shared" ca="1" si="1203"/>
        <v>4.8055392729564286E-2</v>
      </c>
      <c r="RX78" s="241">
        <f t="shared" ca="1" si="1339"/>
        <v>1</v>
      </c>
      <c r="RY78" s="220">
        <f t="shared" ca="1" si="1204"/>
        <v>0.61130062057532053</v>
      </c>
      <c r="RZ78" s="220">
        <f t="shared" ca="1" si="1205"/>
        <v>0</v>
      </c>
      <c r="SA78" s="235">
        <f t="shared" ca="1" si="1206"/>
        <v>4.4749506722088245E-2</v>
      </c>
      <c r="SB78" s="235">
        <f t="shared" ca="1" si="1207"/>
        <v>4.4749506722088245E-2</v>
      </c>
      <c r="SC78" s="242">
        <f t="shared" ca="1" si="1208"/>
        <v>4.4749506722088245E-2</v>
      </c>
      <c r="SD78" s="241">
        <f t="shared" ca="1" si="1339"/>
        <v>1</v>
      </c>
      <c r="SE78" s="220">
        <f t="shared" ca="1" si="1209"/>
        <v>0.58693540044042947</v>
      </c>
      <c r="SF78" s="220">
        <f t="shared" ca="1" si="1210"/>
        <v>0</v>
      </c>
      <c r="SG78" s="235">
        <f t="shared" ca="1" si="1211"/>
        <v>4.1512928389525854E-2</v>
      </c>
      <c r="SH78" s="235">
        <f t="shared" ca="1" si="1212"/>
        <v>4.1512928389525854E-2</v>
      </c>
      <c r="SI78" s="242">
        <f t="shared" ca="1" si="1213"/>
        <v>4.1512928389525854E-2</v>
      </c>
      <c r="SJ78" s="241">
        <f t="shared" ca="1" si="1339"/>
        <v>1</v>
      </c>
      <c r="SK78" s="220">
        <f t="shared" ca="1" si="1214"/>
        <v>0.56117421877969853</v>
      </c>
      <c r="SL78" s="220">
        <f t="shared" ca="1" si="1215"/>
        <v>0</v>
      </c>
      <c r="SM78" s="235">
        <f t="shared" ca="1" si="1216"/>
        <v>3.8348680627614658E-2</v>
      </c>
      <c r="SN78" s="235">
        <f t="shared" ca="1" si="1217"/>
        <v>3.8348680627614658E-2</v>
      </c>
      <c r="SO78" s="242">
        <f t="shared" ca="1" si="1218"/>
        <v>3.8348680627614658E-2</v>
      </c>
      <c r="SP78" s="241">
        <f t="shared" ca="1" si="808"/>
        <v>1</v>
      </c>
      <c r="SQ78" s="220">
        <f t="shared" ca="1" si="1219"/>
        <v>0.5340633310962325</v>
      </c>
      <c r="SR78" s="220">
        <f t="shared" ca="1" si="1220"/>
        <v>0</v>
      </c>
      <c r="SS78" s="235">
        <f t="shared" ca="1" si="1221"/>
        <v>3.5261852674216394E-2</v>
      </c>
      <c r="ST78" s="235">
        <f t="shared" ca="1" si="1222"/>
        <v>3.5261852674216394E-2</v>
      </c>
      <c r="SU78" s="242">
        <f t="shared" ca="1" si="1223"/>
        <v>3.5261852674216394E-2</v>
      </c>
      <c r="SV78" s="241">
        <f t="shared" ca="1" si="808"/>
        <v>1</v>
      </c>
      <c r="SW78" s="220">
        <f t="shared" ca="1" si="1224"/>
        <v>0.50563620810864218</v>
      </c>
      <c r="SX78" s="220">
        <f t="shared" ca="1" si="1225"/>
        <v>0</v>
      </c>
      <c r="SY78" s="235">
        <f t="shared" ca="1" si="1226"/>
        <v>3.2255975632920972E-2</v>
      </c>
      <c r="SZ78" s="235">
        <f t="shared" ca="1" si="1227"/>
        <v>3.2255975632920972E-2</v>
      </c>
      <c r="TA78" s="242">
        <f t="shared" ca="1" si="1228"/>
        <v>3.2255975632920972E-2</v>
      </c>
      <c r="TB78" s="241">
        <f t="shared" ca="1" si="808"/>
        <v>1</v>
      </c>
      <c r="TC78" s="220">
        <f t="shared" ca="1" si="1229"/>
        <v>0.47585575235966748</v>
      </c>
      <c r="TD78" s="220">
        <f t="shared" ca="1" si="1230"/>
        <v>0</v>
      </c>
      <c r="TE78" s="235">
        <f t="shared" ca="1" si="1231"/>
        <v>2.9329657426153458E-2</v>
      </c>
      <c r="TF78" s="235">
        <f t="shared" ca="1" si="1232"/>
        <v>2.9329657426153458E-2</v>
      </c>
      <c r="TG78" s="242">
        <f t="shared" ca="1" si="1233"/>
        <v>2.9329657426153458E-2</v>
      </c>
      <c r="TH78" s="241">
        <f t="shared" ca="1" si="808"/>
        <v>1</v>
      </c>
      <c r="TI78" s="220">
        <f t="shared" ca="1" si="1234"/>
        <v>0.4447514411066778</v>
      </c>
      <c r="TJ78" s="220">
        <f t="shared" ca="1" si="1235"/>
        <v>0</v>
      </c>
      <c r="TK78" s="235">
        <f t="shared" ca="1" si="1236"/>
        <v>2.6485530790814431E-2</v>
      </c>
      <c r="TL78" s="235">
        <f t="shared" ca="1" si="1237"/>
        <v>2.6485530790814431E-2</v>
      </c>
      <c r="TM78" s="242">
        <f t="shared" ca="1" si="1238"/>
        <v>2.6485530790814431E-2</v>
      </c>
      <c r="TN78" s="241">
        <f t="shared" ca="1" si="808"/>
        <v>1</v>
      </c>
      <c r="TO78" s="220">
        <f t="shared" ca="1" si="1239"/>
        <v>0.41251096438941365</v>
      </c>
      <c r="TP78" s="220">
        <f t="shared" ca="1" si="1240"/>
        <v>0</v>
      </c>
      <c r="TQ78" s="235">
        <f t="shared" ca="1" si="1241"/>
        <v>2.3734848481408222E-2</v>
      </c>
      <c r="TR78" s="235">
        <f t="shared" ca="1" si="1242"/>
        <v>2.3734848481408222E-2</v>
      </c>
      <c r="TS78" s="242">
        <f t="shared" ca="1" si="1243"/>
        <v>2.3734848481408222E-2</v>
      </c>
      <c r="TT78" s="241">
        <f t="shared" ca="1" si="808"/>
        <v>1</v>
      </c>
      <c r="TU78" s="220">
        <f t="shared" ca="1" si="1244"/>
        <v>0.37939128408051637</v>
      </c>
      <c r="TV78" s="220">
        <f t="shared" ca="1" si="1245"/>
        <v>0</v>
      </c>
      <c r="TW78" s="235">
        <f t="shared" ca="1" si="1246"/>
        <v>2.1091038615007652E-2</v>
      </c>
      <c r="TX78" s="235">
        <f t="shared" ca="1" si="1247"/>
        <v>2.1091038615007652E-2</v>
      </c>
      <c r="TY78" s="242">
        <f t="shared" ca="1" si="1248"/>
        <v>2.1091038615007652E-2</v>
      </c>
      <c r="TZ78" s="241">
        <f t="shared" ca="1" si="808"/>
        <v>1</v>
      </c>
      <c r="UA78" s="220">
        <f t="shared" ca="1" si="1249"/>
        <v>0.34565732866521315</v>
      </c>
      <c r="UB78" s="220">
        <f t="shared" ca="1" si="1250"/>
        <v>0</v>
      </c>
      <c r="UC78" s="235">
        <f t="shared" ca="1" si="1251"/>
        <v>1.8565901280691431E-2</v>
      </c>
      <c r="UD78" s="235">
        <f t="shared" ca="1" si="1252"/>
        <v>1.8565901280691431E-2</v>
      </c>
      <c r="UE78" s="242">
        <f t="shared" ca="1" si="1253"/>
        <v>1.8565901280691431E-2</v>
      </c>
      <c r="UF78" s="241">
        <f t="shared" ca="1" si="808"/>
        <v>1</v>
      </c>
      <c r="UG78" s="220">
        <f t="shared" ca="1" si="1254"/>
        <v>0.31158381183471112</v>
      </c>
      <c r="UH78" s="220">
        <f t="shared" ca="1" si="1255"/>
        <v>0</v>
      </c>
      <c r="UI78" s="235">
        <f t="shared" ca="1" si="1256"/>
        <v>1.6169805793281151E-2</v>
      </c>
      <c r="UJ78" s="235">
        <f t="shared" ca="1" si="1257"/>
        <v>1.6169805793281151E-2</v>
      </c>
      <c r="UK78" s="242">
        <f t="shared" ca="1" si="1258"/>
        <v>1.6169805793281151E-2</v>
      </c>
      <c r="UL78" s="241">
        <f t="shared" ca="1" si="808"/>
        <v>1</v>
      </c>
      <c r="UM78" s="220">
        <f t="shared" ca="1" si="1259"/>
        <v>0.27748470263514402</v>
      </c>
      <c r="UN78" s="220">
        <f t="shared" ca="1" si="1260"/>
        <v>0</v>
      </c>
      <c r="UO78" s="235">
        <f t="shared" ca="1" si="1261"/>
        <v>1.3913250808575896E-2</v>
      </c>
      <c r="UP78" s="235">
        <f t="shared" ca="1" si="1262"/>
        <v>1.3913250808575896E-2</v>
      </c>
      <c r="UQ78" s="242">
        <f t="shared" ca="1" si="1263"/>
        <v>1.3913250808575896E-2</v>
      </c>
      <c r="UR78" s="241">
        <f t="shared" ca="1" si="808"/>
        <v>1</v>
      </c>
      <c r="US78" s="220">
        <f t="shared" ca="1" si="1264"/>
        <v>0.24373729058536042</v>
      </c>
      <c r="UT78" s="220">
        <f t="shared" ca="1" si="1265"/>
        <v>0</v>
      </c>
      <c r="UU78" s="235">
        <f t="shared" ca="1" si="1266"/>
        <v>1.1807860056509861E-2</v>
      </c>
      <c r="UV78" s="235">
        <f t="shared" ca="1" si="1267"/>
        <v>1.1807860056509861E-2</v>
      </c>
      <c r="UW78" s="242">
        <f t="shared" ca="1" si="1268"/>
        <v>1.1807860056509861E-2</v>
      </c>
      <c r="UX78" s="241">
        <f t="shared" ca="1" si="808"/>
        <v>1</v>
      </c>
      <c r="UY78" s="220">
        <f t="shared" ca="1" si="1269"/>
        <v>0.21078985859319374</v>
      </c>
      <c r="UZ78" s="220">
        <f t="shared" ca="1" si="1270"/>
        <v>0</v>
      </c>
      <c r="VA78" s="235">
        <f t="shared" ca="1" si="1271"/>
        <v>9.866396874889936E-3</v>
      </c>
      <c r="VB78" s="235">
        <f t="shared" ca="1" si="1272"/>
        <v>9.866396874889936E-3</v>
      </c>
      <c r="VC78" s="242">
        <f t="shared" ca="1" si="1273"/>
        <v>9.866396874889936E-3</v>
      </c>
      <c r="VD78" s="241">
        <f t="shared" ca="1" si="806"/>
        <v>1</v>
      </c>
      <c r="VE78" s="220">
        <f t="shared" ca="1" si="1274"/>
        <v>0.17914840370962801</v>
      </c>
      <c r="VF78" s="220">
        <f t="shared" ca="1" si="1275"/>
        <v>0</v>
      </c>
      <c r="VG78" s="235">
        <f t="shared" ca="1" si="1276"/>
        <v>8.1017989433788233E-3</v>
      </c>
      <c r="VH78" s="235">
        <f t="shared" ca="1" si="1277"/>
        <v>8.1017989433788233E-3</v>
      </c>
      <c r="VI78" s="242">
        <f t="shared" ca="1" si="1278"/>
        <v>8.1017989433788233E-3</v>
      </c>
      <c r="VJ78" s="241">
        <f t="shared" ca="1" si="806"/>
        <v>1</v>
      </c>
      <c r="VK78" s="220">
        <f t="shared" ca="1" si="1279"/>
        <v>0.14933864677755704</v>
      </c>
      <c r="VL78" s="220">
        <f t="shared" ca="1" si="1280"/>
        <v>0</v>
      </c>
      <c r="VM78" s="235">
        <f t="shared" ca="1" si="1281"/>
        <v>6.5252984585482295E-3</v>
      </c>
      <c r="VN78" s="235">
        <f t="shared" ca="1" si="1282"/>
        <v>6.5252984585482295E-3</v>
      </c>
      <c r="VO78" s="242">
        <f t="shared" ca="1" si="1283"/>
        <v>6.5252984585482295E-3</v>
      </c>
      <c r="VP78" s="241">
        <f t="shared" ca="1" si="567"/>
        <v>1</v>
      </c>
      <c r="VQ78" s="220">
        <f t="shared" ca="1" si="1284"/>
        <v>0.12186078378642688</v>
      </c>
      <c r="VR78" s="220">
        <f t="shared" ca="1" si="1285"/>
        <v>0</v>
      </c>
      <c r="VS78" s="235">
        <f t="shared" ca="1" si="1286"/>
        <v>5.1446020464451514E-3</v>
      </c>
      <c r="VT78" s="235">
        <f t="shared" ca="1" si="1287"/>
        <v>5.1446020464451514E-3</v>
      </c>
      <c r="VU78" s="242">
        <f t="shared" ca="1" si="1288"/>
        <v>5.1446020464451514E-3</v>
      </c>
      <c r="VV78" s="241">
        <f t="shared" ca="1" si="1335"/>
        <v>1</v>
      </c>
      <c r="VW78" s="220">
        <f t="shared" ca="1" si="1289"/>
        <v>9.714071449143126E-2</v>
      </c>
      <c r="VX78" s="220">
        <f t="shared" ca="1" si="1290"/>
        <v>0</v>
      </c>
      <c r="VY78" s="235">
        <f t="shared" ca="1" si="1291"/>
        <v>3.9623128486120972E-3</v>
      </c>
      <c r="VZ78" s="235">
        <f t="shared" ca="1" si="1292"/>
        <v>3.9623128486120972E-3</v>
      </c>
      <c r="WA78" s="242">
        <f t="shared" ca="1" si="1293"/>
        <v>3.9623128486120972E-3</v>
      </c>
      <c r="WB78" s="241">
        <f t="shared" ca="1" si="1335"/>
        <v>1</v>
      </c>
      <c r="WC78" s="220">
        <f t="shared" ca="1" si="1294"/>
        <v>7.5486980683431834E-2</v>
      </c>
      <c r="WD78" s="220">
        <f t="shared" ca="1" si="1295"/>
        <v>0</v>
      </c>
      <c r="WE78" s="235">
        <f t="shared" ca="1" si="1296"/>
        <v>2.9749465982754843E-3</v>
      </c>
      <c r="WF78" s="235">
        <f t="shared" ca="1" si="1297"/>
        <v>2.9749465982754843E-3</v>
      </c>
      <c r="WG78" s="242">
        <f t="shared" ca="1" si="1298"/>
        <v>2.9749465982754843E-3</v>
      </c>
      <c r="WH78" s="241">
        <f t="shared" ca="1" si="1335"/>
        <v>1</v>
      </c>
      <c r="WI78" s="220">
        <f t="shared" ca="1" si="1299"/>
        <v>5.7061061620490225E-2</v>
      </c>
      <c r="WJ78" s="220">
        <f t="shared" ca="1" si="1300"/>
        <v>0</v>
      </c>
      <c r="WK78" s="235">
        <f t="shared" ca="1" si="1301"/>
        <v>2.1727342833971291E-3</v>
      </c>
      <c r="WL78" s="235">
        <f t="shared" ca="1" si="1302"/>
        <v>2.1727342833971291E-3</v>
      </c>
      <c r="WM78" s="242">
        <f t="shared" ca="1" si="1303"/>
        <v>2.1727342833971291E-3</v>
      </c>
      <c r="WN78" s="241">
        <f t="shared" ca="1" si="1335"/>
        <v>1</v>
      </c>
      <c r="WO78" s="220">
        <f t="shared" ca="1" si="1304"/>
        <v>4.1934687734452851E-2</v>
      </c>
      <c r="WP78" s="220">
        <f t="shared" ca="1" si="1305"/>
        <v>0</v>
      </c>
      <c r="WQ78" s="235">
        <f t="shared" ca="1" si="1306"/>
        <v>1.5427651975624165E-3</v>
      </c>
      <c r="WR78" s="235">
        <f t="shared" ca="1" si="1307"/>
        <v>1.5427651975624165E-3</v>
      </c>
      <c r="WS78" s="242">
        <f t="shared" ca="1" si="1308"/>
        <v>1.5427651975624165E-3</v>
      </c>
      <c r="WT78" s="241">
        <f t="shared" ca="1" si="1335"/>
        <v>1</v>
      </c>
      <c r="WU78" s="220">
        <f t="shared" ca="1" si="1309"/>
        <v>2.9961998908764689E-2</v>
      </c>
      <c r="WV78" s="220">
        <f t="shared" ca="1" si="1310"/>
        <v>0</v>
      </c>
      <c r="WW78" s="235">
        <f t="shared" ca="1" si="1311"/>
        <v>1.0650177696007403E-3</v>
      </c>
      <c r="WX78" s="235">
        <f t="shared" ca="1" si="1312"/>
        <v>1.0650177696007403E-3</v>
      </c>
      <c r="WY78" s="242">
        <f t="shared" ca="1" si="1313"/>
        <v>1.0650177696007403E-3</v>
      </c>
      <c r="WZ78" s="241">
        <f t="shared" ca="1" si="1335"/>
        <v>1</v>
      </c>
      <c r="XA78" s="220">
        <f t="shared" ca="1" si="1314"/>
        <v>2.0825806429510707E-2</v>
      </c>
      <c r="XB78" s="220">
        <f t="shared" ca="1" si="1315"/>
        <v>0</v>
      </c>
      <c r="XC78" s="235">
        <f t="shared" ca="1" si="1316"/>
        <v>7.1523300597822715E-4</v>
      </c>
      <c r="XD78" s="235">
        <f t="shared" ca="1" si="1317"/>
        <v>7.1523300597822715E-4</v>
      </c>
      <c r="XE78" s="242">
        <f t="shared" ca="1" si="1318"/>
        <v>7.1523300597822715E-4</v>
      </c>
      <c r="XF78" s="241">
        <f t="shared" ca="1" si="1335"/>
        <v>1</v>
      </c>
      <c r="XG78" s="220">
        <f t="shared" ca="1" si="1319"/>
        <v>1.410075784309954E-2</v>
      </c>
      <c r="XH78" s="220">
        <f t="shared" ca="1" si="1320"/>
        <v>0</v>
      </c>
      <c r="XI78" s="235">
        <f t="shared" ca="1" si="1321"/>
        <v>4.6789437576883483E-4</v>
      </c>
      <c r="XJ78" s="235">
        <f t="shared" ca="1" si="1322"/>
        <v>4.6789437576883483E-4</v>
      </c>
      <c r="XK78" s="242">
        <f t="shared" ca="1" si="1323"/>
        <v>4.6789437576883483E-4</v>
      </c>
    </row>
    <row r="79" spans="2:635" x14ac:dyDescent="0.25">
      <c r="B79" s="65">
        <f t="shared" ca="1" si="810"/>
        <v>2094</v>
      </c>
      <c r="C79" s="65" t="s">
        <v>741</v>
      </c>
      <c r="D79" s="77">
        <f t="shared" si="811"/>
        <v>0</v>
      </c>
      <c r="E79" s="77">
        <f t="shared" si="812"/>
        <v>0</v>
      </c>
      <c r="F79" s="77" t="b">
        <f t="shared" si="813"/>
        <v>0</v>
      </c>
      <c r="G79" s="77" t="b">
        <f t="shared" si="814"/>
        <v>0</v>
      </c>
      <c r="H79" s="15" t="e">
        <f t="shared" ca="1" si="815"/>
        <v>#REF!</v>
      </c>
      <c r="L79" s="326">
        <f t="shared" ca="1" si="816"/>
        <v>3.5000000000000003E-2</v>
      </c>
      <c r="M79" s="327">
        <f t="shared" ca="1" si="817"/>
        <v>3.5000000000000003E-2</v>
      </c>
      <c r="N79" s="322">
        <f t="shared" ca="1" si="809"/>
        <v>-71</v>
      </c>
      <c r="O79" s="322">
        <f t="shared" ca="1" si="818"/>
        <v>0</v>
      </c>
      <c r="P79" s="328">
        <f t="shared" ca="1" si="1324"/>
        <v>26.87829936156087</v>
      </c>
      <c r="Q79" s="328">
        <f t="shared" ca="1" si="1325"/>
        <v>26.87829936156087</v>
      </c>
      <c r="R79" s="328">
        <f t="shared" ca="1" si="1326"/>
        <v>26.87829936156087</v>
      </c>
      <c r="S79" s="329">
        <f t="shared" ca="1" si="819"/>
        <v>3.8642415640549425E-2</v>
      </c>
      <c r="T79" s="329">
        <f t="shared" ca="1" si="820"/>
        <v>3.8642415640549425E-2</v>
      </c>
      <c r="U79" s="329">
        <f t="shared" ca="1" si="821"/>
        <v>3.8642415640549425E-2</v>
      </c>
      <c r="V79" s="320" t="e">
        <f t="shared" ca="1" si="822"/>
        <v>#REF!</v>
      </c>
      <c r="W79" s="320" t="e">
        <f t="shared" ca="1" si="560"/>
        <v>#REF!</v>
      </c>
      <c r="X79" s="320" t="e">
        <f t="shared" ca="1" si="823"/>
        <v>#REF!</v>
      </c>
      <c r="Y79" s="320" t="e">
        <f ca="1">INDEX(SC_ZA_HECMLumpSum,ZAIDX)</f>
        <v>#REF!</v>
      </c>
      <c r="Z79" s="320" t="e">
        <f t="shared" ca="1" si="824"/>
        <v>#REF!</v>
      </c>
      <c r="AA79" s="320" t="e">
        <f t="shared" ca="1" si="557"/>
        <v>#REF!</v>
      </c>
      <c r="AB79" s="320" t="e">
        <f t="shared" ca="1" si="558"/>
        <v>#REF!</v>
      </c>
      <c r="AC79" s="330" t="e">
        <f t="shared" ca="1" si="559"/>
        <v>#REF!</v>
      </c>
      <c r="AD79" s="236" t="e">
        <f t="shared" ca="1" si="1327"/>
        <v>#REF!</v>
      </c>
      <c r="AE79" s="320" t="e">
        <f t="shared" ca="1" si="561"/>
        <v>#REF!</v>
      </c>
      <c r="AF79" s="320" t="e">
        <f t="shared" ca="1" si="825"/>
        <v>#REF!</v>
      </c>
      <c r="AG79" s="320" t="e">
        <f t="shared" ca="1" si="1328"/>
        <v>#REF!</v>
      </c>
      <c r="AH79" s="284" t="e">
        <f t="shared" ca="1" si="1329"/>
        <v>#REF!</v>
      </c>
      <c r="AI79" s="318" t="e">
        <f t="shared" ca="1" si="1330"/>
        <v>#REF!</v>
      </c>
      <c r="AJ79" s="331">
        <f t="shared" ca="1" si="807"/>
        <v>1</v>
      </c>
      <c r="AK79" s="220">
        <f t="shared" ca="1" si="826"/>
        <v>1</v>
      </c>
      <c r="AL79" s="220">
        <f t="shared" ca="1" si="827"/>
        <v>0</v>
      </c>
      <c r="AM79" s="235">
        <f t="shared" ca="1" si="1331"/>
        <v>1</v>
      </c>
      <c r="AN79" s="235">
        <f t="shared" ca="1" si="1332"/>
        <v>1</v>
      </c>
      <c r="AO79" s="242">
        <f t="shared" ca="1" si="1333"/>
        <v>1</v>
      </c>
      <c r="AP79" s="241">
        <f t="shared" ca="1" si="807"/>
        <v>1</v>
      </c>
      <c r="AQ79" s="220">
        <f t="shared" ca="1" si="828"/>
        <v>0.99361699999999997</v>
      </c>
      <c r="AR79" s="220">
        <f t="shared" ca="1" si="829"/>
        <v>0</v>
      </c>
      <c r="AS79" s="235">
        <f t="shared" ca="1" si="830"/>
        <v>0.96001642512077301</v>
      </c>
      <c r="AT79" s="235">
        <f t="shared" ca="1" si="831"/>
        <v>0.96001642512077301</v>
      </c>
      <c r="AU79" s="242">
        <f t="shared" ca="1" si="832"/>
        <v>0.96001642512077301</v>
      </c>
      <c r="AV79" s="241">
        <f t="shared" ref="AV79:DD86" ca="1" si="1340">IF(($B79+AV$2)&lt;SC_TargetRY,0,IF(($B79+AV$2)=SC_TargetRY,SC_AnnyPmntPr,IF(SP_AnnyTerms="Life",1,IF(($B79+AV$2)=(SC_TargetRY+SP_AnnyPeriod),SC_AnnyPmntPr-1,IF(($B79+AV$2)&gt;(SC_TargetRY+SP_AnnyPeriod),0,1)))))</f>
        <v>1</v>
      </c>
      <c r="AW79" s="220">
        <f t="shared" ca="1" si="833"/>
        <v>0.99316689149899995</v>
      </c>
      <c r="AX79" s="220">
        <f t="shared" ca="1" si="834"/>
        <v>0</v>
      </c>
      <c r="AY79" s="235">
        <f t="shared" ca="1" si="835"/>
        <v>0.92713192046395487</v>
      </c>
      <c r="AZ79" s="235">
        <f t="shared" ca="1" si="836"/>
        <v>0.92713192046395487</v>
      </c>
      <c r="BA79" s="242">
        <f t="shared" ca="1" si="837"/>
        <v>0.92713192046395487</v>
      </c>
      <c r="BB79" s="241">
        <f t="shared" ca="1" si="1340"/>
        <v>1</v>
      </c>
      <c r="BC79" s="220">
        <f t="shared" ca="1" si="838"/>
        <v>0.99288681843559723</v>
      </c>
      <c r="BD79" s="220">
        <f t="shared" ca="1" si="839"/>
        <v>0</v>
      </c>
      <c r="BE79" s="235">
        <f t="shared" ca="1" si="840"/>
        <v>0.89552702344191704</v>
      </c>
      <c r="BF79" s="235">
        <f t="shared" ca="1" si="841"/>
        <v>0.89552702344191704</v>
      </c>
      <c r="BG79" s="242">
        <f t="shared" ca="1" si="842"/>
        <v>0.89552702344191704</v>
      </c>
      <c r="BH79" s="241">
        <f t="shared" ca="1" si="1340"/>
        <v>1</v>
      </c>
      <c r="BI79" s="220">
        <f t="shared" ca="1" si="843"/>
        <v>0.99265845446735712</v>
      </c>
      <c r="BJ79" s="220">
        <f t="shared" ca="1" si="844"/>
        <v>0</v>
      </c>
      <c r="BK79" s="235">
        <f t="shared" ca="1" si="845"/>
        <v>0.86504449490485558</v>
      </c>
      <c r="BL79" s="235">
        <f t="shared" ca="1" si="846"/>
        <v>0.86504449490485558</v>
      </c>
      <c r="BM79" s="242">
        <f t="shared" ca="1" si="847"/>
        <v>0.86504449490485558</v>
      </c>
      <c r="BN79" s="241">
        <f t="shared" ca="1" si="1340"/>
        <v>1</v>
      </c>
      <c r="BO79" s="220">
        <f t="shared" ca="1" si="848"/>
        <v>0.99249069518855215</v>
      </c>
      <c r="BP79" s="220">
        <f t="shared" ca="1" si="849"/>
        <v>0</v>
      </c>
      <c r="BQ79" s="235">
        <f t="shared" ca="1" si="850"/>
        <v>0.83565053370552345</v>
      </c>
      <c r="BR79" s="235">
        <f t="shared" ca="1" si="851"/>
        <v>0.83565053370552345</v>
      </c>
      <c r="BS79" s="242">
        <f t="shared" ca="1" si="852"/>
        <v>0.83565053370552345</v>
      </c>
      <c r="BT79" s="241">
        <f t="shared" ca="1" si="1340"/>
        <v>1</v>
      </c>
      <c r="BU79" s="220">
        <f t="shared" ca="1" si="853"/>
        <v>0.99233685913079794</v>
      </c>
      <c r="BV79" s="220">
        <f t="shared" ca="1" si="854"/>
        <v>0</v>
      </c>
      <c r="BW79" s="235">
        <f t="shared" ca="1" si="855"/>
        <v>0.80726667427323584</v>
      </c>
      <c r="BX79" s="235">
        <f t="shared" ca="1" si="856"/>
        <v>0.80726667427323584</v>
      </c>
      <c r="BY79" s="242">
        <f t="shared" ca="1" si="857"/>
        <v>0.80726667427323584</v>
      </c>
      <c r="BZ79" s="241">
        <f t="shared" ca="1" si="1340"/>
        <v>1</v>
      </c>
      <c r="CA79" s="220">
        <f t="shared" ca="1" si="858"/>
        <v>0.992192970286224</v>
      </c>
      <c r="CB79" s="220">
        <f t="shared" ca="1" si="859"/>
        <v>0</v>
      </c>
      <c r="CC79" s="235">
        <f t="shared" ca="1" si="860"/>
        <v>0.7798547058990013</v>
      </c>
      <c r="CD79" s="235">
        <f t="shared" ca="1" si="861"/>
        <v>0.7798547058990013</v>
      </c>
      <c r="CE79" s="242">
        <f t="shared" ca="1" si="862"/>
        <v>0.7798547058990013</v>
      </c>
      <c r="CF79" s="241">
        <f t="shared" ca="1" si="1340"/>
        <v>1</v>
      </c>
      <c r="CG79" s="220">
        <f t="shared" ca="1" si="863"/>
        <v>0.9920590242352354</v>
      </c>
      <c r="CH79" s="220">
        <f t="shared" ca="1" si="864"/>
        <v>0</v>
      </c>
      <c r="CI79" s="235">
        <f t="shared" ca="1" si="865"/>
        <v>0.75338108745285515</v>
      </c>
      <c r="CJ79" s="235">
        <f t="shared" ca="1" si="866"/>
        <v>0.75338108745285515</v>
      </c>
      <c r="CK79" s="242">
        <f t="shared" ca="1" si="867"/>
        <v>0.75338108745285515</v>
      </c>
      <c r="CL79" s="241">
        <f t="shared" ca="1" si="1340"/>
        <v>1</v>
      </c>
      <c r="CM79" s="220">
        <f t="shared" ca="1" si="868"/>
        <v>0.99193997715232718</v>
      </c>
      <c r="CN79" s="220">
        <f t="shared" ca="1" si="869"/>
        <v>0</v>
      </c>
      <c r="CO79" s="235">
        <f t="shared" ca="1" si="870"/>
        <v>0.72781708378972065</v>
      </c>
      <c r="CP79" s="235">
        <f t="shared" ca="1" si="871"/>
        <v>0.72781708378972065</v>
      </c>
      <c r="CQ79" s="242">
        <f t="shared" ca="1" si="872"/>
        <v>0.72781708378972065</v>
      </c>
      <c r="CR79" s="241">
        <f t="shared" ca="1" si="1340"/>
        <v>1</v>
      </c>
      <c r="CS79" s="220">
        <f t="shared" ca="1" si="873"/>
        <v>0.99183582345472621</v>
      </c>
      <c r="CT79" s="220">
        <f t="shared" ca="1" si="874"/>
        <v>0</v>
      </c>
      <c r="CU79" s="235">
        <f t="shared" ca="1" si="875"/>
        <v>0.70313107535837949</v>
      </c>
      <c r="CV79" s="235">
        <f t="shared" ca="1" si="876"/>
        <v>0.70313107535837949</v>
      </c>
      <c r="CW79" s="242">
        <f t="shared" ca="1" si="877"/>
        <v>0.70313107535837949</v>
      </c>
      <c r="CX79" s="241">
        <f t="shared" ca="1" si="1340"/>
        <v>1</v>
      </c>
      <c r="CY79" s="220">
        <f t="shared" ca="1" si="878"/>
        <v>0.99174259088732142</v>
      </c>
      <c r="CZ79" s="220">
        <f t="shared" ca="1" si="879"/>
        <v>0</v>
      </c>
      <c r="DA79" s="235">
        <f t="shared" ca="1" si="880"/>
        <v>0.6792898367510104</v>
      </c>
      <c r="DB79" s="235">
        <f t="shared" ca="1" si="881"/>
        <v>0.6792898367510104</v>
      </c>
      <c r="DC79" s="242">
        <f t="shared" ca="1" si="882"/>
        <v>0.6792898367510104</v>
      </c>
      <c r="DD79" s="241">
        <f t="shared" ca="1" si="1340"/>
        <v>1</v>
      </c>
      <c r="DE79" s="220">
        <f t="shared" ca="1" si="883"/>
        <v>0.99164440837082357</v>
      </c>
      <c r="DF79" s="220">
        <f t="shared" ca="1" si="884"/>
        <v>0</v>
      </c>
      <c r="DG79" s="235">
        <f t="shared" ca="1" si="885"/>
        <v>0.65625370730161559</v>
      </c>
      <c r="DH79" s="235">
        <f t="shared" ca="1" si="886"/>
        <v>0.65625370730161559</v>
      </c>
      <c r="DI79" s="242">
        <f t="shared" ca="1" si="887"/>
        <v>0.65625370730161559</v>
      </c>
      <c r="DJ79" s="241">
        <f t="shared" ca="1" si="888"/>
        <v>1</v>
      </c>
      <c r="DK79" s="220">
        <f t="shared" ca="1" si="889"/>
        <v>0.9915115280201019</v>
      </c>
      <c r="DL79" s="220">
        <f t="shared" ca="1" si="890"/>
        <v>0</v>
      </c>
      <c r="DM79" s="235">
        <f t="shared" ca="1" si="891"/>
        <v>0.63397658870032592</v>
      </c>
      <c r="DN79" s="235">
        <f t="shared" ca="1" si="892"/>
        <v>0.63397658870032592</v>
      </c>
      <c r="DO79" s="242">
        <f t="shared" ca="1" si="893"/>
        <v>0.63397658870032592</v>
      </c>
      <c r="DP79" s="241">
        <f t="shared" ca="1" si="888"/>
        <v>1</v>
      </c>
      <c r="DQ79" s="220">
        <f t="shared" ca="1" si="894"/>
        <v>0.99130628513380181</v>
      </c>
      <c r="DR79" s="220">
        <f t="shared" ca="1" si="895"/>
        <v>0</v>
      </c>
      <c r="DS79" s="235">
        <f t="shared" ca="1" si="896"/>
        <v>0.61241097154247814</v>
      </c>
      <c r="DT79" s="235">
        <f t="shared" ca="1" si="897"/>
        <v>0.61241097154247814</v>
      </c>
      <c r="DU79" s="242">
        <f t="shared" ca="1" si="898"/>
        <v>0.61241097154247814</v>
      </c>
      <c r="DV79" s="241">
        <f t="shared" ca="1" si="888"/>
        <v>1</v>
      </c>
      <c r="DW79" s="220">
        <f t="shared" ca="1" si="899"/>
        <v>0.9909999714916955</v>
      </c>
      <c r="DX79" s="220">
        <f t="shared" ca="1" si="900"/>
        <v>0</v>
      </c>
      <c r="DY79" s="235">
        <f t="shared" ca="1" si="901"/>
        <v>0.59151858604084218</v>
      </c>
      <c r="DZ79" s="235">
        <f t="shared" ca="1" si="902"/>
        <v>0.59151858604084218</v>
      </c>
      <c r="EA79" s="242">
        <f t="shared" ca="1" si="903"/>
        <v>0.59151858604084218</v>
      </c>
      <c r="EB79" s="241">
        <f t="shared" ca="1" si="888"/>
        <v>1</v>
      </c>
      <c r="EC79" s="220">
        <f t="shared" ca="1" si="904"/>
        <v>0.99058474250364048</v>
      </c>
      <c r="ED79" s="220">
        <f t="shared" ca="1" si="905"/>
        <v>0</v>
      </c>
      <c r="EE79" s="235">
        <f t="shared" ca="1" si="906"/>
        <v>0.57127607705632</v>
      </c>
      <c r="EF79" s="235">
        <f t="shared" ca="1" si="907"/>
        <v>0.57127607705632</v>
      </c>
      <c r="EG79" s="242">
        <f t="shared" ca="1" si="908"/>
        <v>0.57127607705632</v>
      </c>
      <c r="EH79" s="241">
        <f t="shared" ca="1" si="888"/>
        <v>1</v>
      </c>
      <c r="EI79" s="220">
        <f t="shared" ca="1" si="909"/>
        <v>0.99005973259011348</v>
      </c>
      <c r="EJ79" s="220">
        <f t="shared" ca="1" si="910"/>
        <v>0</v>
      </c>
      <c r="EK79" s="235">
        <f t="shared" ca="1" si="911"/>
        <v>0.55166502486519819</v>
      </c>
      <c r="EL79" s="235">
        <f t="shared" ca="1" si="912"/>
        <v>0.55166502486519819</v>
      </c>
      <c r="EM79" s="242">
        <f t="shared" ca="1" si="913"/>
        <v>0.55166502486519819</v>
      </c>
      <c r="EN79" s="241">
        <f t="shared" ca="1" si="888"/>
        <v>1</v>
      </c>
      <c r="EO79" s="220">
        <f t="shared" ca="1" si="914"/>
        <v>0.98941124346526699</v>
      </c>
      <c r="EP79" s="220">
        <f t="shared" ca="1" si="915"/>
        <v>0</v>
      </c>
      <c r="EQ79" s="235">
        <f t="shared" ca="1" si="916"/>
        <v>0.53266056451585653</v>
      </c>
      <c r="ER79" s="235">
        <f t="shared" ca="1" si="917"/>
        <v>0.53266056451585653</v>
      </c>
      <c r="ES79" s="242">
        <f t="shared" ca="1" si="918"/>
        <v>0.53266056451585653</v>
      </c>
      <c r="ET79" s="241">
        <f t="shared" ca="1" si="888"/>
        <v>1</v>
      </c>
      <c r="EU79" s="220">
        <f t="shared" ca="1" si="919"/>
        <v>0.98862861917168599</v>
      </c>
      <c r="EV79" s="220">
        <f t="shared" ca="1" si="920"/>
        <v>0</v>
      </c>
      <c r="EW79" s="235">
        <f t="shared" ca="1" si="921"/>
        <v>0.51424080194137645</v>
      </c>
      <c r="EX79" s="235">
        <f t="shared" ca="1" si="922"/>
        <v>0.51424080194137645</v>
      </c>
      <c r="EY79" s="242">
        <f t="shared" ca="1" si="923"/>
        <v>0.51424080194137645</v>
      </c>
      <c r="EZ79" s="241">
        <f t="shared" ca="1" si="888"/>
        <v>1</v>
      </c>
      <c r="FA79" s="220">
        <f t="shared" ca="1" si="924"/>
        <v>0.98770524004137961</v>
      </c>
      <c r="FB79" s="220">
        <f t="shared" ca="1" si="925"/>
        <v>0</v>
      </c>
      <c r="FC79" s="235">
        <f t="shared" ca="1" si="926"/>
        <v>0.49638695751919149</v>
      </c>
      <c r="FD79" s="235">
        <f t="shared" ca="1" si="927"/>
        <v>0.49638695751919149</v>
      </c>
      <c r="FE79" s="242">
        <f t="shared" ca="1" si="928"/>
        <v>0.49638695751919149</v>
      </c>
      <c r="FF79" s="241">
        <f t="shared" ca="1" si="888"/>
        <v>1</v>
      </c>
      <c r="FG79" s="220">
        <f t="shared" ca="1" si="929"/>
        <v>0.98663357985593469</v>
      </c>
      <c r="FH79" s="220">
        <f t="shared" ca="1" si="930"/>
        <v>0</v>
      </c>
      <c r="FI79" s="235">
        <f t="shared" ca="1" si="931"/>
        <v>0.4790805581355394</v>
      </c>
      <c r="FJ79" s="235">
        <f t="shared" ca="1" si="932"/>
        <v>0.4790805581355394</v>
      </c>
      <c r="FK79" s="242">
        <f t="shared" ca="1" si="933"/>
        <v>0.4790805581355394</v>
      </c>
      <c r="FL79" s="241">
        <f t="shared" ca="1" si="888"/>
        <v>1</v>
      </c>
      <c r="FM79" s="220">
        <f t="shared" ca="1" si="934"/>
        <v>0.98542199381987161</v>
      </c>
      <c r="FN79" s="220">
        <f t="shared" ca="1" si="935"/>
        <v>0</v>
      </c>
      <c r="FO79" s="235">
        <f t="shared" ca="1" si="936"/>
        <v>0.46231134996149653</v>
      </c>
      <c r="FP79" s="235">
        <f t="shared" ca="1" si="937"/>
        <v>0.46231134996149653</v>
      </c>
      <c r="FQ79" s="242">
        <f t="shared" ca="1" si="938"/>
        <v>0.46231134996149653</v>
      </c>
      <c r="FR79" s="241">
        <f t="shared" ca="1" si="888"/>
        <v>1</v>
      </c>
      <c r="FS79" s="220">
        <f t="shared" ca="1" si="939"/>
        <v>0.98410251377014679</v>
      </c>
      <c r="FT79" s="220">
        <f t="shared" ca="1" si="940"/>
        <v>0</v>
      </c>
      <c r="FU79" s="235">
        <f t="shared" ca="1" si="941"/>
        <v>0.44607953146270346</v>
      </c>
      <c r="FV79" s="235">
        <f t="shared" ca="1" si="942"/>
        <v>0.44607953146270346</v>
      </c>
      <c r="FW79" s="242">
        <f t="shared" ca="1" si="943"/>
        <v>0.44607953146270346</v>
      </c>
      <c r="FX79" s="241">
        <f t="shared" ca="1" si="801"/>
        <v>1</v>
      </c>
      <c r="FY79" s="220">
        <f t="shared" ca="1" si="944"/>
        <v>0.98272181794332725</v>
      </c>
      <c r="FZ79" s="220">
        <f t="shared" ca="1" si="945"/>
        <v>0</v>
      </c>
      <c r="GA79" s="235">
        <f t="shared" ca="1" si="946"/>
        <v>0.43039003080199167</v>
      </c>
      <c r="GB79" s="235">
        <f t="shared" ca="1" si="947"/>
        <v>0.43039003080199167</v>
      </c>
      <c r="GC79" s="242">
        <f t="shared" ca="1" si="948"/>
        <v>0.43039003080199167</v>
      </c>
      <c r="GD79" s="241">
        <f t="shared" ca="1" si="795"/>
        <v>1</v>
      </c>
      <c r="GE79" s="220">
        <f t="shared" ca="1" si="949"/>
        <v>0.98131357757821447</v>
      </c>
      <c r="GF79" s="220">
        <f t="shared" ca="1" si="950"/>
        <v>0</v>
      </c>
      <c r="GG79" s="235">
        <f t="shared" ca="1" si="951"/>
        <v>0.41523988588198307</v>
      </c>
      <c r="GH79" s="235">
        <f t="shared" ca="1" si="952"/>
        <v>0.41523988588198307</v>
      </c>
      <c r="GI79" s="242">
        <f t="shared" ca="1" si="953"/>
        <v>0.41523988588198307</v>
      </c>
      <c r="GJ79" s="241">
        <f t="shared" ca="1" si="795"/>
        <v>1</v>
      </c>
      <c r="GK79" s="220">
        <f t="shared" ca="1" si="954"/>
        <v>0.97988969157714845</v>
      </c>
      <c r="GL79" s="220">
        <f t="shared" ca="1" si="955"/>
        <v>0</v>
      </c>
      <c r="GM79" s="235">
        <f t="shared" ca="1" si="956"/>
        <v>0.40061581913774713</v>
      </c>
      <c r="GN79" s="235">
        <f t="shared" ca="1" si="957"/>
        <v>0.40061581913774713</v>
      </c>
      <c r="GO79" s="242">
        <f t="shared" ca="1" si="958"/>
        <v>0.40061581913774713</v>
      </c>
      <c r="GP79" s="241">
        <f t="shared" ref="GP79:IX86" ca="1" si="1341">IF(($B79+GP$2)&lt;SC_TargetRY,0,IF(($B79+GP$2)=SC_TargetRY,SC_AnnyPmntPr,IF(SP_AnnyTerms="Life",1,IF(($B79+GP$2)=(SC_TargetRY+SP_AnnyPeriod),SC_AnnyPmntPr-1,IF(($B79+GP$2)&gt;(SC_TargetRY+SP_AnnyPeriod),0,1)))))</f>
        <v>1</v>
      </c>
      <c r="GQ79" s="220">
        <f t="shared" ca="1" si="959"/>
        <v>0.9784443542820721</v>
      </c>
      <c r="GR79" s="220">
        <f t="shared" ca="1" si="960"/>
        <v>0</v>
      </c>
      <c r="GS79" s="235">
        <f t="shared" ca="1" si="961"/>
        <v>0.38649749836185404</v>
      </c>
      <c r="GT79" s="235">
        <f t="shared" ca="1" si="962"/>
        <v>0.38649749836185404</v>
      </c>
      <c r="GU79" s="242">
        <f t="shared" ca="1" si="963"/>
        <v>0.38649749836185404</v>
      </c>
      <c r="GV79" s="241">
        <f t="shared" ca="1" si="1341"/>
        <v>1</v>
      </c>
      <c r="GW79" s="220">
        <f t="shared" ca="1" si="964"/>
        <v>0.97697473086194042</v>
      </c>
      <c r="GX79" s="220">
        <f t="shared" ca="1" si="965"/>
        <v>0</v>
      </c>
      <c r="GY79" s="235">
        <f t="shared" ca="1" si="966"/>
        <v>0.37286664649209134</v>
      </c>
      <c r="GZ79" s="235">
        <f t="shared" ca="1" si="967"/>
        <v>0.37286664649209134</v>
      </c>
      <c r="HA79" s="242">
        <f t="shared" ca="1" si="968"/>
        <v>0.37286664649209134</v>
      </c>
      <c r="HB79" s="241">
        <f t="shared" ca="1" si="1341"/>
        <v>1</v>
      </c>
      <c r="HC79" s="220">
        <f t="shared" ca="1" si="969"/>
        <v>0.97547214372587476</v>
      </c>
      <c r="HD79" s="220">
        <f t="shared" ca="1" si="970"/>
        <v>0</v>
      </c>
      <c r="HE79" s="235">
        <f t="shared" ca="1" si="971"/>
        <v>0.35970355322684694</v>
      </c>
      <c r="HF79" s="235">
        <f t="shared" ca="1" si="972"/>
        <v>0.35970355322684694</v>
      </c>
      <c r="HG79" s="242">
        <f t="shared" ca="1" si="973"/>
        <v>0.35970355322684694</v>
      </c>
      <c r="HH79" s="241">
        <f t="shared" ca="1" si="1341"/>
        <v>1</v>
      </c>
      <c r="HI79" s="220">
        <f t="shared" ca="1" si="974"/>
        <v>0.9739299222666441</v>
      </c>
      <c r="HJ79" s="220">
        <f t="shared" ca="1" si="975"/>
        <v>0</v>
      </c>
      <c r="HK79" s="235">
        <f t="shared" ca="1" si="976"/>
        <v>0.34699020474318382</v>
      </c>
      <c r="HL79" s="235">
        <f t="shared" ca="1" si="977"/>
        <v>0.34699020474318382</v>
      </c>
      <c r="HM79" s="242">
        <f t="shared" ca="1" si="978"/>
        <v>0.34699020474318382</v>
      </c>
      <c r="HN79" s="241">
        <f t="shared" ca="1" si="1341"/>
        <v>1</v>
      </c>
      <c r="HO79" s="220">
        <f t="shared" ca="1" si="979"/>
        <v>0.97234631221303847</v>
      </c>
      <c r="HP79" s="220">
        <f t="shared" ca="1" si="980"/>
        <v>0</v>
      </c>
      <c r="HQ79" s="235">
        <f t="shared" ca="1" si="981"/>
        <v>0.33471110982634922</v>
      </c>
      <c r="HR79" s="235">
        <f t="shared" ca="1" si="982"/>
        <v>0.33471110982634922</v>
      </c>
      <c r="HS79" s="242">
        <f t="shared" ca="1" si="983"/>
        <v>0.33471110982634922</v>
      </c>
      <c r="HT79" s="241">
        <f t="shared" ca="1" si="1341"/>
        <v>1</v>
      </c>
      <c r="HU79" s="220">
        <f t="shared" ca="1" si="984"/>
        <v>0.97072346621795491</v>
      </c>
      <c r="HV79" s="220">
        <f t="shared" ca="1" si="985"/>
        <v>0</v>
      </c>
      <c r="HW79" s="235">
        <f t="shared" ca="1" si="986"/>
        <v>0.32285263476719722</v>
      </c>
      <c r="HX79" s="235">
        <f t="shared" ca="1" si="987"/>
        <v>0.32285263476719722</v>
      </c>
      <c r="HY79" s="242">
        <f t="shared" ca="1" si="988"/>
        <v>0.32285263476719722</v>
      </c>
      <c r="HZ79" s="241">
        <f t="shared" ca="1" si="1341"/>
        <v>1</v>
      </c>
      <c r="IA79" s="220">
        <f t="shared" ca="1" si="989"/>
        <v>0.96906158764378969</v>
      </c>
      <c r="IB79" s="220">
        <f t="shared" ca="1" si="990"/>
        <v>0</v>
      </c>
      <c r="IC79" s="235">
        <f t="shared" ca="1" si="991"/>
        <v>0.31140088024780266</v>
      </c>
      <c r="ID79" s="235">
        <f t="shared" ca="1" si="992"/>
        <v>0.31140088024780266</v>
      </c>
      <c r="IE79" s="242">
        <f t="shared" ca="1" si="993"/>
        <v>0.31140088024780266</v>
      </c>
      <c r="IF79" s="241">
        <f t="shared" ca="1" si="1341"/>
        <v>1</v>
      </c>
      <c r="IG79" s="220">
        <f t="shared" ca="1" si="994"/>
        <v>0.96736088455747493</v>
      </c>
      <c r="IH79" s="220">
        <f t="shared" ca="1" si="995"/>
        <v>0</v>
      </c>
      <c r="II79" s="235">
        <f t="shared" ca="1" si="996"/>
        <v>0.30034238811880948</v>
      </c>
      <c r="IJ79" s="235">
        <f t="shared" ca="1" si="997"/>
        <v>0.30034238811880948</v>
      </c>
      <c r="IK79" s="242">
        <f t="shared" ca="1" si="998"/>
        <v>0.30034238811880948</v>
      </c>
      <c r="IL79" s="241">
        <f t="shared" ca="1" si="1341"/>
        <v>1</v>
      </c>
      <c r="IM79" s="220">
        <f t="shared" ca="1" si="999"/>
        <v>0.96561963496527148</v>
      </c>
      <c r="IN79" s="220">
        <f t="shared" ca="1" si="1000"/>
        <v>0</v>
      </c>
      <c r="IO79" s="235">
        <f t="shared" ca="1" si="1001"/>
        <v>0.28966354765236296</v>
      </c>
      <c r="IP79" s="235">
        <f t="shared" ca="1" si="1002"/>
        <v>0.28966354765236296</v>
      </c>
      <c r="IQ79" s="242">
        <f t="shared" ca="1" si="1003"/>
        <v>0.28966354765236296</v>
      </c>
      <c r="IR79" s="241">
        <f t="shared" ca="1" si="1341"/>
        <v>1</v>
      </c>
      <c r="IS79" s="220">
        <f t="shared" ca="1" si="1004"/>
        <v>0.96382841054241086</v>
      </c>
      <c r="IT79" s="220">
        <f t="shared" ca="1" si="1005"/>
        <v>0</v>
      </c>
      <c r="IU79" s="235">
        <f t="shared" ca="1" si="1006"/>
        <v>0.27934900654248102</v>
      </c>
      <c r="IV79" s="235">
        <f t="shared" ca="1" si="1007"/>
        <v>0.27934900654248102</v>
      </c>
      <c r="IW79" s="242">
        <f t="shared" ca="1" si="1008"/>
        <v>0.27934900654248102</v>
      </c>
      <c r="IX79" s="241">
        <f t="shared" ca="1" si="1341"/>
        <v>1</v>
      </c>
      <c r="IY79" s="220">
        <f t="shared" ca="1" si="1009"/>
        <v>0.9619778599941694</v>
      </c>
      <c r="IZ79" s="220">
        <f t="shared" ca="1" si="1010"/>
        <v>0</v>
      </c>
      <c r="JA79" s="235">
        <f t="shared" ca="1" si="1011"/>
        <v>0.26938420913035699</v>
      </c>
      <c r="JB79" s="235">
        <f t="shared" ca="1" si="1012"/>
        <v>0.26938420913035699</v>
      </c>
      <c r="JC79" s="242">
        <f t="shared" ca="1" si="1013"/>
        <v>0.26938420913035699</v>
      </c>
      <c r="JD79" s="241">
        <f t="shared" ca="1" si="1336"/>
        <v>1</v>
      </c>
      <c r="JE79" s="220">
        <f t="shared" ca="1" si="1014"/>
        <v>0.96006544800850102</v>
      </c>
      <c r="JF79" s="220">
        <f t="shared" ca="1" si="1015"/>
        <v>0</v>
      </c>
      <c r="JG79" s="235">
        <f t="shared" ca="1" si="1016"/>
        <v>0.25975717229237277</v>
      </c>
      <c r="JH79" s="235">
        <f t="shared" ca="1" si="1017"/>
        <v>0.25975717229237277</v>
      </c>
      <c r="JI79" s="242">
        <f t="shared" ca="1" si="1018"/>
        <v>0.25975717229237277</v>
      </c>
      <c r="JJ79" s="241">
        <f t="shared" ca="1" si="1336"/>
        <v>1</v>
      </c>
      <c r="JK79" s="220">
        <f t="shared" ca="1" si="1019"/>
        <v>0.9580877131856036</v>
      </c>
      <c r="JL79" s="220">
        <f t="shared" ca="1" si="1020"/>
        <v>0</v>
      </c>
      <c r="JM79" s="235">
        <f t="shared" ca="1" si="1021"/>
        <v>0.25045610871251262</v>
      </c>
      <c r="JN79" s="235">
        <f t="shared" ca="1" si="1022"/>
        <v>0.25045610871251262</v>
      </c>
      <c r="JO79" s="242">
        <f t="shared" ca="1" si="1023"/>
        <v>0.25045610871251262</v>
      </c>
      <c r="JP79" s="241">
        <f t="shared" ref="JP79:LX86" ca="1" si="1342">IF(($B79+JP$2)&lt;SC_TargetRY,0,IF(($B79+JP$2)=SC_TargetRY,SC_AnnyPmntPr,IF(SP_AnnyTerms="Life",1,IF(($B79+JP$2)=(SC_TargetRY+SP_AnnyPeriod),SC_AnnyPmntPr-1,IF(($B79+JP$2)&gt;(SC_TargetRY+SP_AnnyPeriod),0,1)))))</f>
        <v>1</v>
      </c>
      <c r="JQ79" s="220">
        <f t="shared" ca="1" si="1024"/>
        <v>0.95603644739167326</v>
      </c>
      <c r="JR79" s="220">
        <f t="shared" ca="1" si="1025"/>
        <v>0</v>
      </c>
      <c r="JS79" s="235">
        <f t="shared" ca="1" si="1026"/>
        <v>0.24146848520169967</v>
      </c>
      <c r="JT79" s="235">
        <f t="shared" ca="1" si="1027"/>
        <v>0.24146848520169967</v>
      </c>
      <c r="JU79" s="242">
        <f t="shared" ca="1" si="1028"/>
        <v>0.24146848520169967</v>
      </c>
      <c r="JV79" s="241">
        <f t="shared" ca="1" si="1342"/>
        <v>1</v>
      </c>
      <c r="JW79" s="220">
        <f t="shared" ca="1" si="1029"/>
        <v>0.95389492574951584</v>
      </c>
      <c r="JX79" s="220">
        <f t="shared" ca="1" si="1030"/>
        <v>0</v>
      </c>
      <c r="JY79" s="235">
        <f t="shared" ca="1" si="1031"/>
        <v>0.23278028579212359</v>
      </c>
      <c r="JZ79" s="235">
        <f t="shared" ca="1" si="1032"/>
        <v>0.23278028579212359</v>
      </c>
      <c r="KA79" s="242">
        <f t="shared" ca="1" si="1033"/>
        <v>0.23278028579212359</v>
      </c>
      <c r="KB79" s="241">
        <f t="shared" ca="1" si="1342"/>
        <v>1</v>
      </c>
      <c r="KC79" s="220">
        <f t="shared" ca="1" si="1034"/>
        <v>0.95164182593489555</v>
      </c>
      <c r="KD79" s="220">
        <f t="shared" ca="1" si="1035"/>
        <v>0</v>
      </c>
      <c r="KE79" s="235">
        <f t="shared" ca="1" si="1036"/>
        <v>0.22437725483776094</v>
      </c>
      <c r="KF79" s="235">
        <f t="shared" ca="1" si="1037"/>
        <v>0.22437725483776094</v>
      </c>
      <c r="KG79" s="242">
        <f t="shared" ca="1" si="1038"/>
        <v>0.22437725483776094</v>
      </c>
      <c r="KH79" s="241">
        <f t="shared" ca="1" si="1342"/>
        <v>1</v>
      </c>
      <c r="KI79" s="220">
        <f t="shared" ca="1" si="1039"/>
        <v>0.94925415659362489</v>
      </c>
      <c r="KJ79" s="220">
        <f t="shared" ca="1" si="1040"/>
        <v>0</v>
      </c>
      <c r="KK79" s="235">
        <f t="shared" ca="1" si="1041"/>
        <v>0.21624569304866956</v>
      </c>
      <c r="KL79" s="235">
        <f t="shared" ca="1" si="1042"/>
        <v>0.21624569304866956</v>
      </c>
      <c r="KM79" s="242">
        <f t="shared" ca="1" si="1043"/>
        <v>0.21624569304866956</v>
      </c>
      <c r="KN79" s="241">
        <f t="shared" ca="1" si="1342"/>
        <v>1</v>
      </c>
      <c r="KO79" s="220">
        <f t="shared" ca="1" si="1044"/>
        <v>0.94670635843732753</v>
      </c>
      <c r="KP79" s="220">
        <f t="shared" ca="1" si="1045"/>
        <v>0</v>
      </c>
      <c r="KQ79" s="235">
        <f t="shared" ca="1" si="1046"/>
        <v>0.2083722604913304</v>
      </c>
      <c r="KR79" s="235">
        <f t="shared" ca="1" si="1047"/>
        <v>0.2083722604913304</v>
      </c>
      <c r="KS79" s="242">
        <f t="shared" ca="1" si="1048"/>
        <v>0.2083722604913304</v>
      </c>
      <c r="KT79" s="241">
        <f t="shared" ca="1" si="1342"/>
        <v>1</v>
      </c>
      <c r="KU79" s="220">
        <f t="shared" ca="1" si="1049"/>
        <v>0.94397037706144371</v>
      </c>
      <c r="KV79" s="220">
        <f t="shared" ca="1" si="1050"/>
        <v>0</v>
      </c>
      <c r="KW79" s="235">
        <f t="shared" ca="1" si="1051"/>
        <v>0.20074402382464779</v>
      </c>
      <c r="KX79" s="235">
        <f t="shared" ca="1" si="1052"/>
        <v>0.20074402382464779</v>
      </c>
      <c r="KY79" s="242">
        <f t="shared" ca="1" si="1053"/>
        <v>0.20074402382464779</v>
      </c>
      <c r="KZ79" s="241">
        <f t="shared" ca="1" si="1342"/>
        <v>1</v>
      </c>
      <c r="LA79" s="220">
        <f t="shared" ca="1" si="1054"/>
        <v>0.94102424551463493</v>
      </c>
      <c r="LB79" s="220">
        <f t="shared" ca="1" si="1055"/>
        <v>0</v>
      </c>
      <c r="LC79" s="235">
        <f t="shared" ca="1" si="1056"/>
        <v>0.19335024321380778</v>
      </c>
      <c r="LD79" s="235">
        <f t="shared" ca="1" si="1057"/>
        <v>0.19335024321380778</v>
      </c>
      <c r="LE79" s="242">
        <f t="shared" ca="1" si="1058"/>
        <v>0.19335024321380778</v>
      </c>
      <c r="LF79" s="241">
        <f t="shared" ca="1" si="1342"/>
        <v>1</v>
      </c>
      <c r="LG79" s="220">
        <f t="shared" ca="1" si="1059"/>
        <v>0.93783793741932242</v>
      </c>
      <c r="LH79" s="220">
        <f t="shared" ca="1" si="1060"/>
        <v>0</v>
      </c>
      <c r="LI79" s="235">
        <f t="shared" ca="1" si="1061"/>
        <v>0.18617928433844047</v>
      </c>
      <c r="LJ79" s="235">
        <f t="shared" ca="1" si="1062"/>
        <v>0.18617928433844047</v>
      </c>
      <c r="LK79" s="242">
        <f t="shared" ca="1" si="1063"/>
        <v>0.18617928433844047</v>
      </c>
      <c r="LL79" s="241">
        <f t="shared" ca="1" si="1342"/>
        <v>1</v>
      </c>
      <c r="LM79" s="220">
        <f t="shared" ca="1" si="1064"/>
        <v>0.93436137218530901</v>
      </c>
      <c r="LN79" s="220">
        <f t="shared" ca="1" si="1065"/>
        <v>0</v>
      </c>
      <c r="LO79" s="235">
        <f t="shared" ca="1" si="1066"/>
        <v>0.17921653887091585</v>
      </c>
      <c r="LP79" s="235">
        <f t="shared" ca="1" si="1067"/>
        <v>0.17921653887091585</v>
      </c>
      <c r="LQ79" s="242">
        <f t="shared" ca="1" si="1068"/>
        <v>0.17921653887091585</v>
      </c>
      <c r="LR79" s="241">
        <f t="shared" ca="1" si="1342"/>
        <v>1</v>
      </c>
      <c r="LS79" s="220">
        <f t="shared" ca="1" si="1069"/>
        <v>0.93053889981169891</v>
      </c>
      <c r="LT79" s="220">
        <f t="shared" ca="1" si="1070"/>
        <v>0</v>
      </c>
      <c r="LU79" s="235">
        <f t="shared" ca="1" si="1071"/>
        <v>0.17244769469603377</v>
      </c>
      <c r="LV79" s="235">
        <f t="shared" ca="1" si="1072"/>
        <v>0.17244769469603377</v>
      </c>
      <c r="LW79" s="242">
        <f t="shared" ca="1" si="1073"/>
        <v>0.17244769469603377</v>
      </c>
      <c r="LX79" s="241">
        <f t="shared" ca="1" si="1342"/>
        <v>1</v>
      </c>
      <c r="LY79" s="220">
        <f t="shared" ca="1" si="1074"/>
        <v>0.92632262805665211</v>
      </c>
      <c r="LZ79" s="220">
        <f t="shared" ca="1" si="1075"/>
        <v>0</v>
      </c>
      <c r="MA79" s="235">
        <f t="shared" ca="1" si="1076"/>
        <v>0.16586119245542613</v>
      </c>
      <c r="MB79" s="235">
        <f t="shared" ca="1" si="1077"/>
        <v>0.16586119245542613</v>
      </c>
      <c r="MC79" s="242">
        <f t="shared" ca="1" si="1078"/>
        <v>0.16586119245542613</v>
      </c>
      <c r="MD79" s="241">
        <f t="shared" ca="1" si="1337"/>
        <v>1</v>
      </c>
      <c r="ME79" s="220">
        <f t="shared" ca="1" si="1079"/>
        <v>0.92167897272220412</v>
      </c>
      <c r="MF79" s="220">
        <f t="shared" ca="1" si="1080"/>
        <v>0</v>
      </c>
      <c r="MG79" s="235">
        <f t="shared" ca="1" si="1081"/>
        <v>0.15944901478033538</v>
      </c>
      <c r="MH79" s="235">
        <f t="shared" ca="1" si="1082"/>
        <v>0.15944901478033538</v>
      </c>
      <c r="MI79" s="242">
        <f t="shared" ca="1" si="1083"/>
        <v>0.15944901478033538</v>
      </c>
      <c r="MJ79" s="241">
        <f t="shared" ca="1" si="1337"/>
        <v>1</v>
      </c>
      <c r="MK79" s="220">
        <f t="shared" ca="1" si="1084"/>
        <v>0.91658761807688671</v>
      </c>
      <c r="ML79" s="220">
        <f t="shared" ca="1" si="1085"/>
        <v>0</v>
      </c>
      <c r="MM79" s="235">
        <f t="shared" ca="1" si="1086"/>
        <v>0.15320600813786359</v>
      </c>
      <c r="MN79" s="235">
        <f t="shared" ca="1" si="1087"/>
        <v>0.15320600813786359</v>
      </c>
      <c r="MO79" s="242">
        <f t="shared" ca="1" si="1088"/>
        <v>0.15320600813786359</v>
      </c>
      <c r="MP79" s="241">
        <f t="shared" ref="MP79:OX86" ca="1" si="1343">IF(($B79+MP$2)&lt;SC_TargetRY,0,IF(($B79+MP$2)=SC_TargetRY,SC_AnnyPmntPr,IF(SP_AnnyTerms="Life",1,IF(($B79+MP$2)=(SC_TargetRY+SP_AnnyPeriod),SC_AnnyPmntPr-1,IF(($B79+MP$2)&gt;(SC_TargetRY+SP_AnnyPeriod),0,1)))))</f>
        <v>1</v>
      </c>
      <c r="MQ79" s="220">
        <f t="shared" ca="1" si="1089"/>
        <v>0.91103401369895887</v>
      </c>
      <c r="MR79" s="220">
        <f t="shared" ca="1" si="1090"/>
        <v>0</v>
      </c>
      <c r="MS79" s="235">
        <f t="shared" ca="1" si="1091"/>
        <v>0.1471282443812138</v>
      </c>
      <c r="MT79" s="235">
        <f t="shared" ca="1" si="1092"/>
        <v>0.1471282443812138</v>
      </c>
      <c r="MU79" s="242">
        <f t="shared" ca="1" si="1093"/>
        <v>0.1471282443812138</v>
      </c>
      <c r="MV79" s="241">
        <f t="shared" ca="1" si="1343"/>
        <v>1</v>
      </c>
      <c r="MW79" s="220">
        <f t="shared" ca="1" si="1094"/>
        <v>0.90501116783439506</v>
      </c>
      <c r="MX79" s="220">
        <f t="shared" ca="1" si="1095"/>
        <v>0</v>
      </c>
      <c r="MY79" s="235">
        <f t="shared" ca="1" si="1096"/>
        <v>0.14121312034551653</v>
      </c>
      <c r="MZ79" s="235">
        <f t="shared" ca="1" si="1097"/>
        <v>0.14121312034551653</v>
      </c>
      <c r="NA79" s="242">
        <f t="shared" ca="1" si="1098"/>
        <v>0.14121312034551653</v>
      </c>
      <c r="NB79" s="241">
        <f t="shared" ca="1" si="1343"/>
        <v>1</v>
      </c>
      <c r="NC79" s="220">
        <f t="shared" ca="1" si="1099"/>
        <v>0.89850685257116925</v>
      </c>
      <c r="ND79" s="220">
        <f t="shared" ca="1" si="1100"/>
        <v>0</v>
      </c>
      <c r="NE79" s="235">
        <f t="shared" ca="1" si="1101"/>
        <v>0.13545721898511429</v>
      </c>
      <c r="NF79" s="235">
        <f t="shared" ca="1" si="1102"/>
        <v>0.13545721898511429</v>
      </c>
      <c r="NG79" s="242">
        <f t="shared" ca="1" si="1103"/>
        <v>0.13545721898511429</v>
      </c>
      <c r="NH79" s="241">
        <f t="shared" ca="1" si="1343"/>
        <v>1</v>
      </c>
      <c r="NI79" s="220">
        <f t="shared" ca="1" si="1104"/>
        <v>0.89149849912111412</v>
      </c>
      <c r="NJ79" s="220">
        <f t="shared" ca="1" si="1105"/>
        <v>0</v>
      </c>
      <c r="NK79" s="235">
        <f t="shared" ca="1" si="1106"/>
        <v>0.12985570306959462</v>
      </c>
      <c r="NL79" s="235">
        <f t="shared" ca="1" si="1107"/>
        <v>0.12985570306959462</v>
      </c>
      <c r="NM79" s="242">
        <f t="shared" ca="1" si="1108"/>
        <v>0.12985570306959462</v>
      </c>
      <c r="NN79" s="241">
        <f t="shared" ca="1" si="1343"/>
        <v>1</v>
      </c>
      <c r="NO79" s="220">
        <f t="shared" ca="1" si="1109"/>
        <v>0.88395998781254592</v>
      </c>
      <c r="NP79" s="220">
        <f t="shared" ca="1" si="1110"/>
        <v>0</v>
      </c>
      <c r="NQ79" s="235">
        <f t="shared" ca="1" si="1111"/>
        <v>0.12440352004293539</v>
      </c>
      <c r="NR79" s="235">
        <f t="shared" ca="1" si="1112"/>
        <v>0.12440352004293539</v>
      </c>
      <c r="NS79" s="242">
        <f t="shared" ca="1" si="1113"/>
        <v>0.12440352004293539</v>
      </c>
      <c r="NT79" s="241">
        <f t="shared" ca="1" si="1343"/>
        <v>1</v>
      </c>
      <c r="NU79" s="220">
        <f t="shared" ca="1" si="1114"/>
        <v>0.87587705768398794</v>
      </c>
      <c r="NV79" s="220">
        <f t="shared" ca="1" si="1115"/>
        <v>0</v>
      </c>
      <c r="NW79" s="235">
        <f t="shared" ca="1" si="1116"/>
        <v>0.11909755966730703</v>
      </c>
      <c r="NX79" s="235">
        <f t="shared" ca="1" si="1117"/>
        <v>0.11909755966730703</v>
      </c>
      <c r="NY79" s="242">
        <f t="shared" ca="1" si="1118"/>
        <v>0.11909755966730703</v>
      </c>
      <c r="NZ79" s="241">
        <f t="shared" ca="1" si="1343"/>
        <v>1</v>
      </c>
      <c r="OA79" s="220">
        <f t="shared" ca="1" si="1119"/>
        <v>0.86723653050993543</v>
      </c>
      <c r="OB79" s="220">
        <f t="shared" ca="1" si="1120"/>
        <v>0</v>
      </c>
      <c r="OC79" s="235">
        <f t="shared" ca="1" si="1121"/>
        <v>0.11393493936346769</v>
      </c>
      <c r="OD79" s="235">
        <f t="shared" ca="1" si="1122"/>
        <v>0.11393493936346769</v>
      </c>
      <c r="OE79" s="242">
        <f t="shared" ca="1" si="1123"/>
        <v>0.11393493936346769</v>
      </c>
      <c r="OF79" s="241">
        <f t="shared" ca="1" si="1343"/>
        <v>1</v>
      </c>
      <c r="OG79" s="220">
        <f t="shared" ca="1" si="1124"/>
        <v>0.85802474408285889</v>
      </c>
      <c r="OH79" s="220">
        <f t="shared" ca="1" si="1125"/>
        <v>0</v>
      </c>
      <c r="OI79" s="235">
        <f t="shared" ca="1" si="1126"/>
        <v>0.10891277530197965</v>
      </c>
      <c r="OJ79" s="235">
        <f t="shared" ca="1" si="1127"/>
        <v>0.10891277530197965</v>
      </c>
      <c r="OK79" s="242">
        <f t="shared" ca="1" si="1128"/>
        <v>0.10891277530197965</v>
      </c>
      <c r="OL79" s="241">
        <f t="shared" ca="1" si="1343"/>
        <v>1</v>
      </c>
      <c r="OM79" s="220">
        <f t="shared" ca="1" si="1129"/>
        <v>0.84819349656515752</v>
      </c>
      <c r="ON79" s="220">
        <f t="shared" ca="1" si="1130"/>
        <v>0</v>
      </c>
      <c r="OO79" s="235">
        <f t="shared" ca="1" si="1131"/>
        <v>0.10402401229233778</v>
      </c>
      <c r="OP79" s="235">
        <f t="shared" ca="1" si="1132"/>
        <v>0.10402401229233778</v>
      </c>
      <c r="OQ79" s="242">
        <f t="shared" ca="1" si="1133"/>
        <v>0.10402401229233778</v>
      </c>
      <c r="OR79" s="241">
        <f t="shared" ca="1" si="1343"/>
        <v>1</v>
      </c>
      <c r="OS79" s="220">
        <f t="shared" ca="1" si="1134"/>
        <v>0.83771830688257787</v>
      </c>
      <c r="OT79" s="220">
        <f t="shared" ca="1" si="1135"/>
        <v>0</v>
      </c>
      <c r="OU79" s="235">
        <f t="shared" ca="1" si="1136"/>
        <v>9.9265039362828419E-2</v>
      </c>
      <c r="OV79" s="235">
        <f t="shared" ca="1" si="1137"/>
        <v>9.9265039362828419E-2</v>
      </c>
      <c r="OW79" s="242">
        <f t="shared" ca="1" si="1138"/>
        <v>9.9265039362828419E-2</v>
      </c>
      <c r="OX79" s="241">
        <f t="shared" ca="1" si="1343"/>
        <v>1</v>
      </c>
      <c r="OY79" s="220">
        <f t="shared" ca="1" si="1139"/>
        <v>0.82663110509098692</v>
      </c>
      <c r="OZ79" s="220">
        <f t="shared" ca="1" si="1140"/>
        <v>0</v>
      </c>
      <c r="PA79" s="235">
        <f t="shared" ca="1" si="1141"/>
        <v>9.4638904895518239E-2</v>
      </c>
      <c r="PB79" s="235">
        <f t="shared" ca="1" si="1142"/>
        <v>9.4638904895518239E-2</v>
      </c>
      <c r="PC79" s="242">
        <f t="shared" ca="1" si="1143"/>
        <v>9.4638904895518239E-2</v>
      </c>
      <c r="PD79" s="241">
        <f t="shared" ca="1" si="1338"/>
        <v>1</v>
      </c>
      <c r="PE79" s="220">
        <f t="shared" ca="1" si="1144"/>
        <v>0.81497808640251923</v>
      </c>
      <c r="PF79" s="220">
        <f t="shared" ca="1" si="1145"/>
        <v>0</v>
      </c>
      <c r="PG79" s="235">
        <f t="shared" ca="1" si="1146"/>
        <v>9.0149546138363415E-2</v>
      </c>
      <c r="PH79" s="235">
        <f t="shared" ca="1" si="1147"/>
        <v>9.0149546138363415E-2</v>
      </c>
      <c r="PI79" s="242">
        <f t="shared" ca="1" si="1148"/>
        <v>9.0149546138363415E-2</v>
      </c>
      <c r="PJ79" s="241">
        <f t="shared" ca="1" si="1338"/>
        <v>1</v>
      </c>
      <c r="PK79" s="220">
        <f t="shared" ca="1" si="1149"/>
        <v>0.80277052964629592</v>
      </c>
      <c r="PL79" s="220">
        <f t="shared" ca="1" si="1150"/>
        <v>0</v>
      </c>
      <c r="PM79" s="235">
        <f t="shared" ca="1" si="1151"/>
        <v>8.5796324721504238E-2</v>
      </c>
      <c r="PN79" s="235">
        <f t="shared" ca="1" si="1152"/>
        <v>8.5796324721504238E-2</v>
      </c>
      <c r="PO79" s="242">
        <f t="shared" ca="1" si="1153"/>
        <v>8.5796324721504238E-2</v>
      </c>
      <c r="PP79" s="241">
        <f t="shared" ref="PP79:RX86" ca="1" si="1344">IF(($B79+PP$2)&lt;SC_TargetRY,0,IF(($B79+PP$2)=SC_TargetRY,SC_AnnyPmntPr,IF(SP_AnnyTerms="Life",1,IF(($B79+PP$2)=(SC_TargetRY+SP_AnnyPeriod),SC_AnnyPmntPr-1,IF(($B79+PP$2)&gt;(SC_TargetRY+SP_AnnyPeriod),0,1)))))</f>
        <v>1</v>
      </c>
      <c r="PQ79" s="220">
        <f t="shared" ca="1" si="1154"/>
        <v>0.78995269259943357</v>
      </c>
      <c r="PR79" s="220">
        <f t="shared" ca="1" si="1155"/>
        <v>0</v>
      </c>
      <c r="PS79" s="235">
        <f t="shared" ca="1" si="1156"/>
        <v>8.1571415270218356E-2</v>
      </c>
      <c r="PT79" s="235">
        <f t="shared" ca="1" si="1157"/>
        <v>8.1571415270218356E-2</v>
      </c>
      <c r="PU79" s="242">
        <f t="shared" ca="1" si="1158"/>
        <v>8.1571415270218356E-2</v>
      </c>
      <c r="PV79" s="241">
        <f t="shared" ca="1" si="1344"/>
        <v>1</v>
      </c>
      <c r="PW79" s="220">
        <f t="shared" ca="1" si="1159"/>
        <v>0.77643739198174988</v>
      </c>
      <c r="PX79" s="220">
        <f t="shared" ca="1" si="1160"/>
        <v>0</v>
      </c>
      <c r="PY79" s="235">
        <f t="shared" ca="1" si="1161"/>
        <v>7.7464550653488104E-2</v>
      </c>
      <c r="PZ79" s="235">
        <f t="shared" ca="1" si="1162"/>
        <v>7.7464550653488104E-2</v>
      </c>
      <c r="QA79" s="242">
        <f t="shared" ca="1" si="1163"/>
        <v>7.7464550653488104E-2</v>
      </c>
      <c r="QB79" s="241">
        <f t="shared" ca="1" si="1344"/>
        <v>1</v>
      </c>
      <c r="QC79" s="220">
        <f t="shared" ca="1" si="1164"/>
        <v>0.76215715546842155</v>
      </c>
      <c r="QD79" s="220">
        <f t="shared" ca="1" si="1165"/>
        <v>0</v>
      </c>
      <c r="QE79" s="235">
        <f t="shared" ca="1" si="1166"/>
        <v>7.3468427669438799E-2</v>
      </c>
      <c r="QF79" s="235">
        <f t="shared" ca="1" si="1167"/>
        <v>7.3468427669438799E-2</v>
      </c>
      <c r="QG79" s="242">
        <f t="shared" ca="1" si="1168"/>
        <v>7.3468427669438799E-2</v>
      </c>
      <c r="QH79" s="241">
        <f t="shared" ca="1" si="1344"/>
        <v>1</v>
      </c>
      <c r="QI79" s="220">
        <f t="shared" ca="1" si="1169"/>
        <v>0.74703900613254992</v>
      </c>
      <c r="QJ79" s="220">
        <f t="shared" ca="1" si="1170"/>
        <v>0</v>
      </c>
      <c r="QK79" s="235">
        <f t="shared" ca="1" si="1171"/>
        <v>6.9575949698732195E-2</v>
      </c>
      <c r="QL79" s="235">
        <f t="shared" ca="1" si="1172"/>
        <v>6.9575949698732195E-2</v>
      </c>
      <c r="QM79" s="242">
        <f t="shared" ca="1" si="1173"/>
        <v>6.9575949698732195E-2</v>
      </c>
      <c r="QN79" s="241">
        <f t="shared" ca="1" si="1344"/>
        <v>1</v>
      </c>
      <c r="QO79" s="220">
        <f t="shared" ca="1" si="1174"/>
        <v>0.73100381386591473</v>
      </c>
      <c r="QP79" s="220">
        <f t="shared" ca="1" si="1175"/>
        <v>0</v>
      </c>
      <c r="QQ79" s="235">
        <f t="shared" ca="1" si="1176"/>
        <v>6.5780195109612458E-2</v>
      </c>
      <c r="QR79" s="235">
        <f t="shared" ca="1" si="1177"/>
        <v>6.5780195109612458E-2</v>
      </c>
      <c r="QS79" s="242">
        <f t="shared" ca="1" si="1178"/>
        <v>6.5780195109612458E-2</v>
      </c>
      <c r="QT79" s="241">
        <f t="shared" ca="1" si="1344"/>
        <v>1</v>
      </c>
      <c r="QU79" s="220">
        <f t="shared" ca="1" si="1179"/>
        <v>0.71393414380833176</v>
      </c>
      <c r="QV79" s="220">
        <f t="shared" ca="1" si="1180"/>
        <v>0</v>
      </c>
      <c r="QW79" s="235">
        <f t="shared" ca="1" si="1181"/>
        <v>6.2071653887543876E-2</v>
      </c>
      <c r="QX79" s="235">
        <f t="shared" ca="1" si="1182"/>
        <v>6.2071653887543876E-2</v>
      </c>
      <c r="QY79" s="242">
        <f t="shared" ca="1" si="1183"/>
        <v>6.2071653887543876E-2</v>
      </c>
      <c r="QZ79" s="241">
        <f t="shared" ca="1" si="1344"/>
        <v>1</v>
      </c>
      <c r="RA79" s="220">
        <f t="shared" ca="1" si="1184"/>
        <v>0.69574167395580788</v>
      </c>
      <c r="RB79" s="220">
        <f t="shared" ca="1" si="1185"/>
        <v>0</v>
      </c>
      <c r="RC79" s="235">
        <f t="shared" ca="1" si="1186"/>
        <v>5.8444390341238162E-2</v>
      </c>
      <c r="RD79" s="235">
        <f t="shared" ca="1" si="1187"/>
        <v>5.8444390341238162E-2</v>
      </c>
      <c r="RE79" s="242">
        <f t="shared" ca="1" si="1188"/>
        <v>5.8444390341238162E-2</v>
      </c>
      <c r="RF79" s="241">
        <f t="shared" ca="1" si="1344"/>
        <v>1</v>
      </c>
      <c r="RG79" s="220">
        <f t="shared" ca="1" si="1189"/>
        <v>0.67640422986988014</v>
      </c>
      <c r="RH79" s="220">
        <f t="shared" ca="1" si="1190"/>
        <v>0</v>
      </c>
      <c r="RI79" s="235">
        <f t="shared" ca="1" si="1191"/>
        <v>5.4898538121829751E-2</v>
      </c>
      <c r="RJ79" s="235">
        <f t="shared" ca="1" si="1192"/>
        <v>5.4898538121829751E-2</v>
      </c>
      <c r="RK79" s="242">
        <f t="shared" ca="1" si="1193"/>
        <v>5.4898538121829751E-2</v>
      </c>
      <c r="RL79" s="241">
        <f t="shared" ca="1" si="1344"/>
        <v>1</v>
      </c>
      <c r="RM79" s="220">
        <f t="shared" ca="1" si="1194"/>
        <v>0.65592135698096043</v>
      </c>
      <c r="RN79" s="220">
        <f t="shared" ca="1" si="1195"/>
        <v>0</v>
      </c>
      <c r="RO79" s="235">
        <f t="shared" ca="1" si="1196"/>
        <v>5.1435845981086484E-2</v>
      </c>
      <c r="RP79" s="235">
        <f t="shared" ca="1" si="1197"/>
        <v>5.1435845981086484E-2</v>
      </c>
      <c r="RQ79" s="242">
        <f t="shared" ca="1" si="1198"/>
        <v>5.1435845981086484E-2</v>
      </c>
      <c r="RR79" s="241">
        <f t="shared" ca="1" si="1344"/>
        <v>1</v>
      </c>
      <c r="RS79" s="220">
        <f t="shared" ca="1" si="1199"/>
        <v>0.63426152193073515</v>
      </c>
      <c r="RT79" s="220">
        <f t="shared" ca="1" si="1200"/>
        <v>0</v>
      </c>
      <c r="RU79" s="235">
        <f t="shared" ca="1" si="1201"/>
        <v>4.8055392729564286E-2</v>
      </c>
      <c r="RV79" s="235">
        <f t="shared" ca="1" si="1202"/>
        <v>4.8055392729564286E-2</v>
      </c>
      <c r="RW79" s="242">
        <f t="shared" ca="1" si="1203"/>
        <v>4.8055392729564286E-2</v>
      </c>
      <c r="RX79" s="241">
        <f t="shared" ca="1" si="1344"/>
        <v>1</v>
      </c>
      <c r="RY79" s="220">
        <f t="shared" ca="1" si="1204"/>
        <v>0.61130062057532053</v>
      </c>
      <c r="RZ79" s="220">
        <f t="shared" ca="1" si="1205"/>
        <v>0</v>
      </c>
      <c r="SA79" s="235">
        <f t="shared" ca="1" si="1206"/>
        <v>4.4749506722088245E-2</v>
      </c>
      <c r="SB79" s="235">
        <f t="shared" ca="1" si="1207"/>
        <v>4.4749506722088245E-2</v>
      </c>
      <c r="SC79" s="242">
        <f t="shared" ca="1" si="1208"/>
        <v>4.4749506722088245E-2</v>
      </c>
      <c r="SD79" s="241">
        <f t="shared" ca="1" si="1339"/>
        <v>1</v>
      </c>
      <c r="SE79" s="220">
        <f t="shared" ca="1" si="1209"/>
        <v>0.58693540044042947</v>
      </c>
      <c r="SF79" s="220">
        <f t="shared" ca="1" si="1210"/>
        <v>0</v>
      </c>
      <c r="SG79" s="235">
        <f t="shared" ca="1" si="1211"/>
        <v>4.1512928389525854E-2</v>
      </c>
      <c r="SH79" s="235">
        <f t="shared" ca="1" si="1212"/>
        <v>4.1512928389525854E-2</v>
      </c>
      <c r="SI79" s="242">
        <f t="shared" ca="1" si="1213"/>
        <v>4.1512928389525854E-2</v>
      </c>
      <c r="SJ79" s="241">
        <f t="shared" ca="1" si="1339"/>
        <v>1</v>
      </c>
      <c r="SK79" s="220">
        <f t="shared" ca="1" si="1214"/>
        <v>0.56117421877969853</v>
      </c>
      <c r="SL79" s="220">
        <f t="shared" ca="1" si="1215"/>
        <v>0</v>
      </c>
      <c r="SM79" s="235">
        <f t="shared" ca="1" si="1216"/>
        <v>3.8348680627614658E-2</v>
      </c>
      <c r="SN79" s="235">
        <f t="shared" ca="1" si="1217"/>
        <v>3.8348680627614658E-2</v>
      </c>
      <c r="SO79" s="242">
        <f t="shared" ca="1" si="1218"/>
        <v>3.8348680627614658E-2</v>
      </c>
      <c r="SP79" s="241">
        <f t="shared" ca="1" si="808"/>
        <v>1</v>
      </c>
      <c r="SQ79" s="220">
        <f t="shared" ca="1" si="1219"/>
        <v>0.5340633310962325</v>
      </c>
      <c r="SR79" s="220">
        <f t="shared" ca="1" si="1220"/>
        <v>0</v>
      </c>
      <c r="SS79" s="235">
        <f t="shared" ca="1" si="1221"/>
        <v>3.5261852674216394E-2</v>
      </c>
      <c r="ST79" s="235">
        <f t="shared" ca="1" si="1222"/>
        <v>3.5261852674216394E-2</v>
      </c>
      <c r="SU79" s="242">
        <f t="shared" ca="1" si="1223"/>
        <v>3.5261852674216394E-2</v>
      </c>
      <c r="SV79" s="241">
        <f t="shared" ca="1" si="808"/>
        <v>1</v>
      </c>
      <c r="SW79" s="220">
        <f t="shared" ca="1" si="1224"/>
        <v>0.50563620810864218</v>
      </c>
      <c r="SX79" s="220">
        <f t="shared" ca="1" si="1225"/>
        <v>0</v>
      </c>
      <c r="SY79" s="235">
        <f t="shared" ca="1" si="1226"/>
        <v>3.2255975632920972E-2</v>
      </c>
      <c r="SZ79" s="235">
        <f t="shared" ca="1" si="1227"/>
        <v>3.2255975632920972E-2</v>
      </c>
      <c r="TA79" s="242">
        <f t="shared" ca="1" si="1228"/>
        <v>3.2255975632920972E-2</v>
      </c>
      <c r="TB79" s="241">
        <f t="shared" ref="TB79:VJ86" ca="1" si="1345">IF(($B79+TB$2)&lt;SC_TargetRY,0,IF(($B79+TB$2)=SC_TargetRY,SC_AnnyPmntPr,IF(SP_AnnyTerms="Life",1,IF(($B79+TB$2)=(SC_TargetRY+SP_AnnyPeriod),SC_AnnyPmntPr-1,IF(($B79+TB$2)&gt;(SC_TargetRY+SP_AnnyPeriod),0,1)))))</f>
        <v>1</v>
      </c>
      <c r="TC79" s="220">
        <f t="shared" ca="1" si="1229"/>
        <v>0.47585575235966748</v>
      </c>
      <c r="TD79" s="220">
        <f t="shared" ca="1" si="1230"/>
        <v>0</v>
      </c>
      <c r="TE79" s="235">
        <f t="shared" ca="1" si="1231"/>
        <v>2.9329657426153458E-2</v>
      </c>
      <c r="TF79" s="235">
        <f t="shared" ca="1" si="1232"/>
        <v>2.9329657426153458E-2</v>
      </c>
      <c r="TG79" s="242">
        <f t="shared" ca="1" si="1233"/>
        <v>2.9329657426153458E-2</v>
      </c>
      <c r="TH79" s="241">
        <f t="shared" ca="1" si="1345"/>
        <v>1</v>
      </c>
      <c r="TI79" s="220">
        <f t="shared" ca="1" si="1234"/>
        <v>0.4447514411066778</v>
      </c>
      <c r="TJ79" s="220">
        <f t="shared" ca="1" si="1235"/>
        <v>0</v>
      </c>
      <c r="TK79" s="235">
        <f t="shared" ca="1" si="1236"/>
        <v>2.6485530790814431E-2</v>
      </c>
      <c r="TL79" s="235">
        <f t="shared" ca="1" si="1237"/>
        <v>2.6485530790814431E-2</v>
      </c>
      <c r="TM79" s="242">
        <f t="shared" ca="1" si="1238"/>
        <v>2.6485530790814431E-2</v>
      </c>
      <c r="TN79" s="241">
        <f t="shared" ca="1" si="1345"/>
        <v>1</v>
      </c>
      <c r="TO79" s="220">
        <f t="shared" ca="1" si="1239"/>
        <v>0.41251096438941365</v>
      </c>
      <c r="TP79" s="220">
        <f t="shared" ca="1" si="1240"/>
        <v>0</v>
      </c>
      <c r="TQ79" s="235">
        <f t="shared" ca="1" si="1241"/>
        <v>2.3734848481408222E-2</v>
      </c>
      <c r="TR79" s="235">
        <f t="shared" ca="1" si="1242"/>
        <v>2.3734848481408222E-2</v>
      </c>
      <c r="TS79" s="242">
        <f t="shared" ca="1" si="1243"/>
        <v>2.3734848481408222E-2</v>
      </c>
      <c r="TT79" s="241">
        <f t="shared" ca="1" si="1345"/>
        <v>1</v>
      </c>
      <c r="TU79" s="220">
        <f t="shared" ca="1" si="1244"/>
        <v>0.37939128408051637</v>
      </c>
      <c r="TV79" s="220">
        <f t="shared" ca="1" si="1245"/>
        <v>0</v>
      </c>
      <c r="TW79" s="235">
        <f t="shared" ca="1" si="1246"/>
        <v>2.1091038615007652E-2</v>
      </c>
      <c r="TX79" s="235">
        <f t="shared" ca="1" si="1247"/>
        <v>2.1091038615007652E-2</v>
      </c>
      <c r="TY79" s="242">
        <f t="shared" ca="1" si="1248"/>
        <v>2.1091038615007652E-2</v>
      </c>
      <c r="TZ79" s="241">
        <f t="shared" ca="1" si="1345"/>
        <v>1</v>
      </c>
      <c r="UA79" s="220">
        <f t="shared" ca="1" si="1249"/>
        <v>0.34565732866521315</v>
      </c>
      <c r="UB79" s="220">
        <f t="shared" ca="1" si="1250"/>
        <v>0</v>
      </c>
      <c r="UC79" s="235">
        <f t="shared" ca="1" si="1251"/>
        <v>1.8565901280691431E-2</v>
      </c>
      <c r="UD79" s="235">
        <f t="shared" ca="1" si="1252"/>
        <v>1.8565901280691431E-2</v>
      </c>
      <c r="UE79" s="242">
        <f t="shared" ca="1" si="1253"/>
        <v>1.8565901280691431E-2</v>
      </c>
      <c r="UF79" s="241">
        <f t="shared" ca="1" si="1345"/>
        <v>1</v>
      </c>
      <c r="UG79" s="220">
        <f t="shared" ca="1" si="1254"/>
        <v>0.31158381183471112</v>
      </c>
      <c r="UH79" s="220">
        <f t="shared" ca="1" si="1255"/>
        <v>0</v>
      </c>
      <c r="UI79" s="235">
        <f t="shared" ca="1" si="1256"/>
        <v>1.6169805793281151E-2</v>
      </c>
      <c r="UJ79" s="235">
        <f t="shared" ca="1" si="1257"/>
        <v>1.6169805793281151E-2</v>
      </c>
      <c r="UK79" s="242">
        <f t="shared" ca="1" si="1258"/>
        <v>1.6169805793281151E-2</v>
      </c>
      <c r="UL79" s="241">
        <f t="shared" ca="1" si="1345"/>
        <v>1</v>
      </c>
      <c r="UM79" s="220">
        <f t="shared" ca="1" si="1259"/>
        <v>0.27748470263514402</v>
      </c>
      <c r="UN79" s="220">
        <f t="shared" ca="1" si="1260"/>
        <v>0</v>
      </c>
      <c r="UO79" s="235">
        <f t="shared" ca="1" si="1261"/>
        <v>1.3913250808575896E-2</v>
      </c>
      <c r="UP79" s="235">
        <f t="shared" ca="1" si="1262"/>
        <v>1.3913250808575896E-2</v>
      </c>
      <c r="UQ79" s="242">
        <f t="shared" ca="1" si="1263"/>
        <v>1.3913250808575896E-2</v>
      </c>
      <c r="UR79" s="241">
        <f t="shared" ca="1" si="1345"/>
        <v>1</v>
      </c>
      <c r="US79" s="220">
        <f t="shared" ca="1" si="1264"/>
        <v>0.24373729058536042</v>
      </c>
      <c r="UT79" s="220">
        <f t="shared" ca="1" si="1265"/>
        <v>0</v>
      </c>
      <c r="UU79" s="235">
        <f t="shared" ca="1" si="1266"/>
        <v>1.1807860056509861E-2</v>
      </c>
      <c r="UV79" s="235">
        <f t="shared" ca="1" si="1267"/>
        <v>1.1807860056509861E-2</v>
      </c>
      <c r="UW79" s="242">
        <f t="shared" ca="1" si="1268"/>
        <v>1.1807860056509861E-2</v>
      </c>
      <c r="UX79" s="241">
        <f t="shared" ca="1" si="1345"/>
        <v>1</v>
      </c>
      <c r="UY79" s="220">
        <f t="shared" ca="1" si="1269"/>
        <v>0.21078985859319374</v>
      </c>
      <c r="UZ79" s="220">
        <f t="shared" ca="1" si="1270"/>
        <v>0</v>
      </c>
      <c r="VA79" s="235">
        <f t="shared" ca="1" si="1271"/>
        <v>9.866396874889936E-3</v>
      </c>
      <c r="VB79" s="235">
        <f t="shared" ca="1" si="1272"/>
        <v>9.866396874889936E-3</v>
      </c>
      <c r="VC79" s="242">
        <f t="shared" ca="1" si="1273"/>
        <v>9.866396874889936E-3</v>
      </c>
      <c r="VD79" s="241">
        <f t="shared" ca="1" si="1345"/>
        <v>1</v>
      </c>
      <c r="VE79" s="220">
        <f t="shared" ca="1" si="1274"/>
        <v>0.17914840370962801</v>
      </c>
      <c r="VF79" s="220">
        <f t="shared" ca="1" si="1275"/>
        <v>0</v>
      </c>
      <c r="VG79" s="235">
        <f t="shared" ca="1" si="1276"/>
        <v>8.1017989433788233E-3</v>
      </c>
      <c r="VH79" s="235">
        <f t="shared" ca="1" si="1277"/>
        <v>8.1017989433788233E-3</v>
      </c>
      <c r="VI79" s="242">
        <f t="shared" ca="1" si="1278"/>
        <v>8.1017989433788233E-3</v>
      </c>
      <c r="VJ79" s="241">
        <f t="shared" ca="1" si="1345"/>
        <v>1</v>
      </c>
      <c r="VK79" s="220">
        <f t="shared" ca="1" si="1279"/>
        <v>0.14933864677755704</v>
      </c>
      <c r="VL79" s="220">
        <f t="shared" ca="1" si="1280"/>
        <v>0</v>
      </c>
      <c r="VM79" s="235">
        <f t="shared" ca="1" si="1281"/>
        <v>6.5252984585482295E-3</v>
      </c>
      <c r="VN79" s="235">
        <f t="shared" ca="1" si="1282"/>
        <v>6.5252984585482295E-3</v>
      </c>
      <c r="VO79" s="242">
        <f t="shared" ca="1" si="1283"/>
        <v>6.5252984585482295E-3</v>
      </c>
      <c r="VP79" s="241">
        <f t="shared" ca="1" si="567"/>
        <v>1</v>
      </c>
      <c r="VQ79" s="220">
        <f t="shared" ca="1" si="1284"/>
        <v>0.12186078378642688</v>
      </c>
      <c r="VR79" s="220">
        <f t="shared" ca="1" si="1285"/>
        <v>0</v>
      </c>
      <c r="VS79" s="235">
        <f t="shared" ca="1" si="1286"/>
        <v>5.1446020464451514E-3</v>
      </c>
      <c r="VT79" s="235">
        <f t="shared" ca="1" si="1287"/>
        <v>5.1446020464451514E-3</v>
      </c>
      <c r="VU79" s="242">
        <f t="shared" ca="1" si="1288"/>
        <v>5.1446020464451514E-3</v>
      </c>
      <c r="VV79" s="241">
        <f t="shared" ca="1" si="1335"/>
        <v>1</v>
      </c>
      <c r="VW79" s="220">
        <f t="shared" ca="1" si="1289"/>
        <v>9.714071449143126E-2</v>
      </c>
      <c r="VX79" s="220">
        <f t="shared" ca="1" si="1290"/>
        <v>0</v>
      </c>
      <c r="VY79" s="235">
        <f t="shared" ca="1" si="1291"/>
        <v>3.9623128486120972E-3</v>
      </c>
      <c r="VZ79" s="235">
        <f t="shared" ca="1" si="1292"/>
        <v>3.9623128486120972E-3</v>
      </c>
      <c r="WA79" s="242">
        <f t="shared" ca="1" si="1293"/>
        <v>3.9623128486120972E-3</v>
      </c>
      <c r="WB79" s="241">
        <f t="shared" ca="1" si="1335"/>
        <v>1</v>
      </c>
      <c r="WC79" s="220">
        <f t="shared" ca="1" si="1294"/>
        <v>7.5486980683431834E-2</v>
      </c>
      <c r="WD79" s="220">
        <f t="shared" ca="1" si="1295"/>
        <v>0</v>
      </c>
      <c r="WE79" s="235">
        <f t="shared" ca="1" si="1296"/>
        <v>2.9749465982754843E-3</v>
      </c>
      <c r="WF79" s="235">
        <f t="shared" ca="1" si="1297"/>
        <v>2.9749465982754843E-3</v>
      </c>
      <c r="WG79" s="242">
        <f t="shared" ca="1" si="1298"/>
        <v>2.9749465982754843E-3</v>
      </c>
      <c r="WH79" s="241">
        <f t="shared" ca="1" si="1335"/>
        <v>1</v>
      </c>
      <c r="WI79" s="220">
        <f t="shared" ca="1" si="1299"/>
        <v>5.7061061620490225E-2</v>
      </c>
      <c r="WJ79" s="220">
        <f t="shared" ca="1" si="1300"/>
        <v>0</v>
      </c>
      <c r="WK79" s="235">
        <f t="shared" ca="1" si="1301"/>
        <v>2.1727342833971291E-3</v>
      </c>
      <c r="WL79" s="235">
        <f t="shared" ca="1" si="1302"/>
        <v>2.1727342833971291E-3</v>
      </c>
      <c r="WM79" s="242">
        <f t="shared" ca="1" si="1303"/>
        <v>2.1727342833971291E-3</v>
      </c>
      <c r="WN79" s="241">
        <f t="shared" ca="1" si="1335"/>
        <v>1</v>
      </c>
      <c r="WO79" s="220">
        <f t="shared" ca="1" si="1304"/>
        <v>4.1934687734452851E-2</v>
      </c>
      <c r="WP79" s="220">
        <f t="shared" ca="1" si="1305"/>
        <v>0</v>
      </c>
      <c r="WQ79" s="235">
        <f t="shared" ca="1" si="1306"/>
        <v>1.5427651975624165E-3</v>
      </c>
      <c r="WR79" s="235">
        <f t="shared" ca="1" si="1307"/>
        <v>1.5427651975624165E-3</v>
      </c>
      <c r="WS79" s="242">
        <f t="shared" ca="1" si="1308"/>
        <v>1.5427651975624165E-3</v>
      </c>
      <c r="WT79" s="241">
        <f t="shared" ca="1" si="1335"/>
        <v>1</v>
      </c>
      <c r="WU79" s="220">
        <f t="shared" ca="1" si="1309"/>
        <v>2.9961998908764689E-2</v>
      </c>
      <c r="WV79" s="220">
        <f t="shared" ca="1" si="1310"/>
        <v>0</v>
      </c>
      <c r="WW79" s="235">
        <f t="shared" ca="1" si="1311"/>
        <v>1.0650177696007403E-3</v>
      </c>
      <c r="WX79" s="235">
        <f t="shared" ca="1" si="1312"/>
        <v>1.0650177696007403E-3</v>
      </c>
      <c r="WY79" s="242">
        <f t="shared" ca="1" si="1313"/>
        <v>1.0650177696007403E-3</v>
      </c>
      <c r="WZ79" s="241">
        <f t="shared" ca="1" si="1335"/>
        <v>1</v>
      </c>
      <c r="XA79" s="220">
        <f t="shared" ca="1" si="1314"/>
        <v>2.0825806429510707E-2</v>
      </c>
      <c r="XB79" s="220">
        <f t="shared" ca="1" si="1315"/>
        <v>0</v>
      </c>
      <c r="XC79" s="235">
        <f t="shared" ca="1" si="1316"/>
        <v>7.1523300597822715E-4</v>
      </c>
      <c r="XD79" s="235">
        <f t="shared" ca="1" si="1317"/>
        <v>7.1523300597822715E-4</v>
      </c>
      <c r="XE79" s="242">
        <f t="shared" ca="1" si="1318"/>
        <v>7.1523300597822715E-4</v>
      </c>
      <c r="XF79" s="241">
        <f t="shared" ca="1" si="1335"/>
        <v>1</v>
      </c>
      <c r="XG79" s="220">
        <f t="shared" ca="1" si="1319"/>
        <v>1.410075784309954E-2</v>
      </c>
      <c r="XH79" s="220">
        <f t="shared" ca="1" si="1320"/>
        <v>0</v>
      </c>
      <c r="XI79" s="235">
        <f t="shared" ca="1" si="1321"/>
        <v>4.6789437576883483E-4</v>
      </c>
      <c r="XJ79" s="235">
        <f t="shared" ca="1" si="1322"/>
        <v>4.6789437576883483E-4</v>
      </c>
      <c r="XK79" s="242">
        <f t="shared" ca="1" si="1323"/>
        <v>4.6789437576883483E-4</v>
      </c>
    </row>
    <row r="80" spans="2:635" x14ac:dyDescent="0.25">
      <c r="B80" s="65">
        <f t="shared" ca="1" si="810"/>
        <v>2095</v>
      </c>
      <c r="C80" s="65" t="s">
        <v>741</v>
      </c>
      <c r="D80" s="77">
        <f t="shared" si="811"/>
        <v>0</v>
      </c>
      <c r="E80" s="77">
        <f t="shared" si="812"/>
        <v>0</v>
      </c>
      <c r="F80" s="77" t="b">
        <f t="shared" si="813"/>
        <v>0</v>
      </c>
      <c r="G80" s="77" t="b">
        <f t="shared" si="814"/>
        <v>0</v>
      </c>
      <c r="H80" s="15" t="e">
        <f t="shared" ca="1" si="815"/>
        <v>#REF!</v>
      </c>
      <c r="L80" s="326">
        <f t="shared" ca="1" si="816"/>
        <v>3.5000000000000003E-2</v>
      </c>
      <c r="M80" s="327">
        <f t="shared" ca="1" si="817"/>
        <v>3.5000000000000003E-2</v>
      </c>
      <c r="N80" s="322">
        <f t="shared" ca="1" si="809"/>
        <v>-72</v>
      </c>
      <c r="O80" s="322">
        <f t="shared" ca="1" si="818"/>
        <v>0</v>
      </c>
      <c r="P80" s="328">
        <f t="shared" ca="1" si="1324"/>
        <v>26.87829936156087</v>
      </c>
      <c r="Q80" s="328">
        <f t="shared" ca="1" si="1325"/>
        <v>26.87829936156087</v>
      </c>
      <c r="R80" s="328">
        <f t="shared" ca="1" si="1326"/>
        <v>26.87829936156087</v>
      </c>
      <c r="S80" s="329">
        <f t="shared" ca="1" si="819"/>
        <v>3.8642415640549425E-2</v>
      </c>
      <c r="T80" s="329">
        <f t="shared" ca="1" si="820"/>
        <v>3.8642415640549425E-2</v>
      </c>
      <c r="U80" s="329">
        <f t="shared" ca="1" si="821"/>
        <v>3.8642415640549425E-2</v>
      </c>
      <c r="V80" s="320" t="e">
        <f t="shared" ca="1" si="822"/>
        <v>#REF!</v>
      </c>
      <c r="W80" s="320" t="e">
        <f t="shared" ca="1" si="560"/>
        <v>#REF!</v>
      </c>
      <c r="X80" s="320" t="e">
        <f t="shared" ca="1" si="823"/>
        <v>#REF!</v>
      </c>
      <c r="Y80" s="320" t="e">
        <f ca="1">INDEX(SC_ZA_HECMLumpSum,ZAIDX)</f>
        <v>#REF!</v>
      </c>
      <c r="Z80" s="320" t="e">
        <f t="shared" ca="1" si="824"/>
        <v>#REF!</v>
      </c>
      <c r="AA80" s="320" t="e">
        <f t="shared" ca="1" si="557"/>
        <v>#REF!</v>
      </c>
      <c r="AB80" s="320" t="e">
        <f t="shared" ca="1" si="558"/>
        <v>#REF!</v>
      </c>
      <c r="AC80" s="330" t="e">
        <f t="shared" ca="1" si="559"/>
        <v>#REF!</v>
      </c>
      <c r="AD80" s="236" t="e">
        <f t="shared" ca="1" si="1327"/>
        <v>#REF!</v>
      </c>
      <c r="AE80" s="320" t="e">
        <f t="shared" ca="1" si="561"/>
        <v>#REF!</v>
      </c>
      <c r="AF80" s="320" t="e">
        <f t="shared" ca="1" si="825"/>
        <v>#REF!</v>
      </c>
      <c r="AG80" s="320" t="e">
        <f t="shared" ca="1" si="1328"/>
        <v>#REF!</v>
      </c>
      <c r="AH80" s="284" t="e">
        <f t="shared" ca="1" si="1329"/>
        <v>#REF!</v>
      </c>
      <c r="AI80" s="318" t="e">
        <f t="shared" ca="1" si="1330"/>
        <v>#REF!</v>
      </c>
      <c r="AJ80" s="331">
        <f t="shared" ref="AJ80:CR86" ca="1" si="1346">IF(($B80+AJ$2)&lt;SC_TargetRY,0,IF(($B80+AJ$2)=SC_TargetRY,SC_AnnyPmntPr,IF(SP_AnnyTerms="Life",1,IF(($B80+AJ$2)=(SC_TargetRY+SP_AnnyPeriod),SC_AnnyPmntPr-1,IF(($B80+AJ$2)&gt;(SC_TargetRY+SP_AnnyPeriod),0,1)))))</f>
        <v>1</v>
      </c>
      <c r="AK80" s="220">
        <f t="shared" ca="1" si="826"/>
        <v>1</v>
      </c>
      <c r="AL80" s="220">
        <f t="shared" ca="1" si="827"/>
        <v>0</v>
      </c>
      <c r="AM80" s="235">
        <f t="shared" ca="1" si="1331"/>
        <v>1</v>
      </c>
      <c r="AN80" s="235">
        <f t="shared" ca="1" si="1332"/>
        <v>1</v>
      </c>
      <c r="AO80" s="242">
        <f t="shared" ca="1" si="1333"/>
        <v>1</v>
      </c>
      <c r="AP80" s="241">
        <f t="shared" ca="1" si="1346"/>
        <v>1</v>
      </c>
      <c r="AQ80" s="220">
        <f t="shared" ca="1" si="828"/>
        <v>0.99361699999999997</v>
      </c>
      <c r="AR80" s="220">
        <f t="shared" ca="1" si="829"/>
        <v>0</v>
      </c>
      <c r="AS80" s="235">
        <f t="shared" ca="1" si="830"/>
        <v>0.96001642512077301</v>
      </c>
      <c r="AT80" s="235">
        <f t="shared" ca="1" si="831"/>
        <v>0.96001642512077301</v>
      </c>
      <c r="AU80" s="242">
        <f t="shared" ca="1" si="832"/>
        <v>0.96001642512077301</v>
      </c>
      <c r="AV80" s="241">
        <f t="shared" ca="1" si="1346"/>
        <v>1</v>
      </c>
      <c r="AW80" s="220">
        <f t="shared" ca="1" si="833"/>
        <v>0.99316689149899995</v>
      </c>
      <c r="AX80" s="220">
        <f t="shared" ca="1" si="834"/>
        <v>0</v>
      </c>
      <c r="AY80" s="235">
        <f t="shared" ca="1" si="835"/>
        <v>0.92713192046395487</v>
      </c>
      <c r="AZ80" s="235">
        <f t="shared" ca="1" si="836"/>
        <v>0.92713192046395487</v>
      </c>
      <c r="BA80" s="242">
        <f t="shared" ca="1" si="837"/>
        <v>0.92713192046395487</v>
      </c>
      <c r="BB80" s="241">
        <f t="shared" ca="1" si="1346"/>
        <v>1</v>
      </c>
      <c r="BC80" s="220">
        <f t="shared" ca="1" si="838"/>
        <v>0.99288681843559723</v>
      </c>
      <c r="BD80" s="220">
        <f t="shared" ca="1" si="839"/>
        <v>0</v>
      </c>
      <c r="BE80" s="235">
        <f t="shared" ca="1" si="840"/>
        <v>0.89552702344191704</v>
      </c>
      <c r="BF80" s="235">
        <f t="shared" ca="1" si="841"/>
        <v>0.89552702344191704</v>
      </c>
      <c r="BG80" s="242">
        <f t="shared" ca="1" si="842"/>
        <v>0.89552702344191704</v>
      </c>
      <c r="BH80" s="241">
        <f t="shared" ca="1" si="1346"/>
        <v>1</v>
      </c>
      <c r="BI80" s="220">
        <f t="shared" ca="1" si="843"/>
        <v>0.99265845446735712</v>
      </c>
      <c r="BJ80" s="220">
        <f t="shared" ca="1" si="844"/>
        <v>0</v>
      </c>
      <c r="BK80" s="235">
        <f t="shared" ca="1" si="845"/>
        <v>0.86504449490485558</v>
      </c>
      <c r="BL80" s="235">
        <f t="shared" ca="1" si="846"/>
        <v>0.86504449490485558</v>
      </c>
      <c r="BM80" s="242">
        <f t="shared" ca="1" si="847"/>
        <v>0.86504449490485558</v>
      </c>
      <c r="BN80" s="241">
        <f t="shared" ca="1" si="1346"/>
        <v>1</v>
      </c>
      <c r="BO80" s="220">
        <f t="shared" ca="1" si="848"/>
        <v>0.99249069518855215</v>
      </c>
      <c r="BP80" s="220">
        <f t="shared" ca="1" si="849"/>
        <v>0</v>
      </c>
      <c r="BQ80" s="235">
        <f t="shared" ca="1" si="850"/>
        <v>0.83565053370552345</v>
      </c>
      <c r="BR80" s="235">
        <f t="shared" ca="1" si="851"/>
        <v>0.83565053370552345</v>
      </c>
      <c r="BS80" s="242">
        <f t="shared" ca="1" si="852"/>
        <v>0.83565053370552345</v>
      </c>
      <c r="BT80" s="241">
        <f t="shared" ca="1" si="1346"/>
        <v>1</v>
      </c>
      <c r="BU80" s="220">
        <f t="shared" ca="1" si="853"/>
        <v>0.99233685913079794</v>
      </c>
      <c r="BV80" s="220">
        <f t="shared" ca="1" si="854"/>
        <v>0</v>
      </c>
      <c r="BW80" s="235">
        <f t="shared" ca="1" si="855"/>
        <v>0.80726667427323584</v>
      </c>
      <c r="BX80" s="235">
        <f t="shared" ca="1" si="856"/>
        <v>0.80726667427323584</v>
      </c>
      <c r="BY80" s="242">
        <f t="shared" ca="1" si="857"/>
        <v>0.80726667427323584</v>
      </c>
      <c r="BZ80" s="241">
        <f t="shared" ca="1" si="1346"/>
        <v>1</v>
      </c>
      <c r="CA80" s="220">
        <f t="shared" ca="1" si="858"/>
        <v>0.992192970286224</v>
      </c>
      <c r="CB80" s="220">
        <f t="shared" ca="1" si="859"/>
        <v>0</v>
      </c>
      <c r="CC80" s="235">
        <f t="shared" ca="1" si="860"/>
        <v>0.7798547058990013</v>
      </c>
      <c r="CD80" s="235">
        <f t="shared" ca="1" si="861"/>
        <v>0.7798547058990013</v>
      </c>
      <c r="CE80" s="242">
        <f t="shared" ca="1" si="862"/>
        <v>0.7798547058990013</v>
      </c>
      <c r="CF80" s="241">
        <f t="shared" ca="1" si="1346"/>
        <v>1</v>
      </c>
      <c r="CG80" s="220">
        <f t="shared" ca="1" si="863"/>
        <v>0.9920590242352354</v>
      </c>
      <c r="CH80" s="220">
        <f t="shared" ca="1" si="864"/>
        <v>0</v>
      </c>
      <c r="CI80" s="235">
        <f t="shared" ca="1" si="865"/>
        <v>0.75338108745285515</v>
      </c>
      <c r="CJ80" s="235">
        <f t="shared" ca="1" si="866"/>
        <v>0.75338108745285515</v>
      </c>
      <c r="CK80" s="242">
        <f t="shared" ca="1" si="867"/>
        <v>0.75338108745285515</v>
      </c>
      <c r="CL80" s="241">
        <f t="shared" ca="1" si="1346"/>
        <v>1</v>
      </c>
      <c r="CM80" s="220">
        <f t="shared" ca="1" si="868"/>
        <v>0.99193997715232718</v>
      </c>
      <c r="CN80" s="220">
        <f t="shared" ca="1" si="869"/>
        <v>0</v>
      </c>
      <c r="CO80" s="235">
        <f t="shared" ca="1" si="870"/>
        <v>0.72781708378972065</v>
      </c>
      <c r="CP80" s="235">
        <f t="shared" ca="1" si="871"/>
        <v>0.72781708378972065</v>
      </c>
      <c r="CQ80" s="242">
        <f t="shared" ca="1" si="872"/>
        <v>0.72781708378972065</v>
      </c>
      <c r="CR80" s="241">
        <f t="shared" ca="1" si="1346"/>
        <v>1</v>
      </c>
      <c r="CS80" s="220">
        <f t="shared" ca="1" si="873"/>
        <v>0.99183582345472621</v>
      </c>
      <c r="CT80" s="220">
        <f t="shared" ca="1" si="874"/>
        <v>0</v>
      </c>
      <c r="CU80" s="235">
        <f t="shared" ca="1" si="875"/>
        <v>0.70313107535837949</v>
      </c>
      <c r="CV80" s="235">
        <f t="shared" ca="1" si="876"/>
        <v>0.70313107535837949</v>
      </c>
      <c r="CW80" s="242">
        <f t="shared" ca="1" si="877"/>
        <v>0.70313107535837949</v>
      </c>
      <c r="CX80" s="241">
        <f t="shared" ca="1" si="1340"/>
        <v>1</v>
      </c>
      <c r="CY80" s="220">
        <f t="shared" ca="1" si="878"/>
        <v>0.99174259088732142</v>
      </c>
      <c r="CZ80" s="220">
        <f t="shared" ca="1" si="879"/>
        <v>0</v>
      </c>
      <c r="DA80" s="235">
        <f t="shared" ca="1" si="880"/>
        <v>0.6792898367510104</v>
      </c>
      <c r="DB80" s="235">
        <f t="shared" ca="1" si="881"/>
        <v>0.6792898367510104</v>
      </c>
      <c r="DC80" s="242">
        <f t="shared" ca="1" si="882"/>
        <v>0.6792898367510104</v>
      </c>
      <c r="DD80" s="241">
        <f t="shared" ca="1" si="1340"/>
        <v>1</v>
      </c>
      <c r="DE80" s="220">
        <f t="shared" ca="1" si="883"/>
        <v>0.99164440837082357</v>
      </c>
      <c r="DF80" s="220">
        <f t="shared" ca="1" si="884"/>
        <v>0</v>
      </c>
      <c r="DG80" s="235">
        <f t="shared" ca="1" si="885"/>
        <v>0.65625370730161559</v>
      </c>
      <c r="DH80" s="235">
        <f t="shared" ca="1" si="886"/>
        <v>0.65625370730161559</v>
      </c>
      <c r="DI80" s="242">
        <f t="shared" ca="1" si="887"/>
        <v>0.65625370730161559</v>
      </c>
      <c r="DJ80" s="241">
        <f t="shared" ca="1" si="888"/>
        <v>1</v>
      </c>
      <c r="DK80" s="220">
        <f t="shared" ca="1" si="889"/>
        <v>0.9915115280201019</v>
      </c>
      <c r="DL80" s="220">
        <f t="shared" ca="1" si="890"/>
        <v>0</v>
      </c>
      <c r="DM80" s="235">
        <f t="shared" ca="1" si="891"/>
        <v>0.63397658870032592</v>
      </c>
      <c r="DN80" s="235">
        <f t="shared" ca="1" si="892"/>
        <v>0.63397658870032592</v>
      </c>
      <c r="DO80" s="242">
        <f t="shared" ca="1" si="893"/>
        <v>0.63397658870032592</v>
      </c>
      <c r="DP80" s="241">
        <f t="shared" ca="1" si="888"/>
        <v>1</v>
      </c>
      <c r="DQ80" s="220">
        <f t="shared" ca="1" si="894"/>
        <v>0.99130628513380181</v>
      </c>
      <c r="DR80" s="220">
        <f t="shared" ca="1" si="895"/>
        <v>0</v>
      </c>
      <c r="DS80" s="235">
        <f t="shared" ca="1" si="896"/>
        <v>0.61241097154247814</v>
      </c>
      <c r="DT80" s="235">
        <f t="shared" ca="1" si="897"/>
        <v>0.61241097154247814</v>
      </c>
      <c r="DU80" s="242">
        <f t="shared" ca="1" si="898"/>
        <v>0.61241097154247814</v>
      </c>
      <c r="DV80" s="241">
        <f t="shared" ca="1" si="888"/>
        <v>1</v>
      </c>
      <c r="DW80" s="220">
        <f t="shared" ca="1" si="899"/>
        <v>0.9909999714916955</v>
      </c>
      <c r="DX80" s="220">
        <f t="shared" ca="1" si="900"/>
        <v>0</v>
      </c>
      <c r="DY80" s="235">
        <f t="shared" ca="1" si="901"/>
        <v>0.59151858604084218</v>
      </c>
      <c r="DZ80" s="235">
        <f t="shared" ca="1" si="902"/>
        <v>0.59151858604084218</v>
      </c>
      <c r="EA80" s="242">
        <f t="shared" ca="1" si="903"/>
        <v>0.59151858604084218</v>
      </c>
      <c r="EB80" s="241">
        <f t="shared" ca="1" si="888"/>
        <v>1</v>
      </c>
      <c r="EC80" s="220">
        <f t="shared" ca="1" si="904"/>
        <v>0.99058474250364048</v>
      </c>
      <c r="ED80" s="220">
        <f t="shared" ca="1" si="905"/>
        <v>0</v>
      </c>
      <c r="EE80" s="235">
        <f t="shared" ca="1" si="906"/>
        <v>0.57127607705632</v>
      </c>
      <c r="EF80" s="235">
        <f t="shared" ca="1" si="907"/>
        <v>0.57127607705632</v>
      </c>
      <c r="EG80" s="242">
        <f t="shared" ca="1" si="908"/>
        <v>0.57127607705632</v>
      </c>
      <c r="EH80" s="241">
        <f t="shared" ca="1" si="888"/>
        <v>1</v>
      </c>
      <c r="EI80" s="220">
        <f t="shared" ca="1" si="909"/>
        <v>0.99005973259011348</v>
      </c>
      <c r="EJ80" s="220">
        <f t="shared" ca="1" si="910"/>
        <v>0</v>
      </c>
      <c r="EK80" s="235">
        <f t="shared" ca="1" si="911"/>
        <v>0.55166502486519819</v>
      </c>
      <c r="EL80" s="235">
        <f t="shared" ca="1" si="912"/>
        <v>0.55166502486519819</v>
      </c>
      <c r="EM80" s="242">
        <f t="shared" ca="1" si="913"/>
        <v>0.55166502486519819</v>
      </c>
      <c r="EN80" s="241">
        <f t="shared" ca="1" si="888"/>
        <v>1</v>
      </c>
      <c r="EO80" s="220">
        <f t="shared" ca="1" si="914"/>
        <v>0.98941124346526699</v>
      </c>
      <c r="EP80" s="220">
        <f t="shared" ca="1" si="915"/>
        <v>0</v>
      </c>
      <c r="EQ80" s="235">
        <f t="shared" ca="1" si="916"/>
        <v>0.53266056451585653</v>
      </c>
      <c r="ER80" s="235">
        <f t="shared" ca="1" si="917"/>
        <v>0.53266056451585653</v>
      </c>
      <c r="ES80" s="242">
        <f t="shared" ca="1" si="918"/>
        <v>0.53266056451585653</v>
      </c>
      <c r="ET80" s="241">
        <f t="shared" ca="1" si="888"/>
        <v>1</v>
      </c>
      <c r="EU80" s="220">
        <f t="shared" ca="1" si="919"/>
        <v>0.98862861917168599</v>
      </c>
      <c r="EV80" s="220">
        <f t="shared" ca="1" si="920"/>
        <v>0</v>
      </c>
      <c r="EW80" s="235">
        <f t="shared" ca="1" si="921"/>
        <v>0.51424080194137645</v>
      </c>
      <c r="EX80" s="235">
        <f t="shared" ca="1" si="922"/>
        <v>0.51424080194137645</v>
      </c>
      <c r="EY80" s="242">
        <f t="shared" ca="1" si="923"/>
        <v>0.51424080194137645</v>
      </c>
      <c r="EZ80" s="241">
        <f t="shared" ca="1" si="888"/>
        <v>1</v>
      </c>
      <c r="FA80" s="220">
        <f t="shared" ca="1" si="924"/>
        <v>0.98770524004137961</v>
      </c>
      <c r="FB80" s="220">
        <f t="shared" ca="1" si="925"/>
        <v>0</v>
      </c>
      <c r="FC80" s="235">
        <f t="shared" ca="1" si="926"/>
        <v>0.49638695751919149</v>
      </c>
      <c r="FD80" s="235">
        <f t="shared" ca="1" si="927"/>
        <v>0.49638695751919149</v>
      </c>
      <c r="FE80" s="242">
        <f t="shared" ca="1" si="928"/>
        <v>0.49638695751919149</v>
      </c>
      <c r="FF80" s="241">
        <f t="shared" ca="1" si="888"/>
        <v>1</v>
      </c>
      <c r="FG80" s="220">
        <f t="shared" ca="1" si="929"/>
        <v>0.98663357985593469</v>
      </c>
      <c r="FH80" s="220">
        <f t="shared" ca="1" si="930"/>
        <v>0</v>
      </c>
      <c r="FI80" s="235">
        <f t="shared" ca="1" si="931"/>
        <v>0.4790805581355394</v>
      </c>
      <c r="FJ80" s="235">
        <f t="shared" ca="1" si="932"/>
        <v>0.4790805581355394</v>
      </c>
      <c r="FK80" s="242">
        <f t="shared" ca="1" si="933"/>
        <v>0.4790805581355394</v>
      </c>
      <c r="FL80" s="241">
        <f t="shared" ca="1" si="888"/>
        <v>1</v>
      </c>
      <c r="FM80" s="220">
        <f t="shared" ca="1" si="934"/>
        <v>0.98542199381987161</v>
      </c>
      <c r="FN80" s="220">
        <f t="shared" ca="1" si="935"/>
        <v>0</v>
      </c>
      <c r="FO80" s="235">
        <f t="shared" ca="1" si="936"/>
        <v>0.46231134996149653</v>
      </c>
      <c r="FP80" s="235">
        <f t="shared" ca="1" si="937"/>
        <v>0.46231134996149653</v>
      </c>
      <c r="FQ80" s="242">
        <f t="shared" ca="1" si="938"/>
        <v>0.46231134996149653</v>
      </c>
      <c r="FR80" s="241">
        <f t="shared" ca="1" si="888"/>
        <v>1</v>
      </c>
      <c r="FS80" s="220">
        <f t="shared" ca="1" si="939"/>
        <v>0.98410251377014679</v>
      </c>
      <c r="FT80" s="220">
        <f t="shared" ca="1" si="940"/>
        <v>0</v>
      </c>
      <c r="FU80" s="235">
        <f t="shared" ca="1" si="941"/>
        <v>0.44607953146270346</v>
      </c>
      <c r="FV80" s="235">
        <f t="shared" ca="1" si="942"/>
        <v>0.44607953146270346</v>
      </c>
      <c r="FW80" s="242">
        <f t="shared" ca="1" si="943"/>
        <v>0.44607953146270346</v>
      </c>
      <c r="FX80" s="241">
        <f t="shared" ca="1" si="801"/>
        <v>1</v>
      </c>
      <c r="FY80" s="220">
        <f t="shared" ca="1" si="944"/>
        <v>0.98272181794332725</v>
      </c>
      <c r="FZ80" s="220">
        <f t="shared" ca="1" si="945"/>
        <v>0</v>
      </c>
      <c r="GA80" s="235">
        <f t="shared" ca="1" si="946"/>
        <v>0.43039003080199167</v>
      </c>
      <c r="GB80" s="235">
        <f t="shared" ca="1" si="947"/>
        <v>0.43039003080199167</v>
      </c>
      <c r="GC80" s="242">
        <f t="shared" ca="1" si="948"/>
        <v>0.43039003080199167</v>
      </c>
      <c r="GD80" s="241">
        <f t="shared" ca="1" si="795"/>
        <v>1</v>
      </c>
      <c r="GE80" s="220">
        <f t="shared" ca="1" si="949"/>
        <v>0.98131357757821447</v>
      </c>
      <c r="GF80" s="220">
        <f t="shared" ca="1" si="950"/>
        <v>0</v>
      </c>
      <c r="GG80" s="235">
        <f t="shared" ca="1" si="951"/>
        <v>0.41523988588198307</v>
      </c>
      <c r="GH80" s="235">
        <f t="shared" ca="1" si="952"/>
        <v>0.41523988588198307</v>
      </c>
      <c r="GI80" s="242">
        <f t="shared" ca="1" si="953"/>
        <v>0.41523988588198307</v>
      </c>
      <c r="GJ80" s="241">
        <f t="shared" ca="1" si="795"/>
        <v>1</v>
      </c>
      <c r="GK80" s="220">
        <f t="shared" ca="1" si="954"/>
        <v>0.97988969157714845</v>
      </c>
      <c r="GL80" s="220">
        <f t="shared" ca="1" si="955"/>
        <v>0</v>
      </c>
      <c r="GM80" s="235">
        <f t="shared" ca="1" si="956"/>
        <v>0.40061581913774713</v>
      </c>
      <c r="GN80" s="235">
        <f t="shared" ca="1" si="957"/>
        <v>0.40061581913774713</v>
      </c>
      <c r="GO80" s="242">
        <f t="shared" ca="1" si="958"/>
        <v>0.40061581913774713</v>
      </c>
      <c r="GP80" s="241">
        <f t="shared" ca="1" si="1341"/>
        <v>1</v>
      </c>
      <c r="GQ80" s="220">
        <f t="shared" ca="1" si="959"/>
        <v>0.9784443542820721</v>
      </c>
      <c r="GR80" s="220">
        <f t="shared" ca="1" si="960"/>
        <v>0</v>
      </c>
      <c r="GS80" s="235">
        <f t="shared" ca="1" si="961"/>
        <v>0.38649749836185404</v>
      </c>
      <c r="GT80" s="235">
        <f t="shared" ca="1" si="962"/>
        <v>0.38649749836185404</v>
      </c>
      <c r="GU80" s="242">
        <f t="shared" ca="1" si="963"/>
        <v>0.38649749836185404</v>
      </c>
      <c r="GV80" s="241">
        <f t="shared" ca="1" si="1341"/>
        <v>1</v>
      </c>
      <c r="GW80" s="220">
        <f t="shared" ca="1" si="964"/>
        <v>0.97697473086194042</v>
      </c>
      <c r="GX80" s="220">
        <f t="shared" ca="1" si="965"/>
        <v>0</v>
      </c>
      <c r="GY80" s="235">
        <f t="shared" ca="1" si="966"/>
        <v>0.37286664649209134</v>
      </c>
      <c r="GZ80" s="235">
        <f t="shared" ca="1" si="967"/>
        <v>0.37286664649209134</v>
      </c>
      <c r="HA80" s="242">
        <f t="shared" ca="1" si="968"/>
        <v>0.37286664649209134</v>
      </c>
      <c r="HB80" s="241">
        <f t="shared" ca="1" si="1341"/>
        <v>1</v>
      </c>
      <c r="HC80" s="220">
        <f t="shared" ca="1" si="969"/>
        <v>0.97547214372587476</v>
      </c>
      <c r="HD80" s="220">
        <f t="shared" ca="1" si="970"/>
        <v>0</v>
      </c>
      <c r="HE80" s="235">
        <f t="shared" ca="1" si="971"/>
        <v>0.35970355322684694</v>
      </c>
      <c r="HF80" s="235">
        <f t="shared" ca="1" si="972"/>
        <v>0.35970355322684694</v>
      </c>
      <c r="HG80" s="242">
        <f t="shared" ca="1" si="973"/>
        <v>0.35970355322684694</v>
      </c>
      <c r="HH80" s="241">
        <f t="shared" ca="1" si="1341"/>
        <v>1</v>
      </c>
      <c r="HI80" s="220">
        <f t="shared" ca="1" si="974"/>
        <v>0.9739299222666441</v>
      </c>
      <c r="HJ80" s="220">
        <f t="shared" ca="1" si="975"/>
        <v>0</v>
      </c>
      <c r="HK80" s="235">
        <f t="shared" ca="1" si="976"/>
        <v>0.34699020474318382</v>
      </c>
      <c r="HL80" s="235">
        <f t="shared" ca="1" si="977"/>
        <v>0.34699020474318382</v>
      </c>
      <c r="HM80" s="242">
        <f t="shared" ca="1" si="978"/>
        <v>0.34699020474318382</v>
      </c>
      <c r="HN80" s="241">
        <f t="shared" ca="1" si="1341"/>
        <v>1</v>
      </c>
      <c r="HO80" s="220">
        <f t="shared" ca="1" si="979"/>
        <v>0.97234631221303847</v>
      </c>
      <c r="HP80" s="220">
        <f t="shared" ca="1" si="980"/>
        <v>0</v>
      </c>
      <c r="HQ80" s="235">
        <f t="shared" ca="1" si="981"/>
        <v>0.33471110982634922</v>
      </c>
      <c r="HR80" s="235">
        <f t="shared" ca="1" si="982"/>
        <v>0.33471110982634922</v>
      </c>
      <c r="HS80" s="242">
        <f t="shared" ca="1" si="983"/>
        <v>0.33471110982634922</v>
      </c>
      <c r="HT80" s="241">
        <f t="shared" ca="1" si="1341"/>
        <v>1</v>
      </c>
      <c r="HU80" s="220">
        <f t="shared" ca="1" si="984"/>
        <v>0.97072346621795491</v>
      </c>
      <c r="HV80" s="220">
        <f t="shared" ca="1" si="985"/>
        <v>0</v>
      </c>
      <c r="HW80" s="235">
        <f t="shared" ca="1" si="986"/>
        <v>0.32285263476719722</v>
      </c>
      <c r="HX80" s="235">
        <f t="shared" ca="1" si="987"/>
        <v>0.32285263476719722</v>
      </c>
      <c r="HY80" s="242">
        <f t="shared" ca="1" si="988"/>
        <v>0.32285263476719722</v>
      </c>
      <c r="HZ80" s="241">
        <f t="shared" ca="1" si="1341"/>
        <v>1</v>
      </c>
      <c r="IA80" s="220">
        <f t="shared" ca="1" si="989"/>
        <v>0.96906158764378969</v>
      </c>
      <c r="IB80" s="220">
        <f t="shared" ca="1" si="990"/>
        <v>0</v>
      </c>
      <c r="IC80" s="235">
        <f t="shared" ca="1" si="991"/>
        <v>0.31140088024780266</v>
      </c>
      <c r="ID80" s="235">
        <f t="shared" ca="1" si="992"/>
        <v>0.31140088024780266</v>
      </c>
      <c r="IE80" s="242">
        <f t="shared" ca="1" si="993"/>
        <v>0.31140088024780266</v>
      </c>
      <c r="IF80" s="241">
        <f t="shared" ca="1" si="1341"/>
        <v>1</v>
      </c>
      <c r="IG80" s="220">
        <f t="shared" ca="1" si="994"/>
        <v>0.96736088455747493</v>
      </c>
      <c r="IH80" s="220">
        <f t="shared" ca="1" si="995"/>
        <v>0</v>
      </c>
      <c r="II80" s="235">
        <f t="shared" ca="1" si="996"/>
        <v>0.30034238811880948</v>
      </c>
      <c r="IJ80" s="235">
        <f t="shared" ca="1" si="997"/>
        <v>0.30034238811880948</v>
      </c>
      <c r="IK80" s="242">
        <f t="shared" ca="1" si="998"/>
        <v>0.30034238811880948</v>
      </c>
      <c r="IL80" s="241">
        <f t="shared" ca="1" si="1341"/>
        <v>1</v>
      </c>
      <c r="IM80" s="220">
        <f t="shared" ca="1" si="999"/>
        <v>0.96561963496527148</v>
      </c>
      <c r="IN80" s="220">
        <f t="shared" ca="1" si="1000"/>
        <v>0</v>
      </c>
      <c r="IO80" s="235">
        <f t="shared" ca="1" si="1001"/>
        <v>0.28966354765236296</v>
      </c>
      <c r="IP80" s="235">
        <f t="shared" ca="1" si="1002"/>
        <v>0.28966354765236296</v>
      </c>
      <c r="IQ80" s="242">
        <f t="shared" ca="1" si="1003"/>
        <v>0.28966354765236296</v>
      </c>
      <c r="IR80" s="241">
        <f t="shared" ca="1" si="1341"/>
        <v>1</v>
      </c>
      <c r="IS80" s="220">
        <f t="shared" ca="1" si="1004"/>
        <v>0.96382841054241086</v>
      </c>
      <c r="IT80" s="220">
        <f t="shared" ca="1" si="1005"/>
        <v>0</v>
      </c>
      <c r="IU80" s="235">
        <f t="shared" ca="1" si="1006"/>
        <v>0.27934900654248102</v>
      </c>
      <c r="IV80" s="235">
        <f t="shared" ca="1" si="1007"/>
        <v>0.27934900654248102</v>
      </c>
      <c r="IW80" s="242">
        <f t="shared" ca="1" si="1008"/>
        <v>0.27934900654248102</v>
      </c>
      <c r="IX80" s="241">
        <f t="shared" ca="1" si="1341"/>
        <v>1</v>
      </c>
      <c r="IY80" s="220">
        <f t="shared" ca="1" si="1009"/>
        <v>0.9619778599941694</v>
      </c>
      <c r="IZ80" s="220">
        <f t="shared" ca="1" si="1010"/>
        <v>0</v>
      </c>
      <c r="JA80" s="235">
        <f t="shared" ca="1" si="1011"/>
        <v>0.26938420913035699</v>
      </c>
      <c r="JB80" s="235">
        <f t="shared" ca="1" si="1012"/>
        <v>0.26938420913035699</v>
      </c>
      <c r="JC80" s="242">
        <f t="shared" ca="1" si="1013"/>
        <v>0.26938420913035699</v>
      </c>
      <c r="JD80" s="241">
        <f t="shared" ca="1" si="1336"/>
        <v>1</v>
      </c>
      <c r="JE80" s="220">
        <f t="shared" ca="1" si="1014"/>
        <v>0.96006544800850102</v>
      </c>
      <c r="JF80" s="220">
        <f t="shared" ca="1" si="1015"/>
        <v>0</v>
      </c>
      <c r="JG80" s="235">
        <f t="shared" ca="1" si="1016"/>
        <v>0.25975717229237277</v>
      </c>
      <c r="JH80" s="235">
        <f t="shared" ca="1" si="1017"/>
        <v>0.25975717229237277</v>
      </c>
      <c r="JI80" s="242">
        <f t="shared" ca="1" si="1018"/>
        <v>0.25975717229237277</v>
      </c>
      <c r="JJ80" s="241">
        <f t="shared" ca="1" si="1336"/>
        <v>1</v>
      </c>
      <c r="JK80" s="220">
        <f t="shared" ca="1" si="1019"/>
        <v>0.9580877131856036</v>
      </c>
      <c r="JL80" s="220">
        <f t="shared" ca="1" si="1020"/>
        <v>0</v>
      </c>
      <c r="JM80" s="235">
        <f t="shared" ca="1" si="1021"/>
        <v>0.25045610871251262</v>
      </c>
      <c r="JN80" s="235">
        <f t="shared" ca="1" si="1022"/>
        <v>0.25045610871251262</v>
      </c>
      <c r="JO80" s="242">
        <f t="shared" ca="1" si="1023"/>
        <v>0.25045610871251262</v>
      </c>
      <c r="JP80" s="241">
        <f t="shared" ca="1" si="1342"/>
        <v>1</v>
      </c>
      <c r="JQ80" s="220">
        <f t="shared" ca="1" si="1024"/>
        <v>0.95603644739167326</v>
      </c>
      <c r="JR80" s="220">
        <f t="shared" ca="1" si="1025"/>
        <v>0</v>
      </c>
      <c r="JS80" s="235">
        <f t="shared" ca="1" si="1026"/>
        <v>0.24146848520169967</v>
      </c>
      <c r="JT80" s="235">
        <f t="shared" ca="1" si="1027"/>
        <v>0.24146848520169967</v>
      </c>
      <c r="JU80" s="242">
        <f t="shared" ca="1" si="1028"/>
        <v>0.24146848520169967</v>
      </c>
      <c r="JV80" s="241">
        <f t="shared" ca="1" si="1342"/>
        <v>1</v>
      </c>
      <c r="JW80" s="220">
        <f t="shared" ca="1" si="1029"/>
        <v>0.95389492574951584</v>
      </c>
      <c r="JX80" s="220">
        <f t="shared" ca="1" si="1030"/>
        <v>0</v>
      </c>
      <c r="JY80" s="235">
        <f t="shared" ca="1" si="1031"/>
        <v>0.23278028579212359</v>
      </c>
      <c r="JZ80" s="235">
        <f t="shared" ca="1" si="1032"/>
        <v>0.23278028579212359</v>
      </c>
      <c r="KA80" s="242">
        <f t="shared" ca="1" si="1033"/>
        <v>0.23278028579212359</v>
      </c>
      <c r="KB80" s="241">
        <f t="shared" ca="1" si="1342"/>
        <v>1</v>
      </c>
      <c r="KC80" s="220">
        <f t="shared" ca="1" si="1034"/>
        <v>0.95164182593489555</v>
      </c>
      <c r="KD80" s="220">
        <f t="shared" ca="1" si="1035"/>
        <v>0</v>
      </c>
      <c r="KE80" s="235">
        <f t="shared" ca="1" si="1036"/>
        <v>0.22437725483776094</v>
      </c>
      <c r="KF80" s="235">
        <f t="shared" ca="1" si="1037"/>
        <v>0.22437725483776094</v>
      </c>
      <c r="KG80" s="242">
        <f t="shared" ca="1" si="1038"/>
        <v>0.22437725483776094</v>
      </c>
      <c r="KH80" s="241">
        <f t="shared" ca="1" si="1342"/>
        <v>1</v>
      </c>
      <c r="KI80" s="220">
        <f t="shared" ca="1" si="1039"/>
        <v>0.94925415659362489</v>
      </c>
      <c r="KJ80" s="220">
        <f t="shared" ca="1" si="1040"/>
        <v>0</v>
      </c>
      <c r="KK80" s="235">
        <f t="shared" ca="1" si="1041"/>
        <v>0.21624569304866956</v>
      </c>
      <c r="KL80" s="235">
        <f t="shared" ca="1" si="1042"/>
        <v>0.21624569304866956</v>
      </c>
      <c r="KM80" s="242">
        <f t="shared" ca="1" si="1043"/>
        <v>0.21624569304866956</v>
      </c>
      <c r="KN80" s="241">
        <f t="shared" ca="1" si="1342"/>
        <v>1</v>
      </c>
      <c r="KO80" s="220">
        <f t="shared" ca="1" si="1044"/>
        <v>0.94670635843732753</v>
      </c>
      <c r="KP80" s="220">
        <f t="shared" ca="1" si="1045"/>
        <v>0</v>
      </c>
      <c r="KQ80" s="235">
        <f t="shared" ca="1" si="1046"/>
        <v>0.2083722604913304</v>
      </c>
      <c r="KR80" s="235">
        <f t="shared" ca="1" si="1047"/>
        <v>0.2083722604913304</v>
      </c>
      <c r="KS80" s="242">
        <f t="shared" ca="1" si="1048"/>
        <v>0.2083722604913304</v>
      </c>
      <c r="KT80" s="241">
        <f t="shared" ca="1" si="1342"/>
        <v>1</v>
      </c>
      <c r="KU80" s="220">
        <f t="shared" ca="1" si="1049"/>
        <v>0.94397037706144371</v>
      </c>
      <c r="KV80" s="220">
        <f t="shared" ca="1" si="1050"/>
        <v>0</v>
      </c>
      <c r="KW80" s="235">
        <f t="shared" ca="1" si="1051"/>
        <v>0.20074402382464779</v>
      </c>
      <c r="KX80" s="235">
        <f t="shared" ca="1" si="1052"/>
        <v>0.20074402382464779</v>
      </c>
      <c r="KY80" s="242">
        <f t="shared" ca="1" si="1053"/>
        <v>0.20074402382464779</v>
      </c>
      <c r="KZ80" s="241">
        <f t="shared" ca="1" si="1342"/>
        <v>1</v>
      </c>
      <c r="LA80" s="220">
        <f t="shared" ca="1" si="1054"/>
        <v>0.94102424551463493</v>
      </c>
      <c r="LB80" s="220">
        <f t="shared" ca="1" si="1055"/>
        <v>0</v>
      </c>
      <c r="LC80" s="235">
        <f t="shared" ca="1" si="1056"/>
        <v>0.19335024321380778</v>
      </c>
      <c r="LD80" s="235">
        <f t="shared" ca="1" si="1057"/>
        <v>0.19335024321380778</v>
      </c>
      <c r="LE80" s="242">
        <f t="shared" ca="1" si="1058"/>
        <v>0.19335024321380778</v>
      </c>
      <c r="LF80" s="241">
        <f t="shared" ca="1" si="1342"/>
        <v>1</v>
      </c>
      <c r="LG80" s="220">
        <f t="shared" ca="1" si="1059"/>
        <v>0.93783793741932242</v>
      </c>
      <c r="LH80" s="220">
        <f t="shared" ca="1" si="1060"/>
        <v>0</v>
      </c>
      <c r="LI80" s="235">
        <f t="shared" ca="1" si="1061"/>
        <v>0.18617928433844047</v>
      </c>
      <c r="LJ80" s="235">
        <f t="shared" ca="1" si="1062"/>
        <v>0.18617928433844047</v>
      </c>
      <c r="LK80" s="242">
        <f t="shared" ca="1" si="1063"/>
        <v>0.18617928433844047</v>
      </c>
      <c r="LL80" s="241">
        <f t="shared" ca="1" si="1342"/>
        <v>1</v>
      </c>
      <c r="LM80" s="220">
        <f t="shared" ca="1" si="1064"/>
        <v>0.93436137218530901</v>
      </c>
      <c r="LN80" s="220">
        <f t="shared" ca="1" si="1065"/>
        <v>0</v>
      </c>
      <c r="LO80" s="235">
        <f t="shared" ca="1" si="1066"/>
        <v>0.17921653887091585</v>
      </c>
      <c r="LP80" s="235">
        <f t="shared" ca="1" si="1067"/>
        <v>0.17921653887091585</v>
      </c>
      <c r="LQ80" s="242">
        <f t="shared" ca="1" si="1068"/>
        <v>0.17921653887091585</v>
      </c>
      <c r="LR80" s="241">
        <f t="shared" ca="1" si="1342"/>
        <v>1</v>
      </c>
      <c r="LS80" s="220">
        <f t="shared" ca="1" si="1069"/>
        <v>0.93053889981169891</v>
      </c>
      <c r="LT80" s="220">
        <f t="shared" ca="1" si="1070"/>
        <v>0</v>
      </c>
      <c r="LU80" s="235">
        <f t="shared" ca="1" si="1071"/>
        <v>0.17244769469603377</v>
      </c>
      <c r="LV80" s="235">
        <f t="shared" ca="1" si="1072"/>
        <v>0.17244769469603377</v>
      </c>
      <c r="LW80" s="242">
        <f t="shared" ca="1" si="1073"/>
        <v>0.17244769469603377</v>
      </c>
      <c r="LX80" s="241">
        <f t="shared" ca="1" si="1342"/>
        <v>1</v>
      </c>
      <c r="LY80" s="220">
        <f t="shared" ca="1" si="1074"/>
        <v>0.92632262805665211</v>
      </c>
      <c r="LZ80" s="220">
        <f t="shared" ca="1" si="1075"/>
        <v>0</v>
      </c>
      <c r="MA80" s="235">
        <f t="shared" ca="1" si="1076"/>
        <v>0.16586119245542613</v>
      </c>
      <c r="MB80" s="235">
        <f t="shared" ca="1" si="1077"/>
        <v>0.16586119245542613</v>
      </c>
      <c r="MC80" s="242">
        <f t="shared" ca="1" si="1078"/>
        <v>0.16586119245542613</v>
      </c>
      <c r="MD80" s="241">
        <f t="shared" ca="1" si="1337"/>
        <v>1</v>
      </c>
      <c r="ME80" s="220">
        <f t="shared" ca="1" si="1079"/>
        <v>0.92167897272220412</v>
      </c>
      <c r="MF80" s="220">
        <f t="shared" ca="1" si="1080"/>
        <v>0</v>
      </c>
      <c r="MG80" s="235">
        <f t="shared" ca="1" si="1081"/>
        <v>0.15944901478033538</v>
      </c>
      <c r="MH80" s="235">
        <f t="shared" ca="1" si="1082"/>
        <v>0.15944901478033538</v>
      </c>
      <c r="MI80" s="242">
        <f t="shared" ca="1" si="1083"/>
        <v>0.15944901478033538</v>
      </c>
      <c r="MJ80" s="241">
        <f t="shared" ca="1" si="1337"/>
        <v>1</v>
      </c>
      <c r="MK80" s="220">
        <f t="shared" ca="1" si="1084"/>
        <v>0.91658761807688671</v>
      </c>
      <c r="ML80" s="220">
        <f t="shared" ca="1" si="1085"/>
        <v>0</v>
      </c>
      <c r="MM80" s="235">
        <f t="shared" ca="1" si="1086"/>
        <v>0.15320600813786359</v>
      </c>
      <c r="MN80" s="235">
        <f t="shared" ca="1" si="1087"/>
        <v>0.15320600813786359</v>
      </c>
      <c r="MO80" s="242">
        <f t="shared" ca="1" si="1088"/>
        <v>0.15320600813786359</v>
      </c>
      <c r="MP80" s="241">
        <f t="shared" ca="1" si="1343"/>
        <v>1</v>
      </c>
      <c r="MQ80" s="220">
        <f t="shared" ca="1" si="1089"/>
        <v>0.91103401369895887</v>
      </c>
      <c r="MR80" s="220">
        <f t="shared" ca="1" si="1090"/>
        <v>0</v>
      </c>
      <c r="MS80" s="235">
        <f t="shared" ca="1" si="1091"/>
        <v>0.1471282443812138</v>
      </c>
      <c r="MT80" s="235">
        <f t="shared" ca="1" si="1092"/>
        <v>0.1471282443812138</v>
      </c>
      <c r="MU80" s="242">
        <f t="shared" ca="1" si="1093"/>
        <v>0.1471282443812138</v>
      </c>
      <c r="MV80" s="241">
        <f t="shared" ca="1" si="1343"/>
        <v>1</v>
      </c>
      <c r="MW80" s="220">
        <f t="shared" ca="1" si="1094"/>
        <v>0.90501116783439506</v>
      </c>
      <c r="MX80" s="220">
        <f t="shared" ca="1" si="1095"/>
        <v>0</v>
      </c>
      <c r="MY80" s="235">
        <f t="shared" ca="1" si="1096"/>
        <v>0.14121312034551653</v>
      </c>
      <c r="MZ80" s="235">
        <f t="shared" ca="1" si="1097"/>
        <v>0.14121312034551653</v>
      </c>
      <c r="NA80" s="242">
        <f t="shared" ca="1" si="1098"/>
        <v>0.14121312034551653</v>
      </c>
      <c r="NB80" s="241">
        <f t="shared" ca="1" si="1343"/>
        <v>1</v>
      </c>
      <c r="NC80" s="220">
        <f t="shared" ca="1" si="1099"/>
        <v>0.89850685257116925</v>
      </c>
      <c r="ND80" s="220">
        <f t="shared" ca="1" si="1100"/>
        <v>0</v>
      </c>
      <c r="NE80" s="235">
        <f t="shared" ca="1" si="1101"/>
        <v>0.13545721898511429</v>
      </c>
      <c r="NF80" s="235">
        <f t="shared" ca="1" si="1102"/>
        <v>0.13545721898511429</v>
      </c>
      <c r="NG80" s="242">
        <f t="shared" ca="1" si="1103"/>
        <v>0.13545721898511429</v>
      </c>
      <c r="NH80" s="241">
        <f t="shared" ca="1" si="1343"/>
        <v>1</v>
      </c>
      <c r="NI80" s="220">
        <f t="shared" ca="1" si="1104"/>
        <v>0.89149849912111412</v>
      </c>
      <c r="NJ80" s="220">
        <f t="shared" ca="1" si="1105"/>
        <v>0</v>
      </c>
      <c r="NK80" s="235">
        <f t="shared" ca="1" si="1106"/>
        <v>0.12985570306959462</v>
      </c>
      <c r="NL80" s="235">
        <f t="shared" ca="1" si="1107"/>
        <v>0.12985570306959462</v>
      </c>
      <c r="NM80" s="242">
        <f t="shared" ca="1" si="1108"/>
        <v>0.12985570306959462</v>
      </c>
      <c r="NN80" s="241">
        <f t="shared" ca="1" si="1343"/>
        <v>1</v>
      </c>
      <c r="NO80" s="220">
        <f t="shared" ca="1" si="1109"/>
        <v>0.88395998781254592</v>
      </c>
      <c r="NP80" s="220">
        <f t="shared" ca="1" si="1110"/>
        <v>0</v>
      </c>
      <c r="NQ80" s="235">
        <f t="shared" ca="1" si="1111"/>
        <v>0.12440352004293539</v>
      </c>
      <c r="NR80" s="235">
        <f t="shared" ca="1" si="1112"/>
        <v>0.12440352004293539</v>
      </c>
      <c r="NS80" s="242">
        <f t="shared" ca="1" si="1113"/>
        <v>0.12440352004293539</v>
      </c>
      <c r="NT80" s="241">
        <f t="shared" ca="1" si="1343"/>
        <v>1</v>
      </c>
      <c r="NU80" s="220">
        <f t="shared" ca="1" si="1114"/>
        <v>0.87587705768398794</v>
      </c>
      <c r="NV80" s="220">
        <f t="shared" ca="1" si="1115"/>
        <v>0</v>
      </c>
      <c r="NW80" s="235">
        <f t="shared" ca="1" si="1116"/>
        <v>0.11909755966730703</v>
      </c>
      <c r="NX80" s="235">
        <f t="shared" ca="1" si="1117"/>
        <v>0.11909755966730703</v>
      </c>
      <c r="NY80" s="242">
        <f t="shared" ca="1" si="1118"/>
        <v>0.11909755966730703</v>
      </c>
      <c r="NZ80" s="241">
        <f t="shared" ca="1" si="1343"/>
        <v>1</v>
      </c>
      <c r="OA80" s="220">
        <f t="shared" ca="1" si="1119"/>
        <v>0.86723653050993543</v>
      </c>
      <c r="OB80" s="220">
        <f t="shared" ca="1" si="1120"/>
        <v>0</v>
      </c>
      <c r="OC80" s="235">
        <f t="shared" ca="1" si="1121"/>
        <v>0.11393493936346769</v>
      </c>
      <c r="OD80" s="235">
        <f t="shared" ca="1" si="1122"/>
        <v>0.11393493936346769</v>
      </c>
      <c r="OE80" s="242">
        <f t="shared" ca="1" si="1123"/>
        <v>0.11393493936346769</v>
      </c>
      <c r="OF80" s="241">
        <f t="shared" ca="1" si="1343"/>
        <v>1</v>
      </c>
      <c r="OG80" s="220">
        <f t="shared" ca="1" si="1124"/>
        <v>0.85802474408285889</v>
      </c>
      <c r="OH80" s="220">
        <f t="shared" ca="1" si="1125"/>
        <v>0</v>
      </c>
      <c r="OI80" s="235">
        <f t="shared" ca="1" si="1126"/>
        <v>0.10891277530197965</v>
      </c>
      <c r="OJ80" s="235">
        <f t="shared" ca="1" si="1127"/>
        <v>0.10891277530197965</v>
      </c>
      <c r="OK80" s="242">
        <f t="shared" ca="1" si="1128"/>
        <v>0.10891277530197965</v>
      </c>
      <c r="OL80" s="241">
        <f t="shared" ca="1" si="1343"/>
        <v>1</v>
      </c>
      <c r="OM80" s="220">
        <f t="shared" ca="1" si="1129"/>
        <v>0.84819349656515752</v>
      </c>
      <c r="ON80" s="220">
        <f t="shared" ca="1" si="1130"/>
        <v>0</v>
      </c>
      <c r="OO80" s="235">
        <f t="shared" ca="1" si="1131"/>
        <v>0.10402401229233778</v>
      </c>
      <c r="OP80" s="235">
        <f t="shared" ca="1" si="1132"/>
        <v>0.10402401229233778</v>
      </c>
      <c r="OQ80" s="242">
        <f t="shared" ca="1" si="1133"/>
        <v>0.10402401229233778</v>
      </c>
      <c r="OR80" s="241">
        <f t="shared" ca="1" si="1343"/>
        <v>1</v>
      </c>
      <c r="OS80" s="220">
        <f t="shared" ca="1" si="1134"/>
        <v>0.83771830688257787</v>
      </c>
      <c r="OT80" s="220">
        <f t="shared" ca="1" si="1135"/>
        <v>0</v>
      </c>
      <c r="OU80" s="235">
        <f t="shared" ca="1" si="1136"/>
        <v>9.9265039362828419E-2</v>
      </c>
      <c r="OV80" s="235">
        <f t="shared" ca="1" si="1137"/>
        <v>9.9265039362828419E-2</v>
      </c>
      <c r="OW80" s="242">
        <f t="shared" ca="1" si="1138"/>
        <v>9.9265039362828419E-2</v>
      </c>
      <c r="OX80" s="241">
        <f t="shared" ca="1" si="1343"/>
        <v>1</v>
      </c>
      <c r="OY80" s="220">
        <f t="shared" ca="1" si="1139"/>
        <v>0.82663110509098692</v>
      </c>
      <c r="OZ80" s="220">
        <f t="shared" ca="1" si="1140"/>
        <v>0</v>
      </c>
      <c r="PA80" s="235">
        <f t="shared" ca="1" si="1141"/>
        <v>9.4638904895518239E-2</v>
      </c>
      <c r="PB80" s="235">
        <f t="shared" ca="1" si="1142"/>
        <v>9.4638904895518239E-2</v>
      </c>
      <c r="PC80" s="242">
        <f t="shared" ca="1" si="1143"/>
        <v>9.4638904895518239E-2</v>
      </c>
      <c r="PD80" s="241">
        <f t="shared" ca="1" si="1338"/>
        <v>1</v>
      </c>
      <c r="PE80" s="220">
        <f t="shared" ca="1" si="1144"/>
        <v>0.81497808640251923</v>
      </c>
      <c r="PF80" s="220">
        <f t="shared" ca="1" si="1145"/>
        <v>0</v>
      </c>
      <c r="PG80" s="235">
        <f t="shared" ca="1" si="1146"/>
        <v>9.0149546138363415E-2</v>
      </c>
      <c r="PH80" s="235">
        <f t="shared" ca="1" si="1147"/>
        <v>9.0149546138363415E-2</v>
      </c>
      <c r="PI80" s="242">
        <f t="shared" ca="1" si="1148"/>
        <v>9.0149546138363415E-2</v>
      </c>
      <c r="PJ80" s="241">
        <f t="shared" ca="1" si="1338"/>
        <v>1</v>
      </c>
      <c r="PK80" s="220">
        <f t="shared" ca="1" si="1149"/>
        <v>0.80277052964629592</v>
      </c>
      <c r="PL80" s="220">
        <f t="shared" ca="1" si="1150"/>
        <v>0</v>
      </c>
      <c r="PM80" s="235">
        <f t="shared" ca="1" si="1151"/>
        <v>8.5796324721504238E-2</v>
      </c>
      <c r="PN80" s="235">
        <f t="shared" ca="1" si="1152"/>
        <v>8.5796324721504238E-2</v>
      </c>
      <c r="PO80" s="242">
        <f t="shared" ca="1" si="1153"/>
        <v>8.5796324721504238E-2</v>
      </c>
      <c r="PP80" s="241">
        <f t="shared" ca="1" si="1344"/>
        <v>1</v>
      </c>
      <c r="PQ80" s="220">
        <f t="shared" ca="1" si="1154"/>
        <v>0.78995269259943357</v>
      </c>
      <c r="PR80" s="220">
        <f t="shared" ca="1" si="1155"/>
        <v>0</v>
      </c>
      <c r="PS80" s="235">
        <f t="shared" ca="1" si="1156"/>
        <v>8.1571415270218356E-2</v>
      </c>
      <c r="PT80" s="235">
        <f t="shared" ca="1" si="1157"/>
        <v>8.1571415270218356E-2</v>
      </c>
      <c r="PU80" s="242">
        <f t="shared" ca="1" si="1158"/>
        <v>8.1571415270218356E-2</v>
      </c>
      <c r="PV80" s="241">
        <f t="shared" ca="1" si="1344"/>
        <v>1</v>
      </c>
      <c r="PW80" s="220">
        <f t="shared" ca="1" si="1159"/>
        <v>0.77643739198174988</v>
      </c>
      <c r="PX80" s="220">
        <f t="shared" ca="1" si="1160"/>
        <v>0</v>
      </c>
      <c r="PY80" s="235">
        <f t="shared" ca="1" si="1161"/>
        <v>7.7464550653488104E-2</v>
      </c>
      <c r="PZ80" s="235">
        <f t="shared" ca="1" si="1162"/>
        <v>7.7464550653488104E-2</v>
      </c>
      <c r="QA80" s="242">
        <f t="shared" ca="1" si="1163"/>
        <v>7.7464550653488104E-2</v>
      </c>
      <c r="QB80" s="241">
        <f t="shared" ca="1" si="1344"/>
        <v>1</v>
      </c>
      <c r="QC80" s="220">
        <f t="shared" ca="1" si="1164"/>
        <v>0.76215715546842155</v>
      </c>
      <c r="QD80" s="220">
        <f t="shared" ca="1" si="1165"/>
        <v>0</v>
      </c>
      <c r="QE80" s="235">
        <f t="shared" ca="1" si="1166"/>
        <v>7.3468427669438799E-2</v>
      </c>
      <c r="QF80" s="235">
        <f t="shared" ca="1" si="1167"/>
        <v>7.3468427669438799E-2</v>
      </c>
      <c r="QG80" s="242">
        <f t="shared" ca="1" si="1168"/>
        <v>7.3468427669438799E-2</v>
      </c>
      <c r="QH80" s="241">
        <f t="shared" ca="1" si="1344"/>
        <v>1</v>
      </c>
      <c r="QI80" s="220">
        <f t="shared" ca="1" si="1169"/>
        <v>0.74703900613254992</v>
      </c>
      <c r="QJ80" s="220">
        <f t="shared" ca="1" si="1170"/>
        <v>0</v>
      </c>
      <c r="QK80" s="235">
        <f t="shared" ca="1" si="1171"/>
        <v>6.9575949698732195E-2</v>
      </c>
      <c r="QL80" s="235">
        <f t="shared" ca="1" si="1172"/>
        <v>6.9575949698732195E-2</v>
      </c>
      <c r="QM80" s="242">
        <f t="shared" ca="1" si="1173"/>
        <v>6.9575949698732195E-2</v>
      </c>
      <c r="QN80" s="241">
        <f t="shared" ca="1" si="1344"/>
        <v>1</v>
      </c>
      <c r="QO80" s="220">
        <f t="shared" ca="1" si="1174"/>
        <v>0.73100381386591473</v>
      </c>
      <c r="QP80" s="220">
        <f t="shared" ca="1" si="1175"/>
        <v>0</v>
      </c>
      <c r="QQ80" s="235">
        <f t="shared" ca="1" si="1176"/>
        <v>6.5780195109612458E-2</v>
      </c>
      <c r="QR80" s="235">
        <f t="shared" ca="1" si="1177"/>
        <v>6.5780195109612458E-2</v>
      </c>
      <c r="QS80" s="242">
        <f t="shared" ca="1" si="1178"/>
        <v>6.5780195109612458E-2</v>
      </c>
      <c r="QT80" s="241">
        <f t="shared" ca="1" si="1344"/>
        <v>1</v>
      </c>
      <c r="QU80" s="220">
        <f t="shared" ca="1" si="1179"/>
        <v>0.71393414380833176</v>
      </c>
      <c r="QV80" s="220">
        <f t="shared" ca="1" si="1180"/>
        <v>0</v>
      </c>
      <c r="QW80" s="235">
        <f t="shared" ca="1" si="1181"/>
        <v>6.2071653887543876E-2</v>
      </c>
      <c r="QX80" s="235">
        <f t="shared" ca="1" si="1182"/>
        <v>6.2071653887543876E-2</v>
      </c>
      <c r="QY80" s="242">
        <f t="shared" ca="1" si="1183"/>
        <v>6.2071653887543876E-2</v>
      </c>
      <c r="QZ80" s="241">
        <f t="shared" ca="1" si="1344"/>
        <v>1</v>
      </c>
      <c r="RA80" s="220">
        <f t="shared" ca="1" si="1184"/>
        <v>0.69574167395580788</v>
      </c>
      <c r="RB80" s="220">
        <f t="shared" ca="1" si="1185"/>
        <v>0</v>
      </c>
      <c r="RC80" s="235">
        <f t="shared" ca="1" si="1186"/>
        <v>5.8444390341238162E-2</v>
      </c>
      <c r="RD80" s="235">
        <f t="shared" ca="1" si="1187"/>
        <v>5.8444390341238162E-2</v>
      </c>
      <c r="RE80" s="242">
        <f t="shared" ca="1" si="1188"/>
        <v>5.8444390341238162E-2</v>
      </c>
      <c r="RF80" s="241">
        <f t="shared" ca="1" si="1344"/>
        <v>1</v>
      </c>
      <c r="RG80" s="220">
        <f t="shared" ca="1" si="1189"/>
        <v>0.67640422986988014</v>
      </c>
      <c r="RH80" s="220">
        <f t="shared" ca="1" si="1190"/>
        <v>0</v>
      </c>
      <c r="RI80" s="235">
        <f t="shared" ca="1" si="1191"/>
        <v>5.4898538121829751E-2</v>
      </c>
      <c r="RJ80" s="235">
        <f t="shared" ca="1" si="1192"/>
        <v>5.4898538121829751E-2</v>
      </c>
      <c r="RK80" s="242">
        <f t="shared" ca="1" si="1193"/>
        <v>5.4898538121829751E-2</v>
      </c>
      <c r="RL80" s="241">
        <f t="shared" ca="1" si="1344"/>
        <v>1</v>
      </c>
      <c r="RM80" s="220">
        <f t="shared" ca="1" si="1194"/>
        <v>0.65592135698096043</v>
      </c>
      <c r="RN80" s="220">
        <f t="shared" ca="1" si="1195"/>
        <v>0</v>
      </c>
      <c r="RO80" s="235">
        <f t="shared" ca="1" si="1196"/>
        <v>5.1435845981086484E-2</v>
      </c>
      <c r="RP80" s="235">
        <f t="shared" ca="1" si="1197"/>
        <v>5.1435845981086484E-2</v>
      </c>
      <c r="RQ80" s="242">
        <f t="shared" ca="1" si="1198"/>
        <v>5.1435845981086484E-2</v>
      </c>
      <c r="RR80" s="241">
        <f t="shared" ca="1" si="1344"/>
        <v>1</v>
      </c>
      <c r="RS80" s="220">
        <f t="shared" ca="1" si="1199"/>
        <v>0.63426152193073515</v>
      </c>
      <c r="RT80" s="220">
        <f t="shared" ca="1" si="1200"/>
        <v>0</v>
      </c>
      <c r="RU80" s="235">
        <f t="shared" ca="1" si="1201"/>
        <v>4.8055392729564286E-2</v>
      </c>
      <c r="RV80" s="235">
        <f t="shared" ca="1" si="1202"/>
        <v>4.8055392729564286E-2</v>
      </c>
      <c r="RW80" s="242">
        <f t="shared" ca="1" si="1203"/>
        <v>4.8055392729564286E-2</v>
      </c>
      <c r="RX80" s="241">
        <f t="shared" ca="1" si="1344"/>
        <v>1</v>
      </c>
      <c r="RY80" s="220">
        <f t="shared" ca="1" si="1204"/>
        <v>0.61130062057532053</v>
      </c>
      <c r="RZ80" s="220">
        <f t="shared" ca="1" si="1205"/>
        <v>0</v>
      </c>
      <c r="SA80" s="235">
        <f t="shared" ca="1" si="1206"/>
        <v>4.4749506722088245E-2</v>
      </c>
      <c r="SB80" s="235">
        <f t="shared" ca="1" si="1207"/>
        <v>4.4749506722088245E-2</v>
      </c>
      <c r="SC80" s="242">
        <f t="shared" ca="1" si="1208"/>
        <v>4.4749506722088245E-2</v>
      </c>
      <c r="SD80" s="241">
        <f t="shared" ca="1" si="1339"/>
        <v>1</v>
      </c>
      <c r="SE80" s="220">
        <f t="shared" ca="1" si="1209"/>
        <v>0.58693540044042947</v>
      </c>
      <c r="SF80" s="220">
        <f t="shared" ca="1" si="1210"/>
        <v>0</v>
      </c>
      <c r="SG80" s="235">
        <f t="shared" ca="1" si="1211"/>
        <v>4.1512928389525854E-2</v>
      </c>
      <c r="SH80" s="235">
        <f t="shared" ca="1" si="1212"/>
        <v>4.1512928389525854E-2</v>
      </c>
      <c r="SI80" s="242">
        <f t="shared" ca="1" si="1213"/>
        <v>4.1512928389525854E-2</v>
      </c>
      <c r="SJ80" s="241">
        <f t="shared" ca="1" si="1339"/>
        <v>1</v>
      </c>
      <c r="SK80" s="220">
        <f t="shared" ca="1" si="1214"/>
        <v>0.56117421877969853</v>
      </c>
      <c r="SL80" s="220">
        <f t="shared" ca="1" si="1215"/>
        <v>0</v>
      </c>
      <c r="SM80" s="235">
        <f t="shared" ca="1" si="1216"/>
        <v>3.8348680627614658E-2</v>
      </c>
      <c r="SN80" s="235">
        <f t="shared" ca="1" si="1217"/>
        <v>3.8348680627614658E-2</v>
      </c>
      <c r="SO80" s="242">
        <f t="shared" ca="1" si="1218"/>
        <v>3.8348680627614658E-2</v>
      </c>
      <c r="SP80" s="241">
        <f t="shared" ref="SP80:UX86" ca="1" si="1347">IF(($B80+SP$2)&lt;SC_TargetRY,0,IF(($B80+SP$2)=SC_TargetRY,SC_AnnyPmntPr,IF(SP_AnnyTerms="Life",1,IF(($B80+SP$2)=(SC_TargetRY+SP_AnnyPeriod),SC_AnnyPmntPr-1,IF(($B80+SP$2)&gt;(SC_TargetRY+SP_AnnyPeriod),0,1)))))</f>
        <v>1</v>
      </c>
      <c r="SQ80" s="220">
        <f t="shared" ca="1" si="1219"/>
        <v>0.5340633310962325</v>
      </c>
      <c r="SR80" s="220">
        <f t="shared" ca="1" si="1220"/>
        <v>0</v>
      </c>
      <c r="SS80" s="235">
        <f t="shared" ca="1" si="1221"/>
        <v>3.5261852674216394E-2</v>
      </c>
      <c r="ST80" s="235">
        <f t="shared" ca="1" si="1222"/>
        <v>3.5261852674216394E-2</v>
      </c>
      <c r="SU80" s="242">
        <f t="shared" ca="1" si="1223"/>
        <v>3.5261852674216394E-2</v>
      </c>
      <c r="SV80" s="241">
        <f t="shared" ca="1" si="1347"/>
        <v>1</v>
      </c>
      <c r="SW80" s="220">
        <f t="shared" ca="1" si="1224"/>
        <v>0.50563620810864218</v>
      </c>
      <c r="SX80" s="220">
        <f t="shared" ca="1" si="1225"/>
        <v>0</v>
      </c>
      <c r="SY80" s="235">
        <f t="shared" ca="1" si="1226"/>
        <v>3.2255975632920972E-2</v>
      </c>
      <c r="SZ80" s="235">
        <f t="shared" ca="1" si="1227"/>
        <v>3.2255975632920972E-2</v>
      </c>
      <c r="TA80" s="242">
        <f t="shared" ca="1" si="1228"/>
        <v>3.2255975632920972E-2</v>
      </c>
      <c r="TB80" s="241">
        <f t="shared" ca="1" si="1347"/>
        <v>1</v>
      </c>
      <c r="TC80" s="220">
        <f t="shared" ca="1" si="1229"/>
        <v>0.47585575235966748</v>
      </c>
      <c r="TD80" s="220">
        <f t="shared" ca="1" si="1230"/>
        <v>0</v>
      </c>
      <c r="TE80" s="235">
        <f t="shared" ca="1" si="1231"/>
        <v>2.9329657426153458E-2</v>
      </c>
      <c r="TF80" s="235">
        <f t="shared" ca="1" si="1232"/>
        <v>2.9329657426153458E-2</v>
      </c>
      <c r="TG80" s="242">
        <f t="shared" ca="1" si="1233"/>
        <v>2.9329657426153458E-2</v>
      </c>
      <c r="TH80" s="241">
        <f t="shared" ca="1" si="1347"/>
        <v>1</v>
      </c>
      <c r="TI80" s="220">
        <f t="shared" ca="1" si="1234"/>
        <v>0.4447514411066778</v>
      </c>
      <c r="TJ80" s="220">
        <f t="shared" ca="1" si="1235"/>
        <v>0</v>
      </c>
      <c r="TK80" s="235">
        <f t="shared" ca="1" si="1236"/>
        <v>2.6485530790814431E-2</v>
      </c>
      <c r="TL80" s="235">
        <f t="shared" ca="1" si="1237"/>
        <v>2.6485530790814431E-2</v>
      </c>
      <c r="TM80" s="242">
        <f t="shared" ca="1" si="1238"/>
        <v>2.6485530790814431E-2</v>
      </c>
      <c r="TN80" s="241">
        <f t="shared" ca="1" si="1347"/>
        <v>1</v>
      </c>
      <c r="TO80" s="220">
        <f t="shared" ca="1" si="1239"/>
        <v>0.41251096438941365</v>
      </c>
      <c r="TP80" s="220">
        <f t="shared" ca="1" si="1240"/>
        <v>0</v>
      </c>
      <c r="TQ80" s="235">
        <f t="shared" ca="1" si="1241"/>
        <v>2.3734848481408222E-2</v>
      </c>
      <c r="TR80" s="235">
        <f t="shared" ca="1" si="1242"/>
        <v>2.3734848481408222E-2</v>
      </c>
      <c r="TS80" s="242">
        <f t="shared" ca="1" si="1243"/>
        <v>2.3734848481408222E-2</v>
      </c>
      <c r="TT80" s="241">
        <f t="shared" ca="1" si="1347"/>
        <v>1</v>
      </c>
      <c r="TU80" s="220">
        <f t="shared" ca="1" si="1244"/>
        <v>0.37939128408051637</v>
      </c>
      <c r="TV80" s="220">
        <f t="shared" ca="1" si="1245"/>
        <v>0</v>
      </c>
      <c r="TW80" s="235">
        <f t="shared" ca="1" si="1246"/>
        <v>2.1091038615007652E-2</v>
      </c>
      <c r="TX80" s="235">
        <f t="shared" ca="1" si="1247"/>
        <v>2.1091038615007652E-2</v>
      </c>
      <c r="TY80" s="242">
        <f t="shared" ca="1" si="1248"/>
        <v>2.1091038615007652E-2</v>
      </c>
      <c r="TZ80" s="241">
        <f t="shared" ca="1" si="1347"/>
        <v>1</v>
      </c>
      <c r="UA80" s="220">
        <f t="shared" ca="1" si="1249"/>
        <v>0.34565732866521315</v>
      </c>
      <c r="UB80" s="220">
        <f t="shared" ca="1" si="1250"/>
        <v>0</v>
      </c>
      <c r="UC80" s="235">
        <f t="shared" ca="1" si="1251"/>
        <v>1.8565901280691431E-2</v>
      </c>
      <c r="UD80" s="235">
        <f t="shared" ca="1" si="1252"/>
        <v>1.8565901280691431E-2</v>
      </c>
      <c r="UE80" s="242">
        <f t="shared" ca="1" si="1253"/>
        <v>1.8565901280691431E-2</v>
      </c>
      <c r="UF80" s="241">
        <f t="shared" ca="1" si="1347"/>
        <v>1</v>
      </c>
      <c r="UG80" s="220">
        <f t="shared" ca="1" si="1254"/>
        <v>0.31158381183471112</v>
      </c>
      <c r="UH80" s="220">
        <f t="shared" ca="1" si="1255"/>
        <v>0</v>
      </c>
      <c r="UI80" s="235">
        <f t="shared" ca="1" si="1256"/>
        <v>1.6169805793281151E-2</v>
      </c>
      <c r="UJ80" s="235">
        <f t="shared" ca="1" si="1257"/>
        <v>1.6169805793281151E-2</v>
      </c>
      <c r="UK80" s="242">
        <f t="shared" ca="1" si="1258"/>
        <v>1.6169805793281151E-2</v>
      </c>
      <c r="UL80" s="241">
        <f t="shared" ca="1" si="1347"/>
        <v>1</v>
      </c>
      <c r="UM80" s="220">
        <f t="shared" ca="1" si="1259"/>
        <v>0.27748470263514402</v>
      </c>
      <c r="UN80" s="220">
        <f t="shared" ca="1" si="1260"/>
        <v>0</v>
      </c>
      <c r="UO80" s="235">
        <f t="shared" ca="1" si="1261"/>
        <v>1.3913250808575896E-2</v>
      </c>
      <c r="UP80" s="235">
        <f t="shared" ca="1" si="1262"/>
        <v>1.3913250808575896E-2</v>
      </c>
      <c r="UQ80" s="242">
        <f t="shared" ca="1" si="1263"/>
        <v>1.3913250808575896E-2</v>
      </c>
      <c r="UR80" s="241">
        <f t="shared" ca="1" si="1347"/>
        <v>1</v>
      </c>
      <c r="US80" s="220">
        <f t="shared" ca="1" si="1264"/>
        <v>0.24373729058536042</v>
      </c>
      <c r="UT80" s="220">
        <f t="shared" ca="1" si="1265"/>
        <v>0</v>
      </c>
      <c r="UU80" s="235">
        <f t="shared" ca="1" si="1266"/>
        <v>1.1807860056509861E-2</v>
      </c>
      <c r="UV80" s="235">
        <f t="shared" ca="1" si="1267"/>
        <v>1.1807860056509861E-2</v>
      </c>
      <c r="UW80" s="242">
        <f t="shared" ca="1" si="1268"/>
        <v>1.1807860056509861E-2</v>
      </c>
      <c r="UX80" s="241">
        <f t="shared" ca="1" si="1347"/>
        <v>1</v>
      </c>
      <c r="UY80" s="220">
        <f t="shared" ca="1" si="1269"/>
        <v>0.21078985859319374</v>
      </c>
      <c r="UZ80" s="220">
        <f t="shared" ca="1" si="1270"/>
        <v>0</v>
      </c>
      <c r="VA80" s="235">
        <f t="shared" ca="1" si="1271"/>
        <v>9.866396874889936E-3</v>
      </c>
      <c r="VB80" s="235">
        <f t="shared" ca="1" si="1272"/>
        <v>9.866396874889936E-3</v>
      </c>
      <c r="VC80" s="242">
        <f t="shared" ca="1" si="1273"/>
        <v>9.866396874889936E-3</v>
      </c>
      <c r="VD80" s="241">
        <f t="shared" ca="1" si="1345"/>
        <v>1</v>
      </c>
      <c r="VE80" s="220">
        <f t="shared" ca="1" si="1274"/>
        <v>0.17914840370962801</v>
      </c>
      <c r="VF80" s="220">
        <f t="shared" ca="1" si="1275"/>
        <v>0</v>
      </c>
      <c r="VG80" s="235">
        <f t="shared" ca="1" si="1276"/>
        <v>8.1017989433788233E-3</v>
      </c>
      <c r="VH80" s="235">
        <f t="shared" ca="1" si="1277"/>
        <v>8.1017989433788233E-3</v>
      </c>
      <c r="VI80" s="242">
        <f t="shared" ca="1" si="1278"/>
        <v>8.1017989433788233E-3</v>
      </c>
      <c r="VJ80" s="241">
        <f t="shared" ca="1" si="1345"/>
        <v>1</v>
      </c>
      <c r="VK80" s="220">
        <f t="shared" ca="1" si="1279"/>
        <v>0.14933864677755704</v>
      </c>
      <c r="VL80" s="220">
        <f t="shared" ca="1" si="1280"/>
        <v>0</v>
      </c>
      <c r="VM80" s="235">
        <f t="shared" ca="1" si="1281"/>
        <v>6.5252984585482295E-3</v>
      </c>
      <c r="VN80" s="235">
        <f t="shared" ca="1" si="1282"/>
        <v>6.5252984585482295E-3</v>
      </c>
      <c r="VO80" s="242">
        <f t="shared" ca="1" si="1283"/>
        <v>6.5252984585482295E-3</v>
      </c>
      <c r="VP80" s="241">
        <f t="shared" ca="1" si="567"/>
        <v>1</v>
      </c>
      <c r="VQ80" s="220">
        <f t="shared" ca="1" si="1284"/>
        <v>0.12186078378642688</v>
      </c>
      <c r="VR80" s="220">
        <f t="shared" ca="1" si="1285"/>
        <v>0</v>
      </c>
      <c r="VS80" s="235">
        <f t="shared" ca="1" si="1286"/>
        <v>5.1446020464451514E-3</v>
      </c>
      <c r="VT80" s="235">
        <f t="shared" ca="1" si="1287"/>
        <v>5.1446020464451514E-3</v>
      </c>
      <c r="VU80" s="242">
        <f t="shared" ca="1" si="1288"/>
        <v>5.1446020464451514E-3</v>
      </c>
      <c r="VV80" s="241">
        <f t="shared" ca="1" si="1335"/>
        <v>1</v>
      </c>
      <c r="VW80" s="220">
        <f t="shared" ca="1" si="1289"/>
        <v>9.714071449143126E-2</v>
      </c>
      <c r="VX80" s="220">
        <f t="shared" ca="1" si="1290"/>
        <v>0</v>
      </c>
      <c r="VY80" s="235">
        <f t="shared" ca="1" si="1291"/>
        <v>3.9623128486120972E-3</v>
      </c>
      <c r="VZ80" s="235">
        <f t="shared" ca="1" si="1292"/>
        <v>3.9623128486120972E-3</v>
      </c>
      <c r="WA80" s="242">
        <f t="shared" ca="1" si="1293"/>
        <v>3.9623128486120972E-3</v>
      </c>
      <c r="WB80" s="241">
        <f t="shared" ca="1" si="1335"/>
        <v>1</v>
      </c>
      <c r="WC80" s="220">
        <f t="shared" ca="1" si="1294"/>
        <v>7.5486980683431834E-2</v>
      </c>
      <c r="WD80" s="220">
        <f t="shared" ca="1" si="1295"/>
        <v>0</v>
      </c>
      <c r="WE80" s="235">
        <f t="shared" ca="1" si="1296"/>
        <v>2.9749465982754843E-3</v>
      </c>
      <c r="WF80" s="235">
        <f t="shared" ca="1" si="1297"/>
        <v>2.9749465982754843E-3</v>
      </c>
      <c r="WG80" s="242">
        <f t="shared" ca="1" si="1298"/>
        <v>2.9749465982754843E-3</v>
      </c>
      <c r="WH80" s="241">
        <f t="shared" ca="1" si="1335"/>
        <v>1</v>
      </c>
      <c r="WI80" s="220">
        <f t="shared" ca="1" si="1299"/>
        <v>5.7061061620490225E-2</v>
      </c>
      <c r="WJ80" s="220">
        <f t="shared" ca="1" si="1300"/>
        <v>0</v>
      </c>
      <c r="WK80" s="235">
        <f t="shared" ca="1" si="1301"/>
        <v>2.1727342833971291E-3</v>
      </c>
      <c r="WL80" s="235">
        <f t="shared" ca="1" si="1302"/>
        <v>2.1727342833971291E-3</v>
      </c>
      <c r="WM80" s="242">
        <f t="shared" ca="1" si="1303"/>
        <v>2.1727342833971291E-3</v>
      </c>
      <c r="WN80" s="241">
        <f t="shared" ca="1" si="1335"/>
        <v>1</v>
      </c>
      <c r="WO80" s="220">
        <f t="shared" ca="1" si="1304"/>
        <v>4.1934687734452851E-2</v>
      </c>
      <c r="WP80" s="220">
        <f t="shared" ca="1" si="1305"/>
        <v>0</v>
      </c>
      <c r="WQ80" s="235">
        <f t="shared" ca="1" si="1306"/>
        <v>1.5427651975624165E-3</v>
      </c>
      <c r="WR80" s="235">
        <f t="shared" ca="1" si="1307"/>
        <v>1.5427651975624165E-3</v>
      </c>
      <c r="WS80" s="242">
        <f t="shared" ca="1" si="1308"/>
        <v>1.5427651975624165E-3</v>
      </c>
      <c r="WT80" s="241">
        <f t="shared" ca="1" si="1335"/>
        <v>1</v>
      </c>
      <c r="WU80" s="220">
        <f t="shared" ca="1" si="1309"/>
        <v>2.9961998908764689E-2</v>
      </c>
      <c r="WV80" s="220">
        <f t="shared" ca="1" si="1310"/>
        <v>0</v>
      </c>
      <c r="WW80" s="235">
        <f t="shared" ca="1" si="1311"/>
        <v>1.0650177696007403E-3</v>
      </c>
      <c r="WX80" s="235">
        <f t="shared" ca="1" si="1312"/>
        <v>1.0650177696007403E-3</v>
      </c>
      <c r="WY80" s="242">
        <f t="shared" ca="1" si="1313"/>
        <v>1.0650177696007403E-3</v>
      </c>
      <c r="WZ80" s="241">
        <f t="shared" ca="1" si="1335"/>
        <v>1</v>
      </c>
      <c r="XA80" s="220">
        <f t="shared" ca="1" si="1314"/>
        <v>2.0825806429510707E-2</v>
      </c>
      <c r="XB80" s="220">
        <f t="shared" ca="1" si="1315"/>
        <v>0</v>
      </c>
      <c r="XC80" s="235">
        <f t="shared" ca="1" si="1316"/>
        <v>7.1523300597822715E-4</v>
      </c>
      <c r="XD80" s="235">
        <f t="shared" ca="1" si="1317"/>
        <v>7.1523300597822715E-4</v>
      </c>
      <c r="XE80" s="242">
        <f t="shared" ca="1" si="1318"/>
        <v>7.1523300597822715E-4</v>
      </c>
      <c r="XF80" s="241">
        <f t="shared" ca="1" si="1335"/>
        <v>1</v>
      </c>
      <c r="XG80" s="220">
        <f t="shared" ca="1" si="1319"/>
        <v>1.410075784309954E-2</v>
      </c>
      <c r="XH80" s="220">
        <f t="shared" ca="1" si="1320"/>
        <v>0</v>
      </c>
      <c r="XI80" s="235">
        <f t="shared" ca="1" si="1321"/>
        <v>4.6789437576883483E-4</v>
      </c>
      <c r="XJ80" s="235">
        <f t="shared" ca="1" si="1322"/>
        <v>4.6789437576883483E-4</v>
      </c>
      <c r="XK80" s="242">
        <f t="shared" ca="1" si="1323"/>
        <v>4.6789437576883483E-4</v>
      </c>
    </row>
    <row r="81" spans="2:635" x14ac:dyDescent="0.25">
      <c r="B81" s="65">
        <f t="shared" ca="1" si="810"/>
        <v>2096</v>
      </c>
      <c r="C81" s="65" t="s">
        <v>741</v>
      </c>
      <c r="D81" s="77">
        <f t="shared" si="811"/>
        <v>0</v>
      </c>
      <c r="E81" s="77">
        <f t="shared" si="812"/>
        <v>0</v>
      </c>
      <c r="F81" s="77" t="b">
        <f t="shared" si="813"/>
        <v>0</v>
      </c>
      <c r="G81" s="77" t="b">
        <f t="shared" si="814"/>
        <v>0</v>
      </c>
      <c r="H81" s="15" t="e">
        <f t="shared" ca="1" si="815"/>
        <v>#REF!</v>
      </c>
      <c r="L81" s="326">
        <f t="shared" ca="1" si="816"/>
        <v>3.5000000000000003E-2</v>
      </c>
      <c r="M81" s="327">
        <f t="shared" ca="1" si="817"/>
        <v>3.5000000000000003E-2</v>
      </c>
      <c r="N81" s="322">
        <f t="shared" ca="1" si="809"/>
        <v>-73</v>
      </c>
      <c r="O81" s="322">
        <f t="shared" ca="1" si="818"/>
        <v>0</v>
      </c>
      <c r="P81" s="328">
        <f t="shared" ca="1" si="1324"/>
        <v>26.87829936156087</v>
      </c>
      <c r="Q81" s="328">
        <f t="shared" ca="1" si="1325"/>
        <v>26.87829936156087</v>
      </c>
      <c r="R81" s="328">
        <f t="shared" ca="1" si="1326"/>
        <v>26.87829936156087</v>
      </c>
      <c r="S81" s="329">
        <f t="shared" ca="1" si="819"/>
        <v>3.8642415640549425E-2</v>
      </c>
      <c r="T81" s="329">
        <f t="shared" ca="1" si="820"/>
        <v>3.8642415640549425E-2</v>
      </c>
      <c r="U81" s="329">
        <f t="shared" ca="1" si="821"/>
        <v>3.8642415640549425E-2</v>
      </c>
      <c r="V81" s="320" t="e">
        <f t="shared" ca="1" si="822"/>
        <v>#REF!</v>
      </c>
      <c r="W81" s="320" t="e">
        <f t="shared" ca="1" si="560"/>
        <v>#REF!</v>
      </c>
      <c r="X81" s="320" t="e">
        <f t="shared" ca="1" si="823"/>
        <v>#REF!</v>
      </c>
      <c r="Y81" s="320" t="e">
        <f ca="1">INDEX(SC_ZA_HECMLumpSum,ZAIDX)</f>
        <v>#REF!</v>
      </c>
      <c r="Z81" s="320" t="e">
        <f t="shared" ca="1" si="824"/>
        <v>#REF!</v>
      </c>
      <c r="AA81" s="320" t="e">
        <f t="shared" ca="1" si="557"/>
        <v>#REF!</v>
      </c>
      <c r="AB81" s="320" t="e">
        <f t="shared" ca="1" si="558"/>
        <v>#REF!</v>
      </c>
      <c r="AC81" s="330" t="e">
        <f t="shared" ca="1" si="559"/>
        <v>#REF!</v>
      </c>
      <c r="AD81" s="236" t="e">
        <f t="shared" ca="1" si="1327"/>
        <v>#REF!</v>
      </c>
      <c r="AE81" s="320" t="e">
        <f t="shared" ca="1" si="561"/>
        <v>#REF!</v>
      </c>
      <c r="AF81" s="320" t="e">
        <f t="shared" ca="1" si="825"/>
        <v>#REF!</v>
      </c>
      <c r="AG81" s="320" t="e">
        <f t="shared" ca="1" si="1328"/>
        <v>#REF!</v>
      </c>
      <c r="AH81" s="284" t="e">
        <f t="shared" ca="1" si="1329"/>
        <v>#REF!</v>
      </c>
      <c r="AI81" s="318" t="e">
        <f t="shared" ca="1" si="1330"/>
        <v>#REF!</v>
      </c>
      <c r="AJ81" s="331">
        <f t="shared" ca="1" si="1346"/>
        <v>1</v>
      </c>
      <c r="AK81" s="220">
        <f t="shared" ca="1" si="826"/>
        <v>1</v>
      </c>
      <c r="AL81" s="220">
        <f t="shared" ca="1" si="827"/>
        <v>0</v>
      </c>
      <c r="AM81" s="235">
        <f t="shared" ca="1" si="1331"/>
        <v>1</v>
      </c>
      <c r="AN81" s="235">
        <f t="shared" ca="1" si="1332"/>
        <v>1</v>
      </c>
      <c r="AO81" s="242">
        <f t="shared" ca="1" si="1333"/>
        <v>1</v>
      </c>
      <c r="AP81" s="241">
        <f t="shared" ca="1" si="1346"/>
        <v>1</v>
      </c>
      <c r="AQ81" s="220">
        <f t="shared" ca="1" si="828"/>
        <v>0.99361699999999997</v>
      </c>
      <c r="AR81" s="220">
        <f t="shared" ca="1" si="829"/>
        <v>0</v>
      </c>
      <c r="AS81" s="235">
        <f t="shared" ca="1" si="830"/>
        <v>0.96001642512077301</v>
      </c>
      <c r="AT81" s="235">
        <f t="shared" ca="1" si="831"/>
        <v>0.96001642512077301</v>
      </c>
      <c r="AU81" s="242">
        <f t="shared" ca="1" si="832"/>
        <v>0.96001642512077301</v>
      </c>
      <c r="AV81" s="241">
        <f t="shared" ca="1" si="1346"/>
        <v>1</v>
      </c>
      <c r="AW81" s="220">
        <f t="shared" ca="1" si="833"/>
        <v>0.99316689149899995</v>
      </c>
      <c r="AX81" s="220">
        <f t="shared" ca="1" si="834"/>
        <v>0</v>
      </c>
      <c r="AY81" s="235">
        <f t="shared" ca="1" si="835"/>
        <v>0.92713192046395487</v>
      </c>
      <c r="AZ81" s="235">
        <f t="shared" ca="1" si="836"/>
        <v>0.92713192046395487</v>
      </c>
      <c r="BA81" s="242">
        <f t="shared" ca="1" si="837"/>
        <v>0.92713192046395487</v>
      </c>
      <c r="BB81" s="241">
        <f t="shared" ca="1" si="1346"/>
        <v>1</v>
      </c>
      <c r="BC81" s="220">
        <f t="shared" ca="1" si="838"/>
        <v>0.99288681843559723</v>
      </c>
      <c r="BD81" s="220">
        <f t="shared" ca="1" si="839"/>
        <v>0</v>
      </c>
      <c r="BE81" s="235">
        <f t="shared" ca="1" si="840"/>
        <v>0.89552702344191704</v>
      </c>
      <c r="BF81" s="235">
        <f t="shared" ca="1" si="841"/>
        <v>0.89552702344191704</v>
      </c>
      <c r="BG81" s="242">
        <f t="shared" ca="1" si="842"/>
        <v>0.89552702344191704</v>
      </c>
      <c r="BH81" s="241">
        <f t="shared" ca="1" si="1346"/>
        <v>1</v>
      </c>
      <c r="BI81" s="220">
        <f t="shared" ca="1" si="843"/>
        <v>0.99265845446735712</v>
      </c>
      <c r="BJ81" s="220">
        <f t="shared" ca="1" si="844"/>
        <v>0</v>
      </c>
      <c r="BK81" s="235">
        <f t="shared" ca="1" si="845"/>
        <v>0.86504449490485558</v>
      </c>
      <c r="BL81" s="235">
        <f t="shared" ca="1" si="846"/>
        <v>0.86504449490485558</v>
      </c>
      <c r="BM81" s="242">
        <f t="shared" ca="1" si="847"/>
        <v>0.86504449490485558</v>
      </c>
      <c r="BN81" s="241">
        <f t="shared" ca="1" si="1346"/>
        <v>1</v>
      </c>
      <c r="BO81" s="220">
        <f t="shared" ca="1" si="848"/>
        <v>0.99249069518855215</v>
      </c>
      <c r="BP81" s="220">
        <f t="shared" ca="1" si="849"/>
        <v>0</v>
      </c>
      <c r="BQ81" s="235">
        <f t="shared" ca="1" si="850"/>
        <v>0.83565053370552345</v>
      </c>
      <c r="BR81" s="235">
        <f t="shared" ca="1" si="851"/>
        <v>0.83565053370552345</v>
      </c>
      <c r="BS81" s="242">
        <f t="shared" ca="1" si="852"/>
        <v>0.83565053370552345</v>
      </c>
      <c r="BT81" s="241">
        <f t="shared" ca="1" si="1346"/>
        <v>1</v>
      </c>
      <c r="BU81" s="220">
        <f t="shared" ca="1" si="853"/>
        <v>0.99233685913079794</v>
      </c>
      <c r="BV81" s="220">
        <f t="shared" ca="1" si="854"/>
        <v>0</v>
      </c>
      <c r="BW81" s="235">
        <f t="shared" ca="1" si="855"/>
        <v>0.80726667427323584</v>
      </c>
      <c r="BX81" s="235">
        <f t="shared" ca="1" si="856"/>
        <v>0.80726667427323584</v>
      </c>
      <c r="BY81" s="242">
        <f t="shared" ca="1" si="857"/>
        <v>0.80726667427323584</v>
      </c>
      <c r="BZ81" s="241">
        <f t="shared" ca="1" si="1346"/>
        <v>1</v>
      </c>
      <c r="CA81" s="220">
        <f t="shared" ca="1" si="858"/>
        <v>0.992192970286224</v>
      </c>
      <c r="CB81" s="220">
        <f t="shared" ca="1" si="859"/>
        <v>0</v>
      </c>
      <c r="CC81" s="235">
        <f t="shared" ca="1" si="860"/>
        <v>0.7798547058990013</v>
      </c>
      <c r="CD81" s="235">
        <f t="shared" ca="1" si="861"/>
        <v>0.7798547058990013</v>
      </c>
      <c r="CE81" s="242">
        <f t="shared" ca="1" si="862"/>
        <v>0.7798547058990013</v>
      </c>
      <c r="CF81" s="241">
        <f t="shared" ca="1" si="1346"/>
        <v>1</v>
      </c>
      <c r="CG81" s="220">
        <f t="shared" ca="1" si="863"/>
        <v>0.9920590242352354</v>
      </c>
      <c r="CH81" s="220">
        <f t="shared" ca="1" si="864"/>
        <v>0</v>
      </c>
      <c r="CI81" s="235">
        <f t="shared" ca="1" si="865"/>
        <v>0.75338108745285515</v>
      </c>
      <c r="CJ81" s="235">
        <f t="shared" ca="1" si="866"/>
        <v>0.75338108745285515</v>
      </c>
      <c r="CK81" s="242">
        <f t="shared" ca="1" si="867"/>
        <v>0.75338108745285515</v>
      </c>
      <c r="CL81" s="241">
        <f t="shared" ca="1" si="1346"/>
        <v>1</v>
      </c>
      <c r="CM81" s="220">
        <f t="shared" ca="1" si="868"/>
        <v>0.99193997715232718</v>
      </c>
      <c r="CN81" s="220">
        <f t="shared" ca="1" si="869"/>
        <v>0</v>
      </c>
      <c r="CO81" s="235">
        <f t="shared" ca="1" si="870"/>
        <v>0.72781708378972065</v>
      </c>
      <c r="CP81" s="235">
        <f t="shared" ca="1" si="871"/>
        <v>0.72781708378972065</v>
      </c>
      <c r="CQ81" s="242">
        <f t="shared" ca="1" si="872"/>
        <v>0.72781708378972065</v>
      </c>
      <c r="CR81" s="241">
        <f t="shared" ca="1" si="1346"/>
        <v>1</v>
      </c>
      <c r="CS81" s="220">
        <f t="shared" ca="1" si="873"/>
        <v>0.99183582345472621</v>
      </c>
      <c r="CT81" s="220">
        <f t="shared" ca="1" si="874"/>
        <v>0</v>
      </c>
      <c r="CU81" s="235">
        <f t="shared" ca="1" si="875"/>
        <v>0.70313107535837949</v>
      </c>
      <c r="CV81" s="235">
        <f t="shared" ca="1" si="876"/>
        <v>0.70313107535837949</v>
      </c>
      <c r="CW81" s="242">
        <f t="shared" ca="1" si="877"/>
        <v>0.70313107535837949</v>
      </c>
      <c r="CX81" s="241">
        <f t="shared" ca="1" si="1340"/>
        <v>1</v>
      </c>
      <c r="CY81" s="220">
        <f t="shared" ca="1" si="878"/>
        <v>0.99174259088732142</v>
      </c>
      <c r="CZ81" s="220">
        <f t="shared" ca="1" si="879"/>
        <v>0</v>
      </c>
      <c r="DA81" s="235">
        <f t="shared" ca="1" si="880"/>
        <v>0.6792898367510104</v>
      </c>
      <c r="DB81" s="235">
        <f t="shared" ca="1" si="881"/>
        <v>0.6792898367510104</v>
      </c>
      <c r="DC81" s="242">
        <f t="shared" ca="1" si="882"/>
        <v>0.6792898367510104</v>
      </c>
      <c r="DD81" s="241">
        <f t="shared" ca="1" si="1340"/>
        <v>1</v>
      </c>
      <c r="DE81" s="220">
        <f t="shared" ca="1" si="883"/>
        <v>0.99164440837082357</v>
      </c>
      <c r="DF81" s="220">
        <f t="shared" ca="1" si="884"/>
        <v>0</v>
      </c>
      <c r="DG81" s="235">
        <f t="shared" ca="1" si="885"/>
        <v>0.65625370730161559</v>
      </c>
      <c r="DH81" s="235">
        <f t="shared" ca="1" si="886"/>
        <v>0.65625370730161559</v>
      </c>
      <c r="DI81" s="242">
        <f t="shared" ca="1" si="887"/>
        <v>0.65625370730161559</v>
      </c>
      <c r="DJ81" s="241">
        <f t="shared" ca="1" si="888"/>
        <v>1</v>
      </c>
      <c r="DK81" s="220">
        <f t="shared" ca="1" si="889"/>
        <v>0.9915115280201019</v>
      </c>
      <c r="DL81" s="220">
        <f t="shared" ca="1" si="890"/>
        <v>0</v>
      </c>
      <c r="DM81" s="235">
        <f t="shared" ca="1" si="891"/>
        <v>0.63397658870032592</v>
      </c>
      <c r="DN81" s="235">
        <f t="shared" ca="1" si="892"/>
        <v>0.63397658870032592</v>
      </c>
      <c r="DO81" s="242">
        <f t="shared" ca="1" si="893"/>
        <v>0.63397658870032592</v>
      </c>
      <c r="DP81" s="241">
        <f t="shared" ca="1" si="888"/>
        <v>1</v>
      </c>
      <c r="DQ81" s="220">
        <f t="shared" ca="1" si="894"/>
        <v>0.99130628513380181</v>
      </c>
      <c r="DR81" s="220">
        <f t="shared" ca="1" si="895"/>
        <v>0</v>
      </c>
      <c r="DS81" s="235">
        <f t="shared" ca="1" si="896"/>
        <v>0.61241097154247814</v>
      </c>
      <c r="DT81" s="235">
        <f t="shared" ca="1" si="897"/>
        <v>0.61241097154247814</v>
      </c>
      <c r="DU81" s="242">
        <f t="shared" ca="1" si="898"/>
        <v>0.61241097154247814</v>
      </c>
      <c r="DV81" s="241">
        <f t="shared" ca="1" si="888"/>
        <v>1</v>
      </c>
      <c r="DW81" s="220">
        <f t="shared" ca="1" si="899"/>
        <v>0.9909999714916955</v>
      </c>
      <c r="DX81" s="220">
        <f t="shared" ca="1" si="900"/>
        <v>0</v>
      </c>
      <c r="DY81" s="235">
        <f t="shared" ca="1" si="901"/>
        <v>0.59151858604084218</v>
      </c>
      <c r="DZ81" s="235">
        <f t="shared" ca="1" si="902"/>
        <v>0.59151858604084218</v>
      </c>
      <c r="EA81" s="242">
        <f t="shared" ca="1" si="903"/>
        <v>0.59151858604084218</v>
      </c>
      <c r="EB81" s="241">
        <f t="shared" ca="1" si="888"/>
        <v>1</v>
      </c>
      <c r="EC81" s="220">
        <f t="shared" ca="1" si="904"/>
        <v>0.99058474250364048</v>
      </c>
      <c r="ED81" s="220">
        <f t="shared" ca="1" si="905"/>
        <v>0</v>
      </c>
      <c r="EE81" s="235">
        <f t="shared" ca="1" si="906"/>
        <v>0.57127607705632</v>
      </c>
      <c r="EF81" s="235">
        <f t="shared" ca="1" si="907"/>
        <v>0.57127607705632</v>
      </c>
      <c r="EG81" s="242">
        <f t="shared" ca="1" si="908"/>
        <v>0.57127607705632</v>
      </c>
      <c r="EH81" s="241">
        <f t="shared" ca="1" si="888"/>
        <v>1</v>
      </c>
      <c r="EI81" s="220">
        <f t="shared" ca="1" si="909"/>
        <v>0.99005973259011348</v>
      </c>
      <c r="EJ81" s="220">
        <f t="shared" ca="1" si="910"/>
        <v>0</v>
      </c>
      <c r="EK81" s="235">
        <f t="shared" ca="1" si="911"/>
        <v>0.55166502486519819</v>
      </c>
      <c r="EL81" s="235">
        <f t="shared" ca="1" si="912"/>
        <v>0.55166502486519819</v>
      </c>
      <c r="EM81" s="242">
        <f t="shared" ca="1" si="913"/>
        <v>0.55166502486519819</v>
      </c>
      <c r="EN81" s="241">
        <f t="shared" ca="1" si="888"/>
        <v>1</v>
      </c>
      <c r="EO81" s="220">
        <f t="shared" ca="1" si="914"/>
        <v>0.98941124346526699</v>
      </c>
      <c r="EP81" s="220">
        <f t="shared" ca="1" si="915"/>
        <v>0</v>
      </c>
      <c r="EQ81" s="235">
        <f t="shared" ca="1" si="916"/>
        <v>0.53266056451585653</v>
      </c>
      <c r="ER81" s="235">
        <f t="shared" ca="1" si="917"/>
        <v>0.53266056451585653</v>
      </c>
      <c r="ES81" s="242">
        <f t="shared" ca="1" si="918"/>
        <v>0.53266056451585653</v>
      </c>
      <c r="ET81" s="241">
        <f t="shared" ca="1" si="888"/>
        <v>1</v>
      </c>
      <c r="EU81" s="220">
        <f t="shared" ca="1" si="919"/>
        <v>0.98862861917168599</v>
      </c>
      <c r="EV81" s="220">
        <f t="shared" ca="1" si="920"/>
        <v>0</v>
      </c>
      <c r="EW81" s="235">
        <f t="shared" ca="1" si="921"/>
        <v>0.51424080194137645</v>
      </c>
      <c r="EX81" s="235">
        <f t="shared" ca="1" si="922"/>
        <v>0.51424080194137645</v>
      </c>
      <c r="EY81" s="242">
        <f t="shared" ca="1" si="923"/>
        <v>0.51424080194137645</v>
      </c>
      <c r="EZ81" s="241">
        <f t="shared" ca="1" si="888"/>
        <v>1</v>
      </c>
      <c r="FA81" s="220">
        <f t="shared" ca="1" si="924"/>
        <v>0.98770524004137961</v>
      </c>
      <c r="FB81" s="220">
        <f t="shared" ca="1" si="925"/>
        <v>0</v>
      </c>
      <c r="FC81" s="235">
        <f t="shared" ca="1" si="926"/>
        <v>0.49638695751919149</v>
      </c>
      <c r="FD81" s="235">
        <f t="shared" ca="1" si="927"/>
        <v>0.49638695751919149</v>
      </c>
      <c r="FE81" s="242">
        <f t="shared" ca="1" si="928"/>
        <v>0.49638695751919149</v>
      </c>
      <c r="FF81" s="241">
        <f t="shared" ca="1" si="888"/>
        <v>1</v>
      </c>
      <c r="FG81" s="220">
        <f t="shared" ca="1" si="929"/>
        <v>0.98663357985593469</v>
      </c>
      <c r="FH81" s="220">
        <f t="shared" ca="1" si="930"/>
        <v>0</v>
      </c>
      <c r="FI81" s="235">
        <f t="shared" ca="1" si="931"/>
        <v>0.4790805581355394</v>
      </c>
      <c r="FJ81" s="235">
        <f t="shared" ca="1" si="932"/>
        <v>0.4790805581355394</v>
      </c>
      <c r="FK81" s="242">
        <f t="shared" ca="1" si="933"/>
        <v>0.4790805581355394</v>
      </c>
      <c r="FL81" s="241">
        <f t="shared" ca="1" si="888"/>
        <v>1</v>
      </c>
      <c r="FM81" s="220">
        <f t="shared" ca="1" si="934"/>
        <v>0.98542199381987161</v>
      </c>
      <c r="FN81" s="220">
        <f t="shared" ca="1" si="935"/>
        <v>0</v>
      </c>
      <c r="FO81" s="235">
        <f t="shared" ca="1" si="936"/>
        <v>0.46231134996149653</v>
      </c>
      <c r="FP81" s="235">
        <f t="shared" ca="1" si="937"/>
        <v>0.46231134996149653</v>
      </c>
      <c r="FQ81" s="242">
        <f t="shared" ca="1" si="938"/>
        <v>0.46231134996149653</v>
      </c>
      <c r="FR81" s="241">
        <f t="shared" ca="1" si="888"/>
        <v>1</v>
      </c>
      <c r="FS81" s="220">
        <f t="shared" ca="1" si="939"/>
        <v>0.98410251377014679</v>
      </c>
      <c r="FT81" s="220">
        <f t="shared" ca="1" si="940"/>
        <v>0</v>
      </c>
      <c r="FU81" s="235">
        <f t="shared" ca="1" si="941"/>
        <v>0.44607953146270346</v>
      </c>
      <c r="FV81" s="235">
        <f t="shared" ca="1" si="942"/>
        <v>0.44607953146270346</v>
      </c>
      <c r="FW81" s="242">
        <f t="shared" ca="1" si="943"/>
        <v>0.44607953146270346</v>
      </c>
      <c r="FX81" s="241">
        <f t="shared" ca="1" si="801"/>
        <v>1</v>
      </c>
      <c r="FY81" s="220">
        <f t="shared" ca="1" si="944"/>
        <v>0.98272181794332725</v>
      </c>
      <c r="FZ81" s="220">
        <f t="shared" ca="1" si="945"/>
        <v>0</v>
      </c>
      <c r="GA81" s="235">
        <f t="shared" ca="1" si="946"/>
        <v>0.43039003080199167</v>
      </c>
      <c r="GB81" s="235">
        <f t="shared" ca="1" si="947"/>
        <v>0.43039003080199167</v>
      </c>
      <c r="GC81" s="242">
        <f t="shared" ca="1" si="948"/>
        <v>0.43039003080199167</v>
      </c>
      <c r="GD81" s="241">
        <f t="shared" ca="1" si="795"/>
        <v>1</v>
      </c>
      <c r="GE81" s="220">
        <f t="shared" ca="1" si="949"/>
        <v>0.98131357757821447</v>
      </c>
      <c r="GF81" s="220">
        <f t="shared" ca="1" si="950"/>
        <v>0</v>
      </c>
      <c r="GG81" s="235">
        <f t="shared" ca="1" si="951"/>
        <v>0.41523988588198307</v>
      </c>
      <c r="GH81" s="235">
        <f t="shared" ca="1" si="952"/>
        <v>0.41523988588198307</v>
      </c>
      <c r="GI81" s="242">
        <f t="shared" ca="1" si="953"/>
        <v>0.41523988588198307</v>
      </c>
      <c r="GJ81" s="241">
        <f t="shared" ca="1" si="795"/>
        <v>1</v>
      </c>
      <c r="GK81" s="220">
        <f t="shared" ca="1" si="954"/>
        <v>0.97988969157714845</v>
      </c>
      <c r="GL81" s="220">
        <f t="shared" ca="1" si="955"/>
        <v>0</v>
      </c>
      <c r="GM81" s="235">
        <f t="shared" ca="1" si="956"/>
        <v>0.40061581913774713</v>
      </c>
      <c r="GN81" s="235">
        <f t="shared" ca="1" si="957"/>
        <v>0.40061581913774713</v>
      </c>
      <c r="GO81" s="242">
        <f t="shared" ca="1" si="958"/>
        <v>0.40061581913774713</v>
      </c>
      <c r="GP81" s="241">
        <f t="shared" ca="1" si="1341"/>
        <v>1</v>
      </c>
      <c r="GQ81" s="220">
        <f t="shared" ca="1" si="959"/>
        <v>0.9784443542820721</v>
      </c>
      <c r="GR81" s="220">
        <f t="shared" ca="1" si="960"/>
        <v>0</v>
      </c>
      <c r="GS81" s="235">
        <f t="shared" ca="1" si="961"/>
        <v>0.38649749836185404</v>
      </c>
      <c r="GT81" s="235">
        <f t="shared" ca="1" si="962"/>
        <v>0.38649749836185404</v>
      </c>
      <c r="GU81" s="242">
        <f t="shared" ca="1" si="963"/>
        <v>0.38649749836185404</v>
      </c>
      <c r="GV81" s="241">
        <f t="shared" ca="1" si="1341"/>
        <v>1</v>
      </c>
      <c r="GW81" s="220">
        <f t="shared" ca="1" si="964"/>
        <v>0.97697473086194042</v>
      </c>
      <c r="GX81" s="220">
        <f t="shared" ca="1" si="965"/>
        <v>0</v>
      </c>
      <c r="GY81" s="235">
        <f t="shared" ca="1" si="966"/>
        <v>0.37286664649209134</v>
      </c>
      <c r="GZ81" s="235">
        <f t="shared" ca="1" si="967"/>
        <v>0.37286664649209134</v>
      </c>
      <c r="HA81" s="242">
        <f t="shared" ca="1" si="968"/>
        <v>0.37286664649209134</v>
      </c>
      <c r="HB81" s="241">
        <f t="shared" ca="1" si="1341"/>
        <v>1</v>
      </c>
      <c r="HC81" s="220">
        <f t="shared" ca="1" si="969"/>
        <v>0.97547214372587476</v>
      </c>
      <c r="HD81" s="220">
        <f t="shared" ca="1" si="970"/>
        <v>0</v>
      </c>
      <c r="HE81" s="235">
        <f t="shared" ca="1" si="971"/>
        <v>0.35970355322684694</v>
      </c>
      <c r="HF81" s="235">
        <f t="shared" ca="1" si="972"/>
        <v>0.35970355322684694</v>
      </c>
      <c r="HG81" s="242">
        <f t="shared" ca="1" si="973"/>
        <v>0.35970355322684694</v>
      </c>
      <c r="HH81" s="241">
        <f t="shared" ca="1" si="1341"/>
        <v>1</v>
      </c>
      <c r="HI81" s="220">
        <f t="shared" ca="1" si="974"/>
        <v>0.9739299222666441</v>
      </c>
      <c r="HJ81" s="220">
        <f t="shared" ca="1" si="975"/>
        <v>0</v>
      </c>
      <c r="HK81" s="235">
        <f t="shared" ca="1" si="976"/>
        <v>0.34699020474318382</v>
      </c>
      <c r="HL81" s="235">
        <f t="shared" ca="1" si="977"/>
        <v>0.34699020474318382</v>
      </c>
      <c r="HM81" s="242">
        <f t="shared" ca="1" si="978"/>
        <v>0.34699020474318382</v>
      </c>
      <c r="HN81" s="241">
        <f t="shared" ca="1" si="1341"/>
        <v>1</v>
      </c>
      <c r="HO81" s="220">
        <f t="shared" ca="1" si="979"/>
        <v>0.97234631221303847</v>
      </c>
      <c r="HP81" s="220">
        <f t="shared" ca="1" si="980"/>
        <v>0</v>
      </c>
      <c r="HQ81" s="235">
        <f t="shared" ca="1" si="981"/>
        <v>0.33471110982634922</v>
      </c>
      <c r="HR81" s="235">
        <f t="shared" ca="1" si="982"/>
        <v>0.33471110982634922</v>
      </c>
      <c r="HS81" s="242">
        <f t="shared" ca="1" si="983"/>
        <v>0.33471110982634922</v>
      </c>
      <c r="HT81" s="241">
        <f t="shared" ca="1" si="1341"/>
        <v>1</v>
      </c>
      <c r="HU81" s="220">
        <f t="shared" ca="1" si="984"/>
        <v>0.97072346621795491</v>
      </c>
      <c r="HV81" s="220">
        <f t="shared" ca="1" si="985"/>
        <v>0</v>
      </c>
      <c r="HW81" s="235">
        <f t="shared" ca="1" si="986"/>
        <v>0.32285263476719722</v>
      </c>
      <c r="HX81" s="235">
        <f t="shared" ca="1" si="987"/>
        <v>0.32285263476719722</v>
      </c>
      <c r="HY81" s="242">
        <f t="shared" ca="1" si="988"/>
        <v>0.32285263476719722</v>
      </c>
      <c r="HZ81" s="241">
        <f t="shared" ca="1" si="1341"/>
        <v>1</v>
      </c>
      <c r="IA81" s="220">
        <f t="shared" ca="1" si="989"/>
        <v>0.96906158764378969</v>
      </c>
      <c r="IB81" s="220">
        <f t="shared" ca="1" si="990"/>
        <v>0</v>
      </c>
      <c r="IC81" s="235">
        <f t="shared" ca="1" si="991"/>
        <v>0.31140088024780266</v>
      </c>
      <c r="ID81" s="235">
        <f t="shared" ca="1" si="992"/>
        <v>0.31140088024780266</v>
      </c>
      <c r="IE81" s="242">
        <f t="shared" ca="1" si="993"/>
        <v>0.31140088024780266</v>
      </c>
      <c r="IF81" s="241">
        <f t="shared" ca="1" si="1341"/>
        <v>1</v>
      </c>
      <c r="IG81" s="220">
        <f t="shared" ca="1" si="994"/>
        <v>0.96736088455747493</v>
      </c>
      <c r="IH81" s="220">
        <f t="shared" ca="1" si="995"/>
        <v>0</v>
      </c>
      <c r="II81" s="235">
        <f t="shared" ca="1" si="996"/>
        <v>0.30034238811880948</v>
      </c>
      <c r="IJ81" s="235">
        <f t="shared" ca="1" si="997"/>
        <v>0.30034238811880948</v>
      </c>
      <c r="IK81" s="242">
        <f t="shared" ca="1" si="998"/>
        <v>0.30034238811880948</v>
      </c>
      <c r="IL81" s="241">
        <f t="shared" ca="1" si="1341"/>
        <v>1</v>
      </c>
      <c r="IM81" s="220">
        <f t="shared" ca="1" si="999"/>
        <v>0.96561963496527148</v>
      </c>
      <c r="IN81" s="220">
        <f t="shared" ca="1" si="1000"/>
        <v>0</v>
      </c>
      <c r="IO81" s="235">
        <f t="shared" ca="1" si="1001"/>
        <v>0.28966354765236296</v>
      </c>
      <c r="IP81" s="235">
        <f t="shared" ca="1" si="1002"/>
        <v>0.28966354765236296</v>
      </c>
      <c r="IQ81" s="242">
        <f t="shared" ca="1" si="1003"/>
        <v>0.28966354765236296</v>
      </c>
      <c r="IR81" s="241">
        <f t="shared" ca="1" si="1341"/>
        <v>1</v>
      </c>
      <c r="IS81" s="220">
        <f t="shared" ca="1" si="1004"/>
        <v>0.96382841054241086</v>
      </c>
      <c r="IT81" s="220">
        <f t="shared" ca="1" si="1005"/>
        <v>0</v>
      </c>
      <c r="IU81" s="235">
        <f t="shared" ca="1" si="1006"/>
        <v>0.27934900654248102</v>
      </c>
      <c r="IV81" s="235">
        <f t="shared" ca="1" si="1007"/>
        <v>0.27934900654248102</v>
      </c>
      <c r="IW81" s="242">
        <f t="shared" ca="1" si="1008"/>
        <v>0.27934900654248102</v>
      </c>
      <c r="IX81" s="241">
        <f t="shared" ca="1" si="1341"/>
        <v>1</v>
      </c>
      <c r="IY81" s="220">
        <f t="shared" ca="1" si="1009"/>
        <v>0.9619778599941694</v>
      </c>
      <c r="IZ81" s="220">
        <f t="shared" ca="1" si="1010"/>
        <v>0</v>
      </c>
      <c r="JA81" s="235">
        <f t="shared" ca="1" si="1011"/>
        <v>0.26938420913035699</v>
      </c>
      <c r="JB81" s="235">
        <f t="shared" ca="1" si="1012"/>
        <v>0.26938420913035699</v>
      </c>
      <c r="JC81" s="242">
        <f t="shared" ca="1" si="1013"/>
        <v>0.26938420913035699</v>
      </c>
      <c r="JD81" s="241">
        <f t="shared" ca="1" si="1336"/>
        <v>1</v>
      </c>
      <c r="JE81" s="220">
        <f t="shared" ca="1" si="1014"/>
        <v>0.96006544800850102</v>
      </c>
      <c r="JF81" s="220">
        <f t="shared" ca="1" si="1015"/>
        <v>0</v>
      </c>
      <c r="JG81" s="235">
        <f t="shared" ca="1" si="1016"/>
        <v>0.25975717229237277</v>
      </c>
      <c r="JH81" s="235">
        <f t="shared" ca="1" si="1017"/>
        <v>0.25975717229237277</v>
      </c>
      <c r="JI81" s="242">
        <f t="shared" ca="1" si="1018"/>
        <v>0.25975717229237277</v>
      </c>
      <c r="JJ81" s="241">
        <f t="shared" ca="1" si="1336"/>
        <v>1</v>
      </c>
      <c r="JK81" s="220">
        <f t="shared" ca="1" si="1019"/>
        <v>0.9580877131856036</v>
      </c>
      <c r="JL81" s="220">
        <f t="shared" ca="1" si="1020"/>
        <v>0</v>
      </c>
      <c r="JM81" s="235">
        <f t="shared" ca="1" si="1021"/>
        <v>0.25045610871251262</v>
      </c>
      <c r="JN81" s="235">
        <f t="shared" ca="1" si="1022"/>
        <v>0.25045610871251262</v>
      </c>
      <c r="JO81" s="242">
        <f t="shared" ca="1" si="1023"/>
        <v>0.25045610871251262</v>
      </c>
      <c r="JP81" s="241">
        <f t="shared" ca="1" si="1342"/>
        <v>1</v>
      </c>
      <c r="JQ81" s="220">
        <f t="shared" ca="1" si="1024"/>
        <v>0.95603644739167326</v>
      </c>
      <c r="JR81" s="220">
        <f t="shared" ca="1" si="1025"/>
        <v>0</v>
      </c>
      <c r="JS81" s="235">
        <f t="shared" ca="1" si="1026"/>
        <v>0.24146848520169967</v>
      </c>
      <c r="JT81" s="235">
        <f t="shared" ca="1" si="1027"/>
        <v>0.24146848520169967</v>
      </c>
      <c r="JU81" s="242">
        <f t="shared" ca="1" si="1028"/>
        <v>0.24146848520169967</v>
      </c>
      <c r="JV81" s="241">
        <f t="shared" ca="1" si="1342"/>
        <v>1</v>
      </c>
      <c r="JW81" s="220">
        <f t="shared" ca="1" si="1029"/>
        <v>0.95389492574951584</v>
      </c>
      <c r="JX81" s="220">
        <f t="shared" ca="1" si="1030"/>
        <v>0</v>
      </c>
      <c r="JY81" s="235">
        <f t="shared" ca="1" si="1031"/>
        <v>0.23278028579212359</v>
      </c>
      <c r="JZ81" s="235">
        <f t="shared" ca="1" si="1032"/>
        <v>0.23278028579212359</v>
      </c>
      <c r="KA81" s="242">
        <f t="shared" ca="1" si="1033"/>
        <v>0.23278028579212359</v>
      </c>
      <c r="KB81" s="241">
        <f t="shared" ca="1" si="1342"/>
        <v>1</v>
      </c>
      <c r="KC81" s="220">
        <f t="shared" ca="1" si="1034"/>
        <v>0.95164182593489555</v>
      </c>
      <c r="KD81" s="220">
        <f t="shared" ca="1" si="1035"/>
        <v>0</v>
      </c>
      <c r="KE81" s="235">
        <f t="shared" ca="1" si="1036"/>
        <v>0.22437725483776094</v>
      </c>
      <c r="KF81" s="235">
        <f t="shared" ca="1" si="1037"/>
        <v>0.22437725483776094</v>
      </c>
      <c r="KG81" s="242">
        <f t="shared" ca="1" si="1038"/>
        <v>0.22437725483776094</v>
      </c>
      <c r="KH81" s="241">
        <f t="shared" ca="1" si="1342"/>
        <v>1</v>
      </c>
      <c r="KI81" s="220">
        <f t="shared" ca="1" si="1039"/>
        <v>0.94925415659362489</v>
      </c>
      <c r="KJ81" s="220">
        <f t="shared" ca="1" si="1040"/>
        <v>0</v>
      </c>
      <c r="KK81" s="235">
        <f t="shared" ca="1" si="1041"/>
        <v>0.21624569304866956</v>
      </c>
      <c r="KL81" s="235">
        <f t="shared" ca="1" si="1042"/>
        <v>0.21624569304866956</v>
      </c>
      <c r="KM81" s="242">
        <f t="shared" ca="1" si="1043"/>
        <v>0.21624569304866956</v>
      </c>
      <c r="KN81" s="241">
        <f t="shared" ca="1" si="1342"/>
        <v>1</v>
      </c>
      <c r="KO81" s="220">
        <f t="shared" ca="1" si="1044"/>
        <v>0.94670635843732753</v>
      </c>
      <c r="KP81" s="220">
        <f t="shared" ca="1" si="1045"/>
        <v>0</v>
      </c>
      <c r="KQ81" s="235">
        <f t="shared" ca="1" si="1046"/>
        <v>0.2083722604913304</v>
      </c>
      <c r="KR81" s="235">
        <f t="shared" ca="1" si="1047"/>
        <v>0.2083722604913304</v>
      </c>
      <c r="KS81" s="242">
        <f t="shared" ca="1" si="1048"/>
        <v>0.2083722604913304</v>
      </c>
      <c r="KT81" s="241">
        <f t="shared" ca="1" si="1342"/>
        <v>1</v>
      </c>
      <c r="KU81" s="220">
        <f t="shared" ca="1" si="1049"/>
        <v>0.94397037706144371</v>
      </c>
      <c r="KV81" s="220">
        <f t="shared" ca="1" si="1050"/>
        <v>0</v>
      </c>
      <c r="KW81" s="235">
        <f t="shared" ca="1" si="1051"/>
        <v>0.20074402382464779</v>
      </c>
      <c r="KX81" s="235">
        <f t="shared" ca="1" si="1052"/>
        <v>0.20074402382464779</v>
      </c>
      <c r="KY81" s="242">
        <f t="shared" ca="1" si="1053"/>
        <v>0.20074402382464779</v>
      </c>
      <c r="KZ81" s="241">
        <f t="shared" ca="1" si="1342"/>
        <v>1</v>
      </c>
      <c r="LA81" s="220">
        <f t="shared" ca="1" si="1054"/>
        <v>0.94102424551463493</v>
      </c>
      <c r="LB81" s="220">
        <f t="shared" ca="1" si="1055"/>
        <v>0</v>
      </c>
      <c r="LC81" s="235">
        <f t="shared" ca="1" si="1056"/>
        <v>0.19335024321380778</v>
      </c>
      <c r="LD81" s="235">
        <f t="shared" ca="1" si="1057"/>
        <v>0.19335024321380778</v>
      </c>
      <c r="LE81" s="242">
        <f t="shared" ca="1" si="1058"/>
        <v>0.19335024321380778</v>
      </c>
      <c r="LF81" s="241">
        <f t="shared" ca="1" si="1342"/>
        <v>1</v>
      </c>
      <c r="LG81" s="220">
        <f t="shared" ca="1" si="1059"/>
        <v>0.93783793741932242</v>
      </c>
      <c r="LH81" s="220">
        <f t="shared" ca="1" si="1060"/>
        <v>0</v>
      </c>
      <c r="LI81" s="235">
        <f t="shared" ca="1" si="1061"/>
        <v>0.18617928433844047</v>
      </c>
      <c r="LJ81" s="235">
        <f t="shared" ca="1" si="1062"/>
        <v>0.18617928433844047</v>
      </c>
      <c r="LK81" s="242">
        <f t="shared" ca="1" si="1063"/>
        <v>0.18617928433844047</v>
      </c>
      <c r="LL81" s="241">
        <f t="shared" ca="1" si="1342"/>
        <v>1</v>
      </c>
      <c r="LM81" s="220">
        <f t="shared" ca="1" si="1064"/>
        <v>0.93436137218530901</v>
      </c>
      <c r="LN81" s="220">
        <f t="shared" ca="1" si="1065"/>
        <v>0</v>
      </c>
      <c r="LO81" s="235">
        <f t="shared" ca="1" si="1066"/>
        <v>0.17921653887091585</v>
      </c>
      <c r="LP81" s="235">
        <f t="shared" ca="1" si="1067"/>
        <v>0.17921653887091585</v>
      </c>
      <c r="LQ81" s="242">
        <f t="shared" ca="1" si="1068"/>
        <v>0.17921653887091585</v>
      </c>
      <c r="LR81" s="241">
        <f t="shared" ca="1" si="1342"/>
        <v>1</v>
      </c>
      <c r="LS81" s="220">
        <f t="shared" ca="1" si="1069"/>
        <v>0.93053889981169891</v>
      </c>
      <c r="LT81" s="220">
        <f t="shared" ca="1" si="1070"/>
        <v>0</v>
      </c>
      <c r="LU81" s="235">
        <f t="shared" ca="1" si="1071"/>
        <v>0.17244769469603377</v>
      </c>
      <c r="LV81" s="235">
        <f t="shared" ca="1" si="1072"/>
        <v>0.17244769469603377</v>
      </c>
      <c r="LW81" s="242">
        <f t="shared" ca="1" si="1073"/>
        <v>0.17244769469603377</v>
      </c>
      <c r="LX81" s="241">
        <f t="shared" ca="1" si="1342"/>
        <v>1</v>
      </c>
      <c r="LY81" s="220">
        <f t="shared" ca="1" si="1074"/>
        <v>0.92632262805665211</v>
      </c>
      <c r="LZ81" s="220">
        <f t="shared" ca="1" si="1075"/>
        <v>0</v>
      </c>
      <c r="MA81" s="235">
        <f t="shared" ca="1" si="1076"/>
        <v>0.16586119245542613</v>
      </c>
      <c r="MB81" s="235">
        <f t="shared" ca="1" si="1077"/>
        <v>0.16586119245542613</v>
      </c>
      <c r="MC81" s="242">
        <f t="shared" ca="1" si="1078"/>
        <v>0.16586119245542613</v>
      </c>
      <c r="MD81" s="241">
        <f t="shared" ca="1" si="1337"/>
        <v>1</v>
      </c>
      <c r="ME81" s="220">
        <f t="shared" ca="1" si="1079"/>
        <v>0.92167897272220412</v>
      </c>
      <c r="MF81" s="220">
        <f t="shared" ca="1" si="1080"/>
        <v>0</v>
      </c>
      <c r="MG81" s="235">
        <f t="shared" ca="1" si="1081"/>
        <v>0.15944901478033538</v>
      </c>
      <c r="MH81" s="235">
        <f t="shared" ca="1" si="1082"/>
        <v>0.15944901478033538</v>
      </c>
      <c r="MI81" s="242">
        <f t="shared" ca="1" si="1083"/>
        <v>0.15944901478033538</v>
      </c>
      <c r="MJ81" s="241">
        <f t="shared" ca="1" si="1337"/>
        <v>1</v>
      </c>
      <c r="MK81" s="220">
        <f t="shared" ca="1" si="1084"/>
        <v>0.91658761807688671</v>
      </c>
      <c r="ML81" s="220">
        <f t="shared" ca="1" si="1085"/>
        <v>0</v>
      </c>
      <c r="MM81" s="235">
        <f t="shared" ca="1" si="1086"/>
        <v>0.15320600813786359</v>
      </c>
      <c r="MN81" s="235">
        <f t="shared" ca="1" si="1087"/>
        <v>0.15320600813786359</v>
      </c>
      <c r="MO81" s="242">
        <f t="shared" ca="1" si="1088"/>
        <v>0.15320600813786359</v>
      </c>
      <c r="MP81" s="241">
        <f t="shared" ca="1" si="1343"/>
        <v>1</v>
      </c>
      <c r="MQ81" s="220">
        <f t="shared" ca="1" si="1089"/>
        <v>0.91103401369895887</v>
      </c>
      <c r="MR81" s="220">
        <f t="shared" ca="1" si="1090"/>
        <v>0</v>
      </c>
      <c r="MS81" s="235">
        <f t="shared" ca="1" si="1091"/>
        <v>0.1471282443812138</v>
      </c>
      <c r="MT81" s="235">
        <f t="shared" ca="1" si="1092"/>
        <v>0.1471282443812138</v>
      </c>
      <c r="MU81" s="242">
        <f t="shared" ca="1" si="1093"/>
        <v>0.1471282443812138</v>
      </c>
      <c r="MV81" s="241">
        <f t="shared" ca="1" si="1343"/>
        <v>1</v>
      </c>
      <c r="MW81" s="220">
        <f t="shared" ca="1" si="1094"/>
        <v>0.90501116783439506</v>
      </c>
      <c r="MX81" s="220">
        <f t="shared" ca="1" si="1095"/>
        <v>0</v>
      </c>
      <c r="MY81" s="235">
        <f t="shared" ca="1" si="1096"/>
        <v>0.14121312034551653</v>
      </c>
      <c r="MZ81" s="235">
        <f t="shared" ca="1" si="1097"/>
        <v>0.14121312034551653</v>
      </c>
      <c r="NA81" s="242">
        <f t="shared" ca="1" si="1098"/>
        <v>0.14121312034551653</v>
      </c>
      <c r="NB81" s="241">
        <f t="shared" ca="1" si="1343"/>
        <v>1</v>
      </c>
      <c r="NC81" s="220">
        <f t="shared" ca="1" si="1099"/>
        <v>0.89850685257116925</v>
      </c>
      <c r="ND81" s="220">
        <f t="shared" ca="1" si="1100"/>
        <v>0</v>
      </c>
      <c r="NE81" s="235">
        <f t="shared" ca="1" si="1101"/>
        <v>0.13545721898511429</v>
      </c>
      <c r="NF81" s="235">
        <f t="shared" ca="1" si="1102"/>
        <v>0.13545721898511429</v>
      </c>
      <c r="NG81" s="242">
        <f t="shared" ca="1" si="1103"/>
        <v>0.13545721898511429</v>
      </c>
      <c r="NH81" s="241">
        <f t="shared" ca="1" si="1343"/>
        <v>1</v>
      </c>
      <c r="NI81" s="220">
        <f t="shared" ca="1" si="1104"/>
        <v>0.89149849912111412</v>
      </c>
      <c r="NJ81" s="220">
        <f t="shared" ca="1" si="1105"/>
        <v>0</v>
      </c>
      <c r="NK81" s="235">
        <f t="shared" ca="1" si="1106"/>
        <v>0.12985570306959462</v>
      </c>
      <c r="NL81" s="235">
        <f t="shared" ca="1" si="1107"/>
        <v>0.12985570306959462</v>
      </c>
      <c r="NM81" s="242">
        <f t="shared" ca="1" si="1108"/>
        <v>0.12985570306959462</v>
      </c>
      <c r="NN81" s="241">
        <f t="shared" ca="1" si="1343"/>
        <v>1</v>
      </c>
      <c r="NO81" s="220">
        <f t="shared" ca="1" si="1109"/>
        <v>0.88395998781254592</v>
      </c>
      <c r="NP81" s="220">
        <f t="shared" ca="1" si="1110"/>
        <v>0</v>
      </c>
      <c r="NQ81" s="235">
        <f t="shared" ca="1" si="1111"/>
        <v>0.12440352004293539</v>
      </c>
      <c r="NR81" s="235">
        <f t="shared" ca="1" si="1112"/>
        <v>0.12440352004293539</v>
      </c>
      <c r="NS81" s="242">
        <f t="shared" ca="1" si="1113"/>
        <v>0.12440352004293539</v>
      </c>
      <c r="NT81" s="241">
        <f t="shared" ca="1" si="1343"/>
        <v>1</v>
      </c>
      <c r="NU81" s="220">
        <f t="shared" ca="1" si="1114"/>
        <v>0.87587705768398794</v>
      </c>
      <c r="NV81" s="220">
        <f t="shared" ca="1" si="1115"/>
        <v>0</v>
      </c>
      <c r="NW81" s="235">
        <f t="shared" ca="1" si="1116"/>
        <v>0.11909755966730703</v>
      </c>
      <c r="NX81" s="235">
        <f t="shared" ca="1" si="1117"/>
        <v>0.11909755966730703</v>
      </c>
      <c r="NY81" s="242">
        <f t="shared" ca="1" si="1118"/>
        <v>0.11909755966730703</v>
      </c>
      <c r="NZ81" s="241">
        <f t="shared" ca="1" si="1343"/>
        <v>1</v>
      </c>
      <c r="OA81" s="220">
        <f t="shared" ca="1" si="1119"/>
        <v>0.86723653050993543</v>
      </c>
      <c r="OB81" s="220">
        <f t="shared" ca="1" si="1120"/>
        <v>0</v>
      </c>
      <c r="OC81" s="235">
        <f t="shared" ca="1" si="1121"/>
        <v>0.11393493936346769</v>
      </c>
      <c r="OD81" s="235">
        <f t="shared" ca="1" si="1122"/>
        <v>0.11393493936346769</v>
      </c>
      <c r="OE81" s="242">
        <f t="shared" ca="1" si="1123"/>
        <v>0.11393493936346769</v>
      </c>
      <c r="OF81" s="241">
        <f t="shared" ca="1" si="1343"/>
        <v>1</v>
      </c>
      <c r="OG81" s="220">
        <f t="shared" ca="1" si="1124"/>
        <v>0.85802474408285889</v>
      </c>
      <c r="OH81" s="220">
        <f t="shared" ca="1" si="1125"/>
        <v>0</v>
      </c>
      <c r="OI81" s="235">
        <f t="shared" ca="1" si="1126"/>
        <v>0.10891277530197965</v>
      </c>
      <c r="OJ81" s="235">
        <f t="shared" ca="1" si="1127"/>
        <v>0.10891277530197965</v>
      </c>
      <c r="OK81" s="242">
        <f t="shared" ca="1" si="1128"/>
        <v>0.10891277530197965</v>
      </c>
      <c r="OL81" s="241">
        <f t="shared" ca="1" si="1343"/>
        <v>1</v>
      </c>
      <c r="OM81" s="220">
        <f t="shared" ca="1" si="1129"/>
        <v>0.84819349656515752</v>
      </c>
      <c r="ON81" s="220">
        <f t="shared" ca="1" si="1130"/>
        <v>0</v>
      </c>
      <c r="OO81" s="235">
        <f t="shared" ca="1" si="1131"/>
        <v>0.10402401229233778</v>
      </c>
      <c r="OP81" s="235">
        <f t="shared" ca="1" si="1132"/>
        <v>0.10402401229233778</v>
      </c>
      <c r="OQ81" s="242">
        <f t="shared" ca="1" si="1133"/>
        <v>0.10402401229233778</v>
      </c>
      <c r="OR81" s="241">
        <f t="shared" ca="1" si="1343"/>
        <v>1</v>
      </c>
      <c r="OS81" s="220">
        <f t="shared" ca="1" si="1134"/>
        <v>0.83771830688257787</v>
      </c>
      <c r="OT81" s="220">
        <f t="shared" ca="1" si="1135"/>
        <v>0</v>
      </c>
      <c r="OU81" s="235">
        <f t="shared" ca="1" si="1136"/>
        <v>9.9265039362828419E-2</v>
      </c>
      <c r="OV81" s="235">
        <f t="shared" ca="1" si="1137"/>
        <v>9.9265039362828419E-2</v>
      </c>
      <c r="OW81" s="242">
        <f t="shared" ca="1" si="1138"/>
        <v>9.9265039362828419E-2</v>
      </c>
      <c r="OX81" s="241">
        <f t="shared" ca="1" si="1343"/>
        <v>1</v>
      </c>
      <c r="OY81" s="220">
        <f t="shared" ca="1" si="1139"/>
        <v>0.82663110509098692</v>
      </c>
      <c r="OZ81" s="220">
        <f t="shared" ca="1" si="1140"/>
        <v>0</v>
      </c>
      <c r="PA81" s="235">
        <f t="shared" ca="1" si="1141"/>
        <v>9.4638904895518239E-2</v>
      </c>
      <c r="PB81" s="235">
        <f t="shared" ca="1" si="1142"/>
        <v>9.4638904895518239E-2</v>
      </c>
      <c r="PC81" s="242">
        <f t="shared" ca="1" si="1143"/>
        <v>9.4638904895518239E-2</v>
      </c>
      <c r="PD81" s="241">
        <f t="shared" ca="1" si="1338"/>
        <v>1</v>
      </c>
      <c r="PE81" s="220">
        <f t="shared" ca="1" si="1144"/>
        <v>0.81497808640251923</v>
      </c>
      <c r="PF81" s="220">
        <f t="shared" ca="1" si="1145"/>
        <v>0</v>
      </c>
      <c r="PG81" s="235">
        <f t="shared" ca="1" si="1146"/>
        <v>9.0149546138363415E-2</v>
      </c>
      <c r="PH81" s="235">
        <f t="shared" ca="1" si="1147"/>
        <v>9.0149546138363415E-2</v>
      </c>
      <c r="PI81" s="242">
        <f t="shared" ca="1" si="1148"/>
        <v>9.0149546138363415E-2</v>
      </c>
      <c r="PJ81" s="241">
        <f t="shared" ca="1" si="1338"/>
        <v>1</v>
      </c>
      <c r="PK81" s="220">
        <f t="shared" ca="1" si="1149"/>
        <v>0.80277052964629592</v>
      </c>
      <c r="PL81" s="220">
        <f t="shared" ca="1" si="1150"/>
        <v>0</v>
      </c>
      <c r="PM81" s="235">
        <f t="shared" ca="1" si="1151"/>
        <v>8.5796324721504238E-2</v>
      </c>
      <c r="PN81" s="235">
        <f t="shared" ca="1" si="1152"/>
        <v>8.5796324721504238E-2</v>
      </c>
      <c r="PO81" s="242">
        <f t="shared" ca="1" si="1153"/>
        <v>8.5796324721504238E-2</v>
      </c>
      <c r="PP81" s="241">
        <f t="shared" ca="1" si="1344"/>
        <v>1</v>
      </c>
      <c r="PQ81" s="220">
        <f t="shared" ca="1" si="1154"/>
        <v>0.78995269259943357</v>
      </c>
      <c r="PR81" s="220">
        <f t="shared" ca="1" si="1155"/>
        <v>0</v>
      </c>
      <c r="PS81" s="235">
        <f t="shared" ca="1" si="1156"/>
        <v>8.1571415270218356E-2</v>
      </c>
      <c r="PT81" s="235">
        <f t="shared" ca="1" si="1157"/>
        <v>8.1571415270218356E-2</v>
      </c>
      <c r="PU81" s="242">
        <f t="shared" ca="1" si="1158"/>
        <v>8.1571415270218356E-2</v>
      </c>
      <c r="PV81" s="241">
        <f t="shared" ca="1" si="1344"/>
        <v>1</v>
      </c>
      <c r="PW81" s="220">
        <f t="shared" ca="1" si="1159"/>
        <v>0.77643739198174988</v>
      </c>
      <c r="PX81" s="220">
        <f t="shared" ca="1" si="1160"/>
        <v>0</v>
      </c>
      <c r="PY81" s="235">
        <f t="shared" ca="1" si="1161"/>
        <v>7.7464550653488104E-2</v>
      </c>
      <c r="PZ81" s="235">
        <f t="shared" ca="1" si="1162"/>
        <v>7.7464550653488104E-2</v>
      </c>
      <c r="QA81" s="242">
        <f t="shared" ca="1" si="1163"/>
        <v>7.7464550653488104E-2</v>
      </c>
      <c r="QB81" s="241">
        <f t="shared" ca="1" si="1344"/>
        <v>1</v>
      </c>
      <c r="QC81" s="220">
        <f t="shared" ca="1" si="1164"/>
        <v>0.76215715546842155</v>
      </c>
      <c r="QD81" s="220">
        <f t="shared" ca="1" si="1165"/>
        <v>0</v>
      </c>
      <c r="QE81" s="235">
        <f t="shared" ca="1" si="1166"/>
        <v>7.3468427669438799E-2</v>
      </c>
      <c r="QF81" s="235">
        <f t="shared" ca="1" si="1167"/>
        <v>7.3468427669438799E-2</v>
      </c>
      <c r="QG81" s="242">
        <f t="shared" ca="1" si="1168"/>
        <v>7.3468427669438799E-2</v>
      </c>
      <c r="QH81" s="241">
        <f t="shared" ca="1" si="1344"/>
        <v>1</v>
      </c>
      <c r="QI81" s="220">
        <f t="shared" ca="1" si="1169"/>
        <v>0.74703900613254992</v>
      </c>
      <c r="QJ81" s="220">
        <f t="shared" ca="1" si="1170"/>
        <v>0</v>
      </c>
      <c r="QK81" s="235">
        <f t="shared" ca="1" si="1171"/>
        <v>6.9575949698732195E-2</v>
      </c>
      <c r="QL81" s="235">
        <f t="shared" ca="1" si="1172"/>
        <v>6.9575949698732195E-2</v>
      </c>
      <c r="QM81" s="242">
        <f t="shared" ca="1" si="1173"/>
        <v>6.9575949698732195E-2</v>
      </c>
      <c r="QN81" s="241">
        <f t="shared" ca="1" si="1344"/>
        <v>1</v>
      </c>
      <c r="QO81" s="220">
        <f t="shared" ca="1" si="1174"/>
        <v>0.73100381386591473</v>
      </c>
      <c r="QP81" s="220">
        <f t="shared" ca="1" si="1175"/>
        <v>0</v>
      </c>
      <c r="QQ81" s="235">
        <f t="shared" ca="1" si="1176"/>
        <v>6.5780195109612458E-2</v>
      </c>
      <c r="QR81" s="235">
        <f t="shared" ca="1" si="1177"/>
        <v>6.5780195109612458E-2</v>
      </c>
      <c r="QS81" s="242">
        <f t="shared" ca="1" si="1178"/>
        <v>6.5780195109612458E-2</v>
      </c>
      <c r="QT81" s="241">
        <f t="shared" ca="1" si="1344"/>
        <v>1</v>
      </c>
      <c r="QU81" s="220">
        <f t="shared" ca="1" si="1179"/>
        <v>0.71393414380833176</v>
      </c>
      <c r="QV81" s="220">
        <f t="shared" ca="1" si="1180"/>
        <v>0</v>
      </c>
      <c r="QW81" s="235">
        <f t="shared" ca="1" si="1181"/>
        <v>6.2071653887543876E-2</v>
      </c>
      <c r="QX81" s="235">
        <f t="shared" ca="1" si="1182"/>
        <v>6.2071653887543876E-2</v>
      </c>
      <c r="QY81" s="242">
        <f t="shared" ca="1" si="1183"/>
        <v>6.2071653887543876E-2</v>
      </c>
      <c r="QZ81" s="241">
        <f t="shared" ca="1" si="1344"/>
        <v>1</v>
      </c>
      <c r="RA81" s="220">
        <f t="shared" ca="1" si="1184"/>
        <v>0.69574167395580788</v>
      </c>
      <c r="RB81" s="220">
        <f t="shared" ca="1" si="1185"/>
        <v>0</v>
      </c>
      <c r="RC81" s="235">
        <f t="shared" ca="1" si="1186"/>
        <v>5.8444390341238162E-2</v>
      </c>
      <c r="RD81" s="235">
        <f t="shared" ca="1" si="1187"/>
        <v>5.8444390341238162E-2</v>
      </c>
      <c r="RE81" s="242">
        <f t="shared" ca="1" si="1188"/>
        <v>5.8444390341238162E-2</v>
      </c>
      <c r="RF81" s="241">
        <f t="shared" ca="1" si="1344"/>
        <v>1</v>
      </c>
      <c r="RG81" s="220">
        <f t="shared" ca="1" si="1189"/>
        <v>0.67640422986988014</v>
      </c>
      <c r="RH81" s="220">
        <f t="shared" ca="1" si="1190"/>
        <v>0</v>
      </c>
      <c r="RI81" s="235">
        <f t="shared" ca="1" si="1191"/>
        <v>5.4898538121829751E-2</v>
      </c>
      <c r="RJ81" s="235">
        <f t="shared" ca="1" si="1192"/>
        <v>5.4898538121829751E-2</v>
      </c>
      <c r="RK81" s="242">
        <f t="shared" ca="1" si="1193"/>
        <v>5.4898538121829751E-2</v>
      </c>
      <c r="RL81" s="241">
        <f t="shared" ca="1" si="1344"/>
        <v>1</v>
      </c>
      <c r="RM81" s="220">
        <f t="shared" ca="1" si="1194"/>
        <v>0.65592135698096043</v>
      </c>
      <c r="RN81" s="220">
        <f t="shared" ca="1" si="1195"/>
        <v>0</v>
      </c>
      <c r="RO81" s="235">
        <f t="shared" ca="1" si="1196"/>
        <v>5.1435845981086484E-2</v>
      </c>
      <c r="RP81" s="235">
        <f t="shared" ca="1" si="1197"/>
        <v>5.1435845981086484E-2</v>
      </c>
      <c r="RQ81" s="242">
        <f t="shared" ca="1" si="1198"/>
        <v>5.1435845981086484E-2</v>
      </c>
      <c r="RR81" s="241">
        <f t="shared" ca="1" si="1344"/>
        <v>1</v>
      </c>
      <c r="RS81" s="220">
        <f t="shared" ca="1" si="1199"/>
        <v>0.63426152193073515</v>
      </c>
      <c r="RT81" s="220">
        <f t="shared" ca="1" si="1200"/>
        <v>0</v>
      </c>
      <c r="RU81" s="235">
        <f t="shared" ca="1" si="1201"/>
        <v>4.8055392729564286E-2</v>
      </c>
      <c r="RV81" s="235">
        <f t="shared" ca="1" si="1202"/>
        <v>4.8055392729564286E-2</v>
      </c>
      <c r="RW81" s="242">
        <f t="shared" ca="1" si="1203"/>
        <v>4.8055392729564286E-2</v>
      </c>
      <c r="RX81" s="241">
        <f t="shared" ca="1" si="1344"/>
        <v>1</v>
      </c>
      <c r="RY81" s="220">
        <f t="shared" ca="1" si="1204"/>
        <v>0.61130062057532053</v>
      </c>
      <c r="RZ81" s="220">
        <f t="shared" ca="1" si="1205"/>
        <v>0</v>
      </c>
      <c r="SA81" s="235">
        <f t="shared" ca="1" si="1206"/>
        <v>4.4749506722088245E-2</v>
      </c>
      <c r="SB81" s="235">
        <f t="shared" ca="1" si="1207"/>
        <v>4.4749506722088245E-2</v>
      </c>
      <c r="SC81" s="242">
        <f t="shared" ca="1" si="1208"/>
        <v>4.4749506722088245E-2</v>
      </c>
      <c r="SD81" s="241">
        <f t="shared" ca="1" si="1339"/>
        <v>1</v>
      </c>
      <c r="SE81" s="220">
        <f t="shared" ca="1" si="1209"/>
        <v>0.58693540044042947</v>
      </c>
      <c r="SF81" s="220">
        <f t="shared" ca="1" si="1210"/>
        <v>0</v>
      </c>
      <c r="SG81" s="235">
        <f t="shared" ca="1" si="1211"/>
        <v>4.1512928389525854E-2</v>
      </c>
      <c r="SH81" s="235">
        <f t="shared" ca="1" si="1212"/>
        <v>4.1512928389525854E-2</v>
      </c>
      <c r="SI81" s="242">
        <f t="shared" ca="1" si="1213"/>
        <v>4.1512928389525854E-2</v>
      </c>
      <c r="SJ81" s="241">
        <f t="shared" ca="1" si="1339"/>
        <v>1</v>
      </c>
      <c r="SK81" s="220">
        <f t="shared" ca="1" si="1214"/>
        <v>0.56117421877969853</v>
      </c>
      <c r="SL81" s="220">
        <f t="shared" ca="1" si="1215"/>
        <v>0</v>
      </c>
      <c r="SM81" s="235">
        <f t="shared" ca="1" si="1216"/>
        <v>3.8348680627614658E-2</v>
      </c>
      <c r="SN81" s="235">
        <f t="shared" ca="1" si="1217"/>
        <v>3.8348680627614658E-2</v>
      </c>
      <c r="SO81" s="242">
        <f t="shared" ca="1" si="1218"/>
        <v>3.8348680627614658E-2</v>
      </c>
      <c r="SP81" s="241">
        <f t="shared" ca="1" si="1347"/>
        <v>1</v>
      </c>
      <c r="SQ81" s="220">
        <f t="shared" ca="1" si="1219"/>
        <v>0.5340633310962325</v>
      </c>
      <c r="SR81" s="220">
        <f t="shared" ca="1" si="1220"/>
        <v>0</v>
      </c>
      <c r="SS81" s="235">
        <f t="shared" ca="1" si="1221"/>
        <v>3.5261852674216394E-2</v>
      </c>
      <c r="ST81" s="235">
        <f t="shared" ca="1" si="1222"/>
        <v>3.5261852674216394E-2</v>
      </c>
      <c r="SU81" s="242">
        <f t="shared" ca="1" si="1223"/>
        <v>3.5261852674216394E-2</v>
      </c>
      <c r="SV81" s="241">
        <f t="shared" ca="1" si="1347"/>
        <v>1</v>
      </c>
      <c r="SW81" s="220">
        <f t="shared" ca="1" si="1224"/>
        <v>0.50563620810864218</v>
      </c>
      <c r="SX81" s="220">
        <f t="shared" ca="1" si="1225"/>
        <v>0</v>
      </c>
      <c r="SY81" s="235">
        <f t="shared" ca="1" si="1226"/>
        <v>3.2255975632920972E-2</v>
      </c>
      <c r="SZ81" s="235">
        <f t="shared" ca="1" si="1227"/>
        <v>3.2255975632920972E-2</v>
      </c>
      <c r="TA81" s="242">
        <f t="shared" ca="1" si="1228"/>
        <v>3.2255975632920972E-2</v>
      </c>
      <c r="TB81" s="241">
        <f t="shared" ca="1" si="1347"/>
        <v>1</v>
      </c>
      <c r="TC81" s="220">
        <f t="shared" ca="1" si="1229"/>
        <v>0.47585575235966748</v>
      </c>
      <c r="TD81" s="220">
        <f t="shared" ca="1" si="1230"/>
        <v>0</v>
      </c>
      <c r="TE81" s="235">
        <f t="shared" ca="1" si="1231"/>
        <v>2.9329657426153458E-2</v>
      </c>
      <c r="TF81" s="235">
        <f t="shared" ca="1" si="1232"/>
        <v>2.9329657426153458E-2</v>
      </c>
      <c r="TG81" s="242">
        <f t="shared" ca="1" si="1233"/>
        <v>2.9329657426153458E-2</v>
      </c>
      <c r="TH81" s="241">
        <f t="shared" ca="1" si="1347"/>
        <v>1</v>
      </c>
      <c r="TI81" s="220">
        <f t="shared" ca="1" si="1234"/>
        <v>0.4447514411066778</v>
      </c>
      <c r="TJ81" s="220">
        <f t="shared" ca="1" si="1235"/>
        <v>0</v>
      </c>
      <c r="TK81" s="235">
        <f t="shared" ca="1" si="1236"/>
        <v>2.6485530790814431E-2</v>
      </c>
      <c r="TL81" s="235">
        <f t="shared" ca="1" si="1237"/>
        <v>2.6485530790814431E-2</v>
      </c>
      <c r="TM81" s="242">
        <f t="shared" ca="1" si="1238"/>
        <v>2.6485530790814431E-2</v>
      </c>
      <c r="TN81" s="241">
        <f t="shared" ca="1" si="1347"/>
        <v>1</v>
      </c>
      <c r="TO81" s="220">
        <f t="shared" ca="1" si="1239"/>
        <v>0.41251096438941365</v>
      </c>
      <c r="TP81" s="220">
        <f t="shared" ca="1" si="1240"/>
        <v>0</v>
      </c>
      <c r="TQ81" s="235">
        <f t="shared" ca="1" si="1241"/>
        <v>2.3734848481408222E-2</v>
      </c>
      <c r="TR81" s="235">
        <f t="shared" ca="1" si="1242"/>
        <v>2.3734848481408222E-2</v>
      </c>
      <c r="TS81" s="242">
        <f t="shared" ca="1" si="1243"/>
        <v>2.3734848481408222E-2</v>
      </c>
      <c r="TT81" s="241">
        <f t="shared" ca="1" si="1347"/>
        <v>1</v>
      </c>
      <c r="TU81" s="220">
        <f t="shared" ca="1" si="1244"/>
        <v>0.37939128408051637</v>
      </c>
      <c r="TV81" s="220">
        <f t="shared" ca="1" si="1245"/>
        <v>0</v>
      </c>
      <c r="TW81" s="235">
        <f t="shared" ca="1" si="1246"/>
        <v>2.1091038615007652E-2</v>
      </c>
      <c r="TX81" s="235">
        <f t="shared" ca="1" si="1247"/>
        <v>2.1091038615007652E-2</v>
      </c>
      <c r="TY81" s="242">
        <f t="shared" ca="1" si="1248"/>
        <v>2.1091038615007652E-2</v>
      </c>
      <c r="TZ81" s="241">
        <f t="shared" ca="1" si="1347"/>
        <v>1</v>
      </c>
      <c r="UA81" s="220">
        <f t="shared" ca="1" si="1249"/>
        <v>0.34565732866521315</v>
      </c>
      <c r="UB81" s="220">
        <f t="shared" ca="1" si="1250"/>
        <v>0</v>
      </c>
      <c r="UC81" s="235">
        <f t="shared" ca="1" si="1251"/>
        <v>1.8565901280691431E-2</v>
      </c>
      <c r="UD81" s="235">
        <f t="shared" ca="1" si="1252"/>
        <v>1.8565901280691431E-2</v>
      </c>
      <c r="UE81" s="242">
        <f t="shared" ca="1" si="1253"/>
        <v>1.8565901280691431E-2</v>
      </c>
      <c r="UF81" s="241">
        <f t="shared" ca="1" si="1347"/>
        <v>1</v>
      </c>
      <c r="UG81" s="220">
        <f t="shared" ca="1" si="1254"/>
        <v>0.31158381183471112</v>
      </c>
      <c r="UH81" s="220">
        <f t="shared" ca="1" si="1255"/>
        <v>0</v>
      </c>
      <c r="UI81" s="235">
        <f t="shared" ca="1" si="1256"/>
        <v>1.6169805793281151E-2</v>
      </c>
      <c r="UJ81" s="235">
        <f t="shared" ca="1" si="1257"/>
        <v>1.6169805793281151E-2</v>
      </c>
      <c r="UK81" s="242">
        <f t="shared" ca="1" si="1258"/>
        <v>1.6169805793281151E-2</v>
      </c>
      <c r="UL81" s="241">
        <f t="shared" ca="1" si="1347"/>
        <v>1</v>
      </c>
      <c r="UM81" s="220">
        <f t="shared" ca="1" si="1259"/>
        <v>0.27748470263514402</v>
      </c>
      <c r="UN81" s="220">
        <f t="shared" ca="1" si="1260"/>
        <v>0</v>
      </c>
      <c r="UO81" s="235">
        <f t="shared" ca="1" si="1261"/>
        <v>1.3913250808575896E-2</v>
      </c>
      <c r="UP81" s="235">
        <f t="shared" ca="1" si="1262"/>
        <v>1.3913250808575896E-2</v>
      </c>
      <c r="UQ81" s="242">
        <f t="shared" ca="1" si="1263"/>
        <v>1.3913250808575896E-2</v>
      </c>
      <c r="UR81" s="241">
        <f t="shared" ca="1" si="1347"/>
        <v>1</v>
      </c>
      <c r="US81" s="220">
        <f t="shared" ca="1" si="1264"/>
        <v>0.24373729058536042</v>
      </c>
      <c r="UT81" s="220">
        <f t="shared" ca="1" si="1265"/>
        <v>0</v>
      </c>
      <c r="UU81" s="235">
        <f t="shared" ca="1" si="1266"/>
        <v>1.1807860056509861E-2</v>
      </c>
      <c r="UV81" s="235">
        <f t="shared" ca="1" si="1267"/>
        <v>1.1807860056509861E-2</v>
      </c>
      <c r="UW81" s="242">
        <f t="shared" ca="1" si="1268"/>
        <v>1.1807860056509861E-2</v>
      </c>
      <c r="UX81" s="241">
        <f t="shared" ca="1" si="1347"/>
        <v>1</v>
      </c>
      <c r="UY81" s="220">
        <f t="shared" ca="1" si="1269"/>
        <v>0.21078985859319374</v>
      </c>
      <c r="UZ81" s="220">
        <f t="shared" ca="1" si="1270"/>
        <v>0</v>
      </c>
      <c r="VA81" s="235">
        <f t="shared" ca="1" si="1271"/>
        <v>9.866396874889936E-3</v>
      </c>
      <c r="VB81" s="235">
        <f t="shared" ca="1" si="1272"/>
        <v>9.866396874889936E-3</v>
      </c>
      <c r="VC81" s="242">
        <f t="shared" ca="1" si="1273"/>
        <v>9.866396874889936E-3</v>
      </c>
      <c r="VD81" s="241">
        <f t="shared" ca="1" si="1345"/>
        <v>1</v>
      </c>
      <c r="VE81" s="220">
        <f t="shared" ca="1" si="1274"/>
        <v>0.17914840370962801</v>
      </c>
      <c r="VF81" s="220">
        <f t="shared" ca="1" si="1275"/>
        <v>0</v>
      </c>
      <c r="VG81" s="235">
        <f t="shared" ca="1" si="1276"/>
        <v>8.1017989433788233E-3</v>
      </c>
      <c r="VH81" s="235">
        <f t="shared" ca="1" si="1277"/>
        <v>8.1017989433788233E-3</v>
      </c>
      <c r="VI81" s="242">
        <f t="shared" ca="1" si="1278"/>
        <v>8.1017989433788233E-3</v>
      </c>
      <c r="VJ81" s="241">
        <f t="shared" ca="1" si="1345"/>
        <v>1</v>
      </c>
      <c r="VK81" s="220">
        <f t="shared" ca="1" si="1279"/>
        <v>0.14933864677755704</v>
      </c>
      <c r="VL81" s="220">
        <f t="shared" ca="1" si="1280"/>
        <v>0</v>
      </c>
      <c r="VM81" s="235">
        <f t="shared" ca="1" si="1281"/>
        <v>6.5252984585482295E-3</v>
      </c>
      <c r="VN81" s="235">
        <f t="shared" ca="1" si="1282"/>
        <v>6.5252984585482295E-3</v>
      </c>
      <c r="VO81" s="242">
        <f t="shared" ca="1" si="1283"/>
        <v>6.5252984585482295E-3</v>
      </c>
      <c r="VP81" s="241">
        <f t="shared" ca="1" si="567"/>
        <v>1</v>
      </c>
      <c r="VQ81" s="220">
        <f t="shared" ca="1" si="1284"/>
        <v>0.12186078378642688</v>
      </c>
      <c r="VR81" s="220">
        <f t="shared" ca="1" si="1285"/>
        <v>0</v>
      </c>
      <c r="VS81" s="235">
        <f t="shared" ca="1" si="1286"/>
        <v>5.1446020464451514E-3</v>
      </c>
      <c r="VT81" s="235">
        <f t="shared" ca="1" si="1287"/>
        <v>5.1446020464451514E-3</v>
      </c>
      <c r="VU81" s="242">
        <f t="shared" ca="1" si="1288"/>
        <v>5.1446020464451514E-3</v>
      </c>
      <c r="VV81" s="241">
        <f t="shared" ca="1" si="1335"/>
        <v>1</v>
      </c>
      <c r="VW81" s="220">
        <f t="shared" ca="1" si="1289"/>
        <v>9.714071449143126E-2</v>
      </c>
      <c r="VX81" s="220">
        <f t="shared" ca="1" si="1290"/>
        <v>0</v>
      </c>
      <c r="VY81" s="235">
        <f t="shared" ca="1" si="1291"/>
        <v>3.9623128486120972E-3</v>
      </c>
      <c r="VZ81" s="235">
        <f t="shared" ca="1" si="1292"/>
        <v>3.9623128486120972E-3</v>
      </c>
      <c r="WA81" s="242">
        <f t="shared" ca="1" si="1293"/>
        <v>3.9623128486120972E-3</v>
      </c>
      <c r="WB81" s="241">
        <f t="shared" ca="1" si="1335"/>
        <v>1</v>
      </c>
      <c r="WC81" s="220">
        <f t="shared" ca="1" si="1294"/>
        <v>7.5486980683431834E-2</v>
      </c>
      <c r="WD81" s="220">
        <f t="shared" ca="1" si="1295"/>
        <v>0</v>
      </c>
      <c r="WE81" s="235">
        <f t="shared" ca="1" si="1296"/>
        <v>2.9749465982754843E-3</v>
      </c>
      <c r="WF81" s="235">
        <f t="shared" ca="1" si="1297"/>
        <v>2.9749465982754843E-3</v>
      </c>
      <c r="WG81" s="242">
        <f t="shared" ca="1" si="1298"/>
        <v>2.9749465982754843E-3</v>
      </c>
      <c r="WH81" s="241">
        <f t="shared" ca="1" si="1335"/>
        <v>1</v>
      </c>
      <c r="WI81" s="220">
        <f t="shared" ca="1" si="1299"/>
        <v>5.7061061620490225E-2</v>
      </c>
      <c r="WJ81" s="220">
        <f t="shared" ca="1" si="1300"/>
        <v>0</v>
      </c>
      <c r="WK81" s="235">
        <f t="shared" ca="1" si="1301"/>
        <v>2.1727342833971291E-3</v>
      </c>
      <c r="WL81" s="235">
        <f t="shared" ca="1" si="1302"/>
        <v>2.1727342833971291E-3</v>
      </c>
      <c r="WM81" s="242">
        <f t="shared" ca="1" si="1303"/>
        <v>2.1727342833971291E-3</v>
      </c>
      <c r="WN81" s="241">
        <f t="shared" ca="1" si="1335"/>
        <v>1</v>
      </c>
      <c r="WO81" s="220">
        <f t="shared" ca="1" si="1304"/>
        <v>4.1934687734452851E-2</v>
      </c>
      <c r="WP81" s="220">
        <f t="shared" ca="1" si="1305"/>
        <v>0</v>
      </c>
      <c r="WQ81" s="235">
        <f t="shared" ca="1" si="1306"/>
        <v>1.5427651975624165E-3</v>
      </c>
      <c r="WR81" s="235">
        <f t="shared" ca="1" si="1307"/>
        <v>1.5427651975624165E-3</v>
      </c>
      <c r="WS81" s="242">
        <f t="shared" ca="1" si="1308"/>
        <v>1.5427651975624165E-3</v>
      </c>
      <c r="WT81" s="241">
        <f t="shared" ca="1" si="1335"/>
        <v>1</v>
      </c>
      <c r="WU81" s="220">
        <f t="shared" ca="1" si="1309"/>
        <v>2.9961998908764689E-2</v>
      </c>
      <c r="WV81" s="220">
        <f t="shared" ca="1" si="1310"/>
        <v>0</v>
      </c>
      <c r="WW81" s="235">
        <f t="shared" ca="1" si="1311"/>
        <v>1.0650177696007403E-3</v>
      </c>
      <c r="WX81" s="235">
        <f t="shared" ca="1" si="1312"/>
        <v>1.0650177696007403E-3</v>
      </c>
      <c r="WY81" s="242">
        <f t="shared" ca="1" si="1313"/>
        <v>1.0650177696007403E-3</v>
      </c>
      <c r="WZ81" s="241">
        <f t="shared" ca="1" si="1335"/>
        <v>1</v>
      </c>
      <c r="XA81" s="220">
        <f t="shared" ca="1" si="1314"/>
        <v>2.0825806429510707E-2</v>
      </c>
      <c r="XB81" s="220">
        <f t="shared" ca="1" si="1315"/>
        <v>0</v>
      </c>
      <c r="XC81" s="235">
        <f t="shared" ca="1" si="1316"/>
        <v>7.1523300597822715E-4</v>
      </c>
      <c r="XD81" s="235">
        <f t="shared" ca="1" si="1317"/>
        <v>7.1523300597822715E-4</v>
      </c>
      <c r="XE81" s="242">
        <f t="shared" ca="1" si="1318"/>
        <v>7.1523300597822715E-4</v>
      </c>
      <c r="XF81" s="241">
        <f t="shared" ca="1" si="1335"/>
        <v>1</v>
      </c>
      <c r="XG81" s="220">
        <f t="shared" ca="1" si="1319"/>
        <v>1.410075784309954E-2</v>
      </c>
      <c r="XH81" s="220">
        <f t="shared" ca="1" si="1320"/>
        <v>0</v>
      </c>
      <c r="XI81" s="235">
        <f t="shared" ca="1" si="1321"/>
        <v>4.6789437576883483E-4</v>
      </c>
      <c r="XJ81" s="235">
        <f t="shared" ca="1" si="1322"/>
        <v>4.6789437576883483E-4</v>
      </c>
      <c r="XK81" s="242">
        <f t="shared" ca="1" si="1323"/>
        <v>4.6789437576883483E-4</v>
      </c>
    </row>
    <row r="82" spans="2:635" x14ac:dyDescent="0.25">
      <c r="B82" s="65">
        <f t="shared" ca="1" si="810"/>
        <v>2097</v>
      </c>
      <c r="C82" s="65" t="s">
        <v>741</v>
      </c>
      <c r="D82" s="77">
        <f t="shared" si="811"/>
        <v>0</v>
      </c>
      <c r="E82" s="77">
        <f t="shared" si="812"/>
        <v>0</v>
      </c>
      <c r="F82" s="77" t="b">
        <f t="shared" si="813"/>
        <v>0</v>
      </c>
      <c r="G82" s="77" t="b">
        <f t="shared" si="814"/>
        <v>0</v>
      </c>
      <c r="H82" s="15" t="e">
        <f t="shared" ca="1" si="815"/>
        <v>#REF!</v>
      </c>
      <c r="L82" s="326">
        <f t="shared" ca="1" si="816"/>
        <v>3.5000000000000003E-2</v>
      </c>
      <c r="M82" s="327">
        <f t="shared" ca="1" si="817"/>
        <v>3.5000000000000003E-2</v>
      </c>
      <c r="N82" s="322">
        <f t="shared" ca="1" si="809"/>
        <v>-74</v>
      </c>
      <c r="O82" s="322">
        <f t="shared" ca="1" si="818"/>
        <v>0</v>
      </c>
      <c r="P82" s="328">
        <f t="shared" ca="1" si="1324"/>
        <v>26.87829936156087</v>
      </c>
      <c r="Q82" s="328">
        <f t="shared" ca="1" si="1325"/>
        <v>26.87829936156087</v>
      </c>
      <c r="R82" s="328">
        <f t="shared" ca="1" si="1326"/>
        <v>26.87829936156087</v>
      </c>
      <c r="S82" s="329">
        <f t="shared" ca="1" si="819"/>
        <v>3.8642415640549425E-2</v>
      </c>
      <c r="T82" s="329">
        <f t="shared" ca="1" si="820"/>
        <v>3.8642415640549425E-2</v>
      </c>
      <c r="U82" s="329">
        <f t="shared" ca="1" si="821"/>
        <v>3.8642415640549425E-2</v>
      </c>
      <c r="V82" s="320" t="e">
        <f t="shared" ca="1" si="822"/>
        <v>#REF!</v>
      </c>
      <c r="W82" s="320" t="e">
        <f t="shared" ca="1" si="560"/>
        <v>#REF!</v>
      </c>
      <c r="X82" s="320" t="e">
        <f t="shared" ca="1" si="823"/>
        <v>#REF!</v>
      </c>
      <c r="Y82" s="320" t="e">
        <f ca="1">INDEX(SC_ZA_HECMLumpSum,ZAIDX)</f>
        <v>#REF!</v>
      </c>
      <c r="Z82" s="320" t="e">
        <f t="shared" ca="1" si="824"/>
        <v>#REF!</v>
      </c>
      <c r="AA82" s="320" t="e">
        <f t="shared" ca="1" si="557"/>
        <v>#REF!</v>
      </c>
      <c r="AB82" s="320" t="e">
        <f t="shared" ca="1" si="558"/>
        <v>#REF!</v>
      </c>
      <c r="AC82" s="330" t="e">
        <f t="shared" ca="1" si="559"/>
        <v>#REF!</v>
      </c>
      <c r="AD82" s="236" t="e">
        <f t="shared" ca="1" si="1327"/>
        <v>#REF!</v>
      </c>
      <c r="AE82" s="320" t="e">
        <f t="shared" ca="1" si="561"/>
        <v>#REF!</v>
      </c>
      <c r="AF82" s="320" t="e">
        <f t="shared" ca="1" si="825"/>
        <v>#REF!</v>
      </c>
      <c r="AG82" s="320" t="e">
        <f t="shared" ca="1" si="1328"/>
        <v>#REF!</v>
      </c>
      <c r="AH82" s="284" t="e">
        <f t="shared" ca="1" si="1329"/>
        <v>#REF!</v>
      </c>
      <c r="AI82" s="318" t="e">
        <f t="shared" ca="1" si="1330"/>
        <v>#REF!</v>
      </c>
      <c r="AJ82" s="331">
        <f t="shared" ca="1" si="1346"/>
        <v>1</v>
      </c>
      <c r="AK82" s="220">
        <f t="shared" ca="1" si="826"/>
        <v>1</v>
      </c>
      <c r="AL82" s="220">
        <f t="shared" ca="1" si="827"/>
        <v>0</v>
      </c>
      <c r="AM82" s="235">
        <f t="shared" ca="1" si="1331"/>
        <v>1</v>
      </c>
      <c r="AN82" s="235">
        <f t="shared" ca="1" si="1332"/>
        <v>1</v>
      </c>
      <c r="AO82" s="242">
        <f t="shared" ca="1" si="1333"/>
        <v>1</v>
      </c>
      <c r="AP82" s="241">
        <f t="shared" ca="1" si="1346"/>
        <v>1</v>
      </c>
      <c r="AQ82" s="220">
        <f t="shared" ca="1" si="828"/>
        <v>0.99361699999999997</v>
      </c>
      <c r="AR82" s="220">
        <f t="shared" ca="1" si="829"/>
        <v>0</v>
      </c>
      <c r="AS82" s="235">
        <f t="shared" ca="1" si="830"/>
        <v>0.96001642512077301</v>
      </c>
      <c r="AT82" s="235">
        <f t="shared" ca="1" si="831"/>
        <v>0.96001642512077301</v>
      </c>
      <c r="AU82" s="242">
        <f t="shared" ca="1" si="832"/>
        <v>0.96001642512077301</v>
      </c>
      <c r="AV82" s="241">
        <f t="shared" ca="1" si="1346"/>
        <v>1</v>
      </c>
      <c r="AW82" s="220">
        <f t="shared" ca="1" si="833"/>
        <v>0.99316689149899995</v>
      </c>
      <c r="AX82" s="220">
        <f t="shared" ca="1" si="834"/>
        <v>0</v>
      </c>
      <c r="AY82" s="235">
        <f t="shared" ca="1" si="835"/>
        <v>0.92713192046395487</v>
      </c>
      <c r="AZ82" s="235">
        <f t="shared" ca="1" si="836"/>
        <v>0.92713192046395487</v>
      </c>
      <c r="BA82" s="242">
        <f t="shared" ca="1" si="837"/>
        <v>0.92713192046395487</v>
      </c>
      <c r="BB82" s="241">
        <f t="shared" ca="1" si="1346"/>
        <v>1</v>
      </c>
      <c r="BC82" s="220">
        <f t="shared" ca="1" si="838"/>
        <v>0.99288681843559723</v>
      </c>
      <c r="BD82" s="220">
        <f t="shared" ca="1" si="839"/>
        <v>0</v>
      </c>
      <c r="BE82" s="235">
        <f t="shared" ca="1" si="840"/>
        <v>0.89552702344191704</v>
      </c>
      <c r="BF82" s="235">
        <f t="shared" ca="1" si="841"/>
        <v>0.89552702344191704</v>
      </c>
      <c r="BG82" s="242">
        <f t="shared" ca="1" si="842"/>
        <v>0.89552702344191704</v>
      </c>
      <c r="BH82" s="241">
        <f t="shared" ca="1" si="1346"/>
        <v>1</v>
      </c>
      <c r="BI82" s="220">
        <f t="shared" ca="1" si="843"/>
        <v>0.99265845446735712</v>
      </c>
      <c r="BJ82" s="220">
        <f t="shared" ca="1" si="844"/>
        <v>0</v>
      </c>
      <c r="BK82" s="235">
        <f t="shared" ca="1" si="845"/>
        <v>0.86504449490485558</v>
      </c>
      <c r="BL82" s="235">
        <f t="shared" ca="1" si="846"/>
        <v>0.86504449490485558</v>
      </c>
      <c r="BM82" s="242">
        <f t="shared" ca="1" si="847"/>
        <v>0.86504449490485558</v>
      </c>
      <c r="BN82" s="241">
        <f t="shared" ca="1" si="1346"/>
        <v>1</v>
      </c>
      <c r="BO82" s="220">
        <f t="shared" ca="1" si="848"/>
        <v>0.99249069518855215</v>
      </c>
      <c r="BP82" s="220">
        <f t="shared" ca="1" si="849"/>
        <v>0</v>
      </c>
      <c r="BQ82" s="235">
        <f t="shared" ca="1" si="850"/>
        <v>0.83565053370552345</v>
      </c>
      <c r="BR82" s="235">
        <f t="shared" ca="1" si="851"/>
        <v>0.83565053370552345</v>
      </c>
      <c r="BS82" s="242">
        <f t="shared" ca="1" si="852"/>
        <v>0.83565053370552345</v>
      </c>
      <c r="BT82" s="241">
        <f t="shared" ca="1" si="1346"/>
        <v>1</v>
      </c>
      <c r="BU82" s="220">
        <f t="shared" ca="1" si="853"/>
        <v>0.99233685913079794</v>
      </c>
      <c r="BV82" s="220">
        <f t="shared" ca="1" si="854"/>
        <v>0</v>
      </c>
      <c r="BW82" s="235">
        <f t="shared" ca="1" si="855"/>
        <v>0.80726667427323584</v>
      </c>
      <c r="BX82" s="235">
        <f t="shared" ca="1" si="856"/>
        <v>0.80726667427323584</v>
      </c>
      <c r="BY82" s="242">
        <f t="shared" ca="1" si="857"/>
        <v>0.80726667427323584</v>
      </c>
      <c r="BZ82" s="241">
        <f t="shared" ca="1" si="1346"/>
        <v>1</v>
      </c>
      <c r="CA82" s="220">
        <f t="shared" ca="1" si="858"/>
        <v>0.992192970286224</v>
      </c>
      <c r="CB82" s="220">
        <f t="shared" ca="1" si="859"/>
        <v>0</v>
      </c>
      <c r="CC82" s="235">
        <f t="shared" ca="1" si="860"/>
        <v>0.7798547058990013</v>
      </c>
      <c r="CD82" s="235">
        <f t="shared" ca="1" si="861"/>
        <v>0.7798547058990013</v>
      </c>
      <c r="CE82" s="242">
        <f t="shared" ca="1" si="862"/>
        <v>0.7798547058990013</v>
      </c>
      <c r="CF82" s="241">
        <f t="shared" ca="1" si="1346"/>
        <v>1</v>
      </c>
      <c r="CG82" s="220">
        <f t="shared" ca="1" si="863"/>
        <v>0.9920590242352354</v>
      </c>
      <c r="CH82" s="220">
        <f t="shared" ca="1" si="864"/>
        <v>0</v>
      </c>
      <c r="CI82" s="235">
        <f t="shared" ca="1" si="865"/>
        <v>0.75338108745285515</v>
      </c>
      <c r="CJ82" s="235">
        <f t="shared" ca="1" si="866"/>
        <v>0.75338108745285515</v>
      </c>
      <c r="CK82" s="242">
        <f t="shared" ca="1" si="867"/>
        <v>0.75338108745285515</v>
      </c>
      <c r="CL82" s="241">
        <f t="shared" ca="1" si="1346"/>
        <v>1</v>
      </c>
      <c r="CM82" s="220">
        <f t="shared" ca="1" si="868"/>
        <v>0.99193997715232718</v>
      </c>
      <c r="CN82" s="220">
        <f t="shared" ca="1" si="869"/>
        <v>0</v>
      </c>
      <c r="CO82" s="235">
        <f t="shared" ca="1" si="870"/>
        <v>0.72781708378972065</v>
      </c>
      <c r="CP82" s="235">
        <f t="shared" ca="1" si="871"/>
        <v>0.72781708378972065</v>
      </c>
      <c r="CQ82" s="242">
        <f t="shared" ca="1" si="872"/>
        <v>0.72781708378972065</v>
      </c>
      <c r="CR82" s="241">
        <f t="shared" ca="1" si="1346"/>
        <v>1</v>
      </c>
      <c r="CS82" s="220">
        <f t="shared" ca="1" si="873"/>
        <v>0.99183582345472621</v>
      </c>
      <c r="CT82" s="220">
        <f t="shared" ca="1" si="874"/>
        <v>0</v>
      </c>
      <c r="CU82" s="235">
        <f t="shared" ca="1" si="875"/>
        <v>0.70313107535837949</v>
      </c>
      <c r="CV82" s="235">
        <f t="shared" ca="1" si="876"/>
        <v>0.70313107535837949</v>
      </c>
      <c r="CW82" s="242">
        <f t="shared" ca="1" si="877"/>
        <v>0.70313107535837949</v>
      </c>
      <c r="CX82" s="241">
        <f t="shared" ca="1" si="1340"/>
        <v>1</v>
      </c>
      <c r="CY82" s="220">
        <f t="shared" ca="1" si="878"/>
        <v>0.99174259088732142</v>
      </c>
      <c r="CZ82" s="220">
        <f t="shared" ca="1" si="879"/>
        <v>0</v>
      </c>
      <c r="DA82" s="235">
        <f t="shared" ca="1" si="880"/>
        <v>0.6792898367510104</v>
      </c>
      <c r="DB82" s="235">
        <f t="shared" ca="1" si="881"/>
        <v>0.6792898367510104</v>
      </c>
      <c r="DC82" s="242">
        <f t="shared" ca="1" si="882"/>
        <v>0.6792898367510104</v>
      </c>
      <c r="DD82" s="241">
        <f t="shared" ca="1" si="1340"/>
        <v>1</v>
      </c>
      <c r="DE82" s="220">
        <f t="shared" ca="1" si="883"/>
        <v>0.99164440837082357</v>
      </c>
      <c r="DF82" s="220">
        <f t="shared" ca="1" si="884"/>
        <v>0</v>
      </c>
      <c r="DG82" s="235">
        <f t="shared" ca="1" si="885"/>
        <v>0.65625370730161559</v>
      </c>
      <c r="DH82" s="235">
        <f t="shared" ca="1" si="886"/>
        <v>0.65625370730161559</v>
      </c>
      <c r="DI82" s="242">
        <f t="shared" ca="1" si="887"/>
        <v>0.65625370730161559</v>
      </c>
      <c r="DJ82" s="241">
        <f t="shared" ca="1" si="888"/>
        <v>1</v>
      </c>
      <c r="DK82" s="220">
        <f t="shared" ca="1" si="889"/>
        <v>0.9915115280201019</v>
      </c>
      <c r="DL82" s="220">
        <f t="shared" ca="1" si="890"/>
        <v>0</v>
      </c>
      <c r="DM82" s="235">
        <f t="shared" ca="1" si="891"/>
        <v>0.63397658870032592</v>
      </c>
      <c r="DN82" s="235">
        <f t="shared" ca="1" si="892"/>
        <v>0.63397658870032592</v>
      </c>
      <c r="DO82" s="242">
        <f t="shared" ca="1" si="893"/>
        <v>0.63397658870032592</v>
      </c>
      <c r="DP82" s="241">
        <f t="shared" ca="1" si="888"/>
        <v>1</v>
      </c>
      <c r="DQ82" s="220">
        <f t="shared" ca="1" si="894"/>
        <v>0.99130628513380181</v>
      </c>
      <c r="DR82" s="220">
        <f t="shared" ca="1" si="895"/>
        <v>0</v>
      </c>
      <c r="DS82" s="235">
        <f t="shared" ca="1" si="896"/>
        <v>0.61241097154247814</v>
      </c>
      <c r="DT82" s="235">
        <f t="shared" ca="1" si="897"/>
        <v>0.61241097154247814</v>
      </c>
      <c r="DU82" s="242">
        <f t="shared" ca="1" si="898"/>
        <v>0.61241097154247814</v>
      </c>
      <c r="DV82" s="241">
        <f t="shared" ca="1" si="888"/>
        <v>1</v>
      </c>
      <c r="DW82" s="220">
        <f t="shared" ca="1" si="899"/>
        <v>0.9909999714916955</v>
      </c>
      <c r="DX82" s="220">
        <f t="shared" ca="1" si="900"/>
        <v>0</v>
      </c>
      <c r="DY82" s="235">
        <f t="shared" ca="1" si="901"/>
        <v>0.59151858604084218</v>
      </c>
      <c r="DZ82" s="235">
        <f t="shared" ca="1" si="902"/>
        <v>0.59151858604084218</v>
      </c>
      <c r="EA82" s="242">
        <f t="shared" ca="1" si="903"/>
        <v>0.59151858604084218</v>
      </c>
      <c r="EB82" s="241">
        <f t="shared" ca="1" si="888"/>
        <v>1</v>
      </c>
      <c r="EC82" s="220">
        <f t="shared" ca="1" si="904"/>
        <v>0.99058474250364048</v>
      </c>
      <c r="ED82" s="220">
        <f t="shared" ca="1" si="905"/>
        <v>0</v>
      </c>
      <c r="EE82" s="235">
        <f t="shared" ca="1" si="906"/>
        <v>0.57127607705632</v>
      </c>
      <c r="EF82" s="235">
        <f t="shared" ca="1" si="907"/>
        <v>0.57127607705632</v>
      </c>
      <c r="EG82" s="242">
        <f t="shared" ca="1" si="908"/>
        <v>0.57127607705632</v>
      </c>
      <c r="EH82" s="241">
        <f t="shared" ca="1" si="888"/>
        <v>1</v>
      </c>
      <c r="EI82" s="220">
        <f t="shared" ca="1" si="909"/>
        <v>0.99005973259011348</v>
      </c>
      <c r="EJ82" s="220">
        <f t="shared" ca="1" si="910"/>
        <v>0</v>
      </c>
      <c r="EK82" s="235">
        <f t="shared" ca="1" si="911"/>
        <v>0.55166502486519819</v>
      </c>
      <c r="EL82" s="235">
        <f t="shared" ca="1" si="912"/>
        <v>0.55166502486519819</v>
      </c>
      <c r="EM82" s="242">
        <f t="shared" ca="1" si="913"/>
        <v>0.55166502486519819</v>
      </c>
      <c r="EN82" s="241">
        <f t="shared" ca="1" si="888"/>
        <v>1</v>
      </c>
      <c r="EO82" s="220">
        <f t="shared" ca="1" si="914"/>
        <v>0.98941124346526699</v>
      </c>
      <c r="EP82" s="220">
        <f t="shared" ca="1" si="915"/>
        <v>0</v>
      </c>
      <c r="EQ82" s="235">
        <f t="shared" ca="1" si="916"/>
        <v>0.53266056451585653</v>
      </c>
      <c r="ER82" s="235">
        <f t="shared" ca="1" si="917"/>
        <v>0.53266056451585653</v>
      </c>
      <c r="ES82" s="242">
        <f t="shared" ca="1" si="918"/>
        <v>0.53266056451585653</v>
      </c>
      <c r="ET82" s="241">
        <f t="shared" ca="1" si="888"/>
        <v>1</v>
      </c>
      <c r="EU82" s="220">
        <f t="shared" ca="1" si="919"/>
        <v>0.98862861917168599</v>
      </c>
      <c r="EV82" s="220">
        <f t="shared" ca="1" si="920"/>
        <v>0</v>
      </c>
      <c r="EW82" s="235">
        <f t="shared" ca="1" si="921"/>
        <v>0.51424080194137645</v>
      </c>
      <c r="EX82" s="235">
        <f t="shared" ca="1" si="922"/>
        <v>0.51424080194137645</v>
      </c>
      <c r="EY82" s="242">
        <f t="shared" ca="1" si="923"/>
        <v>0.51424080194137645</v>
      </c>
      <c r="EZ82" s="241">
        <f t="shared" ca="1" si="888"/>
        <v>1</v>
      </c>
      <c r="FA82" s="220">
        <f t="shared" ca="1" si="924"/>
        <v>0.98770524004137961</v>
      </c>
      <c r="FB82" s="220">
        <f t="shared" ca="1" si="925"/>
        <v>0</v>
      </c>
      <c r="FC82" s="235">
        <f t="shared" ca="1" si="926"/>
        <v>0.49638695751919149</v>
      </c>
      <c r="FD82" s="235">
        <f t="shared" ca="1" si="927"/>
        <v>0.49638695751919149</v>
      </c>
      <c r="FE82" s="242">
        <f t="shared" ca="1" si="928"/>
        <v>0.49638695751919149</v>
      </c>
      <c r="FF82" s="241">
        <f t="shared" ca="1" si="888"/>
        <v>1</v>
      </c>
      <c r="FG82" s="220">
        <f t="shared" ca="1" si="929"/>
        <v>0.98663357985593469</v>
      </c>
      <c r="FH82" s="220">
        <f t="shared" ca="1" si="930"/>
        <v>0</v>
      </c>
      <c r="FI82" s="235">
        <f t="shared" ca="1" si="931"/>
        <v>0.4790805581355394</v>
      </c>
      <c r="FJ82" s="235">
        <f t="shared" ca="1" si="932"/>
        <v>0.4790805581355394</v>
      </c>
      <c r="FK82" s="242">
        <f t="shared" ca="1" si="933"/>
        <v>0.4790805581355394</v>
      </c>
      <c r="FL82" s="241">
        <f t="shared" ca="1" si="888"/>
        <v>1</v>
      </c>
      <c r="FM82" s="220">
        <f t="shared" ca="1" si="934"/>
        <v>0.98542199381987161</v>
      </c>
      <c r="FN82" s="220">
        <f t="shared" ca="1" si="935"/>
        <v>0</v>
      </c>
      <c r="FO82" s="235">
        <f t="shared" ca="1" si="936"/>
        <v>0.46231134996149653</v>
      </c>
      <c r="FP82" s="235">
        <f t="shared" ca="1" si="937"/>
        <v>0.46231134996149653</v>
      </c>
      <c r="FQ82" s="242">
        <f t="shared" ca="1" si="938"/>
        <v>0.46231134996149653</v>
      </c>
      <c r="FR82" s="241">
        <f t="shared" ca="1" si="888"/>
        <v>1</v>
      </c>
      <c r="FS82" s="220">
        <f t="shared" ca="1" si="939"/>
        <v>0.98410251377014679</v>
      </c>
      <c r="FT82" s="220">
        <f t="shared" ca="1" si="940"/>
        <v>0</v>
      </c>
      <c r="FU82" s="235">
        <f t="shared" ca="1" si="941"/>
        <v>0.44607953146270346</v>
      </c>
      <c r="FV82" s="235">
        <f t="shared" ca="1" si="942"/>
        <v>0.44607953146270346</v>
      </c>
      <c r="FW82" s="242">
        <f t="shared" ca="1" si="943"/>
        <v>0.44607953146270346</v>
      </c>
      <c r="FX82" s="241">
        <f t="shared" ca="1" si="801"/>
        <v>1</v>
      </c>
      <c r="FY82" s="220">
        <f t="shared" ca="1" si="944"/>
        <v>0.98272181794332725</v>
      </c>
      <c r="FZ82" s="220">
        <f t="shared" ca="1" si="945"/>
        <v>0</v>
      </c>
      <c r="GA82" s="235">
        <f t="shared" ca="1" si="946"/>
        <v>0.43039003080199167</v>
      </c>
      <c r="GB82" s="235">
        <f t="shared" ca="1" si="947"/>
        <v>0.43039003080199167</v>
      </c>
      <c r="GC82" s="242">
        <f t="shared" ca="1" si="948"/>
        <v>0.43039003080199167</v>
      </c>
      <c r="GD82" s="241">
        <f t="shared" ca="1" si="795"/>
        <v>1</v>
      </c>
      <c r="GE82" s="220">
        <f t="shared" ca="1" si="949"/>
        <v>0.98131357757821447</v>
      </c>
      <c r="GF82" s="220">
        <f t="shared" ca="1" si="950"/>
        <v>0</v>
      </c>
      <c r="GG82" s="235">
        <f t="shared" ca="1" si="951"/>
        <v>0.41523988588198307</v>
      </c>
      <c r="GH82" s="235">
        <f t="shared" ca="1" si="952"/>
        <v>0.41523988588198307</v>
      </c>
      <c r="GI82" s="242">
        <f t="shared" ca="1" si="953"/>
        <v>0.41523988588198307</v>
      </c>
      <c r="GJ82" s="241">
        <f t="shared" ca="1" si="795"/>
        <v>1</v>
      </c>
      <c r="GK82" s="220">
        <f t="shared" ca="1" si="954"/>
        <v>0.97988969157714845</v>
      </c>
      <c r="GL82" s="220">
        <f t="shared" ca="1" si="955"/>
        <v>0</v>
      </c>
      <c r="GM82" s="235">
        <f t="shared" ca="1" si="956"/>
        <v>0.40061581913774713</v>
      </c>
      <c r="GN82" s="235">
        <f t="shared" ca="1" si="957"/>
        <v>0.40061581913774713</v>
      </c>
      <c r="GO82" s="242">
        <f t="shared" ca="1" si="958"/>
        <v>0.40061581913774713</v>
      </c>
      <c r="GP82" s="241">
        <f t="shared" ca="1" si="1341"/>
        <v>1</v>
      </c>
      <c r="GQ82" s="220">
        <f t="shared" ca="1" si="959"/>
        <v>0.9784443542820721</v>
      </c>
      <c r="GR82" s="220">
        <f t="shared" ca="1" si="960"/>
        <v>0</v>
      </c>
      <c r="GS82" s="235">
        <f t="shared" ca="1" si="961"/>
        <v>0.38649749836185404</v>
      </c>
      <c r="GT82" s="235">
        <f t="shared" ca="1" si="962"/>
        <v>0.38649749836185404</v>
      </c>
      <c r="GU82" s="242">
        <f t="shared" ca="1" si="963"/>
        <v>0.38649749836185404</v>
      </c>
      <c r="GV82" s="241">
        <f t="shared" ca="1" si="1341"/>
        <v>1</v>
      </c>
      <c r="GW82" s="220">
        <f t="shared" ca="1" si="964"/>
        <v>0.97697473086194042</v>
      </c>
      <c r="GX82" s="220">
        <f t="shared" ca="1" si="965"/>
        <v>0</v>
      </c>
      <c r="GY82" s="235">
        <f t="shared" ca="1" si="966"/>
        <v>0.37286664649209134</v>
      </c>
      <c r="GZ82" s="235">
        <f t="shared" ca="1" si="967"/>
        <v>0.37286664649209134</v>
      </c>
      <c r="HA82" s="242">
        <f t="shared" ca="1" si="968"/>
        <v>0.37286664649209134</v>
      </c>
      <c r="HB82" s="241">
        <f t="shared" ca="1" si="1341"/>
        <v>1</v>
      </c>
      <c r="HC82" s="220">
        <f t="shared" ca="1" si="969"/>
        <v>0.97547214372587476</v>
      </c>
      <c r="HD82" s="220">
        <f t="shared" ca="1" si="970"/>
        <v>0</v>
      </c>
      <c r="HE82" s="235">
        <f t="shared" ca="1" si="971"/>
        <v>0.35970355322684694</v>
      </c>
      <c r="HF82" s="235">
        <f t="shared" ca="1" si="972"/>
        <v>0.35970355322684694</v>
      </c>
      <c r="HG82" s="242">
        <f t="shared" ca="1" si="973"/>
        <v>0.35970355322684694</v>
      </c>
      <c r="HH82" s="241">
        <f t="shared" ca="1" si="1341"/>
        <v>1</v>
      </c>
      <c r="HI82" s="220">
        <f t="shared" ca="1" si="974"/>
        <v>0.9739299222666441</v>
      </c>
      <c r="HJ82" s="220">
        <f t="shared" ca="1" si="975"/>
        <v>0</v>
      </c>
      <c r="HK82" s="235">
        <f t="shared" ca="1" si="976"/>
        <v>0.34699020474318382</v>
      </c>
      <c r="HL82" s="235">
        <f t="shared" ca="1" si="977"/>
        <v>0.34699020474318382</v>
      </c>
      <c r="HM82" s="242">
        <f t="shared" ca="1" si="978"/>
        <v>0.34699020474318382</v>
      </c>
      <c r="HN82" s="241">
        <f t="shared" ca="1" si="1341"/>
        <v>1</v>
      </c>
      <c r="HO82" s="220">
        <f t="shared" ca="1" si="979"/>
        <v>0.97234631221303847</v>
      </c>
      <c r="HP82" s="220">
        <f t="shared" ca="1" si="980"/>
        <v>0</v>
      </c>
      <c r="HQ82" s="235">
        <f t="shared" ca="1" si="981"/>
        <v>0.33471110982634922</v>
      </c>
      <c r="HR82" s="235">
        <f t="shared" ca="1" si="982"/>
        <v>0.33471110982634922</v>
      </c>
      <c r="HS82" s="242">
        <f t="shared" ca="1" si="983"/>
        <v>0.33471110982634922</v>
      </c>
      <c r="HT82" s="241">
        <f t="shared" ca="1" si="1341"/>
        <v>1</v>
      </c>
      <c r="HU82" s="220">
        <f t="shared" ca="1" si="984"/>
        <v>0.97072346621795491</v>
      </c>
      <c r="HV82" s="220">
        <f t="shared" ca="1" si="985"/>
        <v>0</v>
      </c>
      <c r="HW82" s="235">
        <f t="shared" ca="1" si="986"/>
        <v>0.32285263476719722</v>
      </c>
      <c r="HX82" s="235">
        <f t="shared" ca="1" si="987"/>
        <v>0.32285263476719722</v>
      </c>
      <c r="HY82" s="242">
        <f t="shared" ca="1" si="988"/>
        <v>0.32285263476719722</v>
      </c>
      <c r="HZ82" s="241">
        <f t="shared" ca="1" si="1341"/>
        <v>1</v>
      </c>
      <c r="IA82" s="220">
        <f t="shared" ca="1" si="989"/>
        <v>0.96906158764378969</v>
      </c>
      <c r="IB82" s="220">
        <f t="shared" ca="1" si="990"/>
        <v>0</v>
      </c>
      <c r="IC82" s="235">
        <f t="shared" ca="1" si="991"/>
        <v>0.31140088024780266</v>
      </c>
      <c r="ID82" s="235">
        <f t="shared" ca="1" si="992"/>
        <v>0.31140088024780266</v>
      </c>
      <c r="IE82" s="242">
        <f t="shared" ca="1" si="993"/>
        <v>0.31140088024780266</v>
      </c>
      <c r="IF82" s="241">
        <f t="shared" ca="1" si="1341"/>
        <v>1</v>
      </c>
      <c r="IG82" s="220">
        <f t="shared" ca="1" si="994"/>
        <v>0.96736088455747493</v>
      </c>
      <c r="IH82" s="220">
        <f t="shared" ca="1" si="995"/>
        <v>0</v>
      </c>
      <c r="II82" s="235">
        <f t="shared" ca="1" si="996"/>
        <v>0.30034238811880948</v>
      </c>
      <c r="IJ82" s="235">
        <f t="shared" ca="1" si="997"/>
        <v>0.30034238811880948</v>
      </c>
      <c r="IK82" s="242">
        <f t="shared" ca="1" si="998"/>
        <v>0.30034238811880948</v>
      </c>
      <c r="IL82" s="241">
        <f t="shared" ca="1" si="1341"/>
        <v>1</v>
      </c>
      <c r="IM82" s="220">
        <f t="shared" ca="1" si="999"/>
        <v>0.96561963496527148</v>
      </c>
      <c r="IN82" s="220">
        <f t="shared" ca="1" si="1000"/>
        <v>0</v>
      </c>
      <c r="IO82" s="235">
        <f t="shared" ca="1" si="1001"/>
        <v>0.28966354765236296</v>
      </c>
      <c r="IP82" s="235">
        <f t="shared" ca="1" si="1002"/>
        <v>0.28966354765236296</v>
      </c>
      <c r="IQ82" s="242">
        <f t="shared" ca="1" si="1003"/>
        <v>0.28966354765236296</v>
      </c>
      <c r="IR82" s="241">
        <f t="shared" ca="1" si="1341"/>
        <v>1</v>
      </c>
      <c r="IS82" s="220">
        <f t="shared" ca="1" si="1004"/>
        <v>0.96382841054241086</v>
      </c>
      <c r="IT82" s="220">
        <f t="shared" ca="1" si="1005"/>
        <v>0</v>
      </c>
      <c r="IU82" s="235">
        <f t="shared" ca="1" si="1006"/>
        <v>0.27934900654248102</v>
      </c>
      <c r="IV82" s="235">
        <f t="shared" ca="1" si="1007"/>
        <v>0.27934900654248102</v>
      </c>
      <c r="IW82" s="242">
        <f t="shared" ca="1" si="1008"/>
        <v>0.27934900654248102</v>
      </c>
      <c r="IX82" s="241">
        <f t="shared" ca="1" si="1341"/>
        <v>1</v>
      </c>
      <c r="IY82" s="220">
        <f t="shared" ca="1" si="1009"/>
        <v>0.9619778599941694</v>
      </c>
      <c r="IZ82" s="220">
        <f t="shared" ca="1" si="1010"/>
        <v>0</v>
      </c>
      <c r="JA82" s="235">
        <f t="shared" ca="1" si="1011"/>
        <v>0.26938420913035699</v>
      </c>
      <c r="JB82" s="235">
        <f t="shared" ca="1" si="1012"/>
        <v>0.26938420913035699</v>
      </c>
      <c r="JC82" s="242">
        <f t="shared" ca="1" si="1013"/>
        <v>0.26938420913035699</v>
      </c>
      <c r="JD82" s="241">
        <f t="shared" ca="1" si="1336"/>
        <v>1</v>
      </c>
      <c r="JE82" s="220">
        <f t="shared" ca="1" si="1014"/>
        <v>0.96006544800850102</v>
      </c>
      <c r="JF82" s="220">
        <f t="shared" ca="1" si="1015"/>
        <v>0</v>
      </c>
      <c r="JG82" s="235">
        <f t="shared" ca="1" si="1016"/>
        <v>0.25975717229237277</v>
      </c>
      <c r="JH82" s="235">
        <f t="shared" ca="1" si="1017"/>
        <v>0.25975717229237277</v>
      </c>
      <c r="JI82" s="242">
        <f t="shared" ca="1" si="1018"/>
        <v>0.25975717229237277</v>
      </c>
      <c r="JJ82" s="241">
        <f t="shared" ca="1" si="1336"/>
        <v>1</v>
      </c>
      <c r="JK82" s="220">
        <f t="shared" ca="1" si="1019"/>
        <v>0.9580877131856036</v>
      </c>
      <c r="JL82" s="220">
        <f t="shared" ca="1" si="1020"/>
        <v>0</v>
      </c>
      <c r="JM82" s="235">
        <f t="shared" ca="1" si="1021"/>
        <v>0.25045610871251262</v>
      </c>
      <c r="JN82" s="235">
        <f t="shared" ca="1" si="1022"/>
        <v>0.25045610871251262</v>
      </c>
      <c r="JO82" s="242">
        <f t="shared" ca="1" si="1023"/>
        <v>0.25045610871251262</v>
      </c>
      <c r="JP82" s="241">
        <f t="shared" ca="1" si="1342"/>
        <v>1</v>
      </c>
      <c r="JQ82" s="220">
        <f t="shared" ca="1" si="1024"/>
        <v>0.95603644739167326</v>
      </c>
      <c r="JR82" s="220">
        <f t="shared" ca="1" si="1025"/>
        <v>0</v>
      </c>
      <c r="JS82" s="235">
        <f t="shared" ca="1" si="1026"/>
        <v>0.24146848520169967</v>
      </c>
      <c r="JT82" s="235">
        <f t="shared" ca="1" si="1027"/>
        <v>0.24146848520169967</v>
      </c>
      <c r="JU82" s="242">
        <f t="shared" ca="1" si="1028"/>
        <v>0.24146848520169967</v>
      </c>
      <c r="JV82" s="241">
        <f t="shared" ca="1" si="1342"/>
        <v>1</v>
      </c>
      <c r="JW82" s="220">
        <f t="shared" ca="1" si="1029"/>
        <v>0.95389492574951584</v>
      </c>
      <c r="JX82" s="220">
        <f t="shared" ca="1" si="1030"/>
        <v>0</v>
      </c>
      <c r="JY82" s="235">
        <f t="shared" ca="1" si="1031"/>
        <v>0.23278028579212359</v>
      </c>
      <c r="JZ82" s="235">
        <f t="shared" ca="1" si="1032"/>
        <v>0.23278028579212359</v>
      </c>
      <c r="KA82" s="242">
        <f t="shared" ca="1" si="1033"/>
        <v>0.23278028579212359</v>
      </c>
      <c r="KB82" s="241">
        <f t="shared" ca="1" si="1342"/>
        <v>1</v>
      </c>
      <c r="KC82" s="220">
        <f t="shared" ca="1" si="1034"/>
        <v>0.95164182593489555</v>
      </c>
      <c r="KD82" s="220">
        <f t="shared" ca="1" si="1035"/>
        <v>0</v>
      </c>
      <c r="KE82" s="235">
        <f t="shared" ca="1" si="1036"/>
        <v>0.22437725483776094</v>
      </c>
      <c r="KF82" s="235">
        <f t="shared" ca="1" si="1037"/>
        <v>0.22437725483776094</v>
      </c>
      <c r="KG82" s="242">
        <f t="shared" ca="1" si="1038"/>
        <v>0.22437725483776094</v>
      </c>
      <c r="KH82" s="241">
        <f t="shared" ca="1" si="1342"/>
        <v>1</v>
      </c>
      <c r="KI82" s="220">
        <f t="shared" ca="1" si="1039"/>
        <v>0.94925415659362489</v>
      </c>
      <c r="KJ82" s="220">
        <f t="shared" ca="1" si="1040"/>
        <v>0</v>
      </c>
      <c r="KK82" s="235">
        <f t="shared" ca="1" si="1041"/>
        <v>0.21624569304866956</v>
      </c>
      <c r="KL82" s="235">
        <f t="shared" ca="1" si="1042"/>
        <v>0.21624569304866956</v>
      </c>
      <c r="KM82" s="242">
        <f t="shared" ca="1" si="1043"/>
        <v>0.21624569304866956</v>
      </c>
      <c r="KN82" s="241">
        <f t="shared" ca="1" si="1342"/>
        <v>1</v>
      </c>
      <c r="KO82" s="220">
        <f t="shared" ca="1" si="1044"/>
        <v>0.94670635843732753</v>
      </c>
      <c r="KP82" s="220">
        <f t="shared" ca="1" si="1045"/>
        <v>0</v>
      </c>
      <c r="KQ82" s="235">
        <f t="shared" ca="1" si="1046"/>
        <v>0.2083722604913304</v>
      </c>
      <c r="KR82" s="235">
        <f t="shared" ca="1" si="1047"/>
        <v>0.2083722604913304</v>
      </c>
      <c r="KS82" s="242">
        <f t="shared" ca="1" si="1048"/>
        <v>0.2083722604913304</v>
      </c>
      <c r="KT82" s="241">
        <f t="shared" ca="1" si="1342"/>
        <v>1</v>
      </c>
      <c r="KU82" s="220">
        <f t="shared" ca="1" si="1049"/>
        <v>0.94397037706144371</v>
      </c>
      <c r="KV82" s="220">
        <f t="shared" ca="1" si="1050"/>
        <v>0</v>
      </c>
      <c r="KW82" s="235">
        <f t="shared" ca="1" si="1051"/>
        <v>0.20074402382464779</v>
      </c>
      <c r="KX82" s="235">
        <f t="shared" ca="1" si="1052"/>
        <v>0.20074402382464779</v>
      </c>
      <c r="KY82" s="242">
        <f t="shared" ca="1" si="1053"/>
        <v>0.20074402382464779</v>
      </c>
      <c r="KZ82" s="241">
        <f t="shared" ca="1" si="1342"/>
        <v>1</v>
      </c>
      <c r="LA82" s="220">
        <f t="shared" ca="1" si="1054"/>
        <v>0.94102424551463493</v>
      </c>
      <c r="LB82" s="220">
        <f t="shared" ca="1" si="1055"/>
        <v>0</v>
      </c>
      <c r="LC82" s="235">
        <f t="shared" ca="1" si="1056"/>
        <v>0.19335024321380778</v>
      </c>
      <c r="LD82" s="235">
        <f t="shared" ca="1" si="1057"/>
        <v>0.19335024321380778</v>
      </c>
      <c r="LE82" s="242">
        <f t="shared" ca="1" si="1058"/>
        <v>0.19335024321380778</v>
      </c>
      <c r="LF82" s="241">
        <f t="shared" ca="1" si="1342"/>
        <v>1</v>
      </c>
      <c r="LG82" s="220">
        <f t="shared" ca="1" si="1059"/>
        <v>0.93783793741932242</v>
      </c>
      <c r="LH82" s="220">
        <f t="shared" ca="1" si="1060"/>
        <v>0</v>
      </c>
      <c r="LI82" s="235">
        <f t="shared" ca="1" si="1061"/>
        <v>0.18617928433844047</v>
      </c>
      <c r="LJ82" s="235">
        <f t="shared" ca="1" si="1062"/>
        <v>0.18617928433844047</v>
      </c>
      <c r="LK82" s="242">
        <f t="shared" ca="1" si="1063"/>
        <v>0.18617928433844047</v>
      </c>
      <c r="LL82" s="241">
        <f t="shared" ca="1" si="1342"/>
        <v>1</v>
      </c>
      <c r="LM82" s="220">
        <f t="shared" ca="1" si="1064"/>
        <v>0.93436137218530901</v>
      </c>
      <c r="LN82" s="220">
        <f t="shared" ca="1" si="1065"/>
        <v>0</v>
      </c>
      <c r="LO82" s="235">
        <f t="shared" ca="1" si="1066"/>
        <v>0.17921653887091585</v>
      </c>
      <c r="LP82" s="235">
        <f t="shared" ca="1" si="1067"/>
        <v>0.17921653887091585</v>
      </c>
      <c r="LQ82" s="242">
        <f t="shared" ca="1" si="1068"/>
        <v>0.17921653887091585</v>
      </c>
      <c r="LR82" s="241">
        <f t="shared" ca="1" si="1342"/>
        <v>1</v>
      </c>
      <c r="LS82" s="220">
        <f t="shared" ca="1" si="1069"/>
        <v>0.93053889981169891</v>
      </c>
      <c r="LT82" s="220">
        <f t="shared" ca="1" si="1070"/>
        <v>0</v>
      </c>
      <c r="LU82" s="235">
        <f t="shared" ca="1" si="1071"/>
        <v>0.17244769469603377</v>
      </c>
      <c r="LV82" s="235">
        <f t="shared" ca="1" si="1072"/>
        <v>0.17244769469603377</v>
      </c>
      <c r="LW82" s="242">
        <f t="shared" ca="1" si="1073"/>
        <v>0.17244769469603377</v>
      </c>
      <c r="LX82" s="241">
        <f t="shared" ca="1" si="1342"/>
        <v>1</v>
      </c>
      <c r="LY82" s="220">
        <f t="shared" ca="1" si="1074"/>
        <v>0.92632262805665211</v>
      </c>
      <c r="LZ82" s="220">
        <f t="shared" ca="1" si="1075"/>
        <v>0</v>
      </c>
      <c r="MA82" s="235">
        <f t="shared" ca="1" si="1076"/>
        <v>0.16586119245542613</v>
      </c>
      <c r="MB82" s="235">
        <f t="shared" ca="1" si="1077"/>
        <v>0.16586119245542613</v>
      </c>
      <c r="MC82" s="242">
        <f t="shared" ca="1" si="1078"/>
        <v>0.16586119245542613</v>
      </c>
      <c r="MD82" s="241">
        <f t="shared" ca="1" si="1337"/>
        <v>1</v>
      </c>
      <c r="ME82" s="220">
        <f t="shared" ca="1" si="1079"/>
        <v>0.92167897272220412</v>
      </c>
      <c r="MF82" s="220">
        <f t="shared" ca="1" si="1080"/>
        <v>0</v>
      </c>
      <c r="MG82" s="235">
        <f t="shared" ca="1" si="1081"/>
        <v>0.15944901478033538</v>
      </c>
      <c r="MH82" s="235">
        <f t="shared" ca="1" si="1082"/>
        <v>0.15944901478033538</v>
      </c>
      <c r="MI82" s="242">
        <f t="shared" ca="1" si="1083"/>
        <v>0.15944901478033538</v>
      </c>
      <c r="MJ82" s="241">
        <f t="shared" ca="1" si="1337"/>
        <v>1</v>
      </c>
      <c r="MK82" s="220">
        <f t="shared" ca="1" si="1084"/>
        <v>0.91658761807688671</v>
      </c>
      <c r="ML82" s="220">
        <f t="shared" ca="1" si="1085"/>
        <v>0</v>
      </c>
      <c r="MM82" s="235">
        <f t="shared" ca="1" si="1086"/>
        <v>0.15320600813786359</v>
      </c>
      <c r="MN82" s="235">
        <f t="shared" ca="1" si="1087"/>
        <v>0.15320600813786359</v>
      </c>
      <c r="MO82" s="242">
        <f t="shared" ca="1" si="1088"/>
        <v>0.15320600813786359</v>
      </c>
      <c r="MP82" s="241">
        <f t="shared" ca="1" si="1343"/>
        <v>1</v>
      </c>
      <c r="MQ82" s="220">
        <f t="shared" ca="1" si="1089"/>
        <v>0.91103401369895887</v>
      </c>
      <c r="MR82" s="220">
        <f t="shared" ca="1" si="1090"/>
        <v>0</v>
      </c>
      <c r="MS82" s="235">
        <f t="shared" ca="1" si="1091"/>
        <v>0.1471282443812138</v>
      </c>
      <c r="MT82" s="235">
        <f t="shared" ca="1" si="1092"/>
        <v>0.1471282443812138</v>
      </c>
      <c r="MU82" s="242">
        <f t="shared" ca="1" si="1093"/>
        <v>0.1471282443812138</v>
      </c>
      <c r="MV82" s="241">
        <f t="shared" ca="1" si="1343"/>
        <v>1</v>
      </c>
      <c r="MW82" s="220">
        <f t="shared" ca="1" si="1094"/>
        <v>0.90501116783439506</v>
      </c>
      <c r="MX82" s="220">
        <f t="shared" ca="1" si="1095"/>
        <v>0</v>
      </c>
      <c r="MY82" s="235">
        <f t="shared" ca="1" si="1096"/>
        <v>0.14121312034551653</v>
      </c>
      <c r="MZ82" s="235">
        <f t="shared" ca="1" si="1097"/>
        <v>0.14121312034551653</v>
      </c>
      <c r="NA82" s="242">
        <f t="shared" ca="1" si="1098"/>
        <v>0.14121312034551653</v>
      </c>
      <c r="NB82" s="241">
        <f t="shared" ca="1" si="1343"/>
        <v>1</v>
      </c>
      <c r="NC82" s="220">
        <f t="shared" ca="1" si="1099"/>
        <v>0.89850685257116925</v>
      </c>
      <c r="ND82" s="220">
        <f t="shared" ca="1" si="1100"/>
        <v>0</v>
      </c>
      <c r="NE82" s="235">
        <f t="shared" ca="1" si="1101"/>
        <v>0.13545721898511429</v>
      </c>
      <c r="NF82" s="235">
        <f t="shared" ca="1" si="1102"/>
        <v>0.13545721898511429</v>
      </c>
      <c r="NG82" s="242">
        <f t="shared" ca="1" si="1103"/>
        <v>0.13545721898511429</v>
      </c>
      <c r="NH82" s="241">
        <f t="shared" ca="1" si="1343"/>
        <v>1</v>
      </c>
      <c r="NI82" s="220">
        <f t="shared" ca="1" si="1104"/>
        <v>0.89149849912111412</v>
      </c>
      <c r="NJ82" s="220">
        <f t="shared" ca="1" si="1105"/>
        <v>0</v>
      </c>
      <c r="NK82" s="235">
        <f t="shared" ca="1" si="1106"/>
        <v>0.12985570306959462</v>
      </c>
      <c r="NL82" s="235">
        <f t="shared" ca="1" si="1107"/>
        <v>0.12985570306959462</v>
      </c>
      <c r="NM82" s="242">
        <f t="shared" ca="1" si="1108"/>
        <v>0.12985570306959462</v>
      </c>
      <c r="NN82" s="241">
        <f t="shared" ca="1" si="1343"/>
        <v>1</v>
      </c>
      <c r="NO82" s="220">
        <f t="shared" ca="1" si="1109"/>
        <v>0.88395998781254592</v>
      </c>
      <c r="NP82" s="220">
        <f t="shared" ca="1" si="1110"/>
        <v>0</v>
      </c>
      <c r="NQ82" s="235">
        <f t="shared" ca="1" si="1111"/>
        <v>0.12440352004293539</v>
      </c>
      <c r="NR82" s="235">
        <f t="shared" ca="1" si="1112"/>
        <v>0.12440352004293539</v>
      </c>
      <c r="NS82" s="242">
        <f t="shared" ca="1" si="1113"/>
        <v>0.12440352004293539</v>
      </c>
      <c r="NT82" s="241">
        <f t="shared" ca="1" si="1343"/>
        <v>1</v>
      </c>
      <c r="NU82" s="220">
        <f t="shared" ca="1" si="1114"/>
        <v>0.87587705768398794</v>
      </c>
      <c r="NV82" s="220">
        <f t="shared" ca="1" si="1115"/>
        <v>0</v>
      </c>
      <c r="NW82" s="235">
        <f t="shared" ca="1" si="1116"/>
        <v>0.11909755966730703</v>
      </c>
      <c r="NX82" s="235">
        <f t="shared" ca="1" si="1117"/>
        <v>0.11909755966730703</v>
      </c>
      <c r="NY82" s="242">
        <f t="shared" ca="1" si="1118"/>
        <v>0.11909755966730703</v>
      </c>
      <c r="NZ82" s="241">
        <f t="shared" ca="1" si="1343"/>
        <v>1</v>
      </c>
      <c r="OA82" s="220">
        <f t="shared" ca="1" si="1119"/>
        <v>0.86723653050993543</v>
      </c>
      <c r="OB82" s="220">
        <f t="shared" ca="1" si="1120"/>
        <v>0</v>
      </c>
      <c r="OC82" s="235">
        <f t="shared" ca="1" si="1121"/>
        <v>0.11393493936346769</v>
      </c>
      <c r="OD82" s="235">
        <f t="shared" ca="1" si="1122"/>
        <v>0.11393493936346769</v>
      </c>
      <c r="OE82" s="242">
        <f t="shared" ca="1" si="1123"/>
        <v>0.11393493936346769</v>
      </c>
      <c r="OF82" s="241">
        <f t="shared" ca="1" si="1343"/>
        <v>1</v>
      </c>
      <c r="OG82" s="220">
        <f t="shared" ca="1" si="1124"/>
        <v>0.85802474408285889</v>
      </c>
      <c r="OH82" s="220">
        <f t="shared" ca="1" si="1125"/>
        <v>0</v>
      </c>
      <c r="OI82" s="235">
        <f t="shared" ca="1" si="1126"/>
        <v>0.10891277530197965</v>
      </c>
      <c r="OJ82" s="235">
        <f t="shared" ca="1" si="1127"/>
        <v>0.10891277530197965</v>
      </c>
      <c r="OK82" s="242">
        <f t="shared" ca="1" si="1128"/>
        <v>0.10891277530197965</v>
      </c>
      <c r="OL82" s="241">
        <f t="shared" ca="1" si="1343"/>
        <v>1</v>
      </c>
      <c r="OM82" s="220">
        <f t="shared" ca="1" si="1129"/>
        <v>0.84819349656515752</v>
      </c>
      <c r="ON82" s="220">
        <f t="shared" ca="1" si="1130"/>
        <v>0</v>
      </c>
      <c r="OO82" s="235">
        <f t="shared" ca="1" si="1131"/>
        <v>0.10402401229233778</v>
      </c>
      <c r="OP82" s="235">
        <f t="shared" ca="1" si="1132"/>
        <v>0.10402401229233778</v>
      </c>
      <c r="OQ82" s="242">
        <f t="shared" ca="1" si="1133"/>
        <v>0.10402401229233778</v>
      </c>
      <c r="OR82" s="241">
        <f t="shared" ca="1" si="1343"/>
        <v>1</v>
      </c>
      <c r="OS82" s="220">
        <f t="shared" ca="1" si="1134"/>
        <v>0.83771830688257787</v>
      </c>
      <c r="OT82" s="220">
        <f t="shared" ca="1" si="1135"/>
        <v>0</v>
      </c>
      <c r="OU82" s="235">
        <f t="shared" ca="1" si="1136"/>
        <v>9.9265039362828419E-2</v>
      </c>
      <c r="OV82" s="235">
        <f t="shared" ca="1" si="1137"/>
        <v>9.9265039362828419E-2</v>
      </c>
      <c r="OW82" s="242">
        <f t="shared" ca="1" si="1138"/>
        <v>9.9265039362828419E-2</v>
      </c>
      <c r="OX82" s="241">
        <f t="shared" ca="1" si="1343"/>
        <v>1</v>
      </c>
      <c r="OY82" s="220">
        <f t="shared" ca="1" si="1139"/>
        <v>0.82663110509098692</v>
      </c>
      <c r="OZ82" s="220">
        <f t="shared" ca="1" si="1140"/>
        <v>0</v>
      </c>
      <c r="PA82" s="235">
        <f t="shared" ca="1" si="1141"/>
        <v>9.4638904895518239E-2</v>
      </c>
      <c r="PB82" s="235">
        <f t="shared" ca="1" si="1142"/>
        <v>9.4638904895518239E-2</v>
      </c>
      <c r="PC82" s="242">
        <f t="shared" ca="1" si="1143"/>
        <v>9.4638904895518239E-2</v>
      </c>
      <c r="PD82" s="241">
        <f t="shared" ca="1" si="1338"/>
        <v>1</v>
      </c>
      <c r="PE82" s="220">
        <f t="shared" ca="1" si="1144"/>
        <v>0.81497808640251923</v>
      </c>
      <c r="PF82" s="220">
        <f t="shared" ca="1" si="1145"/>
        <v>0</v>
      </c>
      <c r="PG82" s="235">
        <f t="shared" ca="1" si="1146"/>
        <v>9.0149546138363415E-2</v>
      </c>
      <c r="PH82" s="235">
        <f t="shared" ca="1" si="1147"/>
        <v>9.0149546138363415E-2</v>
      </c>
      <c r="PI82" s="242">
        <f t="shared" ca="1" si="1148"/>
        <v>9.0149546138363415E-2</v>
      </c>
      <c r="PJ82" s="241">
        <f t="shared" ca="1" si="1338"/>
        <v>1</v>
      </c>
      <c r="PK82" s="220">
        <f t="shared" ca="1" si="1149"/>
        <v>0.80277052964629592</v>
      </c>
      <c r="PL82" s="220">
        <f t="shared" ca="1" si="1150"/>
        <v>0</v>
      </c>
      <c r="PM82" s="235">
        <f t="shared" ca="1" si="1151"/>
        <v>8.5796324721504238E-2</v>
      </c>
      <c r="PN82" s="235">
        <f t="shared" ca="1" si="1152"/>
        <v>8.5796324721504238E-2</v>
      </c>
      <c r="PO82" s="242">
        <f t="shared" ca="1" si="1153"/>
        <v>8.5796324721504238E-2</v>
      </c>
      <c r="PP82" s="241">
        <f t="shared" ca="1" si="1344"/>
        <v>1</v>
      </c>
      <c r="PQ82" s="220">
        <f t="shared" ca="1" si="1154"/>
        <v>0.78995269259943357</v>
      </c>
      <c r="PR82" s="220">
        <f t="shared" ca="1" si="1155"/>
        <v>0</v>
      </c>
      <c r="PS82" s="235">
        <f t="shared" ca="1" si="1156"/>
        <v>8.1571415270218356E-2</v>
      </c>
      <c r="PT82" s="235">
        <f t="shared" ca="1" si="1157"/>
        <v>8.1571415270218356E-2</v>
      </c>
      <c r="PU82" s="242">
        <f t="shared" ca="1" si="1158"/>
        <v>8.1571415270218356E-2</v>
      </c>
      <c r="PV82" s="241">
        <f t="shared" ca="1" si="1344"/>
        <v>1</v>
      </c>
      <c r="PW82" s="220">
        <f t="shared" ca="1" si="1159"/>
        <v>0.77643739198174988</v>
      </c>
      <c r="PX82" s="220">
        <f t="shared" ca="1" si="1160"/>
        <v>0</v>
      </c>
      <c r="PY82" s="235">
        <f t="shared" ca="1" si="1161"/>
        <v>7.7464550653488104E-2</v>
      </c>
      <c r="PZ82" s="235">
        <f t="shared" ca="1" si="1162"/>
        <v>7.7464550653488104E-2</v>
      </c>
      <c r="QA82" s="242">
        <f t="shared" ca="1" si="1163"/>
        <v>7.7464550653488104E-2</v>
      </c>
      <c r="QB82" s="241">
        <f t="shared" ca="1" si="1344"/>
        <v>1</v>
      </c>
      <c r="QC82" s="220">
        <f t="shared" ca="1" si="1164"/>
        <v>0.76215715546842155</v>
      </c>
      <c r="QD82" s="220">
        <f t="shared" ca="1" si="1165"/>
        <v>0</v>
      </c>
      <c r="QE82" s="235">
        <f t="shared" ca="1" si="1166"/>
        <v>7.3468427669438799E-2</v>
      </c>
      <c r="QF82" s="235">
        <f t="shared" ca="1" si="1167"/>
        <v>7.3468427669438799E-2</v>
      </c>
      <c r="QG82" s="242">
        <f t="shared" ca="1" si="1168"/>
        <v>7.3468427669438799E-2</v>
      </c>
      <c r="QH82" s="241">
        <f t="shared" ca="1" si="1344"/>
        <v>1</v>
      </c>
      <c r="QI82" s="220">
        <f t="shared" ca="1" si="1169"/>
        <v>0.74703900613254992</v>
      </c>
      <c r="QJ82" s="220">
        <f t="shared" ca="1" si="1170"/>
        <v>0</v>
      </c>
      <c r="QK82" s="235">
        <f t="shared" ca="1" si="1171"/>
        <v>6.9575949698732195E-2</v>
      </c>
      <c r="QL82" s="235">
        <f t="shared" ca="1" si="1172"/>
        <v>6.9575949698732195E-2</v>
      </c>
      <c r="QM82" s="242">
        <f t="shared" ca="1" si="1173"/>
        <v>6.9575949698732195E-2</v>
      </c>
      <c r="QN82" s="241">
        <f t="shared" ca="1" si="1344"/>
        <v>1</v>
      </c>
      <c r="QO82" s="220">
        <f t="shared" ca="1" si="1174"/>
        <v>0.73100381386591473</v>
      </c>
      <c r="QP82" s="220">
        <f t="shared" ca="1" si="1175"/>
        <v>0</v>
      </c>
      <c r="QQ82" s="235">
        <f t="shared" ca="1" si="1176"/>
        <v>6.5780195109612458E-2</v>
      </c>
      <c r="QR82" s="235">
        <f t="shared" ca="1" si="1177"/>
        <v>6.5780195109612458E-2</v>
      </c>
      <c r="QS82" s="242">
        <f t="shared" ca="1" si="1178"/>
        <v>6.5780195109612458E-2</v>
      </c>
      <c r="QT82" s="241">
        <f t="shared" ca="1" si="1344"/>
        <v>1</v>
      </c>
      <c r="QU82" s="220">
        <f t="shared" ca="1" si="1179"/>
        <v>0.71393414380833176</v>
      </c>
      <c r="QV82" s="220">
        <f t="shared" ca="1" si="1180"/>
        <v>0</v>
      </c>
      <c r="QW82" s="235">
        <f t="shared" ca="1" si="1181"/>
        <v>6.2071653887543876E-2</v>
      </c>
      <c r="QX82" s="235">
        <f t="shared" ca="1" si="1182"/>
        <v>6.2071653887543876E-2</v>
      </c>
      <c r="QY82" s="242">
        <f t="shared" ca="1" si="1183"/>
        <v>6.2071653887543876E-2</v>
      </c>
      <c r="QZ82" s="241">
        <f t="shared" ca="1" si="1344"/>
        <v>1</v>
      </c>
      <c r="RA82" s="220">
        <f t="shared" ca="1" si="1184"/>
        <v>0.69574167395580788</v>
      </c>
      <c r="RB82" s="220">
        <f t="shared" ca="1" si="1185"/>
        <v>0</v>
      </c>
      <c r="RC82" s="235">
        <f t="shared" ca="1" si="1186"/>
        <v>5.8444390341238162E-2</v>
      </c>
      <c r="RD82" s="235">
        <f t="shared" ca="1" si="1187"/>
        <v>5.8444390341238162E-2</v>
      </c>
      <c r="RE82" s="242">
        <f t="shared" ca="1" si="1188"/>
        <v>5.8444390341238162E-2</v>
      </c>
      <c r="RF82" s="241">
        <f t="shared" ca="1" si="1344"/>
        <v>1</v>
      </c>
      <c r="RG82" s="220">
        <f t="shared" ca="1" si="1189"/>
        <v>0.67640422986988014</v>
      </c>
      <c r="RH82" s="220">
        <f t="shared" ca="1" si="1190"/>
        <v>0</v>
      </c>
      <c r="RI82" s="235">
        <f t="shared" ca="1" si="1191"/>
        <v>5.4898538121829751E-2</v>
      </c>
      <c r="RJ82" s="235">
        <f t="shared" ca="1" si="1192"/>
        <v>5.4898538121829751E-2</v>
      </c>
      <c r="RK82" s="242">
        <f t="shared" ca="1" si="1193"/>
        <v>5.4898538121829751E-2</v>
      </c>
      <c r="RL82" s="241">
        <f t="shared" ca="1" si="1344"/>
        <v>1</v>
      </c>
      <c r="RM82" s="220">
        <f t="shared" ca="1" si="1194"/>
        <v>0.65592135698096043</v>
      </c>
      <c r="RN82" s="220">
        <f t="shared" ca="1" si="1195"/>
        <v>0</v>
      </c>
      <c r="RO82" s="235">
        <f t="shared" ca="1" si="1196"/>
        <v>5.1435845981086484E-2</v>
      </c>
      <c r="RP82" s="235">
        <f t="shared" ca="1" si="1197"/>
        <v>5.1435845981086484E-2</v>
      </c>
      <c r="RQ82" s="242">
        <f t="shared" ca="1" si="1198"/>
        <v>5.1435845981086484E-2</v>
      </c>
      <c r="RR82" s="241">
        <f t="shared" ca="1" si="1344"/>
        <v>1</v>
      </c>
      <c r="RS82" s="220">
        <f t="shared" ca="1" si="1199"/>
        <v>0.63426152193073515</v>
      </c>
      <c r="RT82" s="220">
        <f t="shared" ca="1" si="1200"/>
        <v>0</v>
      </c>
      <c r="RU82" s="235">
        <f t="shared" ca="1" si="1201"/>
        <v>4.8055392729564286E-2</v>
      </c>
      <c r="RV82" s="235">
        <f t="shared" ca="1" si="1202"/>
        <v>4.8055392729564286E-2</v>
      </c>
      <c r="RW82" s="242">
        <f t="shared" ca="1" si="1203"/>
        <v>4.8055392729564286E-2</v>
      </c>
      <c r="RX82" s="241">
        <f t="shared" ca="1" si="1344"/>
        <v>1</v>
      </c>
      <c r="RY82" s="220">
        <f t="shared" ca="1" si="1204"/>
        <v>0.61130062057532053</v>
      </c>
      <c r="RZ82" s="220">
        <f t="shared" ca="1" si="1205"/>
        <v>0</v>
      </c>
      <c r="SA82" s="235">
        <f t="shared" ca="1" si="1206"/>
        <v>4.4749506722088245E-2</v>
      </c>
      <c r="SB82" s="235">
        <f t="shared" ca="1" si="1207"/>
        <v>4.4749506722088245E-2</v>
      </c>
      <c r="SC82" s="242">
        <f t="shared" ca="1" si="1208"/>
        <v>4.4749506722088245E-2</v>
      </c>
      <c r="SD82" s="241">
        <f t="shared" ca="1" si="1339"/>
        <v>1</v>
      </c>
      <c r="SE82" s="220">
        <f t="shared" ca="1" si="1209"/>
        <v>0.58693540044042947</v>
      </c>
      <c r="SF82" s="220">
        <f t="shared" ca="1" si="1210"/>
        <v>0</v>
      </c>
      <c r="SG82" s="235">
        <f t="shared" ca="1" si="1211"/>
        <v>4.1512928389525854E-2</v>
      </c>
      <c r="SH82" s="235">
        <f t="shared" ca="1" si="1212"/>
        <v>4.1512928389525854E-2</v>
      </c>
      <c r="SI82" s="242">
        <f t="shared" ca="1" si="1213"/>
        <v>4.1512928389525854E-2</v>
      </c>
      <c r="SJ82" s="241">
        <f t="shared" ca="1" si="1339"/>
        <v>1</v>
      </c>
      <c r="SK82" s="220">
        <f t="shared" ca="1" si="1214"/>
        <v>0.56117421877969853</v>
      </c>
      <c r="SL82" s="220">
        <f t="shared" ca="1" si="1215"/>
        <v>0</v>
      </c>
      <c r="SM82" s="235">
        <f t="shared" ca="1" si="1216"/>
        <v>3.8348680627614658E-2</v>
      </c>
      <c r="SN82" s="235">
        <f t="shared" ca="1" si="1217"/>
        <v>3.8348680627614658E-2</v>
      </c>
      <c r="SO82" s="242">
        <f t="shared" ca="1" si="1218"/>
        <v>3.8348680627614658E-2</v>
      </c>
      <c r="SP82" s="241">
        <f t="shared" ca="1" si="1347"/>
        <v>1</v>
      </c>
      <c r="SQ82" s="220">
        <f t="shared" ca="1" si="1219"/>
        <v>0.5340633310962325</v>
      </c>
      <c r="SR82" s="220">
        <f t="shared" ca="1" si="1220"/>
        <v>0</v>
      </c>
      <c r="SS82" s="235">
        <f t="shared" ca="1" si="1221"/>
        <v>3.5261852674216394E-2</v>
      </c>
      <c r="ST82" s="235">
        <f t="shared" ca="1" si="1222"/>
        <v>3.5261852674216394E-2</v>
      </c>
      <c r="SU82" s="242">
        <f t="shared" ca="1" si="1223"/>
        <v>3.5261852674216394E-2</v>
      </c>
      <c r="SV82" s="241">
        <f t="shared" ca="1" si="1347"/>
        <v>1</v>
      </c>
      <c r="SW82" s="220">
        <f t="shared" ca="1" si="1224"/>
        <v>0.50563620810864218</v>
      </c>
      <c r="SX82" s="220">
        <f t="shared" ca="1" si="1225"/>
        <v>0</v>
      </c>
      <c r="SY82" s="235">
        <f t="shared" ca="1" si="1226"/>
        <v>3.2255975632920972E-2</v>
      </c>
      <c r="SZ82" s="235">
        <f t="shared" ca="1" si="1227"/>
        <v>3.2255975632920972E-2</v>
      </c>
      <c r="TA82" s="242">
        <f t="shared" ca="1" si="1228"/>
        <v>3.2255975632920972E-2</v>
      </c>
      <c r="TB82" s="241">
        <f t="shared" ca="1" si="1347"/>
        <v>1</v>
      </c>
      <c r="TC82" s="220">
        <f t="shared" ca="1" si="1229"/>
        <v>0.47585575235966748</v>
      </c>
      <c r="TD82" s="220">
        <f t="shared" ca="1" si="1230"/>
        <v>0</v>
      </c>
      <c r="TE82" s="235">
        <f t="shared" ca="1" si="1231"/>
        <v>2.9329657426153458E-2</v>
      </c>
      <c r="TF82" s="235">
        <f t="shared" ca="1" si="1232"/>
        <v>2.9329657426153458E-2</v>
      </c>
      <c r="TG82" s="242">
        <f t="shared" ca="1" si="1233"/>
        <v>2.9329657426153458E-2</v>
      </c>
      <c r="TH82" s="241">
        <f t="shared" ca="1" si="1347"/>
        <v>1</v>
      </c>
      <c r="TI82" s="220">
        <f t="shared" ca="1" si="1234"/>
        <v>0.4447514411066778</v>
      </c>
      <c r="TJ82" s="220">
        <f t="shared" ca="1" si="1235"/>
        <v>0</v>
      </c>
      <c r="TK82" s="235">
        <f t="shared" ca="1" si="1236"/>
        <v>2.6485530790814431E-2</v>
      </c>
      <c r="TL82" s="235">
        <f t="shared" ca="1" si="1237"/>
        <v>2.6485530790814431E-2</v>
      </c>
      <c r="TM82" s="242">
        <f t="shared" ca="1" si="1238"/>
        <v>2.6485530790814431E-2</v>
      </c>
      <c r="TN82" s="241">
        <f t="shared" ca="1" si="1347"/>
        <v>1</v>
      </c>
      <c r="TO82" s="220">
        <f t="shared" ca="1" si="1239"/>
        <v>0.41251096438941365</v>
      </c>
      <c r="TP82" s="220">
        <f t="shared" ca="1" si="1240"/>
        <v>0</v>
      </c>
      <c r="TQ82" s="235">
        <f t="shared" ca="1" si="1241"/>
        <v>2.3734848481408222E-2</v>
      </c>
      <c r="TR82" s="235">
        <f t="shared" ca="1" si="1242"/>
        <v>2.3734848481408222E-2</v>
      </c>
      <c r="TS82" s="242">
        <f t="shared" ca="1" si="1243"/>
        <v>2.3734848481408222E-2</v>
      </c>
      <c r="TT82" s="241">
        <f t="shared" ca="1" si="1347"/>
        <v>1</v>
      </c>
      <c r="TU82" s="220">
        <f t="shared" ca="1" si="1244"/>
        <v>0.37939128408051637</v>
      </c>
      <c r="TV82" s="220">
        <f t="shared" ca="1" si="1245"/>
        <v>0</v>
      </c>
      <c r="TW82" s="235">
        <f t="shared" ca="1" si="1246"/>
        <v>2.1091038615007652E-2</v>
      </c>
      <c r="TX82" s="235">
        <f t="shared" ca="1" si="1247"/>
        <v>2.1091038615007652E-2</v>
      </c>
      <c r="TY82" s="242">
        <f t="shared" ca="1" si="1248"/>
        <v>2.1091038615007652E-2</v>
      </c>
      <c r="TZ82" s="241">
        <f t="shared" ca="1" si="1347"/>
        <v>1</v>
      </c>
      <c r="UA82" s="220">
        <f t="shared" ca="1" si="1249"/>
        <v>0.34565732866521315</v>
      </c>
      <c r="UB82" s="220">
        <f t="shared" ca="1" si="1250"/>
        <v>0</v>
      </c>
      <c r="UC82" s="235">
        <f t="shared" ca="1" si="1251"/>
        <v>1.8565901280691431E-2</v>
      </c>
      <c r="UD82" s="235">
        <f t="shared" ca="1" si="1252"/>
        <v>1.8565901280691431E-2</v>
      </c>
      <c r="UE82" s="242">
        <f t="shared" ca="1" si="1253"/>
        <v>1.8565901280691431E-2</v>
      </c>
      <c r="UF82" s="241">
        <f t="shared" ca="1" si="1347"/>
        <v>1</v>
      </c>
      <c r="UG82" s="220">
        <f t="shared" ca="1" si="1254"/>
        <v>0.31158381183471112</v>
      </c>
      <c r="UH82" s="220">
        <f t="shared" ca="1" si="1255"/>
        <v>0</v>
      </c>
      <c r="UI82" s="235">
        <f t="shared" ca="1" si="1256"/>
        <v>1.6169805793281151E-2</v>
      </c>
      <c r="UJ82" s="235">
        <f t="shared" ca="1" si="1257"/>
        <v>1.6169805793281151E-2</v>
      </c>
      <c r="UK82" s="242">
        <f t="shared" ca="1" si="1258"/>
        <v>1.6169805793281151E-2</v>
      </c>
      <c r="UL82" s="241">
        <f t="shared" ca="1" si="1347"/>
        <v>1</v>
      </c>
      <c r="UM82" s="220">
        <f t="shared" ca="1" si="1259"/>
        <v>0.27748470263514402</v>
      </c>
      <c r="UN82" s="220">
        <f t="shared" ca="1" si="1260"/>
        <v>0</v>
      </c>
      <c r="UO82" s="235">
        <f t="shared" ca="1" si="1261"/>
        <v>1.3913250808575896E-2</v>
      </c>
      <c r="UP82" s="235">
        <f t="shared" ca="1" si="1262"/>
        <v>1.3913250808575896E-2</v>
      </c>
      <c r="UQ82" s="242">
        <f t="shared" ca="1" si="1263"/>
        <v>1.3913250808575896E-2</v>
      </c>
      <c r="UR82" s="241">
        <f t="shared" ca="1" si="1347"/>
        <v>1</v>
      </c>
      <c r="US82" s="220">
        <f t="shared" ca="1" si="1264"/>
        <v>0.24373729058536042</v>
      </c>
      <c r="UT82" s="220">
        <f t="shared" ca="1" si="1265"/>
        <v>0</v>
      </c>
      <c r="UU82" s="235">
        <f t="shared" ca="1" si="1266"/>
        <v>1.1807860056509861E-2</v>
      </c>
      <c r="UV82" s="235">
        <f t="shared" ca="1" si="1267"/>
        <v>1.1807860056509861E-2</v>
      </c>
      <c r="UW82" s="242">
        <f t="shared" ca="1" si="1268"/>
        <v>1.1807860056509861E-2</v>
      </c>
      <c r="UX82" s="241">
        <f t="shared" ca="1" si="1347"/>
        <v>1</v>
      </c>
      <c r="UY82" s="220">
        <f t="shared" ca="1" si="1269"/>
        <v>0.21078985859319374</v>
      </c>
      <c r="UZ82" s="220">
        <f t="shared" ca="1" si="1270"/>
        <v>0</v>
      </c>
      <c r="VA82" s="235">
        <f t="shared" ca="1" si="1271"/>
        <v>9.866396874889936E-3</v>
      </c>
      <c r="VB82" s="235">
        <f t="shared" ca="1" si="1272"/>
        <v>9.866396874889936E-3</v>
      </c>
      <c r="VC82" s="242">
        <f t="shared" ca="1" si="1273"/>
        <v>9.866396874889936E-3</v>
      </c>
      <c r="VD82" s="241">
        <f t="shared" ca="1" si="1345"/>
        <v>1</v>
      </c>
      <c r="VE82" s="220">
        <f t="shared" ca="1" si="1274"/>
        <v>0.17914840370962801</v>
      </c>
      <c r="VF82" s="220">
        <f t="shared" ca="1" si="1275"/>
        <v>0</v>
      </c>
      <c r="VG82" s="235">
        <f t="shared" ca="1" si="1276"/>
        <v>8.1017989433788233E-3</v>
      </c>
      <c r="VH82" s="235">
        <f t="shared" ca="1" si="1277"/>
        <v>8.1017989433788233E-3</v>
      </c>
      <c r="VI82" s="242">
        <f t="shared" ca="1" si="1278"/>
        <v>8.1017989433788233E-3</v>
      </c>
      <c r="VJ82" s="241">
        <f t="shared" ca="1" si="1345"/>
        <v>1</v>
      </c>
      <c r="VK82" s="220">
        <f t="shared" ca="1" si="1279"/>
        <v>0.14933864677755704</v>
      </c>
      <c r="VL82" s="220">
        <f t="shared" ca="1" si="1280"/>
        <v>0</v>
      </c>
      <c r="VM82" s="235">
        <f t="shared" ca="1" si="1281"/>
        <v>6.5252984585482295E-3</v>
      </c>
      <c r="VN82" s="235">
        <f t="shared" ca="1" si="1282"/>
        <v>6.5252984585482295E-3</v>
      </c>
      <c r="VO82" s="242">
        <f t="shared" ca="1" si="1283"/>
        <v>6.5252984585482295E-3</v>
      </c>
      <c r="VP82" s="241">
        <f t="shared" ca="1" si="567"/>
        <v>1</v>
      </c>
      <c r="VQ82" s="220">
        <f t="shared" ca="1" si="1284"/>
        <v>0.12186078378642688</v>
      </c>
      <c r="VR82" s="220">
        <f t="shared" ca="1" si="1285"/>
        <v>0</v>
      </c>
      <c r="VS82" s="235">
        <f t="shared" ca="1" si="1286"/>
        <v>5.1446020464451514E-3</v>
      </c>
      <c r="VT82" s="235">
        <f t="shared" ca="1" si="1287"/>
        <v>5.1446020464451514E-3</v>
      </c>
      <c r="VU82" s="242">
        <f t="shared" ca="1" si="1288"/>
        <v>5.1446020464451514E-3</v>
      </c>
      <c r="VV82" s="241">
        <f t="shared" ca="1" si="1335"/>
        <v>1</v>
      </c>
      <c r="VW82" s="220">
        <f t="shared" ca="1" si="1289"/>
        <v>9.714071449143126E-2</v>
      </c>
      <c r="VX82" s="220">
        <f t="shared" ca="1" si="1290"/>
        <v>0</v>
      </c>
      <c r="VY82" s="235">
        <f t="shared" ca="1" si="1291"/>
        <v>3.9623128486120972E-3</v>
      </c>
      <c r="VZ82" s="235">
        <f t="shared" ca="1" si="1292"/>
        <v>3.9623128486120972E-3</v>
      </c>
      <c r="WA82" s="242">
        <f t="shared" ca="1" si="1293"/>
        <v>3.9623128486120972E-3</v>
      </c>
      <c r="WB82" s="241">
        <f t="shared" ca="1" si="1335"/>
        <v>1</v>
      </c>
      <c r="WC82" s="220">
        <f t="shared" ca="1" si="1294"/>
        <v>7.5486980683431834E-2</v>
      </c>
      <c r="WD82" s="220">
        <f t="shared" ca="1" si="1295"/>
        <v>0</v>
      </c>
      <c r="WE82" s="235">
        <f t="shared" ca="1" si="1296"/>
        <v>2.9749465982754843E-3</v>
      </c>
      <c r="WF82" s="235">
        <f t="shared" ca="1" si="1297"/>
        <v>2.9749465982754843E-3</v>
      </c>
      <c r="WG82" s="242">
        <f t="shared" ca="1" si="1298"/>
        <v>2.9749465982754843E-3</v>
      </c>
      <c r="WH82" s="241">
        <f t="shared" ca="1" si="1335"/>
        <v>1</v>
      </c>
      <c r="WI82" s="220">
        <f t="shared" ca="1" si="1299"/>
        <v>5.7061061620490225E-2</v>
      </c>
      <c r="WJ82" s="220">
        <f t="shared" ca="1" si="1300"/>
        <v>0</v>
      </c>
      <c r="WK82" s="235">
        <f t="shared" ca="1" si="1301"/>
        <v>2.1727342833971291E-3</v>
      </c>
      <c r="WL82" s="235">
        <f t="shared" ca="1" si="1302"/>
        <v>2.1727342833971291E-3</v>
      </c>
      <c r="WM82" s="242">
        <f t="shared" ca="1" si="1303"/>
        <v>2.1727342833971291E-3</v>
      </c>
      <c r="WN82" s="241">
        <f t="shared" ca="1" si="1335"/>
        <v>1</v>
      </c>
      <c r="WO82" s="220">
        <f t="shared" ca="1" si="1304"/>
        <v>4.1934687734452851E-2</v>
      </c>
      <c r="WP82" s="220">
        <f t="shared" ca="1" si="1305"/>
        <v>0</v>
      </c>
      <c r="WQ82" s="235">
        <f t="shared" ca="1" si="1306"/>
        <v>1.5427651975624165E-3</v>
      </c>
      <c r="WR82" s="235">
        <f t="shared" ca="1" si="1307"/>
        <v>1.5427651975624165E-3</v>
      </c>
      <c r="WS82" s="242">
        <f t="shared" ca="1" si="1308"/>
        <v>1.5427651975624165E-3</v>
      </c>
      <c r="WT82" s="241">
        <f t="shared" ca="1" si="1335"/>
        <v>1</v>
      </c>
      <c r="WU82" s="220">
        <f t="shared" ca="1" si="1309"/>
        <v>2.9961998908764689E-2</v>
      </c>
      <c r="WV82" s="220">
        <f t="shared" ca="1" si="1310"/>
        <v>0</v>
      </c>
      <c r="WW82" s="235">
        <f t="shared" ca="1" si="1311"/>
        <v>1.0650177696007403E-3</v>
      </c>
      <c r="WX82" s="235">
        <f t="shared" ca="1" si="1312"/>
        <v>1.0650177696007403E-3</v>
      </c>
      <c r="WY82" s="242">
        <f t="shared" ca="1" si="1313"/>
        <v>1.0650177696007403E-3</v>
      </c>
      <c r="WZ82" s="241">
        <f t="shared" ca="1" si="1335"/>
        <v>1</v>
      </c>
      <c r="XA82" s="220">
        <f t="shared" ca="1" si="1314"/>
        <v>2.0825806429510707E-2</v>
      </c>
      <c r="XB82" s="220">
        <f t="shared" ca="1" si="1315"/>
        <v>0</v>
      </c>
      <c r="XC82" s="235">
        <f t="shared" ca="1" si="1316"/>
        <v>7.1523300597822715E-4</v>
      </c>
      <c r="XD82" s="235">
        <f t="shared" ca="1" si="1317"/>
        <v>7.1523300597822715E-4</v>
      </c>
      <c r="XE82" s="242">
        <f t="shared" ca="1" si="1318"/>
        <v>7.1523300597822715E-4</v>
      </c>
      <c r="XF82" s="241">
        <f t="shared" ca="1" si="1335"/>
        <v>1</v>
      </c>
      <c r="XG82" s="220">
        <f t="shared" ca="1" si="1319"/>
        <v>1.410075784309954E-2</v>
      </c>
      <c r="XH82" s="220">
        <f t="shared" ca="1" si="1320"/>
        <v>0</v>
      </c>
      <c r="XI82" s="235">
        <f t="shared" ca="1" si="1321"/>
        <v>4.6789437576883483E-4</v>
      </c>
      <c r="XJ82" s="235">
        <f t="shared" ca="1" si="1322"/>
        <v>4.6789437576883483E-4</v>
      </c>
      <c r="XK82" s="242">
        <f t="shared" ca="1" si="1323"/>
        <v>4.6789437576883483E-4</v>
      </c>
    </row>
    <row r="83" spans="2:635" x14ac:dyDescent="0.25">
      <c r="B83" s="65">
        <f t="shared" ca="1" si="810"/>
        <v>2098</v>
      </c>
      <c r="C83" s="65" t="s">
        <v>741</v>
      </c>
      <c r="D83" s="77">
        <f t="shared" si="811"/>
        <v>0</v>
      </c>
      <c r="E83" s="77">
        <f t="shared" si="812"/>
        <v>0</v>
      </c>
      <c r="F83" s="77" t="b">
        <f t="shared" si="813"/>
        <v>0</v>
      </c>
      <c r="G83" s="77" t="b">
        <f t="shared" si="814"/>
        <v>0</v>
      </c>
      <c r="H83" s="15" t="e">
        <f t="shared" ca="1" si="815"/>
        <v>#REF!</v>
      </c>
      <c r="L83" s="326">
        <f t="shared" ca="1" si="816"/>
        <v>3.5000000000000003E-2</v>
      </c>
      <c r="M83" s="327">
        <f t="shared" ca="1" si="817"/>
        <v>3.5000000000000003E-2</v>
      </c>
      <c r="N83" s="322">
        <f t="shared" ca="1" si="809"/>
        <v>-75</v>
      </c>
      <c r="O83" s="322">
        <f t="shared" ca="1" si="818"/>
        <v>0</v>
      </c>
      <c r="P83" s="328">
        <f t="shared" ca="1" si="1324"/>
        <v>26.87829936156087</v>
      </c>
      <c r="Q83" s="328">
        <f t="shared" ca="1" si="1325"/>
        <v>26.87829936156087</v>
      </c>
      <c r="R83" s="328">
        <f t="shared" ca="1" si="1326"/>
        <v>26.87829936156087</v>
      </c>
      <c r="S83" s="329">
        <f t="shared" ca="1" si="819"/>
        <v>3.8642415640549425E-2</v>
      </c>
      <c r="T83" s="329">
        <f t="shared" ca="1" si="820"/>
        <v>3.8642415640549425E-2</v>
      </c>
      <c r="U83" s="329">
        <f t="shared" ca="1" si="821"/>
        <v>3.8642415640549425E-2</v>
      </c>
      <c r="V83" s="320" t="e">
        <f t="shared" ca="1" si="822"/>
        <v>#REF!</v>
      </c>
      <c r="W83" s="320" t="e">
        <f t="shared" ca="1" si="560"/>
        <v>#REF!</v>
      </c>
      <c r="X83" s="320" t="e">
        <f t="shared" ca="1" si="823"/>
        <v>#REF!</v>
      </c>
      <c r="Y83" s="320" t="e">
        <f ca="1">INDEX(SC_ZA_HECMLumpSum,ZAIDX)</f>
        <v>#REF!</v>
      </c>
      <c r="Z83" s="320" t="e">
        <f t="shared" ca="1" si="824"/>
        <v>#REF!</v>
      </c>
      <c r="AA83" s="320" t="e">
        <f t="shared" ca="1" si="557"/>
        <v>#REF!</v>
      </c>
      <c r="AB83" s="320" t="e">
        <f t="shared" ca="1" si="558"/>
        <v>#REF!</v>
      </c>
      <c r="AC83" s="330" t="e">
        <f t="shared" ca="1" si="559"/>
        <v>#REF!</v>
      </c>
      <c r="AD83" s="236" t="e">
        <f t="shared" ca="1" si="1327"/>
        <v>#REF!</v>
      </c>
      <c r="AE83" s="320" t="e">
        <f t="shared" ca="1" si="561"/>
        <v>#REF!</v>
      </c>
      <c r="AF83" s="320" t="e">
        <f t="shared" ca="1" si="825"/>
        <v>#REF!</v>
      </c>
      <c r="AG83" s="320" t="e">
        <f t="shared" ca="1" si="1328"/>
        <v>#REF!</v>
      </c>
      <c r="AH83" s="284" t="e">
        <f t="shared" ca="1" si="1329"/>
        <v>#REF!</v>
      </c>
      <c r="AI83" s="318" t="e">
        <f t="shared" ca="1" si="1330"/>
        <v>#REF!</v>
      </c>
      <c r="AJ83" s="331">
        <f t="shared" ca="1" si="1346"/>
        <v>1</v>
      </c>
      <c r="AK83" s="220">
        <f t="shared" ca="1" si="826"/>
        <v>1</v>
      </c>
      <c r="AL83" s="220">
        <f t="shared" ca="1" si="827"/>
        <v>0</v>
      </c>
      <c r="AM83" s="235">
        <f t="shared" ca="1" si="1331"/>
        <v>1</v>
      </c>
      <c r="AN83" s="235">
        <f t="shared" ca="1" si="1332"/>
        <v>1</v>
      </c>
      <c r="AO83" s="242">
        <f t="shared" ca="1" si="1333"/>
        <v>1</v>
      </c>
      <c r="AP83" s="241">
        <f t="shared" ca="1" si="1346"/>
        <v>1</v>
      </c>
      <c r="AQ83" s="220">
        <f t="shared" ca="1" si="828"/>
        <v>0.99361699999999997</v>
      </c>
      <c r="AR83" s="220">
        <f t="shared" ca="1" si="829"/>
        <v>0</v>
      </c>
      <c r="AS83" s="235">
        <f t="shared" ca="1" si="830"/>
        <v>0.96001642512077301</v>
      </c>
      <c r="AT83" s="235">
        <f t="shared" ca="1" si="831"/>
        <v>0.96001642512077301</v>
      </c>
      <c r="AU83" s="242">
        <f t="shared" ca="1" si="832"/>
        <v>0.96001642512077301</v>
      </c>
      <c r="AV83" s="241">
        <f t="shared" ca="1" si="1346"/>
        <v>1</v>
      </c>
      <c r="AW83" s="220">
        <f t="shared" ca="1" si="833"/>
        <v>0.99316689149899995</v>
      </c>
      <c r="AX83" s="220">
        <f t="shared" ca="1" si="834"/>
        <v>0</v>
      </c>
      <c r="AY83" s="235">
        <f t="shared" ca="1" si="835"/>
        <v>0.92713192046395487</v>
      </c>
      <c r="AZ83" s="235">
        <f t="shared" ca="1" si="836"/>
        <v>0.92713192046395487</v>
      </c>
      <c r="BA83" s="242">
        <f t="shared" ca="1" si="837"/>
        <v>0.92713192046395487</v>
      </c>
      <c r="BB83" s="241">
        <f t="shared" ca="1" si="1346"/>
        <v>1</v>
      </c>
      <c r="BC83" s="220">
        <f t="shared" ca="1" si="838"/>
        <v>0.99288681843559723</v>
      </c>
      <c r="BD83" s="220">
        <f t="shared" ca="1" si="839"/>
        <v>0</v>
      </c>
      <c r="BE83" s="235">
        <f t="shared" ca="1" si="840"/>
        <v>0.89552702344191704</v>
      </c>
      <c r="BF83" s="235">
        <f t="shared" ca="1" si="841"/>
        <v>0.89552702344191704</v>
      </c>
      <c r="BG83" s="242">
        <f t="shared" ca="1" si="842"/>
        <v>0.89552702344191704</v>
      </c>
      <c r="BH83" s="241">
        <f t="shared" ca="1" si="1346"/>
        <v>1</v>
      </c>
      <c r="BI83" s="220">
        <f t="shared" ca="1" si="843"/>
        <v>0.99265845446735712</v>
      </c>
      <c r="BJ83" s="220">
        <f t="shared" ca="1" si="844"/>
        <v>0</v>
      </c>
      <c r="BK83" s="235">
        <f t="shared" ca="1" si="845"/>
        <v>0.86504449490485558</v>
      </c>
      <c r="BL83" s="235">
        <f t="shared" ca="1" si="846"/>
        <v>0.86504449490485558</v>
      </c>
      <c r="BM83" s="242">
        <f t="shared" ca="1" si="847"/>
        <v>0.86504449490485558</v>
      </c>
      <c r="BN83" s="241">
        <f t="shared" ca="1" si="1346"/>
        <v>1</v>
      </c>
      <c r="BO83" s="220">
        <f t="shared" ca="1" si="848"/>
        <v>0.99249069518855215</v>
      </c>
      <c r="BP83" s="220">
        <f t="shared" ca="1" si="849"/>
        <v>0</v>
      </c>
      <c r="BQ83" s="235">
        <f t="shared" ca="1" si="850"/>
        <v>0.83565053370552345</v>
      </c>
      <c r="BR83" s="235">
        <f t="shared" ca="1" si="851"/>
        <v>0.83565053370552345</v>
      </c>
      <c r="BS83" s="242">
        <f t="shared" ca="1" si="852"/>
        <v>0.83565053370552345</v>
      </c>
      <c r="BT83" s="241">
        <f t="shared" ca="1" si="1346"/>
        <v>1</v>
      </c>
      <c r="BU83" s="220">
        <f t="shared" ca="1" si="853"/>
        <v>0.99233685913079794</v>
      </c>
      <c r="BV83" s="220">
        <f t="shared" ca="1" si="854"/>
        <v>0</v>
      </c>
      <c r="BW83" s="235">
        <f t="shared" ca="1" si="855"/>
        <v>0.80726667427323584</v>
      </c>
      <c r="BX83" s="235">
        <f t="shared" ca="1" si="856"/>
        <v>0.80726667427323584</v>
      </c>
      <c r="BY83" s="242">
        <f t="shared" ca="1" si="857"/>
        <v>0.80726667427323584</v>
      </c>
      <c r="BZ83" s="241">
        <f t="shared" ca="1" si="1346"/>
        <v>1</v>
      </c>
      <c r="CA83" s="220">
        <f t="shared" ca="1" si="858"/>
        <v>0.992192970286224</v>
      </c>
      <c r="CB83" s="220">
        <f t="shared" ca="1" si="859"/>
        <v>0</v>
      </c>
      <c r="CC83" s="235">
        <f t="shared" ca="1" si="860"/>
        <v>0.7798547058990013</v>
      </c>
      <c r="CD83" s="235">
        <f t="shared" ca="1" si="861"/>
        <v>0.7798547058990013</v>
      </c>
      <c r="CE83" s="242">
        <f t="shared" ca="1" si="862"/>
        <v>0.7798547058990013</v>
      </c>
      <c r="CF83" s="241">
        <f t="shared" ca="1" si="1346"/>
        <v>1</v>
      </c>
      <c r="CG83" s="220">
        <f t="shared" ca="1" si="863"/>
        <v>0.9920590242352354</v>
      </c>
      <c r="CH83" s="220">
        <f t="shared" ca="1" si="864"/>
        <v>0</v>
      </c>
      <c r="CI83" s="235">
        <f t="shared" ca="1" si="865"/>
        <v>0.75338108745285515</v>
      </c>
      <c r="CJ83" s="235">
        <f t="shared" ca="1" si="866"/>
        <v>0.75338108745285515</v>
      </c>
      <c r="CK83" s="242">
        <f t="shared" ca="1" si="867"/>
        <v>0.75338108745285515</v>
      </c>
      <c r="CL83" s="241">
        <f t="shared" ca="1" si="1346"/>
        <v>1</v>
      </c>
      <c r="CM83" s="220">
        <f t="shared" ca="1" si="868"/>
        <v>0.99193997715232718</v>
      </c>
      <c r="CN83" s="220">
        <f t="shared" ca="1" si="869"/>
        <v>0</v>
      </c>
      <c r="CO83" s="235">
        <f t="shared" ca="1" si="870"/>
        <v>0.72781708378972065</v>
      </c>
      <c r="CP83" s="235">
        <f t="shared" ca="1" si="871"/>
        <v>0.72781708378972065</v>
      </c>
      <c r="CQ83" s="242">
        <f t="shared" ca="1" si="872"/>
        <v>0.72781708378972065</v>
      </c>
      <c r="CR83" s="241">
        <f t="shared" ca="1" si="1346"/>
        <v>1</v>
      </c>
      <c r="CS83" s="220">
        <f t="shared" ca="1" si="873"/>
        <v>0.99183582345472621</v>
      </c>
      <c r="CT83" s="220">
        <f t="shared" ca="1" si="874"/>
        <v>0</v>
      </c>
      <c r="CU83" s="235">
        <f t="shared" ca="1" si="875"/>
        <v>0.70313107535837949</v>
      </c>
      <c r="CV83" s="235">
        <f t="shared" ca="1" si="876"/>
        <v>0.70313107535837949</v>
      </c>
      <c r="CW83" s="242">
        <f t="shared" ca="1" si="877"/>
        <v>0.70313107535837949</v>
      </c>
      <c r="CX83" s="241">
        <f t="shared" ca="1" si="1340"/>
        <v>1</v>
      </c>
      <c r="CY83" s="220">
        <f t="shared" ca="1" si="878"/>
        <v>0.99174259088732142</v>
      </c>
      <c r="CZ83" s="220">
        <f t="shared" ca="1" si="879"/>
        <v>0</v>
      </c>
      <c r="DA83" s="235">
        <f t="shared" ca="1" si="880"/>
        <v>0.6792898367510104</v>
      </c>
      <c r="DB83" s="235">
        <f t="shared" ca="1" si="881"/>
        <v>0.6792898367510104</v>
      </c>
      <c r="DC83" s="242">
        <f t="shared" ca="1" si="882"/>
        <v>0.6792898367510104</v>
      </c>
      <c r="DD83" s="241">
        <f t="shared" ca="1" si="1340"/>
        <v>1</v>
      </c>
      <c r="DE83" s="220">
        <f t="shared" ca="1" si="883"/>
        <v>0.99164440837082357</v>
      </c>
      <c r="DF83" s="220">
        <f t="shared" ca="1" si="884"/>
        <v>0</v>
      </c>
      <c r="DG83" s="235">
        <f t="shared" ca="1" si="885"/>
        <v>0.65625370730161559</v>
      </c>
      <c r="DH83" s="235">
        <f t="shared" ca="1" si="886"/>
        <v>0.65625370730161559</v>
      </c>
      <c r="DI83" s="242">
        <f t="shared" ca="1" si="887"/>
        <v>0.65625370730161559</v>
      </c>
      <c r="DJ83" s="241">
        <f t="shared" ca="1" si="888"/>
        <v>1</v>
      </c>
      <c r="DK83" s="220">
        <f t="shared" ca="1" si="889"/>
        <v>0.9915115280201019</v>
      </c>
      <c r="DL83" s="220">
        <f t="shared" ca="1" si="890"/>
        <v>0</v>
      </c>
      <c r="DM83" s="235">
        <f t="shared" ca="1" si="891"/>
        <v>0.63397658870032592</v>
      </c>
      <c r="DN83" s="235">
        <f t="shared" ca="1" si="892"/>
        <v>0.63397658870032592</v>
      </c>
      <c r="DO83" s="242">
        <f t="shared" ca="1" si="893"/>
        <v>0.63397658870032592</v>
      </c>
      <c r="DP83" s="241">
        <f t="shared" ca="1" si="888"/>
        <v>1</v>
      </c>
      <c r="DQ83" s="220">
        <f t="shared" ca="1" si="894"/>
        <v>0.99130628513380181</v>
      </c>
      <c r="DR83" s="220">
        <f t="shared" ca="1" si="895"/>
        <v>0</v>
      </c>
      <c r="DS83" s="235">
        <f t="shared" ca="1" si="896"/>
        <v>0.61241097154247814</v>
      </c>
      <c r="DT83" s="235">
        <f t="shared" ca="1" si="897"/>
        <v>0.61241097154247814</v>
      </c>
      <c r="DU83" s="242">
        <f t="shared" ca="1" si="898"/>
        <v>0.61241097154247814</v>
      </c>
      <c r="DV83" s="241">
        <f t="shared" ca="1" si="888"/>
        <v>1</v>
      </c>
      <c r="DW83" s="220">
        <f t="shared" ca="1" si="899"/>
        <v>0.9909999714916955</v>
      </c>
      <c r="DX83" s="220">
        <f t="shared" ca="1" si="900"/>
        <v>0</v>
      </c>
      <c r="DY83" s="235">
        <f t="shared" ca="1" si="901"/>
        <v>0.59151858604084218</v>
      </c>
      <c r="DZ83" s="235">
        <f t="shared" ca="1" si="902"/>
        <v>0.59151858604084218</v>
      </c>
      <c r="EA83" s="242">
        <f t="shared" ca="1" si="903"/>
        <v>0.59151858604084218</v>
      </c>
      <c r="EB83" s="241">
        <f t="shared" ca="1" si="888"/>
        <v>1</v>
      </c>
      <c r="EC83" s="220">
        <f t="shared" ca="1" si="904"/>
        <v>0.99058474250364048</v>
      </c>
      <c r="ED83" s="220">
        <f t="shared" ca="1" si="905"/>
        <v>0</v>
      </c>
      <c r="EE83" s="235">
        <f t="shared" ca="1" si="906"/>
        <v>0.57127607705632</v>
      </c>
      <c r="EF83" s="235">
        <f t="shared" ca="1" si="907"/>
        <v>0.57127607705632</v>
      </c>
      <c r="EG83" s="242">
        <f t="shared" ca="1" si="908"/>
        <v>0.57127607705632</v>
      </c>
      <c r="EH83" s="241">
        <f t="shared" ca="1" si="888"/>
        <v>1</v>
      </c>
      <c r="EI83" s="220">
        <f t="shared" ca="1" si="909"/>
        <v>0.99005973259011348</v>
      </c>
      <c r="EJ83" s="220">
        <f t="shared" ca="1" si="910"/>
        <v>0</v>
      </c>
      <c r="EK83" s="235">
        <f t="shared" ca="1" si="911"/>
        <v>0.55166502486519819</v>
      </c>
      <c r="EL83" s="235">
        <f t="shared" ca="1" si="912"/>
        <v>0.55166502486519819</v>
      </c>
      <c r="EM83" s="242">
        <f t="shared" ca="1" si="913"/>
        <v>0.55166502486519819</v>
      </c>
      <c r="EN83" s="241">
        <f t="shared" ca="1" si="888"/>
        <v>1</v>
      </c>
      <c r="EO83" s="220">
        <f t="shared" ca="1" si="914"/>
        <v>0.98941124346526699</v>
      </c>
      <c r="EP83" s="220">
        <f t="shared" ca="1" si="915"/>
        <v>0</v>
      </c>
      <c r="EQ83" s="235">
        <f t="shared" ca="1" si="916"/>
        <v>0.53266056451585653</v>
      </c>
      <c r="ER83" s="235">
        <f t="shared" ca="1" si="917"/>
        <v>0.53266056451585653</v>
      </c>
      <c r="ES83" s="242">
        <f t="shared" ca="1" si="918"/>
        <v>0.53266056451585653</v>
      </c>
      <c r="ET83" s="241">
        <f t="shared" ca="1" si="888"/>
        <v>1</v>
      </c>
      <c r="EU83" s="220">
        <f t="shared" ca="1" si="919"/>
        <v>0.98862861917168599</v>
      </c>
      <c r="EV83" s="220">
        <f t="shared" ca="1" si="920"/>
        <v>0</v>
      </c>
      <c r="EW83" s="235">
        <f t="shared" ca="1" si="921"/>
        <v>0.51424080194137645</v>
      </c>
      <c r="EX83" s="235">
        <f t="shared" ca="1" si="922"/>
        <v>0.51424080194137645</v>
      </c>
      <c r="EY83" s="242">
        <f t="shared" ca="1" si="923"/>
        <v>0.51424080194137645</v>
      </c>
      <c r="EZ83" s="241">
        <f t="shared" ca="1" si="888"/>
        <v>1</v>
      </c>
      <c r="FA83" s="220">
        <f t="shared" ca="1" si="924"/>
        <v>0.98770524004137961</v>
      </c>
      <c r="FB83" s="220">
        <f t="shared" ca="1" si="925"/>
        <v>0</v>
      </c>
      <c r="FC83" s="235">
        <f t="shared" ca="1" si="926"/>
        <v>0.49638695751919149</v>
      </c>
      <c r="FD83" s="235">
        <f t="shared" ca="1" si="927"/>
        <v>0.49638695751919149</v>
      </c>
      <c r="FE83" s="242">
        <f t="shared" ca="1" si="928"/>
        <v>0.49638695751919149</v>
      </c>
      <c r="FF83" s="241">
        <f t="shared" ca="1" si="888"/>
        <v>1</v>
      </c>
      <c r="FG83" s="220">
        <f t="shared" ca="1" si="929"/>
        <v>0.98663357985593469</v>
      </c>
      <c r="FH83" s="220">
        <f t="shared" ca="1" si="930"/>
        <v>0</v>
      </c>
      <c r="FI83" s="235">
        <f t="shared" ca="1" si="931"/>
        <v>0.4790805581355394</v>
      </c>
      <c r="FJ83" s="235">
        <f t="shared" ca="1" si="932"/>
        <v>0.4790805581355394</v>
      </c>
      <c r="FK83" s="242">
        <f t="shared" ca="1" si="933"/>
        <v>0.4790805581355394</v>
      </c>
      <c r="FL83" s="241">
        <f t="shared" ca="1" si="888"/>
        <v>1</v>
      </c>
      <c r="FM83" s="220">
        <f t="shared" ca="1" si="934"/>
        <v>0.98542199381987161</v>
      </c>
      <c r="FN83" s="220">
        <f t="shared" ca="1" si="935"/>
        <v>0</v>
      </c>
      <c r="FO83" s="235">
        <f t="shared" ca="1" si="936"/>
        <v>0.46231134996149653</v>
      </c>
      <c r="FP83" s="235">
        <f t="shared" ca="1" si="937"/>
        <v>0.46231134996149653</v>
      </c>
      <c r="FQ83" s="242">
        <f t="shared" ca="1" si="938"/>
        <v>0.46231134996149653</v>
      </c>
      <c r="FR83" s="241">
        <f t="shared" ca="1" si="888"/>
        <v>1</v>
      </c>
      <c r="FS83" s="220">
        <f t="shared" ca="1" si="939"/>
        <v>0.98410251377014679</v>
      </c>
      <c r="FT83" s="220">
        <f t="shared" ca="1" si="940"/>
        <v>0</v>
      </c>
      <c r="FU83" s="235">
        <f t="shared" ca="1" si="941"/>
        <v>0.44607953146270346</v>
      </c>
      <c r="FV83" s="235">
        <f t="shared" ca="1" si="942"/>
        <v>0.44607953146270346</v>
      </c>
      <c r="FW83" s="242">
        <f t="shared" ca="1" si="943"/>
        <v>0.44607953146270346</v>
      </c>
      <c r="FX83" s="241">
        <f t="shared" ca="1" si="801"/>
        <v>1</v>
      </c>
      <c r="FY83" s="220">
        <f t="shared" ca="1" si="944"/>
        <v>0.98272181794332725</v>
      </c>
      <c r="FZ83" s="220">
        <f t="shared" ca="1" si="945"/>
        <v>0</v>
      </c>
      <c r="GA83" s="235">
        <f t="shared" ca="1" si="946"/>
        <v>0.43039003080199167</v>
      </c>
      <c r="GB83" s="235">
        <f t="shared" ca="1" si="947"/>
        <v>0.43039003080199167</v>
      </c>
      <c r="GC83" s="242">
        <f t="shared" ca="1" si="948"/>
        <v>0.43039003080199167</v>
      </c>
      <c r="GD83" s="241">
        <f t="shared" ca="1" si="795"/>
        <v>1</v>
      </c>
      <c r="GE83" s="220">
        <f t="shared" ca="1" si="949"/>
        <v>0.98131357757821447</v>
      </c>
      <c r="GF83" s="220">
        <f t="shared" ca="1" si="950"/>
        <v>0</v>
      </c>
      <c r="GG83" s="235">
        <f t="shared" ca="1" si="951"/>
        <v>0.41523988588198307</v>
      </c>
      <c r="GH83" s="235">
        <f t="shared" ca="1" si="952"/>
        <v>0.41523988588198307</v>
      </c>
      <c r="GI83" s="242">
        <f t="shared" ca="1" si="953"/>
        <v>0.41523988588198307</v>
      </c>
      <c r="GJ83" s="241">
        <f t="shared" ca="1" si="795"/>
        <v>1</v>
      </c>
      <c r="GK83" s="220">
        <f t="shared" ca="1" si="954"/>
        <v>0.97988969157714845</v>
      </c>
      <c r="GL83" s="220">
        <f t="shared" ca="1" si="955"/>
        <v>0</v>
      </c>
      <c r="GM83" s="235">
        <f t="shared" ca="1" si="956"/>
        <v>0.40061581913774713</v>
      </c>
      <c r="GN83" s="235">
        <f t="shared" ca="1" si="957"/>
        <v>0.40061581913774713</v>
      </c>
      <c r="GO83" s="242">
        <f t="shared" ca="1" si="958"/>
        <v>0.40061581913774713</v>
      </c>
      <c r="GP83" s="241">
        <f t="shared" ca="1" si="1341"/>
        <v>1</v>
      </c>
      <c r="GQ83" s="220">
        <f t="shared" ca="1" si="959"/>
        <v>0.9784443542820721</v>
      </c>
      <c r="GR83" s="220">
        <f t="shared" ca="1" si="960"/>
        <v>0</v>
      </c>
      <c r="GS83" s="235">
        <f t="shared" ca="1" si="961"/>
        <v>0.38649749836185404</v>
      </c>
      <c r="GT83" s="235">
        <f t="shared" ca="1" si="962"/>
        <v>0.38649749836185404</v>
      </c>
      <c r="GU83" s="242">
        <f t="shared" ca="1" si="963"/>
        <v>0.38649749836185404</v>
      </c>
      <c r="GV83" s="241">
        <f t="shared" ca="1" si="1341"/>
        <v>1</v>
      </c>
      <c r="GW83" s="220">
        <f t="shared" ca="1" si="964"/>
        <v>0.97697473086194042</v>
      </c>
      <c r="GX83" s="220">
        <f t="shared" ca="1" si="965"/>
        <v>0</v>
      </c>
      <c r="GY83" s="235">
        <f t="shared" ca="1" si="966"/>
        <v>0.37286664649209134</v>
      </c>
      <c r="GZ83" s="235">
        <f t="shared" ca="1" si="967"/>
        <v>0.37286664649209134</v>
      </c>
      <c r="HA83" s="242">
        <f t="shared" ca="1" si="968"/>
        <v>0.37286664649209134</v>
      </c>
      <c r="HB83" s="241">
        <f t="shared" ca="1" si="1341"/>
        <v>1</v>
      </c>
      <c r="HC83" s="220">
        <f t="shared" ca="1" si="969"/>
        <v>0.97547214372587476</v>
      </c>
      <c r="HD83" s="220">
        <f t="shared" ca="1" si="970"/>
        <v>0</v>
      </c>
      <c r="HE83" s="235">
        <f t="shared" ca="1" si="971"/>
        <v>0.35970355322684694</v>
      </c>
      <c r="HF83" s="235">
        <f t="shared" ca="1" si="972"/>
        <v>0.35970355322684694</v>
      </c>
      <c r="HG83" s="242">
        <f t="shared" ca="1" si="973"/>
        <v>0.35970355322684694</v>
      </c>
      <c r="HH83" s="241">
        <f t="shared" ca="1" si="1341"/>
        <v>1</v>
      </c>
      <c r="HI83" s="220">
        <f t="shared" ca="1" si="974"/>
        <v>0.9739299222666441</v>
      </c>
      <c r="HJ83" s="220">
        <f t="shared" ca="1" si="975"/>
        <v>0</v>
      </c>
      <c r="HK83" s="235">
        <f t="shared" ca="1" si="976"/>
        <v>0.34699020474318382</v>
      </c>
      <c r="HL83" s="235">
        <f t="shared" ca="1" si="977"/>
        <v>0.34699020474318382</v>
      </c>
      <c r="HM83" s="242">
        <f t="shared" ca="1" si="978"/>
        <v>0.34699020474318382</v>
      </c>
      <c r="HN83" s="241">
        <f t="shared" ca="1" si="1341"/>
        <v>1</v>
      </c>
      <c r="HO83" s="220">
        <f t="shared" ca="1" si="979"/>
        <v>0.97234631221303847</v>
      </c>
      <c r="HP83" s="220">
        <f t="shared" ca="1" si="980"/>
        <v>0</v>
      </c>
      <c r="HQ83" s="235">
        <f t="shared" ca="1" si="981"/>
        <v>0.33471110982634922</v>
      </c>
      <c r="HR83" s="235">
        <f t="shared" ca="1" si="982"/>
        <v>0.33471110982634922</v>
      </c>
      <c r="HS83" s="242">
        <f t="shared" ca="1" si="983"/>
        <v>0.33471110982634922</v>
      </c>
      <c r="HT83" s="241">
        <f t="shared" ca="1" si="1341"/>
        <v>1</v>
      </c>
      <c r="HU83" s="220">
        <f t="shared" ca="1" si="984"/>
        <v>0.97072346621795491</v>
      </c>
      <c r="HV83" s="220">
        <f t="shared" ca="1" si="985"/>
        <v>0</v>
      </c>
      <c r="HW83" s="235">
        <f t="shared" ca="1" si="986"/>
        <v>0.32285263476719722</v>
      </c>
      <c r="HX83" s="235">
        <f t="shared" ca="1" si="987"/>
        <v>0.32285263476719722</v>
      </c>
      <c r="HY83" s="242">
        <f t="shared" ca="1" si="988"/>
        <v>0.32285263476719722</v>
      </c>
      <c r="HZ83" s="241">
        <f t="shared" ca="1" si="1341"/>
        <v>1</v>
      </c>
      <c r="IA83" s="220">
        <f t="shared" ca="1" si="989"/>
        <v>0.96906158764378969</v>
      </c>
      <c r="IB83" s="220">
        <f t="shared" ca="1" si="990"/>
        <v>0</v>
      </c>
      <c r="IC83" s="235">
        <f t="shared" ca="1" si="991"/>
        <v>0.31140088024780266</v>
      </c>
      <c r="ID83" s="235">
        <f t="shared" ca="1" si="992"/>
        <v>0.31140088024780266</v>
      </c>
      <c r="IE83" s="242">
        <f t="shared" ca="1" si="993"/>
        <v>0.31140088024780266</v>
      </c>
      <c r="IF83" s="241">
        <f t="shared" ca="1" si="1341"/>
        <v>1</v>
      </c>
      <c r="IG83" s="220">
        <f t="shared" ca="1" si="994"/>
        <v>0.96736088455747493</v>
      </c>
      <c r="IH83" s="220">
        <f t="shared" ca="1" si="995"/>
        <v>0</v>
      </c>
      <c r="II83" s="235">
        <f t="shared" ca="1" si="996"/>
        <v>0.30034238811880948</v>
      </c>
      <c r="IJ83" s="235">
        <f t="shared" ca="1" si="997"/>
        <v>0.30034238811880948</v>
      </c>
      <c r="IK83" s="242">
        <f t="shared" ca="1" si="998"/>
        <v>0.30034238811880948</v>
      </c>
      <c r="IL83" s="241">
        <f t="shared" ca="1" si="1341"/>
        <v>1</v>
      </c>
      <c r="IM83" s="220">
        <f t="shared" ca="1" si="999"/>
        <v>0.96561963496527148</v>
      </c>
      <c r="IN83" s="220">
        <f t="shared" ca="1" si="1000"/>
        <v>0</v>
      </c>
      <c r="IO83" s="235">
        <f t="shared" ca="1" si="1001"/>
        <v>0.28966354765236296</v>
      </c>
      <c r="IP83" s="235">
        <f t="shared" ca="1" si="1002"/>
        <v>0.28966354765236296</v>
      </c>
      <c r="IQ83" s="242">
        <f t="shared" ca="1" si="1003"/>
        <v>0.28966354765236296</v>
      </c>
      <c r="IR83" s="241">
        <f t="shared" ca="1" si="1341"/>
        <v>1</v>
      </c>
      <c r="IS83" s="220">
        <f t="shared" ca="1" si="1004"/>
        <v>0.96382841054241086</v>
      </c>
      <c r="IT83" s="220">
        <f t="shared" ca="1" si="1005"/>
        <v>0</v>
      </c>
      <c r="IU83" s="235">
        <f t="shared" ca="1" si="1006"/>
        <v>0.27934900654248102</v>
      </c>
      <c r="IV83" s="235">
        <f t="shared" ca="1" si="1007"/>
        <v>0.27934900654248102</v>
      </c>
      <c r="IW83" s="242">
        <f t="shared" ca="1" si="1008"/>
        <v>0.27934900654248102</v>
      </c>
      <c r="IX83" s="241">
        <f t="shared" ca="1" si="1341"/>
        <v>1</v>
      </c>
      <c r="IY83" s="220">
        <f t="shared" ca="1" si="1009"/>
        <v>0.9619778599941694</v>
      </c>
      <c r="IZ83" s="220">
        <f t="shared" ca="1" si="1010"/>
        <v>0</v>
      </c>
      <c r="JA83" s="235">
        <f t="shared" ca="1" si="1011"/>
        <v>0.26938420913035699</v>
      </c>
      <c r="JB83" s="235">
        <f t="shared" ca="1" si="1012"/>
        <v>0.26938420913035699</v>
      </c>
      <c r="JC83" s="242">
        <f t="shared" ca="1" si="1013"/>
        <v>0.26938420913035699</v>
      </c>
      <c r="JD83" s="241">
        <f t="shared" ca="1" si="1336"/>
        <v>1</v>
      </c>
      <c r="JE83" s="220">
        <f t="shared" ca="1" si="1014"/>
        <v>0.96006544800850102</v>
      </c>
      <c r="JF83" s="220">
        <f t="shared" ca="1" si="1015"/>
        <v>0</v>
      </c>
      <c r="JG83" s="235">
        <f t="shared" ca="1" si="1016"/>
        <v>0.25975717229237277</v>
      </c>
      <c r="JH83" s="235">
        <f t="shared" ca="1" si="1017"/>
        <v>0.25975717229237277</v>
      </c>
      <c r="JI83" s="242">
        <f t="shared" ca="1" si="1018"/>
        <v>0.25975717229237277</v>
      </c>
      <c r="JJ83" s="241">
        <f t="shared" ca="1" si="1336"/>
        <v>1</v>
      </c>
      <c r="JK83" s="220">
        <f t="shared" ca="1" si="1019"/>
        <v>0.9580877131856036</v>
      </c>
      <c r="JL83" s="220">
        <f t="shared" ca="1" si="1020"/>
        <v>0</v>
      </c>
      <c r="JM83" s="235">
        <f t="shared" ca="1" si="1021"/>
        <v>0.25045610871251262</v>
      </c>
      <c r="JN83" s="235">
        <f t="shared" ca="1" si="1022"/>
        <v>0.25045610871251262</v>
      </c>
      <c r="JO83" s="242">
        <f t="shared" ca="1" si="1023"/>
        <v>0.25045610871251262</v>
      </c>
      <c r="JP83" s="241">
        <f t="shared" ca="1" si="1342"/>
        <v>1</v>
      </c>
      <c r="JQ83" s="220">
        <f t="shared" ca="1" si="1024"/>
        <v>0.95603644739167326</v>
      </c>
      <c r="JR83" s="220">
        <f t="shared" ca="1" si="1025"/>
        <v>0</v>
      </c>
      <c r="JS83" s="235">
        <f t="shared" ca="1" si="1026"/>
        <v>0.24146848520169967</v>
      </c>
      <c r="JT83" s="235">
        <f t="shared" ca="1" si="1027"/>
        <v>0.24146848520169967</v>
      </c>
      <c r="JU83" s="242">
        <f t="shared" ca="1" si="1028"/>
        <v>0.24146848520169967</v>
      </c>
      <c r="JV83" s="241">
        <f t="shared" ca="1" si="1342"/>
        <v>1</v>
      </c>
      <c r="JW83" s="220">
        <f t="shared" ca="1" si="1029"/>
        <v>0.95389492574951584</v>
      </c>
      <c r="JX83" s="220">
        <f t="shared" ca="1" si="1030"/>
        <v>0</v>
      </c>
      <c r="JY83" s="235">
        <f t="shared" ca="1" si="1031"/>
        <v>0.23278028579212359</v>
      </c>
      <c r="JZ83" s="235">
        <f t="shared" ca="1" si="1032"/>
        <v>0.23278028579212359</v>
      </c>
      <c r="KA83" s="242">
        <f t="shared" ca="1" si="1033"/>
        <v>0.23278028579212359</v>
      </c>
      <c r="KB83" s="241">
        <f t="shared" ca="1" si="1342"/>
        <v>1</v>
      </c>
      <c r="KC83" s="220">
        <f t="shared" ca="1" si="1034"/>
        <v>0.95164182593489555</v>
      </c>
      <c r="KD83" s="220">
        <f t="shared" ca="1" si="1035"/>
        <v>0</v>
      </c>
      <c r="KE83" s="235">
        <f t="shared" ca="1" si="1036"/>
        <v>0.22437725483776094</v>
      </c>
      <c r="KF83" s="235">
        <f t="shared" ca="1" si="1037"/>
        <v>0.22437725483776094</v>
      </c>
      <c r="KG83" s="242">
        <f t="shared" ca="1" si="1038"/>
        <v>0.22437725483776094</v>
      </c>
      <c r="KH83" s="241">
        <f t="shared" ca="1" si="1342"/>
        <v>1</v>
      </c>
      <c r="KI83" s="220">
        <f t="shared" ca="1" si="1039"/>
        <v>0.94925415659362489</v>
      </c>
      <c r="KJ83" s="220">
        <f t="shared" ca="1" si="1040"/>
        <v>0</v>
      </c>
      <c r="KK83" s="235">
        <f t="shared" ca="1" si="1041"/>
        <v>0.21624569304866956</v>
      </c>
      <c r="KL83" s="235">
        <f t="shared" ca="1" si="1042"/>
        <v>0.21624569304866956</v>
      </c>
      <c r="KM83" s="242">
        <f t="shared" ca="1" si="1043"/>
        <v>0.21624569304866956</v>
      </c>
      <c r="KN83" s="241">
        <f t="shared" ca="1" si="1342"/>
        <v>1</v>
      </c>
      <c r="KO83" s="220">
        <f t="shared" ca="1" si="1044"/>
        <v>0.94670635843732753</v>
      </c>
      <c r="KP83" s="220">
        <f t="shared" ca="1" si="1045"/>
        <v>0</v>
      </c>
      <c r="KQ83" s="235">
        <f t="shared" ca="1" si="1046"/>
        <v>0.2083722604913304</v>
      </c>
      <c r="KR83" s="235">
        <f t="shared" ca="1" si="1047"/>
        <v>0.2083722604913304</v>
      </c>
      <c r="KS83" s="242">
        <f t="shared" ca="1" si="1048"/>
        <v>0.2083722604913304</v>
      </c>
      <c r="KT83" s="241">
        <f t="shared" ca="1" si="1342"/>
        <v>1</v>
      </c>
      <c r="KU83" s="220">
        <f t="shared" ca="1" si="1049"/>
        <v>0.94397037706144371</v>
      </c>
      <c r="KV83" s="220">
        <f t="shared" ca="1" si="1050"/>
        <v>0</v>
      </c>
      <c r="KW83" s="235">
        <f t="shared" ca="1" si="1051"/>
        <v>0.20074402382464779</v>
      </c>
      <c r="KX83" s="235">
        <f t="shared" ca="1" si="1052"/>
        <v>0.20074402382464779</v>
      </c>
      <c r="KY83" s="242">
        <f t="shared" ca="1" si="1053"/>
        <v>0.20074402382464779</v>
      </c>
      <c r="KZ83" s="241">
        <f t="shared" ca="1" si="1342"/>
        <v>1</v>
      </c>
      <c r="LA83" s="220">
        <f t="shared" ca="1" si="1054"/>
        <v>0.94102424551463493</v>
      </c>
      <c r="LB83" s="220">
        <f t="shared" ca="1" si="1055"/>
        <v>0</v>
      </c>
      <c r="LC83" s="235">
        <f t="shared" ca="1" si="1056"/>
        <v>0.19335024321380778</v>
      </c>
      <c r="LD83" s="235">
        <f t="shared" ca="1" si="1057"/>
        <v>0.19335024321380778</v>
      </c>
      <c r="LE83" s="242">
        <f t="shared" ca="1" si="1058"/>
        <v>0.19335024321380778</v>
      </c>
      <c r="LF83" s="241">
        <f t="shared" ca="1" si="1342"/>
        <v>1</v>
      </c>
      <c r="LG83" s="220">
        <f t="shared" ca="1" si="1059"/>
        <v>0.93783793741932242</v>
      </c>
      <c r="LH83" s="220">
        <f t="shared" ca="1" si="1060"/>
        <v>0</v>
      </c>
      <c r="LI83" s="235">
        <f t="shared" ca="1" si="1061"/>
        <v>0.18617928433844047</v>
      </c>
      <c r="LJ83" s="235">
        <f t="shared" ca="1" si="1062"/>
        <v>0.18617928433844047</v>
      </c>
      <c r="LK83" s="242">
        <f t="shared" ca="1" si="1063"/>
        <v>0.18617928433844047</v>
      </c>
      <c r="LL83" s="241">
        <f t="shared" ca="1" si="1342"/>
        <v>1</v>
      </c>
      <c r="LM83" s="220">
        <f t="shared" ca="1" si="1064"/>
        <v>0.93436137218530901</v>
      </c>
      <c r="LN83" s="220">
        <f t="shared" ca="1" si="1065"/>
        <v>0</v>
      </c>
      <c r="LO83" s="235">
        <f t="shared" ca="1" si="1066"/>
        <v>0.17921653887091585</v>
      </c>
      <c r="LP83" s="235">
        <f t="shared" ca="1" si="1067"/>
        <v>0.17921653887091585</v>
      </c>
      <c r="LQ83" s="242">
        <f t="shared" ca="1" si="1068"/>
        <v>0.17921653887091585</v>
      </c>
      <c r="LR83" s="241">
        <f t="shared" ca="1" si="1342"/>
        <v>1</v>
      </c>
      <c r="LS83" s="220">
        <f t="shared" ca="1" si="1069"/>
        <v>0.93053889981169891</v>
      </c>
      <c r="LT83" s="220">
        <f t="shared" ca="1" si="1070"/>
        <v>0</v>
      </c>
      <c r="LU83" s="235">
        <f t="shared" ca="1" si="1071"/>
        <v>0.17244769469603377</v>
      </c>
      <c r="LV83" s="235">
        <f t="shared" ca="1" si="1072"/>
        <v>0.17244769469603377</v>
      </c>
      <c r="LW83" s="242">
        <f t="shared" ca="1" si="1073"/>
        <v>0.17244769469603377</v>
      </c>
      <c r="LX83" s="241">
        <f t="shared" ca="1" si="1342"/>
        <v>1</v>
      </c>
      <c r="LY83" s="220">
        <f t="shared" ca="1" si="1074"/>
        <v>0.92632262805665211</v>
      </c>
      <c r="LZ83" s="220">
        <f t="shared" ca="1" si="1075"/>
        <v>0</v>
      </c>
      <c r="MA83" s="235">
        <f t="shared" ca="1" si="1076"/>
        <v>0.16586119245542613</v>
      </c>
      <c r="MB83" s="235">
        <f t="shared" ca="1" si="1077"/>
        <v>0.16586119245542613</v>
      </c>
      <c r="MC83" s="242">
        <f t="shared" ca="1" si="1078"/>
        <v>0.16586119245542613</v>
      </c>
      <c r="MD83" s="241">
        <f t="shared" ca="1" si="1337"/>
        <v>1</v>
      </c>
      <c r="ME83" s="220">
        <f t="shared" ca="1" si="1079"/>
        <v>0.92167897272220412</v>
      </c>
      <c r="MF83" s="220">
        <f t="shared" ca="1" si="1080"/>
        <v>0</v>
      </c>
      <c r="MG83" s="235">
        <f t="shared" ca="1" si="1081"/>
        <v>0.15944901478033538</v>
      </c>
      <c r="MH83" s="235">
        <f t="shared" ca="1" si="1082"/>
        <v>0.15944901478033538</v>
      </c>
      <c r="MI83" s="242">
        <f t="shared" ca="1" si="1083"/>
        <v>0.15944901478033538</v>
      </c>
      <c r="MJ83" s="241">
        <f t="shared" ca="1" si="1337"/>
        <v>1</v>
      </c>
      <c r="MK83" s="220">
        <f t="shared" ca="1" si="1084"/>
        <v>0.91658761807688671</v>
      </c>
      <c r="ML83" s="220">
        <f t="shared" ca="1" si="1085"/>
        <v>0</v>
      </c>
      <c r="MM83" s="235">
        <f t="shared" ca="1" si="1086"/>
        <v>0.15320600813786359</v>
      </c>
      <c r="MN83" s="235">
        <f t="shared" ca="1" si="1087"/>
        <v>0.15320600813786359</v>
      </c>
      <c r="MO83" s="242">
        <f t="shared" ca="1" si="1088"/>
        <v>0.15320600813786359</v>
      </c>
      <c r="MP83" s="241">
        <f t="shared" ca="1" si="1343"/>
        <v>1</v>
      </c>
      <c r="MQ83" s="220">
        <f t="shared" ca="1" si="1089"/>
        <v>0.91103401369895887</v>
      </c>
      <c r="MR83" s="220">
        <f t="shared" ca="1" si="1090"/>
        <v>0</v>
      </c>
      <c r="MS83" s="235">
        <f t="shared" ca="1" si="1091"/>
        <v>0.1471282443812138</v>
      </c>
      <c r="MT83" s="235">
        <f t="shared" ca="1" si="1092"/>
        <v>0.1471282443812138</v>
      </c>
      <c r="MU83" s="242">
        <f t="shared" ca="1" si="1093"/>
        <v>0.1471282443812138</v>
      </c>
      <c r="MV83" s="241">
        <f t="shared" ca="1" si="1343"/>
        <v>1</v>
      </c>
      <c r="MW83" s="220">
        <f t="shared" ca="1" si="1094"/>
        <v>0.90501116783439506</v>
      </c>
      <c r="MX83" s="220">
        <f t="shared" ca="1" si="1095"/>
        <v>0</v>
      </c>
      <c r="MY83" s="235">
        <f t="shared" ca="1" si="1096"/>
        <v>0.14121312034551653</v>
      </c>
      <c r="MZ83" s="235">
        <f t="shared" ca="1" si="1097"/>
        <v>0.14121312034551653</v>
      </c>
      <c r="NA83" s="242">
        <f t="shared" ca="1" si="1098"/>
        <v>0.14121312034551653</v>
      </c>
      <c r="NB83" s="241">
        <f t="shared" ca="1" si="1343"/>
        <v>1</v>
      </c>
      <c r="NC83" s="220">
        <f t="shared" ca="1" si="1099"/>
        <v>0.89850685257116925</v>
      </c>
      <c r="ND83" s="220">
        <f t="shared" ca="1" si="1100"/>
        <v>0</v>
      </c>
      <c r="NE83" s="235">
        <f t="shared" ca="1" si="1101"/>
        <v>0.13545721898511429</v>
      </c>
      <c r="NF83" s="235">
        <f t="shared" ca="1" si="1102"/>
        <v>0.13545721898511429</v>
      </c>
      <c r="NG83" s="242">
        <f t="shared" ca="1" si="1103"/>
        <v>0.13545721898511429</v>
      </c>
      <c r="NH83" s="241">
        <f t="shared" ca="1" si="1343"/>
        <v>1</v>
      </c>
      <c r="NI83" s="220">
        <f t="shared" ca="1" si="1104"/>
        <v>0.89149849912111412</v>
      </c>
      <c r="NJ83" s="220">
        <f t="shared" ca="1" si="1105"/>
        <v>0</v>
      </c>
      <c r="NK83" s="235">
        <f t="shared" ca="1" si="1106"/>
        <v>0.12985570306959462</v>
      </c>
      <c r="NL83" s="235">
        <f t="shared" ca="1" si="1107"/>
        <v>0.12985570306959462</v>
      </c>
      <c r="NM83" s="242">
        <f t="shared" ca="1" si="1108"/>
        <v>0.12985570306959462</v>
      </c>
      <c r="NN83" s="241">
        <f t="shared" ca="1" si="1343"/>
        <v>1</v>
      </c>
      <c r="NO83" s="220">
        <f t="shared" ca="1" si="1109"/>
        <v>0.88395998781254592</v>
      </c>
      <c r="NP83" s="220">
        <f t="shared" ca="1" si="1110"/>
        <v>0</v>
      </c>
      <c r="NQ83" s="235">
        <f t="shared" ca="1" si="1111"/>
        <v>0.12440352004293539</v>
      </c>
      <c r="NR83" s="235">
        <f t="shared" ca="1" si="1112"/>
        <v>0.12440352004293539</v>
      </c>
      <c r="NS83" s="242">
        <f t="shared" ca="1" si="1113"/>
        <v>0.12440352004293539</v>
      </c>
      <c r="NT83" s="241">
        <f t="shared" ca="1" si="1343"/>
        <v>1</v>
      </c>
      <c r="NU83" s="220">
        <f t="shared" ca="1" si="1114"/>
        <v>0.87587705768398794</v>
      </c>
      <c r="NV83" s="220">
        <f t="shared" ca="1" si="1115"/>
        <v>0</v>
      </c>
      <c r="NW83" s="235">
        <f t="shared" ca="1" si="1116"/>
        <v>0.11909755966730703</v>
      </c>
      <c r="NX83" s="235">
        <f t="shared" ca="1" si="1117"/>
        <v>0.11909755966730703</v>
      </c>
      <c r="NY83" s="242">
        <f t="shared" ca="1" si="1118"/>
        <v>0.11909755966730703</v>
      </c>
      <c r="NZ83" s="241">
        <f t="shared" ca="1" si="1343"/>
        <v>1</v>
      </c>
      <c r="OA83" s="220">
        <f t="shared" ca="1" si="1119"/>
        <v>0.86723653050993543</v>
      </c>
      <c r="OB83" s="220">
        <f t="shared" ca="1" si="1120"/>
        <v>0</v>
      </c>
      <c r="OC83" s="235">
        <f t="shared" ca="1" si="1121"/>
        <v>0.11393493936346769</v>
      </c>
      <c r="OD83" s="235">
        <f t="shared" ca="1" si="1122"/>
        <v>0.11393493936346769</v>
      </c>
      <c r="OE83" s="242">
        <f t="shared" ca="1" si="1123"/>
        <v>0.11393493936346769</v>
      </c>
      <c r="OF83" s="241">
        <f t="shared" ca="1" si="1343"/>
        <v>1</v>
      </c>
      <c r="OG83" s="220">
        <f t="shared" ca="1" si="1124"/>
        <v>0.85802474408285889</v>
      </c>
      <c r="OH83" s="220">
        <f t="shared" ca="1" si="1125"/>
        <v>0</v>
      </c>
      <c r="OI83" s="235">
        <f t="shared" ca="1" si="1126"/>
        <v>0.10891277530197965</v>
      </c>
      <c r="OJ83" s="235">
        <f t="shared" ca="1" si="1127"/>
        <v>0.10891277530197965</v>
      </c>
      <c r="OK83" s="242">
        <f t="shared" ca="1" si="1128"/>
        <v>0.10891277530197965</v>
      </c>
      <c r="OL83" s="241">
        <f t="shared" ca="1" si="1343"/>
        <v>1</v>
      </c>
      <c r="OM83" s="220">
        <f t="shared" ca="1" si="1129"/>
        <v>0.84819349656515752</v>
      </c>
      <c r="ON83" s="220">
        <f t="shared" ca="1" si="1130"/>
        <v>0</v>
      </c>
      <c r="OO83" s="235">
        <f t="shared" ca="1" si="1131"/>
        <v>0.10402401229233778</v>
      </c>
      <c r="OP83" s="235">
        <f t="shared" ca="1" si="1132"/>
        <v>0.10402401229233778</v>
      </c>
      <c r="OQ83" s="242">
        <f t="shared" ca="1" si="1133"/>
        <v>0.10402401229233778</v>
      </c>
      <c r="OR83" s="241">
        <f t="shared" ca="1" si="1343"/>
        <v>1</v>
      </c>
      <c r="OS83" s="220">
        <f t="shared" ca="1" si="1134"/>
        <v>0.83771830688257787</v>
      </c>
      <c r="OT83" s="220">
        <f t="shared" ca="1" si="1135"/>
        <v>0</v>
      </c>
      <c r="OU83" s="235">
        <f t="shared" ca="1" si="1136"/>
        <v>9.9265039362828419E-2</v>
      </c>
      <c r="OV83" s="235">
        <f t="shared" ca="1" si="1137"/>
        <v>9.9265039362828419E-2</v>
      </c>
      <c r="OW83" s="242">
        <f t="shared" ca="1" si="1138"/>
        <v>9.9265039362828419E-2</v>
      </c>
      <c r="OX83" s="241">
        <f t="shared" ca="1" si="1343"/>
        <v>1</v>
      </c>
      <c r="OY83" s="220">
        <f t="shared" ca="1" si="1139"/>
        <v>0.82663110509098692</v>
      </c>
      <c r="OZ83" s="220">
        <f t="shared" ca="1" si="1140"/>
        <v>0</v>
      </c>
      <c r="PA83" s="235">
        <f t="shared" ca="1" si="1141"/>
        <v>9.4638904895518239E-2</v>
      </c>
      <c r="PB83" s="235">
        <f t="shared" ca="1" si="1142"/>
        <v>9.4638904895518239E-2</v>
      </c>
      <c r="PC83" s="242">
        <f t="shared" ca="1" si="1143"/>
        <v>9.4638904895518239E-2</v>
      </c>
      <c r="PD83" s="241">
        <f t="shared" ca="1" si="1338"/>
        <v>1</v>
      </c>
      <c r="PE83" s="220">
        <f t="shared" ca="1" si="1144"/>
        <v>0.81497808640251923</v>
      </c>
      <c r="PF83" s="220">
        <f t="shared" ca="1" si="1145"/>
        <v>0</v>
      </c>
      <c r="PG83" s="235">
        <f t="shared" ca="1" si="1146"/>
        <v>9.0149546138363415E-2</v>
      </c>
      <c r="PH83" s="235">
        <f t="shared" ca="1" si="1147"/>
        <v>9.0149546138363415E-2</v>
      </c>
      <c r="PI83" s="242">
        <f t="shared" ca="1" si="1148"/>
        <v>9.0149546138363415E-2</v>
      </c>
      <c r="PJ83" s="241">
        <f t="shared" ca="1" si="1338"/>
        <v>1</v>
      </c>
      <c r="PK83" s="220">
        <f t="shared" ca="1" si="1149"/>
        <v>0.80277052964629592</v>
      </c>
      <c r="PL83" s="220">
        <f t="shared" ca="1" si="1150"/>
        <v>0</v>
      </c>
      <c r="PM83" s="235">
        <f t="shared" ca="1" si="1151"/>
        <v>8.5796324721504238E-2</v>
      </c>
      <c r="PN83" s="235">
        <f t="shared" ca="1" si="1152"/>
        <v>8.5796324721504238E-2</v>
      </c>
      <c r="PO83" s="242">
        <f t="shared" ca="1" si="1153"/>
        <v>8.5796324721504238E-2</v>
      </c>
      <c r="PP83" s="241">
        <f t="shared" ca="1" si="1344"/>
        <v>1</v>
      </c>
      <c r="PQ83" s="220">
        <f t="shared" ca="1" si="1154"/>
        <v>0.78995269259943357</v>
      </c>
      <c r="PR83" s="220">
        <f t="shared" ca="1" si="1155"/>
        <v>0</v>
      </c>
      <c r="PS83" s="235">
        <f t="shared" ca="1" si="1156"/>
        <v>8.1571415270218356E-2</v>
      </c>
      <c r="PT83" s="235">
        <f t="shared" ca="1" si="1157"/>
        <v>8.1571415270218356E-2</v>
      </c>
      <c r="PU83" s="242">
        <f t="shared" ca="1" si="1158"/>
        <v>8.1571415270218356E-2</v>
      </c>
      <c r="PV83" s="241">
        <f t="shared" ca="1" si="1344"/>
        <v>1</v>
      </c>
      <c r="PW83" s="220">
        <f t="shared" ca="1" si="1159"/>
        <v>0.77643739198174988</v>
      </c>
      <c r="PX83" s="220">
        <f t="shared" ca="1" si="1160"/>
        <v>0</v>
      </c>
      <c r="PY83" s="235">
        <f t="shared" ca="1" si="1161"/>
        <v>7.7464550653488104E-2</v>
      </c>
      <c r="PZ83" s="235">
        <f t="shared" ca="1" si="1162"/>
        <v>7.7464550653488104E-2</v>
      </c>
      <c r="QA83" s="242">
        <f t="shared" ca="1" si="1163"/>
        <v>7.7464550653488104E-2</v>
      </c>
      <c r="QB83" s="241">
        <f t="shared" ca="1" si="1344"/>
        <v>1</v>
      </c>
      <c r="QC83" s="220">
        <f t="shared" ca="1" si="1164"/>
        <v>0.76215715546842155</v>
      </c>
      <c r="QD83" s="220">
        <f t="shared" ca="1" si="1165"/>
        <v>0</v>
      </c>
      <c r="QE83" s="235">
        <f t="shared" ca="1" si="1166"/>
        <v>7.3468427669438799E-2</v>
      </c>
      <c r="QF83" s="235">
        <f t="shared" ca="1" si="1167"/>
        <v>7.3468427669438799E-2</v>
      </c>
      <c r="QG83" s="242">
        <f t="shared" ca="1" si="1168"/>
        <v>7.3468427669438799E-2</v>
      </c>
      <c r="QH83" s="241">
        <f t="shared" ca="1" si="1344"/>
        <v>1</v>
      </c>
      <c r="QI83" s="220">
        <f t="shared" ca="1" si="1169"/>
        <v>0.74703900613254992</v>
      </c>
      <c r="QJ83" s="220">
        <f t="shared" ca="1" si="1170"/>
        <v>0</v>
      </c>
      <c r="QK83" s="235">
        <f t="shared" ca="1" si="1171"/>
        <v>6.9575949698732195E-2</v>
      </c>
      <c r="QL83" s="235">
        <f t="shared" ca="1" si="1172"/>
        <v>6.9575949698732195E-2</v>
      </c>
      <c r="QM83" s="242">
        <f t="shared" ca="1" si="1173"/>
        <v>6.9575949698732195E-2</v>
      </c>
      <c r="QN83" s="241">
        <f t="shared" ca="1" si="1344"/>
        <v>1</v>
      </c>
      <c r="QO83" s="220">
        <f t="shared" ca="1" si="1174"/>
        <v>0.73100381386591473</v>
      </c>
      <c r="QP83" s="220">
        <f t="shared" ca="1" si="1175"/>
        <v>0</v>
      </c>
      <c r="QQ83" s="235">
        <f t="shared" ca="1" si="1176"/>
        <v>6.5780195109612458E-2</v>
      </c>
      <c r="QR83" s="235">
        <f t="shared" ca="1" si="1177"/>
        <v>6.5780195109612458E-2</v>
      </c>
      <c r="QS83" s="242">
        <f t="shared" ca="1" si="1178"/>
        <v>6.5780195109612458E-2</v>
      </c>
      <c r="QT83" s="241">
        <f t="shared" ca="1" si="1344"/>
        <v>1</v>
      </c>
      <c r="QU83" s="220">
        <f t="shared" ca="1" si="1179"/>
        <v>0.71393414380833176</v>
      </c>
      <c r="QV83" s="220">
        <f t="shared" ca="1" si="1180"/>
        <v>0</v>
      </c>
      <c r="QW83" s="235">
        <f t="shared" ca="1" si="1181"/>
        <v>6.2071653887543876E-2</v>
      </c>
      <c r="QX83" s="235">
        <f t="shared" ca="1" si="1182"/>
        <v>6.2071653887543876E-2</v>
      </c>
      <c r="QY83" s="242">
        <f t="shared" ca="1" si="1183"/>
        <v>6.2071653887543876E-2</v>
      </c>
      <c r="QZ83" s="241">
        <f t="shared" ca="1" si="1344"/>
        <v>1</v>
      </c>
      <c r="RA83" s="220">
        <f t="shared" ca="1" si="1184"/>
        <v>0.69574167395580788</v>
      </c>
      <c r="RB83" s="220">
        <f t="shared" ca="1" si="1185"/>
        <v>0</v>
      </c>
      <c r="RC83" s="235">
        <f t="shared" ca="1" si="1186"/>
        <v>5.8444390341238162E-2</v>
      </c>
      <c r="RD83" s="235">
        <f t="shared" ca="1" si="1187"/>
        <v>5.8444390341238162E-2</v>
      </c>
      <c r="RE83" s="242">
        <f t="shared" ca="1" si="1188"/>
        <v>5.8444390341238162E-2</v>
      </c>
      <c r="RF83" s="241">
        <f t="shared" ca="1" si="1344"/>
        <v>1</v>
      </c>
      <c r="RG83" s="220">
        <f t="shared" ca="1" si="1189"/>
        <v>0.67640422986988014</v>
      </c>
      <c r="RH83" s="220">
        <f t="shared" ca="1" si="1190"/>
        <v>0</v>
      </c>
      <c r="RI83" s="235">
        <f t="shared" ca="1" si="1191"/>
        <v>5.4898538121829751E-2</v>
      </c>
      <c r="RJ83" s="235">
        <f t="shared" ca="1" si="1192"/>
        <v>5.4898538121829751E-2</v>
      </c>
      <c r="RK83" s="242">
        <f t="shared" ca="1" si="1193"/>
        <v>5.4898538121829751E-2</v>
      </c>
      <c r="RL83" s="241">
        <f t="shared" ca="1" si="1344"/>
        <v>1</v>
      </c>
      <c r="RM83" s="220">
        <f t="shared" ca="1" si="1194"/>
        <v>0.65592135698096043</v>
      </c>
      <c r="RN83" s="220">
        <f t="shared" ca="1" si="1195"/>
        <v>0</v>
      </c>
      <c r="RO83" s="235">
        <f t="shared" ca="1" si="1196"/>
        <v>5.1435845981086484E-2</v>
      </c>
      <c r="RP83" s="235">
        <f t="shared" ca="1" si="1197"/>
        <v>5.1435845981086484E-2</v>
      </c>
      <c r="RQ83" s="242">
        <f t="shared" ca="1" si="1198"/>
        <v>5.1435845981086484E-2</v>
      </c>
      <c r="RR83" s="241">
        <f t="shared" ca="1" si="1344"/>
        <v>1</v>
      </c>
      <c r="RS83" s="220">
        <f t="shared" ca="1" si="1199"/>
        <v>0.63426152193073515</v>
      </c>
      <c r="RT83" s="220">
        <f t="shared" ca="1" si="1200"/>
        <v>0</v>
      </c>
      <c r="RU83" s="235">
        <f t="shared" ca="1" si="1201"/>
        <v>4.8055392729564286E-2</v>
      </c>
      <c r="RV83" s="235">
        <f t="shared" ca="1" si="1202"/>
        <v>4.8055392729564286E-2</v>
      </c>
      <c r="RW83" s="242">
        <f t="shared" ca="1" si="1203"/>
        <v>4.8055392729564286E-2</v>
      </c>
      <c r="RX83" s="241">
        <f t="shared" ca="1" si="1344"/>
        <v>1</v>
      </c>
      <c r="RY83" s="220">
        <f t="shared" ca="1" si="1204"/>
        <v>0.61130062057532053</v>
      </c>
      <c r="RZ83" s="220">
        <f t="shared" ca="1" si="1205"/>
        <v>0</v>
      </c>
      <c r="SA83" s="235">
        <f t="shared" ca="1" si="1206"/>
        <v>4.4749506722088245E-2</v>
      </c>
      <c r="SB83" s="235">
        <f t="shared" ca="1" si="1207"/>
        <v>4.4749506722088245E-2</v>
      </c>
      <c r="SC83" s="242">
        <f t="shared" ca="1" si="1208"/>
        <v>4.4749506722088245E-2</v>
      </c>
      <c r="SD83" s="241">
        <f t="shared" ca="1" si="1339"/>
        <v>1</v>
      </c>
      <c r="SE83" s="220">
        <f t="shared" ca="1" si="1209"/>
        <v>0.58693540044042947</v>
      </c>
      <c r="SF83" s="220">
        <f t="shared" ca="1" si="1210"/>
        <v>0</v>
      </c>
      <c r="SG83" s="235">
        <f t="shared" ca="1" si="1211"/>
        <v>4.1512928389525854E-2</v>
      </c>
      <c r="SH83" s="235">
        <f t="shared" ca="1" si="1212"/>
        <v>4.1512928389525854E-2</v>
      </c>
      <c r="SI83" s="242">
        <f t="shared" ca="1" si="1213"/>
        <v>4.1512928389525854E-2</v>
      </c>
      <c r="SJ83" s="241">
        <f t="shared" ca="1" si="1339"/>
        <v>1</v>
      </c>
      <c r="SK83" s="220">
        <f t="shared" ca="1" si="1214"/>
        <v>0.56117421877969853</v>
      </c>
      <c r="SL83" s="220">
        <f t="shared" ca="1" si="1215"/>
        <v>0</v>
      </c>
      <c r="SM83" s="235">
        <f t="shared" ca="1" si="1216"/>
        <v>3.8348680627614658E-2</v>
      </c>
      <c r="SN83" s="235">
        <f t="shared" ca="1" si="1217"/>
        <v>3.8348680627614658E-2</v>
      </c>
      <c r="SO83" s="242">
        <f t="shared" ca="1" si="1218"/>
        <v>3.8348680627614658E-2</v>
      </c>
      <c r="SP83" s="241">
        <f t="shared" ca="1" si="1347"/>
        <v>1</v>
      </c>
      <c r="SQ83" s="220">
        <f t="shared" ca="1" si="1219"/>
        <v>0.5340633310962325</v>
      </c>
      <c r="SR83" s="220">
        <f t="shared" ca="1" si="1220"/>
        <v>0</v>
      </c>
      <c r="SS83" s="235">
        <f t="shared" ca="1" si="1221"/>
        <v>3.5261852674216394E-2</v>
      </c>
      <c r="ST83" s="235">
        <f t="shared" ca="1" si="1222"/>
        <v>3.5261852674216394E-2</v>
      </c>
      <c r="SU83" s="242">
        <f t="shared" ca="1" si="1223"/>
        <v>3.5261852674216394E-2</v>
      </c>
      <c r="SV83" s="241">
        <f t="shared" ca="1" si="1347"/>
        <v>1</v>
      </c>
      <c r="SW83" s="220">
        <f t="shared" ca="1" si="1224"/>
        <v>0.50563620810864218</v>
      </c>
      <c r="SX83" s="220">
        <f t="shared" ca="1" si="1225"/>
        <v>0</v>
      </c>
      <c r="SY83" s="235">
        <f t="shared" ca="1" si="1226"/>
        <v>3.2255975632920972E-2</v>
      </c>
      <c r="SZ83" s="235">
        <f t="shared" ca="1" si="1227"/>
        <v>3.2255975632920972E-2</v>
      </c>
      <c r="TA83" s="242">
        <f t="shared" ca="1" si="1228"/>
        <v>3.2255975632920972E-2</v>
      </c>
      <c r="TB83" s="241">
        <f t="shared" ca="1" si="1347"/>
        <v>1</v>
      </c>
      <c r="TC83" s="220">
        <f t="shared" ca="1" si="1229"/>
        <v>0.47585575235966748</v>
      </c>
      <c r="TD83" s="220">
        <f t="shared" ca="1" si="1230"/>
        <v>0</v>
      </c>
      <c r="TE83" s="235">
        <f t="shared" ca="1" si="1231"/>
        <v>2.9329657426153458E-2</v>
      </c>
      <c r="TF83" s="235">
        <f t="shared" ca="1" si="1232"/>
        <v>2.9329657426153458E-2</v>
      </c>
      <c r="TG83" s="242">
        <f t="shared" ca="1" si="1233"/>
        <v>2.9329657426153458E-2</v>
      </c>
      <c r="TH83" s="241">
        <f t="shared" ca="1" si="1347"/>
        <v>1</v>
      </c>
      <c r="TI83" s="220">
        <f t="shared" ca="1" si="1234"/>
        <v>0.4447514411066778</v>
      </c>
      <c r="TJ83" s="220">
        <f t="shared" ca="1" si="1235"/>
        <v>0</v>
      </c>
      <c r="TK83" s="235">
        <f t="shared" ca="1" si="1236"/>
        <v>2.6485530790814431E-2</v>
      </c>
      <c r="TL83" s="235">
        <f t="shared" ca="1" si="1237"/>
        <v>2.6485530790814431E-2</v>
      </c>
      <c r="TM83" s="242">
        <f t="shared" ca="1" si="1238"/>
        <v>2.6485530790814431E-2</v>
      </c>
      <c r="TN83" s="241">
        <f t="shared" ca="1" si="1347"/>
        <v>1</v>
      </c>
      <c r="TO83" s="220">
        <f t="shared" ca="1" si="1239"/>
        <v>0.41251096438941365</v>
      </c>
      <c r="TP83" s="220">
        <f t="shared" ca="1" si="1240"/>
        <v>0</v>
      </c>
      <c r="TQ83" s="235">
        <f t="shared" ca="1" si="1241"/>
        <v>2.3734848481408222E-2</v>
      </c>
      <c r="TR83" s="235">
        <f t="shared" ca="1" si="1242"/>
        <v>2.3734848481408222E-2</v>
      </c>
      <c r="TS83" s="242">
        <f t="shared" ca="1" si="1243"/>
        <v>2.3734848481408222E-2</v>
      </c>
      <c r="TT83" s="241">
        <f t="shared" ca="1" si="1347"/>
        <v>1</v>
      </c>
      <c r="TU83" s="220">
        <f t="shared" ca="1" si="1244"/>
        <v>0.37939128408051637</v>
      </c>
      <c r="TV83" s="220">
        <f t="shared" ca="1" si="1245"/>
        <v>0</v>
      </c>
      <c r="TW83" s="235">
        <f t="shared" ca="1" si="1246"/>
        <v>2.1091038615007652E-2</v>
      </c>
      <c r="TX83" s="235">
        <f t="shared" ca="1" si="1247"/>
        <v>2.1091038615007652E-2</v>
      </c>
      <c r="TY83" s="242">
        <f t="shared" ca="1" si="1248"/>
        <v>2.1091038615007652E-2</v>
      </c>
      <c r="TZ83" s="241">
        <f t="shared" ca="1" si="1347"/>
        <v>1</v>
      </c>
      <c r="UA83" s="220">
        <f t="shared" ca="1" si="1249"/>
        <v>0.34565732866521315</v>
      </c>
      <c r="UB83" s="220">
        <f t="shared" ca="1" si="1250"/>
        <v>0</v>
      </c>
      <c r="UC83" s="235">
        <f t="shared" ca="1" si="1251"/>
        <v>1.8565901280691431E-2</v>
      </c>
      <c r="UD83" s="235">
        <f t="shared" ca="1" si="1252"/>
        <v>1.8565901280691431E-2</v>
      </c>
      <c r="UE83" s="242">
        <f t="shared" ca="1" si="1253"/>
        <v>1.8565901280691431E-2</v>
      </c>
      <c r="UF83" s="241">
        <f t="shared" ca="1" si="1347"/>
        <v>1</v>
      </c>
      <c r="UG83" s="220">
        <f t="shared" ca="1" si="1254"/>
        <v>0.31158381183471112</v>
      </c>
      <c r="UH83" s="220">
        <f t="shared" ca="1" si="1255"/>
        <v>0</v>
      </c>
      <c r="UI83" s="235">
        <f t="shared" ca="1" si="1256"/>
        <v>1.6169805793281151E-2</v>
      </c>
      <c r="UJ83" s="235">
        <f t="shared" ca="1" si="1257"/>
        <v>1.6169805793281151E-2</v>
      </c>
      <c r="UK83" s="242">
        <f t="shared" ca="1" si="1258"/>
        <v>1.6169805793281151E-2</v>
      </c>
      <c r="UL83" s="241">
        <f t="shared" ca="1" si="1347"/>
        <v>1</v>
      </c>
      <c r="UM83" s="220">
        <f t="shared" ca="1" si="1259"/>
        <v>0.27748470263514402</v>
      </c>
      <c r="UN83" s="220">
        <f t="shared" ca="1" si="1260"/>
        <v>0</v>
      </c>
      <c r="UO83" s="235">
        <f t="shared" ca="1" si="1261"/>
        <v>1.3913250808575896E-2</v>
      </c>
      <c r="UP83" s="235">
        <f t="shared" ca="1" si="1262"/>
        <v>1.3913250808575896E-2</v>
      </c>
      <c r="UQ83" s="242">
        <f t="shared" ca="1" si="1263"/>
        <v>1.3913250808575896E-2</v>
      </c>
      <c r="UR83" s="241">
        <f t="shared" ca="1" si="1347"/>
        <v>1</v>
      </c>
      <c r="US83" s="220">
        <f t="shared" ca="1" si="1264"/>
        <v>0.24373729058536042</v>
      </c>
      <c r="UT83" s="220">
        <f t="shared" ca="1" si="1265"/>
        <v>0</v>
      </c>
      <c r="UU83" s="235">
        <f t="shared" ca="1" si="1266"/>
        <v>1.1807860056509861E-2</v>
      </c>
      <c r="UV83" s="235">
        <f t="shared" ca="1" si="1267"/>
        <v>1.1807860056509861E-2</v>
      </c>
      <c r="UW83" s="242">
        <f t="shared" ca="1" si="1268"/>
        <v>1.1807860056509861E-2</v>
      </c>
      <c r="UX83" s="241">
        <f t="shared" ca="1" si="1347"/>
        <v>1</v>
      </c>
      <c r="UY83" s="220">
        <f t="shared" ca="1" si="1269"/>
        <v>0.21078985859319374</v>
      </c>
      <c r="UZ83" s="220">
        <f t="shared" ca="1" si="1270"/>
        <v>0</v>
      </c>
      <c r="VA83" s="235">
        <f t="shared" ca="1" si="1271"/>
        <v>9.866396874889936E-3</v>
      </c>
      <c r="VB83" s="235">
        <f t="shared" ca="1" si="1272"/>
        <v>9.866396874889936E-3</v>
      </c>
      <c r="VC83" s="242">
        <f t="shared" ca="1" si="1273"/>
        <v>9.866396874889936E-3</v>
      </c>
      <c r="VD83" s="241">
        <f t="shared" ca="1" si="1345"/>
        <v>1</v>
      </c>
      <c r="VE83" s="220">
        <f t="shared" ca="1" si="1274"/>
        <v>0.17914840370962801</v>
      </c>
      <c r="VF83" s="220">
        <f t="shared" ca="1" si="1275"/>
        <v>0</v>
      </c>
      <c r="VG83" s="235">
        <f t="shared" ca="1" si="1276"/>
        <v>8.1017989433788233E-3</v>
      </c>
      <c r="VH83" s="235">
        <f t="shared" ca="1" si="1277"/>
        <v>8.1017989433788233E-3</v>
      </c>
      <c r="VI83" s="242">
        <f t="shared" ca="1" si="1278"/>
        <v>8.1017989433788233E-3</v>
      </c>
      <c r="VJ83" s="241">
        <f t="shared" ca="1" si="1345"/>
        <v>1</v>
      </c>
      <c r="VK83" s="220">
        <f t="shared" ca="1" si="1279"/>
        <v>0.14933864677755704</v>
      </c>
      <c r="VL83" s="220">
        <f t="shared" ca="1" si="1280"/>
        <v>0</v>
      </c>
      <c r="VM83" s="235">
        <f t="shared" ca="1" si="1281"/>
        <v>6.5252984585482295E-3</v>
      </c>
      <c r="VN83" s="235">
        <f t="shared" ca="1" si="1282"/>
        <v>6.5252984585482295E-3</v>
      </c>
      <c r="VO83" s="242">
        <f t="shared" ca="1" si="1283"/>
        <v>6.5252984585482295E-3</v>
      </c>
      <c r="VP83" s="241">
        <f t="shared" ca="1" si="567"/>
        <v>1</v>
      </c>
      <c r="VQ83" s="220">
        <f t="shared" ca="1" si="1284"/>
        <v>0.12186078378642688</v>
      </c>
      <c r="VR83" s="220">
        <f t="shared" ca="1" si="1285"/>
        <v>0</v>
      </c>
      <c r="VS83" s="235">
        <f t="shared" ca="1" si="1286"/>
        <v>5.1446020464451514E-3</v>
      </c>
      <c r="VT83" s="235">
        <f t="shared" ca="1" si="1287"/>
        <v>5.1446020464451514E-3</v>
      </c>
      <c r="VU83" s="242">
        <f t="shared" ca="1" si="1288"/>
        <v>5.1446020464451514E-3</v>
      </c>
      <c r="VV83" s="241">
        <f t="shared" ca="1" si="1335"/>
        <v>1</v>
      </c>
      <c r="VW83" s="220">
        <f t="shared" ca="1" si="1289"/>
        <v>9.714071449143126E-2</v>
      </c>
      <c r="VX83" s="220">
        <f t="shared" ca="1" si="1290"/>
        <v>0</v>
      </c>
      <c r="VY83" s="235">
        <f t="shared" ca="1" si="1291"/>
        <v>3.9623128486120972E-3</v>
      </c>
      <c r="VZ83" s="235">
        <f t="shared" ca="1" si="1292"/>
        <v>3.9623128486120972E-3</v>
      </c>
      <c r="WA83" s="242">
        <f t="shared" ca="1" si="1293"/>
        <v>3.9623128486120972E-3</v>
      </c>
      <c r="WB83" s="241">
        <f t="shared" ca="1" si="1335"/>
        <v>1</v>
      </c>
      <c r="WC83" s="220">
        <f t="shared" ca="1" si="1294"/>
        <v>7.5486980683431834E-2</v>
      </c>
      <c r="WD83" s="220">
        <f t="shared" ca="1" si="1295"/>
        <v>0</v>
      </c>
      <c r="WE83" s="235">
        <f t="shared" ca="1" si="1296"/>
        <v>2.9749465982754843E-3</v>
      </c>
      <c r="WF83" s="235">
        <f t="shared" ca="1" si="1297"/>
        <v>2.9749465982754843E-3</v>
      </c>
      <c r="WG83" s="242">
        <f t="shared" ca="1" si="1298"/>
        <v>2.9749465982754843E-3</v>
      </c>
      <c r="WH83" s="241">
        <f t="shared" ca="1" si="1335"/>
        <v>1</v>
      </c>
      <c r="WI83" s="220">
        <f t="shared" ca="1" si="1299"/>
        <v>5.7061061620490225E-2</v>
      </c>
      <c r="WJ83" s="220">
        <f t="shared" ca="1" si="1300"/>
        <v>0</v>
      </c>
      <c r="WK83" s="235">
        <f t="shared" ca="1" si="1301"/>
        <v>2.1727342833971291E-3</v>
      </c>
      <c r="WL83" s="235">
        <f t="shared" ca="1" si="1302"/>
        <v>2.1727342833971291E-3</v>
      </c>
      <c r="WM83" s="242">
        <f t="shared" ca="1" si="1303"/>
        <v>2.1727342833971291E-3</v>
      </c>
      <c r="WN83" s="241">
        <f t="shared" ca="1" si="1335"/>
        <v>1</v>
      </c>
      <c r="WO83" s="220">
        <f t="shared" ca="1" si="1304"/>
        <v>4.1934687734452851E-2</v>
      </c>
      <c r="WP83" s="220">
        <f t="shared" ca="1" si="1305"/>
        <v>0</v>
      </c>
      <c r="WQ83" s="235">
        <f t="shared" ca="1" si="1306"/>
        <v>1.5427651975624165E-3</v>
      </c>
      <c r="WR83" s="235">
        <f t="shared" ca="1" si="1307"/>
        <v>1.5427651975624165E-3</v>
      </c>
      <c r="WS83" s="242">
        <f t="shared" ca="1" si="1308"/>
        <v>1.5427651975624165E-3</v>
      </c>
      <c r="WT83" s="241">
        <f t="shared" ca="1" si="1335"/>
        <v>1</v>
      </c>
      <c r="WU83" s="220">
        <f t="shared" ca="1" si="1309"/>
        <v>2.9961998908764689E-2</v>
      </c>
      <c r="WV83" s="220">
        <f t="shared" ca="1" si="1310"/>
        <v>0</v>
      </c>
      <c r="WW83" s="235">
        <f t="shared" ca="1" si="1311"/>
        <v>1.0650177696007403E-3</v>
      </c>
      <c r="WX83" s="235">
        <f t="shared" ca="1" si="1312"/>
        <v>1.0650177696007403E-3</v>
      </c>
      <c r="WY83" s="242">
        <f t="shared" ca="1" si="1313"/>
        <v>1.0650177696007403E-3</v>
      </c>
      <c r="WZ83" s="241">
        <f t="shared" ca="1" si="1335"/>
        <v>1</v>
      </c>
      <c r="XA83" s="220">
        <f t="shared" ca="1" si="1314"/>
        <v>2.0825806429510707E-2</v>
      </c>
      <c r="XB83" s="220">
        <f t="shared" ca="1" si="1315"/>
        <v>0</v>
      </c>
      <c r="XC83" s="235">
        <f t="shared" ca="1" si="1316"/>
        <v>7.1523300597822715E-4</v>
      </c>
      <c r="XD83" s="235">
        <f t="shared" ca="1" si="1317"/>
        <v>7.1523300597822715E-4</v>
      </c>
      <c r="XE83" s="242">
        <f t="shared" ca="1" si="1318"/>
        <v>7.1523300597822715E-4</v>
      </c>
      <c r="XF83" s="241">
        <f t="shared" ca="1" si="1335"/>
        <v>1</v>
      </c>
      <c r="XG83" s="220">
        <f t="shared" ca="1" si="1319"/>
        <v>1.410075784309954E-2</v>
      </c>
      <c r="XH83" s="220">
        <f t="shared" ca="1" si="1320"/>
        <v>0</v>
      </c>
      <c r="XI83" s="235">
        <f t="shared" ca="1" si="1321"/>
        <v>4.6789437576883483E-4</v>
      </c>
      <c r="XJ83" s="235">
        <f t="shared" ca="1" si="1322"/>
        <v>4.6789437576883483E-4</v>
      </c>
      <c r="XK83" s="242">
        <f t="shared" ca="1" si="1323"/>
        <v>4.6789437576883483E-4</v>
      </c>
    </row>
    <row r="84" spans="2:635" x14ac:dyDescent="0.25">
      <c r="B84" s="65">
        <f t="shared" ca="1" si="810"/>
        <v>2099</v>
      </c>
      <c r="C84" s="65" t="s">
        <v>741</v>
      </c>
      <c r="D84" s="77">
        <f t="shared" si="811"/>
        <v>0</v>
      </c>
      <c r="E84" s="77">
        <f t="shared" si="812"/>
        <v>0</v>
      </c>
      <c r="F84" s="77" t="b">
        <f t="shared" si="813"/>
        <v>0</v>
      </c>
      <c r="G84" s="77" t="b">
        <f t="shared" si="814"/>
        <v>0</v>
      </c>
      <c r="H84" s="15" t="e">
        <f t="shared" ca="1" si="815"/>
        <v>#REF!</v>
      </c>
      <c r="L84" s="326">
        <f t="shared" ca="1" si="816"/>
        <v>3.5000000000000003E-2</v>
      </c>
      <c r="M84" s="327">
        <f t="shared" ca="1" si="817"/>
        <v>3.5000000000000003E-2</v>
      </c>
      <c r="N84" s="322">
        <f t="shared" ca="1" si="809"/>
        <v>-76</v>
      </c>
      <c r="O84" s="322">
        <f t="shared" ca="1" si="818"/>
        <v>0</v>
      </c>
      <c r="P84" s="328">
        <f t="shared" ca="1" si="1324"/>
        <v>26.87829936156087</v>
      </c>
      <c r="Q84" s="328">
        <f t="shared" ca="1" si="1325"/>
        <v>26.87829936156087</v>
      </c>
      <c r="R84" s="328">
        <f t="shared" ca="1" si="1326"/>
        <v>26.87829936156087</v>
      </c>
      <c r="S84" s="329">
        <f t="shared" ca="1" si="819"/>
        <v>3.8642415640549425E-2</v>
      </c>
      <c r="T84" s="329">
        <f t="shared" ca="1" si="820"/>
        <v>3.8642415640549425E-2</v>
      </c>
      <c r="U84" s="329">
        <f t="shared" ca="1" si="821"/>
        <v>3.8642415640549425E-2</v>
      </c>
      <c r="V84" s="320" t="e">
        <f t="shared" ca="1" si="822"/>
        <v>#REF!</v>
      </c>
      <c r="W84" s="320" t="e">
        <f t="shared" ca="1" si="560"/>
        <v>#REF!</v>
      </c>
      <c r="X84" s="320" t="e">
        <f t="shared" ca="1" si="823"/>
        <v>#REF!</v>
      </c>
      <c r="Y84" s="320" t="e">
        <f ca="1">INDEX(SC_ZA_HECMLumpSum,ZAIDX)</f>
        <v>#REF!</v>
      </c>
      <c r="Z84" s="320" t="e">
        <f t="shared" ca="1" si="824"/>
        <v>#REF!</v>
      </c>
      <c r="AA84" s="320" t="e">
        <f t="shared" ca="1" si="557"/>
        <v>#REF!</v>
      </c>
      <c r="AB84" s="320" t="e">
        <f t="shared" ca="1" si="558"/>
        <v>#REF!</v>
      </c>
      <c r="AC84" s="330" t="e">
        <f t="shared" ca="1" si="559"/>
        <v>#REF!</v>
      </c>
      <c r="AD84" s="236" t="e">
        <f t="shared" ca="1" si="1327"/>
        <v>#REF!</v>
      </c>
      <c r="AE84" s="320" t="e">
        <f t="shared" ca="1" si="561"/>
        <v>#REF!</v>
      </c>
      <c r="AF84" s="320" t="e">
        <f t="shared" ca="1" si="825"/>
        <v>#REF!</v>
      </c>
      <c r="AG84" s="320" t="e">
        <f t="shared" ca="1" si="1328"/>
        <v>#REF!</v>
      </c>
      <c r="AH84" s="284" t="e">
        <f t="shared" ca="1" si="1329"/>
        <v>#REF!</v>
      </c>
      <c r="AI84" s="318" t="e">
        <f t="shared" ca="1" si="1330"/>
        <v>#REF!</v>
      </c>
      <c r="AJ84" s="331">
        <f t="shared" ca="1" si="1346"/>
        <v>1</v>
      </c>
      <c r="AK84" s="220">
        <f t="shared" ca="1" si="826"/>
        <v>1</v>
      </c>
      <c r="AL84" s="220">
        <f t="shared" ca="1" si="827"/>
        <v>0</v>
      </c>
      <c r="AM84" s="235">
        <f t="shared" ca="1" si="1331"/>
        <v>1</v>
      </c>
      <c r="AN84" s="235">
        <f t="shared" ca="1" si="1332"/>
        <v>1</v>
      </c>
      <c r="AO84" s="242">
        <f t="shared" ca="1" si="1333"/>
        <v>1</v>
      </c>
      <c r="AP84" s="241">
        <f t="shared" ca="1" si="1346"/>
        <v>1</v>
      </c>
      <c r="AQ84" s="220">
        <f t="shared" ca="1" si="828"/>
        <v>0.99361699999999997</v>
      </c>
      <c r="AR84" s="220">
        <f t="shared" ca="1" si="829"/>
        <v>0</v>
      </c>
      <c r="AS84" s="235">
        <f t="shared" ca="1" si="830"/>
        <v>0.96001642512077301</v>
      </c>
      <c r="AT84" s="235">
        <f t="shared" ca="1" si="831"/>
        <v>0.96001642512077301</v>
      </c>
      <c r="AU84" s="242">
        <f t="shared" ca="1" si="832"/>
        <v>0.96001642512077301</v>
      </c>
      <c r="AV84" s="241">
        <f t="shared" ca="1" si="1346"/>
        <v>1</v>
      </c>
      <c r="AW84" s="220">
        <f t="shared" ca="1" si="833"/>
        <v>0.99316689149899995</v>
      </c>
      <c r="AX84" s="220">
        <f t="shared" ca="1" si="834"/>
        <v>0</v>
      </c>
      <c r="AY84" s="235">
        <f t="shared" ca="1" si="835"/>
        <v>0.92713192046395487</v>
      </c>
      <c r="AZ84" s="235">
        <f t="shared" ca="1" si="836"/>
        <v>0.92713192046395487</v>
      </c>
      <c r="BA84" s="242">
        <f t="shared" ca="1" si="837"/>
        <v>0.92713192046395487</v>
      </c>
      <c r="BB84" s="241">
        <f t="shared" ca="1" si="1346"/>
        <v>1</v>
      </c>
      <c r="BC84" s="220">
        <f t="shared" ca="1" si="838"/>
        <v>0.99288681843559723</v>
      </c>
      <c r="BD84" s="220">
        <f t="shared" ca="1" si="839"/>
        <v>0</v>
      </c>
      <c r="BE84" s="235">
        <f t="shared" ca="1" si="840"/>
        <v>0.89552702344191704</v>
      </c>
      <c r="BF84" s="235">
        <f t="shared" ca="1" si="841"/>
        <v>0.89552702344191704</v>
      </c>
      <c r="BG84" s="242">
        <f t="shared" ca="1" si="842"/>
        <v>0.89552702344191704</v>
      </c>
      <c r="BH84" s="241">
        <f t="shared" ca="1" si="1346"/>
        <v>1</v>
      </c>
      <c r="BI84" s="220">
        <f t="shared" ca="1" si="843"/>
        <v>0.99265845446735712</v>
      </c>
      <c r="BJ84" s="220">
        <f t="shared" ca="1" si="844"/>
        <v>0</v>
      </c>
      <c r="BK84" s="235">
        <f t="shared" ca="1" si="845"/>
        <v>0.86504449490485558</v>
      </c>
      <c r="BL84" s="235">
        <f t="shared" ca="1" si="846"/>
        <v>0.86504449490485558</v>
      </c>
      <c r="BM84" s="242">
        <f t="shared" ca="1" si="847"/>
        <v>0.86504449490485558</v>
      </c>
      <c r="BN84" s="241">
        <f t="shared" ca="1" si="1346"/>
        <v>1</v>
      </c>
      <c r="BO84" s="220">
        <f t="shared" ca="1" si="848"/>
        <v>0.99249069518855215</v>
      </c>
      <c r="BP84" s="220">
        <f t="shared" ca="1" si="849"/>
        <v>0</v>
      </c>
      <c r="BQ84" s="235">
        <f t="shared" ca="1" si="850"/>
        <v>0.83565053370552345</v>
      </c>
      <c r="BR84" s="235">
        <f t="shared" ca="1" si="851"/>
        <v>0.83565053370552345</v>
      </c>
      <c r="BS84" s="242">
        <f t="shared" ca="1" si="852"/>
        <v>0.83565053370552345</v>
      </c>
      <c r="BT84" s="241">
        <f t="shared" ca="1" si="1346"/>
        <v>1</v>
      </c>
      <c r="BU84" s="220">
        <f t="shared" ca="1" si="853"/>
        <v>0.99233685913079794</v>
      </c>
      <c r="BV84" s="220">
        <f t="shared" ca="1" si="854"/>
        <v>0</v>
      </c>
      <c r="BW84" s="235">
        <f t="shared" ca="1" si="855"/>
        <v>0.80726667427323584</v>
      </c>
      <c r="BX84" s="235">
        <f t="shared" ca="1" si="856"/>
        <v>0.80726667427323584</v>
      </c>
      <c r="BY84" s="242">
        <f t="shared" ca="1" si="857"/>
        <v>0.80726667427323584</v>
      </c>
      <c r="BZ84" s="241">
        <f t="shared" ca="1" si="1346"/>
        <v>1</v>
      </c>
      <c r="CA84" s="220">
        <f t="shared" ca="1" si="858"/>
        <v>0.992192970286224</v>
      </c>
      <c r="CB84" s="220">
        <f t="shared" ca="1" si="859"/>
        <v>0</v>
      </c>
      <c r="CC84" s="235">
        <f t="shared" ca="1" si="860"/>
        <v>0.7798547058990013</v>
      </c>
      <c r="CD84" s="235">
        <f t="shared" ca="1" si="861"/>
        <v>0.7798547058990013</v>
      </c>
      <c r="CE84" s="242">
        <f t="shared" ca="1" si="862"/>
        <v>0.7798547058990013</v>
      </c>
      <c r="CF84" s="241">
        <f t="shared" ca="1" si="1346"/>
        <v>1</v>
      </c>
      <c r="CG84" s="220">
        <f t="shared" ca="1" si="863"/>
        <v>0.9920590242352354</v>
      </c>
      <c r="CH84" s="220">
        <f t="shared" ca="1" si="864"/>
        <v>0</v>
      </c>
      <c r="CI84" s="235">
        <f t="shared" ca="1" si="865"/>
        <v>0.75338108745285515</v>
      </c>
      <c r="CJ84" s="235">
        <f t="shared" ca="1" si="866"/>
        <v>0.75338108745285515</v>
      </c>
      <c r="CK84" s="242">
        <f t="shared" ca="1" si="867"/>
        <v>0.75338108745285515</v>
      </c>
      <c r="CL84" s="241">
        <f t="shared" ca="1" si="1346"/>
        <v>1</v>
      </c>
      <c r="CM84" s="220">
        <f t="shared" ca="1" si="868"/>
        <v>0.99193997715232718</v>
      </c>
      <c r="CN84" s="220">
        <f t="shared" ca="1" si="869"/>
        <v>0</v>
      </c>
      <c r="CO84" s="235">
        <f t="shared" ca="1" si="870"/>
        <v>0.72781708378972065</v>
      </c>
      <c r="CP84" s="235">
        <f t="shared" ca="1" si="871"/>
        <v>0.72781708378972065</v>
      </c>
      <c r="CQ84" s="242">
        <f t="shared" ca="1" si="872"/>
        <v>0.72781708378972065</v>
      </c>
      <c r="CR84" s="241">
        <f t="shared" ca="1" si="1346"/>
        <v>1</v>
      </c>
      <c r="CS84" s="220">
        <f t="shared" ca="1" si="873"/>
        <v>0.99183582345472621</v>
      </c>
      <c r="CT84" s="220">
        <f t="shared" ca="1" si="874"/>
        <v>0</v>
      </c>
      <c r="CU84" s="235">
        <f t="shared" ca="1" si="875"/>
        <v>0.70313107535837949</v>
      </c>
      <c r="CV84" s="235">
        <f t="shared" ca="1" si="876"/>
        <v>0.70313107535837949</v>
      </c>
      <c r="CW84" s="242">
        <f t="shared" ca="1" si="877"/>
        <v>0.70313107535837949</v>
      </c>
      <c r="CX84" s="241">
        <f t="shared" ca="1" si="1340"/>
        <v>1</v>
      </c>
      <c r="CY84" s="220">
        <f t="shared" ca="1" si="878"/>
        <v>0.99174259088732142</v>
      </c>
      <c r="CZ84" s="220">
        <f t="shared" ca="1" si="879"/>
        <v>0</v>
      </c>
      <c r="DA84" s="235">
        <f t="shared" ca="1" si="880"/>
        <v>0.6792898367510104</v>
      </c>
      <c r="DB84" s="235">
        <f t="shared" ca="1" si="881"/>
        <v>0.6792898367510104</v>
      </c>
      <c r="DC84" s="242">
        <f t="shared" ca="1" si="882"/>
        <v>0.6792898367510104</v>
      </c>
      <c r="DD84" s="241">
        <f t="shared" ca="1" si="1340"/>
        <v>1</v>
      </c>
      <c r="DE84" s="220">
        <f t="shared" ca="1" si="883"/>
        <v>0.99164440837082357</v>
      </c>
      <c r="DF84" s="220">
        <f t="shared" ca="1" si="884"/>
        <v>0</v>
      </c>
      <c r="DG84" s="235">
        <f t="shared" ca="1" si="885"/>
        <v>0.65625370730161559</v>
      </c>
      <c r="DH84" s="235">
        <f t="shared" ca="1" si="886"/>
        <v>0.65625370730161559</v>
      </c>
      <c r="DI84" s="242">
        <f t="shared" ca="1" si="887"/>
        <v>0.65625370730161559</v>
      </c>
      <c r="DJ84" s="241">
        <f t="shared" ca="1" si="888"/>
        <v>1</v>
      </c>
      <c r="DK84" s="220">
        <f t="shared" ca="1" si="889"/>
        <v>0.9915115280201019</v>
      </c>
      <c r="DL84" s="220">
        <f t="shared" ca="1" si="890"/>
        <v>0</v>
      </c>
      <c r="DM84" s="235">
        <f t="shared" ca="1" si="891"/>
        <v>0.63397658870032592</v>
      </c>
      <c r="DN84" s="235">
        <f t="shared" ca="1" si="892"/>
        <v>0.63397658870032592</v>
      </c>
      <c r="DO84" s="242">
        <f t="shared" ca="1" si="893"/>
        <v>0.63397658870032592</v>
      </c>
      <c r="DP84" s="241">
        <f t="shared" ca="1" si="888"/>
        <v>1</v>
      </c>
      <c r="DQ84" s="220">
        <f t="shared" ca="1" si="894"/>
        <v>0.99130628513380181</v>
      </c>
      <c r="DR84" s="220">
        <f t="shared" ca="1" si="895"/>
        <v>0</v>
      </c>
      <c r="DS84" s="235">
        <f t="shared" ca="1" si="896"/>
        <v>0.61241097154247814</v>
      </c>
      <c r="DT84" s="235">
        <f t="shared" ca="1" si="897"/>
        <v>0.61241097154247814</v>
      </c>
      <c r="DU84" s="242">
        <f t="shared" ca="1" si="898"/>
        <v>0.61241097154247814</v>
      </c>
      <c r="DV84" s="241">
        <f t="shared" ca="1" si="888"/>
        <v>1</v>
      </c>
      <c r="DW84" s="220">
        <f t="shared" ca="1" si="899"/>
        <v>0.9909999714916955</v>
      </c>
      <c r="DX84" s="220">
        <f t="shared" ca="1" si="900"/>
        <v>0</v>
      </c>
      <c r="DY84" s="235">
        <f t="shared" ca="1" si="901"/>
        <v>0.59151858604084218</v>
      </c>
      <c r="DZ84" s="235">
        <f t="shared" ca="1" si="902"/>
        <v>0.59151858604084218</v>
      </c>
      <c r="EA84" s="242">
        <f t="shared" ca="1" si="903"/>
        <v>0.59151858604084218</v>
      </c>
      <c r="EB84" s="241">
        <f t="shared" ca="1" si="888"/>
        <v>1</v>
      </c>
      <c r="EC84" s="220">
        <f t="shared" ca="1" si="904"/>
        <v>0.99058474250364048</v>
      </c>
      <c r="ED84" s="220">
        <f t="shared" ca="1" si="905"/>
        <v>0</v>
      </c>
      <c r="EE84" s="235">
        <f t="shared" ca="1" si="906"/>
        <v>0.57127607705632</v>
      </c>
      <c r="EF84" s="235">
        <f t="shared" ca="1" si="907"/>
        <v>0.57127607705632</v>
      </c>
      <c r="EG84" s="242">
        <f t="shared" ca="1" si="908"/>
        <v>0.57127607705632</v>
      </c>
      <c r="EH84" s="241">
        <f t="shared" ca="1" si="888"/>
        <v>1</v>
      </c>
      <c r="EI84" s="220">
        <f t="shared" ca="1" si="909"/>
        <v>0.99005973259011348</v>
      </c>
      <c r="EJ84" s="220">
        <f t="shared" ca="1" si="910"/>
        <v>0</v>
      </c>
      <c r="EK84" s="235">
        <f t="shared" ca="1" si="911"/>
        <v>0.55166502486519819</v>
      </c>
      <c r="EL84" s="235">
        <f t="shared" ca="1" si="912"/>
        <v>0.55166502486519819</v>
      </c>
      <c r="EM84" s="242">
        <f t="shared" ca="1" si="913"/>
        <v>0.55166502486519819</v>
      </c>
      <c r="EN84" s="241">
        <f t="shared" ca="1" si="888"/>
        <v>1</v>
      </c>
      <c r="EO84" s="220">
        <f t="shared" ca="1" si="914"/>
        <v>0.98941124346526699</v>
      </c>
      <c r="EP84" s="220">
        <f t="shared" ca="1" si="915"/>
        <v>0</v>
      </c>
      <c r="EQ84" s="235">
        <f t="shared" ca="1" si="916"/>
        <v>0.53266056451585653</v>
      </c>
      <c r="ER84" s="235">
        <f t="shared" ca="1" si="917"/>
        <v>0.53266056451585653</v>
      </c>
      <c r="ES84" s="242">
        <f t="shared" ca="1" si="918"/>
        <v>0.53266056451585653</v>
      </c>
      <c r="ET84" s="241">
        <f t="shared" ca="1" si="888"/>
        <v>1</v>
      </c>
      <c r="EU84" s="220">
        <f t="shared" ca="1" si="919"/>
        <v>0.98862861917168599</v>
      </c>
      <c r="EV84" s="220">
        <f t="shared" ca="1" si="920"/>
        <v>0</v>
      </c>
      <c r="EW84" s="235">
        <f t="shared" ca="1" si="921"/>
        <v>0.51424080194137645</v>
      </c>
      <c r="EX84" s="235">
        <f t="shared" ca="1" si="922"/>
        <v>0.51424080194137645</v>
      </c>
      <c r="EY84" s="242">
        <f t="shared" ca="1" si="923"/>
        <v>0.51424080194137645</v>
      </c>
      <c r="EZ84" s="241">
        <f t="shared" ca="1" si="888"/>
        <v>1</v>
      </c>
      <c r="FA84" s="220">
        <f t="shared" ca="1" si="924"/>
        <v>0.98770524004137961</v>
      </c>
      <c r="FB84" s="220">
        <f t="shared" ca="1" si="925"/>
        <v>0</v>
      </c>
      <c r="FC84" s="235">
        <f t="shared" ca="1" si="926"/>
        <v>0.49638695751919149</v>
      </c>
      <c r="FD84" s="235">
        <f t="shared" ca="1" si="927"/>
        <v>0.49638695751919149</v>
      </c>
      <c r="FE84" s="242">
        <f t="shared" ca="1" si="928"/>
        <v>0.49638695751919149</v>
      </c>
      <c r="FF84" s="241">
        <f t="shared" ca="1" si="888"/>
        <v>1</v>
      </c>
      <c r="FG84" s="220">
        <f t="shared" ca="1" si="929"/>
        <v>0.98663357985593469</v>
      </c>
      <c r="FH84" s="220">
        <f t="shared" ca="1" si="930"/>
        <v>0</v>
      </c>
      <c r="FI84" s="235">
        <f t="shared" ca="1" si="931"/>
        <v>0.4790805581355394</v>
      </c>
      <c r="FJ84" s="235">
        <f t="shared" ca="1" si="932"/>
        <v>0.4790805581355394</v>
      </c>
      <c r="FK84" s="242">
        <f t="shared" ca="1" si="933"/>
        <v>0.4790805581355394</v>
      </c>
      <c r="FL84" s="241">
        <f t="shared" ca="1" si="888"/>
        <v>1</v>
      </c>
      <c r="FM84" s="220">
        <f t="shared" ca="1" si="934"/>
        <v>0.98542199381987161</v>
      </c>
      <c r="FN84" s="220">
        <f t="shared" ca="1" si="935"/>
        <v>0</v>
      </c>
      <c r="FO84" s="235">
        <f t="shared" ca="1" si="936"/>
        <v>0.46231134996149653</v>
      </c>
      <c r="FP84" s="235">
        <f t="shared" ca="1" si="937"/>
        <v>0.46231134996149653</v>
      </c>
      <c r="FQ84" s="242">
        <f t="shared" ca="1" si="938"/>
        <v>0.46231134996149653</v>
      </c>
      <c r="FR84" s="241">
        <f t="shared" ca="1" si="888"/>
        <v>1</v>
      </c>
      <c r="FS84" s="220">
        <f t="shared" ca="1" si="939"/>
        <v>0.98410251377014679</v>
      </c>
      <c r="FT84" s="220">
        <f t="shared" ca="1" si="940"/>
        <v>0</v>
      </c>
      <c r="FU84" s="235">
        <f t="shared" ca="1" si="941"/>
        <v>0.44607953146270346</v>
      </c>
      <c r="FV84" s="235">
        <f t="shared" ca="1" si="942"/>
        <v>0.44607953146270346</v>
      </c>
      <c r="FW84" s="242">
        <f t="shared" ca="1" si="943"/>
        <v>0.44607953146270346</v>
      </c>
      <c r="FX84" s="241">
        <f t="shared" ca="1" si="801"/>
        <v>1</v>
      </c>
      <c r="FY84" s="220">
        <f t="shared" ca="1" si="944"/>
        <v>0.98272181794332725</v>
      </c>
      <c r="FZ84" s="220">
        <f t="shared" ca="1" si="945"/>
        <v>0</v>
      </c>
      <c r="GA84" s="235">
        <f t="shared" ca="1" si="946"/>
        <v>0.43039003080199167</v>
      </c>
      <c r="GB84" s="235">
        <f t="shared" ca="1" si="947"/>
        <v>0.43039003080199167</v>
      </c>
      <c r="GC84" s="242">
        <f t="shared" ca="1" si="948"/>
        <v>0.43039003080199167</v>
      </c>
      <c r="GD84" s="241">
        <f t="shared" ca="1" si="795"/>
        <v>1</v>
      </c>
      <c r="GE84" s="220">
        <f t="shared" ca="1" si="949"/>
        <v>0.98131357757821447</v>
      </c>
      <c r="GF84" s="220">
        <f t="shared" ca="1" si="950"/>
        <v>0</v>
      </c>
      <c r="GG84" s="235">
        <f t="shared" ca="1" si="951"/>
        <v>0.41523988588198307</v>
      </c>
      <c r="GH84" s="235">
        <f t="shared" ca="1" si="952"/>
        <v>0.41523988588198307</v>
      </c>
      <c r="GI84" s="242">
        <f t="shared" ca="1" si="953"/>
        <v>0.41523988588198307</v>
      </c>
      <c r="GJ84" s="241">
        <f t="shared" ca="1" si="795"/>
        <v>1</v>
      </c>
      <c r="GK84" s="220">
        <f t="shared" ca="1" si="954"/>
        <v>0.97988969157714845</v>
      </c>
      <c r="GL84" s="220">
        <f t="shared" ca="1" si="955"/>
        <v>0</v>
      </c>
      <c r="GM84" s="235">
        <f t="shared" ca="1" si="956"/>
        <v>0.40061581913774713</v>
      </c>
      <c r="GN84" s="235">
        <f t="shared" ca="1" si="957"/>
        <v>0.40061581913774713</v>
      </c>
      <c r="GO84" s="242">
        <f t="shared" ca="1" si="958"/>
        <v>0.40061581913774713</v>
      </c>
      <c r="GP84" s="241">
        <f t="shared" ca="1" si="1341"/>
        <v>1</v>
      </c>
      <c r="GQ84" s="220">
        <f t="shared" ca="1" si="959"/>
        <v>0.9784443542820721</v>
      </c>
      <c r="GR84" s="220">
        <f t="shared" ca="1" si="960"/>
        <v>0</v>
      </c>
      <c r="GS84" s="235">
        <f t="shared" ca="1" si="961"/>
        <v>0.38649749836185404</v>
      </c>
      <c r="GT84" s="235">
        <f t="shared" ca="1" si="962"/>
        <v>0.38649749836185404</v>
      </c>
      <c r="GU84" s="242">
        <f t="shared" ca="1" si="963"/>
        <v>0.38649749836185404</v>
      </c>
      <c r="GV84" s="241">
        <f t="shared" ca="1" si="1341"/>
        <v>1</v>
      </c>
      <c r="GW84" s="220">
        <f t="shared" ca="1" si="964"/>
        <v>0.97697473086194042</v>
      </c>
      <c r="GX84" s="220">
        <f t="shared" ca="1" si="965"/>
        <v>0</v>
      </c>
      <c r="GY84" s="235">
        <f t="shared" ca="1" si="966"/>
        <v>0.37286664649209134</v>
      </c>
      <c r="GZ84" s="235">
        <f t="shared" ca="1" si="967"/>
        <v>0.37286664649209134</v>
      </c>
      <c r="HA84" s="242">
        <f t="shared" ca="1" si="968"/>
        <v>0.37286664649209134</v>
      </c>
      <c r="HB84" s="241">
        <f t="shared" ca="1" si="1341"/>
        <v>1</v>
      </c>
      <c r="HC84" s="220">
        <f t="shared" ca="1" si="969"/>
        <v>0.97547214372587476</v>
      </c>
      <c r="HD84" s="220">
        <f t="shared" ca="1" si="970"/>
        <v>0</v>
      </c>
      <c r="HE84" s="235">
        <f t="shared" ca="1" si="971"/>
        <v>0.35970355322684694</v>
      </c>
      <c r="HF84" s="235">
        <f t="shared" ca="1" si="972"/>
        <v>0.35970355322684694</v>
      </c>
      <c r="HG84" s="242">
        <f t="shared" ca="1" si="973"/>
        <v>0.35970355322684694</v>
      </c>
      <c r="HH84" s="241">
        <f t="shared" ca="1" si="1341"/>
        <v>1</v>
      </c>
      <c r="HI84" s="220">
        <f t="shared" ca="1" si="974"/>
        <v>0.9739299222666441</v>
      </c>
      <c r="HJ84" s="220">
        <f t="shared" ca="1" si="975"/>
        <v>0</v>
      </c>
      <c r="HK84" s="235">
        <f t="shared" ca="1" si="976"/>
        <v>0.34699020474318382</v>
      </c>
      <c r="HL84" s="235">
        <f t="shared" ca="1" si="977"/>
        <v>0.34699020474318382</v>
      </c>
      <c r="HM84" s="242">
        <f t="shared" ca="1" si="978"/>
        <v>0.34699020474318382</v>
      </c>
      <c r="HN84" s="241">
        <f t="shared" ca="1" si="1341"/>
        <v>1</v>
      </c>
      <c r="HO84" s="220">
        <f t="shared" ca="1" si="979"/>
        <v>0.97234631221303847</v>
      </c>
      <c r="HP84" s="220">
        <f t="shared" ca="1" si="980"/>
        <v>0</v>
      </c>
      <c r="HQ84" s="235">
        <f t="shared" ca="1" si="981"/>
        <v>0.33471110982634922</v>
      </c>
      <c r="HR84" s="235">
        <f t="shared" ca="1" si="982"/>
        <v>0.33471110982634922</v>
      </c>
      <c r="HS84" s="242">
        <f t="shared" ca="1" si="983"/>
        <v>0.33471110982634922</v>
      </c>
      <c r="HT84" s="241">
        <f t="shared" ca="1" si="1341"/>
        <v>1</v>
      </c>
      <c r="HU84" s="220">
        <f t="shared" ca="1" si="984"/>
        <v>0.97072346621795491</v>
      </c>
      <c r="HV84" s="220">
        <f t="shared" ca="1" si="985"/>
        <v>0</v>
      </c>
      <c r="HW84" s="235">
        <f t="shared" ca="1" si="986"/>
        <v>0.32285263476719722</v>
      </c>
      <c r="HX84" s="235">
        <f t="shared" ca="1" si="987"/>
        <v>0.32285263476719722</v>
      </c>
      <c r="HY84" s="242">
        <f t="shared" ca="1" si="988"/>
        <v>0.32285263476719722</v>
      </c>
      <c r="HZ84" s="241">
        <f t="shared" ca="1" si="1341"/>
        <v>1</v>
      </c>
      <c r="IA84" s="220">
        <f t="shared" ca="1" si="989"/>
        <v>0.96906158764378969</v>
      </c>
      <c r="IB84" s="220">
        <f t="shared" ca="1" si="990"/>
        <v>0</v>
      </c>
      <c r="IC84" s="235">
        <f t="shared" ca="1" si="991"/>
        <v>0.31140088024780266</v>
      </c>
      <c r="ID84" s="235">
        <f t="shared" ca="1" si="992"/>
        <v>0.31140088024780266</v>
      </c>
      <c r="IE84" s="242">
        <f t="shared" ca="1" si="993"/>
        <v>0.31140088024780266</v>
      </c>
      <c r="IF84" s="241">
        <f t="shared" ca="1" si="1341"/>
        <v>1</v>
      </c>
      <c r="IG84" s="220">
        <f t="shared" ca="1" si="994"/>
        <v>0.96736088455747493</v>
      </c>
      <c r="IH84" s="220">
        <f t="shared" ca="1" si="995"/>
        <v>0</v>
      </c>
      <c r="II84" s="235">
        <f t="shared" ca="1" si="996"/>
        <v>0.30034238811880948</v>
      </c>
      <c r="IJ84" s="235">
        <f t="shared" ca="1" si="997"/>
        <v>0.30034238811880948</v>
      </c>
      <c r="IK84" s="242">
        <f t="shared" ca="1" si="998"/>
        <v>0.30034238811880948</v>
      </c>
      <c r="IL84" s="241">
        <f t="shared" ca="1" si="1341"/>
        <v>1</v>
      </c>
      <c r="IM84" s="220">
        <f t="shared" ca="1" si="999"/>
        <v>0.96561963496527148</v>
      </c>
      <c r="IN84" s="220">
        <f t="shared" ca="1" si="1000"/>
        <v>0</v>
      </c>
      <c r="IO84" s="235">
        <f t="shared" ca="1" si="1001"/>
        <v>0.28966354765236296</v>
      </c>
      <c r="IP84" s="235">
        <f t="shared" ca="1" si="1002"/>
        <v>0.28966354765236296</v>
      </c>
      <c r="IQ84" s="242">
        <f t="shared" ca="1" si="1003"/>
        <v>0.28966354765236296</v>
      </c>
      <c r="IR84" s="241">
        <f t="shared" ca="1" si="1341"/>
        <v>1</v>
      </c>
      <c r="IS84" s="220">
        <f t="shared" ca="1" si="1004"/>
        <v>0.96382841054241086</v>
      </c>
      <c r="IT84" s="220">
        <f t="shared" ca="1" si="1005"/>
        <v>0</v>
      </c>
      <c r="IU84" s="235">
        <f t="shared" ca="1" si="1006"/>
        <v>0.27934900654248102</v>
      </c>
      <c r="IV84" s="235">
        <f t="shared" ca="1" si="1007"/>
        <v>0.27934900654248102</v>
      </c>
      <c r="IW84" s="242">
        <f t="shared" ca="1" si="1008"/>
        <v>0.27934900654248102</v>
      </c>
      <c r="IX84" s="241">
        <f t="shared" ca="1" si="1341"/>
        <v>1</v>
      </c>
      <c r="IY84" s="220">
        <f t="shared" ca="1" si="1009"/>
        <v>0.9619778599941694</v>
      </c>
      <c r="IZ84" s="220">
        <f t="shared" ca="1" si="1010"/>
        <v>0</v>
      </c>
      <c r="JA84" s="235">
        <f t="shared" ca="1" si="1011"/>
        <v>0.26938420913035699</v>
      </c>
      <c r="JB84" s="235">
        <f t="shared" ca="1" si="1012"/>
        <v>0.26938420913035699</v>
      </c>
      <c r="JC84" s="242">
        <f t="shared" ca="1" si="1013"/>
        <v>0.26938420913035699</v>
      </c>
      <c r="JD84" s="241">
        <f t="shared" ca="1" si="1336"/>
        <v>1</v>
      </c>
      <c r="JE84" s="220">
        <f t="shared" ca="1" si="1014"/>
        <v>0.96006544800850102</v>
      </c>
      <c r="JF84" s="220">
        <f t="shared" ca="1" si="1015"/>
        <v>0</v>
      </c>
      <c r="JG84" s="235">
        <f t="shared" ca="1" si="1016"/>
        <v>0.25975717229237277</v>
      </c>
      <c r="JH84" s="235">
        <f t="shared" ca="1" si="1017"/>
        <v>0.25975717229237277</v>
      </c>
      <c r="JI84" s="242">
        <f t="shared" ca="1" si="1018"/>
        <v>0.25975717229237277</v>
      </c>
      <c r="JJ84" s="241">
        <f t="shared" ca="1" si="1336"/>
        <v>1</v>
      </c>
      <c r="JK84" s="220">
        <f t="shared" ca="1" si="1019"/>
        <v>0.9580877131856036</v>
      </c>
      <c r="JL84" s="220">
        <f t="shared" ca="1" si="1020"/>
        <v>0</v>
      </c>
      <c r="JM84" s="235">
        <f t="shared" ca="1" si="1021"/>
        <v>0.25045610871251262</v>
      </c>
      <c r="JN84" s="235">
        <f t="shared" ca="1" si="1022"/>
        <v>0.25045610871251262</v>
      </c>
      <c r="JO84" s="242">
        <f t="shared" ca="1" si="1023"/>
        <v>0.25045610871251262</v>
      </c>
      <c r="JP84" s="241">
        <f t="shared" ca="1" si="1342"/>
        <v>1</v>
      </c>
      <c r="JQ84" s="220">
        <f t="shared" ca="1" si="1024"/>
        <v>0.95603644739167326</v>
      </c>
      <c r="JR84" s="220">
        <f t="shared" ca="1" si="1025"/>
        <v>0</v>
      </c>
      <c r="JS84" s="235">
        <f t="shared" ca="1" si="1026"/>
        <v>0.24146848520169967</v>
      </c>
      <c r="JT84" s="235">
        <f t="shared" ca="1" si="1027"/>
        <v>0.24146848520169967</v>
      </c>
      <c r="JU84" s="242">
        <f t="shared" ca="1" si="1028"/>
        <v>0.24146848520169967</v>
      </c>
      <c r="JV84" s="241">
        <f t="shared" ca="1" si="1342"/>
        <v>1</v>
      </c>
      <c r="JW84" s="220">
        <f t="shared" ca="1" si="1029"/>
        <v>0.95389492574951584</v>
      </c>
      <c r="JX84" s="220">
        <f t="shared" ca="1" si="1030"/>
        <v>0</v>
      </c>
      <c r="JY84" s="235">
        <f t="shared" ca="1" si="1031"/>
        <v>0.23278028579212359</v>
      </c>
      <c r="JZ84" s="235">
        <f t="shared" ca="1" si="1032"/>
        <v>0.23278028579212359</v>
      </c>
      <c r="KA84" s="242">
        <f t="shared" ca="1" si="1033"/>
        <v>0.23278028579212359</v>
      </c>
      <c r="KB84" s="241">
        <f t="shared" ca="1" si="1342"/>
        <v>1</v>
      </c>
      <c r="KC84" s="220">
        <f t="shared" ca="1" si="1034"/>
        <v>0.95164182593489555</v>
      </c>
      <c r="KD84" s="220">
        <f t="shared" ca="1" si="1035"/>
        <v>0</v>
      </c>
      <c r="KE84" s="235">
        <f t="shared" ca="1" si="1036"/>
        <v>0.22437725483776094</v>
      </c>
      <c r="KF84" s="235">
        <f t="shared" ca="1" si="1037"/>
        <v>0.22437725483776094</v>
      </c>
      <c r="KG84" s="242">
        <f t="shared" ca="1" si="1038"/>
        <v>0.22437725483776094</v>
      </c>
      <c r="KH84" s="241">
        <f t="shared" ca="1" si="1342"/>
        <v>1</v>
      </c>
      <c r="KI84" s="220">
        <f t="shared" ca="1" si="1039"/>
        <v>0.94925415659362489</v>
      </c>
      <c r="KJ84" s="220">
        <f t="shared" ca="1" si="1040"/>
        <v>0</v>
      </c>
      <c r="KK84" s="235">
        <f t="shared" ca="1" si="1041"/>
        <v>0.21624569304866956</v>
      </c>
      <c r="KL84" s="235">
        <f t="shared" ca="1" si="1042"/>
        <v>0.21624569304866956</v>
      </c>
      <c r="KM84" s="242">
        <f t="shared" ca="1" si="1043"/>
        <v>0.21624569304866956</v>
      </c>
      <c r="KN84" s="241">
        <f t="shared" ca="1" si="1342"/>
        <v>1</v>
      </c>
      <c r="KO84" s="220">
        <f t="shared" ca="1" si="1044"/>
        <v>0.94670635843732753</v>
      </c>
      <c r="KP84" s="220">
        <f t="shared" ca="1" si="1045"/>
        <v>0</v>
      </c>
      <c r="KQ84" s="235">
        <f t="shared" ca="1" si="1046"/>
        <v>0.2083722604913304</v>
      </c>
      <c r="KR84" s="235">
        <f t="shared" ca="1" si="1047"/>
        <v>0.2083722604913304</v>
      </c>
      <c r="KS84" s="242">
        <f t="shared" ca="1" si="1048"/>
        <v>0.2083722604913304</v>
      </c>
      <c r="KT84" s="241">
        <f t="shared" ca="1" si="1342"/>
        <v>1</v>
      </c>
      <c r="KU84" s="220">
        <f t="shared" ca="1" si="1049"/>
        <v>0.94397037706144371</v>
      </c>
      <c r="KV84" s="220">
        <f t="shared" ca="1" si="1050"/>
        <v>0</v>
      </c>
      <c r="KW84" s="235">
        <f t="shared" ca="1" si="1051"/>
        <v>0.20074402382464779</v>
      </c>
      <c r="KX84" s="235">
        <f t="shared" ca="1" si="1052"/>
        <v>0.20074402382464779</v>
      </c>
      <c r="KY84" s="242">
        <f t="shared" ca="1" si="1053"/>
        <v>0.20074402382464779</v>
      </c>
      <c r="KZ84" s="241">
        <f t="shared" ca="1" si="1342"/>
        <v>1</v>
      </c>
      <c r="LA84" s="220">
        <f t="shared" ca="1" si="1054"/>
        <v>0.94102424551463493</v>
      </c>
      <c r="LB84" s="220">
        <f t="shared" ca="1" si="1055"/>
        <v>0</v>
      </c>
      <c r="LC84" s="235">
        <f t="shared" ca="1" si="1056"/>
        <v>0.19335024321380778</v>
      </c>
      <c r="LD84" s="235">
        <f t="shared" ca="1" si="1057"/>
        <v>0.19335024321380778</v>
      </c>
      <c r="LE84" s="242">
        <f t="shared" ca="1" si="1058"/>
        <v>0.19335024321380778</v>
      </c>
      <c r="LF84" s="241">
        <f t="shared" ca="1" si="1342"/>
        <v>1</v>
      </c>
      <c r="LG84" s="220">
        <f t="shared" ca="1" si="1059"/>
        <v>0.93783793741932242</v>
      </c>
      <c r="LH84" s="220">
        <f t="shared" ca="1" si="1060"/>
        <v>0</v>
      </c>
      <c r="LI84" s="235">
        <f t="shared" ca="1" si="1061"/>
        <v>0.18617928433844047</v>
      </c>
      <c r="LJ84" s="235">
        <f t="shared" ca="1" si="1062"/>
        <v>0.18617928433844047</v>
      </c>
      <c r="LK84" s="242">
        <f t="shared" ca="1" si="1063"/>
        <v>0.18617928433844047</v>
      </c>
      <c r="LL84" s="241">
        <f t="shared" ca="1" si="1342"/>
        <v>1</v>
      </c>
      <c r="LM84" s="220">
        <f t="shared" ca="1" si="1064"/>
        <v>0.93436137218530901</v>
      </c>
      <c r="LN84" s="220">
        <f t="shared" ca="1" si="1065"/>
        <v>0</v>
      </c>
      <c r="LO84" s="235">
        <f t="shared" ca="1" si="1066"/>
        <v>0.17921653887091585</v>
      </c>
      <c r="LP84" s="235">
        <f t="shared" ca="1" si="1067"/>
        <v>0.17921653887091585</v>
      </c>
      <c r="LQ84" s="242">
        <f t="shared" ca="1" si="1068"/>
        <v>0.17921653887091585</v>
      </c>
      <c r="LR84" s="241">
        <f t="shared" ca="1" si="1342"/>
        <v>1</v>
      </c>
      <c r="LS84" s="220">
        <f t="shared" ca="1" si="1069"/>
        <v>0.93053889981169891</v>
      </c>
      <c r="LT84" s="220">
        <f t="shared" ca="1" si="1070"/>
        <v>0</v>
      </c>
      <c r="LU84" s="235">
        <f t="shared" ca="1" si="1071"/>
        <v>0.17244769469603377</v>
      </c>
      <c r="LV84" s="235">
        <f t="shared" ca="1" si="1072"/>
        <v>0.17244769469603377</v>
      </c>
      <c r="LW84" s="242">
        <f t="shared" ca="1" si="1073"/>
        <v>0.17244769469603377</v>
      </c>
      <c r="LX84" s="241">
        <f t="shared" ca="1" si="1342"/>
        <v>1</v>
      </c>
      <c r="LY84" s="220">
        <f t="shared" ca="1" si="1074"/>
        <v>0.92632262805665211</v>
      </c>
      <c r="LZ84" s="220">
        <f t="shared" ca="1" si="1075"/>
        <v>0</v>
      </c>
      <c r="MA84" s="235">
        <f t="shared" ca="1" si="1076"/>
        <v>0.16586119245542613</v>
      </c>
      <c r="MB84" s="235">
        <f t="shared" ca="1" si="1077"/>
        <v>0.16586119245542613</v>
      </c>
      <c r="MC84" s="242">
        <f t="shared" ca="1" si="1078"/>
        <v>0.16586119245542613</v>
      </c>
      <c r="MD84" s="241">
        <f t="shared" ca="1" si="1337"/>
        <v>1</v>
      </c>
      <c r="ME84" s="220">
        <f t="shared" ca="1" si="1079"/>
        <v>0.92167897272220412</v>
      </c>
      <c r="MF84" s="220">
        <f t="shared" ca="1" si="1080"/>
        <v>0</v>
      </c>
      <c r="MG84" s="235">
        <f t="shared" ca="1" si="1081"/>
        <v>0.15944901478033538</v>
      </c>
      <c r="MH84" s="235">
        <f t="shared" ca="1" si="1082"/>
        <v>0.15944901478033538</v>
      </c>
      <c r="MI84" s="242">
        <f t="shared" ca="1" si="1083"/>
        <v>0.15944901478033538</v>
      </c>
      <c r="MJ84" s="241">
        <f t="shared" ca="1" si="1337"/>
        <v>1</v>
      </c>
      <c r="MK84" s="220">
        <f t="shared" ca="1" si="1084"/>
        <v>0.91658761807688671</v>
      </c>
      <c r="ML84" s="220">
        <f t="shared" ca="1" si="1085"/>
        <v>0</v>
      </c>
      <c r="MM84" s="235">
        <f t="shared" ca="1" si="1086"/>
        <v>0.15320600813786359</v>
      </c>
      <c r="MN84" s="235">
        <f t="shared" ca="1" si="1087"/>
        <v>0.15320600813786359</v>
      </c>
      <c r="MO84" s="242">
        <f t="shared" ca="1" si="1088"/>
        <v>0.15320600813786359</v>
      </c>
      <c r="MP84" s="241">
        <f t="shared" ca="1" si="1343"/>
        <v>1</v>
      </c>
      <c r="MQ84" s="220">
        <f t="shared" ca="1" si="1089"/>
        <v>0.91103401369895887</v>
      </c>
      <c r="MR84" s="220">
        <f t="shared" ca="1" si="1090"/>
        <v>0</v>
      </c>
      <c r="MS84" s="235">
        <f t="shared" ca="1" si="1091"/>
        <v>0.1471282443812138</v>
      </c>
      <c r="MT84" s="235">
        <f t="shared" ca="1" si="1092"/>
        <v>0.1471282443812138</v>
      </c>
      <c r="MU84" s="242">
        <f t="shared" ca="1" si="1093"/>
        <v>0.1471282443812138</v>
      </c>
      <c r="MV84" s="241">
        <f t="shared" ca="1" si="1343"/>
        <v>1</v>
      </c>
      <c r="MW84" s="220">
        <f t="shared" ca="1" si="1094"/>
        <v>0.90501116783439506</v>
      </c>
      <c r="MX84" s="220">
        <f t="shared" ca="1" si="1095"/>
        <v>0</v>
      </c>
      <c r="MY84" s="235">
        <f t="shared" ca="1" si="1096"/>
        <v>0.14121312034551653</v>
      </c>
      <c r="MZ84" s="235">
        <f t="shared" ca="1" si="1097"/>
        <v>0.14121312034551653</v>
      </c>
      <c r="NA84" s="242">
        <f t="shared" ca="1" si="1098"/>
        <v>0.14121312034551653</v>
      </c>
      <c r="NB84" s="241">
        <f t="shared" ca="1" si="1343"/>
        <v>1</v>
      </c>
      <c r="NC84" s="220">
        <f t="shared" ca="1" si="1099"/>
        <v>0.89850685257116925</v>
      </c>
      <c r="ND84" s="220">
        <f t="shared" ca="1" si="1100"/>
        <v>0</v>
      </c>
      <c r="NE84" s="235">
        <f t="shared" ca="1" si="1101"/>
        <v>0.13545721898511429</v>
      </c>
      <c r="NF84" s="235">
        <f t="shared" ca="1" si="1102"/>
        <v>0.13545721898511429</v>
      </c>
      <c r="NG84" s="242">
        <f t="shared" ca="1" si="1103"/>
        <v>0.13545721898511429</v>
      </c>
      <c r="NH84" s="241">
        <f t="shared" ca="1" si="1343"/>
        <v>1</v>
      </c>
      <c r="NI84" s="220">
        <f t="shared" ca="1" si="1104"/>
        <v>0.89149849912111412</v>
      </c>
      <c r="NJ84" s="220">
        <f t="shared" ca="1" si="1105"/>
        <v>0</v>
      </c>
      <c r="NK84" s="235">
        <f t="shared" ca="1" si="1106"/>
        <v>0.12985570306959462</v>
      </c>
      <c r="NL84" s="235">
        <f t="shared" ca="1" si="1107"/>
        <v>0.12985570306959462</v>
      </c>
      <c r="NM84" s="242">
        <f t="shared" ca="1" si="1108"/>
        <v>0.12985570306959462</v>
      </c>
      <c r="NN84" s="241">
        <f t="shared" ca="1" si="1343"/>
        <v>1</v>
      </c>
      <c r="NO84" s="220">
        <f t="shared" ca="1" si="1109"/>
        <v>0.88395998781254592</v>
      </c>
      <c r="NP84" s="220">
        <f t="shared" ca="1" si="1110"/>
        <v>0</v>
      </c>
      <c r="NQ84" s="235">
        <f t="shared" ca="1" si="1111"/>
        <v>0.12440352004293539</v>
      </c>
      <c r="NR84" s="235">
        <f t="shared" ca="1" si="1112"/>
        <v>0.12440352004293539</v>
      </c>
      <c r="NS84" s="242">
        <f t="shared" ca="1" si="1113"/>
        <v>0.12440352004293539</v>
      </c>
      <c r="NT84" s="241">
        <f t="shared" ca="1" si="1343"/>
        <v>1</v>
      </c>
      <c r="NU84" s="220">
        <f t="shared" ca="1" si="1114"/>
        <v>0.87587705768398794</v>
      </c>
      <c r="NV84" s="220">
        <f t="shared" ca="1" si="1115"/>
        <v>0</v>
      </c>
      <c r="NW84" s="235">
        <f t="shared" ca="1" si="1116"/>
        <v>0.11909755966730703</v>
      </c>
      <c r="NX84" s="235">
        <f t="shared" ca="1" si="1117"/>
        <v>0.11909755966730703</v>
      </c>
      <c r="NY84" s="242">
        <f t="shared" ca="1" si="1118"/>
        <v>0.11909755966730703</v>
      </c>
      <c r="NZ84" s="241">
        <f t="shared" ca="1" si="1343"/>
        <v>1</v>
      </c>
      <c r="OA84" s="220">
        <f t="shared" ca="1" si="1119"/>
        <v>0.86723653050993543</v>
      </c>
      <c r="OB84" s="220">
        <f t="shared" ca="1" si="1120"/>
        <v>0</v>
      </c>
      <c r="OC84" s="235">
        <f t="shared" ca="1" si="1121"/>
        <v>0.11393493936346769</v>
      </c>
      <c r="OD84" s="235">
        <f t="shared" ca="1" si="1122"/>
        <v>0.11393493936346769</v>
      </c>
      <c r="OE84" s="242">
        <f t="shared" ca="1" si="1123"/>
        <v>0.11393493936346769</v>
      </c>
      <c r="OF84" s="241">
        <f t="shared" ca="1" si="1343"/>
        <v>1</v>
      </c>
      <c r="OG84" s="220">
        <f t="shared" ca="1" si="1124"/>
        <v>0.85802474408285889</v>
      </c>
      <c r="OH84" s="220">
        <f t="shared" ca="1" si="1125"/>
        <v>0</v>
      </c>
      <c r="OI84" s="235">
        <f t="shared" ca="1" si="1126"/>
        <v>0.10891277530197965</v>
      </c>
      <c r="OJ84" s="235">
        <f t="shared" ca="1" si="1127"/>
        <v>0.10891277530197965</v>
      </c>
      <c r="OK84" s="242">
        <f t="shared" ca="1" si="1128"/>
        <v>0.10891277530197965</v>
      </c>
      <c r="OL84" s="241">
        <f t="shared" ca="1" si="1343"/>
        <v>1</v>
      </c>
      <c r="OM84" s="220">
        <f t="shared" ca="1" si="1129"/>
        <v>0.84819349656515752</v>
      </c>
      <c r="ON84" s="220">
        <f t="shared" ca="1" si="1130"/>
        <v>0</v>
      </c>
      <c r="OO84" s="235">
        <f t="shared" ca="1" si="1131"/>
        <v>0.10402401229233778</v>
      </c>
      <c r="OP84" s="235">
        <f t="shared" ca="1" si="1132"/>
        <v>0.10402401229233778</v>
      </c>
      <c r="OQ84" s="242">
        <f t="shared" ca="1" si="1133"/>
        <v>0.10402401229233778</v>
      </c>
      <c r="OR84" s="241">
        <f t="shared" ca="1" si="1343"/>
        <v>1</v>
      </c>
      <c r="OS84" s="220">
        <f t="shared" ca="1" si="1134"/>
        <v>0.83771830688257787</v>
      </c>
      <c r="OT84" s="220">
        <f t="shared" ca="1" si="1135"/>
        <v>0</v>
      </c>
      <c r="OU84" s="235">
        <f t="shared" ca="1" si="1136"/>
        <v>9.9265039362828419E-2</v>
      </c>
      <c r="OV84" s="235">
        <f t="shared" ca="1" si="1137"/>
        <v>9.9265039362828419E-2</v>
      </c>
      <c r="OW84" s="242">
        <f t="shared" ca="1" si="1138"/>
        <v>9.9265039362828419E-2</v>
      </c>
      <c r="OX84" s="241">
        <f t="shared" ca="1" si="1343"/>
        <v>1</v>
      </c>
      <c r="OY84" s="220">
        <f t="shared" ca="1" si="1139"/>
        <v>0.82663110509098692</v>
      </c>
      <c r="OZ84" s="220">
        <f t="shared" ca="1" si="1140"/>
        <v>0</v>
      </c>
      <c r="PA84" s="235">
        <f t="shared" ca="1" si="1141"/>
        <v>9.4638904895518239E-2</v>
      </c>
      <c r="PB84" s="235">
        <f t="shared" ca="1" si="1142"/>
        <v>9.4638904895518239E-2</v>
      </c>
      <c r="PC84" s="242">
        <f t="shared" ca="1" si="1143"/>
        <v>9.4638904895518239E-2</v>
      </c>
      <c r="PD84" s="241">
        <f t="shared" ca="1" si="1338"/>
        <v>1</v>
      </c>
      <c r="PE84" s="220">
        <f t="shared" ca="1" si="1144"/>
        <v>0.81497808640251923</v>
      </c>
      <c r="PF84" s="220">
        <f t="shared" ca="1" si="1145"/>
        <v>0</v>
      </c>
      <c r="PG84" s="235">
        <f t="shared" ca="1" si="1146"/>
        <v>9.0149546138363415E-2</v>
      </c>
      <c r="PH84" s="235">
        <f t="shared" ca="1" si="1147"/>
        <v>9.0149546138363415E-2</v>
      </c>
      <c r="PI84" s="242">
        <f t="shared" ca="1" si="1148"/>
        <v>9.0149546138363415E-2</v>
      </c>
      <c r="PJ84" s="241">
        <f t="shared" ca="1" si="1338"/>
        <v>1</v>
      </c>
      <c r="PK84" s="220">
        <f t="shared" ca="1" si="1149"/>
        <v>0.80277052964629592</v>
      </c>
      <c r="PL84" s="220">
        <f t="shared" ca="1" si="1150"/>
        <v>0</v>
      </c>
      <c r="PM84" s="235">
        <f t="shared" ca="1" si="1151"/>
        <v>8.5796324721504238E-2</v>
      </c>
      <c r="PN84" s="235">
        <f t="shared" ca="1" si="1152"/>
        <v>8.5796324721504238E-2</v>
      </c>
      <c r="PO84" s="242">
        <f t="shared" ca="1" si="1153"/>
        <v>8.5796324721504238E-2</v>
      </c>
      <c r="PP84" s="241">
        <f t="shared" ca="1" si="1344"/>
        <v>1</v>
      </c>
      <c r="PQ84" s="220">
        <f t="shared" ca="1" si="1154"/>
        <v>0.78995269259943357</v>
      </c>
      <c r="PR84" s="220">
        <f t="shared" ca="1" si="1155"/>
        <v>0</v>
      </c>
      <c r="PS84" s="235">
        <f t="shared" ca="1" si="1156"/>
        <v>8.1571415270218356E-2</v>
      </c>
      <c r="PT84" s="235">
        <f t="shared" ca="1" si="1157"/>
        <v>8.1571415270218356E-2</v>
      </c>
      <c r="PU84" s="242">
        <f t="shared" ca="1" si="1158"/>
        <v>8.1571415270218356E-2</v>
      </c>
      <c r="PV84" s="241">
        <f t="shared" ca="1" si="1344"/>
        <v>1</v>
      </c>
      <c r="PW84" s="220">
        <f t="shared" ca="1" si="1159"/>
        <v>0.77643739198174988</v>
      </c>
      <c r="PX84" s="220">
        <f t="shared" ca="1" si="1160"/>
        <v>0</v>
      </c>
      <c r="PY84" s="235">
        <f t="shared" ca="1" si="1161"/>
        <v>7.7464550653488104E-2</v>
      </c>
      <c r="PZ84" s="235">
        <f t="shared" ca="1" si="1162"/>
        <v>7.7464550653488104E-2</v>
      </c>
      <c r="QA84" s="242">
        <f t="shared" ca="1" si="1163"/>
        <v>7.7464550653488104E-2</v>
      </c>
      <c r="QB84" s="241">
        <f t="shared" ca="1" si="1344"/>
        <v>1</v>
      </c>
      <c r="QC84" s="220">
        <f t="shared" ca="1" si="1164"/>
        <v>0.76215715546842155</v>
      </c>
      <c r="QD84" s="220">
        <f t="shared" ca="1" si="1165"/>
        <v>0</v>
      </c>
      <c r="QE84" s="235">
        <f t="shared" ca="1" si="1166"/>
        <v>7.3468427669438799E-2</v>
      </c>
      <c r="QF84" s="235">
        <f t="shared" ca="1" si="1167"/>
        <v>7.3468427669438799E-2</v>
      </c>
      <c r="QG84" s="242">
        <f t="shared" ca="1" si="1168"/>
        <v>7.3468427669438799E-2</v>
      </c>
      <c r="QH84" s="241">
        <f t="shared" ca="1" si="1344"/>
        <v>1</v>
      </c>
      <c r="QI84" s="220">
        <f t="shared" ca="1" si="1169"/>
        <v>0.74703900613254992</v>
      </c>
      <c r="QJ84" s="220">
        <f t="shared" ca="1" si="1170"/>
        <v>0</v>
      </c>
      <c r="QK84" s="235">
        <f t="shared" ca="1" si="1171"/>
        <v>6.9575949698732195E-2</v>
      </c>
      <c r="QL84" s="235">
        <f t="shared" ca="1" si="1172"/>
        <v>6.9575949698732195E-2</v>
      </c>
      <c r="QM84" s="242">
        <f t="shared" ca="1" si="1173"/>
        <v>6.9575949698732195E-2</v>
      </c>
      <c r="QN84" s="241">
        <f t="shared" ca="1" si="1344"/>
        <v>1</v>
      </c>
      <c r="QO84" s="220">
        <f t="shared" ca="1" si="1174"/>
        <v>0.73100381386591473</v>
      </c>
      <c r="QP84" s="220">
        <f t="shared" ca="1" si="1175"/>
        <v>0</v>
      </c>
      <c r="QQ84" s="235">
        <f t="shared" ca="1" si="1176"/>
        <v>6.5780195109612458E-2</v>
      </c>
      <c r="QR84" s="235">
        <f t="shared" ca="1" si="1177"/>
        <v>6.5780195109612458E-2</v>
      </c>
      <c r="QS84" s="242">
        <f t="shared" ca="1" si="1178"/>
        <v>6.5780195109612458E-2</v>
      </c>
      <c r="QT84" s="241">
        <f t="shared" ca="1" si="1344"/>
        <v>1</v>
      </c>
      <c r="QU84" s="220">
        <f t="shared" ca="1" si="1179"/>
        <v>0.71393414380833176</v>
      </c>
      <c r="QV84" s="220">
        <f t="shared" ca="1" si="1180"/>
        <v>0</v>
      </c>
      <c r="QW84" s="235">
        <f t="shared" ca="1" si="1181"/>
        <v>6.2071653887543876E-2</v>
      </c>
      <c r="QX84" s="235">
        <f t="shared" ca="1" si="1182"/>
        <v>6.2071653887543876E-2</v>
      </c>
      <c r="QY84" s="242">
        <f t="shared" ca="1" si="1183"/>
        <v>6.2071653887543876E-2</v>
      </c>
      <c r="QZ84" s="241">
        <f t="shared" ca="1" si="1344"/>
        <v>1</v>
      </c>
      <c r="RA84" s="220">
        <f t="shared" ca="1" si="1184"/>
        <v>0.69574167395580788</v>
      </c>
      <c r="RB84" s="220">
        <f t="shared" ca="1" si="1185"/>
        <v>0</v>
      </c>
      <c r="RC84" s="235">
        <f t="shared" ca="1" si="1186"/>
        <v>5.8444390341238162E-2</v>
      </c>
      <c r="RD84" s="235">
        <f t="shared" ca="1" si="1187"/>
        <v>5.8444390341238162E-2</v>
      </c>
      <c r="RE84" s="242">
        <f t="shared" ca="1" si="1188"/>
        <v>5.8444390341238162E-2</v>
      </c>
      <c r="RF84" s="241">
        <f t="shared" ca="1" si="1344"/>
        <v>1</v>
      </c>
      <c r="RG84" s="220">
        <f t="shared" ca="1" si="1189"/>
        <v>0.67640422986988014</v>
      </c>
      <c r="RH84" s="220">
        <f t="shared" ca="1" si="1190"/>
        <v>0</v>
      </c>
      <c r="RI84" s="235">
        <f t="shared" ca="1" si="1191"/>
        <v>5.4898538121829751E-2</v>
      </c>
      <c r="RJ84" s="235">
        <f t="shared" ca="1" si="1192"/>
        <v>5.4898538121829751E-2</v>
      </c>
      <c r="RK84" s="242">
        <f t="shared" ca="1" si="1193"/>
        <v>5.4898538121829751E-2</v>
      </c>
      <c r="RL84" s="241">
        <f t="shared" ca="1" si="1344"/>
        <v>1</v>
      </c>
      <c r="RM84" s="220">
        <f t="shared" ca="1" si="1194"/>
        <v>0.65592135698096043</v>
      </c>
      <c r="RN84" s="220">
        <f t="shared" ca="1" si="1195"/>
        <v>0</v>
      </c>
      <c r="RO84" s="235">
        <f t="shared" ca="1" si="1196"/>
        <v>5.1435845981086484E-2</v>
      </c>
      <c r="RP84" s="235">
        <f t="shared" ca="1" si="1197"/>
        <v>5.1435845981086484E-2</v>
      </c>
      <c r="RQ84" s="242">
        <f t="shared" ca="1" si="1198"/>
        <v>5.1435845981086484E-2</v>
      </c>
      <c r="RR84" s="241">
        <f t="shared" ca="1" si="1344"/>
        <v>1</v>
      </c>
      <c r="RS84" s="220">
        <f t="shared" ca="1" si="1199"/>
        <v>0.63426152193073515</v>
      </c>
      <c r="RT84" s="220">
        <f t="shared" ca="1" si="1200"/>
        <v>0</v>
      </c>
      <c r="RU84" s="235">
        <f t="shared" ca="1" si="1201"/>
        <v>4.8055392729564286E-2</v>
      </c>
      <c r="RV84" s="235">
        <f t="shared" ca="1" si="1202"/>
        <v>4.8055392729564286E-2</v>
      </c>
      <c r="RW84" s="242">
        <f t="shared" ca="1" si="1203"/>
        <v>4.8055392729564286E-2</v>
      </c>
      <c r="RX84" s="241">
        <f t="shared" ca="1" si="1344"/>
        <v>1</v>
      </c>
      <c r="RY84" s="220">
        <f t="shared" ca="1" si="1204"/>
        <v>0.61130062057532053</v>
      </c>
      <c r="RZ84" s="220">
        <f t="shared" ca="1" si="1205"/>
        <v>0</v>
      </c>
      <c r="SA84" s="235">
        <f t="shared" ca="1" si="1206"/>
        <v>4.4749506722088245E-2</v>
      </c>
      <c r="SB84" s="235">
        <f t="shared" ca="1" si="1207"/>
        <v>4.4749506722088245E-2</v>
      </c>
      <c r="SC84" s="242">
        <f t="shared" ca="1" si="1208"/>
        <v>4.4749506722088245E-2</v>
      </c>
      <c r="SD84" s="241">
        <f t="shared" ca="1" si="1339"/>
        <v>1</v>
      </c>
      <c r="SE84" s="220">
        <f t="shared" ca="1" si="1209"/>
        <v>0.58693540044042947</v>
      </c>
      <c r="SF84" s="220">
        <f t="shared" ca="1" si="1210"/>
        <v>0</v>
      </c>
      <c r="SG84" s="235">
        <f t="shared" ca="1" si="1211"/>
        <v>4.1512928389525854E-2</v>
      </c>
      <c r="SH84" s="235">
        <f t="shared" ca="1" si="1212"/>
        <v>4.1512928389525854E-2</v>
      </c>
      <c r="SI84" s="242">
        <f t="shared" ca="1" si="1213"/>
        <v>4.1512928389525854E-2</v>
      </c>
      <c r="SJ84" s="241">
        <f t="shared" ca="1" si="1339"/>
        <v>1</v>
      </c>
      <c r="SK84" s="220">
        <f t="shared" ca="1" si="1214"/>
        <v>0.56117421877969853</v>
      </c>
      <c r="SL84" s="220">
        <f t="shared" ca="1" si="1215"/>
        <v>0</v>
      </c>
      <c r="SM84" s="235">
        <f t="shared" ca="1" si="1216"/>
        <v>3.8348680627614658E-2</v>
      </c>
      <c r="SN84" s="235">
        <f t="shared" ca="1" si="1217"/>
        <v>3.8348680627614658E-2</v>
      </c>
      <c r="SO84" s="242">
        <f t="shared" ca="1" si="1218"/>
        <v>3.8348680627614658E-2</v>
      </c>
      <c r="SP84" s="241">
        <f t="shared" ca="1" si="1347"/>
        <v>1</v>
      </c>
      <c r="SQ84" s="220">
        <f t="shared" ca="1" si="1219"/>
        <v>0.5340633310962325</v>
      </c>
      <c r="SR84" s="220">
        <f t="shared" ca="1" si="1220"/>
        <v>0</v>
      </c>
      <c r="SS84" s="235">
        <f t="shared" ca="1" si="1221"/>
        <v>3.5261852674216394E-2</v>
      </c>
      <c r="ST84" s="235">
        <f t="shared" ca="1" si="1222"/>
        <v>3.5261852674216394E-2</v>
      </c>
      <c r="SU84" s="242">
        <f t="shared" ca="1" si="1223"/>
        <v>3.5261852674216394E-2</v>
      </c>
      <c r="SV84" s="241">
        <f t="shared" ca="1" si="1347"/>
        <v>1</v>
      </c>
      <c r="SW84" s="220">
        <f t="shared" ca="1" si="1224"/>
        <v>0.50563620810864218</v>
      </c>
      <c r="SX84" s="220">
        <f t="shared" ca="1" si="1225"/>
        <v>0</v>
      </c>
      <c r="SY84" s="235">
        <f t="shared" ca="1" si="1226"/>
        <v>3.2255975632920972E-2</v>
      </c>
      <c r="SZ84" s="235">
        <f t="shared" ca="1" si="1227"/>
        <v>3.2255975632920972E-2</v>
      </c>
      <c r="TA84" s="242">
        <f t="shared" ca="1" si="1228"/>
        <v>3.2255975632920972E-2</v>
      </c>
      <c r="TB84" s="241">
        <f t="shared" ca="1" si="1347"/>
        <v>1</v>
      </c>
      <c r="TC84" s="220">
        <f t="shared" ca="1" si="1229"/>
        <v>0.47585575235966748</v>
      </c>
      <c r="TD84" s="220">
        <f t="shared" ca="1" si="1230"/>
        <v>0</v>
      </c>
      <c r="TE84" s="235">
        <f t="shared" ca="1" si="1231"/>
        <v>2.9329657426153458E-2</v>
      </c>
      <c r="TF84" s="235">
        <f t="shared" ca="1" si="1232"/>
        <v>2.9329657426153458E-2</v>
      </c>
      <c r="TG84" s="242">
        <f t="shared" ca="1" si="1233"/>
        <v>2.9329657426153458E-2</v>
      </c>
      <c r="TH84" s="241">
        <f t="shared" ca="1" si="1347"/>
        <v>1</v>
      </c>
      <c r="TI84" s="220">
        <f t="shared" ca="1" si="1234"/>
        <v>0.4447514411066778</v>
      </c>
      <c r="TJ84" s="220">
        <f t="shared" ca="1" si="1235"/>
        <v>0</v>
      </c>
      <c r="TK84" s="235">
        <f t="shared" ca="1" si="1236"/>
        <v>2.6485530790814431E-2</v>
      </c>
      <c r="TL84" s="235">
        <f t="shared" ca="1" si="1237"/>
        <v>2.6485530790814431E-2</v>
      </c>
      <c r="TM84" s="242">
        <f t="shared" ca="1" si="1238"/>
        <v>2.6485530790814431E-2</v>
      </c>
      <c r="TN84" s="241">
        <f t="shared" ca="1" si="1347"/>
        <v>1</v>
      </c>
      <c r="TO84" s="220">
        <f t="shared" ca="1" si="1239"/>
        <v>0.41251096438941365</v>
      </c>
      <c r="TP84" s="220">
        <f t="shared" ca="1" si="1240"/>
        <v>0</v>
      </c>
      <c r="TQ84" s="235">
        <f t="shared" ca="1" si="1241"/>
        <v>2.3734848481408222E-2</v>
      </c>
      <c r="TR84" s="235">
        <f t="shared" ca="1" si="1242"/>
        <v>2.3734848481408222E-2</v>
      </c>
      <c r="TS84" s="242">
        <f t="shared" ca="1" si="1243"/>
        <v>2.3734848481408222E-2</v>
      </c>
      <c r="TT84" s="241">
        <f t="shared" ca="1" si="1347"/>
        <v>1</v>
      </c>
      <c r="TU84" s="220">
        <f t="shared" ca="1" si="1244"/>
        <v>0.37939128408051637</v>
      </c>
      <c r="TV84" s="220">
        <f t="shared" ca="1" si="1245"/>
        <v>0</v>
      </c>
      <c r="TW84" s="235">
        <f t="shared" ca="1" si="1246"/>
        <v>2.1091038615007652E-2</v>
      </c>
      <c r="TX84" s="235">
        <f t="shared" ca="1" si="1247"/>
        <v>2.1091038615007652E-2</v>
      </c>
      <c r="TY84" s="242">
        <f t="shared" ca="1" si="1248"/>
        <v>2.1091038615007652E-2</v>
      </c>
      <c r="TZ84" s="241">
        <f t="shared" ca="1" si="1347"/>
        <v>1</v>
      </c>
      <c r="UA84" s="220">
        <f t="shared" ca="1" si="1249"/>
        <v>0.34565732866521315</v>
      </c>
      <c r="UB84" s="220">
        <f t="shared" ca="1" si="1250"/>
        <v>0</v>
      </c>
      <c r="UC84" s="235">
        <f t="shared" ca="1" si="1251"/>
        <v>1.8565901280691431E-2</v>
      </c>
      <c r="UD84" s="235">
        <f t="shared" ca="1" si="1252"/>
        <v>1.8565901280691431E-2</v>
      </c>
      <c r="UE84" s="242">
        <f t="shared" ca="1" si="1253"/>
        <v>1.8565901280691431E-2</v>
      </c>
      <c r="UF84" s="241">
        <f t="shared" ca="1" si="1347"/>
        <v>1</v>
      </c>
      <c r="UG84" s="220">
        <f t="shared" ca="1" si="1254"/>
        <v>0.31158381183471112</v>
      </c>
      <c r="UH84" s="220">
        <f t="shared" ca="1" si="1255"/>
        <v>0</v>
      </c>
      <c r="UI84" s="235">
        <f t="shared" ca="1" si="1256"/>
        <v>1.6169805793281151E-2</v>
      </c>
      <c r="UJ84" s="235">
        <f t="shared" ca="1" si="1257"/>
        <v>1.6169805793281151E-2</v>
      </c>
      <c r="UK84" s="242">
        <f t="shared" ca="1" si="1258"/>
        <v>1.6169805793281151E-2</v>
      </c>
      <c r="UL84" s="241">
        <f t="shared" ca="1" si="1347"/>
        <v>1</v>
      </c>
      <c r="UM84" s="220">
        <f t="shared" ca="1" si="1259"/>
        <v>0.27748470263514402</v>
      </c>
      <c r="UN84" s="220">
        <f t="shared" ca="1" si="1260"/>
        <v>0</v>
      </c>
      <c r="UO84" s="235">
        <f t="shared" ca="1" si="1261"/>
        <v>1.3913250808575896E-2</v>
      </c>
      <c r="UP84" s="235">
        <f t="shared" ca="1" si="1262"/>
        <v>1.3913250808575896E-2</v>
      </c>
      <c r="UQ84" s="242">
        <f t="shared" ca="1" si="1263"/>
        <v>1.3913250808575896E-2</v>
      </c>
      <c r="UR84" s="241">
        <f t="shared" ca="1" si="1347"/>
        <v>1</v>
      </c>
      <c r="US84" s="220">
        <f t="shared" ca="1" si="1264"/>
        <v>0.24373729058536042</v>
      </c>
      <c r="UT84" s="220">
        <f t="shared" ca="1" si="1265"/>
        <v>0</v>
      </c>
      <c r="UU84" s="235">
        <f t="shared" ca="1" si="1266"/>
        <v>1.1807860056509861E-2</v>
      </c>
      <c r="UV84" s="235">
        <f t="shared" ca="1" si="1267"/>
        <v>1.1807860056509861E-2</v>
      </c>
      <c r="UW84" s="242">
        <f t="shared" ca="1" si="1268"/>
        <v>1.1807860056509861E-2</v>
      </c>
      <c r="UX84" s="241">
        <f t="shared" ca="1" si="1347"/>
        <v>1</v>
      </c>
      <c r="UY84" s="220">
        <f t="shared" ca="1" si="1269"/>
        <v>0.21078985859319374</v>
      </c>
      <c r="UZ84" s="220">
        <f t="shared" ca="1" si="1270"/>
        <v>0</v>
      </c>
      <c r="VA84" s="235">
        <f t="shared" ca="1" si="1271"/>
        <v>9.866396874889936E-3</v>
      </c>
      <c r="VB84" s="235">
        <f t="shared" ca="1" si="1272"/>
        <v>9.866396874889936E-3</v>
      </c>
      <c r="VC84" s="242">
        <f t="shared" ca="1" si="1273"/>
        <v>9.866396874889936E-3</v>
      </c>
      <c r="VD84" s="241">
        <f t="shared" ca="1" si="1345"/>
        <v>1</v>
      </c>
      <c r="VE84" s="220">
        <f t="shared" ca="1" si="1274"/>
        <v>0.17914840370962801</v>
      </c>
      <c r="VF84" s="220">
        <f t="shared" ca="1" si="1275"/>
        <v>0</v>
      </c>
      <c r="VG84" s="235">
        <f t="shared" ca="1" si="1276"/>
        <v>8.1017989433788233E-3</v>
      </c>
      <c r="VH84" s="235">
        <f t="shared" ca="1" si="1277"/>
        <v>8.1017989433788233E-3</v>
      </c>
      <c r="VI84" s="242">
        <f t="shared" ca="1" si="1278"/>
        <v>8.1017989433788233E-3</v>
      </c>
      <c r="VJ84" s="241">
        <f t="shared" ca="1" si="1345"/>
        <v>1</v>
      </c>
      <c r="VK84" s="220">
        <f t="shared" ca="1" si="1279"/>
        <v>0.14933864677755704</v>
      </c>
      <c r="VL84" s="220">
        <f t="shared" ca="1" si="1280"/>
        <v>0</v>
      </c>
      <c r="VM84" s="235">
        <f t="shared" ca="1" si="1281"/>
        <v>6.5252984585482295E-3</v>
      </c>
      <c r="VN84" s="235">
        <f t="shared" ca="1" si="1282"/>
        <v>6.5252984585482295E-3</v>
      </c>
      <c r="VO84" s="242">
        <f t="shared" ca="1" si="1283"/>
        <v>6.5252984585482295E-3</v>
      </c>
      <c r="VP84" s="241">
        <f t="shared" ca="1" si="567"/>
        <v>1</v>
      </c>
      <c r="VQ84" s="220">
        <f t="shared" ca="1" si="1284"/>
        <v>0.12186078378642688</v>
      </c>
      <c r="VR84" s="220">
        <f t="shared" ca="1" si="1285"/>
        <v>0</v>
      </c>
      <c r="VS84" s="235">
        <f t="shared" ca="1" si="1286"/>
        <v>5.1446020464451514E-3</v>
      </c>
      <c r="VT84" s="235">
        <f t="shared" ca="1" si="1287"/>
        <v>5.1446020464451514E-3</v>
      </c>
      <c r="VU84" s="242">
        <f t="shared" ca="1" si="1288"/>
        <v>5.1446020464451514E-3</v>
      </c>
      <c r="VV84" s="241">
        <f t="shared" ca="1" si="1335"/>
        <v>1</v>
      </c>
      <c r="VW84" s="220">
        <f t="shared" ca="1" si="1289"/>
        <v>9.714071449143126E-2</v>
      </c>
      <c r="VX84" s="220">
        <f t="shared" ca="1" si="1290"/>
        <v>0</v>
      </c>
      <c r="VY84" s="235">
        <f t="shared" ca="1" si="1291"/>
        <v>3.9623128486120972E-3</v>
      </c>
      <c r="VZ84" s="235">
        <f t="shared" ca="1" si="1292"/>
        <v>3.9623128486120972E-3</v>
      </c>
      <c r="WA84" s="242">
        <f t="shared" ca="1" si="1293"/>
        <v>3.9623128486120972E-3</v>
      </c>
      <c r="WB84" s="241">
        <f t="shared" ca="1" si="1335"/>
        <v>1</v>
      </c>
      <c r="WC84" s="220">
        <f t="shared" ca="1" si="1294"/>
        <v>7.5486980683431834E-2</v>
      </c>
      <c r="WD84" s="220">
        <f t="shared" ca="1" si="1295"/>
        <v>0</v>
      </c>
      <c r="WE84" s="235">
        <f t="shared" ca="1" si="1296"/>
        <v>2.9749465982754843E-3</v>
      </c>
      <c r="WF84" s="235">
        <f t="shared" ca="1" si="1297"/>
        <v>2.9749465982754843E-3</v>
      </c>
      <c r="WG84" s="242">
        <f t="shared" ca="1" si="1298"/>
        <v>2.9749465982754843E-3</v>
      </c>
      <c r="WH84" s="241">
        <f t="shared" ca="1" si="1335"/>
        <v>1</v>
      </c>
      <c r="WI84" s="220">
        <f t="shared" ca="1" si="1299"/>
        <v>5.7061061620490225E-2</v>
      </c>
      <c r="WJ84" s="220">
        <f t="shared" ca="1" si="1300"/>
        <v>0</v>
      </c>
      <c r="WK84" s="235">
        <f t="shared" ca="1" si="1301"/>
        <v>2.1727342833971291E-3</v>
      </c>
      <c r="WL84" s="235">
        <f t="shared" ca="1" si="1302"/>
        <v>2.1727342833971291E-3</v>
      </c>
      <c r="WM84" s="242">
        <f t="shared" ca="1" si="1303"/>
        <v>2.1727342833971291E-3</v>
      </c>
      <c r="WN84" s="241">
        <f t="shared" ca="1" si="1335"/>
        <v>1</v>
      </c>
      <c r="WO84" s="220">
        <f t="shared" ca="1" si="1304"/>
        <v>4.1934687734452851E-2</v>
      </c>
      <c r="WP84" s="220">
        <f t="shared" ca="1" si="1305"/>
        <v>0</v>
      </c>
      <c r="WQ84" s="235">
        <f t="shared" ca="1" si="1306"/>
        <v>1.5427651975624165E-3</v>
      </c>
      <c r="WR84" s="235">
        <f t="shared" ca="1" si="1307"/>
        <v>1.5427651975624165E-3</v>
      </c>
      <c r="WS84" s="242">
        <f t="shared" ca="1" si="1308"/>
        <v>1.5427651975624165E-3</v>
      </c>
      <c r="WT84" s="241">
        <f t="shared" ca="1" si="1335"/>
        <v>1</v>
      </c>
      <c r="WU84" s="220">
        <f t="shared" ca="1" si="1309"/>
        <v>2.9961998908764689E-2</v>
      </c>
      <c r="WV84" s="220">
        <f t="shared" ca="1" si="1310"/>
        <v>0</v>
      </c>
      <c r="WW84" s="235">
        <f t="shared" ca="1" si="1311"/>
        <v>1.0650177696007403E-3</v>
      </c>
      <c r="WX84" s="235">
        <f t="shared" ca="1" si="1312"/>
        <v>1.0650177696007403E-3</v>
      </c>
      <c r="WY84" s="242">
        <f t="shared" ca="1" si="1313"/>
        <v>1.0650177696007403E-3</v>
      </c>
      <c r="WZ84" s="241">
        <f t="shared" ca="1" si="1335"/>
        <v>1</v>
      </c>
      <c r="XA84" s="220">
        <f t="shared" ca="1" si="1314"/>
        <v>2.0825806429510707E-2</v>
      </c>
      <c r="XB84" s="220">
        <f t="shared" ca="1" si="1315"/>
        <v>0</v>
      </c>
      <c r="XC84" s="235">
        <f t="shared" ca="1" si="1316"/>
        <v>7.1523300597822715E-4</v>
      </c>
      <c r="XD84" s="235">
        <f t="shared" ca="1" si="1317"/>
        <v>7.1523300597822715E-4</v>
      </c>
      <c r="XE84" s="242">
        <f t="shared" ca="1" si="1318"/>
        <v>7.1523300597822715E-4</v>
      </c>
      <c r="XF84" s="241">
        <f t="shared" ca="1" si="1335"/>
        <v>1</v>
      </c>
      <c r="XG84" s="220">
        <f t="shared" ca="1" si="1319"/>
        <v>1.410075784309954E-2</v>
      </c>
      <c r="XH84" s="220">
        <f t="shared" ca="1" si="1320"/>
        <v>0</v>
      </c>
      <c r="XI84" s="235">
        <f t="shared" ca="1" si="1321"/>
        <v>4.6789437576883483E-4</v>
      </c>
      <c r="XJ84" s="235">
        <f t="shared" ca="1" si="1322"/>
        <v>4.6789437576883483E-4</v>
      </c>
      <c r="XK84" s="242">
        <f t="shared" ca="1" si="1323"/>
        <v>4.6789437576883483E-4</v>
      </c>
    </row>
    <row r="85" spans="2:635" x14ac:dyDescent="0.25">
      <c r="B85" s="65">
        <f t="shared" ca="1" si="810"/>
        <v>2100</v>
      </c>
      <c r="C85" s="65" t="s">
        <v>741</v>
      </c>
      <c r="D85" s="77">
        <f t="shared" si="811"/>
        <v>0</v>
      </c>
      <c r="E85" s="77">
        <f t="shared" si="812"/>
        <v>0</v>
      </c>
      <c r="F85" s="77" t="b">
        <f t="shared" si="813"/>
        <v>0</v>
      </c>
      <c r="G85" s="77" t="b">
        <f t="shared" si="814"/>
        <v>0</v>
      </c>
      <c r="H85" s="15" t="e">
        <f t="shared" ca="1" si="815"/>
        <v>#REF!</v>
      </c>
      <c r="L85" s="326">
        <f t="shared" ca="1" si="816"/>
        <v>3.5000000000000003E-2</v>
      </c>
      <c r="M85" s="327">
        <f t="shared" ca="1" si="817"/>
        <v>3.5000000000000003E-2</v>
      </c>
      <c r="N85" s="322">
        <f t="shared" ca="1" si="809"/>
        <v>-77</v>
      </c>
      <c r="O85" s="322">
        <f t="shared" ca="1" si="818"/>
        <v>0</v>
      </c>
      <c r="P85" s="328">
        <f t="shared" ca="1" si="1324"/>
        <v>26.87829936156087</v>
      </c>
      <c r="Q85" s="328">
        <f t="shared" ca="1" si="1325"/>
        <v>26.87829936156087</v>
      </c>
      <c r="R85" s="328">
        <f t="shared" ca="1" si="1326"/>
        <v>26.87829936156087</v>
      </c>
      <c r="S85" s="329">
        <f t="shared" ca="1" si="819"/>
        <v>3.8642415640549425E-2</v>
      </c>
      <c r="T85" s="329">
        <f t="shared" ca="1" si="820"/>
        <v>3.8642415640549425E-2</v>
      </c>
      <c r="U85" s="329">
        <f t="shared" ca="1" si="821"/>
        <v>3.8642415640549425E-2</v>
      </c>
      <c r="V85" s="320" t="e">
        <f t="shared" ca="1" si="822"/>
        <v>#REF!</v>
      </c>
      <c r="W85" s="320" t="e">
        <f t="shared" ca="1" si="560"/>
        <v>#REF!</v>
      </c>
      <c r="X85" s="320" t="e">
        <f t="shared" ca="1" si="823"/>
        <v>#REF!</v>
      </c>
      <c r="Y85" s="320" t="e">
        <f ca="1">INDEX(SC_ZA_HECMLumpSum,ZAIDX)</f>
        <v>#REF!</v>
      </c>
      <c r="Z85" s="320" t="e">
        <f t="shared" ca="1" si="824"/>
        <v>#REF!</v>
      </c>
      <c r="AA85" s="320" t="e">
        <f t="shared" ref="AA85:AA86" ca="1" si="1348">IF($R85&gt;0,-(V85+SUM(X85:Z85))*ABS($AJ85)/$R85,0)</f>
        <v>#REF!</v>
      </c>
      <c r="AB85" s="320" t="e">
        <f t="shared" ref="AB85:AB86" ca="1" si="1349">(V85+SUM(X85:AA85))*U85</f>
        <v>#REF!</v>
      </c>
      <c r="AC85" s="330" t="e">
        <f t="shared" ref="AC85:AC86" ca="1" si="1350">(V85+SUM(X85:AA85))</f>
        <v>#REF!</v>
      </c>
      <c r="AD85" s="236" t="e">
        <f t="shared" ca="1" si="1327"/>
        <v>#REF!</v>
      </c>
      <c r="AE85" s="320" t="e">
        <f t="shared" ca="1" si="561"/>
        <v>#REF!</v>
      </c>
      <c r="AF85" s="320" t="e">
        <f t="shared" ca="1" si="825"/>
        <v>#REF!</v>
      </c>
      <c r="AG85" s="320" t="e">
        <f t="shared" ca="1" si="1328"/>
        <v>#REF!</v>
      </c>
      <c r="AH85" s="284" t="e">
        <f t="shared" ca="1" si="1329"/>
        <v>#REF!</v>
      </c>
      <c r="AI85" s="318" t="e">
        <f t="shared" ca="1" si="1330"/>
        <v>#REF!</v>
      </c>
      <c r="AJ85" s="331">
        <f t="shared" ca="1" si="1346"/>
        <v>1</v>
      </c>
      <c r="AK85" s="220">
        <f t="shared" ca="1" si="826"/>
        <v>1</v>
      </c>
      <c r="AL85" s="220">
        <f t="shared" ca="1" si="827"/>
        <v>0</v>
      </c>
      <c r="AM85" s="235">
        <f t="shared" ca="1" si="1331"/>
        <v>1</v>
      </c>
      <c r="AN85" s="235">
        <f t="shared" ca="1" si="1332"/>
        <v>1</v>
      </c>
      <c r="AO85" s="242">
        <f t="shared" ca="1" si="1333"/>
        <v>1</v>
      </c>
      <c r="AP85" s="241">
        <f t="shared" ca="1" si="1346"/>
        <v>1</v>
      </c>
      <c r="AQ85" s="220">
        <f t="shared" ca="1" si="828"/>
        <v>0.99361699999999997</v>
      </c>
      <c r="AR85" s="220">
        <f t="shared" ca="1" si="829"/>
        <v>0</v>
      </c>
      <c r="AS85" s="235">
        <f t="shared" ca="1" si="830"/>
        <v>0.96001642512077301</v>
      </c>
      <c r="AT85" s="235">
        <f t="shared" ca="1" si="831"/>
        <v>0.96001642512077301</v>
      </c>
      <c r="AU85" s="242">
        <f t="shared" ca="1" si="832"/>
        <v>0.96001642512077301</v>
      </c>
      <c r="AV85" s="241">
        <f t="shared" ca="1" si="1346"/>
        <v>1</v>
      </c>
      <c r="AW85" s="220">
        <f t="shared" ca="1" si="833"/>
        <v>0.99316689149899995</v>
      </c>
      <c r="AX85" s="220">
        <f t="shared" ca="1" si="834"/>
        <v>0</v>
      </c>
      <c r="AY85" s="235">
        <f t="shared" ca="1" si="835"/>
        <v>0.92713192046395487</v>
      </c>
      <c r="AZ85" s="235">
        <f t="shared" ca="1" si="836"/>
        <v>0.92713192046395487</v>
      </c>
      <c r="BA85" s="242">
        <f t="shared" ca="1" si="837"/>
        <v>0.92713192046395487</v>
      </c>
      <c r="BB85" s="241">
        <f t="shared" ca="1" si="1346"/>
        <v>1</v>
      </c>
      <c r="BC85" s="220">
        <f t="shared" ca="1" si="838"/>
        <v>0.99288681843559723</v>
      </c>
      <c r="BD85" s="220">
        <f t="shared" ca="1" si="839"/>
        <v>0</v>
      </c>
      <c r="BE85" s="235">
        <f t="shared" ca="1" si="840"/>
        <v>0.89552702344191704</v>
      </c>
      <c r="BF85" s="235">
        <f t="shared" ca="1" si="841"/>
        <v>0.89552702344191704</v>
      </c>
      <c r="BG85" s="242">
        <f t="shared" ca="1" si="842"/>
        <v>0.89552702344191704</v>
      </c>
      <c r="BH85" s="241">
        <f t="shared" ca="1" si="1346"/>
        <v>1</v>
      </c>
      <c r="BI85" s="220">
        <f t="shared" ca="1" si="843"/>
        <v>0.99265845446735712</v>
      </c>
      <c r="BJ85" s="220">
        <f t="shared" ca="1" si="844"/>
        <v>0</v>
      </c>
      <c r="BK85" s="235">
        <f t="shared" ca="1" si="845"/>
        <v>0.86504449490485558</v>
      </c>
      <c r="BL85" s="235">
        <f t="shared" ca="1" si="846"/>
        <v>0.86504449490485558</v>
      </c>
      <c r="BM85" s="242">
        <f t="shared" ca="1" si="847"/>
        <v>0.86504449490485558</v>
      </c>
      <c r="BN85" s="241">
        <f t="shared" ca="1" si="1346"/>
        <v>1</v>
      </c>
      <c r="BO85" s="220">
        <f t="shared" ca="1" si="848"/>
        <v>0.99249069518855215</v>
      </c>
      <c r="BP85" s="220">
        <f t="shared" ca="1" si="849"/>
        <v>0</v>
      </c>
      <c r="BQ85" s="235">
        <f t="shared" ca="1" si="850"/>
        <v>0.83565053370552345</v>
      </c>
      <c r="BR85" s="235">
        <f t="shared" ca="1" si="851"/>
        <v>0.83565053370552345</v>
      </c>
      <c r="BS85" s="242">
        <f t="shared" ca="1" si="852"/>
        <v>0.83565053370552345</v>
      </c>
      <c r="BT85" s="241">
        <f t="shared" ca="1" si="1346"/>
        <v>1</v>
      </c>
      <c r="BU85" s="220">
        <f t="shared" ca="1" si="853"/>
        <v>0.99233685913079794</v>
      </c>
      <c r="BV85" s="220">
        <f t="shared" ca="1" si="854"/>
        <v>0</v>
      </c>
      <c r="BW85" s="235">
        <f t="shared" ca="1" si="855"/>
        <v>0.80726667427323584</v>
      </c>
      <c r="BX85" s="235">
        <f t="shared" ca="1" si="856"/>
        <v>0.80726667427323584</v>
      </c>
      <c r="BY85" s="242">
        <f t="shared" ca="1" si="857"/>
        <v>0.80726667427323584</v>
      </c>
      <c r="BZ85" s="241">
        <f t="shared" ca="1" si="1346"/>
        <v>1</v>
      </c>
      <c r="CA85" s="220">
        <f t="shared" ca="1" si="858"/>
        <v>0.992192970286224</v>
      </c>
      <c r="CB85" s="220">
        <f t="shared" ca="1" si="859"/>
        <v>0</v>
      </c>
      <c r="CC85" s="235">
        <f t="shared" ca="1" si="860"/>
        <v>0.7798547058990013</v>
      </c>
      <c r="CD85" s="235">
        <f t="shared" ca="1" si="861"/>
        <v>0.7798547058990013</v>
      </c>
      <c r="CE85" s="242">
        <f t="shared" ca="1" si="862"/>
        <v>0.7798547058990013</v>
      </c>
      <c r="CF85" s="241">
        <f t="shared" ca="1" si="1346"/>
        <v>1</v>
      </c>
      <c r="CG85" s="220">
        <f t="shared" ca="1" si="863"/>
        <v>0.9920590242352354</v>
      </c>
      <c r="CH85" s="220">
        <f t="shared" ca="1" si="864"/>
        <v>0</v>
      </c>
      <c r="CI85" s="235">
        <f t="shared" ca="1" si="865"/>
        <v>0.75338108745285515</v>
      </c>
      <c r="CJ85" s="235">
        <f t="shared" ca="1" si="866"/>
        <v>0.75338108745285515</v>
      </c>
      <c r="CK85" s="242">
        <f t="shared" ca="1" si="867"/>
        <v>0.75338108745285515</v>
      </c>
      <c r="CL85" s="241">
        <f t="shared" ca="1" si="1346"/>
        <v>1</v>
      </c>
      <c r="CM85" s="220">
        <f t="shared" ca="1" si="868"/>
        <v>0.99193997715232718</v>
      </c>
      <c r="CN85" s="220">
        <f t="shared" ca="1" si="869"/>
        <v>0</v>
      </c>
      <c r="CO85" s="235">
        <f t="shared" ca="1" si="870"/>
        <v>0.72781708378972065</v>
      </c>
      <c r="CP85" s="235">
        <f t="shared" ca="1" si="871"/>
        <v>0.72781708378972065</v>
      </c>
      <c r="CQ85" s="242">
        <f t="shared" ca="1" si="872"/>
        <v>0.72781708378972065</v>
      </c>
      <c r="CR85" s="241">
        <f t="shared" ca="1" si="1346"/>
        <v>1</v>
      </c>
      <c r="CS85" s="220">
        <f t="shared" ca="1" si="873"/>
        <v>0.99183582345472621</v>
      </c>
      <c r="CT85" s="220">
        <f t="shared" ca="1" si="874"/>
        <v>0</v>
      </c>
      <c r="CU85" s="235">
        <f t="shared" ca="1" si="875"/>
        <v>0.70313107535837949</v>
      </c>
      <c r="CV85" s="235">
        <f t="shared" ca="1" si="876"/>
        <v>0.70313107535837949</v>
      </c>
      <c r="CW85" s="242">
        <f t="shared" ca="1" si="877"/>
        <v>0.70313107535837949</v>
      </c>
      <c r="CX85" s="241">
        <f t="shared" ca="1" si="1340"/>
        <v>1</v>
      </c>
      <c r="CY85" s="220">
        <f t="shared" ca="1" si="878"/>
        <v>0.99174259088732142</v>
      </c>
      <c r="CZ85" s="220">
        <f t="shared" ca="1" si="879"/>
        <v>0</v>
      </c>
      <c r="DA85" s="235">
        <f t="shared" ca="1" si="880"/>
        <v>0.6792898367510104</v>
      </c>
      <c r="DB85" s="235">
        <f t="shared" ca="1" si="881"/>
        <v>0.6792898367510104</v>
      </c>
      <c r="DC85" s="242">
        <f t="shared" ca="1" si="882"/>
        <v>0.6792898367510104</v>
      </c>
      <c r="DD85" s="241">
        <f t="shared" ca="1" si="1340"/>
        <v>1</v>
      </c>
      <c r="DE85" s="220">
        <f t="shared" ca="1" si="883"/>
        <v>0.99164440837082357</v>
      </c>
      <c r="DF85" s="220">
        <f t="shared" ca="1" si="884"/>
        <v>0</v>
      </c>
      <c r="DG85" s="235">
        <f t="shared" ca="1" si="885"/>
        <v>0.65625370730161559</v>
      </c>
      <c r="DH85" s="235">
        <f t="shared" ca="1" si="886"/>
        <v>0.65625370730161559</v>
      </c>
      <c r="DI85" s="242">
        <f t="shared" ca="1" si="887"/>
        <v>0.65625370730161559</v>
      </c>
      <c r="DJ85" s="241">
        <f t="shared" ca="1" si="888"/>
        <v>1</v>
      </c>
      <c r="DK85" s="220">
        <f t="shared" ca="1" si="889"/>
        <v>0.9915115280201019</v>
      </c>
      <c r="DL85" s="220">
        <f t="shared" ca="1" si="890"/>
        <v>0</v>
      </c>
      <c r="DM85" s="235">
        <f t="shared" ca="1" si="891"/>
        <v>0.63397658870032592</v>
      </c>
      <c r="DN85" s="235">
        <f t="shared" ca="1" si="892"/>
        <v>0.63397658870032592</v>
      </c>
      <c r="DO85" s="242">
        <f t="shared" ca="1" si="893"/>
        <v>0.63397658870032592</v>
      </c>
      <c r="DP85" s="241">
        <f t="shared" ca="1" si="888"/>
        <v>1</v>
      </c>
      <c r="DQ85" s="220">
        <f t="shared" ca="1" si="894"/>
        <v>0.99130628513380181</v>
      </c>
      <c r="DR85" s="220">
        <f t="shared" ca="1" si="895"/>
        <v>0</v>
      </c>
      <c r="DS85" s="235">
        <f t="shared" ca="1" si="896"/>
        <v>0.61241097154247814</v>
      </c>
      <c r="DT85" s="235">
        <f t="shared" ca="1" si="897"/>
        <v>0.61241097154247814</v>
      </c>
      <c r="DU85" s="242">
        <f t="shared" ca="1" si="898"/>
        <v>0.61241097154247814</v>
      </c>
      <c r="DV85" s="241">
        <f t="shared" ca="1" si="888"/>
        <v>1</v>
      </c>
      <c r="DW85" s="220">
        <f t="shared" ca="1" si="899"/>
        <v>0.9909999714916955</v>
      </c>
      <c r="DX85" s="220">
        <f t="shared" ca="1" si="900"/>
        <v>0</v>
      </c>
      <c r="DY85" s="235">
        <f t="shared" ca="1" si="901"/>
        <v>0.59151858604084218</v>
      </c>
      <c r="DZ85" s="235">
        <f t="shared" ca="1" si="902"/>
        <v>0.59151858604084218</v>
      </c>
      <c r="EA85" s="242">
        <f t="shared" ca="1" si="903"/>
        <v>0.59151858604084218</v>
      </c>
      <c r="EB85" s="241">
        <f t="shared" ca="1" si="888"/>
        <v>1</v>
      </c>
      <c r="EC85" s="220">
        <f t="shared" ca="1" si="904"/>
        <v>0.99058474250364048</v>
      </c>
      <c r="ED85" s="220">
        <f t="shared" ca="1" si="905"/>
        <v>0</v>
      </c>
      <c r="EE85" s="235">
        <f t="shared" ca="1" si="906"/>
        <v>0.57127607705632</v>
      </c>
      <c r="EF85" s="235">
        <f t="shared" ca="1" si="907"/>
        <v>0.57127607705632</v>
      </c>
      <c r="EG85" s="242">
        <f t="shared" ca="1" si="908"/>
        <v>0.57127607705632</v>
      </c>
      <c r="EH85" s="241">
        <f t="shared" ca="1" si="888"/>
        <v>1</v>
      </c>
      <c r="EI85" s="220">
        <f t="shared" ca="1" si="909"/>
        <v>0.99005973259011348</v>
      </c>
      <c r="EJ85" s="220">
        <f t="shared" ca="1" si="910"/>
        <v>0</v>
      </c>
      <c r="EK85" s="235">
        <f t="shared" ca="1" si="911"/>
        <v>0.55166502486519819</v>
      </c>
      <c r="EL85" s="235">
        <f t="shared" ca="1" si="912"/>
        <v>0.55166502486519819</v>
      </c>
      <c r="EM85" s="242">
        <f t="shared" ca="1" si="913"/>
        <v>0.55166502486519819</v>
      </c>
      <c r="EN85" s="241">
        <f t="shared" ca="1" si="888"/>
        <v>1</v>
      </c>
      <c r="EO85" s="220">
        <f t="shared" ca="1" si="914"/>
        <v>0.98941124346526699</v>
      </c>
      <c r="EP85" s="220">
        <f t="shared" ca="1" si="915"/>
        <v>0</v>
      </c>
      <c r="EQ85" s="235">
        <f t="shared" ca="1" si="916"/>
        <v>0.53266056451585653</v>
      </c>
      <c r="ER85" s="235">
        <f t="shared" ca="1" si="917"/>
        <v>0.53266056451585653</v>
      </c>
      <c r="ES85" s="242">
        <f t="shared" ca="1" si="918"/>
        <v>0.53266056451585653</v>
      </c>
      <c r="ET85" s="241">
        <f t="shared" ca="1" si="888"/>
        <v>1</v>
      </c>
      <c r="EU85" s="220">
        <f t="shared" ca="1" si="919"/>
        <v>0.98862861917168599</v>
      </c>
      <c r="EV85" s="220">
        <f t="shared" ca="1" si="920"/>
        <v>0</v>
      </c>
      <c r="EW85" s="235">
        <f t="shared" ca="1" si="921"/>
        <v>0.51424080194137645</v>
      </c>
      <c r="EX85" s="235">
        <f t="shared" ca="1" si="922"/>
        <v>0.51424080194137645</v>
      </c>
      <c r="EY85" s="242">
        <f t="shared" ca="1" si="923"/>
        <v>0.51424080194137645</v>
      </c>
      <c r="EZ85" s="241">
        <f t="shared" ca="1" si="888"/>
        <v>1</v>
      </c>
      <c r="FA85" s="220">
        <f t="shared" ca="1" si="924"/>
        <v>0.98770524004137961</v>
      </c>
      <c r="FB85" s="220">
        <f t="shared" ca="1" si="925"/>
        <v>0</v>
      </c>
      <c r="FC85" s="235">
        <f t="shared" ca="1" si="926"/>
        <v>0.49638695751919149</v>
      </c>
      <c r="FD85" s="235">
        <f t="shared" ca="1" si="927"/>
        <v>0.49638695751919149</v>
      </c>
      <c r="FE85" s="242">
        <f t="shared" ca="1" si="928"/>
        <v>0.49638695751919149</v>
      </c>
      <c r="FF85" s="241">
        <f t="shared" ca="1" si="888"/>
        <v>1</v>
      </c>
      <c r="FG85" s="220">
        <f t="shared" ca="1" si="929"/>
        <v>0.98663357985593469</v>
      </c>
      <c r="FH85" s="220">
        <f t="shared" ca="1" si="930"/>
        <v>0</v>
      </c>
      <c r="FI85" s="235">
        <f t="shared" ca="1" si="931"/>
        <v>0.4790805581355394</v>
      </c>
      <c r="FJ85" s="235">
        <f t="shared" ca="1" si="932"/>
        <v>0.4790805581355394</v>
      </c>
      <c r="FK85" s="242">
        <f t="shared" ca="1" si="933"/>
        <v>0.4790805581355394</v>
      </c>
      <c r="FL85" s="241">
        <f t="shared" ca="1" si="888"/>
        <v>1</v>
      </c>
      <c r="FM85" s="220">
        <f t="shared" ca="1" si="934"/>
        <v>0.98542199381987161</v>
      </c>
      <c r="FN85" s="220">
        <f t="shared" ca="1" si="935"/>
        <v>0</v>
      </c>
      <c r="FO85" s="235">
        <f t="shared" ca="1" si="936"/>
        <v>0.46231134996149653</v>
      </c>
      <c r="FP85" s="235">
        <f t="shared" ca="1" si="937"/>
        <v>0.46231134996149653</v>
      </c>
      <c r="FQ85" s="242">
        <f t="shared" ca="1" si="938"/>
        <v>0.46231134996149653</v>
      </c>
      <c r="FR85" s="241">
        <f t="shared" ca="1" si="888"/>
        <v>1</v>
      </c>
      <c r="FS85" s="220">
        <f t="shared" ca="1" si="939"/>
        <v>0.98410251377014679</v>
      </c>
      <c r="FT85" s="220">
        <f t="shared" ca="1" si="940"/>
        <v>0</v>
      </c>
      <c r="FU85" s="235">
        <f t="shared" ca="1" si="941"/>
        <v>0.44607953146270346</v>
      </c>
      <c r="FV85" s="235">
        <f t="shared" ca="1" si="942"/>
        <v>0.44607953146270346</v>
      </c>
      <c r="FW85" s="242">
        <f t="shared" ca="1" si="943"/>
        <v>0.44607953146270346</v>
      </c>
      <c r="FX85" s="241">
        <f t="shared" ca="1" si="801"/>
        <v>1</v>
      </c>
      <c r="FY85" s="220">
        <f t="shared" ca="1" si="944"/>
        <v>0.98272181794332725</v>
      </c>
      <c r="FZ85" s="220">
        <f t="shared" ca="1" si="945"/>
        <v>0</v>
      </c>
      <c r="GA85" s="235">
        <f t="shared" ca="1" si="946"/>
        <v>0.43039003080199167</v>
      </c>
      <c r="GB85" s="235">
        <f t="shared" ca="1" si="947"/>
        <v>0.43039003080199167</v>
      </c>
      <c r="GC85" s="242">
        <f t="shared" ca="1" si="948"/>
        <v>0.43039003080199167</v>
      </c>
      <c r="GD85" s="241">
        <f t="shared" ca="1" si="795"/>
        <v>1</v>
      </c>
      <c r="GE85" s="220">
        <f t="shared" ca="1" si="949"/>
        <v>0.98131357757821447</v>
      </c>
      <c r="GF85" s="220">
        <f t="shared" ca="1" si="950"/>
        <v>0</v>
      </c>
      <c r="GG85" s="235">
        <f t="shared" ca="1" si="951"/>
        <v>0.41523988588198307</v>
      </c>
      <c r="GH85" s="235">
        <f t="shared" ca="1" si="952"/>
        <v>0.41523988588198307</v>
      </c>
      <c r="GI85" s="242">
        <f t="shared" ca="1" si="953"/>
        <v>0.41523988588198307</v>
      </c>
      <c r="GJ85" s="241">
        <f t="shared" ca="1" si="795"/>
        <v>1</v>
      </c>
      <c r="GK85" s="220">
        <f t="shared" ca="1" si="954"/>
        <v>0.97988969157714845</v>
      </c>
      <c r="GL85" s="220">
        <f t="shared" ca="1" si="955"/>
        <v>0</v>
      </c>
      <c r="GM85" s="235">
        <f t="shared" ca="1" si="956"/>
        <v>0.40061581913774713</v>
      </c>
      <c r="GN85" s="235">
        <f t="shared" ca="1" si="957"/>
        <v>0.40061581913774713</v>
      </c>
      <c r="GO85" s="242">
        <f t="shared" ca="1" si="958"/>
        <v>0.40061581913774713</v>
      </c>
      <c r="GP85" s="241">
        <f t="shared" ca="1" si="1341"/>
        <v>1</v>
      </c>
      <c r="GQ85" s="220">
        <f t="shared" ca="1" si="959"/>
        <v>0.9784443542820721</v>
      </c>
      <c r="GR85" s="220">
        <f t="shared" ca="1" si="960"/>
        <v>0</v>
      </c>
      <c r="GS85" s="235">
        <f t="shared" ca="1" si="961"/>
        <v>0.38649749836185404</v>
      </c>
      <c r="GT85" s="235">
        <f t="shared" ca="1" si="962"/>
        <v>0.38649749836185404</v>
      </c>
      <c r="GU85" s="242">
        <f t="shared" ca="1" si="963"/>
        <v>0.38649749836185404</v>
      </c>
      <c r="GV85" s="241">
        <f t="shared" ca="1" si="1341"/>
        <v>1</v>
      </c>
      <c r="GW85" s="220">
        <f t="shared" ca="1" si="964"/>
        <v>0.97697473086194042</v>
      </c>
      <c r="GX85" s="220">
        <f t="shared" ca="1" si="965"/>
        <v>0</v>
      </c>
      <c r="GY85" s="235">
        <f t="shared" ca="1" si="966"/>
        <v>0.37286664649209134</v>
      </c>
      <c r="GZ85" s="235">
        <f t="shared" ca="1" si="967"/>
        <v>0.37286664649209134</v>
      </c>
      <c r="HA85" s="242">
        <f t="shared" ca="1" si="968"/>
        <v>0.37286664649209134</v>
      </c>
      <c r="HB85" s="241">
        <f t="shared" ca="1" si="1341"/>
        <v>1</v>
      </c>
      <c r="HC85" s="220">
        <f t="shared" ca="1" si="969"/>
        <v>0.97547214372587476</v>
      </c>
      <c r="HD85" s="220">
        <f t="shared" ca="1" si="970"/>
        <v>0</v>
      </c>
      <c r="HE85" s="235">
        <f t="shared" ca="1" si="971"/>
        <v>0.35970355322684694</v>
      </c>
      <c r="HF85" s="235">
        <f t="shared" ca="1" si="972"/>
        <v>0.35970355322684694</v>
      </c>
      <c r="HG85" s="242">
        <f t="shared" ca="1" si="973"/>
        <v>0.35970355322684694</v>
      </c>
      <c r="HH85" s="241">
        <f t="shared" ca="1" si="1341"/>
        <v>1</v>
      </c>
      <c r="HI85" s="220">
        <f t="shared" ca="1" si="974"/>
        <v>0.9739299222666441</v>
      </c>
      <c r="HJ85" s="220">
        <f t="shared" ca="1" si="975"/>
        <v>0</v>
      </c>
      <c r="HK85" s="235">
        <f t="shared" ca="1" si="976"/>
        <v>0.34699020474318382</v>
      </c>
      <c r="HL85" s="235">
        <f t="shared" ca="1" si="977"/>
        <v>0.34699020474318382</v>
      </c>
      <c r="HM85" s="242">
        <f t="shared" ca="1" si="978"/>
        <v>0.34699020474318382</v>
      </c>
      <c r="HN85" s="241">
        <f t="shared" ca="1" si="1341"/>
        <v>1</v>
      </c>
      <c r="HO85" s="220">
        <f t="shared" ca="1" si="979"/>
        <v>0.97234631221303847</v>
      </c>
      <c r="HP85" s="220">
        <f t="shared" ca="1" si="980"/>
        <v>0</v>
      </c>
      <c r="HQ85" s="235">
        <f t="shared" ca="1" si="981"/>
        <v>0.33471110982634922</v>
      </c>
      <c r="HR85" s="235">
        <f t="shared" ca="1" si="982"/>
        <v>0.33471110982634922</v>
      </c>
      <c r="HS85" s="242">
        <f t="shared" ca="1" si="983"/>
        <v>0.33471110982634922</v>
      </c>
      <c r="HT85" s="241">
        <f t="shared" ca="1" si="1341"/>
        <v>1</v>
      </c>
      <c r="HU85" s="220">
        <f t="shared" ca="1" si="984"/>
        <v>0.97072346621795491</v>
      </c>
      <c r="HV85" s="220">
        <f t="shared" ca="1" si="985"/>
        <v>0</v>
      </c>
      <c r="HW85" s="235">
        <f t="shared" ca="1" si="986"/>
        <v>0.32285263476719722</v>
      </c>
      <c r="HX85" s="235">
        <f t="shared" ca="1" si="987"/>
        <v>0.32285263476719722</v>
      </c>
      <c r="HY85" s="242">
        <f t="shared" ca="1" si="988"/>
        <v>0.32285263476719722</v>
      </c>
      <c r="HZ85" s="241">
        <f t="shared" ca="1" si="1341"/>
        <v>1</v>
      </c>
      <c r="IA85" s="220">
        <f t="shared" ca="1" si="989"/>
        <v>0.96906158764378969</v>
      </c>
      <c r="IB85" s="220">
        <f t="shared" ca="1" si="990"/>
        <v>0</v>
      </c>
      <c r="IC85" s="235">
        <f t="shared" ca="1" si="991"/>
        <v>0.31140088024780266</v>
      </c>
      <c r="ID85" s="235">
        <f t="shared" ca="1" si="992"/>
        <v>0.31140088024780266</v>
      </c>
      <c r="IE85" s="242">
        <f t="shared" ca="1" si="993"/>
        <v>0.31140088024780266</v>
      </c>
      <c r="IF85" s="241">
        <f t="shared" ca="1" si="1341"/>
        <v>1</v>
      </c>
      <c r="IG85" s="220">
        <f t="shared" ca="1" si="994"/>
        <v>0.96736088455747493</v>
      </c>
      <c r="IH85" s="220">
        <f t="shared" ca="1" si="995"/>
        <v>0</v>
      </c>
      <c r="II85" s="235">
        <f t="shared" ca="1" si="996"/>
        <v>0.30034238811880948</v>
      </c>
      <c r="IJ85" s="235">
        <f t="shared" ca="1" si="997"/>
        <v>0.30034238811880948</v>
      </c>
      <c r="IK85" s="242">
        <f t="shared" ca="1" si="998"/>
        <v>0.30034238811880948</v>
      </c>
      <c r="IL85" s="241">
        <f t="shared" ca="1" si="1341"/>
        <v>1</v>
      </c>
      <c r="IM85" s="220">
        <f t="shared" ca="1" si="999"/>
        <v>0.96561963496527148</v>
      </c>
      <c r="IN85" s="220">
        <f t="shared" ca="1" si="1000"/>
        <v>0</v>
      </c>
      <c r="IO85" s="235">
        <f t="shared" ca="1" si="1001"/>
        <v>0.28966354765236296</v>
      </c>
      <c r="IP85" s="235">
        <f t="shared" ca="1" si="1002"/>
        <v>0.28966354765236296</v>
      </c>
      <c r="IQ85" s="242">
        <f t="shared" ca="1" si="1003"/>
        <v>0.28966354765236296</v>
      </c>
      <c r="IR85" s="241">
        <f t="shared" ca="1" si="1341"/>
        <v>1</v>
      </c>
      <c r="IS85" s="220">
        <f t="shared" ca="1" si="1004"/>
        <v>0.96382841054241086</v>
      </c>
      <c r="IT85" s="220">
        <f t="shared" ca="1" si="1005"/>
        <v>0</v>
      </c>
      <c r="IU85" s="235">
        <f t="shared" ca="1" si="1006"/>
        <v>0.27934900654248102</v>
      </c>
      <c r="IV85" s="235">
        <f t="shared" ca="1" si="1007"/>
        <v>0.27934900654248102</v>
      </c>
      <c r="IW85" s="242">
        <f t="shared" ca="1" si="1008"/>
        <v>0.27934900654248102</v>
      </c>
      <c r="IX85" s="241">
        <f t="shared" ca="1" si="1341"/>
        <v>1</v>
      </c>
      <c r="IY85" s="220">
        <f t="shared" ca="1" si="1009"/>
        <v>0.9619778599941694</v>
      </c>
      <c r="IZ85" s="220">
        <f t="shared" ca="1" si="1010"/>
        <v>0</v>
      </c>
      <c r="JA85" s="235">
        <f t="shared" ca="1" si="1011"/>
        <v>0.26938420913035699</v>
      </c>
      <c r="JB85" s="235">
        <f t="shared" ca="1" si="1012"/>
        <v>0.26938420913035699</v>
      </c>
      <c r="JC85" s="242">
        <f t="shared" ca="1" si="1013"/>
        <v>0.26938420913035699</v>
      </c>
      <c r="JD85" s="241">
        <f t="shared" ca="1" si="1336"/>
        <v>1</v>
      </c>
      <c r="JE85" s="220">
        <f t="shared" ca="1" si="1014"/>
        <v>0.96006544800850102</v>
      </c>
      <c r="JF85" s="220">
        <f t="shared" ca="1" si="1015"/>
        <v>0</v>
      </c>
      <c r="JG85" s="235">
        <f t="shared" ca="1" si="1016"/>
        <v>0.25975717229237277</v>
      </c>
      <c r="JH85" s="235">
        <f t="shared" ca="1" si="1017"/>
        <v>0.25975717229237277</v>
      </c>
      <c r="JI85" s="242">
        <f t="shared" ca="1" si="1018"/>
        <v>0.25975717229237277</v>
      </c>
      <c r="JJ85" s="241">
        <f t="shared" ca="1" si="1336"/>
        <v>1</v>
      </c>
      <c r="JK85" s="220">
        <f t="shared" ca="1" si="1019"/>
        <v>0.9580877131856036</v>
      </c>
      <c r="JL85" s="220">
        <f t="shared" ca="1" si="1020"/>
        <v>0</v>
      </c>
      <c r="JM85" s="235">
        <f t="shared" ca="1" si="1021"/>
        <v>0.25045610871251262</v>
      </c>
      <c r="JN85" s="235">
        <f t="shared" ca="1" si="1022"/>
        <v>0.25045610871251262</v>
      </c>
      <c r="JO85" s="242">
        <f t="shared" ca="1" si="1023"/>
        <v>0.25045610871251262</v>
      </c>
      <c r="JP85" s="241">
        <f t="shared" ca="1" si="1342"/>
        <v>1</v>
      </c>
      <c r="JQ85" s="220">
        <f t="shared" ca="1" si="1024"/>
        <v>0.95603644739167326</v>
      </c>
      <c r="JR85" s="220">
        <f t="shared" ca="1" si="1025"/>
        <v>0</v>
      </c>
      <c r="JS85" s="235">
        <f t="shared" ca="1" si="1026"/>
        <v>0.24146848520169967</v>
      </c>
      <c r="JT85" s="235">
        <f t="shared" ca="1" si="1027"/>
        <v>0.24146848520169967</v>
      </c>
      <c r="JU85" s="242">
        <f t="shared" ca="1" si="1028"/>
        <v>0.24146848520169967</v>
      </c>
      <c r="JV85" s="241">
        <f t="shared" ca="1" si="1342"/>
        <v>1</v>
      </c>
      <c r="JW85" s="220">
        <f t="shared" ca="1" si="1029"/>
        <v>0.95389492574951584</v>
      </c>
      <c r="JX85" s="220">
        <f t="shared" ca="1" si="1030"/>
        <v>0</v>
      </c>
      <c r="JY85" s="235">
        <f t="shared" ca="1" si="1031"/>
        <v>0.23278028579212359</v>
      </c>
      <c r="JZ85" s="235">
        <f t="shared" ca="1" si="1032"/>
        <v>0.23278028579212359</v>
      </c>
      <c r="KA85" s="242">
        <f t="shared" ca="1" si="1033"/>
        <v>0.23278028579212359</v>
      </c>
      <c r="KB85" s="241">
        <f t="shared" ca="1" si="1342"/>
        <v>1</v>
      </c>
      <c r="KC85" s="220">
        <f t="shared" ca="1" si="1034"/>
        <v>0.95164182593489555</v>
      </c>
      <c r="KD85" s="220">
        <f t="shared" ca="1" si="1035"/>
        <v>0</v>
      </c>
      <c r="KE85" s="235">
        <f t="shared" ca="1" si="1036"/>
        <v>0.22437725483776094</v>
      </c>
      <c r="KF85" s="235">
        <f t="shared" ca="1" si="1037"/>
        <v>0.22437725483776094</v>
      </c>
      <c r="KG85" s="242">
        <f t="shared" ca="1" si="1038"/>
        <v>0.22437725483776094</v>
      </c>
      <c r="KH85" s="241">
        <f t="shared" ca="1" si="1342"/>
        <v>1</v>
      </c>
      <c r="KI85" s="220">
        <f t="shared" ca="1" si="1039"/>
        <v>0.94925415659362489</v>
      </c>
      <c r="KJ85" s="220">
        <f t="shared" ca="1" si="1040"/>
        <v>0</v>
      </c>
      <c r="KK85" s="235">
        <f t="shared" ca="1" si="1041"/>
        <v>0.21624569304866956</v>
      </c>
      <c r="KL85" s="235">
        <f t="shared" ca="1" si="1042"/>
        <v>0.21624569304866956</v>
      </c>
      <c r="KM85" s="242">
        <f t="shared" ca="1" si="1043"/>
        <v>0.21624569304866956</v>
      </c>
      <c r="KN85" s="241">
        <f t="shared" ca="1" si="1342"/>
        <v>1</v>
      </c>
      <c r="KO85" s="220">
        <f t="shared" ca="1" si="1044"/>
        <v>0.94670635843732753</v>
      </c>
      <c r="KP85" s="220">
        <f t="shared" ca="1" si="1045"/>
        <v>0</v>
      </c>
      <c r="KQ85" s="235">
        <f t="shared" ca="1" si="1046"/>
        <v>0.2083722604913304</v>
      </c>
      <c r="KR85" s="235">
        <f t="shared" ca="1" si="1047"/>
        <v>0.2083722604913304</v>
      </c>
      <c r="KS85" s="242">
        <f t="shared" ca="1" si="1048"/>
        <v>0.2083722604913304</v>
      </c>
      <c r="KT85" s="241">
        <f t="shared" ca="1" si="1342"/>
        <v>1</v>
      </c>
      <c r="KU85" s="220">
        <f t="shared" ca="1" si="1049"/>
        <v>0.94397037706144371</v>
      </c>
      <c r="KV85" s="220">
        <f t="shared" ca="1" si="1050"/>
        <v>0</v>
      </c>
      <c r="KW85" s="235">
        <f t="shared" ca="1" si="1051"/>
        <v>0.20074402382464779</v>
      </c>
      <c r="KX85" s="235">
        <f t="shared" ca="1" si="1052"/>
        <v>0.20074402382464779</v>
      </c>
      <c r="KY85" s="242">
        <f t="shared" ca="1" si="1053"/>
        <v>0.20074402382464779</v>
      </c>
      <c r="KZ85" s="241">
        <f t="shared" ca="1" si="1342"/>
        <v>1</v>
      </c>
      <c r="LA85" s="220">
        <f t="shared" ca="1" si="1054"/>
        <v>0.94102424551463493</v>
      </c>
      <c r="LB85" s="220">
        <f t="shared" ca="1" si="1055"/>
        <v>0</v>
      </c>
      <c r="LC85" s="235">
        <f t="shared" ca="1" si="1056"/>
        <v>0.19335024321380778</v>
      </c>
      <c r="LD85" s="235">
        <f t="shared" ca="1" si="1057"/>
        <v>0.19335024321380778</v>
      </c>
      <c r="LE85" s="242">
        <f t="shared" ca="1" si="1058"/>
        <v>0.19335024321380778</v>
      </c>
      <c r="LF85" s="241">
        <f t="shared" ca="1" si="1342"/>
        <v>1</v>
      </c>
      <c r="LG85" s="220">
        <f t="shared" ca="1" si="1059"/>
        <v>0.93783793741932242</v>
      </c>
      <c r="LH85" s="220">
        <f t="shared" ca="1" si="1060"/>
        <v>0</v>
      </c>
      <c r="LI85" s="235">
        <f t="shared" ca="1" si="1061"/>
        <v>0.18617928433844047</v>
      </c>
      <c r="LJ85" s="235">
        <f t="shared" ca="1" si="1062"/>
        <v>0.18617928433844047</v>
      </c>
      <c r="LK85" s="242">
        <f t="shared" ca="1" si="1063"/>
        <v>0.18617928433844047</v>
      </c>
      <c r="LL85" s="241">
        <f t="shared" ca="1" si="1342"/>
        <v>1</v>
      </c>
      <c r="LM85" s="220">
        <f t="shared" ca="1" si="1064"/>
        <v>0.93436137218530901</v>
      </c>
      <c r="LN85" s="220">
        <f t="shared" ca="1" si="1065"/>
        <v>0</v>
      </c>
      <c r="LO85" s="235">
        <f t="shared" ca="1" si="1066"/>
        <v>0.17921653887091585</v>
      </c>
      <c r="LP85" s="235">
        <f t="shared" ca="1" si="1067"/>
        <v>0.17921653887091585</v>
      </c>
      <c r="LQ85" s="242">
        <f t="shared" ca="1" si="1068"/>
        <v>0.17921653887091585</v>
      </c>
      <c r="LR85" s="241">
        <f t="shared" ca="1" si="1342"/>
        <v>1</v>
      </c>
      <c r="LS85" s="220">
        <f t="shared" ca="1" si="1069"/>
        <v>0.93053889981169891</v>
      </c>
      <c r="LT85" s="220">
        <f t="shared" ca="1" si="1070"/>
        <v>0</v>
      </c>
      <c r="LU85" s="235">
        <f t="shared" ca="1" si="1071"/>
        <v>0.17244769469603377</v>
      </c>
      <c r="LV85" s="235">
        <f t="shared" ca="1" si="1072"/>
        <v>0.17244769469603377</v>
      </c>
      <c r="LW85" s="242">
        <f t="shared" ca="1" si="1073"/>
        <v>0.17244769469603377</v>
      </c>
      <c r="LX85" s="241">
        <f t="shared" ca="1" si="1342"/>
        <v>1</v>
      </c>
      <c r="LY85" s="220">
        <f t="shared" ca="1" si="1074"/>
        <v>0.92632262805665211</v>
      </c>
      <c r="LZ85" s="220">
        <f t="shared" ca="1" si="1075"/>
        <v>0</v>
      </c>
      <c r="MA85" s="235">
        <f t="shared" ca="1" si="1076"/>
        <v>0.16586119245542613</v>
      </c>
      <c r="MB85" s="235">
        <f t="shared" ca="1" si="1077"/>
        <v>0.16586119245542613</v>
      </c>
      <c r="MC85" s="242">
        <f t="shared" ca="1" si="1078"/>
        <v>0.16586119245542613</v>
      </c>
      <c r="MD85" s="241">
        <f t="shared" ca="1" si="1337"/>
        <v>1</v>
      </c>
      <c r="ME85" s="220">
        <f t="shared" ca="1" si="1079"/>
        <v>0.92167897272220412</v>
      </c>
      <c r="MF85" s="220">
        <f t="shared" ca="1" si="1080"/>
        <v>0</v>
      </c>
      <c r="MG85" s="235">
        <f t="shared" ca="1" si="1081"/>
        <v>0.15944901478033538</v>
      </c>
      <c r="MH85" s="235">
        <f t="shared" ca="1" si="1082"/>
        <v>0.15944901478033538</v>
      </c>
      <c r="MI85" s="242">
        <f t="shared" ca="1" si="1083"/>
        <v>0.15944901478033538</v>
      </c>
      <c r="MJ85" s="241">
        <f t="shared" ca="1" si="1337"/>
        <v>1</v>
      </c>
      <c r="MK85" s="220">
        <f t="shared" ca="1" si="1084"/>
        <v>0.91658761807688671</v>
      </c>
      <c r="ML85" s="220">
        <f t="shared" ca="1" si="1085"/>
        <v>0</v>
      </c>
      <c r="MM85" s="235">
        <f t="shared" ca="1" si="1086"/>
        <v>0.15320600813786359</v>
      </c>
      <c r="MN85" s="235">
        <f t="shared" ca="1" si="1087"/>
        <v>0.15320600813786359</v>
      </c>
      <c r="MO85" s="242">
        <f t="shared" ca="1" si="1088"/>
        <v>0.15320600813786359</v>
      </c>
      <c r="MP85" s="241">
        <f t="shared" ca="1" si="1343"/>
        <v>1</v>
      </c>
      <c r="MQ85" s="220">
        <f t="shared" ca="1" si="1089"/>
        <v>0.91103401369895887</v>
      </c>
      <c r="MR85" s="220">
        <f t="shared" ca="1" si="1090"/>
        <v>0</v>
      </c>
      <c r="MS85" s="235">
        <f t="shared" ca="1" si="1091"/>
        <v>0.1471282443812138</v>
      </c>
      <c r="MT85" s="235">
        <f t="shared" ca="1" si="1092"/>
        <v>0.1471282443812138</v>
      </c>
      <c r="MU85" s="242">
        <f t="shared" ca="1" si="1093"/>
        <v>0.1471282443812138</v>
      </c>
      <c r="MV85" s="241">
        <f t="shared" ca="1" si="1343"/>
        <v>1</v>
      </c>
      <c r="MW85" s="220">
        <f t="shared" ca="1" si="1094"/>
        <v>0.90501116783439506</v>
      </c>
      <c r="MX85" s="220">
        <f t="shared" ca="1" si="1095"/>
        <v>0</v>
      </c>
      <c r="MY85" s="235">
        <f t="shared" ca="1" si="1096"/>
        <v>0.14121312034551653</v>
      </c>
      <c r="MZ85" s="235">
        <f t="shared" ca="1" si="1097"/>
        <v>0.14121312034551653</v>
      </c>
      <c r="NA85" s="242">
        <f t="shared" ca="1" si="1098"/>
        <v>0.14121312034551653</v>
      </c>
      <c r="NB85" s="241">
        <f t="shared" ca="1" si="1343"/>
        <v>1</v>
      </c>
      <c r="NC85" s="220">
        <f t="shared" ca="1" si="1099"/>
        <v>0.89850685257116925</v>
      </c>
      <c r="ND85" s="220">
        <f t="shared" ca="1" si="1100"/>
        <v>0</v>
      </c>
      <c r="NE85" s="235">
        <f t="shared" ca="1" si="1101"/>
        <v>0.13545721898511429</v>
      </c>
      <c r="NF85" s="235">
        <f t="shared" ca="1" si="1102"/>
        <v>0.13545721898511429</v>
      </c>
      <c r="NG85" s="242">
        <f t="shared" ca="1" si="1103"/>
        <v>0.13545721898511429</v>
      </c>
      <c r="NH85" s="241">
        <f t="shared" ca="1" si="1343"/>
        <v>1</v>
      </c>
      <c r="NI85" s="220">
        <f t="shared" ca="1" si="1104"/>
        <v>0.89149849912111412</v>
      </c>
      <c r="NJ85" s="220">
        <f t="shared" ca="1" si="1105"/>
        <v>0</v>
      </c>
      <c r="NK85" s="235">
        <f t="shared" ca="1" si="1106"/>
        <v>0.12985570306959462</v>
      </c>
      <c r="NL85" s="235">
        <f t="shared" ca="1" si="1107"/>
        <v>0.12985570306959462</v>
      </c>
      <c r="NM85" s="242">
        <f t="shared" ca="1" si="1108"/>
        <v>0.12985570306959462</v>
      </c>
      <c r="NN85" s="241">
        <f t="shared" ca="1" si="1343"/>
        <v>1</v>
      </c>
      <c r="NO85" s="220">
        <f t="shared" ca="1" si="1109"/>
        <v>0.88395998781254592</v>
      </c>
      <c r="NP85" s="220">
        <f t="shared" ca="1" si="1110"/>
        <v>0</v>
      </c>
      <c r="NQ85" s="235">
        <f t="shared" ca="1" si="1111"/>
        <v>0.12440352004293539</v>
      </c>
      <c r="NR85" s="235">
        <f t="shared" ca="1" si="1112"/>
        <v>0.12440352004293539</v>
      </c>
      <c r="NS85" s="242">
        <f t="shared" ca="1" si="1113"/>
        <v>0.12440352004293539</v>
      </c>
      <c r="NT85" s="241">
        <f t="shared" ca="1" si="1343"/>
        <v>1</v>
      </c>
      <c r="NU85" s="220">
        <f t="shared" ca="1" si="1114"/>
        <v>0.87587705768398794</v>
      </c>
      <c r="NV85" s="220">
        <f t="shared" ca="1" si="1115"/>
        <v>0</v>
      </c>
      <c r="NW85" s="235">
        <f t="shared" ca="1" si="1116"/>
        <v>0.11909755966730703</v>
      </c>
      <c r="NX85" s="235">
        <f t="shared" ca="1" si="1117"/>
        <v>0.11909755966730703</v>
      </c>
      <c r="NY85" s="242">
        <f t="shared" ca="1" si="1118"/>
        <v>0.11909755966730703</v>
      </c>
      <c r="NZ85" s="241">
        <f t="shared" ca="1" si="1343"/>
        <v>1</v>
      </c>
      <c r="OA85" s="220">
        <f t="shared" ca="1" si="1119"/>
        <v>0.86723653050993543</v>
      </c>
      <c r="OB85" s="220">
        <f t="shared" ca="1" si="1120"/>
        <v>0</v>
      </c>
      <c r="OC85" s="235">
        <f t="shared" ca="1" si="1121"/>
        <v>0.11393493936346769</v>
      </c>
      <c r="OD85" s="235">
        <f t="shared" ca="1" si="1122"/>
        <v>0.11393493936346769</v>
      </c>
      <c r="OE85" s="242">
        <f t="shared" ca="1" si="1123"/>
        <v>0.11393493936346769</v>
      </c>
      <c r="OF85" s="241">
        <f t="shared" ca="1" si="1343"/>
        <v>1</v>
      </c>
      <c r="OG85" s="220">
        <f t="shared" ca="1" si="1124"/>
        <v>0.85802474408285889</v>
      </c>
      <c r="OH85" s="220">
        <f t="shared" ca="1" si="1125"/>
        <v>0</v>
      </c>
      <c r="OI85" s="235">
        <f t="shared" ca="1" si="1126"/>
        <v>0.10891277530197965</v>
      </c>
      <c r="OJ85" s="235">
        <f t="shared" ca="1" si="1127"/>
        <v>0.10891277530197965</v>
      </c>
      <c r="OK85" s="242">
        <f t="shared" ca="1" si="1128"/>
        <v>0.10891277530197965</v>
      </c>
      <c r="OL85" s="241">
        <f t="shared" ca="1" si="1343"/>
        <v>1</v>
      </c>
      <c r="OM85" s="220">
        <f t="shared" ca="1" si="1129"/>
        <v>0.84819349656515752</v>
      </c>
      <c r="ON85" s="220">
        <f t="shared" ca="1" si="1130"/>
        <v>0</v>
      </c>
      <c r="OO85" s="235">
        <f t="shared" ca="1" si="1131"/>
        <v>0.10402401229233778</v>
      </c>
      <c r="OP85" s="235">
        <f t="shared" ca="1" si="1132"/>
        <v>0.10402401229233778</v>
      </c>
      <c r="OQ85" s="242">
        <f t="shared" ca="1" si="1133"/>
        <v>0.10402401229233778</v>
      </c>
      <c r="OR85" s="241">
        <f t="shared" ca="1" si="1343"/>
        <v>1</v>
      </c>
      <c r="OS85" s="220">
        <f t="shared" ca="1" si="1134"/>
        <v>0.83771830688257787</v>
      </c>
      <c r="OT85" s="220">
        <f t="shared" ca="1" si="1135"/>
        <v>0</v>
      </c>
      <c r="OU85" s="235">
        <f t="shared" ca="1" si="1136"/>
        <v>9.9265039362828419E-2</v>
      </c>
      <c r="OV85" s="235">
        <f t="shared" ca="1" si="1137"/>
        <v>9.9265039362828419E-2</v>
      </c>
      <c r="OW85" s="242">
        <f t="shared" ca="1" si="1138"/>
        <v>9.9265039362828419E-2</v>
      </c>
      <c r="OX85" s="241">
        <f t="shared" ca="1" si="1343"/>
        <v>1</v>
      </c>
      <c r="OY85" s="220">
        <f t="shared" ca="1" si="1139"/>
        <v>0.82663110509098692</v>
      </c>
      <c r="OZ85" s="220">
        <f t="shared" ca="1" si="1140"/>
        <v>0</v>
      </c>
      <c r="PA85" s="235">
        <f t="shared" ca="1" si="1141"/>
        <v>9.4638904895518239E-2</v>
      </c>
      <c r="PB85" s="235">
        <f t="shared" ca="1" si="1142"/>
        <v>9.4638904895518239E-2</v>
      </c>
      <c r="PC85" s="242">
        <f t="shared" ca="1" si="1143"/>
        <v>9.4638904895518239E-2</v>
      </c>
      <c r="PD85" s="241">
        <f t="shared" ca="1" si="1338"/>
        <v>1</v>
      </c>
      <c r="PE85" s="220">
        <f t="shared" ca="1" si="1144"/>
        <v>0.81497808640251923</v>
      </c>
      <c r="PF85" s="220">
        <f t="shared" ca="1" si="1145"/>
        <v>0</v>
      </c>
      <c r="PG85" s="235">
        <f t="shared" ca="1" si="1146"/>
        <v>9.0149546138363415E-2</v>
      </c>
      <c r="PH85" s="235">
        <f t="shared" ca="1" si="1147"/>
        <v>9.0149546138363415E-2</v>
      </c>
      <c r="PI85" s="242">
        <f t="shared" ca="1" si="1148"/>
        <v>9.0149546138363415E-2</v>
      </c>
      <c r="PJ85" s="241">
        <f t="shared" ca="1" si="1338"/>
        <v>1</v>
      </c>
      <c r="PK85" s="220">
        <f t="shared" ca="1" si="1149"/>
        <v>0.80277052964629592</v>
      </c>
      <c r="PL85" s="220">
        <f t="shared" ca="1" si="1150"/>
        <v>0</v>
      </c>
      <c r="PM85" s="235">
        <f t="shared" ca="1" si="1151"/>
        <v>8.5796324721504238E-2</v>
      </c>
      <c r="PN85" s="235">
        <f t="shared" ca="1" si="1152"/>
        <v>8.5796324721504238E-2</v>
      </c>
      <c r="PO85" s="242">
        <f t="shared" ca="1" si="1153"/>
        <v>8.5796324721504238E-2</v>
      </c>
      <c r="PP85" s="241">
        <f t="shared" ca="1" si="1344"/>
        <v>1</v>
      </c>
      <c r="PQ85" s="220">
        <f t="shared" ca="1" si="1154"/>
        <v>0.78995269259943357</v>
      </c>
      <c r="PR85" s="220">
        <f t="shared" ca="1" si="1155"/>
        <v>0</v>
      </c>
      <c r="PS85" s="235">
        <f t="shared" ca="1" si="1156"/>
        <v>8.1571415270218356E-2</v>
      </c>
      <c r="PT85" s="235">
        <f t="shared" ca="1" si="1157"/>
        <v>8.1571415270218356E-2</v>
      </c>
      <c r="PU85" s="242">
        <f t="shared" ca="1" si="1158"/>
        <v>8.1571415270218356E-2</v>
      </c>
      <c r="PV85" s="241">
        <f t="shared" ca="1" si="1344"/>
        <v>1</v>
      </c>
      <c r="PW85" s="220">
        <f t="shared" ca="1" si="1159"/>
        <v>0.77643739198174988</v>
      </c>
      <c r="PX85" s="220">
        <f t="shared" ca="1" si="1160"/>
        <v>0</v>
      </c>
      <c r="PY85" s="235">
        <f t="shared" ca="1" si="1161"/>
        <v>7.7464550653488104E-2</v>
      </c>
      <c r="PZ85" s="235">
        <f t="shared" ca="1" si="1162"/>
        <v>7.7464550653488104E-2</v>
      </c>
      <c r="QA85" s="242">
        <f t="shared" ca="1" si="1163"/>
        <v>7.7464550653488104E-2</v>
      </c>
      <c r="QB85" s="241">
        <f t="shared" ca="1" si="1344"/>
        <v>1</v>
      </c>
      <c r="QC85" s="220">
        <f t="shared" ca="1" si="1164"/>
        <v>0.76215715546842155</v>
      </c>
      <c r="QD85" s="220">
        <f t="shared" ca="1" si="1165"/>
        <v>0</v>
      </c>
      <c r="QE85" s="235">
        <f t="shared" ca="1" si="1166"/>
        <v>7.3468427669438799E-2</v>
      </c>
      <c r="QF85" s="235">
        <f t="shared" ca="1" si="1167"/>
        <v>7.3468427669438799E-2</v>
      </c>
      <c r="QG85" s="242">
        <f t="shared" ca="1" si="1168"/>
        <v>7.3468427669438799E-2</v>
      </c>
      <c r="QH85" s="241">
        <f t="shared" ca="1" si="1344"/>
        <v>1</v>
      </c>
      <c r="QI85" s="220">
        <f t="shared" ca="1" si="1169"/>
        <v>0.74703900613254992</v>
      </c>
      <c r="QJ85" s="220">
        <f t="shared" ca="1" si="1170"/>
        <v>0</v>
      </c>
      <c r="QK85" s="235">
        <f t="shared" ca="1" si="1171"/>
        <v>6.9575949698732195E-2</v>
      </c>
      <c r="QL85" s="235">
        <f t="shared" ca="1" si="1172"/>
        <v>6.9575949698732195E-2</v>
      </c>
      <c r="QM85" s="242">
        <f t="shared" ca="1" si="1173"/>
        <v>6.9575949698732195E-2</v>
      </c>
      <c r="QN85" s="241">
        <f t="shared" ca="1" si="1344"/>
        <v>1</v>
      </c>
      <c r="QO85" s="220">
        <f t="shared" ca="1" si="1174"/>
        <v>0.73100381386591473</v>
      </c>
      <c r="QP85" s="220">
        <f t="shared" ca="1" si="1175"/>
        <v>0</v>
      </c>
      <c r="QQ85" s="235">
        <f t="shared" ca="1" si="1176"/>
        <v>6.5780195109612458E-2</v>
      </c>
      <c r="QR85" s="235">
        <f t="shared" ca="1" si="1177"/>
        <v>6.5780195109612458E-2</v>
      </c>
      <c r="QS85" s="242">
        <f t="shared" ca="1" si="1178"/>
        <v>6.5780195109612458E-2</v>
      </c>
      <c r="QT85" s="241">
        <f t="shared" ca="1" si="1344"/>
        <v>1</v>
      </c>
      <c r="QU85" s="220">
        <f t="shared" ca="1" si="1179"/>
        <v>0.71393414380833176</v>
      </c>
      <c r="QV85" s="220">
        <f t="shared" ca="1" si="1180"/>
        <v>0</v>
      </c>
      <c r="QW85" s="235">
        <f t="shared" ca="1" si="1181"/>
        <v>6.2071653887543876E-2</v>
      </c>
      <c r="QX85" s="235">
        <f t="shared" ca="1" si="1182"/>
        <v>6.2071653887543876E-2</v>
      </c>
      <c r="QY85" s="242">
        <f t="shared" ca="1" si="1183"/>
        <v>6.2071653887543876E-2</v>
      </c>
      <c r="QZ85" s="241">
        <f t="shared" ca="1" si="1344"/>
        <v>1</v>
      </c>
      <c r="RA85" s="220">
        <f t="shared" ca="1" si="1184"/>
        <v>0.69574167395580788</v>
      </c>
      <c r="RB85" s="220">
        <f t="shared" ca="1" si="1185"/>
        <v>0</v>
      </c>
      <c r="RC85" s="235">
        <f t="shared" ca="1" si="1186"/>
        <v>5.8444390341238162E-2</v>
      </c>
      <c r="RD85" s="235">
        <f t="shared" ca="1" si="1187"/>
        <v>5.8444390341238162E-2</v>
      </c>
      <c r="RE85" s="242">
        <f t="shared" ca="1" si="1188"/>
        <v>5.8444390341238162E-2</v>
      </c>
      <c r="RF85" s="241">
        <f t="shared" ca="1" si="1344"/>
        <v>1</v>
      </c>
      <c r="RG85" s="220">
        <f t="shared" ca="1" si="1189"/>
        <v>0.67640422986988014</v>
      </c>
      <c r="RH85" s="220">
        <f t="shared" ca="1" si="1190"/>
        <v>0</v>
      </c>
      <c r="RI85" s="235">
        <f t="shared" ca="1" si="1191"/>
        <v>5.4898538121829751E-2</v>
      </c>
      <c r="RJ85" s="235">
        <f t="shared" ca="1" si="1192"/>
        <v>5.4898538121829751E-2</v>
      </c>
      <c r="RK85" s="242">
        <f t="shared" ca="1" si="1193"/>
        <v>5.4898538121829751E-2</v>
      </c>
      <c r="RL85" s="241">
        <f t="shared" ca="1" si="1344"/>
        <v>1</v>
      </c>
      <c r="RM85" s="220">
        <f t="shared" ca="1" si="1194"/>
        <v>0.65592135698096043</v>
      </c>
      <c r="RN85" s="220">
        <f t="shared" ca="1" si="1195"/>
        <v>0</v>
      </c>
      <c r="RO85" s="235">
        <f t="shared" ca="1" si="1196"/>
        <v>5.1435845981086484E-2</v>
      </c>
      <c r="RP85" s="235">
        <f t="shared" ca="1" si="1197"/>
        <v>5.1435845981086484E-2</v>
      </c>
      <c r="RQ85" s="242">
        <f t="shared" ca="1" si="1198"/>
        <v>5.1435845981086484E-2</v>
      </c>
      <c r="RR85" s="241">
        <f t="shared" ca="1" si="1344"/>
        <v>1</v>
      </c>
      <c r="RS85" s="220">
        <f t="shared" ca="1" si="1199"/>
        <v>0.63426152193073515</v>
      </c>
      <c r="RT85" s="220">
        <f t="shared" ca="1" si="1200"/>
        <v>0</v>
      </c>
      <c r="RU85" s="235">
        <f t="shared" ca="1" si="1201"/>
        <v>4.8055392729564286E-2</v>
      </c>
      <c r="RV85" s="235">
        <f t="shared" ca="1" si="1202"/>
        <v>4.8055392729564286E-2</v>
      </c>
      <c r="RW85" s="242">
        <f t="shared" ca="1" si="1203"/>
        <v>4.8055392729564286E-2</v>
      </c>
      <c r="RX85" s="241">
        <f t="shared" ca="1" si="1344"/>
        <v>1</v>
      </c>
      <c r="RY85" s="220">
        <f t="shared" ca="1" si="1204"/>
        <v>0.61130062057532053</v>
      </c>
      <c r="RZ85" s="220">
        <f t="shared" ca="1" si="1205"/>
        <v>0</v>
      </c>
      <c r="SA85" s="235">
        <f t="shared" ca="1" si="1206"/>
        <v>4.4749506722088245E-2</v>
      </c>
      <c r="SB85" s="235">
        <f t="shared" ca="1" si="1207"/>
        <v>4.4749506722088245E-2</v>
      </c>
      <c r="SC85" s="242">
        <f t="shared" ca="1" si="1208"/>
        <v>4.4749506722088245E-2</v>
      </c>
      <c r="SD85" s="241">
        <f t="shared" ca="1" si="1339"/>
        <v>1</v>
      </c>
      <c r="SE85" s="220">
        <f t="shared" ca="1" si="1209"/>
        <v>0.58693540044042947</v>
      </c>
      <c r="SF85" s="220">
        <f t="shared" ca="1" si="1210"/>
        <v>0</v>
      </c>
      <c r="SG85" s="235">
        <f t="shared" ca="1" si="1211"/>
        <v>4.1512928389525854E-2</v>
      </c>
      <c r="SH85" s="235">
        <f t="shared" ca="1" si="1212"/>
        <v>4.1512928389525854E-2</v>
      </c>
      <c r="SI85" s="242">
        <f t="shared" ca="1" si="1213"/>
        <v>4.1512928389525854E-2</v>
      </c>
      <c r="SJ85" s="241">
        <f t="shared" ca="1" si="1339"/>
        <v>1</v>
      </c>
      <c r="SK85" s="220">
        <f t="shared" ca="1" si="1214"/>
        <v>0.56117421877969853</v>
      </c>
      <c r="SL85" s="220">
        <f t="shared" ca="1" si="1215"/>
        <v>0</v>
      </c>
      <c r="SM85" s="235">
        <f t="shared" ca="1" si="1216"/>
        <v>3.8348680627614658E-2</v>
      </c>
      <c r="SN85" s="235">
        <f t="shared" ca="1" si="1217"/>
        <v>3.8348680627614658E-2</v>
      </c>
      <c r="SO85" s="242">
        <f t="shared" ca="1" si="1218"/>
        <v>3.8348680627614658E-2</v>
      </c>
      <c r="SP85" s="241">
        <f t="shared" ca="1" si="1347"/>
        <v>1</v>
      </c>
      <c r="SQ85" s="220">
        <f t="shared" ca="1" si="1219"/>
        <v>0.5340633310962325</v>
      </c>
      <c r="SR85" s="220">
        <f t="shared" ca="1" si="1220"/>
        <v>0</v>
      </c>
      <c r="SS85" s="235">
        <f t="shared" ca="1" si="1221"/>
        <v>3.5261852674216394E-2</v>
      </c>
      <c r="ST85" s="235">
        <f t="shared" ca="1" si="1222"/>
        <v>3.5261852674216394E-2</v>
      </c>
      <c r="SU85" s="242">
        <f t="shared" ca="1" si="1223"/>
        <v>3.5261852674216394E-2</v>
      </c>
      <c r="SV85" s="241">
        <f t="shared" ca="1" si="1347"/>
        <v>1</v>
      </c>
      <c r="SW85" s="220">
        <f t="shared" ca="1" si="1224"/>
        <v>0.50563620810864218</v>
      </c>
      <c r="SX85" s="220">
        <f t="shared" ca="1" si="1225"/>
        <v>0</v>
      </c>
      <c r="SY85" s="235">
        <f t="shared" ca="1" si="1226"/>
        <v>3.2255975632920972E-2</v>
      </c>
      <c r="SZ85" s="235">
        <f t="shared" ca="1" si="1227"/>
        <v>3.2255975632920972E-2</v>
      </c>
      <c r="TA85" s="242">
        <f t="shared" ca="1" si="1228"/>
        <v>3.2255975632920972E-2</v>
      </c>
      <c r="TB85" s="241">
        <f t="shared" ca="1" si="1347"/>
        <v>1</v>
      </c>
      <c r="TC85" s="220">
        <f t="shared" ca="1" si="1229"/>
        <v>0.47585575235966748</v>
      </c>
      <c r="TD85" s="220">
        <f t="shared" ca="1" si="1230"/>
        <v>0</v>
      </c>
      <c r="TE85" s="235">
        <f t="shared" ca="1" si="1231"/>
        <v>2.9329657426153458E-2</v>
      </c>
      <c r="TF85" s="235">
        <f t="shared" ca="1" si="1232"/>
        <v>2.9329657426153458E-2</v>
      </c>
      <c r="TG85" s="242">
        <f t="shared" ca="1" si="1233"/>
        <v>2.9329657426153458E-2</v>
      </c>
      <c r="TH85" s="241">
        <f t="shared" ca="1" si="1347"/>
        <v>1</v>
      </c>
      <c r="TI85" s="220">
        <f t="shared" ca="1" si="1234"/>
        <v>0.4447514411066778</v>
      </c>
      <c r="TJ85" s="220">
        <f t="shared" ca="1" si="1235"/>
        <v>0</v>
      </c>
      <c r="TK85" s="235">
        <f t="shared" ca="1" si="1236"/>
        <v>2.6485530790814431E-2</v>
      </c>
      <c r="TL85" s="235">
        <f t="shared" ca="1" si="1237"/>
        <v>2.6485530790814431E-2</v>
      </c>
      <c r="TM85" s="242">
        <f t="shared" ca="1" si="1238"/>
        <v>2.6485530790814431E-2</v>
      </c>
      <c r="TN85" s="241">
        <f t="shared" ca="1" si="1347"/>
        <v>1</v>
      </c>
      <c r="TO85" s="220">
        <f t="shared" ca="1" si="1239"/>
        <v>0.41251096438941365</v>
      </c>
      <c r="TP85" s="220">
        <f t="shared" ca="1" si="1240"/>
        <v>0</v>
      </c>
      <c r="TQ85" s="235">
        <f t="shared" ca="1" si="1241"/>
        <v>2.3734848481408222E-2</v>
      </c>
      <c r="TR85" s="235">
        <f t="shared" ca="1" si="1242"/>
        <v>2.3734848481408222E-2</v>
      </c>
      <c r="TS85" s="242">
        <f t="shared" ca="1" si="1243"/>
        <v>2.3734848481408222E-2</v>
      </c>
      <c r="TT85" s="241">
        <f t="shared" ca="1" si="1347"/>
        <v>1</v>
      </c>
      <c r="TU85" s="220">
        <f t="shared" ca="1" si="1244"/>
        <v>0.37939128408051637</v>
      </c>
      <c r="TV85" s="220">
        <f t="shared" ca="1" si="1245"/>
        <v>0</v>
      </c>
      <c r="TW85" s="235">
        <f t="shared" ca="1" si="1246"/>
        <v>2.1091038615007652E-2</v>
      </c>
      <c r="TX85" s="235">
        <f t="shared" ca="1" si="1247"/>
        <v>2.1091038615007652E-2</v>
      </c>
      <c r="TY85" s="242">
        <f t="shared" ca="1" si="1248"/>
        <v>2.1091038615007652E-2</v>
      </c>
      <c r="TZ85" s="241">
        <f t="shared" ca="1" si="1347"/>
        <v>1</v>
      </c>
      <c r="UA85" s="220">
        <f t="shared" ca="1" si="1249"/>
        <v>0.34565732866521315</v>
      </c>
      <c r="UB85" s="220">
        <f t="shared" ca="1" si="1250"/>
        <v>0</v>
      </c>
      <c r="UC85" s="235">
        <f t="shared" ca="1" si="1251"/>
        <v>1.8565901280691431E-2</v>
      </c>
      <c r="UD85" s="235">
        <f t="shared" ca="1" si="1252"/>
        <v>1.8565901280691431E-2</v>
      </c>
      <c r="UE85" s="242">
        <f t="shared" ca="1" si="1253"/>
        <v>1.8565901280691431E-2</v>
      </c>
      <c r="UF85" s="241">
        <f t="shared" ca="1" si="1347"/>
        <v>1</v>
      </c>
      <c r="UG85" s="220">
        <f t="shared" ca="1" si="1254"/>
        <v>0.31158381183471112</v>
      </c>
      <c r="UH85" s="220">
        <f t="shared" ca="1" si="1255"/>
        <v>0</v>
      </c>
      <c r="UI85" s="235">
        <f t="shared" ca="1" si="1256"/>
        <v>1.6169805793281151E-2</v>
      </c>
      <c r="UJ85" s="235">
        <f t="shared" ca="1" si="1257"/>
        <v>1.6169805793281151E-2</v>
      </c>
      <c r="UK85" s="242">
        <f t="shared" ca="1" si="1258"/>
        <v>1.6169805793281151E-2</v>
      </c>
      <c r="UL85" s="241">
        <f t="shared" ca="1" si="1347"/>
        <v>1</v>
      </c>
      <c r="UM85" s="220">
        <f t="shared" ca="1" si="1259"/>
        <v>0.27748470263514402</v>
      </c>
      <c r="UN85" s="220">
        <f t="shared" ca="1" si="1260"/>
        <v>0</v>
      </c>
      <c r="UO85" s="235">
        <f t="shared" ca="1" si="1261"/>
        <v>1.3913250808575896E-2</v>
      </c>
      <c r="UP85" s="235">
        <f t="shared" ca="1" si="1262"/>
        <v>1.3913250808575896E-2</v>
      </c>
      <c r="UQ85" s="242">
        <f t="shared" ca="1" si="1263"/>
        <v>1.3913250808575896E-2</v>
      </c>
      <c r="UR85" s="241">
        <f t="shared" ca="1" si="1347"/>
        <v>1</v>
      </c>
      <c r="US85" s="220">
        <f t="shared" ca="1" si="1264"/>
        <v>0.24373729058536042</v>
      </c>
      <c r="UT85" s="220">
        <f t="shared" ca="1" si="1265"/>
        <v>0</v>
      </c>
      <c r="UU85" s="235">
        <f t="shared" ca="1" si="1266"/>
        <v>1.1807860056509861E-2</v>
      </c>
      <c r="UV85" s="235">
        <f t="shared" ca="1" si="1267"/>
        <v>1.1807860056509861E-2</v>
      </c>
      <c r="UW85" s="242">
        <f t="shared" ca="1" si="1268"/>
        <v>1.1807860056509861E-2</v>
      </c>
      <c r="UX85" s="241">
        <f t="shared" ca="1" si="1347"/>
        <v>1</v>
      </c>
      <c r="UY85" s="220">
        <f t="shared" ca="1" si="1269"/>
        <v>0.21078985859319374</v>
      </c>
      <c r="UZ85" s="220">
        <f t="shared" ca="1" si="1270"/>
        <v>0</v>
      </c>
      <c r="VA85" s="235">
        <f t="shared" ca="1" si="1271"/>
        <v>9.866396874889936E-3</v>
      </c>
      <c r="VB85" s="235">
        <f t="shared" ca="1" si="1272"/>
        <v>9.866396874889936E-3</v>
      </c>
      <c r="VC85" s="242">
        <f t="shared" ca="1" si="1273"/>
        <v>9.866396874889936E-3</v>
      </c>
      <c r="VD85" s="241">
        <f t="shared" ca="1" si="1345"/>
        <v>1</v>
      </c>
      <c r="VE85" s="220">
        <f t="shared" ca="1" si="1274"/>
        <v>0.17914840370962801</v>
      </c>
      <c r="VF85" s="220">
        <f t="shared" ca="1" si="1275"/>
        <v>0</v>
      </c>
      <c r="VG85" s="235">
        <f t="shared" ca="1" si="1276"/>
        <v>8.1017989433788233E-3</v>
      </c>
      <c r="VH85" s="235">
        <f t="shared" ca="1" si="1277"/>
        <v>8.1017989433788233E-3</v>
      </c>
      <c r="VI85" s="242">
        <f t="shared" ca="1" si="1278"/>
        <v>8.1017989433788233E-3</v>
      </c>
      <c r="VJ85" s="241">
        <f t="shared" ca="1" si="1345"/>
        <v>1</v>
      </c>
      <c r="VK85" s="220">
        <f t="shared" ca="1" si="1279"/>
        <v>0.14933864677755704</v>
      </c>
      <c r="VL85" s="220">
        <f t="shared" ca="1" si="1280"/>
        <v>0</v>
      </c>
      <c r="VM85" s="235">
        <f t="shared" ca="1" si="1281"/>
        <v>6.5252984585482295E-3</v>
      </c>
      <c r="VN85" s="235">
        <f t="shared" ca="1" si="1282"/>
        <v>6.5252984585482295E-3</v>
      </c>
      <c r="VO85" s="242">
        <f t="shared" ca="1" si="1283"/>
        <v>6.5252984585482295E-3</v>
      </c>
      <c r="VP85" s="241">
        <f t="shared" ca="1" si="567"/>
        <v>1</v>
      </c>
      <c r="VQ85" s="220">
        <f t="shared" ca="1" si="1284"/>
        <v>0.12186078378642688</v>
      </c>
      <c r="VR85" s="220">
        <f t="shared" ca="1" si="1285"/>
        <v>0</v>
      </c>
      <c r="VS85" s="235">
        <f t="shared" ca="1" si="1286"/>
        <v>5.1446020464451514E-3</v>
      </c>
      <c r="VT85" s="235">
        <f t="shared" ca="1" si="1287"/>
        <v>5.1446020464451514E-3</v>
      </c>
      <c r="VU85" s="242">
        <f t="shared" ca="1" si="1288"/>
        <v>5.1446020464451514E-3</v>
      </c>
      <c r="VV85" s="241">
        <f t="shared" ca="1" si="1335"/>
        <v>1</v>
      </c>
      <c r="VW85" s="220">
        <f t="shared" ca="1" si="1289"/>
        <v>9.714071449143126E-2</v>
      </c>
      <c r="VX85" s="220">
        <f t="shared" ca="1" si="1290"/>
        <v>0</v>
      </c>
      <c r="VY85" s="235">
        <f t="shared" ca="1" si="1291"/>
        <v>3.9623128486120972E-3</v>
      </c>
      <c r="VZ85" s="235">
        <f t="shared" ca="1" si="1292"/>
        <v>3.9623128486120972E-3</v>
      </c>
      <c r="WA85" s="242">
        <f t="shared" ca="1" si="1293"/>
        <v>3.9623128486120972E-3</v>
      </c>
      <c r="WB85" s="241">
        <f t="shared" ca="1" si="1335"/>
        <v>1</v>
      </c>
      <c r="WC85" s="220">
        <f t="shared" ca="1" si="1294"/>
        <v>7.5486980683431834E-2</v>
      </c>
      <c r="WD85" s="220">
        <f t="shared" ca="1" si="1295"/>
        <v>0</v>
      </c>
      <c r="WE85" s="235">
        <f t="shared" ca="1" si="1296"/>
        <v>2.9749465982754843E-3</v>
      </c>
      <c r="WF85" s="235">
        <f t="shared" ca="1" si="1297"/>
        <v>2.9749465982754843E-3</v>
      </c>
      <c r="WG85" s="242">
        <f t="shared" ca="1" si="1298"/>
        <v>2.9749465982754843E-3</v>
      </c>
      <c r="WH85" s="241">
        <f t="shared" ca="1" si="1335"/>
        <v>1</v>
      </c>
      <c r="WI85" s="220">
        <f t="shared" ca="1" si="1299"/>
        <v>5.7061061620490225E-2</v>
      </c>
      <c r="WJ85" s="220">
        <f t="shared" ca="1" si="1300"/>
        <v>0</v>
      </c>
      <c r="WK85" s="235">
        <f t="shared" ca="1" si="1301"/>
        <v>2.1727342833971291E-3</v>
      </c>
      <c r="WL85" s="235">
        <f t="shared" ca="1" si="1302"/>
        <v>2.1727342833971291E-3</v>
      </c>
      <c r="WM85" s="242">
        <f t="shared" ca="1" si="1303"/>
        <v>2.1727342833971291E-3</v>
      </c>
      <c r="WN85" s="241">
        <f t="shared" ca="1" si="1335"/>
        <v>1</v>
      </c>
      <c r="WO85" s="220">
        <f t="shared" ca="1" si="1304"/>
        <v>4.1934687734452851E-2</v>
      </c>
      <c r="WP85" s="220">
        <f t="shared" ca="1" si="1305"/>
        <v>0</v>
      </c>
      <c r="WQ85" s="235">
        <f t="shared" ca="1" si="1306"/>
        <v>1.5427651975624165E-3</v>
      </c>
      <c r="WR85" s="235">
        <f t="shared" ca="1" si="1307"/>
        <v>1.5427651975624165E-3</v>
      </c>
      <c r="WS85" s="242">
        <f t="shared" ca="1" si="1308"/>
        <v>1.5427651975624165E-3</v>
      </c>
      <c r="WT85" s="241">
        <f t="shared" ca="1" si="1335"/>
        <v>1</v>
      </c>
      <c r="WU85" s="220">
        <f t="shared" ca="1" si="1309"/>
        <v>2.9961998908764689E-2</v>
      </c>
      <c r="WV85" s="220">
        <f t="shared" ca="1" si="1310"/>
        <v>0</v>
      </c>
      <c r="WW85" s="235">
        <f t="shared" ca="1" si="1311"/>
        <v>1.0650177696007403E-3</v>
      </c>
      <c r="WX85" s="235">
        <f t="shared" ca="1" si="1312"/>
        <v>1.0650177696007403E-3</v>
      </c>
      <c r="WY85" s="242">
        <f t="shared" ca="1" si="1313"/>
        <v>1.0650177696007403E-3</v>
      </c>
      <c r="WZ85" s="241">
        <f t="shared" ca="1" si="1335"/>
        <v>1</v>
      </c>
      <c r="XA85" s="220">
        <f t="shared" ca="1" si="1314"/>
        <v>2.0825806429510707E-2</v>
      </c>
      <c r="XB85" s="220">
        <f t="shared" ca="1" si="1315"/>
        <v>0</v>
      </c>
      <c r="XC85" s="235">
        <f t="shared" ca="1" si="1316"/>
        <v>7.1523300597822715E-4</v>
      </c>
      <c r="XD85" s="235">
        <f t="shared" ca="1" si="1317"/>
        <v>7.1523300597822715E-4</v>
      </c>
      <c r="XE85" s="242">
        <f t="shared" ca="1" si="1318"/>
        <v>7.1523300597822715E-4</v>
      </c>
      <c r="XF85" s="241">
        <f t="shared" ca="1" si="1335"/>
        <v>1</v>
      </c>
      <c r="XG85" s="220">
        <f t="shared" ca="1" si="1319"/>
        <v>1.410075784309954E-2</v>
      </c>
      <c r="XH85" s="220">
        <f t="shared" ca="1" si="1320"/>
        <v>0</v>
      </c>
      <c r="XI85" s="235">
        <f t="shared" ca="1" si="1321"/>
        <v>4.6789437576883483E-4</v>
      </c>
      <c r="XJ85" s="235">
        <f t="shared" ca="1" si="1322"/>
        <v>4.6789437576883483E-4</v>
      </c>
      <c r="XK85" s="242">
        <f t="shared" ca="1" si="1323"/>
        <v>4.6789437576883483E-4</v>
      </c>
    </row>
    <row r="86" spans="2:635" x14ac:dyDescent="0.25">
      <c r="B86" s="65">
        <f t="shared" ca="1" si="810"/>
        <v>2101</v>
      </c>
      <c r="C86" s="65" t="s">
        <v>741</v>
      </c>
      <c r="D86" s="77">
        <f t="shared" si="811"/>
        <v>0</v>
      </c>
      <c r="E86" s="77">
        <f t="shared" si="812"/>
        <v>0</v>
      </c>
      <c r="F86" s="77" t="b">
        <f t="shared" si="813"/>
        <v>0</v>
      </c>
      <c r="G86" s="77" t="b">
        <f t="shared" si="814"/>
        <v>0</v>
      </c>
      <c r="H86" s="15" t="e">
        <f t="shared" ca="1" si="815"/>
        <v>#REF!</v>
      </c>
      <c r="L86" s="326">
        <f t="shared" ca="1" si="816"/>
        <v>3.5000000000000003E-2</v>
      </c>
      <c r="M86" s="327">
        <f t="shared" ca="1" si="817"/>
        <v>3.5000000000000003E-2</v>
      </c>
      <c r="N86" s="322">
        <f t="shared" ca="1" si="809"/>
        <v>-78</v>
      </c>
      <c r="O86" s="322">
        <f t="shared" ca="1" si="818"/>
        <v>0</v>
      </c>
      <c r="P86" s="328">
        <f t="shared" ca="1" si="1324"/>
        <v>26.87829936156087</v>
      </c>
      <c r="Q86" s="328">
        <f t="shared" ca="1" si="1325"/>
        <v>76.6246357032215</v>
      </c>
      <c r="R86" s="328">
        <f t="shared" ca="1" si="1326"/>
        <v>26.87829936156087</v>
      </c>
      <c r="S86" s="329">
        <f t="shared" ca="1" si="819"/>
        <v>-1</v>
      </c>
      <c r="T86" s="329">
        <f t="shared" ca="1" si="820"/>
        <v>-1</v>
      </c>
      <c r="U86" s="329">
        <f t="shared" ca="1" si="821"/>
        <v>-1</v>
      </c>
      <c r="V86" s="320" t="e">
        <f t="shared" ca="1" si="822"/>
        <v>#REF!</v>
      </c>
      <c r="W86" s="320" t="e">
        <f t="shared" ca="1" si="560"/>
        <v>#REF!</v>
      </c>
      <c r="X86" s="320" t="e">
        <f t="shared" ca="1" si="823"/>
        <v>#REF!</v>
      </c>
      <c r="Y86" s="320" t="e">
        <f ca="1">INDEX(SC_ZA_HECMLumpSum,ZAIDX)</f>
        <v>#REF!</v>
      </c>
      <c r="Z86" s="320" t="e">
        <f t="shared" ca="1" si="824"/>
        <v>#REF!</v>
      </c>
      <c r="AA86" s="320" t="e">
        <f t="shared" ca="1" si="1348"/>
        <v>#REF!</v>
      </c>
      <c r="AB86" s="320" t="e">
        <f t="shared" ca="1" si="1349"/>
        <v>#REF!</v>
      </c>
      <c r="AC86" s="330" t="e">
        <f t="shared" ca="1" si="1350"/>
        <v>#REF!</v>
      </c>
      <c r="AD86" s="236" t="e">
        <f t="shared" ca="1" si="1327"/>
        <v>#REF!</v>
      </c>
      <c r="AE86" s="320" t="e">
        <f t="shared" ca="1" si="561"/>
        <v>#REF!</v>
      </c>
      <c r="AF86" s="320" t="e">
        <f t="shared" ca="1" si="825"/>
        <v>#REF!</v>
      </c>
      <c r="AG86" s="320" t="e">
        <f t="shared" ca="1" si="1328"/>
        <v>#REF!</v>
      </c>
      <c r="AH86" s="284" t="e">
        <f t="shared" ca="1" si="1329"/>
        <v>#REF!</v>
      </c>
      <c r="AI86" s="318" t="e">
        <f t="shared" ca="1" si="1330"/>
        <v>#REF!</v>
      </c>
      <c r="AJ86" s="331">
        <f t="shared" ca="1" si="1346"/>
        <v>1</v>
      </c>
      <c r="AK86" s="220">
        <f t="shared" ca="1" si="826"/>
        <v>1</v>
      </c>
      <c r="AL86" s="220">
        <f t="shared" ca="1" si="827"/>
        <v>0</v>
      </c>
      <c r="AM86" s="235">
        <f t="shared" ca="1" si="1331"/>
        <v>1</v>
      </c>
      <c r="AN86" s="235">
        <f t="shared" ca="1" si="1332"/>
        <v>1</v>
      </c>
      <c r="AO86" s="242">
        <f t="shared" ca="1" si="1333"/>
        <v>1</v>
      </c>
      <c r="AP86" s="241">
        <f t="shared" ca="1" si="1346"/>
        <v>1</v>
      </c>
      <c r="AQ86" s="220">
        <f t="shared" ca="1" si="828"/>
        <v>0.99361699999999997</v>
      </c>
      <c r="AR86" s="220">
        <f t="shared" ca="1" si="829"/>
        <v>0</v>
      </c>
      <c r="AS86" s="235">
        <f t="shared" ca="1" si="830"/>
        <v>0.96001642512077301</v>
      </c>
      <c r="AT86" s="235">
        <f t="shared" ca="1" si="831"/>
        <v>0.99361699999999997</v>
      </c>
      <c r="AU86" s="242">
        <f t="shared" ca="1" si="832"/>
        <v>0.96001642512077301</v>
      </c>
      <c r="AV86" s="241">
        <f t="shared" ca="1" si="1346"/>
        <v>1</v>
      </c>
      <c r="AW86" s="220">
        <f t="shared" ca="1" si="833"/>
        <v>0.99316689149899995</v>
      </c>
      <c r="AX86" s="220">
        <f t="shared" ca="1" si="834"/>
        <v>0</v>
      </c>
      <c r="AY86" s="235">
        <f t="shared" ca="1" si="835"/>
        <v>0.92713192046395487</v>
      </c>
      <c r="AZ86" s="235">
        <f t="shared" ca="1" si="836"/>
        <v>0.99316689149899995</v>
      </c>
      <c r="BA86" s="242">
        <f t="shared" ca="1" si="837"/>
        <v>0.92713192046395487</v>
      </c>
      <c r="BB86" s="241">
        <f t="shared" ca="1" si="1346"/>
        <v>1</v>
      </c>
      <c r="BC86" s="220">
        <f t="shared" ca="1" si="838"/>
        <v>0.99288681843559723</v>
      </c>
      <c r="BD86" s="220">
        <f t="shared" ca="1" si="839"/>
        <v>0</v>
      </c>
      <c r="BE86" s="235">
        <f t="shared" ca="1" si="840"/>
        <v>0.89552702344191704</v>
      </c>
      <c r="BF86" s="235">
        <f t="shared" ca="1" si="841"/>
        <v>0.99288681843559723</v>
      </c>
      <c r="BG86" s="242">
        <f t="shared" ca="1" si="842"/>
        <v>0.89552702344191704</v>
      </c>
      <c r="BH86" s="241">
        <f t="shared" ca="1" si="1346"/>
        <v>1</v>
      </c>
      <c r="BI86" s="220">
        <f t="shared" ca="1" si="843"/>
        <v>0.99265845446735712</v>
      </c>
      <c r="BJ86" s="220">
        <f t="shared" ca="1" si="844"/>
        <v>0</v>
      </c>
      <c r="BK86" s="235">
        <f t="shared" ca="1" si="845"/>
        <v>0.86504449490485558</v>
      </c>
      <c r="BL86" s="235">
        <f t="shared" ca="1" si="846"/>
        <v>0.99265845446735712</v>
      </c>
      <c r="BM86" s="242">
        <f t="shared" ca="1" si="847"/>
        <v>0.86504449490485558</v>
      </c>
      <c r="BN86" s="241">
        <f t="shared" ca="1" si="1346"/>
        <v>1</v>
      </c>
      <c r="BO86" s="220">
        <f t="shared" ca="1" si="848"/>
        <v>0.99249069518855215</v>
      </c>
      <c r="BP86" s="220">
        <f t="shared" ca="1" si="849"/>
        <v>0</v>
      </c>
      <c r="BQ86" s="235">
        <f t="shared" ca="1" si="850"/>
        <v>0.83565053370552345</v>
      </c>
      <c r="BR86" s="235">
        <f t="shared" ca="1" si="851"/>
        <v>0.99249069518855215</v>
      </c>
      <c r="BS86" s="242">
        <f t="shared" ca="1" si="852"/>
        <v>0.83565053370552345</v>
      </c>
      <c r="BT86" s="241">
        <f t="shared" ca="1" si="1346"/>
        <v>1</v>
      </c>
      <c r="BU86" s="220">
        <f t="shared" ca="1" si="853"/>
        <v>0.99233685913079794</v>
      </c>
      <c r="BV86" s="220">
        <f t="shared" ca="1" si="854"/>
        <v>0</v>
      </c>
      <c r="BW86" s="235">
        <f t="shared" ca="1" si="855"/>
        <v>0.80726667427323584</v>
      </c>
      <c r="BX86" s="235">
        <f t="shared" ca="1" si="856"/>
        <v>0.99233685913079794</v>
      </c>
      <c r="BY86" s="242">
        <f t="shared" ca="1" si="857"/>
        <v>0.80726667427323584</v>
      </c>
      <c r="BZ86" s="241">
        <f t="shared" ca="1" si="1346"/>
        <v>1</v>
      </c>
      <c r="CA86" s="220">
        <f t="shared" ca="1" si="858"/>
        <v>0.992192970286224</v>
      </c>
      <c r="CB86" s="220">
        <f t="shared" ca="1" si="859"/>
        <v>0</v>
      </c>
      <c r="CC86" s="235">
        <f t="shared" ca="1" si="860"/>
        <v>0.7798547058990013</v>
      </c>
      <c r="CD86" s="235">
        <f t="shared" ca="1" si="861"/>
        <v>0.992192970286224</v>
      </c>
      <c r="CE86" s="242">
        <f t="shared" ca="1" si="862"/>
        <v>0.7798547058990013</v>
      </c>
      <c r="CF86" s="241">
        <f t="shared" ca="1" si="1346"/>
        <v>1</v>
      </c>
      <c r="CG86" s="220">
        <f t="shared" ca="1" si="863"/>
        <v>0.9920590242352354</v>
      </c>
      <c r="CH86" s="220">
        <f t="shared" ca="1" si="864"/>
        <v>0</v>
      </c>
      <c r="CI86" s="235">
        <f t="shared" ca="1" si="865"/>
        <v>0.75338108745285515</v>
      </c>
      <c r="CJ86" s="235">
        <f t="shared" ca="1" si="866"/>
        <v>0.9920590242352354</v>
      </c>
      <c r="CK86" s="242">
        <f t="shared" ca="1" si="867"/>
        <v>0.75338108745285515</v>
      </c>
      <c r="CL86" s="241">
        <f t="shared" ca="1" si="1346"/>
        <v>1</v>
      </c>
      <c r="CM86" s="220">
        <f t="shared" ca="1" si="868"/>
        <v>0.99193997715232718</v>
      </c>
      <c r="CN86" s="220">
        <f t="shared" ca="1" si="869"/>
        <v>0</v>
      </c>
      <c r="CO86" s="235">
        <f t="shared" ca="1" si="870"/>
        <v>0.72781708378972065</v>
      </c>
      <c r="CP86" s="235">
        <f t="shared" ca="1" si="871"/>
        <v>0.99193997715232718</v>
      </c>
      <c r="CQ86" s="242">
        <f t="shared" ca="1" si="872"/>
        <v>0.72781708378972065</v>
      </c>
      <c r="CR86" s="241">
        <f t="shared" ca="1" si="1346"/>
        <v>1</v>
      </c>
      <c r="CS86" s="220">
        <f t="shared" ca="1" si="873"/>
        <v>0.99183582345472621</v>
      </c>
      <c r="CT86" s="220">
        <f t="shared" ca="1" si="874"/>
        <v>0</v>
      </c>
      <c r="CU86" s="235">
        <f t="shared" ca="1" si="875"/>
        <v>0.70313107535837949</v>
      </c>
      <c r="CV86" s="235">
        <f t="shared" ca="1" si="876"/>
        <v>0.99183582345472621</v>
      </c>
      <c r="CW86" s="242">
        <f t="shared" ca="1" si="877"/>
        <v>0.70313107535837949</v>
      </c>
      <c r="CX86" s="241">
        <f t="shared" ca="1" si="1340"/>
        <v>1</v>
      </c>
      <c r="CY86" s="220">
        <f t="shared" ca="1" si="878"/>
        <v>0.99174259088732142</v>
      </c>
      <c r="CZ86" s="220">
        <f t="shared" ca="1" si="879"/>
        <v>0</v>
      </c>
      <c r="DA86" s="235">
        <f t="shared" ca="1" si="880"/>
        <v>0.6792898367510104</v>
      </c>
      <c r="DB86" s="235">
        <f t="shared" ca="1" si="881"/>
        <v>0.99174259088732142</v>
      </c>
      <c r="DC86" s="242">
        <f t="shared" ca="1" si="882"/>
        <v>0.6792898367510104</v>
      </c>
      <c r="DD86" s="241">
        <f t="shared" ca="1" si="1340"/>
        <v>1</v>
      </c>
      <c r="DE86" s="220">
        <f t="shared" ca="1" si="883"/>
        <v>0.99164440837082357</v>
      </c>
      <c r="DF86" s="220">
        <f t="shared" ca="1" si="884"/>
        <v>0</v>
      </c>
      <c r="DG86" s="235">
        <f t="shared" ca="1" si="885"/>
        <v>0.65625370730161559</v>
      </c>
      <c r="DH86" s="235">
        <f t="shared" ca="1" si="886"/>
        <v>0.99164440837082357</v>
      </c>
      <c r="DI86" s="242">
        <f t="shared" ca="1" si="887"/>
        <v>0.65625370730161559</v>
      </c>
      <c r="DJ86" s="241">
        <f t="shared" ca="1" si="888"/>
        <v>1</v>
      </c>
      <c r="DK86" s="220">
        <f t="shared" ca="1" si="889"/>
        <v>0.9915115280201019</v>
      </c>
      <c r="DL86" s="220">
        <f t="shared" ca="1" si="890"/>
        <v>0</v>
      </c>
      <c r="DM86" s="235">
        <f t="shared" ca="1" si="891"/>
        <v>0.63397658870032592</v>
      </c>
      <c r="DN86" s="235">
        <f t="shared" ca="1" si="892"/>
        <v>0.9915115280201019</v>
      </c>
      <c r="DO86" s="242">
        <f t="shared" ca="1" si="893"/>
        <v>0.63397658870032592</v>
      </c>
      <c r="DP86" s="241">
        <f t="shared" ca="1" si="888"/>
        <v>1</v>
      </c>
      <c r="DQ86" s="220">
        <f t="shared" ca="1" si="894"/>
        <v>0.99130628513380181</v>
      </c>
      <c r="DR86" s="220">
        <f t="shared" ca="1" si="895"/>
        <v>0</v>
      </c>
      <c r="DS86" s="235">
        <f t="shared" ca="1" si="896"/>
        <v>0.61241097154247814</v>
      </c>
      <c r="DT86" s="235">
        <f t="shared" ca="1" si="897"/>
        <v>0.99130628513380181</v>
      </c>
      <c r="DU86" s="242">
        <f t="shared" ca="1" si="898"/>
        <v>0.61241097154247814</v>
      </c>
      <c r="DV86" s="241">
        <f t="shared" ca="1" si="888"/>
        <v>1</v>
      </c>
      <c r="DW86" s="220">
        <f t="shared" ca="1" si="899"/>
        <v>0.9909999714916955</v>
      </c>
      <c r="DX86" s="220">
        <f t="shared" ca="1" si="900"/>
        <v>0</v>
      </c>
      <c r="DY86" s="235">
        <f t="shared" ca="1" si="901"/>
        <v>0.59151858604084218</v>
      </c>
      <c r="DZ86" s="235">
        <f t="shared" ca="1" si="902"/>
        <v>0.9909999714916955</v>
      </c>
      <c r="EA86" s="242">
        <f t="shared" ca="1" si="903"/>
        <v>0.59151858604084218</v>
      </c>
      <c r="EB86" s="241">
        <f t="shared" ca="1" si="888"/>
        <v>1</v>
      </c>
      <c r="EC86" s="220">
        <f t="shared" ca="1" si="904"/>
        <v>0.99058474250364048</v>
      </c>
      <c r="ED86" s="220">
        <f t="shared" ca="1" si="905"/>
        <v>0</v>
      </c>
      <c r="EE86" s="235">
        <f t="shared" ca="1" si="906"/>
        <v>0.57127607705632</v>
      </c>
      <c r="EF86" s="235">
        <f t="shared" ca="1" si="907"/>
        <v>0.99058474250364048</v>
      </c>
      <c r="EG86" s="242">
        <f t="shared" ca="1" si="908"/>
        <v>0.57127607705632</v>
      </c>
      <c r="EH86" s="241">
        <f t="shared" ca="1" si="888"/>
        <v>1</v>
      </c>
      <c r="EI86" s="220">
        <f t="shared" ca="1" si="909"/>
        <v>0.99005973259011348</v>
      </c>
      <c r="EJ86" s="220">
        <f t="shared" ca="1" si="910"/>
        <v>0</v>
      </c>
      <c r="EK86" s="235">
        <f t="shared" ca="1" si="911"/>
        <v>0.55166502486519819</v>
      </c>
      <c r="EL86" s="235">
        <f t="shared" ca="1" si="912"/>
        <v>0.99005973259011348</v>
      </c>
      <c r="EM86" s="242">
        <f t="shared" ca="1" si="913"/>
        <v>0.55166502486519819</v>
      </c>
      <c r="EN86" s="241">
        <f t="shared" ca="1" si="888"/>
        <v>1</v>
      </c>
      <c r="EO86" s="220">
        <f t="shared" ca="1" si="914"/>
        <v>0.98941124346526699</v>
      </c>
      <c r="EP86" s="220">
        <f t="shared" ca="1" si="915"/>
        <v>0</v>
      </c>
      <c r="EQ86" s="235">
        <f t="shared" ca="1" si="916"/>
        <v>0.53266056451585653</v>
      </c>
      <c r="ER86" s="235">
        <f t="shared" ca="1" si="917"/>
        <v>0.98941124346526699</v>
      </c>
      <c r="ES86" s="242">
        <f t="shared" ca="1" si="918"/>
        <v>0.53266056451585653</v>
      </c>
      <c r="ET86" s="241">
        <f t="shared" ca="1" si="888"/>
        <v>1</v>
      </c>
      <c r="EU86" s="220">
        <f t="shared" ca="1" si="919"/>
        <v>0.98862861917168599</v>
      </c>
      <c r="EV86" s="220">
        <f t="shared" ca="1" si="920"/>
        <v>0</v>
      </c>
      <c r="EW86" s="235">
        <f t="shared" ca="1" si="921"/>
        <v>0.51424080194137645</v>
      </c>
      <c r="EX86" s="235">
        <f t="shared" ca="1" si="922"/>
        <v>0.98862861917168599</v>
      </c>
      <c r="EY86" s="242">
        <f t="shared" ca="1" si="923"/>
        <v>0.51424080194137645</v>
      </c>
      <c r="EZ86" s="241">
        <f t="shared" ca="1" si="888"/>
        <v>1</v>
      </c>
      <c r="FA86" s="220">
        <f t="shared" ca="1" si="924"/>
        <v>0.98770524004137961</v>
      </c>
      <c r="FB86" s="220">
        <f t="shared" ca="1" si="925"/>
        <v>0</v>
      </c>
      <c r="FC86" s="235">
        <f t="shared" ca="1" si="926"/>
        <v>0.49638695751919149</v>
      </c>
      <c r="FD86" s="235">
        <f t="shared" ca="1" si="927"/>
        <v>0.98770524004137961</v>
      </c>
      <c r="FE86" s="242">
        <f t="shared" ca="1" si="928"/>
        <v>0.49638695751919149</v>
      </c>
      <c r="FF86" s="241">
        <f t="shared" ca="1" si="888"/>
        <v>1</v>
      </c>
      <c r="FG86" s="220">
        <f t="shared" ca="1" si="929"/>
        <v>0.98663357985593469</v>
      </c>
      <c r="FH86" s="220">
        <f t="shared" ca="1" si="930"/>
        <v>0</v>
      </c>
      <c r="FI86" s="235">
        <f t="shared" ca="1" si="931"/>
        <v>0.4790805581355394</v>
      </c>
      <c r="FJ86" s="235">
        <f t="shared" ca="1" si="932"/>
        <v>0.98663357985593469</v>
      </c>
      <c r="FK86" s="242">
        <f t="shared" ca="1" si="933"/>
        <v>0.4790805581355394</v>
      </c>
      <c r="FL86" s="241">
        <f t="shared" ca="1" si="888"/>
        <v>1</v>
      </c>
      <c r="FM86" s="220">
        <f t="shared" ca="1" si="934"/>
        <v>0.98542199381987161</v>
      </c>
      <c r="FN86" s="220">
        <f t="shared" ca="1" si="935"/>
        <v>0</v>
      </c>
      <c r="FO86" s="235">
        <f t="shared" ca="1" si="936"/>
        <v>0.46231134996149653</v>
      </c>
      <c r="FP86" s="235">
        <f t="shared" ca="1" si="937"/>
        <v>0.98542199381987161</v>
      </c>
      <c r="FQ86" s="242">
        <f t="shared" ca="1" si="938"/>
        <v>0.46231134996149653</v>
      </c>
      <c r="FR86" s="241">
        <f t="shared" ca="1" si="888"/>
        <v>1</v>
      </c>
      <c r="FS86" s="220">
        <f t="shared" ca="1" si="939"/>
        <v>0.98410251377014679</v>
      </c>
      <c r="FT86" s="220">
        <f t="shared" ca="1" si="940"/>
        <v>0</v>
      </c>
      <c r="FU86" s="235">
        <f t="shared" ca="1" si="941"/>
        <v>0.44607953146270346</v>
      </c>
      <c r="FV86" s="235">
        <f t="shared" ca="1" si="942"/>
        <v>0.98410251377014679</v>
      </c>
      <c r="FW86" s="242">
        <f t="shared" ca="1" si="943"/>
        <v>0.44607953146270346</v>
      </c>
      <c r="FX86" s="241">
        <f t="shared" ca="1" si="801"/>
        <v>1</v>
      </c>
      <c r="FY86" s="220">
        <f t="shared" ca="1" si="944"/>
        <v>0.98272181794332725</v>
      </c>
      <c r="FZ86" s="220">
        <f t="shared" ca="1" si="945"/>
        <v>0</v>
      </c>
      <c r="GA86" s="235">
        <f t="shared" ca="1" si="946"/>
        <v>0.43039003080199167</v>
      </c>
      <c r="GB86" s="235">
        <f t="shared" ca="1" si="947"/>
        <v>0.98272181794332725</v>
      </c>
      <c r="GC86" s="242">
        <f t="shared" ca="1" si="948"/>
        <v>0.43039003080199167</v>
      </c>
      <c r="GD86" s="241">
        <f t="shared" ca="1" si="795"/>
        <v>1</v>
      </c>
      <c r="GE86" s="220">
        <f t="shared" ca="1" si="949"/>
        <v>0.98131357757821447</v>
      </c>
      <c r="GF86" s="220">
        <f t="shared" ca="1" si="950"/>
        <v>0</v>
      </c>
      <c r="GG86" s="235">
        <f t="shared" ca="1" si="951"/>
        <v>0.41523988588198307</v>
      </c>
      <c r="GH86" s="235">
        <f t="shared" ca="1" si="952"/>
        <v>0.98131357757821447</v>
      </c>
      <c r="GI86" s="242">
        <f t="shared" ca="1" si="953"/>
        <v>0.41523988588198307</v>
      </c>
      <c r="GJ86" s="241">
        <f t="shared" ca="1" si="795"/>
        <v>1</v>
      </c>
      <c r="GK86" s="220">
        <f t="shared" ca="1" si="954"/>
        <v>0.97988969157714845</v>
      </c>
      <c r="GL86" s="220">
        <f t="shared" ca="1" si="955"/>
        <v>0</v>
      </c>
      <c r="GM86" s="235">
        <f t="shared" ca="1" si="956"/>
        <v>0.40061581913774713</v>
      </c>
      <c r="GN86" s="235">
        <f t="shared" ca="1" si="957"/>
        <v>0.97988969157714845</v>
      </c>
      <c r="GO86" s="242">
        <f t="shared" ca="1" si="958"/>
        <v>0.40061581913774713</v>
      </c>
      <c r="GP86" s="241">
        <f t="shared" ca="1" si="1341"/>
        <v>1</v>
      </c>
      <c r="GQ86" s="220">
        <f t="shared" ca="1" si="959"/>
        <v>0.9784443542820721</v>
      </c>
      <c r="GR86" s="220">
        <f t="shared" ca="1" si="960"/>
        <v>0</v>
      </c>
      <c r="GS86" s="235">
        <f t="shared" ca="1" si="961"/>
        <v>0.38649749836185404</v>
      </c>
      <c r="GT86" s="235">
        <f t="shared" ca="1" si="962"/>
        <v>0.9784443542820721</v>
      </c>
      <c r="GU86" s="242">
        <f t="shared" ca="1" si="963"/>
        <v>0.38649749836185404</v>
      </c>
      <c r="GV86" s="241">
        <f t="shared" ca="1" si="1341"/>
        <v>1</v>
      </c>
      <c r="GW86" s="220">
        <f t="shared" ca="1" si="964"/>
        <v>0.97697473086194042</v>
      </c>
      <c r="GX86" s="220">
        <f t="shared" ca="1" si="965"/>
        <v>0</v>
      </c>
      <c r="GY86" s="235">
        <f t="shared" ca="1" si="966"/>
        <v>0.37286664649209134</v>
      </c>
      <c r="GZ86" s="235">
        <f t="shared" ca="1" si="967"/>
        <v>0.97697473086194042</v>
      </c>
      <c r="HA86" s="242">
        <f t="shared" ca="1" si="968"/>
        <v>0.37286664649209134</v>
      </c>
      <c r="HB86" s="241">
        <f t="shared" ca="1" si="1341"/>
        <v>1</v>
      </c>
      <c r="HC86" s="220">
        <f t="shared" ca="1" si="969"/>
        <v>0.97547214372587476</v>
      </c>
      <c r="HD86" s="220">
        <f t="shared" ca="1" si="970"/>
        <v>0</v>
      </c>
      <c r="HE86" s="235">
        <f t="shared" ca="1" si="971"/>
        <v>0.35970355322684694</v>
      </c>
      <c r="HF86" s="235">
        <f t="shared" ca="1" si="972"/>
        <v>0.97547214372587476</v>
      </c>
      <c r="HG86" s="242">
        <f t="shared" ca="1" si="973"/>
        <v>0.35970355322684694</v>
      </c>
      <c r="HH86" s="241">
        <f t="shared" ca="1" si="1341"/>
        <v>1</v>
      </c>
      <c r="HI86" s="220">
        <f t="shared" ca="1" si="974"/>
        <v>0.9739299222666441</v>
      </c>
      <c r="HJ86" s="220">
        <f t="shared" ca="1" si="975"/>
        <v>0</v>
      </c>
      <c r="HK86" s="235">
        <f t="shared" ca="1" si="976"/>
        <v>0.34699020474318382</v>
      </c>
      <c r="HL86" s="235">
        <f t="shared" ca="1" si="977"/>
        <v>0.9739299222666441</v>
      </c>
      <c r="HM86" s="242">
        <f t="shared" ca="1" si="978"/>
        <v>0.34699020474318382</v>
      </c>
      <c r="HN86" s="241">
        <f t="shared" ca="1" si="1341"/>
        <v>1</v>
      </c>
      <c r="HO86" s="220">
        <f t="shared" ca="1" si="979"/>
        <v>0.97234631221303847</v>
      </c>
      <c r="HP86" s="220">
        <f t="shared" ca="1" si="980"/>
        <v>0</v>
      </c>
      <c r="HQ86" s="235">
        <f t="shared" ca="1" si="981"/>
        <v>0.33471110982634922</v>
      </c>
      <c r="HR86" s="235">
        <f t="shared" ca="1" si="982"/>
        <v>0.97234631221303847</v>
      </c>
      <c r="HS86" s="242">
        <f t="shared" ca="1" si="983"/>
        <v>0.33471110982634922</v>
      </c>
      <c r="HT86" s="241">
        <f t="shared" ca="1" si="1341"/>
        <v>1</v>
      </c>
      <c r="HU86" s="220">
        <f t="shared" ca="1" si="984"/>
        <v>0.97072346621795491</v>
      </c>
      <c r="HV86" s="220">
        <f t="shared" ca="1" si="985"/>
        <v>0</v>
      </c>
      <c r="HW86" s="235">
        <f t="shared" ca="1" si="986"/>
        <v>0.32285263476719722</v>
      </c>
      <c r="HX86" s="235">
        <f t="shared" ca="1" si="987"/>
        <v>0.97072346621795491</v>
      </c>
      <c r="HY86" s="242">
        <f t="shared" ca="1" si="988"/>
        <v>0.32285263476719722</v>
      </c>
      <c r="HZ86" s="241">
        <f t="shared" ca="1" si="1341"/>
        <v>1</v>
      </c>
      <c r="IA86" s="220">
        <f t="shared" ca="1" si="989"/>
        <v>0.96906158764378969</v>
      </c>
      <c r="IB86" s="220">
        <f t="shared" ca="1" si="990"/>
        <v>0</v>
      </c>
      <c r="IC86" s="235">
        <f t="shared" ca="1" si="991"/>
        <v>0.31140088024780266</v>
      </c>
      <c r="ID86" s="235">
        <f t="shared" ca="1" si="992"/>
        <v>0.96906158764378969</v>
      </c>
      <c r="IE86" s="242">
        <f t="shared" ca="1" si="993"/>
        <v>0.31140088024780266</v>
      </c>
      <c r="IF86" s="241">
        <f t="shared" ca="1" si="1341"/>
        <v>1</v>
      </c>
      <c r="IG86" s="220">
        <f t="shared" ca="1" si="994"/>
        <v>0.96736088455747493</v>
      </c>
      <c r="IH86" s="220">
        <f t="shared" ca="1" si="995"/>
        <v>0</v>
      </c>
      <c r="II86" s="235">
        <f t="shared" ca="1" si="996"/>
        <v>0.30034238811880948</v>
      </c>
      <c r="IJ86" s="235">
        <f t="shared" ca="1" si="997"/>
        <v>0.96736088455747493</v>
      </c>
      <c r="IK86" s="242">
        <f t="shared" ca="1" si="998"/>
        <v>0.30034238811880948</v>
      </c>
      <c r="IL86" s="241">
        <f t="shared" ca="1" si="1341"/>
        <v>1</v>
      </c>
      <c r="IM86" s="220">
        <f t="shared" ca="1" si="999"/>
        <v>0.96561963496527148</v>
      </c>
      <c r="IN86" s="220">
        <f t="shared" ca="1" si="1000"/>
        <v>0</v>
      </c>
      <c r="IO86" s="235">
        <f t="shared" ca="1" si="1001"/>
        <v>0.28966354765236296</v>
      </c>
      <c r="IP86" s="235">
        <f t="shared" ca="1" si="1002"/>
        <v>0.96561963496527148</v>
      </c>
      <c r="IQ86" s="242">
        <f t="shared" ca="1" si="1003"/>
        <v>0.28966354765236296</v>
      </c>
      <c r="IR86" s="241">
        <f t="shared" ca="1" si="1341"/>
        <v>1</v>
      </c>
      <c r="IS86" s="220">
        <f t="shared" ca="1" si="1004"/>
        <v>0.96382841054241086</v>
      </c>
      <c r="IT86" s="220">
        <f t="shared" ca="1" si="1005"/>
        <v>0</v>
      </c>
      <c r="IU86" s="235">
        <f t="shared" ca="1" si="1006"/>
        <v>0.27934900654248102</v>
      </c>
      <c r="IV86" s="235">
        <f t="shared" ca="1" si="1007"/>
        <v>0.96382841054241086</v>
      </c>
      <c r="IW86" s="242">
        <f t="shared" ca="1" si="1008"/>
        <v>0.27934900654248102</v>
      </c>
      <c r="IX86" s="241">
        <f t="shared" ca="1" si="1341"/>
        <v>1</v>
      </c>
      <c r="IY86" s="220">
        <f t="shared" ca="1" si="1009"/>
        <v>0.9619778599941694</v>
      </c>
      <c r="IZ86" s="220">
        <f t="shared" ca="1" si="1010"/>
        <v>0</v>
      </c>
      <c r="JA86" s="235">
        <f t="shared" ca="1" si="1011"/>
        <v>0.26938420913035699</v>
      </c>
      <c r="JB86" s="235">
        <f t="shared" ca="1" si="1012"/>
        <v>0.9619778599941694</v>
      </c>
      <c r="JC86" s="242">
        <f t="shared" ca="1" si="1013"/>
        <v>0.26938420913035699</v>
      </c>
      <c r="JD86" s="241">
        <f t="shared" ca="1" si="1336"/>
        <v>1</v>
      </c>
      <c r="JE86" s="220">
        <f t="shared" ca="1" si="1014"/>
        <v>0.96006544800850102</v>
      </c>
      <c r="JF86" s="220">
        <f t="shared" ca="1" si="1015"/>
        <v>0</v>
      </c>
      <c r="JG86" s="235">
        <f t="shared" ca="1" si="1016"/>
        <v>0.25975717229237277</v>
      </c>
      <c r="JH86" s="235">
        <f t="shared" ca="1" si="1017"/>
        <v>0.96006544800850102</v>
      </c>
      <c r="JI86" s="242">
        <f t="shared" ca="1" si="1018"/>
        <v>0.25975717229237277</v>
      </c>
      <c r="JJ86" s="241">
        <f t="shared" ca="1" si="1336"/>
        <v>1</v>
      </c>
      <c r="JK86" s="220">
        <f t="shared" ca="1" si="1019"/>
        <v>0.9580877131856036</v>
      </c>
      <c r="JL86" s="220">
        <f t="shared" ca="1" si="1020"/>
        <v>0</v>
      </c>
      <c r="JM86" s="235">
        <f t="shared" ca="1" si="1021"/>
        <v>0.25045610871251262</v>
      </c>
      <c r="JN86" s="235">
        <f t="shared" ca="1" si="1022"/>
        <v>0.9580877131856036</v>
      </c>
      <c r="JO86" s="242">
        <f t="shared" ca="1" si="1023"/>
        <v>0.25045610871251262</v>
      </c>
      <c r="JP86" s="241">
        <f t="shared" ca="1" si="1342"/>
        <v>1</v>
      </c>
      <c r="JQ86" s="220">
        <f t="shared" ca="1" si="1024"/>
        <v>0.95603644739167326</v>
      </c>
      <c r="JR86" s="220">
        <f t="shared" ca="1" si="1025"/>
        <v>0</v>
      </c>
      <c r="JS86" s="235">
        <f t="shared" ca="1" si="1026"/>
        <v>0.24146848520169967</v>
      </c>
      <c r="JT86" s="235">
        <f t="shared" ca="1" si="1027"/>
        <v>0.95603644739167326</v>
      </c>
      <c r="JU86" s="242">
        <f t="shared" ca="1" si="1028"/>
        <v>0.24146848520169967</v>
      </c>
      <c r="JV86" s="241">
        <f t="shared" ca="1" si="1342"/>
        <v>1</v>
      </c>
      <c r="JW86" s="220">
        <f t="shared" ca="1" si="1029"/>
        <v>0.95389492574951584</v>
      </c>
      <c r="JX86" s="220">
        <f t="shared" ca="1" si="1030"/>
        <v>0</v>
      </c>
      <c r="JY86" s="235">
        <f t="shared" ca="1" si="1031"/>
        <v>0.23278028579212359</v>
      </c>
      <c r="JZ86" s="235">
        <f t="shared" ca="1" si="1032"/>
        <v>0.95389492574951584</v>
      </c>
      <c r="KA86" s="242">
        <f t="shared" ca="1" si="1033"/>
        <v>0.23278028579212359</v>
      </c>
      <c r="KB86" s="241">
        <f t="shared" ca="1" si="1342"/>
        <v>1</v>
      </c>
      <c r="KC86" s="220">
        <f t="shared" ca="1" si="1034"/>
        <v>0.95164182593489555</v>
      </c>
      <c r="KD86" s="220">
        <f t="shared" ca="1" si="1035"/>
        <v>0</v>
      </c>
      <c r="KE86" s="235">
        <f t="shared" ca="1" si="1036"/>
        <v>0.22437725483776094</v>
      </c>
      <c r="KF86" s="235">
        <f t="shared" ca="1" si="1037"/>
        <v>0.95164182593489555</v>
      </c>
      <c r="KG86" s="242">
        <f t="shared" ca="1" si="1038"/>
        <v>0.22437725483776094</v>
      </c>
      <c r="KH86" s="241">
        <f t="shared" ca="1" si="1342"/>
        <v>1</v>
      </c>
      <c r="KI86" s="220">
        <f t="shared" ca="1" si="1039"/>
        <v>0.94925415659362489</v>
      </c>
      <c r="KJ86" s="220">
        <f t="shared" ca="1" si="1040"/>
        <v>0</v>
      </c>
      <c r="KK86" s="235">
        <f t="shared" ca="1" si="1041"/>
        <v>0.21624569304866956</v>
      </c>
      <c r="KL86" s="235">
        <f t="shared" ca="1" si="1042"/>
        <v>0.94925415659362489</v>
      </c>
      <c r="KM86" s="242">
        <f t="shared" ca="1" si="1043"/>
        <v>0.21624569304866956</v>
      </c>
      <c r="KN86" s="241">
        <f t="shared" ca="1" si="1342"/>
        <v>1</v>
      </c>
      <c r="KO86" s="220">
        <f t="shared" ca="1" si="1044"/>
        <v>0.94670635843732753</v>
      </c>
      <c r="KP86" s="220">
        <f t="shared" ca="1" si="1045"/>
        <v>0</v>
      </c>
      <c r="KQ86" s="235">
        <f t="shared" ca="1" si="1046"/>
        <v>0.2083722604913304</v>
      </c>
      <c r="KR86" s="235">
        <f t="shared" ca="1" si="1047"/>
        <v>0.94670635843732753</v>
      </c>
      <c r="KS86" s="242">
        <f t="shared" ca="1" si="1048"/>
        <v>0.2083722604913304</v>
      </c>
      <c r="KT86" s="241">
        <f t="shared" ca="1" si="1342"/>
        <v>1</v>
      </c>
      <c r="KU86" s="220">
        <f t="shared" ca="1" si="1049"/>
        <v>0.94397037706144371</v>
      </c>
      <c r="KV86" s="220">
        <f t="shared" ca="1" si="1050"/>
        <v>0</v>
      </c>
      <c r="KW86" s="235">
        <f t="shared" ca="1" si="1051"/>
        <v>0.20074402382464779</v>
      </c>
      <c r="KX86" s="235">
        <f t="shared" ca="1" si="1052"/>
        <v>0.94397037706144371</v>
      </c>
      <c r="KY86" s="242">
        <f t="shared" ca="1" si="1053"/>
        <v>0.20074402382464779</v>
      </c>
      <c r="KZ86" s="241">
        <f t="shared" ca="1" si="1342"/>
        <v>1</v>
      </c>
      <c r="LA86" s="220">
        <f t="shared" ca="1" si="1054"/>
        <v>0.94102424551463493</v>
      </c>
      <c r="LB86" s="220">
        <f t="shared" ca="1" si="1055"/>
        <v>0</v>
      </c>
      <c r="LC86" s="235">
        <f t="shared" ca="1" si="1056"/>
        <v>0.19335024321380778</v>
      </c>
      <c r="LD86" s="235">
        <f t="shared" ca="1" si="1057"/>
        <v>0.94102424551463493</v>
      </c>
      <c r="LE86" s="242">
        <f t="shared" ca="1" si="1058"/>
        <v>0.19335024321380778</v>
      </c>
      <c r="LF86" s="241">
        <f t="shared" ca="1" si="1342"/>
        <v>1</v>
      </c>
      <c r="LG86" s="220">
        <f t="shared" ca="1" si="1059"/>
        <v>0.93783793741932242</v>
      </c>
      <c r="LH86" s="220">
        <f t="shared" ca="1" si="1060"/>
        <v>0</v>
      </c>
      <c r="LI86" s="235">
        <f t="shared" ca="1" si="1061"/>
        <v>0.18617928433844047</v>
      </c>
      <c r="LJ86" s="235">
        <f t="shared" ca="1" si="1062"/>
        <v>0.93783793741932242</v>
      </c>
      <c r="LK86" s="242">
        <f t="shared" ca="1" si="1063"/>
        <v>0.18617928433844047</v>
      </c>
      <c r="LL86" s="241">
        <f t="shared" ca="1" si="1342"/>
        <v>1</v>
      </c>
      <c r="LM86" s="220">
        <f t="shared" ca="1" si="1064"/>
        <v>0.93436137218530901</v>
      </c>
      <c r="LN86" s="220">
        <f t="shared" ca="1" si="1065"/>
        <v>0</v>
      </c>
      <c r="LO86" s="235">
        <f t="shared" ca="1" si="1066"/>
        <v>0.17921653887091585</v>
      </c>
      <c r="LP86" s="235">
        <f t="shared" ca="1" si="1067"/>
        <v>0.93436137218530901</v>
      </c>
      <c r="LQ86" s="242">
        <f t="shared" ca="1" si="1068"/>
        <v>0.17921653887091585</v>
      </c>
      <c r="LR86" s="241">
        <f t="shared" ca="1" si="1342"/>
        <v>1</v>
      </c>
      <c r="LS86" s="220">
        <f t="shared" ca="1" si="1069"/>
        <v>0.93053889981169891</v>
      </c>
      <c r="LT86" s="220">
        <f t="shared" ca="1" si="1070"/>
        <v>0</v>
      </c>
      <c r="LU86" s="235">
        <f t="shared" ca="1" si="1071"/>
        <v>0.17244769469603377</v>
      </c>
      <c r="LV86" s="235">
        <f t="shared" ca="1" si="1072"/>
        <v>0.93053889981169891</v>
      </c>
      <c r="LW86" s="242">
        <f t="shared" ca="1" si="1073"/>
        <v>0.17244769469603377</v>
      </c>
      <c r="LX86" s="241">
        <f t="shared" ca="1" si="1342"/>
        <v>1</v>
      </c>
      <c r="LY86" s="220">
        <f t="shared" ca="1" si="1074"/>
        <v>0.92632262805665211</v>
      </c>
      <c r="LZ86" s="220">
        <f t="shared" ca="1" si="1075"/>
        <v>0</v>
      </c>
      <c r="MA86" s="235">
        <f t="shared" ca="1" si="1076"/>
        <v>0.16586119245542613</v>
      </c>
      <c r="MB86" s="235">
        <f t="shared" ca="1" si="1077"/>
        <v>0.92632262805665211</v>
      </c>
      <c r="MC86" s="242">
        <f t="shared" ca="1" si="1078"/>
        <v>0.16586119245542613</v>
      </c>
      <c r="MD86" s="241">
        <f t="shared" ca="1" si="1337"/>
        <v>1</v>
      </c>
      <c r="ME86" s="220">
        <f t="shared" ca="1" si="1079"/>
        <v>0.92167897272220412</v>
      </c>
      <c r="MF86" s="220">
        <f t="shared" ca="1" si="1080"/>
        <v>0</v>
      </c>
      <c r="MG86" s="235">
        <f t="shared" ca="1" si="1081"/>
        <v>0.15944901478033538</v>
      </c>
      <c r="MH86" s="235">
        <f t="shared" ca="1" si="1082"/>
        <v>0.92167897272220412</v>
      </c>
      <c r="MI86" s="242">
        <f t="shared" ca="1" si="1083"/>
        <v>0.15944901478033538</v>
      </c>
      <c r="MJ86" s="241">
        <f t="shared" ca="1" si="1337"/>
        <v>1</v>
      </c>
      <c r="MK86" s="220">
        <f t="shared" ca="1" si="1084"/>
        <v>0.91658761807688671</v>
      </c>
      <c r="ML86" s="220">
        <f t="shared" ca="1" si="1085"/>
        <v>0</v>
      </c>
      <c r="MM86" s="235">
        <f t="shared" ca="1" si="1086"/>
        <v>0.15320600813786359</v>
      </c>
      <c r="MN86" s="235">
        <f t="shared" ca="1" si="1087"/>
        <v>0.91658761807688671</v>
      </c>
      <c r="MO86" s="242">
        <f t="shared" ca="1" si="1088"/>
        <v>0.15320600813786359</v>
      </c>
      <c r="MP86" s="241">
        <f t="shared" ca="1" si="1343"/>
        <v>1</v>
      </c>
      <c r="MQ86" s="220">
        <f t="shared" ca="1" si="1089"/>
        <v>0.91103401369895887</v>
      </c>
      <c r="MR86" s="220">
        <f t="shared" ca="1" si="1090"/>
        <v>0</v>
      </c>
      <c r="MS86" s="235">
        <f t="shared" ca="1" si="1091"/>
        <v>0.1471282443812138</v>
      </c>
      <c r="MT86" s="235">
        <f t="shared" ca="1" si="1092"/>
        <v>0.91103401369895887</v>
      </c>
      <c r="MU86" s="242">
        <f t="shared" ca="1" si="1093"/>
        <v>0.1471282443812138</v>
      </c>
      <c r="MV86" s="241">
        <f t="shared" ca="1" si="1343"/>
        <v>1</v>
      </c>
      <c r="MW86" s="220">
        <f t="shared" ca="1" si="1094"/>
        <v>0.90501116783439506</v>
      </c>
      <c r="MX86" s="220">
        <f t="shared" ca="1" si="1095"/>
        <v>0</v>
      </c>
      <c r="MY86" s="235">
        <f t="shared" ca="1" si="1096"/>
        <v>0.14121312034551653</v>
      </c>
      <c r="MZ86" s="235">
        <f t="shared" ca="1" si="1097"/>
        <v>0.90501116783439506</v>
      </c>
      <c r="NA86" s="242">
        <f t="shared" ca="1" si="1098"/>
        <v>0.14121312034551653</v>
      </c>
      <c r="NB86" s="241">
        <f t="shared" ca="1" si="1343"/>
        <v>1</v>
      </c>
      <c r="NC86" s="220">
        <f t="shared" ca="1" si="1099"/>
        <v>0.89850685257116925</v>
      </c>
      <c r="ND86" s="220">
        <f t="shared" ca="1" si="1100"/>
        <v>0</v>
      </c>
      <c r="NE86" s="235">
        <f t="shared" ca="1" si="1101"/>
        <v>0.13545721898511429</v>
      </c>
      <c r="NF86" s="235">
        <f t="shared" ca="1" si="1102"/>
        <v>0.89850685257116925</v>
      </c>
      <c r="NG86" s="242">
        <f t="shared" ca="1" si="1103"/>
        <v>0.13545721898511429</v>
      </c>
      <c r="NH86" s="241">
        <f t="shared" ca="1" si="1343"/>
        <v>1</v>
      </c>
      <c r="NI86" s="220">
        <f t="shared" ca="1" si="1104"/>
        <v>0.89149849912111412</v>
      </c>
      <c r="NJ86" s="220">
        <f t="shared" ca="1" si="1105"/>
        <v>0</v>
      </c>
      <c r="NK86" s="235">
        <f t="shared" ca="1" si="1106"/>
        <v>0.12985570306959462</v>
      </c>
      <c r="NL86" s="235">
        <f t="shared" ca="1" si="1107"/>
        <v>0.89149849912111412</v>
      </c>
      <c r="NM86" s="242">
        <f t="shared" ca="1" si="1108"/>
        <v>0.12985570306959462</v>
      </c>
      <c r="NN86" s="241">
        <f t="shared" ca="1" si="1343"/>
        <v>1</v>
      </c>
      <c r="NO86" s="220">
        <f t="shared" ca="1" si="1109"/>
        <v>0.88395998781254592</v>
      </c>
      <c r="NP86" s="220">
        <f t="shared" ca="1" si="1110"/>
        <v>0</v>
      </c>
      <c r="NQ86" s="235">
        <f t="shared" ca="1" si="1111"/>
        <v>0.12440352004293539</v>
      </c>
      <c r="NR86" s="235">
        <f t="shared" ca="1" si="1112"/>
        <v>0.88395998781254592</v>
      </c>
      <c r="NS86" s="242">
        <f t="shared" ca="1" si="1113"/>
        <v>0.12440352004293539</v>
      </c>
      <c r="NT86" s="241">
        <f t="shared" ca="1" si="1343"/>
        <v>1</v>
      </c>
      <c r="NU86" s="220">
        <f t="shared" ca="1" si="1114"/>
        <v>0.87587705768398794</v>
      </c>
      <c r="NV86" s="220">
        <f t="shared" ca="1" si="1115"/>
        <v>0</v>
      </c>
      <c r="NW86" s="235">
        <f t="shared" ca="1" si="1116"/>
        <v>0.11909755966730703</v>
      </c>
      <c r="NX86" s="235">
        <f t="shared" ca="1" si="1117"/>
        <v>0.87587705768398794</v>
      </c>
      <c r="NY86" s="242">
        <f t="shared" ca="1" si="1118"/>
        <v>0.11909755966730703</v>
      </c>
      <c r="NZ86" s="241">
        <f t="shared" ca="1" si="1343"/>
        <v>1</v>
      </c>
      <c r="OA86" s="220">
        <f t="shared" ca="1" si="1119"/>
        <v>0.86723653050993543</v>
      </c>
      <c r="OB86" s="220">
        <f t="shared" ca="1" si="1120"/>
        <v>0</v>
      </c>
      <c r="OC86" s="235">
        <f t="shared" ca="1" si="1121"/>
        <v>0.11393493936346769</v>
      </c>
      <c r="OD86" s="235">
        <f t="shared" ca="1" si="1122"/>
        <v>0.86723653050993543</v>
      </c>
      <c r="OE86" s="242">
        <f t="shared" ca="1" si="1123"/>
        <v>0.11393493936346769</v>
      </c>
      <c r="OF86" s="241">
        <f t="shared" ca="1" si="1343"/>
        <v>1</v>
      </c>
      <c r="OG86" s="220">
        <f t="shared" ca="1" si="1124"/>
        <v>0.85802474408285889</v>
      </c>
      <c r="OH86" s="220">
        <f t="shared" ca="1" si="1125"/>
        <v>0</v>
      </c>
      <c r="OI86" s="235">
        <f t="shared" ca="1" si="1126"/>
        <v>0.10891277530197965</v>
      </c>
      <c r="OJ86" s="235">
        <f t="shared" ca="1" si="1127"/>
        <v>0.85802474408285889</v>
      </c>
      <c r="OK86" s="242">
        <f t="shared" ca="1" si="1128"/>
        <v>0.10891277530197965</v>
      </c>
      <c r="OL86" s="241">
        <f t="shared" ca="1" si="1343"/>
        <v>1</v>
      </c>
      <c r="OM86" s="220">
        <f t="shared" ca="1" si="1129"/>
        <v>0.84819349656515752</v>
      </c>
      <c r="ON86" s="220">
        <f t="shared" ca="1" si="1130"/>
        <v>0</v>
      </c>
      <c r="OO86" s="235">
        <f t="shared" ca="1" si="1131"/>
        <v>0.10402401229233778</v>
      </c>
      <c r="OP86" s="235">
        <f t="shared" ca="1" si="1132"/>
        <v>0.84819349656515752</v>
      </c>
      <c r="OQ86" s="242">
        <f t="shared" ca="1" si="1133"/>
        <v>0.10402401229233778</v>
      </c>
      <c r="OR86" s="241">
        <f t="shared" ca="1" si="1343"/>
        <v>1</v>
      </c>
      <c r="OS86" s="220">
        <f t="shared" ca="1" si="1134"/>
        <v>0.83771830688257787</v>
      </c>
      <c r="OT86" s="220">
        <f t="shared" ca="1" si="1135"/>
        <v>0</v>
      </c>
      <c r="OU86" s="235">
        <f t="shared" ca="1" si="1136"/>
        <v>9.9265039362828419E-2</v>
      </c>
      <c r="OV86" s="235">
        <f t="shared" ca="1" si="1137"/>
        <v>0.83771830688257787</v>
      </c>
      <c r="OW86" s="242">
        <f t="shared" ca="1" si="1138"/>
        <v>9.9265039362828419E-2</v>
      </c>
      <c r="OX86" s="241">
        <f t="shared" ca="1" si="1343"/>
        <v>1</v>
      </c>
      <c r="OY86" s="220">
        <f t="shared" ca="1" si="1139"/>
        <v>0.82663110509098692</v>
      </c>
      <c r="OZ86" s="220">
        <f t="shared" ca="1" si="1140"/>
        <v>0</v>
      </c>
      <c r="PA86" s="235">
        <f t="shared" ca="1" si="1141"/>
        <v>9.4638904895518239E-2</v>
      </c>
      <c r="PB86" s="235">
        <f t="shared" ca="1" si="1142"/>
        <v>0.82663110509098692</v>
      </c>
      <c r="PC86" s="242">
        <f t="shared" ca="1" si="1143"/>
        <v>9.4638904895518239E-2</v>
      </c>
      <c r="PD86" s="241">
        <f t="shared" ca="1" si="1338"/>
        <v>1</v>
      </c>
      <c r="PE86" s="220">
        <f t="shared" ca="1" si="1144"/>
        <v>0.81497808640251923</v>
      </c>
      <c r="PF86" s="220">
        <f t="shared" ca="1" si="1145"/>
        <v>0</v>
      </c>
      <c r="PG86" s="235">
        <f t="shared" ca="1" si="1146"/>
        <v>9.0149546138363415E-2</v>
      </c>
      <c r="PH86" s="235">
        <f t="shared" ca="1" si="1147"/>
        <v>0.81497808640251923</v>
      </c>
      <c r="PI86" s="242">
        <f t="shared" ca="1" si="1148"/>
        <v>9.0149546138363415E-2</v>
      </c>
      <c r="PJ86" s="241">
        <f t="shared" ca="1" si="1338"/>
        <v>1</v>
      </c>
      <c r="PK86" s="220">
        <f t="shared" ca="1" si="1149"/>
        <v>0.80277052964629592</v>
      </c>
      <c r="PL86" s="220">
        <f t="shared" ca="1" si="1150"/>
        <v>0</v>
      </c>
      <c r="PM86" s="235">
        <f t="shared" ca="1" si="1151"/>
        <v>8.5796324721504238E-2</v>
      </c>
      <c r="PN86" s="235">
        <f t="shared" ca="1" si="1152"/>
        <v>0.80277052964629592</v>
      </c>
      <c r="PO86" s="242">
        <f t="shared" ca="1" si="1153"/>
        <v>8.5796324721504238E-2</v>
      </c>
      <c r="PP86" s="241">
        <f t="shared" ca="1" si="1344"/>
        <v>1</v>
      </c>
      <c r="PQ86" s="220">
        <f t="shared" ca="1" si="1154"/>
        <v>0.78995269259943357</v>
      </c>
      <c r="PR86" s="220">
        <f t="shared" ca="1" si="1155"/>
        <v>0</v>
      </c>
      <c r="PS86" s="235">
        <f t="shared" ca="1" si="1156"/>
        <v>8.1571415270218356E-2</v>
      </c>
      <c r="PT86" s="235">
        <f t="shared" ca="1" si="1157"/>
        <v>0.78995269259943357</v>
      </c>
      <c r="PU86" s="242">
        <f t="shared" ca="1" si="1158"/>
        <v>8.1571415270218356E-2</v>
      </c>
      <c r="PV86" s="241">
        <f t="shared" ca="1" si="1344"/>
        <v>1</v>
      </c>
      <c r="PW86" s="220">
        <f t="shared" ca="1" si="1159"/>
        <v>0.77643739198174988</v>
      </c>
      <c r="PX86" s="220">
        <f t="shared" ca="1" si="1160"/>
        <v>0</v>
      </c>
      <c r="PY86" s="235">
        <f t="shared" ca="1" si="1161"/>
        <v>7.7464550653488104E-2</v>
      </c>
      <c r="PZ86" s="235">
        <f t="shared" ca="1" si="1162"/>
        <v>0.77643739198174988</v>
      </c>
      <c r="QA86" s="242">
        <f t="shared" ca="1" si="1163"/>
        <v>7.7464550653488104E-2</v>
      </c>
      <c r="QB86" s="241">
        <f t="shared" ca="1" si="1344"/>
        <v>1</v>
      </c>
      <c r="QC86" s="220">
        <f t="shared" ca="1" si="1164"/>
        <v>0.76215715546842155</v>
      </c>
      <c r="QD86" s="220">
        <f t="shared" ca="1" si="1165"/>
        <v>0</v>
      </c>
      <c r="QE86" s="235">
        <f t="shared" ca="1" si="1166"/>
        <v>7.3468427669438799E-2</v>
      </c>
      <c r="QF86" s="235">
        <f t="shared" ca="1" si="1167"/>
        <v>0.76215715546842155</v>
      </c>
      <c r="QG86" s="242">
        <f t="shared" ca="1" si="1168"/>
        <v>7.3468427669438799E-2</v>
      </c>
      <c r="QH86" s="241">
        <f t="shared" ca="1" si="1344"/>
        <v>1</v>
      </c>
      <c r="QI86" s="220">
        <f t="shared" ca="1" si="1169"/>
        <v>0.74703900613254992</v>
      </c>
      <c r="QJ86" s="220">
        <f t="shared" ca="1" si="1170"/>
        <v>0</v>
      </c>
      <c r="QK86" s="235">
        <f t="shared" ca="1" si="1171"/>
        <v>6.9575949698732195E-2</v>
      </c>
      <c r="QL86" s="235">
        <f t="shared" ca="1" si="1172"/>
        <v>0.74703900613254992</v>
      </c>
      <c r="QM86" s="242">
        <f t="shared" ca="1" si="1173"/>
        <v>6.9575949698732195E-2</v>
      </c>
      <c r="QN86" s="241">
        <f t="shared" ca="1" si="1344"/>
        <v>1</v>
      </c>
      <c r="QO86" s="220">
        <f t="shared" ca="1" si="1174"/>
        <v>0.73100381386591473</v>
      </c>
      <c r="QP86" s="220">
        <f t="shared" ca="1" si="1175"/>
        <v>0</v>
      </c>
      <c r="QQ86" s="235">
        <f t="shared" ca="1" si="1176"/>
        <v>6.5780195109612458E-2</v>
      </c>
      <c r="QR86" s="235">
        <f t="shared" ca="1" si="1177"/>
        <v>0.73100381386591473</v>
      </c>
      <c r="QS86" s="242">
        <f t="shared" ca="1" si="1178"/>
        <v>6.5780195109612458E-2</v>
      </c>
      <c r="QT86" s="241">
        <f t="shared" ca="1" si="1344"/>
        <v>1</v>
      </c>
      <c r="QU86" s="220">
        <f t="shared" ca="1" si="1179"/>
        <v>0.71393414380833176</v>
      </c>
      <c r="QV86" s="220">
        <f t="shared" ca="1" si="1180"/>
        <v>0</v>
      </c>
      <c r="QW86" s="235">
        <f t="shared" ca="1" si="1181"/>
        <v>6.2071653887543876E-2</v>
      </c>
      <c r="QX86" s="235">
        <f t="shared" ca="1" si="1182"/>
        <v>0.71393414380833176</v>
      </c>
      <c r="QY86" s="242">
        <f t="shared" ca="1" si="1183"/>
        <v>6.2071653887543876E-2</v>
      </c>
      <c r="QZ86" s="241">
        <f t="shared" ca="1" si="1344"/>
        <v>1</v>
      </c>
      <c r="RA86" s="220">
        <f t="shared" ca="1" si="1184"/>
        <v>0.69574167395580788</v>
      </c>
      <c r="RB86" s="220">
        <f t="shared" ca="1" si="1185"/>
        <v>0</v>
      </c>
      <c r="RC86" s="235">
        <f t="shared" ca="1" si="1186"/>
        <v>5.8444390341238162E-2</v>
      </c>
      <c r="RD86" s="235">
        <f t="shared" ca="1" si="1187"/>
        <v>0.69574167395580788</v>
      </c>
      <c r="RE86" s="242">
        <f t="shared" ca="1" si="1188"/>
        <v>5.8444390341238162E-2</v>
      </c>
      <c r="RF86" s="241">
        <f t="shared" ca="1" si="1344"/>
        <v>1</v>
      </c>
      <c r="RG86" s="220">
        <f t="shared" ca="1" si="1189"/>
        <v>0.67640422986988014</v>
      </c>
      <c r="RH86" s="220">
        <f t="shared" ca="1" si="1190"/>
        <v>0</v>
      </c>
      <c r="RI86" s="235">
        <f t="shared" ca="1" si="1191"/>
        <v>5.4898538121829751E-2</v>
      </c>
      <c r="RJ86" s="235">
        <f t="shared" ca="1" si="1192"/>
        <v>0.67640422986988014</v>
      </c>
      <c r="RK86" s="242">
        <f t="shared" ca="1" si="1193"/>
        <v>5.4898538121829751E-2</v>
      </c>
      <c r="RL86" s="241">
        <f t="shared" ca="1" si="1344"/>
        <v>1</v>
      </c>
      <c r="RM86" s="220">
        <f t="shared" ca="1" si="1194"/>
        <v>0.65592135698096043</v>
      </c>
      <c r="RN86" s="220">
        <f t="shared" ca="1" si="1195"/>
        <v>0</v>
      </c>
      <c r="RO86" s="235">
        <f t="shared" ca="1" si="1196"/>
        <v>5.1435845981086484E-2</v>
      </c>
      <c r="RP86" s="235">
        <f t="shared" ca="1" si="1197"/>
        <v>0.65592135698096043</v>
      </c>
      <c r="RQ86" s="242">
        <f t="shared" ca="1" si="1198"/>
        <v>5.1435845981086484E-2</v>
      </c>
      <c r="RR86" s="241">
        <f t="shared" ca="1" si="1344"/>
        <v>1</v>
      </c>
      <c r="RS86" s="220">
        <f t="shared" ca="1" si="1199"/>
        <v>0.63426152193073515</v>
      </c>
      <c r="RT86" s="220">
        <f t="shared" ca="1" si="1200"/>
        <v>0</v>
      </c>
      <c r="RU86" s="235">
        <f t="shared" ca="1" si="1201"/>
        <v>4.8055392729564286E-2</v>
      </c>
      <c r="RV86" s="235">
        <f t="shared" ca="1" si="1202"/>
        <v>0.63426152193073515</v>
      </c>
      <c r="RW86" s="242">
        <f t="shared" ca="1" si="1203"/>
        <v>4.8055392729564286E-2</v>
      </c>
      <c r="RX86" s="241">
        <f t="shared" ca="1" si="1344"/>
        <v>1</v>
      </c>
      <c r="RY86" s="220">
        <f t="shared" ca="1" si="1204"/>
        <v>0.61130062057532053</v>
      </c>
      <c r="RZ86" s="220">
        <f t="shared" ca="1" si="1205"/>
        <v>0</v>
      </c>
      <c r="SA86" s="235">
        <f t="shared" ca="1" si="1206"/>
        <v>4.4749506722088245E-2</v>
      </c>
      <c r="SB86" s="235">
        <f t="shared" ca="1" si="1207"/>
        <v>0.61130062057532053</v>
      </c>
      <c r="SC86" s="242">
        <f t="shared" ca="1" si="1208"/>
        <v>4.4749506722088245E-2</v>
      </c>
      <c r="SD86" s="241">
        <f t="shared" ca="1" si="1339"/>
        <v>1</v>
      </c>
      <c r="SE86" s="220">
        <f t="shared" ca="1" si="1209"/>
        <v>0.58693540044042947</v>
      </c>
      <c r="SF86" s="220">
        <f t="shared" ca="1" si="1210"/>
        <v>0</v>
      </c>
      <c r="SG86" s="235">
        <f t="shared" ca="1" si="1211"/>
        <v>4.1512928389525854E-2</v>
      </c>
      <c r="SH86" s="235">
        <f t="shared" ca="1" si="1212"/>
        <v>0.58693540044042947</v>
      </c>
      <c r="SI86" s="242">
        <f t="shared" ca="1" si="1213"/>
        <v>4.1512928389525854E-2</v>
      </c>
      <c r="SJ86" s="241">
        <f t="shared" ca="1" si="1339"/>
        <v>1</v>
      </c>
      <c r="SK86" s="220">
        <f t="shared" ca="1" si="1214"/>
        <v>0.56117421877969853</v>
      </c>
      <c r="SL86" s="220">
        <f t="shared" ca="1" si="1215"/>
        <v>0</v>
      </c>
      <c r="SM86" s="235">
        <f t="shared" ca="1" si="1216"/>
        <v>3.8348680627614658E-2</v>
      </c>
      <c r="SN86" s="235">
        <f t="shared" ca="1" si="1217"/>
        <v>0.56117421877969853</v>
      </c>
      <c r="SO86" s="242">
        <f t="shared" ca="1" si="1218"/>
        <v>3.8348680627614658E-2</v>
      </c>
      <c r="SP86" s="241">
        <f t="shared" ca="1" si="1347"/>
        <v>1</v>
      </c>
      <c r="SQ86" s="220">
        <f t="shared" ca="1" si="1219"/>
        <v>0.5340633310962325</v>
      </c>
      <c r="SR86" s="220">
        <f t="shared" ca="1" si="1220"/>
        <v>0</v>
      </c>
      <c r="SS86" s="235">
        <f t="shared" ca="1" si="1221"/>
        <v>3.5261852674216394E-2</v>
      </c>
      <c r="ST86" s="235">
        <f t="shared" ca="1" si="1222"/>
        <v>0.5340633310962325</v>
      </c>
      <c r="SU86" s="242">
        <f t="shared" ca="1" si="1223"/>
        <v>3.5261852674216394E-2</v>
      </c>
      <c r="SV86" s="241">
        <f t="shared" ca="1" si="1347"/>
        <v>1</v>
      </c>
      <c r="SW86" s="220">
        <f t="shared" ca="1" si="1224"/>
        <v>0.50563620810864218</v>
      </c>
      <c r="SX86" s="220">
        <f t="shared" ca="1" si="1225"/>
        <v>0</v>
      </c>
      <c r="SY86" s="235">
        <f t="shared" ca="1" si="1226"/>
        <v>3.2255975632920972E-2</v>
      </c>
      <c r="SZ86" s="235">
        <f t="shared" ca="1" si="1227"/>
        <v>0.50563620810864218</v>
      </c>
      <c r="TA86" s="242">
        <f t="shared" ca="1" si="1228"/>
        <v>3.2255975632920972E-2</v>
      </c>
      <c r="TB86" s="241">
        <f t="shared" ca="1" si="1347"/>
        <v>1</v>
      </c>
      <c r="TC86" s="220">
        <f t="shared" ca="1" si="1229"/>
        <v>0.47585575235966748</v>
      </c>
      <c r="TD86" s="220">
        <f t="shared" ca="1" si="1230"/>
        <v>0</v>
      </c>
      <c r="TE86" s="235">
        <f t="shared" ca="1" si="1231"/>
        <v>2.9329657426153458E-2</v>
      </c>
      <c r="TF86" s="235">
        <f t="shared" ca="1" si="1232"/>
        <v>0.47585575235966748</v>
      </c>
      <c r="TG86" s="242">
        <f t="shared" ca="1" si="1233"/>
        <v>2.9329657426153458E-2</v>
      </c>
      <c r="TH86" s="241">
        <f t="shared" ca="1" si="1347"/>
        <v>1</v>
      </c>
      <c r="TI86" s="220">
        <f t="shared" ca="1" si="1234"/>
        <v>0.4447514411066778</v>
      </c>
      <c r="TJ86" s="220">
        <f t="shared" ca="1" si="1235"/>
        <v>0</v>
      </c>
      <c r="TK86" s="235">
        <f t="shared" ca="1" si="1236"/>
        <v>2.6485530790814431E-2</v>
      </c>
      <c r="TL86" s="235">
        <f t="shared" ca="1" si="1237"/>
        <v>0.4447514411066778</v>
      </c>
      <c r="TM86" s="242">
        <f t="shared" ca="1" si="1238"/>
        <v>2.6485530790814431E-2</v>
      </c>
      <c r="TN86" s="241">
        <f t="shared" ca="1" si="1347"/>
        <v>1</v>
      </c>
      <c r="TO86" s="220">
        <f t="shared" ca="1" si="1239"/>
        <v>0.41251096438941365</v>
      </c>
      <c r="TP86" s="220">
        <f t="shared" ca="1" si="1240"/>
        <v>0</v>
      </c>
      <c r="TQ86" s="235">
        <f t="shared" ca="1" si="1241"/>
        <v>2.3734848481408222E-2</v>
      </c>
      <c r="TR86" s="235">
        <f t="shared" ca="1" si="1242"/>
        <v>0.41251096438941365</v>
      </c>
      <c r="TS86" s="242">
        <f t="shared" ca="1" si="1243"/>
        <v>2.3734848481408222E-2</v>
      </c>
      <c r="TT86" s="241">
        <f t="shared" ca="1" si="1347"/>
        <v>1</v>
      </c>
      <c r="TU86" s="220">
        <f t="shared" ca="1" si="1244"/>
        <v>0.37939128408051637</v>
      </c>
      <c r="TV86" s="220">
        <f t="shared" ca="1" si="1245"/>
        <v>0</v>
      </c>
      <c r="TW86" s="235">
        <f t="shared" ca="1" si="1246"/>
        <v>2.1091038615007652E-2</v>
      </c>
      <c r="TX86" s="235">
        <f t="shared" ca="1" si="1247"/>
        <v>0.37939128408051637</v>
      </c>
      <c r="TY86" s="242">
        <f t="shared" ca="1" si="1248"/>
        <v>2.1091038615007652E-2</v>
      </c>
      <c r="TZ86" s="241">
        <f t="shared" ca="1" si="1347"/>
        <v>1</v>
      </c>
      <c r="UA86" s="220">
        <f t="shared" ca="1" si="1249"/>
        <v>0.34565732866521315</v>
      </c>
      <c r="UB86" s="220">
        <f t="shared" ca="1" si="1250"/>
        <v>0</v>
      </c>
      <c r="UC86" s="235">
        <f t="shared" ca="1" si="1251"/>
        <v>1.8565901280691431E-2</v>
      </c>
      <c r="UD86" s="235">
        <f t="shared" ca="1" si="1252"/>
        <v>0.34565732866521315</v>
      </c>
      <c r="UE86" s="242">
        <f t="shared" ca="1" si="1253"/>
        <v>1.8565901280691431E-2</v>
      </c>
      <c r="UF86" s="241">
        <f t="shared" ca="1" si="1347"/>
        <v>1</v>
      </c>
      <c r="UG86" s="220">
        <f t="shared" ca="1" si="1254"/>
        <v>0.31158381183471112</v>
      </c>
      <c r="UH86" s="220">
        <f t="shared" ca="1" si="1255"/>
        <v>0</v>
      </c>
      <c r="UI86" s="235">
        <f t="shared" ca="1" si="1256"/>
        <v>1.6169805793281151E-2</v>
      </c>
      <c r="UJ86" s="235">
        <f t="shared" ca="1" si="1257"/>
        <v>0.31158381183471112</v>
      </c>
      <c r="UK86" s="242">
        <f t="shared" ca="1" si="1258"/>
        <v>1.6169805793281151E-2</v>
      </c>
      <c r="UL86" s="241">
        <f t="shared" ca="1" si="1347"/>
        <v>1</v>
      </c>
      <c r="UM86" s="220">
        <f t="shared" ca="1" si="1259"/>
        <v>0.27748470263514402</v>
      </c>
      <c r="UN86" s="220">
        <f t="shared" ca="1" si="1260"/>
        <v>0</v>
      </c>
      <c r="UO86" s="235">
        <f t="shared" ca="1" si="1261"/>
        <v>1.3913250808575896E-2</v>
      </c>
      <c r="UP86" s="235">
        <f t="shared" ca="1" si="1262"/>
        <v>0.27748470263514402</v>
      </c>
      <c r="UQ86" s="242">
        <f t="shared" ca="1" si="1263"/>
        <v>1.3913250808575896E-2</v>
      </c>
      <c r="UR86" s="241">
        <f t="shared" ca="1" si="1347"/>
        <v>1</v>
      </c>
      <c r="US86" s="220">
        <f t="shared" ca="1" si="1264"/>
        <v>0.24373729058536042</v>
      </c>
      <c r="UT86" s="220">
        <f t="shared" ca="1" si="1265"/>
        <v>0</v>
      </c>
      <c r="UU86" s="235">
        <f t="shared" ca="1" si="1266"/>
        <v>1.1807860056509861E-2</v>
      </c>
      <c r="UV86" s="235">
        <f t="shared" ca="1" si="1267"/>
        <v>0.24373729058536042</v>
      </c>
      <c r="UW86" s="242">
        <f t="shared" ca="1" si="1268"/>
        <v>1.1807860056509861E-2</v>
      </c>
      <c r="UX86" s="241">
        <f t="shared" ca="1" si="1347"/>
        <v>1</v>
      </c>
      <c r="UY86" s="220">
        <f t="shared" ca="1" si="1269"/>
        <v>0.21078985859319374</v>
      </c>
      <c r="UZ86" s="220">
        <f t="shared" ca="1" si="1270"/>
        <v>0</v>
      </c>
      <c r="VA86" s="235">
        <f t="shared" ca="1" si="1271"/>
        <v>9.866396874889936E-3</v>
      </c>
      <c r="VB86" s="235">
        <f t="shared" ca="1" si="1272"/>
        <v>0.21078985859319374</v>
      </c>
      <c r="VC86" s="242">
        <f t="shared" ca="1" si="1273"/>
        <v>9.866396874889936E-3</v>
      </c>
      <c r="VD86" s="241">
        <f t="shared" ca="1" si="1345"/>
        <v>1</v>
      </c>
      <c r="VE86" s="220">
        <f t="shared" ca="1" si="1274"/>
        <v>0.17914840370962801</v>
      </c>
      <c r="VF86" s="220">
        <f t="shared" ca="1" si="1275"/>
        <v>0</v>
      </c>
      <c r="VG86" s="235">
        <f t="shared" ca="1" si="1276"/>
        <v>8.1017989433788233E-3</v>
      </c>
      <c r="VH86" s="235">
        <f t="shared" ca="1" si="1277"/>
        <v>0.17914840370962801</v>
      </c>
      <c r="VI86" s="242">
        <f t="shared" ca="1" si="1278"/>
        <v>8.1017989433788233E-3</v>
      </c>
      <c r="VJ86" s="241">
        <f t="shared" ca="1" si="1345"/>
        <v>1</v>
      </c>
      <c r="VK86" s="220">
        <f t="shared" ca="1" si="1279"/>
        <v>0.14933864677755704</v>
      </c>
      <c r="VL86" s="220">
        <f t="shared" ca="1" si="1280"/>
        <v>0</v>
      </c>
      <c r="VM86" s="235">
        <f t="shared" ca="1" si="1281"/>
        <v>6.5252984585482295E-3</v>
      </c>
      <c r="VN86" s="235">
        <f t="shared" ca="1" si="1282"/>
        <v>0.14933864677755704</v>
      </c>
      <c r="VO86" s="242">
        <f t="shared" ca="1" si="1283"/>
        <v>6.5252984585482295E-3</v>
      </c>
      <c r="VP86" s="241">
        <f t="shared" ca="1" si="567"/>
        <v>1</v>
      </c>
      <c r="VQ86" s="220">
        <f t="shared" ca="1" si="1284"/>
        <v>0.12186078378642688</v>
      </c>
      <c r="VR86" s="220">
        <f t="shared" ca="1" si="1285"/>
        <v>0</v>
      </c>
      <c r="VS86" s="235">
        <f t="shared" ca="1" si="1286"/>
        <v>5.1446020464451514E-3</v>
      </c>
      <c r="VT86" s="235">
        <f t="shared" ca="1" si="1287"/>
        <v>0.12186078378642688</v>
      </c>
      <c r="VU86" s="242">
        <f t="shared" ca="1" si="1288"/>
        <v>5.1446020464451514E-3</v>
      </c>
      <c r="VV86" s="241">
        <f t="shared" ca="1" si="1335"/>
        <v>1</v>
      </c>
      <c r="VW86" s="220">
        <f t="shared" ca="1" si="1289"/>
        <v>9.714071449143126E-2</v>
      </c>
      <c r="VX86" s="220">
        <f t="shared" ca="1" si="1290"/>
        <v>0</v>
      </c>
      <c r="VY86" s="235">
        <f t="shared" ca="1" si="1291"/>
        <v>3.9623128486120972E-3</v>
      </c>
      <c r="VZ86" s="235">
        <f t="shared" ca="1" si="1292"/>
        <v>9.714071449143126E-2</v>
      </c>
      <c r="WA86" s="242">
        <f t="shared" ca="1" si="1293"/>
        <v>3.9623128486120972E-3</v>
      </c>
      <c r="WB86" s="241">
        <f t="shared" ca="1" si="1335"/>
        <v>1</v>
      </c>
      <c r="WC86" s="220">
        <f t="shared" ca="1" si="1294"/>
        <v>7.5486980683431834E-2</v>
      </c>
      <c r="WD86" s="220">
        <f t="shared" ca="1" si="1295"/>
        <v>0</v>
      </c>
      <c r="WE86" s="235">
        <f t="shared" ca="1" si="1296"/>
        <v>2.9749465982754843E-3</v>
      </c>
      <c r="WF86" s="235">
        <f t="shared" ca="1" si="1297"/>
        <v>7.5486980683431834E-2</v>
      </c>
      <c r="WG86" s="242">
        <f t="shared" ca="1" si="1298"/>
        <v>2.9749465982754843E-3</v>
      </c>
      <c r="WH86" s="241">
        <f t="shared" ca="1" si="1335"/>
        <v>1</v>
      </c>
      <c r="WI86" s="220">
        <f t="shared" ca="1" si="1299"/>
        <v>5.7061061620490225E-2</v>
      </c>
      <c r="WJ86" s="220">
        <f t="shared" ca="1" si="1300"/>
        <v>0</v>
      </c>
      <c r="WK86" s="235">
        <f t="shared" ca="1" si="1301"/>
        <v>2.1727342833971291E-3</v>
      </c>
      <c r="WL86" s="235">
        <f t="shared" ca="1" si="1302"/>
        <v>5.7061061620490225E-2</v>
      </c>
      <c r="WM86" s="242">
        <f t="shared" ca="1" si="1303"/>
        <v>2.1727342833971291E-3</v>
      </c>
      <c r="WN86" s="241">
        <f t="shared" ca="1" si="1335"/>
        <v>1</v>
      </c>
      <c r="WO86" s="220">
        <f t="shared" ca="1" si="1304"/>
        <v>4.1934687734452851E-2</v>
      </c>
      <c r="WP86" s="220">
        <f t="shared" ca="1" si="1305"/>
        <v>0</v>
      </c>
      <c r="WQ86" s="235">
        <f t="shared" ca="1" si="1306"/>
        <v>1.5427651975624165E-3</v>
      </c>
      <c r="WR86" s="235">
        <f t="shared" ca="1" si="1307"/>
        <v>4.1934687734452851E-2</v>
      </c>
      <c r="WS86" s="242">
        <f t="shared" ca="1" si="1308"/>
        <v>1.5427651975624165E-3</v>
      </c>
      <c r="WT86" s="241">
        <f t="shared" ca="1" si="1335"/>
        <v>1</v>
      </c>
      <c r="WU86" s="220">
        <f t="shared" ca="1" si="1309"/>
        <v>2.9961998908764689E-2</v>
      </c>
      <c r="WV86" s="220">
        <f t="shared" ca="1" si="1310"/>
        <v>0</v>
      </c>
      <c r="WW86" s="235">
        <f t="shared" ca="1" si="1311"/>
        <v>1.0650177696007403E-3</v>
      </c>
      <c r="WX86" s="235">
        <f t="shared" ca="1" si="1312"/>
        <v>2.9961998908764689E-2</v>
      </c>
      <c r="WY86" s="242">
        <f t="shared" ca="1" si="1313"/>
        <v>1.0650177696007403E-3</v>
      </c>
      <c r="WZ86" s="241">
        <f t="shared" ca="1" si="1335"/>
        <v>1</v>
      </c>
      <c r="XA86" s="220">
        <f t="shared" ca="1" si="1314"/>
        <v>2.0825806429510707E-2</v>
      </c>
      <c r="XB86" s="220">
        <f t="shared" ca="1" si="1315"/>
        <v>0</v>
      </c>
      <c r="XC86" s="235">
        <f t="shared" ca="1" si="1316"/>
        <v>7.1523300597822715E-4</v>
      </c>
      <c r="XD86" s="235">
        <f t="shared" ca="1" si="1317"/>
        <v>2.0825806429510707E-2</v>
      </c>
      <c r="XE86" s="242">
        <f t="shared" ca="1" si="1318"/>
        <v>7.1523300597822715E-4</v>
      </c>
      <c r="XF86" s="241">
        <f t="shared" ca="1" si="1335"/>
        <v>1</v>
      </c>
      <c r="XG86" s="220">
        <f t="shared" ca="1" si="1319"/>
        <v>1.410075784309954E-2</v>
      </c>
      <c r="XH86" s="220">
        <f t="shared" ca="1" si="1320"/>
        <v>0</v>
      </c>
      <c r="XI86" s="235">
        <f t="shared" ca="1" si="1321"/>
        <v>4.6789437576883483E-4</v>
      </c>
      <c r="XJ86" s="235">
        <f t="shared" ca="1" si="1322"/>
        <v>1.410075784309954E-2</v>
      </c>
      <c r="XK86" s="242">
        <f t="shared" ca="1" si="1323"/>
        <v>4.6789437576883483E-4</v>
      </c>
    </row>
    <row r="87" spans="2:635" x14ac:dyDescent="0.25">
      <c r="AH87" s="70"/>
      <c r="AI87" s="70"/>
    </row>
    <row r="88" spans="2:635" x14ac:dyDescent="0.25">
      <c r="AH88" s="70"/>
      <c r="AI88" s="70"/>
    </row>
    <row r="89" spans="2:635" x14ac:dyDescent="0.25">
      <c r="AB89" s="1"/>
      <c r="AH89" s="70"/>
      <c r="AI89" s="70"/>
    </row>
    <row r="90" spans="2:635" x14ac:dyDescent="0.25">
      <c r="AH90" s="112"/>
      <c r="AI90" s="112"/>
    </row>
    <row r="91" spans="2:635" x14ac:dyDescent="0.25">
      <c r="AH91" s="70"/>
      <c r="AI91" s="70"/>
    </row>
    <row r="92" spans="2:635" x14ac:dyDescent="0.25">
      <c r="AH92" s="112"/>
      <c r="AI92" s="112"/>
    </row>
    <row r="93" spans="2:635" x14ac:dyDescent="0.25">
      <c r="AH93" s="70"/>
      <c r="AI93" s="70"/>
    </row>
    <row r="94" spans="2:635" x14ac:dyDescent="0.25">
      <c r="AH94" s="112"/>
      <c r="AI94" s="112"/>
    </row>
    <row r="95" spans="2:635" x14ac:dyDescent="0.25">
      <c r="AH95" s="70"/>
      <c r="AI95" s="70"/>
    </row>
    <row r="96" spans="2:635" x14ac:dyDescent="0.25">
      <c r="AH96" s="112"/>
      <c r="AI96" s="112"/>
    </row>
    <row r="97" spans="34:35" x14ac:dyDescent="0.25">
      <c r="AH97" s="70"/>
      <c r="AI97" s="70"/>
    </row>
    <row r="98" spans="34:35" x14ac:dyDescent="0.25">
      <c r="AH98" s="112"/>
      <c r="AI98" s="112"/>
    </row>
    <row r="99" spans="34:35" x14ac:dyDescent="0.25">
      <c r="AH99" s="70"/>
      <c r="AI99" s="70"/>
    </row>
    <row r="100" spans="34:35" x14ac:dyDescent="0.25">
      <c r="AH100" s="112"/>
      <c r="AI100" s="112"/>
    </row>
    <row r="101" spans="34:35" x14ac:dyDescent="0.25">
      <c r="AH101" s="70"/>
      <c r="AI101" s="70"/>
    </row>
    <row r="102" spans="34:35" x14ac:dyDescent="0.25">
      <c r="AH102" s="112"/>
      <c r="AI102" s="112"/>
    </row>
    <row r="103" spans="34:35" x14ac:dyDescent="0.25">
      <c r="AH103" s="70"/>
      <c r="AI103" s="70"/>
    </row>
    <row r="104" spans="34:35" x14ac:dyDescent="0.25">
      <c r="AH104" s="112"/>
      <c r="AI104" s="112"/>
    </row>
    <row r="105" spans="34:35" x14ac:dyDescent="0.25">
      <c r="AH105" s="70"/>
      <c r="AI105" s="70"/>
    </row>
    <row r="106" spans="34:35" x14ac:dyDescent="0.25">
      <c r="AH106" s="112"/>
      <c r="AI106" s="112"/>
    </row>
    <row r="107" spans="34:35" x14ac:dyDescent="0.25">
      <c r="AH107" s="70"/>
      <c r="AI107" s="70"/>
    </row>
    <row r="108" spans="34:35" x14ac:dyDescent="0.25">
      <c r="AH108" s="112"/>
      <c r="AI108" s="112"/>
    </row>
    <row r="109" spans="34:35" x14ac:dyDescent="0.25">
      <c r="AH109" s="70"/>
      <c r="AI109" s="70"/>
    </row>
    <row r="110" spans="34:35" x14ac:dyDescent="0.25">
      <c r="AH110" s="112"/>
      <c r="AI110" s="112"/>
    </row>
    <row r="111" spans="34:35" x14ac:dyDescent="0.25">
      <c r="AH111" s="70"/>
      <c r="AI111" s="70"/>
    </row>
    <row r="112" spans="34:35" x14ac:dyDescent="0.25">
      <c r="AH112" s="112"/>
      <c r="AI112" s="112"/>
    </row>
    <row r="113" spans="34:35" x14ac:dyDescent="0.25">
      <c r="AH113" s="70"/>
      <c r="AI113" s="70"/>
    </row>
    <row r="114" spans="34:35" x14ac:dyDescent="0.25">
      <c r="AH114" s="112"/>
      <c r="AI114" s="112"/>
    </row>
    <row r="115" spans="34:35" x14ac:dyDescent="0.25">
      <c r="AH115" s="70"/>
      <c r="AI115" s="70"/>
    </row>
    <row r="116" spans="34:35" x14ac:dyDescent="0.25">
      <c r="AH116" s="112"/>
      <c r="AI116" s="112"/>
    </row>
    <row r="117" spans="34:35" x14ac:dyDescent="0.25">
      <c r="AH117" s="70"/>
      <c r="AI117" s="70"/>
    </row>
    <row r="118" spans="34:35" x14ac:dyDescent="0.25">
      <c r="AH118" s="112"/>
      <c r="AI118" s="112"/>
    </row>
    <row r="119" spans="34:35" x14ac:dyDescent="0.25">
      <c r="AH119" s="70"/>
      <c r="AI119" s="70"/>
    </row>
    <row r="120" spans="34:35" x14ac:dyDescent="0.25">
      <c r="AH120" s="112"/>
      <c r="AI120" s="112"/>
    </row>
    <row r="121" spans="34:35" x14ac:dyDescent="0.25">
      <c r="AH121" s="70"/>
      <c r="AI121" s="70"/>
    </row>
    <row r="122" spans="34:35" x14ac:dyDescent="0.25">
      <c r="AH122" s="112"/>
      <c r="AI122" s="112"/>
    </row>
    <row r="123" spans="34:35" x14ac:dyDescent="0.25">
      <c r="AH123" s="70"/>
      <c r="AI123" s="70"/>
    </row>
    <row r="124" spans="34:35" x14ac:dyDescent="0.25">
      <c r="AH124" s="112"/>
      <c r="AI124" s="112"/>
    </row>
    <row r="125" spans="34:35" x14ac:dyDescent="0.25">
      <c r="AH125" s="70"/>
      <c r="AI125" s="70"/>
    </row>
    <row r="126" spans="34:35" x14ac:dyDescent="0.25">
      <c r="AH126" s="112"/>
      <c r="AI126" s="112"/>
    </row>
    <row r="127" spans="34:35" x14ac:dyDescent="0.25">
      <c r="AH127" s="70"/>
      <c r="AI127" s="70"/>
    </row>
    <row r="128" spans="34:35" x14ac:dyDescent="0.25">
      <c r="AH128" s="112"/>
      <c r="AI128" s="112"/>
    </row>
    <row r="129" spans="34:35" x14ac:dyDescent="0.25">
      <c r="AH129" s="70"/>
      <c r="AI129" s="70"/>
    </row>
    <row r="130" spans="34:35" x14ac:dyDescent="0.25">
      <c r="AH130" s="112"/>
      <c r="AI130" s="112"/>
    </row>
    <row r="131" spans="34:35" x14ac:dyDescent="0.25">
      <c r="AH131" s="70"/>
      <c r="AI131" s="70"/>
    </row>
    <row r="132" spans="34:35" x14ac:dyDescent="0.25">
      <c r="AH132" s="112"/>
      <c r="AI132" s="112"/>
    </row>
    <row r="133" spans="34:35" x14ac:dyDescent="0.25">
      <c r="AH133" s="70"/>
      <c r="AI133" s="70"/>
    </row>
    <row r="134" spans="34:35" x14ac:dyDescent="0.25">
      <c r="AH134" s="112"/>
      <c r="AI134" s="112"/>
    </row>
    <row r="135" spans="34:35" x14ac:dyDescent="0.25">
      <c r="AH135" s="70"/>
      <c r="AI135" s="70"/>
    </row>
    <row r="136" spans="34:35" x14ac:dyDescent="0.25">
      <c r="AH136" s="112"/>
      <c r="AI136" s="112"/>
    </row>
    <row r="137" spans="34:35" x14ac:dyDescent="0.25">
      <c r="AH137" s="70"/>
      <c r="AI137" s="70"/>
    </row>
    <row r="138" spans="34:35" x14ac:dyDescent="0.25">
      <c r="AH138" s="112"/>
      <c r="AI138" s="112"/>
    </row>
    <row r="139" spans="34:35" x14ac:dyDescent="0.25">
      <c r="AH139" s="70"/>
      <c r="AI139" s="70"/>
    </row>
    <row r="140" spans="34:35" x14ac:dyDescent="0.25">
      <c r="AH140" s="112"/>
      <c r="AI140" s="112"/>
    </row>
    <row r="141" spans="34:35" x14ac:dyDescent="0.25">
      <c r="AH141" s="70"/>
      <c r="AI141" s="70"/>
    </row>
    <row r="142" spans="34:35" x14ac:dyDescent="0.25">
      <c r="AH142" s="112"/>
      <c r="AI142" s="112"/>
    </row>
    <row r="143" spans="34:35" x14ac:dyDescent="0.25">
      <c r="AH143" s="70"/>
      <c r="AI143" s="70"/>
    </row>
    <row r="144" spans="34:35" x14ac:dyDescent="0.25">
      <c r="AH144" s="112"/>
      <c r="AI144" s="112"/>
    </row>
    <row r="145" spans="34:35" x14ac:dyDescent="0.25">
      <c r="AH145" s="70"/>
      <c r="AI145" s="70"/>
    </row>
    <row r="146" spans="34:35" x14ac:dyDescent="0.25">
      <c r="AH146" s="112"/>
      <c r="AI146" s="112"/>
    </row>
    <row r="147" spans="34:35" x14ac:dyDescent="0.25">
      <c r="AH147" s="70"/>
      <c r="AI147" s="70"/>
    </row>
    <row r="148" spans="34:35" x14ac:dyDescent="0.25">
      <c r="AH148" s="112"/>
      <c r="AI148" s="112"/>
    </row>
    <row r="149" spans="34:35" x14ac:dyDescent="0.25">
      <c r="AH149" s="70"/>
      <c r="AI149" s="70"/>
    </row>
    <row r="150" spans="34:35" x14ac:dyDescent="0.25">
      <c r="AH150" s="112"/>
      <c r="AI150" s="112"/>
    </row>
    <row r="151" spans="34:35" x14ac:dyDescent="0.25">
      <c r="AH151" s="70"/>
      <c r="AI151" s="70"/>
    </row>
    <row r="152" spans="34:35" x14ac:dyDescent="0.25">
      <c r="AH152" s="112"/>
      <c r="AI152" s="112"/>
    </row>
    <row r="153" spans="34:35" x14ac:dyDescent="0.25">
      <c r="AH153" s="70"/>
      <c r="AI153" s="70"/>
    </row>
    <row r="154" spans="34:35" x14ac:dyDescent="0.25">
      <c r="AH154" s="112"/>
      <c r="AI154" s="112"/>
    </row>
    <row r="155" spans="34:35" x14ac:dyDescent="0.25">
      <c r="AH155" s="70"/>
      <c r="AI155" s="70"/>
    </row>
    <row r="156" spans="34:35" x14ac:dyDescent="0.25">
      <c r="AH156" s="112"/>
      <c r="AI156" s="112"/>
    </row>
    <row r="157" spans="34:35" x14ac:dyDescent="0.25">
      <c r="AH157" s="70"/>
      <c r="AI157" s="70"/>
    </row>
    <row r="158" spans="34:35" x14ac:dyDescent="0.25">
      <c r="AH158" s="112"/>
      <c r="AI158" s="112"/>
    </row>
    <row r="159" spans="34:35" x14ac:dyDescent="0.25">
      <c r="AH159" s="70"/>
      <c r="AI159" s="70"/>
    </row>
    <row r="160" spans="34:35" x14ac:dyDescent="0.25">
      <c r="AH160" s="112"/>
      <c r="AI160" s="112"/>
    </row>
    <row r="161" spans="34:35" x14ac:dyDescent="0.25">
      <c r="AH161" s="70"/>
      <c r="AI161" s="70"/>
    </row>
    <row r="162" spans="34:35" x14ac:dyDescent="0.25">
      <c r="AH162" s="112"/>
      <c r="AI162" s="112"/>
    </row>
    <row r="163" spans="34:35" x14ac:dyDescent="0.25">
      <c r="AH163" s="70"/>
      <c r="AI163" s="70"/>
    </row>
    <row r="164" spans="34:35" x14ac:dyDescent="0.25">
      <c r="AH164" s="112"/>
      <c r="AI164" s="112"/>
    </row>
    <row r="165" spans="34:35" x14ac:dyDescent="0.25">
      <c r="AH165" s="70"/>
      <c r="AI165" s="70"/>
    </row>
  </sheetData>
  <sheetProtection sheet="1" objects="1" scenarios="1" autoFilter="0"/>
  <mergeCells count="102">
    <mergeCell ref="L2:AC2"/>
    <mergeCell ref="SP2:SU2"/>
    <mergeCell ref="SV2:TA2"/>
    <mergeCell ref="TB2:TG2"/>
    <mergeCell ref="TH2:TM2"/>
    <mergeCell ref="TN2:TS2"/>
    <mergeCell ref="TT2:TY2"/>
    <mergeCell ref="TZ2:UE2"/>
    <mergeCell ref="UF2:UK2"/>
    <mergeCell ref="SJ2:SO2"/>
    <mergeCell ref="OL2:OQ2"/>
    <mergeCell ref="OR2:OW2"/>
    <mergeCell ref="OX2:PC2"/>
    <mergeCell ref="PD2:PI2"/>
    <mergeCell ref="PJ2:PO2"/>
    <mergeCell ref="PP2:PU2"/>
    <mergeCell ref="PV2:QA2"/>
    <mergeCell ref="QB2:QG2"/>
    <mergeCell ref="QH2:QM2"/>
    <mergeCell ref="QN2:QS2"/>
    <mergeCell ref="QT2:QY2"/>
    <mergeCell ref="NT2:NY2"/>
    <mergeCell ref="NZ2:OE2"/>
    <mergeCell ref="OF2:OK2"/>
    <mergeCell ref="UL2:UQ2"/>
    <mergeCell ref="WT2:WY2"/>
    <mergeCell ref="WZ2:XE2"/>
    <mergeCell ref="XF2:XK2"/>
    <mergeCell ref="UR2:UW2"/>
    <mergeCell ref="UX2:VC2"/>
    <mergeCell ref="VD2:VI2"/>
    <mergeCell ref="VJ2:VO2"/>
    <mergeCell ref="VP2:VU2"/>
    <mergeCell ref="VV2:WA2"/>
    <mergeCell ref="WB2:WG2"/>
    <mergeCell ref="WH2:WM2"/>
    <mergeCell ref="WN2:WS2"/>
    <mergeCell ref="QZ2:RE2"/>
    <mergeCell ref="RF2:RK2"/>
    <mergeCell ref="RL2:RQ2"/>
    <mergeCell ref="RR2:RW2"/>
    <mergeCell ref="RX2:SC2"/>
    <mergeCell ref="SD2:SI2"/>
    <mergeCell ref="DV2:EA2"/>
    <mergeCell ref="EB2:EG2"/>
    <mergeCell ref="EH2:EM2"/>
    <mergeCell ref="MJ2:MO2"/>
    <mergeCell ref="MP2:MU2"/>
    <mergeCell ref="MV2:NA2"/>
    <mergeCell ref="NB2:NG2"/>
    <mergeCell ref="NH2:NM2"/>
    <mergeCell ref="NN2:NS2"/>
    <mergeCell ref="GJ2:GO2"/>
    <mergeCell ref="GP2:GU2"/>
    <mergeCell ref="GV2:HA2"/>
    <mergeCell ref="HB2:HG2"/>
    <mergeCell ref="HH2:HM2"/>
    <mergeCell ref="HN2:HS2"/>
    <mergeCell ref="HT2:HY2"/>
    <mergeCell ref="HZ2:IE2"/>
    <mergeCell ref="IF2:IK2"/>
    <mergeCell ref="AD2:AI2"/>
    <mergeCell ref="EN2:ES2"/>
    <mergeCell ref="ET2:EY2"/>
    <mergeCell ref="EZ2:FE2"/>
    <mergeCell ref="FF2:FK2"/>
    <mergeCell ref="FL2:FQ2"/>
    <mergeCell ref="FR2:FW2"/>
    <mergeCell ref="FX2:GC2"/>
    <mergeCell ref="GD2:GI2"/>
    <mergeCell ref="AJ2:AO2"/>
    <mergeCell ref="AP2:AU2"/>
    <mergeCell ref="AV2:BA2"/>
    <mergeCell ref="BB2:BG2"/>
    <mergeCell ref="BH2:BM2"/>
    <mergeCell ref="BN2:BS2"/>
    <mergeCell ref="BT2:BY2"/>
    <mergeCell ref="BZ2:CE2"/>
    <mergeCell ref="CF2:CK2"/>
    <mergeCell ref="CL2:CQ2"/>
    <mergeCell ref="CR2:CW2"/>
    <mergeCell ref="CX2:DC2"/>
    <mergeCell ref="DD2:DI2"/>
    <mergeCell ref="DJ2:DO2"/>
    <mergeCell ref="DP2:DU2"/>
    <mergeCell ref="LX2:MC2"/>
    <mergeCell ref="MD2:MI2"/>
    <mergeCell ref="IL2:IQ2"/>
    <mergeCell ref="IR2:IW2"/>
    <mergeCell ref="IX2:JC2"/>
    <mergeCell ref="JD2:JI2"/>
    <mergeCell ref="JJ2:JO2"/>
    <mergeCell ref="JP2:JU2"/>
    <mergeCell ref="JV2:KA2"/>
    <mergeCell ref="KB2:KG2"/>
    <mergeCell ref="KH2:KM2"/>
    <mergeCell ref="KN2:KS2"/>
    <mergeCell ref="KT2:KY2"/>
    <mergeCell ref="KZ2:LE2"/>
    <mergeCell ref="LF2:LK2"/>
    <mergeCell ref="LL2:LQ2"/>
    <mergeCell ref="LR2:LW2"/>
  </mergeCells>
  <conditionalFormatting sqref="B7:B86">
    <cfRule type="expression" dxfId="5" priority="2">
      <formula>($B7=SP_CurrentYear)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3"/>
  <dimension ref="A1:AC171"/>
  <sheetViews>
    <sheetView zoomScaleNormal="100" workbookViewId="0">
      <pane xSplit="9" ySplit="3" topLeftCell="J4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9.140625" hidden="1" customWidth="1"/>
    <col min="2" max="2" width="5" hidden="1" customWidth="1"/>
    <col min="3" max="3" width="4.28515625" hidden="1" customWidth="1"/>
    <col min="4" max="4" width="6.5703125" hidden="1" customWidth="1"/>
    <col min="5" max="6" width="3.42578125" hidden="1" customWidth="1"/>
    <col min="7" max="7" width="3.5703125" hidden="1" customWidth="1"/>
    <col min="8" max="8" width="6.7109375" style="334" hidden="1" customWidth="1"/>
    <col min="9" max="9" width="6.7109375" style="392" hidden="1" customWidth="1"/>
    <col min="10" max="11" width="5.5703125" hidden="1" customWidth="1"/>
    <col min="12" max="12" width="5.5703125" style="341" hidden="1" customWidth="1"/>
    <col min="13" max="13" width="5.5703125" style="346" hidden="1" customWidth="1"/>
    <col min="14" max="14" width="8.28515625" hidden="1" customWidth="1"/>
    <col min="15" max="17" width="13" hidden="1" customWidth="1"/>
    <col min="18" max="18" width="13" style="343" hidden="1" customWidth="1"/>
    <col min="19" max="19" width="13" style="346" hidden="1" customWidth="1"/>
    <col min="20" max="20" width="13" style="381" hidden="1" customWidth="1"/>
    <col min="21" max="21" width="13" hidden="1" customWidth="1"/>
    <col min="22" max="22" width="13" style="382" hidden="1" customWidth="1"/>
    <col min="23" max="23" width="13" hidden="1" customWidth="1"/>
    <col min="24" max="24" width="11.5703125" customWidth="1"/>
    <col min="25" max="25" width="10.140625" customWidth="1"/>
  </cols>
  <sheetData>
    <row r="1" spans="1:26" hidden="1" x14ac:dyDescent="0.25">
      <c r="A1">
        <f>PMADVANCED+IF(SP_SSRIB, VMONLINE+VMMACRO, 0)</f>
        <v>32</v>
      </c>
      <c r="B1">
        <f>PMBASIC+PMADVANCED+VMONLINE+VMMACRO</f>
        <v>54</v>
      </c>
      <c r="C1">
        <f>PMBASIC+PMADVANCED+VMONLINE+VMMACRO</f>
        <v>54</v>
      </c>
      <c r="D1">
        <f>PMBASIC+PMADVANCED+IF(INDEX(SC_ShowRetireatee,2), VMONLINE+VMMACRO, 0)</f>
        <v>48</v>
      </c>
      <c r="E1">
        <f>PMBASIC+PMADVANCED</f>
        <v>48</v>
      </c>
      <c r="F1">
        <f>PMBASIC+PMADVANCED</f>
        <v>48</v>
      </c>
      <c r="G1">
        <f>PMBASIC+PMADVANCED</f>
        <v>48</v>
      </c>
      <c r="H1" s="334">
        <f>PMBASIC+PMADVANCED+VMONLINE+VMMACRO</f>
        <v>54</v>
      </c>
      <c r="I1" s="392">
        <f>PMBASIC+PMADVANCED</f>
        <v>48</v>
      </c>
      <c r="J1" s="343">
        <f>PMBASIC+PMADVANCED</f>
        <v>48</v>
      </c>
      <c r="K1" s="343">
        <f>PMBASIC+PMADVANCED</f>
        <v>48</v>
      </c>
      <c r="L1" s="343">
        <f>PMBASIC+PMADVANCED</f>
        <v>48</v>
      </c>
      <c r="M1" s="346">
        <f>PMBASIC+PMADVANCED</f>
        <v>48</v>
      </c>
      <c r="N1">
        <f>PMBASIC+PMADVANCED+VMONLINE+VMMACRO</f>
        <v>54</v>
      </c>
      <c r="O1">
        <f>PMBASIC+PMADVANCED+VMONLINE+VMMACRO</f>
        <v>54</v>
      </c>
      <c r="P1">
        <f>PMBASIC+PMADVANCED+VMONLINE+VMMACRO</f>
        <v>54</v>
      </c>
      <c r="Q1">
        <f>PMBASIC+PMADVANCED+VMONLINE+VMMACRO</f>
        <v>54</v>
      </c>
      <c r="R1" s="343">
        <f>PMBASIC+PMADVANCED+VMONLINE+VMMACRO</f>
        <v>54</v>
      </c>
      <c r="S1" s="346">
        <f>PMBASIC+PMADVANCED</f>
        <v>48</v>
      </c>
      <c r="T1" s="381">
        <f>PMBASIC+PMADVANCED+VMONLINE+VMMACRO</f>
        <v>54</v>
      </c>
      <c r="U1" s="384">
        <f>PMBASIC+PMADVANCED+VMONLINE+VMMACRO</f>
        <v>54</v>
      </c>
      <c r="V1" s="391">
        <f>PMBASIC+PMADVANCED+VMONLINE+VMMACRO</f>
        <v>54</v>
      </c>
      <c r="W1">
        <f>PMBASIC+PMADVANCED+VMONLINE+VMMACRO</f>
        <v>54</v>
      </c>
    </row>
    <row r="2" spans="1:26" hidden="1" x14ac:dyDescent="0.25">
      <c r="A2">
        <f>PMBASIC+PMADVANCED+VMONLINE+VMMACRO</f>
        <v>54</v>
      </c>
      <c r="J2" s="660" t="s">
        <v>1020</v>
      </c>
      <c r="K2" s="661"/>
      <c r="L2" s="661"/>
      <c r="M2" s="661"/>
      <c r="N2" s="661"/>
      <c r="O2" s="661"/>
      <c r="P2" s="661"/>
      <c r="Q2" s="661"/>
      <c r="R2" s="661"/>
      <c r="S2" s="655"/>
      <c r="T2" s="658" t="s">
        <v>717</v>
      </c>
      <c r="U2" s="659"/>
      <c r="V2" s="657" t="s">
        <v>716</v>
      </c>
      <c r="W2" s="656"/>
    </row>
    <row r="3" spans="1:26" ht="45" hidden="1" x14ac:dyDescent="0.25">
      <c r="A3">
        <f>PMBASIC+PMADVANCED+VMONLINE+VMMACRO</f>
        <v>54</v>
      </c>
      <c r="B3" s="22" t="s">
        <v>0</v>
      </c>
      <c r="C3" s="47" t="s">
        <v>740</v>
      </c>
      <c r="D3" s="47" t="s">
        <v>690</v>
      </c>
      <c r="E3" s="22" t="s">
        <v>708</v>
      </c>
      <c r="F3" s="22" t="s">
        <v>655</v>
      </c>
      <c r="G3" s="22" t="s">
        <v>656</v>
      </c>
      <c r="H3" s="22" t="s">
        <v>62</v>
      </c>
      <c r="I3" s="22" t="s">
        <v>1008</v>
      </c>
      <c r="J3" s="286" t="s">
        <v>65</v>
      </c>
      <c r="K3" s="286" t="s">
        <v>66</v>
      </c>
      <c r="L3" s="286" t="s">
        <v>1011</v>
      </c>
      <c r="M3" s="286" t="s">
        <v>1015</v>
      </c>
      <c r="N3" s="286" t="s">
        <v>739</v>
      </c>
      <c r="O3" s="28" t="s">
        <v>64</v>
      </c>
      <c r="P3" s="28" t="s">
        <v>1012</v>
      </c>
      <c r="Q3" s="28" t="s">
        <v>1013</v>
      </c>
      <c r="R3" s="28" t="s">
        <v>1014</v>
      </c>
      <c r="S3" s="28" t="s">
        <v>1016</v>
      </c>
      <c r="T3" s="24" t="s">
        <v>1019</v>
      </c>
      <c r="U3" s="25" t="s">
        <v>701</v>
      </c>
      <c r="V3" s="24" t="s">
        <v>1019</v>
      </c>
      <c r="W3" s="25" t="s">
        <v>701</v>
      </c>
    </row>
    <row r="4" spans="1:26" x14ac:dyDescent="0.25">
      <c r="B4" s="90">
        <v>0</v>
      </c>
      <c r="C4" s="4"/>
      <c r="D4" s="16"/>
      <c r="E4" s="5"/>
      <c r="F4" s="5"/>
      <c r="G4" s="4"/>
      <c r="H4" s="4"/>
      <c r="I4" s="4"/>
      <c r="J4" s="348"/>
      <c r="K4" s="348"/>
      <c r="L4" s="348"/>
      <c r="M4" s="348"/>
      <c r="N4" s="351"/>
      <c r="O4" s="14"/>
      <c r="P4" s="2"/>
      <c r="Q4" s="2"/>
      <c r="R4" s="2"/>
      <c r="S4" s="2"/>
      <c r="T4" s="387"/>
      <c r="U4" s="385"/>
      <c r="V4" s="389"/>
      <c r="W4" s="27"/>
      <c r="X4" s="15"/>
      <c r="Y4" s="2"/>
    </row>
    <row r="5" spans="1:26" x14ac:dyDescent="0.25">
      <c r="B5" s="90">
        <v>0</v>
      </c>
      <c r="C5" s="4"/>
      <c r="D5" s="16"/>
      <c r="E5" s="5"/>
      <c r="F5" s="5"/>
      <c r="G5" s="4"/>
      <c r="H5" s="4"/>
      <c r="I5" s="4"/>
      <c r="J5" s="348"/>
      <c r="K5" s="348"/>
      <c r="L5" s="348"/>
      <c r="M5" s="348"/>
      <c r="N5" s="351"/>
      <c r="O5" s="14"/>
      <c r="P5" s="2"/>
      <c r="Q5" s="2"/>
      <c r="R5" s="2"/>
      <c r="S5" s="2"/>
      <c r="T5" s="387"/>
      <c r="U5" s="385"/>
      <c r="V5" s="389"/>
      <c r="W5" s="27"/>
      <c r="X5" s="15"/>
      <c r="Y5" s="2"/>
      <c r="Z5" s="4"/>
    </row>
    <row r="6" spans="1:26" x14ac:dyDescent="0.25">
      <c r="B6" s="90">
        <v>0</v>
      </c>
      <c r="C6" s="4"/>
      <c r="D6" s="16"/>
      <c r="E6" s="5"/>
      <c r="F6" s="5"/>
      <c r="G6" s="4"/>
      <c r="H6" s="4"/>
      <c r="I6" s="4"/>
      <c r="J6" s="348"/>
      <c r="K6" s="348"/>
      <c r="L6" s="348"/>
      <c r="M6" s="348"/>
      <c r="N6" s="351"/>
      <c r="O6" s="14"/>
      <c r="P6" s="2"/>
      <c r="Q6" s="2"/>
      <c r="R6" s="2"/>
      <c r="S6" s="2"/>
      <c r="T6" s="387"/>
      <c r="U6" s="385"/>
      <c r="V6" s="389"/>
      <c r="W6" s="27"/>
      <c r="X6" s="15"/>
      <c r="Y6" s="2"/>
    </row>
    <row r="7" spans="1:26" x14ac:dyDescent="0.25">
      <c r="B7" s="90">
        <v>0</v>
      </c>
      <c r="C7" s="4"/>
      <c r="D7" s="16"/>
      <c r="E7" s="5"/>
      <c r="F7" s="5"/>
      <c r="G7" s="4"/>
      <c r="H7" s="4"/>
      <c r="I7" s="4"/>
      <c r="J7" s="348"/>
      <c r="K7" s="348"/>
      <c r="L7" s="348"/>
      <c r="M7" s="348"/>
      <c r="N7" s="351"/>
      <c r="O7" s="14"/>
      <c r="P7" s="2"/>
      <c r="Q7" s="2"/>
      <c r="R7" s="2"/>
      <c r="S7" s="2"/>
      <c r="T7" s="387"/>
      <c r="U7" s="385"/>
      <c r="V7" s="389"/>
      <c r="W7" s="27"/>
      <c r="X7" s="15"/>
      <c r="Y7" s="2"/>
      <c r="Z7" s="4"/>
    </row>
    <row r="8" spans="1:26" x14ac:dyDescent="0.25">
      <c r="B8" s="90">
        <f t="shared" ref="B8:B9" ca="1" si="0">SP_CurrentYear-1</f>
        <v>2021</v>
      </c>
      <c r="C8" s="4"/>
      <c r="D8" s="16"/>
      <c r="E8" s="5"/>
      <c r="F8" s="5"/>
      <c r="G8" s="4"/>
      <c r="H8" s="4"/>
      <c r="I8" s="4"/>
      <c r="J8" s="348"/>
      <c r="K8" s="348"/>
      <c r="L8" s="348"/>
      <c r="M8" s="348"/>
      <c r="N8" s="351"/>
      <c r="O8" s="14"/>
      <c r="P8" s="2"/>
      <c r="Q8" s="2"/>
      <c r="R8" s="2"/>
      <c r="S8" s="2"/>
      <c r="T8" s="387"/>
      <c r="U8" s="385"/>
      <c r="V8" s="389"/>
      <c r="W8" s="27"/>
      <c r="X8" s="15"/>
      <c r="Y8" s="2"/>
    </row>
    <row r="9" spans="1:26" x14ac:dyDescent="0.25">
      <c r="B9" s="90">
        <f t="shared" ca="1" si="0"/>
        <v>2021</v>
      </c>
      <c r="C9" s="4"/>
      <c r="D9" s="16"/>
      <c r="E9" s="5"/>
      <c r="F9" s="5"/>
      <c r="G9" s="4"/>
      <c r="H9" s="4"/>
      <c r="I9" s="4"/>
      <c r="J9" s="348"/>
      <c r="K9" s="348"/>
      <c r="L9" s="348"/>
      <c r="M9" s="348"/>
      <c r="N9" s="351"/>
      <c r="O9" s="14"/>
      <c r="P9" s="2"/>
      <c r="Q9" s="2"/>
      <c r="R9" s="2"/>
      <c r="S9" s="2"/>
      <c r="T9" s="387"/>
      <c r="U9" s="385"/>
      <c r="V9" s="389"/>
      <c r="W9" s="27"/>
      <c r="X9" s="15"/>
      <c r="Y9" s="2"/>
      <c r="Z9" s="4"/>
    </row>
    <row r="10" spans="1:26" x14ac:dyDescent="0.25">
      <c r="B10" s="65">
        <f ca="1">B8+1</f>
        <v>2022</v>
      </c>
      <c r="C10" s="76" t="s">
        <v>741</v>
      </c>
      <c r="D10" s="146" t="str">
        <f t="shared" ref="D10:D39" si="1">INDEX(SP_Initials,F10)</f>
        <v/>
      </c>
      <c r="E10" s="77">
        <f t="shared" ref="E10:E71" si="2">INDEX(SC_TaxIndex,$F10)</f>
        <v>0</v>
      </c>
      <c r="F10" s="77">
        <f t="shared" ref="F10:F72" si="3">MOD(ROW(),2)+1</f>
        <v>1</v>
      </c>
      <c r="G10" s="76">
        <f t="shared" ref="G10:G71" si="4">MOD($F10,2)-($F10-1)</f>
        <v>1</v>
      </c>
      <c r="H10" s="76">
        <f t="shared" ref="H10:H41" si="5">IF(INDEX(SC_ShowRetireatee,$F10),IF($B10&lt;YEAR(INDEX(SP_BirthDate,$F10)),0,$B10-YEAR(INDEX(SP_BirthDate,$F10))),0)</f>
        <v>0</v>
      </c>
      <c r="I10" s="77">
        <f t="shared" ref="I10:I41" si="6">IF(INDEX(SC_ShowRetireatee,$F10),IF($B10&gt;(YEAR(INDEX(SP_BirthDate,$F10))+INDEX(SP_LifeExp,$F10)),0,$H10),0)</f>
        <v>0</v>
      </c>
      <c r="J10" s="331">
        <f t="shared" ref="J10:J41" ca="1" si="7">IF(OR(INDEX(SC_SSDFD,$F10)=0,$B10&lt;YEAR(INDEX(SC_SSDFD,$F10)),$H10&gt;INDEX(SP_LifeExp,$F10)),0,IF($B10=YEAR(INDEX(SC_SSDFD,$F10)),YEARFRAC(INDEX(SC_SSDFD,$F10), DATE($B10+1,1,1)),1))</f>
        <v>0</v>
      </c>
      <c r="K10" s="331">
        <f t="shared" ref="K10:K41" ca="1" si="8">IF(OR(INDEX(SC_SSABFD,$F10)=0,$B10&lt;YEAR(INDEX(SC_SSABFD,$F10)),$H10&gt;=INDEX(SC_SurvivingAge,$F10),$H10&gt;INDEX(SP_LifeExp,$F10)),0,IF($B10=YEAR(INDEX(SC_SSABFD,$F10)),YEARFRAC(INDEX(SC_SSABFD,$F10), DATE($B10+1,1,1)),1))</f>
        <v>0</v>
      </c>
      <c r="L10" s="331">
        <f t="shared" ref="L10:L41" ca="1" si="9">IF(OR(INDEX(SC_SSABFD,$F10)=0,$B10&lt;YEAR(INDEX(SC_SSABFD,$F10)),$H10&lt;INDEX(SC_SurvivingAge,$F10),$H10&gt;INDEX(SP_LifeExp,$F10)),0,IF($B10=YEAR(INDEX(SC_SSABFD,$F10)),YEARFRAC(INDEX(SC_SSABFD,$F10), DATE($B10+1,1,1)),1))</f>
        <v>0</v>
      </c>
      <c r="M10" s="355">
        <f ca="1">MAX(ABS(MAX(IF($J10&lt;=0,$J10,-1),IF($L10&lt;=0,$L10,-1)))
   +MIN(IF($J10&gt;=0,$J10,1),IF($L10&gt;=0,$L10,1))-1,0)</f>
        <v>0</v>
      </c>
      <c r="N10" s="352" t="b">
        <f t="shared" ref="N10:N73" ca="1" si="10">AND(SP_SSRIB,INDEX(SC_ShowRetireatee,$F10),NOT(SUMIF(OFFSET(SC_EX_RN,0,0,EXIDX-1), $F10, OFFSET(SC_EX_SSWorkCredits,0,0,EXIDX-1))&lt;INDEX(SC_SSCreditsNeeded,$F10)))</f>
        <v>0</v>
      </c>
      <c r="O10" s="120">
        <f ca="1">ROUNDDOWN(IF(NOT($N10),0,(MIN(INDEX(SC_EX_SSAIME,EXIDX),INDEX(SC_EA_SSBendPts, INDEX(SC_SSBaseYear,$F10)+1-SC_YearEpoch+2,1))*Lookup!$C$19+MAX(MIN(INDEX(SC_EX_SSAIME,EXIDX),INDEX(SC_EA_SSBendPts, INDEX(SC_SSBaseYear,$F10)+1-SC_YearEpoch+2,2))-INDEX(SC_EA_SSBendPts, INDEX(SC_SSBaseYear,$F10)+1-SC_YearEpoch+2,1),0)*Lookup!$C$20+MAX(INDEX(SC_EX_SSAIME,EXIDX)-INDEX(SC_EA_SSBendPts, INDEX(SC_SSBaseYear,$F10)+1-SC_YearEpoch+2,2),0)*Lookup!$C$21)/INDEX(SC_EX_SSIDXCOLA,EXIDX)),1)</f>
        <v>0</v>
      </c>
      <c r="P10" s="488">
        <f t="shared" ref="P10:P41" ca="1" si="11">ROUNDDOWN($O10*INDEX(SC_SSPBPct,$F10),1)</f>
        <v>0</v>
      </c>
      <c r="Q10" s="70">
        <f t="shared" ref="Q10:Q41" ca="1" si="12">ROUNDDOWN(IF(NOT($N10),0,MAX(OFFSET($O10,$G10,0)/2-$O10,0)*INDEX(SC_SSABPct,$F10)),1)</f>
        <v>0</v>
      </c>
      <c r="R10" s="344">
        <f t="shared" ref="R10:R41" ca="1" si="13">ROUNDDOWN(IF(NOT($N10),0,MAX(OFFSET($O10,$G10,0)*INDEX(SC_SSSBPct,$F10),0)),1)</f>
        <v>0</v>
      </c>
      <c r="S10" s="347">
        <f t="shared" ref="S10:S73" ca="1" si="14">-MIN($P10,$R10)</f>
        <v>0</v>
      </c>
      <c r="T10" s="288">
        <f t="shared" ref="T10:T41" ca="1" si="15">IF(OR($I10=0,NOT($N10)),0,SUMPRODUCT(SUBTOTAL(6,OFFSET(LT_AnnuityLifeTable,MAX($I10,INDEX(SC_SSFRA,$F10)),($F10-1)*3+2,OFFSET(LT_AnnuityLifeTable,1,0,LT_AnnuityMaxAge-MAX($I10,INDEX(SC_SSFRA,$F10))+1,1),1)))*O10*12)</f>
        <v>0</v>
      </c>
      <c r="U10" s="383">
        <f t="shared" ref="U10:U41" ca="1" si="16">SUMPRODUCT($P10:$S10,ABS($J10:$M10))*12</f>
        <v>0</v>
      </c>
      <c r="V10" s="634">
        <f ca="1">SUM($T10:$T11)</f>
        <v>0</v>
      </c>
      <c r="W10" s="618">
        <f ca="1">SUMPRODUCT($U10:$U11, --($E10:$E11&lt;&gt;0))</f>
        <v>0</v>
      </c>
      <c r="X10" s="4"/>
      <c r="Y10" s="2"/>
    </row>
    <row r="11" spans="1:26" x14ac:dyDescent="0.25">
      <c r="B11" s="86">
        <f t="shared" ref="B11:B73" ca="1" si="17">B9+1</f>
        <v>2022</v>
      </c>
      <c r="C11" s="80" t="s">
        <v>741</v>
      </c>
      <c r="D11" s="149" t="str">
        <f t="shared" si="1"/>
        <v/>
      </c>
      <c r="E11" s="81">
        <f t="shared" si="2"/>
        <v>0</v>
      </c>
      <c r="F11" s="81">
        <f t="shared" si="3"/>
        <v>2</v>
      </c>
      <c r="G11" s="82">
        <f t="shared" si="4"/>
        <v>-1</v>
      </c>
      <c r="H11" s="82">
        <f t="shared" si="5"/>
        <v>0</v>
      </c>
      <c r="I11" s="82">
        <f t="shared" si="6"/>
        <v>0</v>
      </c>
      <c r="J11" s="349">
        <f t="shared" ca="1" si="7"/>
        <v>0</v>
      </c>
      <c r="K11" s="349">
        <f t="shared" ca="1" si="8"/>
        <v>0</v>
      </c>
      <c r="L11" s="349">
        <f t="shared" ca="1" si="9"/>
        <v>0</v>
      </c>
      <c r="M11" s="356">
        <f ca="1">MAX(ABS(MAX(IF($J11&lt;=0,$J11,-1),IF($L11&lt;=0,$L11,-1)))
   +MIN(IF($J11&gt;=0,$J11,1),IF($L11&gt;=0,$L11,1))-1,0)</f>
        <v>0</v>
      </c>
      <c r="N11" s="353" t="b">
        <f t="shared" ca="1" si="10"/>
        <v>0</v>
      </c>
      <c r="O11" s="142">
        <f ca="1">ROUNDDOWN(IF(NOT($N11),0,(MIN(INDEX(SC_EX_SSAIME,EXIDX),INDEX(SC_EA_SSBendPts, INDEX(SC_SSBaseYear,$F11)+1-SC_YearEpoch+2,1))*Lookup!$C$19+MAX(MIN(INDEX(SC_EX_SSAIME,EXIDX),INDEX(SC_EA_SSBendPts, INDEX(SC_SSBaseYear,$F11)+1-SC_YearEpoch+2,2))-INDEX(SC_EA_SSBendPts, INDEX(SC_SSBaseYear,$F11)+1-SC_YearEpoch+2,1),0)*Lookup!$C$20+MAX(INDEX(SC_EX_SSAIME,EXIDX)-INDEX(SC_EA_SSBendPts, INDEX(SC_SSBaseYear,$F11)+1-SC_YearEpoch+2,2),0)*Lookup!$C$21)/INDEX(SC_EX_SSIDXCOLA,EXIDX)),1)</f>
        <v>0</v>
      </c>
      <c r="P11" s="107">
        <f t="shared" ca="1" si="11"/>
        <v>0</v>
      </c>
      <c r="Q11" s="107">
        <f t="shared" ca="1" si="12"/>
        <v>0</v>
      </c>
      <c r="R11" s="107">
        <f t="shared" ca="1" si="13"/>
        <v>0</v>
      </c>
      <c r="S11" s="107">
        <f t="shared" ca="1" si="14"/>
        <v>0</v>
      </c>
      <c r="T11" s="388">
        <f t="shared" ca="1" si="15"/>
        <v>0</v>
      </c>
      <c r="U11" s="110">
        <f t="shared" ca="1" si="16"/>
        <v>0</v>
      </c>
      <c r="V11" s="634"/>
      <c r="W11" s="618"/>
      <c r="X11" s="4"/>
      <c r="Y11" s="2"/>
    </row>
    <row r="12" spans="1:26" x14ac:dyDescent="0.25">
      <c r="B12" s="65">
        <f ca="1">B10+1</f>
        <v>2023</v>
      </c>
      <c r="C12" s="76" t="s">
        <v>741</v>
      </c>
      <c r="D12" s="146" t="str">
        <f t="shared" si="1"/>
        <v/>
      </c>
      <c r="E12" s="77">
        <f t="shared" si="2"/>
        <v>0</v>
      </c>
      <c r="F12" s="77">
        <f t="shared" si="3"/>
        <v>1</v>
      </c>
      <c r="G12" s="76">
        <f t="shared" si="4"/>
        <v>1</v>
      </c>
      <c r="H12" s="76">
        <f t="shared" si="5"/>
        <v>0</v>
      </c>
      <c r="I12" s="76">
        <f t="shared" si="6"/>
        <v>0</v>
      </c>
      <c r="J12" s="331">
        <f t="shared" ca="1" si="7"/>
        <v>0</v>
      </c>
      <c r="K12" s="331">
        <f t="shared" ca="1" si="8"/>
        <v>0</v>
      </c>
      <c r="L12" s="331">
        <f t="shared" ca="1" si="9"/>
        <v>0</v>
      </c>
      <c r="M12" s="355">
        <f t="shared" ref="M12:M75" ca="1" si="18">MAX(ABS(MAX(IF($J12&lt;=0,$J12,-1),IF($L12&lt;=0,$L12,-1)))
   +MIN(IF($J12&gt;=0,$J12,1),IF($L12&gt;=0,$L12,1))-1,0)</f>
        <v>0</v>
      </c>
      <c r="N12" s="352" t="b">
        <f t="shared" ca="1" si="10"/>
        <v>0</v>
      </c>
      <c r="O12" s="120">
        <f ca="1">ROUNDDOWN(IF(NOT($N12),0,(MIN(INDEX(SC_EX_SSAIME,EXIDX),INDEX(SC_EA_SSBendPts, INDEX(SC_SSBaseYear,$F12)+1-SC_YearEpoch+2,1))*Lookup!$C$19+MAX(MIN(INDEX(SC_EX_SSAIME,EXIDX),INDEX(SC_EA_SSBendPts, INDEX(SC_SSBaseYear,$F12)+1-SC_YearEpoch+2,2))-INDEX(SC_EA_SSBendPts, INDEX(SC_SSBaseYear,$F12)+1-SC_YearEpoch+2,1),0)*Lookup!$C$20+MAX(INDEX(SC_EX_SSAIME,EXIDX)-INDEX(SC_EA_SSBendPts, INDEX(SC_SSBaseYear,$F12)+1-SC_YearEpoch+2,2),0)*Lookup!$C$21)/INDEX(SC_EX_SSIDXCOLA,EXIDX)),1)</f>
        <v>0</v>
      </c>
      <c r="P12" s="488">
        <f t="shared" ca="1" si="11"/>
        <v>0</v>
      </c>
      <c r="Q12" s="70">
        <f t="shared" ca="1" si="12"/>
        <v>0</v>
      </c>
      <c r="R12" s="344">
        <f t="shared" ca="1" si="13"/>
        <v>0</v>
      </c>
      <c r="S12" s="347">
        <f t="shared" ca="1" si="14"/>
        <v>0</v>
      </c>
      <c r="T12" s="288">
        <f t="shared" ca="1" si="15"/>
        <v>0</v>
      </c>
      <c r="U12" s="383">
        <f t="shared" ca="1" si="16"/>
        <v>0</v>
      </c>
      <c r="V12" s="634">
        <f t="shared" ref="V12" ca="1" si="19">SUM($T12:$T13)</f>
        <v>0</v>
      </c>
      <c r="W12" s="618">
        <f ca="1">SUMPRODUCT($U12:$U13, --($E12:$E13&lt;&gt;0))</f>
        <v>0</v>
      </c>
      <c r="X12" s="4"/>
      <c r="Y12" s="2"/>
    </row>
    <row r="13" spans="1:26" x14ac:dyDescent="0.25">
      <c r="B13" s="86">
        <f t="shared" ca="1" si="17"/>
        <v>2023</v>
      </c>
      <c r="C13" s="80" t="s">
        <v>741</v>
      </c>
      <c r="D13" s="149" t="str">
        <f t="shared" si="1"/>
        <v/>
      </c>
      <c r="E13" s="81">
        <f t="shared" si="2"/>
        <v>0</v>
      </c>
      <c r="F13" s="81">
        <f t="shared" si="3"/>
        <v>2</v>
      </c>
      <c r="G13" s="82">
        <f t="shared" si="4"/>
        <v>-1</v>
      </c>
      <c r="H13" s="82">
        <f t="shared" si="5"/>
        <v>0</v>
      </c>
      <c r="I13" s="82">
        <f t="shared" si="6"/>
        <v>0</v>
      </c>
      <c r="J13" s="349">
        <f t="shared" ca="1" si="7"/>
        <v>0</v>
      </c>
      <c r="K13" s="349">
        <f t="shared" ca="1" si="8"/>
        <v>0</v>
      </c>
      <c r="L13" s="349">
        <f t="shared" ca="1" si="9"/>
        <v>0</v>
      </c>
      <c r="M13" s="356">
        <f t="shared" ca="1" si="18"/>
        <v>0</v>
      </c>
      <c r="N13" s="353" t="b">
        <f t="shared" ca="1" si="10"/>
        <v>0</v>
      </c>
      <c r="O13" s="142">
        <f ca="1">ROUNDDOWN(IF(NOT($N13),0,(MIN(INDEX(SC_EX_SSAIME,EXIDX),INDEX(SC_EA_SSBendPts, INDEX(SC_SSBaseYear,$F13)+1-SC_YearEpoch+2,1))*Lookup!$C$19+MAX(MIN(INDEX(SC_EX_SSAIME,EXIDX),INDEX(SC_EA_SSBendPts, INDEX(SC_SSBaseYear,$F13)+1-SC_YearEpoch+2,2))-INDEX(SC_EA_SSBendPts, INDEX(SC_SSBaseYear,$F13)+1-SC_YearEpoch+2,1),0)*Lookup!$C$20+MAX(INDEX(SC_EX_SSAIME,EXIDX)-INDEX(SC_EA_SSBendPts, INDEX(SC_SSBaseYear,$F13)+1-SC_YearEpoch+2,2),0)*Lookup!$C$21)/INDEX(SC_EX_SSIDXCOLA,EXIDX)),1)</f>
        <v>0</v>
      </c>
      <c r="P13" s="107">
        <f t="shared" ca="1" si="11"/>
        <v>0</v>
      </c>
      <c r="Q13" s="107">
        <f t="shared" ca="1" si="12"/>
        <v>0</v>
      </c>
      <c r="R13" s="107">
        <f t="shared" ca="1" si="13"/>
        <v>0</v>
      </c>
      <c r="S13" s="107">
        <f t="shared" ca="1" si="14"/>
        <v>0</v>
      </c>
      <c r="T13" s="388">
        <f t="shared" ca="1" si="15"/>
        <v>0</v>
      </c>
      <c r="U13" s="110">
        <f t="shared" ca="1" si="16"/>
        <v>0</v>
      </c>
      <c r="V13" s="634"/>
      <c r="W13" s="618"/>
      <c r="X13" s="4"/>
      <c r="Y13" s="2"/>
    </row>
    <row r="14" spans="1:26" x14ac:dyDescent="0.25">
      <c r="B14" s="65">
        <f ca="1">B12+1</f>
        <v>2024</v>
      </c>
      <c r="C14" s="76" t="s">
        <v>741</v>
      </c>
      <c r="D14" s="146" t="str">
        <f t="shared" si="1"/>
        <v/>
      </c>
      <c r="E14" s="77">
        <f t="shared" si="2"/>
        <v>0</v>
      </c>
      <c r="F14" s="77">
        <f t="shared" si="3"/>
        <v>1</v>
      </c>
      <c r="G14" s="76">
        <f t="shared" si="4"/>
        <v>1</v>
      </c>
      <c r="H14" s="76">
        <f t="shared" si="5"/>
        <v>0</v>
      </c>
      <c r="I14" s="76">
        <f t="shared" si="6"/>
        <v>0</v>
      </c>
      <c r="J14" s="331">
        <f t="shared" ca="1" si="7"/>
        <v>0</v>
      </c>
      <c r="K14" s="331">
        <f t="shared" ca="1" si="8"/>
        <v>0</v>
      </c>
      <c r="L14" s="331">
        <f t="shared" ca="1" si="9"/>
        <v>0</v>
      </c>
      <c r="M14" s="355">
        <f t="shared" ca="1" si="18"/>
        <v>0</v>
      </c>
      <c r="N14" s="352" t="b">
        <f t="shared" ca="1" si="10"/>
        <v>0</v>
      </c>
      <c r="O14" s="120">
        <f ca="1">ROUNDDOWN(IF(NOT($N14),0,(MIN(INDEX(SC_EX_SSAIME,EXIDX),INDEX(SC_EA_SSBendPts, INDEX(SC_SSBaseYear,$F14)+1-SC_YearEpoch+2,1))*Lookup!$C$19+MAX(MIN(INDEX(SC_EX_SSAIME,EXIDX),INDEX(SC_EA_SSBendPts, INDEX(SC_SSBaseYear,$F14)+1-SC_YearEpoch+2,2))-INDEX(SC_EA_SSBendPts, INDEX(SC_SSBaseYear,$F14)+1-SC_YearEpoch+2,1),0)*Lookup!$C$20+MAX(INDEX(SC_EX_SSAIME,EXIDX)-INDEX(SC_EA_SSBendPts, INDEX(SC_SSBaseYear,$F14)+1-SC_YearEpoch+2,2),0)*Lookup!$C$21)/INDEX(SC_EX_SSIDXCOLA,EXIDX)),1)</f>
        <v>0</v>
      </c>
      <c r="P14" s="488">
        <f t="shared" ca="1" si="11"/>
        <v>0</v>
      </c>
      <c r="Q14" s="70">
        <f t="shared" ca="1" si="12"/>
        <v>0</v>
      </c>
      <c r="R14" s="344">
        <f t="shared" ca="1" si="13"/>
        <v>0</v>
      </c>
      <c r="S14" s="347">
        <f t="shared" ca="1" si="14"/>
        <v>0</v>
      </c>
      <c r="T14" s="288">
        <f t="shared" ca="1" si="15"/>
        <v>0</v>
      </c>
      <c r="U14" s="383">
        <f t="shared" ca="1" si="16"/>
        <v>0</v>
      </c>
      <c r="V14" s="634">
        <f t="shared" ref="V14" ca="1" si="20">SUM($T14:$T15)</f>
        <v>0</v>
      </c>
      <c r="W14" s="618">
        <f ca="1">SUMPRODUCT($U14:$U15, --($E14:$E15&lt;&gt;0))</f>
        <v>0</v>
      </c>
      <c r="X14" s="4"/>
      <c r="Y14" s="2"/>
    </row>
    <row r="15" spans="1:26" x14ac:dyDescent="0.25">
      <c r="B15" s="86">
        <f t="shared" ca="1" si="17"/>
        <v>2024</v>
      </c>
      <c r="C15" s="80" t="s">
        <v>741</v>
      </c>
      <c r="D15" s="149" t="str">
        <f t="shared" si="1"/>
        <v/>
      </c>
      <c r="E15" s="81">
        <f t="shared" si="2"/>
        <v>0</v>
      </c>
      <c r="F15" s="81">
        <f t="shared" si="3"/>
        <v>2</v>
      </c>
      <c r="G15" s="82">
        <f t="shared" si="4"/>
        <v>-1</v>
      </c>
      <c r="H15" s="82">
        <f t="shared" si="5"/>
        <v>0</v>
      </c>
      <c r="I15" s="82">
        <f t="shared" si="6"/>
        <v>0</v>
      </c>
      <c r="J15" s="349">
        <f t="shared" ca="1" si="7"/>
        <v>0</v>
      </c>
      <c r="K15" s="349">
        <f t="shared" ca="1" si="8"/>
        <v>0</v>
      </c>
      <c r="L15" s="349">
        <f t="shared" ca="1" si="9"/>
        <v>0</v>
      </c>
      <c r="M15" s="356">
        <f t="shared" ca="1" si="18"/>
        <v>0</v>
      </c>
      <c r="N15" s="353" t="b">
        <f t="shared" ca="1" si="10"/>
        <v>0</v>
      </c>
      <c r="O15" s="142">
        <f ca="1">ROUNDDOWN(IF(NOT($N15),0,(MIN(INDEX(SC_EX_SSAIME,EXIDX),INDEX(SC_EA_SSBendPts, INDEX(SC_SSBaseYear,$F15)+1-SC_YearEpoch+2,1))*Lookup!$C$19+MAX(MIN(INDEX(SC_EX_SSAIME,EXIDX),INDEX(SC_EA_SSBendPts, INDEX(SC_SSBaseYear,$F15)+1-SC_YearEpoch+2,2))-INDEX(SC_EA_SSBendPts, INDEX(SC_SSBaseYear,$F15)+1-SC_YearEpoch+2,1),0)*Lookup!$C$20+MAX(INDEX(SC_EX_SSAIME,EXIDX)-INDEX(SC_EA_SSBendPts, INDEX(SC_SSBaseYear,$F15)+1-SC_YearEpoch+2,2),0)*Lookup!$C$21)/INDEX(SC_EX_SSIDXCOLA,EXIDX)),1)</f>
        <v>0</v>
      </c>
      <c r="P15" s="107">
        <f t="shared" ca="1" si="11"/>
        <v>0</v>
      </c>
      <c r="Q15" s="107">
        <f t="shared" ca="1" si="12"/>
        <v>0</v>
      </c>
      <c r="R15" s="107">
        <f t="shared" ca="1" si="13"/>
        <v>0</v>
      </c>
      <c r="S15" s="107">
        <f t="shared" ca="1" si="14"/>
        <v>0</v>
      </c>
      <c r="T15" s="388">
        <f t="shared" ca="1" si="15"/>
        <v>0</v>
      </c>
      <c r="U15" s="110">
        <f t="shared" ca="1" si="16"/>
        <v>0</v>
      </c>
      <c r="V15" s="634"/>
      <c r="W15" s="618"/>
      <c r="X15" s="15"/>
      <c r="Y15" s="2"/>
    </row>
    <row r="16" spans="1:26" x14ac:dyDescent="0.25">
      <c r="B16" s="65">
        <f ca="1">B14+1</f>
        <v>2025</v>
      </c>
      <c r="C16" s="76" t="s">
        <v>741</v>
      </c>
      <c r="D16" s="146" t="str">
        <f t="shared" si="1"/>
        <v/>
      </c>
      <c r="E16" s="77">
        <f t="shared" si="2"/>
        <v>0</v>
      </c>
      <c r="F16" s="77">
        <f t="shared" si="3"/>
        <v>1</v>
      </c>
      <c r="G16" s="76">
        <f t="shared" si="4"/>
        <v>1</v>
      </c>
      <c r="H16" s="76">
        <f t="shared" si="5"/>
        <v>0</v>
      </c>
      <c r="I16" s="76">
        <f t="shared" si="6"/>
        <v>0</v>
      </c>
      <c r="J16" s="331">
        <f t="shared" ca="1" si="7"/>
        <v>0</v>
      </c>
      <c r="K16" s="331">
        <f t="shared" ca="1" si="8"/>
        <v>0</v>
      </c>
      <c r="L16" s="331">
        <f t="shared" ca="1" si="9"/>
        <v>0</v>
      </c>
      <c r="M16" s="355">
        <f t="shared" ca="1" si="18"/>
        <v>0</v>
      </c>
      <c r="N16" s="352" t="b">
        <f t="shared" ca="1" si="10"/>
        <v>0</v>
      </c>
      <c r="O16" s="120">
        <f ca="1">ROUNDDOWN(IF(NOT($N16),0,(MIN(INDEX(SC_EX_SSAIME,EXIDX),INDEX(SC_EA_SSBendPts, INDEX(SC_SSBaseYear,$F16)+1-SC_YearEpoch+2,1))*Lookup!$C$19+MAX(MIN(INDEX(SC_EX_SSAIME,EXIDX),INDEX(SC_EA_SSBendPts, INDEX(SC_SSBaseYear,$F16)+1-SC_YearEpoch+2,2))-INDEX(SC_EA_SSBendPts, INDEX(SC_SSBaseYear,$F16)+1-SC_YearEpoch+2,1),0)*Lookup!$C$20+MAX(INDEX(SC_EX_SSAIME,EXIDX)-INDEX(SC_EA_SSBendPts, INDEX(SC_SSBaseYear,$F16)+1-SC_YearEpoch+2,2),0)*Lookup!$C$21)/INDEX(SC_EX_SSIDXCOLA,EXIDX)),1)</f>
        <v>0</v>
      </c>
      <c r="P16" s="488">
        <f t="shared" ca="1" si="11"/>
        <v>0</v>
      </c>
      <c r="Q16" s="70">
        <f t="shared" ca="1" si="12"/>
        <v>0</v>
      </c>
      <c r="R16" s="344">
        <f t="shared" ca="1" si="13"/>
        <v>0</v>
      </c>
      <c r="S16" s="347">
        <f t="shared" ca="1" si="14"/>
        <v>0</v>
      </c>
      <c r="T16" s="288">
        <f t="shared" ca="1" si="15"/>
        <v>0</v>
      </c>
      <c r="U16" s="383">
        <f t="shared" ca="1" si="16"/>
        <v>0</v>
      </c>
      <c r="V16" s="634">
        <f t="shared" ref="V16" ca="1" si="21">SUM($T16:$T17)</f>
        <v>0</v>
      </c>
      <c r="W16" s="618">
        <f ca="1">SUMPRODUCT($U16:$U17, --($E16:$E17&lt;&gt;0))</f>
        <v>0</v>
      </c>
      <c r="X16" s="15"/>
      <c r="Y16" s="2"/>
    </row>
    <row r="17" spans="2:25" x14ac:dyDescent="0.25">
      <c r="B17" s="86">
        <f t="shared" ca="1" si="17"/>
        <v>2025</v>
      </c>
      <c r="C17" s="80" t="s">
        <v>741</v>
      </c>
      <c r="D17" s="149" t="str">
        <f t="shared" si="1"/>
        <v/>
      </c>
      <c r="E17" s="81">
        <f t="shared" si="2"/>
        <v>0</v>
      </c>
      <c r="F17" s="81">
        <f t="shared" si="3"/>
        <v>2</v>
      </c>
      <c r="G17" s="82">
        <f t="shared" si="4"/>
        <v>-1</v>
      </c>
      <c r="H17" s="82">
        <f t="shared" si="5"/>
        <v>0</v>
      </c>
      <c r="I17" s="82">
        <f t="shared" si="6"/>
        <v>0</v>
      </c>
      <c r="J17" s="349">
        <f t="shared" ca="1" si="7"/>
        <v>0</v>
      </c>
      <c r="K17" s="349">
        <f t="shared" ca="1" si="8"/>
        <v>0</v>
      </c>
      <c r="L17" s="349">
        <f t="shared" ca="1" si="9"/>
        <v>0</v>
      </c>
      <c r="M17" s="356">
        <f t="shared" ca="1" si="18"/>
        <v>0</v>
      </c>
      <c r="N17" s="353" t="b">
        <f t="shared" ca="1" si="10"/>
        <v>0</v>
      </c>
      <c r="O17" s="142">
        <f ca="1">ROUNDDOWN(IF(NOT($N17),0,(MIN(INDEX(SC_EX_SSAIME,EXIDX),INDEX(SC_EA_SSBendPts, INDEX(SC_SSBaseYear,$F17)+1-SC_YearEpoch+2,1))*Lookup!$C$19+MAX(MIN(INDEX(SC_EX_SSAIME,EXIDX),INDEX(SC_EA_SSBendPts, INDEX(SC_SSBaseYear,$F17)+1-SC_YearEpoch+2,2))-INDEX(SC_EA_SSBendPts, INDEX(SC_SSBaseYear,$F17)+1-SC_YearEpoch+2,1),0)*Lookup!$C$20+MAX(INDEX(SC_EX_SSAIME,EXIDX)-INDEX(SC_EA_SSBendPts, INDEX(SC_SSBaseYear,$F17)+1-SC_YearEpoch+2,2),0)*Lookup!$C$21)/INDEX(SC_EX_SSIDXCOLA,EXIDX)),1)</f>
        <v>0</v>
      </c>
      <c r="P17" s="107">
        <f t="shared" ca="1" si="11"/>
        <v>0</v>
      </c>
      <c r="Q17" s="107">
        <f t="shared" ca="1" si="12"/>
        <v>0</v>
      </c>
      <c r="R17" s="107">
        <f t="shared" ca="1" si="13"/>
        <v>0</v>
      </c>
      <c r="S17" s="107">
        <f t="shared" ca="1" si="14"/>
        <v>0</v>
      </c>
      <c r="T17" s="388">
        <f t="shared" ca="1" si="15"/>
        <v>0</v>
      </c>
      <c r="U17" s="110">
        <f t="shared" ca="1" si="16"/>
        <v>0</v>
      </c>
      <c r="V17" s="634"/>
      <c r="W17" s="618"/>
      <c r="X17" s="15"/>
      <c r="Y17" s="2"/>
    </row>
    <row r="18" spans="2:25" x14ac:dyDescent="0.25">
      <c r="B18" s="65">
        <f ca="1">B16+1</f>
        <v>2026</v>
      </c>
      <c r="C18" s="76" t="s">
        <v>741</v>
      </c>
      <c r="D18" s="146" t="str">
        <f t="shared" si="1"/>
        <v/>
      </c>
      <c r="E18" s="77">
        <f t="shared" si="2"/>
        <v>0</v>
      </c>
      <c r="F18" s="77">
        <f t="shared" si="3"/>
        <v>1</v>
      </c>
      <c r="G18" s="76">
        <f t="shared" si="4"/>
        <v>1</v>
      </c>
      <c r="H18" s="76">
        <f t="shared" si="5"/>
        <v>0</v>
      </c>
      <c r="I18" s="76">
        <f t="shared" si="6"/>
        <v>0</v>
      </c>
      <c r="J18" s="331">
        <f t="shared" ca="1" si="7"/>
        <v>0</v>
      </c>
      <c r="K18" s="331">
        <f t="shared" ca="1" si="8"/>
        <v>0</v>
      </c>
      <c r="L18" s="331">
        <f t="shared" ca="1" si="9"/>
        <v>0</v>
      </c>
      <c r="M18" s="355">
        <f t="shared" ca="1" si="18"/>
        <v>0</v>
      </c>
      <c r="N18" s="352" t="b">
        <f t="shared" ca="1" si="10"/>
        <v>0</v>
      </c>
      <c r="O18" s="120">
        <f ca="1">ROUNDDOWN(IF(NOT($N18),0,(MIN(INDEX(SC_EX_SSAIME,EXIDX),INDEX(SC_EA_SSBendPts, INDEX(SC_SSBaseYear,$F18)+1-SC_YearEpoch+2,1))*Lookup!$C$19+MAX(MIN(INDEX(SC_EX_SSAIME,EXIDX),INDEX(SC_EA_SSBendPts, INDEX(SC_SSBaseYear,$F18)+1-SC_YearEpoch+2,2))-INDEX(SC_EA_SSBendPts, INDEX(SC_SSBaseYear,$F18)+1-SC_YearEpoch+2,1),0)*Lookup!$C$20+MAX(INDEX(SC_EX_SSAIME,EXIDX)-INDEX(SC_EA_SSBendPts, INDEX(SC_SSBaseYear,$F18)+1-SC_YearEpoch+2,2),0)*Lookup!$C$21)/INDEX(SC_EX_SSIDXCOLA,EXIDX)),1)</f>
        <v>0</v>
      </c>
      <c r="P18" s="488">
        <f t="shared" ca="1" si="11"/>
        <v>0</v>
      </c>
      <c r="Q18" s="70">
        <f t="shared" ca="1" si="12"/>
        <v>0</v>
      </c>
      <c r="R18" s="344">
        <f t="shared" ca="1" si="13"/>
        <v>0</v>
      </c>
      <c r="S18" s="347">
        <f t="shared" ca="1" si="14"/>
        <v>0</v>
      </c>
      <c r="T18" s="288">
        <f t="shared" ca="1" si="15"/>
        <v>0</v>
      </c>
      <c r="U18" s="383">
        <f t="shared" ca="1" si="16"/>
        <v>0</v>
      </c>
      <c r="V18" s="634">
        <f t="shared" ref="V18" ca="1" si="22">SUM($T18:$T19)</f>
        <v>0</v>
      </c>
      <c r="W18" s="618">
        <f ca="1">SUMPRODUCT($U18:$U19, --($E18:$E19&lt;&gt;0))</f>
        <v>0</v>
      </c>
      <c r="X18" s="15"/>
      <c r="Y18" s="2"/>
    </row>
    <row r="19" spans="2:25" x14ac:dyDescent="0.25">
      <c r="B19" s="86">
        <f t="shared" ca="1" si="17"/>
        <v>2026</v>
      </c>
      <c r="C19" s="80" t="s">
        <v>741</v>
      </c>
      <c r="D19" s="149" t="str">
        <f t="shared" si="1"/>
        <v/>
      </c>
      <c r="E19" s="81">
        <f t="shared" si="2"/>
        <v>0</v>
      </c>
      <c r="F19" s="81">
        <f t="shared" si="3"/>
        <v>2</v>
      </c>
      <c r="G19" s="82">
        <f t="shared" si="4"/>
        <v>-1</v>
      </c>
      <c r="H19" s="82">
        <f t="shared" si="5"/>
        <v>0</v>
      </c>
      <c r="I19" s="82">
        <f t="shared" si="6"/>
        <v>0</v>
      </c>
      <c r="J19" s="349">
        <f t="shared" ca="1" si="7"/>
        <v>0</v>
      </c>
      <c r="K19" s="349">
        <f t="shared" ca="1" si="8"/>
        <v>0</v>
      </c>
      <c r="L19" s="349">
        <f t="shared" ca="1" si="9"/>
        <v>0</v>
      </c>
      <c r="M19" s="356">
        <f t="shared" ca="1" si="18"/>
        <v>0</v>
      </c>
      <c r="N19" s="353" t="b">
        <f t="shared" ca="1" si="10"/>
        <v>0</v>
      </c>
      <c r="O19" s="142">
        <f ca="1">ROUNDDOWN(IF(NOT($N19),0,(MIN(INDEX(SC_EX_SSAIME,EXIDX),INDEX(SC_EA_SSBendPts, INDEX(SC_SSBaseYear,$F19)+1-SC_YearEpoch+2,1))*Lookup!$C$19+MAX(MIN(INDEX(SC_EX_SSAIME,EXIDX),INDEX(SC_EA_SSBendPts, INDEX(SC_SSBaseYear,$F19)+1-SC_YearEpoch+2,2))-INDEX(SC_EA_SSBendPts, INDEX(SC_SSBaseYear,$F19)+1-SC_YearEpoch+2,1),0)*Lookup!$C$20+MAX(INDEX(SC_EX_SSAIME,EXIDX)-INDEX(SC_EA_SSBendPts, INDEX(SC_SSBaseYear,$F19)+1-SC_YearEpoch+2,2),0)*Lookup!$C$21)/INDEX(SC_EX_SSIDXCOLA,EXIDX)),1)</f>
        <v>0</v>
      </c>
      <c r="P19" s="107">
        <f t="shared" ca="1" si="11"/>
        <v>0</v>
      </c>
      <c r="Q19" s="107">
        <f t="shared" ca="1" si="12"/>
        <v>0</v>
      </c>
      <c r="R19" s="107">
        <f t="shared" ca="1" si="13"/>
        <v>0</v>
      </c>
      <c r="S19" s="107">
        <f t="shared" ca="1" si="14"/>
        <v>0</v>
      </c>
      <c r="T19" s="388">
        <f t="shared" ca="1" si="15"/>
        <v>0</v>
      </c>
      <c r="U19" s="110">
        <f t="shared" ca="1" si="16"/>
        <v>0</v>
      </c>
      <c r="V19" s="634"/>
      <c r="W19" s="618"/>
      <c r="X19" s="15"/>
      <c r="Y19" s="2"/>
    </row>
    <row r="20" spans="2:25" x14ac:dyDescent="0.25">
      <c r="B20" s="65">
        <f ca="1">B18+1</f>
        <v>2027</v>
      </c>
      <c r="C20" s="76" t="s">
        <v>741</v>
      </c>
      <c r="D20" s="146" t="str">
        <f t="shared" si="1"/>
        <v/>
      </c>
      <c r="E20" s="77">
        <f t="shared" si="2"/>
        <v>0</v>
      </c>
      <c r="F20" s="77">
        <f t="shared" si="3"/>
        <v>1</v>
      </c>
      <c r="G20" s="76">
        <f t="shared" si="4"/>
        <v>1</v>
      </c>
      <c r="H20" s="76">
        <f t="shared" si="5"/>
        <v>0</v>
      </c>
      <c r="I20" s="76">
        <f t="shared" si="6"/>
        <v>0</v>
      </c>
      <c r="J20" s="331">
        <f t="shared" ca="1" si="7"/>
        <v>0</v>
      </c>
      <c r="K20" s="331">
        <f t="shared" ca="1" si="8"/>
        <v>0</v>
      </c>
      <c r="L20" s="331">
        <f t="shared" ca="1" si="9"/>
        <v>0</v>
      </c>
      <c r="M20" s="355">
        <f t="shared" ca="1" si="18"/>
        <v>0</v>
      </c>
      <c r="N20" s="352" t="b">
        <f t="shared" ca="1" si="10"/>
        <v>0</v>
      </c>
      <c r="O20" s="120">
        <f ca="1">ROUNDDOWN(IF(NOT($N20),0,(MIN(INDEX(SC_EX_SSAIME,EXIDX),INDEX(SC_EA_SSBendPts, INDEX(SC_SSBaseYear,$F20)+1-SC_YearEpoch+2,1))*Lookup!$C$19+MAX(MIN(INDEX(SC_EX_SSAIME,EXIDX),INDEX(SC_EA_SSBendPts, INDEX(SC_SSBaseYear,$F20)+1-SC_YearEpoch+2,2))-INDEX(SC_EA_SSBendPts, INDEX(SC_SSBaseYear,$F20)+1-SC_YearEpoch+2,1),0)*Lookup!$C$20+MAX(INDEX(SC_EX_SSAIME,EXIDX)-INDEX(SC_EA_SSBendPts, INDEX(SC_SSBaseYear,$F20)+1-SC_YearEpoch+2,2),0)*Lookup!$C$21)/INDEX(SC_EX_SSIDXCOLA,EXIDX)),1)</f>
        <v>0</v>
      </c>
      <c r="P20" s="488">
        <f t="shared" ca="1" si="11"/>
        <v>0</v>
      </c>
      <c r="Q20" s="70">
        <f t="shared" ca="1" si="12"/>
        <v>0</v>
      </c>
      <c r="R20" s="344">
        <f t="shared" ca="1" si="13"/>
        <v>0</v>
      </c>
      <c r="S20" s="347">
        <f t="shared" ca="1" si="14"/>
        <v>0</v>
      </c>
      <c r="T20" s="288">
        <f t="shared" ca="1" si="15"/>
        <v>0</v>
      </c>
      <c r="U20" s="383">
        <f t="shared" ca="1" si="16"/>
        <v>0</v>
      </c>
      <c r="V20" s="634">
        <f t="shared" ref="V20" ca="1" si="23">SUM($T20:$T21)</f>
        <v>0</v>
      </c>
      <c r="W20" s="618">
        <f ca="1">SUMPRODUCT($U20:$U21, --($E20:$E21&lt;&gt;0))</f>
        <v>0</v>
      </c>
      <c r="X20" s="15"/>
      <c r="Y20" s="2"/>
    </row>
    <row r="21" spans="2:25" x14ac:dyDescent="0.25">
      <c r="B21" s="86">
        <f t="shared" ca="1" si="17"/>
        <v>2027</v>
      </c>
      <c r="C21" s="80" t="s">
        <v>741</v>
      </c>
      <c r="D21" s="149" t="str">
        <f t="shared" si="1"/>
        <v/>
      </c>
      <c r="E21" s="81">
        <f t="shared" si="2"/>
        <v>0</v>
      </c>
      <c r="F21" s="81">
        <f t="shared" si="3"/>
        <v>2</v>
      </c>
      <c r="G21" s="82">
        <f t="shared" si="4"/>
        <v>-1</v>
      </c>
      <c r="H21" s="82">
        <f t="shared" si="5"/>
        <v>0</v>
      </c>
      <c r="I21" s="82">
        <f t="shared" si="6"/>
        <v>0</v>
      </c>
      <c r="J21" s="349">
        <f t="shared" ca="1" si="7"/>
        <v>0</v>
      </c>
      <c r="K21" s="349">
        <f t="shared" ca="1" si="8"/>
        <v>0</v>
      </c>
      <c r="L21" s="349">
        <f t="shared" ca="1" si="9"/>
        <v>0</v>
      </c>
      <c r="M21" s="356">
        <f t="shared" ca="1" si="18"/>
        <v>0</v>
      </c>
      <c r="N21" s="353" t="b">
        <f t="shared" ca="1" si="10"/>
        <v>0</v>
      </c>
      <c r="O21" s="142">
        <f ca="1">ROUNDDOWN(IF(NOT($N21),0,(MIN(INDEX(SC_EX_SSAIME,EXIDX),INDEX(SC_EA_SSBendPts, INDEX(SC_SSBaseYear,$F21)+1-SC_YearEpoch+2,1))*Lookup!$C$19+MAX(MIN(INDEX(SC_EX_SSAIME,EXIDX),INDEX(SC_EA_SSBendPts, INDEX(SC_SSBaseYear,$F21)+1-SC_YearEpoch+2,2))-INDEX(SC_EA_SSBendPts, INDEX(SC_SSBaseYear,$F21)+1-SC_YearEpoch+2,1),0)*Lookup!$C$20+MAX(INDEX(SC_EX_SSAIME,EXIDX)-INDEX(SC_EA_SSBendPts, INDEX(SC_SSBaseYear,$F21)+1-SC_YearEpoch+2,2),0)*Lookup!$C$21)/INDEX(SC_EX_SSIDXCOLA,EXIDX)),1)</f>
        <v>0</v>
      </c>
      <c r="P21" s="107">
        <f t="shared" ca="1" si="11"/>
        <v>0</v>
      </c>
      <c r="Q21" s="107">
        <f t="shared" ca="1" si="12"/>
        <v>0</v>
      </c>
      <c r="R21" s="107">
        <f t="shared" ca="1" si="13"/>
        <v>0</v>
      </c>
      <c r="S21" s="107">
        <f t="shared" ca="1" si="14"/>
        <v>0</v>
      </c>
      <c r="T21" s="388">
        <f t="shared" ca="1" si="15"/>
        <v>0</v>
      </c>
      <c r="U21" s="110">
        <f t="shared" ca="1" si="16"/>
        <v>0</v>
      </c>
      <c r="V21" s="634"/>
      <c r="W21" s="618"/>
      <c r="X21" s="15"/>
      <c r="Y21" s="2"/>
    </row>
    <row r="22" spans="2:25" x14ac:dyDescent="0.25">
      <c r="B22" s="65">
        <f ca="1">B20+1</f>
        <v>2028</v>
      </c>
      <c r="C22" s="76" t="s">
        <v>741</v>
      </c>
      <c r="D22" s="146" t="str">
        <f t="shared" si="1"/>
        <v/>
      </c>
      <c r="E22" s="77">
        <f t="shared" si="2"/>
        <v>0</v>
      </c>
      <c r="F22" s="77">
        <f t="shared" si="3"/>
        <v>1</v>
      </c>
      <c r="G22" s="76">
        <f t="shared" si="4"/>
        <v>1</v>
      </c>
      <c r="H22" s="76">
        <f t="shared" si="5"/>
        <v>0</v>
      </c>
      <c r="I22" s="76">
        <f t="shared" si="6"/>
        <v>0</v>
      </c>
      <c r="J22" s="331">
        <f t="shared" ca="1" si="7"/>
        <v>0</v>
      </c>
      <c r="K22" s="331">
        <f t="shared" ca="1" si="8"/>
        <v>0</v>
      </c>
      <c r="L22" s="331">
        <f t="shared" ca="1" si="9"/>
        <v>0</v>
      </c>
      <c r="M22" s="355">
        <f t="shared" ca="1" si="18"/>
        <v>0</v>
      </c>
      <c r="N22" s="352" t="b">
        <f t="shared" ca="1" si="10"/>
        <v>0</v>
      </c>
      <c r="O22" s="120">
        <f ca="1">ROUNDDOWN(IF(NOT($N22),0,(MIN(INDEX(SC_EX_SSAIME,EXIDX),INDEX(SC_EA_SSBendPts, INDEX(SC_SSBaseYear,$F22)+1-SC_YearEpoch+2,1))*Lookup!$C$19+MAX(MIN(INDEX(SC_EX_SSAIME,EXIDX),INDEX(SC_EA_SSBendPts, INDEX(SC_SSBaseYear,$F22)+1-SC_YearEpoch+2,2))-INDEX(SC_EA_SSBendPts, INDEX(SC_SSBaseYear,$F22)+1-SC_YearEpoch+2,1),0)*Lookup!$C$20+MAX(INDEX(SC_EX_SSAIME,EXIDX)-INDEX(SC_EA_SSBendPts, INDEX(SC_SSBaseYear,$F22)+1-SC_YearEpoch+2,2),0)*Lookup!$C$21)/INDEX(SC_EX_SSIDXCOLA,EXIDX)),1)</f>
        <v>0</v>
      </c>
      <c r="P22" s="488">
        <f t="shared" ca="1" si="11"/>
        <v>0</v>
      </c>
      <c r="Q22" s="70">
        <f t="shared" ca="1" si="12"/>
        <v>0</v>
      </c>
      <c r="R22" s="344">
        <f t="shared" ca="1" si="13"/>
        <v>0</v>
      </c>
      <c r="S22" s="347">
        <f t="shared" ca="1" si="14"/>
        <v>0</v>
      </c>
      <c r="T22" s="288">
        <f t="shared" ca="1" si="15"/>
        <v>0</v>
      </c>
      <c r="U22" s="383">
        <f t="shared" ca="1" si="16"/>
        <v>0</v>
      </c>
      <c r="V22" s="634">
        <f t="shared" ref="V22" ca="1" si="24">SUM($T22:$T23)</f>
        <v>0</v>
      </c>
      <c r="W22" s="618">
        <f ca="1">SUMPRODUCT($U22:$U23, --($E22:$E23&lt;&gt;0))</f>
        <v>0</v>
      </c>
      <c r="X22" s="15"/>
      <c r="Y22" s="2"/>
    </row>
    <row r="23" spans="2:25" x14ac:dyDescent="0.25">
      <c r="B23" s="86">
        <f t="shared" ca="1" si="17"/>
        <v>2028</v>
      </c>
      <c r="C23" s="80" t="s">
        <v>741</v>
      </c>
      <c r="D23" s="149" t="str">
        <f t="shared" si="1"/>
        <v/>
      </c>
      <c r="E23" s="81">
        <f t="shared" si="2"/>
        <v>0</v>
      </c>
      <c r="F23" s="81">
        <f t="shared" si="3"/>
        <v>2</v>
      </c>
      <c r="G23" s="82">
        <f t="shared" si="4"/>
        <v>-1</v>
      </c>
      <c r="H23" s="82">
        <f t="shared" si="5"/>
        <v>0</v>
      </c>
      <c r="I23" s="82">
        <f t="shared" si="6"/>
        <v>0</v>
      </c>
      <c r="J23" s="349">
        <f t="shared" ca="1" si="7"/>
        <v>0</v>
      </c>
      <c r="K23" s="349">
        <f t="shared" ca="1" si="8"/>
        <v>0</v>
      </c>
      <c r="L23" s="349">
        <f t="shared" ca="1" si="9"/>
        <v>0</v>
      </c>
      <c r="M23" s="356">
        <f t="shared" ca="1" si="18"/>
        <v>0</v>
      </c>
      <c r="N23" s="353" t="b">
        <f t="shared" ca="1" si="10"/>
        <v>0</v>
      </c>
      <c r="O23" s="142">
        <f ca="1">ROUNDDOWN(IF(NOT($N23),0,(MIN(INDEX(SC_EX_SSAIME,EXIDX),INDEX(SC_EA_SSBendPts, INDEX(SC_SSBaseYear,$F23)+1-SC_YearEpoch+2,1))*Lookup!$C$19+MAX(MIN(INDEX(SC_EX_SSAIME,EXIDX),INDEX(SC_EA_SSBendPts, INDEX(SC_SSBaseYear,$F23)+1-SC_YearEpoch+2,2))-INDEX(SC_EA_SSBendPts, INDEX(SC_SSBaseYear,$F23)+1-SC_YearEpoch+2,1),0)*Lookup!$C$20+MAX(INDEX(SC_EX_SSAIME,EXIDX)-INDEX(SC_EA_SSBendPts, INDEX(SC_SSBaseYear,$F23)+1-SC_YearEpoch+2,2),0)*Lookup!$C$21)/INDEX(SC_EX_SSIDXCOLA,EXIDX)),1)</f>
        <v>0</v>
      </c>
      <c r="P23" s="107">
        <f t="shared" ca="1" si="11"/>
        <v>0</v>
      </c>
      <c r="Q23" s="107">
        <f t="shared" ca="1" si="12"/>
        <v>0</v>
      </c>
      <c r="R23" s="107">
        <f t="shared" ca="1" si="13"/>
        <v>0</v>
      </c>
      <c r="S23" s="107">
        <f t="shared" ca="1" si="14"/>
        <v>0</v>
      </c>
      <c r="T23" s="388">
        <f t="shared" ca="1" si="15"/>
        <v>0</v>
      </c>
      <c r="U23" s="110">
        <f t="shared" ca="1" si="16"/>
        <v>0</v>
      </c>
      <c r="V23" s="634"/>
      <c r="W23" s="618"/>
      <c r="X23" s="15"/>
      <c r="Y23" s="2"/>
    </row>
    <row r="24" spans="2:25" x14ac:dyDescent="0.25">
      <c r="B24" s="65">
        <f ca="1">B22+1</f>
        <v>2029</v>
      </c>
      <c r="C24" s="76" t="s">
        <v>741</v>
      </c>
      <c r="D24" s="146" t="str">
        <f t="shared" si="1"/>
        <v/>
      </c>
      <c r="E24" s="77">
        <f t="shared" si="2"/>
        <v>0</v>
      </c>
      <c r="F24" s="77">
        <f t="shared" si="3"/>
        <v>1</v>
      </c>
      <c r="G24" s="76">
        <f t="shared" si="4"/>
        <v>1</v>
      </c>
      <c r="H24" s="76">
        <f t="shared" si="5"/>
        <v>0</v>
      </c>
      <c r="I24" s="76">
        <f t="shared" si="6"/>
        <v>0</v>
      </c>
      <c r="J24" s="331">
        <f t="shared" ca="1" si="7"/>
        <v>0</v>
      </c>
      <c r="K24" s="331">
        <f t="shared" ca="1" si="8"/>
        <v>0</v>
      </c>
      <c r="L24" s="331">
        <f t="shared" ca="1" si="9"/>
        <v>0</v>
      </c>
      <c r="M24" s="355">
        <f t="shared" ca="1" si="18"/>
        <v>0</v>
      </c>
      <c r="N24" s="352" t="b">
        <f t="shared" ca="1" si="10"/>
        <v>0</v>
      </c>
      <c r="O24" s="120">
        <f ca="1">ROUNDDOWN(IF(NOT($N24),0,(MIN(INDEX(SC_EX_SSAIME,EXIDX),INDEX(SC_EA_SSBendPts, INDEX(SC_SSBaseYear,$F24)+1-SC_YearEpoch+2,1))*Lookup!$C$19+MAX(MIN(INDEX(SC_EX_SSAIME,EXIDX),INDEX(SC_EA_SSBendPts, INDEX(SC_SSBaseYear,$F24)+1-SC_YearEpoch+2,2))-INDEX(SC_EA_SSBendPts, INDEX(SC_SSBaseYear,$F24)+1-SC_YearEpoch+2,1),0)*Lookup!$C$20+MAX(INDEX(SC_EX_SSAIME,EXIDX)-INDEX(SC_EA_SSBendPts, INDEX(SC_SSBaseYear,$F24)+1-SC_YearEpoch+2,2),0)*Lookup!$C$21)/INDEX(SC_EX_SSIDXCOLA,EXIDX)),1)</f>
        <v>0</v>
      </c>
      <c r="P24" s="488">
        <f t="shared" ca="1" si="11"/>
        <v>0</v>
      </c>
      <c r="Q24" s="70">
        <f t="shared" ca="1" si="12"/>
        <v>0</v>
      </c>
      <c r="R24" s="344">
        <f t="shared" ca="1" si="13"/>
        <v>0</v>
      </c>
      <c r="S24" s="347">
        <f t="shared" ca="1" si="14"/>
        <v>0</v>
      </c>
      <c r="T24" s="288">
        <f t="shared" ca="1" si="15"/>
        <v>0</v>
      </c>
      <c r="U24" s="383">
        <f t="shared" ca="1" si="16"/>
        <v>0</v>
      </c>
      <c r="V24" s="634">
        <f t="shared" ref="V24" ca="1" si="25">SUM($T24:$T25)</f>
        <v>0</v>
      </c>
      <c r="W24" s="618">
        <f ca="1">SUMPRODUCT($U24:$U25, --($E24:$E25&lt;&gt;0))</f>
        <v>0</v>
      </c>
      <c r="X24" s="15"/>
      <c r="Y24" s="2"/>
    </row>
    <row r="25" spans="2:25" x14ac:dyDescent="0.25">
      <c r="B25" s="86">
        <f t="shared" ca="1" si="17"/>
        <v>2029</v>
      </c>
      <c r="C25" s="80" t="s">
        <v>741</v>
      </c>
      <c r="D25" s="149" t="str">
        <f t="shared" si="1"/>
        <v/>
      </c>
      <c r="E25" s="81">
        <f t="shared" si="2"/>
        <v>0</v>
      </c>
      <c r="F25" s="81">
        <f t="shared" si="3"/>
        <v>2</v>
      </c>
      <c r="G25" s="82">
        <f t="shared" si="4"/>
        <v>-1</v>
      </c>
      <c r="H25" s="82">
        <f t="shared" si="5"/>
        <v>0</v>
      </c>
      <c r="I25" s="82">
        <f t="shared" si="6"/>
        <v>0</v>
      </c>
      <c r="J25" s="349">
        <f t="shared" ca="1" si="7"/>
        <v>0</v>
      </c>
      <c r="K25" s="349">
        <f t="shared" ca="1" si="8"/>
        <v>0</v>
      </c>
      <c r="L25" s="349">
        <f t="shared" ca="1" si="9"/>
        <v>0</v>
      </c>
      <c r="M25" s="356">
        <f t="shared" ca="1" si="18"/>
        <v>0</v>
      </c>
      <c r="N25" s="353" t="b">
        <f t="shared" ca="1" si="10"/>
        <v>0</v>
      </c>
      <c r="O25" s="142">
        <f ca="1">ROUNDDOWN(IF(NOT($N25),0,(MIN(INDEX(SC_EX_SSAIME,EXIDX),INDEX(SC_EA_SSBendPts, INDEX(SC_SSBaseYear,$F25)+1-SC_YearEpoch+2,1))*Lookup!$C$19+MAX(MIN(INDEX(SC_EX_SSAIME,EXIDX),INDEX(SC_EA_SSBendPts, INDEX(SC_SSBaseYear,$F25)+1-SC_YearEpoch+2,2))-INDEX(SC_EA_SSBendPts, INDEX(SC_SSBaseYear,$F25)+1-SC_YearEpoch+2,1),0)*Lookup!$C$20+MAX(INDEX(SC_EX_SSAIME,EXIDX)-INDEX(SC_EA_SSBendPts, INDEX(SC_SSBaseYear,$F25)+1-SC_YearEpoch+2,2),0)*Lookup!$C$21)/INDEX(SC_EX_SSIDXCOLA,EXIDX)),1)</f>
        <v>0</v>
      </c>
      <c r="P25" s="107">
        <f t="shared" ca="1" si="11"/>
        <v>0</v>
      </c>
      <c r="Q25" s="107">
        <f t="shared" ca="1" si="12"/>
        <v>0</v>
      </c>
      <c r="R25" s="107">
        <f t="shared" ca="1" si="13"/>
        <v>0</v>
      </c>
      <c r="S25" s="107">
        <f t="shared" ca="1" si="14"/>
        <v>0</v>
      </c>
      <c r="T25" s="388">
        <f t="shared" ca="1" si="15"/>
        <v>0</v>
      </c>
      <c r="U25" s="110">
        <f t="shared" ca="1" si="16"/>
        <v>0</v>
      </c>
      <c r="V25" s="634"/>
      <c r="W25" s="618"/>
      <c r="X25" s="15"/>
      <c r="Y25" s="2"/>
    </row>
    <row r="26" spans="2:25" x14ac:dyDescent="0.25">
      <c r="B26" s="65">
        <f ca="1">B24+1</f>
        <v>2030</v>
      </c>
      <c r="C26" s="76" t="s">
        <v>741</v>
      </c>
      <c r="D26" s="146" t="str">
        <f t="shared" si="1"/>
        <v/>
      </c>
      <c r="E26" s="77">
        <f t="shared" si="2"/>
        <v>0</v>
      </c>
      <c r="F26" s="77">
        <f t="shared" si="3"/>
        <v>1</v>
      </c>
      <c r="G26" s="76">
        <f t="shared" si="4"/>
        <v>1</v>
      </c>
      <c r="H26" s="76">
        <f t="shared" si="5"/>
        <v>0</v>
      </c>
      <c r="I26" s="76">
        <f t="shared" si="6"/>
        <v>0</v>
      </c>
      <c r="J26" s="331">
        <f t="shared" ca="1" si="7"/>
        <v>0</v>
      </c>
      <c r="K26" s="331">
        <f t="shared" ca="1" si="8"/>
        <v>0</v>
      </c>
      <c r="L26" s="331">
        <f t="shared" ca="1" si="9"/>
        <v>0</v>
      </c>
      <c r="M26" s="355">
        <f t="shared" ca="1" si="18"/>
        <v>0</v>
      </c>
      <c r="N26" s="352" t="b">
        <f t="shared" ca="1" si="10"/>
        <v>0</v>
      </c>
      <c r="O26" s="120">
        <f ca="1">ROUNDDOWN(IF(NOT($N26),0,(MIN(INDEX(SC_EX_SSAIME,EXIDX),INDEX(SC_EA_SSBendPts, INDEX(SC_SSBaseYear,$F26)+1-SC_YearEpoch+2,1))*Lookup!$C$19+MAX(MIN(INDEX(SC_EX_SSAIME,EXIDX),INDEX(SC_EA_SSBendPts, INDEX(SC_SSBaseYear,$F26)+1-SC_YearEpoch+2,2))-INDEX(SC_EA_SSBendPts, INDEX(SC_SSBaseYear,$F26)+1-SC_YearEpoch+2,1),0)*Lookup!$C$20+MAX(INDEX(SC_EX_SSAIME,EXIDX)-INDEX(SC_EA_SSBendPts, INDEX(SC_SSBaseYear,$F26)+1-SC_YearEpoch+2,2),0)*Lookup!$C$21)/INDEX(SC_EX_SSIDXCOLA,EXIDX)),1)</f>
        <v>0</v>
      </c>
      <c r="P26" s="488">
        <f t="shared" ca="1" si="11"/>
        <v>0</v>
      </c>
      <c r="Q26" s="70">
        <f t="shared" ca="1" si="12"/>
        <v>0</v>
      </c>
      <c r="R26" s="344">
        <f t="shared" ca="1" si="13"/>
        <v>0</v>
      </c>
      <c r="S26" s="347">
        <f t="shared" ca="1" si="14"/>
        <v>0</v>
      </c>
      <c r="T26" s="288">
        <f t="shared" ca="1" si="15"/>
        <v>0</v>
      </c>
      <c r="U26" s="383">
        <f t="shared" ca="1" si="16"/>
        <v>0</v>
      </c>
      <c r="V26" s="634">
        <f t="shared" ref="V26" ca="1" si="26">SUM($T26:$T27)</f>
        <v>0</v>
      </c>
      <c r="W26" s="618">
        <f ca="1">SUMPRODUCT($U26:$U27, --($E26:$E27&lt;&gt;0))</f>
        <v>0</v>
      </c>
      <c r="X26" s="15"/>
      <c r="Y26" s="2"/>
    </row>
    <row r="27" spans="2:25" x14ac:dyDescent="0.25">
      <c r="B27" s="86">
        <f t="shared" ca="1" si="17"/>
        <v>2030</v>
      </c>
      <c r="C27" s="80" t="s">
        <v>741</v>
      </c>
      <c r="D27" s="149" t="str">
        <f t="shared" si="1"/>
        <v/>
      </c>
      <c r="E27" s="81">
        <f t="shared" si="2"/>
        <v>0</v>
      </c>
      <c r="F27" s="81">
        <f t="shared" si="3"/>
        <v>2</v>
      </c>
      <c r="G27" s="82">
        <f t="shared" si="4"/>
        <v>-1</v>
      </c>
      <c r="H27" s="82">
        <f t="shared" si="5"/>
        <v>0</v>
      </c>
      <c r="I27" s="82">
        <f t="shared" si="6"/>
        <v>0</v>
      </c>
      <c r="J27" s="349">
        <f t="shared" ca="1" si="7"/>
        <v>0</v>
      </c>
      <c r="K27" s="349">
        <f t="shared" ca="1" si="8"/>
        <v>0</v>
      </c>
      <c r="L27" s="349">
        <f t="shared" ca="1" si="9"/>
        <v>0</v>
      </c>
      <c r="M27" s="356">
        <f t="shared" ca="1" si="18"/>
        <v>0</v>
      </c>
      <c r="N27" s="353" t="b">
        <f t="shared" ca="1" si="10"/>
        <v>0</v>
      </c>
      <c r="O27" s="142">
        <f ca="1">ROUNDDOWN(IF(NOT($N27),0,(MIN(INDEX(SC_EX_SSAIME,EXIDX),INDEX(SC_EA_SSBendPts, INDEX(SC_SSBaseYear,$F27)+1-SC_YearEpoch+2,1))*Lookup!$C$19+MAX(MIN(INDEX(SC_EX_SSAIME,EXIDX),INDEX(SC_EA_SSBendPts, INDEX(SC_SSBaseYear,$F27)+1-SC_YearEpoch+2,2))-INDEX(SC_EA_SSBendPts, INDEX(SC_SSBaseYear,$F27)+1-SC_YearEpoch+2,1),0)*Lookup!$C$20+MAX(INDEX(SC_EX_SSAIME,EXIDX)-INDEX(SC_EA_SSBendPts, INDEX(SC_SSBaseYear,$F27)+1-SC_YearEpoch+2,2),0)*Lookup!$C$21)/INDEX(SC_EX_SSIDXCOLA,EXIDX)),1)</f>
        <v>0</v>
      </c>
      <c r="P27" s="107">
        <f t="shared" ca="1" si="11"/>
        <v>0</v>
      </c>
      <c r="Q27" s="107">
        <f t="shared" ca="1" si="12"/>
        <v>0</v>
      </c>
      <c r="R27" s="107">
        <f t="shared" ca="1" si="13"/>
        <v>0</v>
      </c>
      <c r="S27" s="107">
        <f t="shared" ca="1" si="14"/>
        <v>0</v>
      </c>
      <c r="T27" s="388">
        <f t="shared" ca="1" si="15"/>
        <v>0</v>
      </c>
      <c r="U27" s="110">
        <f t="shared" ca="1" si="16"/>
        <v>0</v>
      </c>
      <c r="V27" s="634"/>
      <c r="W27" s="618"/>
      <c r="X27" s="15"/>
      <c r="Y27" s="2"/>
    </row>
    <row r="28" spans="2:25" x14ac:dyDescent="0.25">
      <c r="B28" s="65">
        <f ca="1">B26+1</f>
        <v>2031</v>
      </c>
      <c r="C28" s="76" t="s">
        <v>741</v>
      </c>
      <c r="D28" s="146" t="str">
        <f t="shared" si="1"/>
        <v/>
      </c>
      <c r="E28" s="77">
        <f t="shared" si="2"/>
        <v>0</v>
      </c>
      <c r="F28" s="77">
        <f t="shared" si="3"/>
        <v>1</v>
      </c>
      <c r="G28" s="76">
        <f t="shared" si="4"/>
        <v>1</v>
      </c>
      <c r="H28" s="76">
        <f t="shared" si="5"/>
        <v>0</v>
      </c>
      <c r="I28" s="76">
        <f t="shared" si="6"/>
        <v>0</v>
      </c>
      <c r="J28" s="331">
        <f t="shared" ca="1" si="7"/>
        <v>0</v>
      </c>
      <c r="K28" s="331">
        <f t="shared" ca="1" si="8"/>
        <v>0</v>
      </c>
      <c r="L28" s="331">
        <f t="shared" ca="1" si="9"/>
        <v>0</v>
      </c>
      <c r="M28" s="355">
        <f t="shared" ca="1" si="18"/>
        <v>0</v>
      </c>
      <c r="N28" s="352" t="b">
        <f t="shared" ca="1" si="10"/>
        <v>0</v>
      </c>
      <c r="O28" s="120">
        <f ca="1">ROUNDDOWN(IF(NOT($N28),0,(MIN(INDEX(SC_EX_SSAIME,EXIDX),INDEX(SC_EA_SSBendPts, INDEX(SC_SSBaseYear,$F28)+1-SC_YearEpoch+2,1))*Lookup!$C$19+MAX(MIN(INDEX(SC_EX_SSAIME,EXIDX),INDEX(SC_EA_SSBendPts, INDEX(SC_SSBaseYear,$F28)+1-SC_YearEpoch+2,2))-INDEX(SC_EA_SSBendPts, INDEX(SC_SSBaseYear,$F28)+1-SC_YearEpoch+2,1),0)*Lookup!$C$20+MAX(INDEX(SC_EX_SSAIME,EXIDX)-INDEX(SC_EA_SSBendPts, INDEX(SC_SSBaseYear,$F28)+1-SC_YearEpoch+2,2),0)*Lookup!$C$21)/INDEX(SC_EX_SSIDXCOLA,EXIDX)),1)</f>
        <v>0</v>
      </c>
      <c r="P28" s="488">
        <f t="shared" ca="1" si="11"/>
        <v>0</v>
      </c>
      <c r="Q28" s="70">
        <f t="shared" ca="1" si="12"/>
        <v>0</v>
      </c>
      <c r="R28" s="344">
        <f t="shared" ca="1" si="13"/>
        <v>0</v>
      </c>
      <c r="S28" s="347">
        <f t="shared" ca="1" si="14"/>
        <v>0</v>
      </c>
      <c r="T28" s="288">
        <f t="shared" ca="1" si="15"/>
        <v>0</v>
      </c>
      <c r="U28" s="383">
        <f t="shared" ca="1" si="16"/>
        <v>0</v>
      </c>
      <c r="V28" s="634">
        <f t="shared" ref="V28" ca="1" si="27">SUM($T28:$T29)</f>
        <v>0</v>
      </c>
      <c r="W28" s="618">
        <f ca="1">SUMPRODUCT($U28:$U29, --($E28:$E29&lt;&gt;0))</f>
        <v>0</v>
      </c>
      <c r="X28" s="15"/>
      <c r="Y28" s="2"/>
    </row>
    <row r="29" spans="2:25" x14ac:dyDescent="0.25">
      <c r="B29" s="86">
        <f t="shared" ca="1" si="17"/>
        <v>2031</v>
      </c>
      <c r="C29" s="80" t="s">
        <v>741</v>
      </c>
      <c r="D29" s="149" t="str">
        <f t="shared" si="1"/>
        <v/>
      </c>
      <c r="E29" s="81">
        <f t="shared" si="2"/>
        <v>0</v>
      </c>
      <c r="F29" s="81">
        <f t="shared" si="3"/>
        <v>2</v>
      </c>
      <c r="G29" s="82">
        <f t="shared" si="4"/>
        <v>-1</v>
      </c>
      <c r="H29" s="82">
        <f t="shared" si="5"/>
        <v>0</v>
      </c>
      <c r="I29" s="82">
        <f t="shared" si="6"/>
        <v>0</v>
      </c>
      <c r="J29" s="349">
        <f t="shared" ca="1" si="7"/>
        <v>0</v>
      </c>
      <c r="K29" s="349">
        <f t="shared" ca="1" si="8"/>
        <v>0</v>
      </c>
      <c r="L29" s="349">
        <f t="shared" ca="1" si="9"/>
        <v>0</v>
      </c>
      <c r="M29" s="356">
        <f t="shared" ca="1" si="18"/>
        <v>0</v>
      </c>
      <c r="N29" s="353" t="b">
        <f t="shared" ca="1" si="10"/>
        <v>0</v>
      </c>
      <c r="O29" s="142">
        <f ca="1">ROUNDDOWN(IF(NOT($N29),0,(MIN(INDEX(SC_EX_SSAIME,EXIDX),INDEX(SC_EA_SSBendPts, INDEX(SC_SSBaseYear,$F29)+1-SC_YearEpoch+2,1))*Lookup!$C$19+MAX(MIN(INDEX(SC_EX_SSAIME,EXIDX),INDEX(SC_EA_SSBendPts, INDEX(SC_SSBaseYear,$F29)+1-SC_YearEpoch+2,2))-INDEX(SC_EA_SSBendPts, INDEX(SC_SSBaseYear,$F29)+1-SC_YearEpoch+2,1),0)*Lookup!$C$20+MAX(INDEX(SC_EX_SSAIME,EXIDX)-INDEX(SC_EA_SSBendPts, INDEX(SC_SSBaseYear,$F29)+1-SC_YearEpoch+2,2),0)*Lookup!$C$21)/INDEX(SC_EX_SSIDXCOLA,EXIDX)),1)</f>
        <v>0</v>
      </c>
      <c r="P29" s="107">
        <f t="shared" ca="1" si="11"/>
        <v>0</v>
      </c>
      <c r="Q29" s="107">
        <f t="shared" ca="1" si="12"/>
        <v>0</v>
      </c>
      <c r="R29" s="107">
        <f t="shared" ca="1" si="13"/>
        <v>0</v>
      </c>
      <c r="S29" s="107">
        <f t="shared" ca="1" si="14"/>
        <v>0</v>
      </c>
      <c r="T29" s="388">
        <f t="shared" ca="1" si="15"/>
        <v>0</v>
      </c>
      <c r="U29" s="110">
        <f t="shared" ca="1" si="16"/>
        <v>0</v>
      </c>
      <c r="V29" s="634"/>
      <c r="W29" s="618"/>
      <c r="X29" s="15"/>
      <c r="Y29" s="2"/>
    </row>
    <row r="30" spans="2:25" x14ac:dyDescent="0.25">
      <c r="B30" s="65">
        <f ca="1">B28+1</f>
        <v>2032</v>
      </c>
      <c r="C30" s="76" t="s">
        <v>741</v>
      </c>
      <c r="D30" s="146" t="str">
        <f t="shared" si="1"/>
        <v/>
      </c>
      <c r="E30" s="77">
        <f t="shared" si="2"/>
        <v>0</v>
      </c>
      <c r="F30" s="77">
        <f t="shared" si="3"/>
        <v>1</v>
      </c>
      <c r="G30" s="76">
        <f t="shared" si="4"/>
        <v>1</v>
      </c>
      <c r="H30" s="76">
        <f t="shared" si="5"/>
        <v>0</v>
      </c>
      <c r="I30" s="76">
        <f t="shared" si="6"/>
        <v>0</v>
      </c>
      <c r="J30" s="331">
        <f t="shared" ca="1" si="7"/>
        <v>0</v>
      </c>
      <c r="K30" s="331">
        <f t="shared" ca="1" si="8"/>
        <v>0</v>
      </c>
      <c r="L30" s="331">
        <f t="shared" ca="1" si="9"/>
        <v>0</v>
      </c>
      <c r="M30" s="355">
        <f t="shared" ca="1" si="18"/>
        <v>0</v>
      </c>
      <c r="N30" s="352" t="b">
        <f t="shared" ca="1" si="10"/>
        <v>0</v>
      </c>
      <c r="O30" s="120">
        <f ca="1">ROUNDDOWN(IF(NOT($N30),0,(MIN(INDEX(SC_EX_SSAIME,EXIDX),INDEX(SC_EA_SSBendPts, INDEX(SC_SSBaseYear,$F30)+1-SC_YearEpoch+2,1))*Lookup!$C$19+MAX(MIN(INDEX(SC_EX_SSAIME,EXIDX),INDEX(SC_EA_SSBendPts, INDEX(SC_SSBaseYear,$F30)+1-SC_YearEpoch+2,2))-INDEX(SC_EA_SSBendPts, INDEX(SC_SSBaseYear,$F30)+1-SC_YearEpoch+2,1),0)*Lookup!$C$20+MAX(INDEX(SC_EX_SSAIME,EXIDX)-INDEX(SC_EA_SSBendPts, INDEX(SC_SSBaseYear,$F30)+1-SC_YearEpoch+2,2),0)*Lookup!$C$21)/INDEX(SC_EX_SSIDXCOLA,EXIDX)),1)</f>
        <v>0</v>
      </c>
      <c r="P30" s="488">
        <f t="shared" ca="1" si="11"/>
        <v>0</v>
      </c>
      <c r="Q30" s="70">
        <f t="shared" ca="1" si="12"/>
        <v>0</v>
      </c>
      <c r="R30" s="344">
        <f t="shared" ca="1" si="13"/>
        <v>0</v>
      </c>
      <c r="S30" s="347">
        <f t="shared" ca="1" si="14"/>
        <v>0</v>
      </c>
      <c r="T30" s="288">
        <f t="shared" ca="1" si="15"/>
        <v>0</v>
      </c>
      <c r="U30" s="383">
        <f t="shared" ca="1" si="16"/>
        <v>0</v>
      </c>
      <c r="V30" s="634">
        <f t="shared" ref="V30" ca="1" si="28">SUM($T30:$T31)</f>
        <v>0</v>
      </c>
      <c r="W30" s="618">
        <f ca="1">SUMPRODUCT($U30:$U31, --($E30:$E31&lt;&gt;0))</f>
        <v>0</v>
      </c>
      <c r="X30" s="15"/>
      <c r="Y30" s="2"/>
    </row>
    <row r="31" spans="2:25" x14ac:dyDescent="0.25">
      <c r="B31" s="86">
        <f t="shared" ca="1" si="17"/>
        <v>2032</v>
      </c>
      <c r="C31" s="80" t="s">
        <v>741</v>
      </c>
      <c r="D31" s="149" t="str">
        <f t="shared" si="1"/>
        <v/>
      </c>
      <c r="E31" s="81">
        <f t="shared" si="2"/>
        <v>0</v>
      </c>
      <c r="F31" s="81">
        <f t="shared" si="3"/>
        <v>2</v>
      </c>
      <c r="G31" s="82">
        <f t="shared" si="4"/>
        <v>-1</v>
      </c>
      <c r="H31" s="82">
        <f t="shared" si="5"/>
        <v>0</v>
      </c>
      <c r="I31" s="82">
        <f t="shared" si="6"/>
        <v>0</v>
      </c>
      <c r="J31" s="349">
        <f t="shared" ca="1" si="7"/>
        <v>0</v>
      </c>
      <c r="K31" s="349">
        <f t="shared" ca="1" si="8"/>
        <v>0</v>
      </c>
      <c r="L31" s="349">
        <f t="shared" ca="1" si="9"/>
        <v>0</v>
      </c>
      <c r="M31" s="356">
        <f t="shared" ca="1" si="18"/>
        <v>0</v>
      </c>
      <c r="N31" s="353" t="b">
        <f t="shared" ca="1" si="10"/>
        <v>0</v>
      </c>
      <c r="O31" s="142">
        <f ca="1">ROUNDDOWN(IF(NOT($N31),0,(MIN(INDEX(SC_EX_SSAIME,EXIDX),INDEX(SC_EA_SSBendPts, INDEX(SC_SSBaseYear,$F31)+1-SC_YearEpoch+2,1))*Lookup!$C$19+MAX(MIN(INDEX(SC_EX_SSAIME,EXIDX),INDEX(SC_EA_SSBendPts, INDEX(SC_SSBaseYear,$F31)+1-SC_YearEpoch+2,2))-INDEX(SC_EA_SSBendPts, INDEX(SC_SSBaseYear,$F31)+1-SC_YearEpoch+2,1),0)*Lookup!$C$20+MAX(INDEX(SC_EX_SSAIME,EXIDX)-INDEX(SC_EA_SSBendPts, INDEX(SC_SSBaseYear,$F31)+1-SC_YearEpoch+2,2),0)*Lookup!$C$21)/INDEX(SC_EX_SSIDXCOLA,EXIDX)),1)</f>
        <v>0</v>
      </c>
      <c r="P31" s="107">
        <f t="shared" ca="1" si="11"/>
        <v>0</v>
      </c>
      <c r="Q31" s="107">
        <f t="shared" ca="1" si="12"/>
        <v>0</v>
      </c>
      <c r="R31" s="107">
        <f t="shared" ca="1" si="13"/>
        <v>0</v>
      </c>
      <c r="S31" s="107">
        <f t="shared" ca="1" si="14"/>
        <v>0</v>
      </c>
      <c r="T31" s="388">
        <f t="shared" ca="1" si="15"/>
        <v>0</v>
      </c>
      <c r="U31" s="110">
        <f t="shared" ca="1" si="16"/>
        <v>0</v>
      </c>
      <c r="V31" s="634"/>
      <c r="W31" s="618"/>
      <c r="X31" s="15"/>
      <c r="Y31" s="2"/>
    </row>
    <row r="32" spans="2:25" x14ac:dyDescent="0.25">
      <c r="B32" s="65">
        <f ca="1">B30+1</f>
        <v>2033</v>
      </c>
      <c r="C32" s="76" t="s">
        <v>741</v>
      </c>
      <c r="D32" s="146" t="str">
        <f t="shared" si="1"/>
        <v/>
      </c>
      <c r="E32" s="77">
        <f t="shared" si="2"/>
        <v>0</v>
      </c>
      <c r="F32" s="77">
        <f t="shared" si="3"/>
        <v>1</v>
      </c>
      <c r="G32" s="76">
        <f t="shared" si="4"/>
        <v>1</v>
      </c>
      <c r="H32" s="76">
        <f t="shared" si="5"/>
        <v>0</v>
      </c>
      <c r="I32" s="76">
        <f t="shared" si="6"/>
        <v>0</v>
      </c>
      <c r="J32" s="331">
        <f t="shared" ca="1" si="7"/>
        <v>0</v>
      </c>
      <c r="K32" s="331">
        <f t="shared" ca="1" si="8"/>
        <v>0</v>
      </c>
      <c r="L32" s="331">
        <f t="shared" ca="1" si="9"/>
        <v>0</v>
      </c>
      <c r="M32" s="355">
        <f t="shared" ca="1" si="18"/>
        <v>0</v>
      </c>
      <c r="N32" s="352" t="b">
        <f t="shared" ca="1" si="10"/>
        <v>0</v>
      </c>
      <c r="O32" s="120">
        <f ca="1">ROUNDDOWN(IF(NOT($N32),0,(MIN(INDEX(SC_EX_SSAIME,EXIDX),INDEX(SC_EA_SSBendPts, INDEX(SC_SSBaseYear,$F32)+1-SC_YearEpoch+2,1))*Lookup!$C$19+MAX(MIN(INDEX(SC_EX_SSAIME,EXIDX),INDEX(SC_EA_SSBendPts, INDEX(SC_SSBaseYear,$F32)+1-SC_YearEpoch+2,2))-INDEX(SC_EA_SSBendPts, INDEX(SC_SSBaseYear,$F32)+1-SC_YearEpoch+2,1),0)*Lookup!$C$20+MAX(INDEX(SC_EX_SSAIME,EXIDX)-INDEX(SC_EA_SSBendPts, INDEX(SC_SSBaseYear,$F32)+1-SC_YearEpoch+2,2),0)*Lookup!$C$21)/INDEX(SC_EX_SSIDXCOLA,EXIDX)),1)</f>
        <v>0</v>
      </c>
      <c r="P32" s="488">
        <f t="shared" ca="1" si="11"/>
        <v>0</v>
      </c>
      <c r="Q32" s="70">
        <f t="shared" ca="1" si="12"/>
        <v>0</v>
      </c>
      <c r="R32" s="344">
        <f t="shared" ca="1" si="13"/>
        <v>0</v>
      </c>
      <c r="S32" s="347">
        <f t="shared" ca="1" si="14"/>
        <v>0</v>
      </c>
      <c r="T32" s="288">
        <f t="shared" ca="1" si="15"/>
        <v>0</v>
      </c>
      <c r="U32" s="383">
        <f t="shared" ca="1" si="16"/>
        <v>0</v>
      </c>
      <c r="V32" s="634">
        <f t="shared" ref="V32" ca="1" si="29">SUM($T32:$T33)</f>
        <v>0</v>
      </c>
      <c r="W32" s="618">
        <f ca="1">SUMPRODUCT($U32:$U33, --($E32:$E33&lt;&gt;0))</f>
        <v>0</v>
      </c>
      <c r="X32" s="15"/>
      <c r="Y32" s="2"/>
    </row>
    <row r="33" spans="2:29" x14ac:dyDescent="0.25">
      <c r="B33" s="86">
        <f t="shared" ca="1" si="17"/>
        <v>2033</v>
      </c>
      <c r="C33" s="80" t="s">
        <v>741</v>
      </c>
      <c r="D33" s="149" t="str">
        <f t="shared" si="1"/>
        <v/>
      </c>
      <c r="E33" s="81">
        <f t="shared" si="2"/>
        <v>0</v>
      </c>
      <c r="F33" s="81">
        <f t="shared" si="3"/>
        <v>2</v>
      </c>
      <c r="G33" s="82">
        <f t="shared" si="4"/>
        <v>-1</v>
      </c>
      <c r="H33" s="82">
        <f t="shared" si="5"/>
        <v>0</v>
      </c>
      <c r="I33" s="82">
        <f t="shared" si="6"/>
        <v>0</v>
      </c>
      <c r="J33" s="349">
        <f t="shared" ca="1" si="7"/>
        <v>0</v>
      </c>
      <c r="K33" s="349">
        <f t="shared" ca="1" si="8"/>
        <v>0</v>
      </c>
      <c r="L33" s="349">
        <f t="shared" ca="1" si="9"/>
        <v>0</v>
      </c>
      <c r="M33" s="356">
        <f t="shared" ca="1" si="18"/>
        <v>0</v>
      </c>
      <c r="N33" s="353" t="b">
        <f t="shared" ca="1" si="10"/>
        <v>0</v>
      </c>
      <c r="O33" s="142">
        <f ca="1">ROUNDDOWN(IF(NOT($N33),0,(MIN(INDEX(SC_EX_SSAIME,EXIDX),INDEX(SC_EA_SSBendPts, INDEX(SC_SSBaseYear,$F33)+1-SC_YearEpoch+2,1))*Lookup!$C$19+MAX(MIN(INDEX(SC_EX_SSAIME,EXIDX),INDEX(SC_EA_SSBendPts, INDEX(SC_SSBaseYear,$F33)+1-SC_YearEpoch+2,2))-INDEX(SC_EA_SSBendPts, INDEX(SC_SSBaseYear,$F33)+1-SC_YearEpoch+2,1),0)*Lookup!$C$20+MAX(INDEX(SC_EX_SSAIME,EXIDX)-INDEX(SC_EA_SSBendPts, INDEX(SC_SSBaseYear,$F33)+1-SC_YearEpoch+2,2),0)*Lookup!$C$21)/INDEX(SC_EX_SSIDXCOLA,EXIDX)),1)</f>
        <v>0</v>
      </c>
      <c r="P33" s="107">
        <f t="shared" ca="1" si="11"/>
        <v>0</v>
      </c>
      <c r="Q33" s="107">
        <f t="shared" ca="1" si="12"/>
        <v>0</v>
      </c>
      <c r="R33" s="107">
        <f t="shared" ca="1" si="13"/>
        <v>0</v>
      </c>
      <c r="S33" s="107">
        <f t="shared" ca="1" si="14"/>
        <v>0</v>
      </c>
      <c r="T33" s="388">
        <f t="shared" ca="1" si="15"/>
        <v>0</v>
      </c>
      <c r="U33" s="110">
        <f t="shared" ca="1" si="16"/>
        <v>0</v>
      </c>
      <c r="V33" s="634"/>
      <c r="W33" s="618"/>
      <c r="X33" s="15"/>
      <c r="Y33" s="2"/>
    </row>
    <row r="34" spans="2:29" x14ac:dyDescent="0.25">
      <c r="B34" s="65">
        <f ca="1">B32+1</f>
        <v>2034</v>
      </c>
      <c r="C34" s="76" t="s">
        <v>741</v>
      </c>
      <c r="D34" s="146" t="str">
        <f t="shared" si="1"/>
        <v/>
      </c>
      <c r="E34" s="77">
        <f t="shared" si="2"/>
        <v>0</v>
      </c>
      <c r="F34" s="77">
        <f t="shared" si="3"/>
        <v>1</v>
      </c>
      <c r="G34" s="76">
        <f t="shared" si="4"/>
        <v>1</v>
      </c>
      <c r="H34" s="76">
        <f t="shared" si="5"/>
        <v>0</v>
      </c>
      <c r="I34" s="76">
        <f t="shared" si="6"/>
        <v>0</v>
      </c>
      <c r="J34" s="331">
        <f t="shared" ca="1" si="7"/>
        <v>0</v>
      </c>
      <c r="K34" s="331">
        <f t="shared" ca="1" si="8"/>
        <v>0</v>
      </c>
      <c r="L34" s="331">
        <f t="shared" ca="1" si="9"/>
        <v>0</v>
      </c>
      <c r="M34" s="355">
        <f t="shared" ca="1" si="18"/>
        <v>0</v>
      </c>
      <c r="N34" s="352" t="b">
        <f t="shared" ca="1" si="10"/>
        <v>0</v>
      </c>
      <c r="O34" s="120">
        <f ca="1">ROUNDDOWN(IF(NOT($N34),0,(MIN(INDEX(SC_EX_SSAIME,EXIDX),INDEX(SC_EA_SSBendPts, INDEX(SC_SSBaseYear,$F34)+1-SC_YearEpoch+2,1))*Lookup!$C$19+MAX(MIN(INDEX(SC_EX_SSAIME,EXIDX),INDEX(SC_EA_SSBendPts, INDEX(SC_SSBaseYear,$F34)+1-SC_YearEpoch+2,2))-INDEX(SC_EA_SSBendPts, INDEX(SC_SSBaseYear,$F34)+1-SC_YearEpoch+2,1),0)*Lookup!$C$20+MAX(INDEX(SC_EX_SSAIME,EXIDX)-INDEX(SC_EA_SSBendPts, INDEX(SC_SSBaseYear,$F34)+1-SC_YearEpoch+2,2),0)*Lookup!$C$21)/INDEX(SC_EX_SSIDXCOLA,EXIDX)),1)</f>
        <v>0</v>
      </c>
      <c r="P34" s="488">
        <f t="shared" ca="1" si="11"/>
        <v>0</v>
      </c>
      <c r="Q34" s="70">
        <f t="shared" ca="1" si="12"/>
        <v>0</v>
      </c>
      <c r="R34" s="344">
        <f t="shared" ca="1" si="13"/>
        <v>0</v>
      </c>
      <c r="S34" s="347">
        <f t="shared" ca="1" si="14"/>
        <v>0</v>
      </c>
      <c r="T34" s="288">
        <f t="shared" ca="1" si="15"/>
        <v>0</v>
      </c>
      <c r="U34" s="383">
        <f t="shared" ca="1" si="16"/>
        <v>0</v>
      </c>
      <c r="V34" s="634">
        <f t="shared" ref="V34" ca="1" si="30">SUM($T34:$T35)</f>
        <v>0</v>
      </c>
      <c r="W34" s="618">
        <f ca="1">SUMPRODUCT($U34:$U35, --($E34:$E35&lt;&gt;0))</f>
        <v>0</v>
      </c>
      <c r="X34" s="15"/>
    </row>
    <row r="35" spans="2:29" x14ac:dyDescent="0.25">
      <c r="B35" s="86">
        <f t="shared" ca="1" si="17"/>
        <v>2034</v>
      </c>
      <c r="C35" s="80" t="s">
        <v>741</v>
      </c>
      <c r="D35" s="149" t="str">
        <f t="shared" si="1"/>
        <v/>
      </c>
      <c r="E35" s="81">
        <f t="shared" si="2"/>
        <v>0</v>
      </c>
      <c r="F35" s="81">
        <f t="shared" si="3"/>
        <v>2</v>
      </c>
      <c r="G35" s="82">
        <f t="shared" si="4"/>
        <v>-1</v>
      </c>
      <c r="H35" s="82">
        <f t="shared" si="5"/>
        <v>0</v>
      </c>
      <c r="I35" s="82">
        <f t="shared" si="6"/>
        <v>0</v>
      </c>
      <c r="J35" s="349">
        <f t="shared" ca="1" si="7"/>
        <v>0</v>
      </c>
      <c r="K35" s="349">
        <f t="shared" ca="1" si="8"/>
        <v>0</v>
      </c>
      <c r="L35" s="349">
        <f t="shared" ca="1" si="9"/>
        <v>0</v>
      </c>
      <c r="M35" s="356">
        <f t="shared" ca="1" si="18"/>
        <v>0</v>
      </c>
      <c r="N35" s="353" t="b">
        <f t="shared" ca="1" si="10"/>
        <v>0</v>
      </c>
      <c r="O35" s="142">
        <f ca="1">ROUNDDOWN(IF(NOT($N35),0,(MIN(INDEX(SC_EX_SSAIME,EXIDX),INDEX(SC_EA_SSBendPts, INDEX(SC_SSBaseYear,$F35)+1-SC_YearEpoch+2,1))*Lookup!$C$19+MAX(MIN(INDEX(SC_EX_SSAIME,EXIDX),INDEX(SC_EA_SSBendPts, INDEX(SC_SSBaseYear,$F35)+1-SC_YearEpoch+2,2))-INDEX(SC_EA_SSBendPts, INDEX(SC_SSBaseYear,$F35)+1-SC_YearEpoch+2,1),0)*Lookup!$C$20+MAX(INDEX(SC_EX_SSAIME,EXIDX)-INDEX(SC_EA_SSBendPts, INDEX(SC_SSBaseYear,$F35)+1-SC_YearEpoch+2,2),0)*Lookup!$C$21)/INDEX(SC_EX_SSIDXCOLA,EXIDX)),1)</f>
        <v>0</v>
      </c>
      <c r="P35" s="107">
        <f t="shared" ca="1" si="11"/>
        <v>0</v>
      </c>
      <c r="Q35" s="107">
        <f t="shared" ca="1" si="12"/>
        <v>0</v>
      </c>
      <c r="R35" s="107">
        <f t="shared" ca="1" si="13"/>
        <v>0</v>
      </c>
      <c r="S35" s="107">
        <f t="shared" ca="1" si="14"/>
        <v>0</v>
      </c>
      <c r="T35" s="388">
        <f t="shared" ca="1" si="15"/>
        <v>0</v>
      </c>
      <c r="U35" s="110">
        <f t="shared" ca="1" si="16"/>
        <v>0</v>
      </c>
      <c r="V35" s="634"/>
      <c r="W35" s="618"/>
      <c r="X35" s="15"/>
    </row>
    <row r="36" spans="2:29" x14ac:dyDescent="0.25">
      <c r="B36" s="65">
        <f ca="1">B34+1</f>
        <v>2035</v>
      </c>
      <c r="C36" s="76" t="s">
        <v>741</v>
      </c>
      <c r="D36" s="146" t="str">
        <f t="shared" si="1"/>
        <v/>
      </c>
      <c r="E36" s="77">
        <f t="shared" si="2"/>
        <v>0</v>
      </c>
      <c r="F36" s="77">
        <f t="shared" si="3"/>
        <v>1</v>
      </c>
      <c r="G36" s="76">
        <f t="shared" si="4"/>
        <v>1</v>
      </c>
      <c r="H36" s="76">
        <f t="shared" si="5"/>
        <v>0</v>
      </c>
      <c r="I36" s="76">
        <f t="shared" si="6"/>
        <v>0</v>
      </c>
      <c r="J36" s="331">
        <f t="shared" ca="1" si="7"/>
        <v>0</v>
      </c>
      <c r="K36" s="331">
        <f t="shared" ca="1" si="8"/>
        <v>0</v>
      </c>
      <c r="L36" s="331">
        <f t="shared" ca="1" si="9"/>
        <v>0</v>
      </c>
      <c r="M36" s="355">
        <f t="shared" ca="1" si="18"/>
        <v>0</v>
      </c>
      <c r="N36" s="352" t="b">
        <f t="shared" ca="1" si="10"/>
        <v>0</v>
      </c>
      <c r="O36" s="120">
        <f ca="1">ROUNDDOWN(IF(NOT($N36),0,(MIN(INDEX(SC_EX_SSAIME,EXIDX),INDEX(SC_EA_SSBendPts, INDEX(SC_SSBaseYear,$F36)+1-SC_YearEpoch+2,1))*Lookup!$C$19+MAX(MIN(INDEX(SC_EX_SSAIME,EXIDX),INDEX(SC_EA_SSBendPts, INDEX(SC_SSBaseYear,$F36)+1-SC_YearEpoch+2,2))-INDEX(SC_EA_SSBendPts, INDEX(SC_SSBaseYear,$F36)+1-SC_YearEpoch+2,1),0)*Lookup!$C$20+MAX(INDEX(SC_EX_SSAIME,EXIDX)-INDEX(SC_EA_SSBendPts, INDEX(SC_SSBaseYear,$F36)+1-SC_YearEpoch+2,2),0)*Lookup!$C$21)/INDEX(SC_EX_SSIDXCOLA,EXIDX)),1)</f>
        <v>0</v>
      </c>
      <c r="P36" s="488">
        <f t="shared" ca="1" si="11"/>
        <v>0</v>
      </c>
      <c r="Q36" s="70">
        <f t="shared" ca="1" si="12"/>
        <v>0</v>
      </c>
      <c r="R36" s="344">
        <f t="shared" ca="1" si="13"/>
        <v>0</v>
      </c>
      <c r="S36" s="347">
        <f t="shared" ca="1" si="14"/>
        <v>0</v>
      </c>
      <c r="T36" s="288">
        <f t="shared" ca="1" si="15"/>
        <v>0</v>
      </c>
      <c r="U36" s="383">
        <f t="shared" ca="1" si="16"/>
        <v>0</v>
      </c>
      <c r="V36" s="634">
        <f t="shared" ref="V36" ca="1" si="31">SUM($T36:$T37)</f>
        <v>0</v>
      </c>
      <c r="W36" s="618">
        <f ca="1">SUMPRODUCT($U36:$U37, --($E36:$E37&lt;&gt;0))</f>
        <v>0</v>
      </c>
      <c r="X36" s="15"/>
    </row>
    <row r="37" spans="2:29" x14ac:dyDescent="0.25">
      <c r="B37" s="86">
        <f t="shared" ca="1" si="17"/>
        <v>2035</v>
      </c>
      <c r="C37" s="80" t="s">
        <v>741</v>
      </c>
      <c r="D37" s="149" t="str">
        <f t="shared" si="1"/>
        <v/>
      </c>
      <c r="E37" s="81">
        <f t="shared" si="2"/>
        <v>0</v>
      </c>
      <c r="F37" s="81">
        <f t="shared" si="3"/>
        <v>2</v>
      </c>
      <c r="G37" s="82">
        <f t="shared" si="4"/>
        <v>-1</v>
      </c>
      <c r="H37" s="82">
        <f t="shared" si="5"/>
        <v>0</v>
      </c>
      <c r="I37" s="82">
        <f t="shared" si="6"/>
        <v>0</v>
      </c>
      <c r="J37" s="349">
        <f t="shared" ca="1" si="7"/>
        <v>0</v>
      </c>
      <c r="K37" s="349">
        <f t="shared" ca="1" si="8"/>
        <v>0</v>
      </c>
      <c r="L37" s="349">
        <f t="shared" ca="1" si="9"/>
        <v>0</v>
      </c>
      <c r="M37" s="356">
        <f t="shared" ca="1" si="18"/>
        <v>0</v>
      </c>
      <c r="N37" s="353" t="b">
        <f t="shared" ca="1" si="10"/>
        <v>0</v>
      </c>
      <c r="O37" s="142">
        <f ca="1">ROUNDDOWN(IF(NOT($N37),0,(MIN(INDEX(SC_EX_SSAIME,EXIDX),INDEX(SC_EA_SSBendPts, INDEX(SC_SSBaseYear,$F37)+1-SC_YearEpoch+2,1))*Lookup!$C$19+MAX(MIN(INDEX(SC_EX_SSAIME,EXIDX),INDEX(SC_EA_SSBendPts, INDEX(SC_SSBaseYear,$F37)+1-SC_YearEpoch+2,2))-INDEX(SC_EA_SSBendPts, INDEX(SC_SSBaseYear,$F37)+1-SC_YearEpoch+2,1),0)*Lookup!$C$20+MAX(INDEX(SC_EX_SSAIME,EXIDX)-INDEX(SC_EA_SSBendPts, INDEX(SC_SSBaseYear,$F37)+1-SC_YearEpoch+2,2),0)*Lookup!$C$21)/INDEX(SC_EX_SSIDXCOLA,EXIDX)),1)</f>
        <v>0</v>
      </c>
      <c r="P37" s="107">
        <f t="shared" ca="1" si="11"/>
        <v>0</v>
      </c>
      <c r="Q37" s="107">
        <f t="shared" ca="1" si="12"/>
        <v>0</v>
      </c>
      <c r="R37" s="107">
        <f t="shared" ca="1" si="13"/>
        <v>0</v>
      </c>
      <c r="S37" s="107">
        <f t="shared" ca="1" si="14"/>
        <v>0</v>
      </c>
      <c r="T37" s="388">
        <f t="shared" ca="1" si="15"/>
        <v>0</v>
      </c>
      <c r="U37" s="110">
        <f t="shared" ca="1" si="16"/>
        <v>0</v>
      </c>
      <c r="V37" s="634"/>
      <c r="W37" s="618"/>
      <c r="X37" s="15"/>
    </row>
    <row r="38" spans="2:29" x14ac:dyDescent="0.25">
      <c r="B38" s="65">
        <f ca="1">B36+1</f>
        <v>2036</v>
      </c>
      <c r="C38" s="76" t="s">
        <v>741</v>
      </c>
      <c r="D38" s="146" t="str">
        <f t="shared" si="1"/>
        <v/>
      </c>
      <c r="E38" s="77">
        <f t="shared" si="2"/>
        <v>0</v>
      </c>
      <c r="F38" s="77">
        <f t="shared" si="3"/>
        <v>1</v>
      </c>
      <c r="G38" s="76">
        <f t="shared" si="4"/>
        <v>1</v>
      </c>
      <c r="H38" s="76">
        <f t="shared" si="5"/>
        <v>0</v>
      </c>
      <c r="I38" s="76">
        <f t="shared" si="6"/>
        <v>0</v>
      </c>
      <c r="J38" s="331">
        <f t="shared" ca="1" si="7"/>
        <v>0</v>
      </c>
      <c r="K38" s="331">
        <f t="shared" ca="1" si="8"/>
        <v>0</v>
      </c>
      <c r="L38" s="331">
        <f t="shared" ca="1" si="9"/>
        <v>0</v>
      </c>
      <c r="M38" s="355">
        <f t="shared" ca="1" si="18"/>
        <v>0</v>
      </c>
      <c r="N38" s="352" t="b">
        <f t="shared" ca="1" si="10"/>
        <v>0</v>
      </c>
      <c r="O38" s="120">
        <f ca="1">ROUNDDOWN(IF(NOT($N38),0,(MIN(INDEX(SC_EX_SSAIME,EXIDX),INDEX(SC_EA_SSBendPts, INDEX(SC_SSBaseYear,$F38)+1-SC_YearEpoch+2,1))*Lookup!$C$19+MAX(MIN(INDEX(SC_EX_SSAIME,EXIDX),INDEX(SC_EA_SSBendPts, INDEX(SC_SSBaseYear,$F38)+1-SC_YearEpoch+2,2))-INDEX(SC_EA_SSBendPts, INDEX(SC_SSBaseYear,$F38)+1-SC_YearEpoch+2,1),0)*Lookup!$C$20+MAX(INDEX(SC_EX_SSAIME,EXIDX)-INDEX(SC_EA_SSBendPts, INDEX(SC_SSBaseYear,$F38)+1-SC_YearEpoch+2,2),0)*Lookup!$C$21)/INDEX(SC_EX_SSIDXCOLA,EXIDX)),1)</f>
        <v>0</v>
      </c>
      <c r="P38" s="488">
        <f t="shared" ca="1" si="11"/>
        <v>0</v>
      </c>
      <c r="Q38" s="70">
        <f t="shared" ca="1" si="12"/>
        <v>0</v>
      </c>
      <c r="R38" s="344">
        <f t="shared" ca="1" si="13"/>
        <v>0</v>
      </c>
      <c r="S38" s="347">
        <f t="shared" ca="1" si="14"/>
        <v>0</v>
      </c>
      <c r="T38" s="288">
        <f t="shared" ca="1" si="15"/>
        <v>0</v>
      </c>
      <c r="U38" s="383">
        <f t="shared" ca="1" si="16"/>
        <v>0</v>
      </c>
      <c r="V38" s="634">
        <f t="shared" ref="V38" ca="1" si="32">SUM($T38:$T39)</f>
        <v>0</v>
      </c>
      <c r="W38" s="618">
        <f ca="1">SUMPRODUCT($U38:$U39, --($E38:$E39&lt;&gt;0))</f>
        <v>0</v>
      </c>
      <c r="X38" s="15"/>
    </row>
    <row r="39" spans="2:29" x14ac:dyDescent="0.25">
      <c r="B39" s="86">
        <f t="shared" ca="1" si="17"/>
        <v>2036</v>
      </c>
      <c r="C39" s="80" t="s">
        <v>741</v>
      </c>
      <c r="D39" s="149" t="str">
        <f t="shared" si="1"/>
        <v/>
      </c>
      <c r="E39" s="81">
        <f t="shared" si="2"/>
        <v>0</v>
      </c>
      <c r="F39" s="81">
        <f t="shared" si="3"/>
        <v>2</v>
      </c>
      <c r="G39" s="82">
        <f t="shared" si="4"/>
        <v>-1</v>
      </c>
      <c r="H39" s="82">
        <f t="shared" si="5"/>
        <v>0</v>
      </c>
      <c r="I39" s="82">
        <f t="shared" si="6"/>
        <v>0</v>
      </c>
      <c r="J39" s="349">
        <f t="shared" ca="1" si="7"/>
        <v>0</v>
      </c>
      <c r="K39" s="349">
        <f t="shared" ca="1" si="8"/>
        <v>0</v>
      </c>
      <c r="L39" s="349">
        <f t="shared" ca="1" si="9"/>
        <v>0</v>
      </c>
      <c r="M39" s="356">
        <f t="shared" ca="1" si="18"/>
        <v>0</v>
      </c>
      <c r="N39" s="353" t="b">
        <f t="shared" ca="1" si="10"/>
        <v>0</v>
      </c>
      <c r="O39" s="142">
        <f ca="1">ROUNDDOWN(IF(NOT($N39),0,(MIN(INDEX(SC_EX_SSAIME,EXIDX),INDEX(SC_EA_SSBendPts, INDEX(SC_SSBaseYear,$F39)+1-SC_YearEpoch+2,1))*Lookup!$C$19+MAX(MIN(INDEX(SC_EX_SSAIME,EXIDX),INDEX(SC_EA_SSBendPts, INDEX(SC_SSBaseYear,$F39)+1-SC_YearEpoch+2,2))-INDEX(SC_EA_SSBendPts, INDEX(SC_SSBaseYear,$F39)+1-SC_YearEpoch+2,1),0)*Lookup!$C$20+MAX(INDEX(SC_EX_SSAIME,EXIDX)-INDEX(SC_EA_SSBendPts, INDEX(SC_SSBaseYear,$F39)+1-SC_YearEpoch+2,2),0)*Lookup!$C$21)/INDEX(SC_EX_SSIDXCOLA,EXIDX)),1)</f>
        <v>0</v>
      </c>
      <c r="P39" s="107">
        <f t="shared" ca="1" si="11"/>
        <v>0</v>
      </c>
      <c r="Q39" s="107">
        <f t="shared" ca="1" si="12"/>
        <v>0</v>
      </c>
      <c r="R39" s="107">
        <f t="shared" ca="1" si="13"/>
        <v>0</v>
      </c>
      <c r="S39" s="107">
        <f t="shared" ca="1" si="14"/>
        <v>0</v>
      </c>
      <c r="T39" s="388">
        <f t="shared" ca="1" si="15"/>
        <v>0</v>
      </c>
      <c r="U39" s="110">
        <f t="shared" ca="1" si="16"/>
        <v>0</v>
      </c>
      <c r="V39" s="634"/>
      <c r="W39" s="618"/>
      <c r="X39" s="15"/>
    </row>
    <row r="40" spans="2:29" x14ac:dyDescent="0.25">
      <c r="B40" s="65">
        <f ca="1">B38+1</f>
        <v>2037</v>
      </c>
      <c r="C40" s="76" t="s">
        <v>741</v>
      </c>
      <c r="D40" s="146" t="str">
        <f t="shared" ref="D40:D71" si="33">INDEX(SP_Initials,F40)</f>
        <v/>
      </c>
      <c r="E40" s="77">
        <f t="shared" si="2"/>
        <v>0</v>
      </c>
      <c r="F40" s="77">
        <f t="shared" si="3"/>
        <v>1</v>
      </c>
      <c r="G40" s="76">
        <f t="shared" si="4"/>
        <v>1</v>
      </c>
      <c r="H40" s="76">
        <f t="shared" si="5"/>
        <v>0</v>
      </c>
      <c r="I40" s="76">
        <f t="shared" si="6"/>
        <v>0</v>
      </c>
      <c r="J40" s="331">
        <f t="shared" ca="1" si="7"/>
        <v>0</v>
      </c>
      <c r="K40" s="331">
        <f t="shared" ca="1" si="8"/>
        <v>0</v>
      </c>
      <c r="L40" s="331">
        <f t="shared" ca="1" si="9"/>
        <v>0</v>
      </c>
      <c r="M40" s="355">
        <f t="shared" ca="1" si="18"/>
        <v>0</v>
      </c>
      <c r="N40" s="352" t="b">
        <f t="shared" ca="1" si="10"/>
        <v>0</v>
      </c>
      <c r="O40" s="120">
        <f ca="1">ROUNDDOWN(IF(NOT($N40),0,(MIN(INDEX(SC_EX_SSAIME,EXIDX),INDEX(SC_EA_SSBendPts, INDEX(SC_SSBaseYear,$F40)+1-SC_YearEpoch+2,1))*Lookup!$C$19+MAX(MIN(INDEX(SC_EX_SSAIME,EXIDX),INDEX(SC_EA_SSBendPts, INDEX(SC_SSBaseYear,$F40)+1-SC_YearEpoch+2,2))-INDEX(SC_EA_SSBendPts, INDEX(SC_SSBaseYear,$F40)+1-SC_YearEpoch+2,1),0)*Lookup!$C$20+MAX(INDEX(SC_EX_SSAIME,EXIDX)-INDEX(SC_EA_SSBendPts, INDEX(SC_SSBaseYear,$F40)+1-SC_YearEpoch+2,2),0)*Lookup!$C$21)/INDEX(SC_EX_SSIDXCOLA,EXIDX)),1)</f>
        <v>0</v>
      </c>
      <c r="P40" s="488">
        <f t="shared" ca="1" si="11"/>
        <v>0</v>
      </c>
      <c r="Q40" s="70">
        <f t="shared" ca="1" si="12"/>
        <v>0</v>
      </c>
      <c r="R40" s="344">
        <f t="shared" ca="1" si="13"/>
        <v>0</v>
      </c>
      <c r="S40" s="347">
        <f t="shared" ca="1" si="14"/>
        <v>0</v>
      </c>
      <c r="T40" s="288">
        <f t="shared" ca="1" si="15"/>
        <v>0</v>
      </c>
      <c r="U40" s="383">
        <f t="shared" ca="1" si="16"/>
        <v>0</v>
      </c>
      <c r="V40" s="634">
        <f t="shared" ref="V40" ca="1" si="34">SUM($T40:$T41)</f>
        <v>0</v>
      </c>
      <c r="W40" s="618">
        <f ca="1">SUMPRODUCT($U40:$U41, --($E40:$E41&lt;&gt;0))</f>
        <v>0</v>
      </c>
      <c r="X40" s="15"/>
    </row>
    <row r="41" spans="2:29" x14ac:dyDescent="0.25">
      <c r="B41" s="86">
        <f t="shared" ca="1" si="17"/>
        <v>2037</v>
      </c>
      <c r="C41" s="80" t="s">
        <v>741</v>
      </c>
      <c r="D41" s="149" t="str">
        <f t="shared" si="33"/>
        <v/>
      </c>
      <c r="E41" s="81">
        <f t="shared" si="2"/>
        <v>0</v>
      </c>
      <c r="F41" s="81">
        <f t="shared" si="3"/>
        <v>2</v>
      </c>
      <c r="G41" s="82">
        <f t="shared" si="4"/>
        <v>-1</v>
      </c>
      <c r="H41" s="82">
        <f t="shared" si="5"/>
        <v>0</v>
      </c>
      <c r="I41" s="82">
        <f t="shared" si="6"/>
        <v>0</v>
      </c>
      <c r="J41" s="349">
        <f t="shared" ca="1" si="7"/>
        <v>0</v>
      </c>
      <c r="K41" s="349">
        <f t="shared" ca="1" si="8"/>
        <v>0</v>
      </c>
      <c r="L41" s="349">
        <f t="shared" ca="1" si="9"/>
        <v>0</v>
      </c>
      <c r="M41" s="356">
        <f t="shared" ca="1" si="18"/>
        <v>0</v>
      </c>
      <c r="N41" s="353" t="b">
        <f t="shared" ca="1" si="10"/>
        <v>0</v>
      </c>
      <c r="O41" s="142">
        <f ca="1">ROUNDDOWN(IF(NOT($N41),0,(MIN(INDEX(SC_EX_SSAIME,EXIDX),INDEX(SC_EA_SSBendPts, INDEX(SC_SSBaseYear,$F41)+1-SC_YearEpoch+2,1))*Lookup!$C$19+MAX(MIN(INDEX(SC_EX_SSAIME,EXIDX),INDEX(SC_EA_SSBendPts, INDEX(SC_SSBaseYear,$F41)+1-SC_YearEpoch+2,2))-INDEX(SC_EA_SSBendPts, INDEX(SC_SSBaseYear,$F41)+1-SC_YearEpoch+2,1),0)*Lookup!$C$20+MAX(INDEX(SC_EX_SSAIME,EXIDX)-INDEX(SC_EA_SSBendPts, INDEX(SC_SSBaseYear,$F41)+1-SC_YearEpoch+2,2),0)*Lookup!$C$21)/INDEX(SC_EX_SSIDXCOLA,EXIDX)),1)</f>
        <v>0</v>
      </c>
      <c r="P41" s="107">
        <f t="shared" ca="1" si="11"/>
        <v>0</v>
      </c>
      <c r="Q41" s="107">
        <f t="shared" ca="1" si="12"/>
        <v>0</v>
      </c>
      <c r="R41" s="107">
        <f t="shared" ca="1" si="13"/>
        <v>0</v>
      </c>
      <c r="S41" s="107">
        <f t="shared" ca="1" si="14"/>
        <v>0</v>
      </c>
      <c r="T41" s="388">
        <f t="shared" ca="1" si="15"/>
        <v>0</v>
      </c>
      <c r="U41" s="110">
        <f t="shared" ca="1" si="16"/>
        <v>0</v>
      </c>
      <c r="V41" s="634"/>
      <c r="W41" s="618"/>
      <c r="X41" s="15"/>
      <c r="Z41" s="8"/>
    </row>
    <row r="42" spans="2:29" x14ac:dyDescent="0.25">
      <c r="B42" s="65">
        <f ca="1">B40+1</f>
        <v>2038</v>
      </c>
      <c r="C42" s="76" t="s">
        <v>741</v>
      </c>
      <c r="D42" s="146" t="str">
        <f t="shared" si="33"/>
        <v/>
      </c>
      <c r="E42" s="77">
        <f t="shared" si="2"/>
        <v>0</v>
      </c>
      <c r="F42" s="77">
        <f t="shared" si="3"/>
        <v>1</v>
      </c>
      <c r="G42" s="76">
        <f t="shared" si="4"/>
        <v>1</v>
      </c>
      <c r="H42" s="76">
        <f t="shared" ref="H42:H73" si="35">IF(INDEX(SC_ShowRetireatee,$F42),IF($B42&lt;YEAR(INDEX(SP_BirthDate,$F42)),0,$B42-YEAR(INDEX(SP_BirthDate,$F42))),0)</f>
        <v>0</v>
      </c>
      <c r="I42" s="76">
        <f t="shared" ref="I42:I73" si="36">IF(INDEX(SC_ShowRetireatee,$F42),IF($B42&gt;(YEAR(INDEX(SP_BirthDate,$F42))+INDEX(SP_LifeExp,$F42)),0,$H42),0)</f>
        <v>0</v>
      </c>
      <c r="J42" s="331">
        <f t="shared" ref="J42:J73" ca="1" si="37">IF(OR(INDEX(SC_SSDFD,$F42)=0,$B42&lt;YEAR(INDEX(SC_SSDFD,$F42)),$H42&gt;INDEX(SP_LifeExp,$F42)),0,IF($B42=YEAR(INDEX(SC_SSDFD,$F42)),YEARFRAC(INDEX(SC_SSDFD,$F42), DATE($B42+1,1,1)),1))</f>
        <v>0</v>
      </c>
      <c r="K42" s="331">
        <f t="shared" ref="K42:K73" ca="1" si="38">IF(OR(INDEX(SC_SSABFD,$F42)=0,$B42&lt;YEAR(INDEX(SC_SSABFD,$F42)),$H42&gt;=INDEX(SC_SurvivingAge,$F42),$H42&gt;INDEX(SP_LifeExp,$F42)),0,IF($B42=YEAR(INDEX(SC_SSABFD,$F42)),YEARFRAC(INDEX(SC_SSABFD,$F42), DATE($B42+1,1,1)),1))</f>
        <v>0</v>
      </c>
      <c r="L42" s="331">
        <f t="shared" ref="L42:L73" ca="1" si="39">IF(OR(INDEX(SC_SSABFD,$F42)=0,$B42&lt;YEAR(INDEX(SC_SSABFD,$F42)),$H42&lt;INDEX(SC_SurvivingAge,$F42),$H42&gt;INDEX(SP_LifeExp,$F42)),0,IF($B42=YEAR(INDEX(SC_SSABFD,$F42)),YEARFRAC(INDEX(SC_SSABFD,$F42), DATE($B42+1,1,1)),1))</f>
        <v>0</v>
      </c>
      <c r="M42" s="355">
        <f t="shared" ca="1" si="18"/>
        <v>0</v>
      </c>
      <c r="N42" s="352" t="b">
        <f t="shared" ca="1" si="10"/>
        <v>0</v>
      </c>
      <c r="O42" s="120">
        <f ca="1">ROUNDDOWN(IF(NOT($N42),0,(MIN(INDEX(SC_EX_SSAIME,EXIDX),INDEX(SC_EA_SSBendPts, INDEX(SC_SSBaseYear,$F42)+1-SC_YearEpoch+2,1))*Lookup!$C$19+MAX(MIN(INDEX(SC_EX_SSAIME,EXIDX),INDEX(SC_EA_SSBendPts, INDEX(SC_SSBaseYear,$F42)+1-SC_YearEpoch+2,2))-INDEX(SC_EA_SSBendPts, INDEX(SC_SSBaseYear,$F42)+1-SC_YearEpoch+2,1),0)*Lookup!$C$20+MAX(INDEX(SC_EX_SSAIME,EXIDX)-INDEX(SC_EA_SSBendPts, INDEX(SC_SSBaseYear,$F42)+1-SC_YearEpoch+2,2),0)*Lookup!$C$21)/INDEX(SC_EX_SSIDXCOLA,EXIDX)),1)</f>
        <v>0</v>
      </c>
      <c r="P42" s="488">
        <f t="shared" ref="P42:P73" ca="1" si="40">ROUNDDOWN($O42*INDEX(SC_SSPBPct,$F42),1)</f>
        <v>0</v>
      </c>
      <c r="Q42" s="70">
        <f t="shared" ref="Q42:Q73" ca="1" si="41">ROUNDDOWN(IF(NOT($N42),0,MAX(OFFSET($O42,$G42,0)/2-$O42,0)*INDEX(SC_SSABPct,$F42)),1)</f>
        <v>0</v>
      </c>
      <c r="R42" s="344">
        <f t="shared" ref="R42:R73" ca="1" si="42">ROUNDDOWN(IF(NOT($N42),0,MAX(OFFSET($O42,$G42,0)*INDEX(SC_SSSBPct,$F42),0)),1)</f>
        <v>0</v>
      </c>
      <c r="S42" s="347">
        <f t="shared" ca="1" si="14"/>
        <v>0</v>
      </c>
      <c r="T42" s="288">
        <f t="shared" ref="T42:T73" ca="1" si="43">IF(OR($I42=0,NOT($N42)),0,SUMPRODUCT(SUBTOTAL(6,OFFSET(LT_AnnuityLifeTable,MAX($I42,INDEX(SC_SSFRA,$F42)),($F42-1)*3+2,OFFSET(LT_AnnuityLifeTable,1,0,LT_AnnuityMaxAge-MAX($I42,INDEX(SC_SSFRA,$F42))+1,1),1)))*O42*12)</f>
        <v>0</v>
      </c>
      <c r="U42" s="383">
        <f t="shared" ref="U42:U73" ca="1" si="44">SUMPRODUCT($P42:$S42,ABS($J42:$M42))*12</f>
        <v>0</v>
      </c>
      <c r="V42" s="634">
        <f t="shared" ref="V42" ca="1" si="45">SUM($T42:$T43)</f>
        <v>0</v>
      </c>
      <c r="W42" s="618">
        <f ca="1">SUMPRODUCT($U42:$U43, --($E42:$E43&lt;&gt;0))</f>
        <v>0</v>
      </c>
      <c r="X42" s="15"/>
      <c r="Z42" s="8"/>
    </row>
    <row r="43" spans="2:29" x14ac:dyDescent="0.25">
      <c r="B43" s="86">
        <f t="shared" ca="1" si="17"/>
        <v>2038</v>
      </c>
      <c r="C43" s="80" t="s">
        <v>741</v>
      </c>
      <c r="D43" s="149" t="str">
        <f t="shared" si="33"/>
        <v/>
      </c>
      <c r="E43" s="81">
        <f t="shared" si="2"/>
        <v>0</v>
      </c>
      <c r="F43" s="81">
        <f t="shared" si="3"/>
        <v>2</v>
      </c>
      <c r="G43" s="82">
        <f t="shared" si="4"/>
        <v>-1</v>
      </c>
      <c r="H43" s="82">
        <f t="shared" si="35"/>
        <v>0</v>
      </c>
      <c r="I43" s="82">
        <f t="shared" si="36"/>
        <v>0</v>
      </c>
      <c r="J43" s="349">
        <f t="shared" ca="1" si="37"/>
        <v>0</v>
      </c>
      <c r="K43" s="349">
        <f t="shared" ca="1" si="38"/>
        <v>0</v>
      </c>
      <c r="L43" s="349">
        <f t="shared" ca="1" si="39"/>
        <v>0</v>
      </c>
      <c r="M43" s="356">
        <f t="shared" ca="1" si="18"/>
        <v>0</v>
      </c>
      <c r="N43" s="353" t="b">
        <f t="shared" ca="1" si="10"/>
        <v>0</v>
      </c>
      <c r="O43" s="142">
        <f ca="1">ROUNDDOWN(IF(NOT($N43),0,(MIN(INDEX(SC_EX_SSAIME,EXIDX),INDEX(SC_EA_SSBendPts, INDEX(SC_SSBaseYear,$F43)+1-SC_YearEpoch+2,1))*Lookup!$C$19+MAX(MIN(INDEX(SC_EX_SSAIME,EXIDX),INDEX(SC_EA_SSBendPts, INDEX(SC_SSBaseYear,$F43)+1-SC_YearEpoch+2,2))-INDEX(SC_EA_SSBendPts, INDEX(SC_SSBaseYear,$F43)+1-SC_YearEpoch+2,1),0)*Lookup!$C$20+MAX(INDEX(SC_EX_SSAIME,EXIDX)-INDEX(SC_EA_SSBendPts, INDEX(SC_SSBaseYear,$F43)+1-SC_YearEpoch+2,2),0)*Lookup!$C$21)/INDEX(SC_EX_SSIDXCOLA,EXIDX)),1)</f>
        <v>0</v>
      </c>
      <c r="P43" s="107">
        <f t="shared" ca="1" si="40"/>
        <v>0</v>
      </c>
      <c r="Q43" s="107">
        <f t="shared" ca="1" si="41"/>
        <v>0</v>
      </c>
      <c r="R43" s="107">
        <f t="shared" ca="1" si="42"/>
        <v>0</v>
      </c>
      <c r="S43" s="107">
        <f t="shared" ca="1" si="14"/>
        <v>0</v>
      </c>
      <c r="T43" s="388">
        <f t="shared" ca="1" si="43"/>
        <v>0</v>
      </c>
      <c r="U43" s="110">
        <f t="shared" ca="1" si="44"/>
        <v>0</v>
      </c>
      <c r="V43" s="634"/>
      <c r="W43" s="618"/>
      <c r="X43" s="15"/>
      <c r="Z43" s="8"/>
    </row>
    <row r="44" spans="2:29" x14ac:dyDescent="0.25">
      <c r="B44" s="65">
        <f ca="1">B42+1</f>
        <v>2039</v>
      </c>
      <c r="C44" s="76" t="s">
        <v>741</v>
      </c>
      <c r="D44" s="146" t="str">
        <f t="shared" si="33"/>
        <v/>
      </c>
      <c r="E44" s="77">
        <f t="shared" si="2"/>
        <v>0</v>
      </c>
      <c r="F44" s="77">
        <f t="shared" si="3"/>
        <v>1</v>
      </c>
      <c r="G44" s="76">
        <f t="shared" si="4"/>
        <v>1</v>
      </c>
      <c r="H44" s="76">
        <f t="shared" si="35"/>
        <v>0</v>
      </c>
      <c r="I44" s="76">
        <f t="shared" si="36"/>
        <v>0</v>
      </c>
      <c r="J44" s="331">
        <f t="shared" ca="1" si="37"/>
        <v>0</v>
      </c>
      <c r="K44" s="331">
        <f t="shared" ca="1" si="38"/>
        <v>0</v>
      </c>
      <c r="L44" s="331">
        <f t="shared" ca="1" si="39"/>
        <v>0</v>
      </c>
      <c r="M44" s="355">
        <f t="shared" ca="1" si="18"/>
        <v>0</v>
      </c>
      <c r="N44" s="352" t="b">
        <f t="shared" ca="1" si="10"/>
        <v>0</v>
      </c>
      <c r="O44" s="120">
        <f ca="1">ROUNDDOWN(IF(NOT($N44),0,(MIN(INDEX(SC_EX_SSAIME,EXIDX),INDEX(SC_EA_SSBendPts, INDEX(SC_SSBaseYear,$F44)+1-SC_YearEpoch+2,1))*Lookup!$C$19+MAX(MIN(INDEX(SC_EX_SSAIME,EXIDX),INDEX(SC_EA_SSBendPts, INDEX(SC_SSBaseYear,$F44)+1-SC_YearEpoch+2,2))-INDEX(SC_EA_SSBendPts, INDEX(SC_SSBaseYear,$F44)+1-SC_YearEpoch+2,1),0)*Lookup!$C$20+MAX(INDEX(SC_EX_SSAIME,EXIDX)-INDEX(SC_EA_SSBendPts, INDEX(SC_SSBaseYear,$F44)+1-SC_YearEpoch+2,2),0)*Lookup!$C$21)/INDEX(SC_EX_SSIDXCOLA,EXIDX)),1)</f>
        <v>0</v>
      </c>
      <c r="P44" s="488">
        <f t="shared" ca="1" si="40"/>
        <v>0</v>
      </c>
      <c r="Q44" s="70">
        <f t="shared" ca="1" si="41"/>
        <v>0</v>
      </c>
      <c r="R44" s="344">
        <f t="shared" ca="1" si="42"/>
        <v>0</v>
      </c>
      <c r="S44" s="347">
        <f t="shared" ca="1" si="14"/>
        <v>0</v>
      </c>
      <c r="T44" s="288">
        <f t="shared" ca="1" si="43"/>
        <v>0</v>
      </c>
      <c r="U44" s="383">
        <f t="shared" ca="1" si="44"/>
        <v>0</v>
      </c>
      <c r="V44" s="634">
        <f t="shared" ref="V44" ca="1" si="46">SUM($T44:$T45)</f>
        <v>0</v>
      </c>
      <c r="W44" s="618">
        <f ca="1">SUMPRODUCT($U44:$U45, --($E44:$E45&lt;&gt;0))</f>
        <v>0</v>
      </c>
      <c r="X44" s="15"/>
      <c r="Z44" s="8"/>
    </row>
    <row r="45" spans="2:29" x14ac:dyDescent="0.25">
      <c r="B45" s="86">
        <f t="shared" ca="1" si="17"/>
        <v>2039</v>
      </c>
      <c r="C45" s="80" t="s">
        <v>741</v>
      </c>
      <c r="D45" s="149" t="str">
        <f t="shared" si="33"/>
        <v/>
      </c>
      <c r="E45" s="81">
        <f t="shared" si="2"/>
        <v>0</v>
      </c>
      <c r="F45" s="81">
        <f t="shared" si="3"/>
        <v>2</v>
      </c>
      <c r="G45" s="82">
        <f t="shared" si="4"/>
        <v>-1</v>
      </c>
      <c r="H45" s="82">
        <f t="shared" si="35"/>
        <v>0</v>
      </c>
      <c r="I45" s="82">
        <f t="shared" si="36"/>
        <v>0</v>
      </c>
      <c r="J45" s="349">
        <f t="shared" ca="1" si="37"/>
        <v>0</v>
      </c>
      <c r="K45" s="349">
        <f t="shared" ca="1" si="38"/>
        <v>0</v>
      </c>
      <c r="L45" s="349">
        <f t="shared" ca="1" si="39"/>
        <v>0</v>
      </c>
      <c r="M45" s="356">
        <f t="shared" ca="1" si="18"/>
        <v>0</v>
      </c>
      <c r="N45" s="353" t="b">
        <f t="shared" ca="1" si="10"/>
        <v>0</v>
      </c>
      <c r="O45" s="142">
        <f ca="1">ROUNDDOWN(IF(NOT($N45),0,(MIN(INDEX(SC_EX_SSAIME,EXIDX),INDEX(SC_EA_SSBendPts, INDEX(SC_SSBaseYear,$F45)+1-SC_YearEpoch+2,1))*Lookup!$C$19+MAX(MIN(INDEX(SC_EX_SSAIME,EXIDX),INDEX(SC_EA_SSBendPts, INDEX(SC_SSBaseYear,$F45)+1-SC_YearEpoch+2,2))-INDEX(SC_EA_SSBendPts, INDEX(SC_SSBaseYear,$F45)+1-SC_YearEpoch+2,1),0)*Lookup!$C$20+MAX(INDEX(SC_EX_SSAIME,EXIDX)-INDEX(SC_EA_SSBendPts, INDEX(SC_SSBaseYear,$F45)+1-SC_YearEpoch+2,2),0)*Lookup!$C$21)/INDEX(SC_EX_SSIDXCOLA,EXIDX)),1)</f>
        <v>0</v>
      </c>
      <c r="P45" s="107">
        <f t="shared" ca="1" si="40"/>
        <v>0</v>
      </c>
      <c r="Q45" s="107">
        <f t="shared" ca="1" si="41"/>
        <v>0</v>
      </c>
      <c r="R45" s="107">
        <f t="shared" ca="1" si="42"/>
        <v>0</v>
      </c>
      <c r="S45" s="107">
        <f t="shared" ca="1" si="14"/>
        <v>0</v>
      </c>
      <c r="T45" s="388">
        <f t="shared" ca="1" si="43"/>
        <v>0</v>
      </c>
      <c r="U45" s="110">
        <f t="shared" ca="1" si="44"/>
        <v>0</v>
      </c>
      <c r="V45" s="634"/>
      <c r="W45" s="618"/>
      <c r="X45" s="15"/>
      <c r="Z45" s="8"/>
    </row>
    <row r="46" spans="2:29" x14ac:dyDescent="0.25">
      <c r="B46" s="65">
        <f ca="1">B44+1</f>
        <v>2040</v>
      </c>
      <c r="C46" s="76" t="s">
        <v>741</v>
      </c>
      <c r="D46" s="146" t="str">
        <f t="shared" si="33"/>
        <v/>
      </c>
      <c r="E46" s="77">
        <f t="shared" si="2"/>
        <v>0</v>
      </c>
      <c r="F46" s="77">
        <f t="shared" si="3"/>
        <v>1</v>
      </c>
      <c r="G46" s="76">
        <f t="shared" si="4"/>
        <v>1</v>
      </c>
      <c r="H46" s="76">
        <f t="shared" si="35"/>
        <v>0</v>
      </c>
      <c r="I46" s="76">
        <f t="shared" si="36"/>
        <v>0</v>
      </c>
      <c r="J46" s="331">
        <f t="shared" ca="1" si="37"/>
        <v>0</v>
      </c>
      <c r="K46" s="331">
        <f t="shared" ca="1" si="38"/>
        <v>0</v>
      </c>
      <c r="L46" s="331">
        <f t="shared" ca="1" si="39"/>
        <v>0</v>
      </c>
      <c r="M46" s="355">
        <f t="shared" ca="1" si="18"/>
        <v>0</v>
      </c>
      <c r="N46" s="352" t="b">
        <f t="shared" ca="1" si="10"/>
        <v>0</v>
      </c>
      <c r="O46" s="120">
        <f ca="1">ROUNDDOWN(IF(NOT($N46),0,(MIN(INDEX(SC_EX_SSAIME,EXIDX),INDEX(SC_EA_SSBendPts, INDEX(SC_SSBaseYear,$F46)+1-SC_YearEpoch+2,1))*Lookup!$C$19+MAX(MIN(INDEX(SC_EX_SSAIME,EXIDX),INDEX(SC_EA_SSBendPts, INDEX(SC_SSBaseYear,$F46)+1-SC_YearEpoch+2,2))-INDEX(SC_EA_SSBendPts, INDEX(SC_SSBaseYear,$F46)+1-SC_YearEpoch+2,1),0)*Lookup!$C$20+MAX(INDEX(SC_EX_SSAIME,EXIDX)-INDEX(SC_EA_SSBendPts, INDEX(SC_SSBaseYear,$F46)+1-SC_YearEpoch+2,2),0)*Lookup!$C$21)/INDEX(SC_EX_SSIDXCOLA,EXIDX)),1)</f>
        <v>0</v>
      </c>
      <c r="P46" s="488">
        <f t="shared" ca="1" si="40"/>
        <v>0</v>
      </c>
      <c r="Q46" s="70">
        <f t="shared" ca="1" si="41"/>
        <v>0</v>
      </c>
      <c r="R46" s="344">
        <f t="shared" ca="1" si="42"/>
        <v>0</v>
      </c>
      <c r="S46" s="347">
        <f t="shared" ca="1" si="14"/>
        <v>0</v>
      </c>
      <c r="T46" s="288">
        <f t="shared" ca="1" si="43"/>
        <v>0</v>
      </c>
      <c r="U46" s="383">
        <f t="shared" ca="1" si="44"/>
        <v>0</v>
      </c>
      <c r="V46" s="634">
        <f t="shared" ref="V46" ca="1" si="47">SUM($T46:$T47)</f>
        <v>0</v>
      </c>
      <c r="W46" s="618">
        <f ca="1">SUMPRODUCT($U46:$U47, --($E46:$E47&lt;&gt;0))</f>
        <v>0</v>
      </c>
      <c r="X46" s="15"/>
      <c r="Z46" s="8"/>
    </row>
    <row r="47" spans="2:29" x14ac:dyDescent="0.25">
      <c r="B47" s="86">
        <f t="shared" ca="1" si="17"/>
        <v>2040</v>
      </c>
      <c r="C47" s="80" t="s">
        <v>741</v>
      </c>
      <c r="D47" s="149" t="str">
        <f t="shared" si="33"/>
        <v/>
      </c>
      <c r="E47" s="81">
        <f t="shared" si="2"/>
        <v>0</v>
      </c>
      <c r="F47" s="81">
        <f t="shared" si="3"/>
        <v>2</v>
      </c>
      <c r="G47" s="82">
        <f t="shared" si="4"/>
        <v>-1</v>
      </c>
      <c r="H47" s="82">
        <f t="shared" si="35"/>
        <v>0</v>
      </c>
      <c r="I47" s="82">
        <f t="shared" si="36"/>
        <v>0</v>
      </c>
      <c r="J47" s="349">
        <f t="shared" ca="1" si="37"/>
        <v>0</v>
      </c>
      <c r="K47" s="349">
        <f t="shared" ca="1" si="38"/>
        <v>0</v>
      </c>
      <c r="L47" s="349">
        <f t="shared" ca="1" si="39"/>
        <v>0</v>
      </c>
      <c r="M47" s="356">
        <f t="shared" ca="1" si="18"/>
        <v>0</v>
      </c>
      <c r="N47" s="353" t="b">
        <f t="shared" ca="1" si="10"/>
        <v>0</v>
      </c>
      <c r="O47" s="142">
        <f ca="1">ROUNDDOWN(IF(NOT($N47),0,(MIN(INDEX(SC_EX_SSAIME,EXIDX),INDEX(SC_EA_SSBendPts, INDEX(SC_SSBaseYear,$F47)+1-SC_YearEpoch+2,1))*Lookup!$C$19+MAX(MIN(INDEX(SC_EX_SSAIME,EXIDX),INDEX(SC_EA_SSBendPts, INDEX(SC_SSBaseYear,$F47)+1-SC_YearEpoch+2,2))-INDEX(SC_EA_SSBendPts, INDEX(SC_SSBaseYear,$F47)+1-SC_YearEpoch+2,1),0)*Lookup!$C$20+MAX(INDEX(SC_EX_SSAIME,EXIDX)-INDEX(SC_EA_SSBendPts, INDEX(SC_SSBaseYear,$F47)+1-SC_YearEpoch+2,2),0)*Lookup!$C$21)/INDEX(SC_EX_SSIDXCOLA,EXIDX)),1)</f>
        <v>0</v>
      </c>
      <c r="P47" s="107">
        <f t="shared" ca="1" si="40"/>
        <v>0</v>
      </c>
      <c r="Q47" s="107">
        <f t="shared" ca="1" si="41"/>
        <v>0</v>
      </c>
      <c r="R47" s="107">
        <f t="shared" ca="1" si="42"/>
        <v>0</v>
      </c>
      <c r="S47" s="107">
        <f t="shared" ca="1" si="14"/>
        <v>0</v>
      </c>
      <c r="T47" s="388">
        <f t="shared" ca="1" si="43"/>
        <v>0</v>
      </c>
      <c r="U47" s="110">
        <f t="shared" ca="1" si="44"/>
        <v>0</v>
      </c>
      <c r="V47" s="634"/>
      <c r="W47" s="618"/>
      <c r="X47" s="15"/>
      <c r="Y47" s="15"/>
      <c r="Z47" s="8"/>
    </row>
    <row r="48" spans="2:29" x14ac:dyDescent="0.25">
      <c r="B48" s="65">
        <f ca="1">B46+1</f>
        <v>2041</v>
      </c>
      <c r="C48" s="76" t="s">
        <v>741</v>
      </c>
      <c r="D48" s="146" t="str">
        <f t="shared" si="33"/>
        <v/>
      </c>
      <c r="E48" s="77">
        <f t="shared" si="2"/>
        <v>0</v>
      </c>
      <c r="F48" s="77">
        <f t="shared" si="3"/>
        <v>1</v>
      </c>
      <c r="G48" s="76">
        <f t="shared" si="4"/>
        <v>1</v>
      </c>
      <c r="H48" s="76">
        <f t="shared" si="35"/>
        <v>0</v>
      </c>
      <c r="I48" s="76">
        <f t="shared" si="36"/>
        <v>0</v>
      </c>
      <c r="J48" s="331">
        <f t="shared" ca="1" si="37"/>
        <v>0</v>
      </c>
      <c r="K48" s="331">
        <f t="shared" ca="1" si="38"/>
        <v>0</v>
      </c>
      <c r="L48" s="331">
        <f t="shared" ca="1" si="39"/>
        <v>0</v>
      </c>
      <c r="M48" s="355">
        <f t="shared" ca="1" si="18"/>
        <v>0</v>
      </c>
      <c r="N48" s="352" t="b">
        <f t="shared" ca="1" si="10"/>
        <v>0</v>
      </c>
      <c r="O48" s="120">
        <f ca="1">ROUNDDOWN(IF(NOT($N48),0,(MIN(INDEX(SC_EX_SSAIME,EXIDX),INDEX(SC_EA_SSBendPts, INDEX(SC_SSBaseYear,$F48)+1-SC_YearEpoch+2,1))*Lookup!$C$19+MAX(MIN(INDEX(SC_EX_SSAIME,EXIDX),INDEX(SC_EA_SSBendPts, INDEX(SC_SSBaseYear,$F48)+1-SC_YearEpoch+2,2))-INDEX(SC_EA_SSBendPts, INDEX(SC_SSBaseYear,$F48)+1-SC_YearEpoch+2,1),0)*Lookup!$C$20+MAX(INDEX(SC_EX_SSAIME,EXIDX)-INDEX(SC_EA_SSBendPts, INDEX(SC_SSBaseYear,$F48)+1-SC_YearEpoch+2,2),0)*Lookup!$C$21)/INDEX(SC_EX_SSIDXCOLA,EXIDX)),1)</f>
        <v>0</v>
      </c>
      <c r="P48" s="488">
        <f t="shared" ca="1" si="40"/>
        <v>0</v>
      </c>
      <c r="Q48" s="70">
        <f t="shared" ca="1" si="41"/>
        <v>0</v>
      </c>
      <c r="R48" s="344">
        <f t="shared" ca="1" si="42"/>
        <v>0</v>
      </c>
      <c r="S48" s="347">
        <f t="shared" ca="1" si="14"/>
        <v>0</v>
      </c>
      <c r="T48" s="288">
        <f t="shared" ca="1" si="43"/>
        <v>0</v>
      </c>
      <c r="U48" s="383">
        <f t="shared" ca="1" si="44"/>
        <v>0</v>
      </c>
      <c r="V48" s="634">
        <f t="shared" ref="V48" ca="1" si="48">SUM($T48:$T49)</f>
        <v>0</v>
      </c>
      <c r="W48" s="618">
        <f ca="1">SUMPRODUCT($U48:$U49, --($E48:$E49&lt;&gt;0))</f>
        <v>0</v>
      </c>
      <c r="X48" s="15"/>
      <c r="Z48" s="8"/>
      <c r="AB48" s="15"/>
      <c r="AC48" s="15"/>
    </row>
    <row r="49" spans="2:26" x14ac:dyDescent="0.25">
      <c r="B49" s="86">
        <f t="shared" ca="1" si="17"/>
        <v>2041</v>
      </c>
      <c r="C49" s="80" t="s">
        <v>741</v>
      </c>
      <c r="D49" s="149" t="str">
        <f t="shared" si="33"/>
        <v/>
      </c>
      <c r="E49" s="81">
        <f t="shared" si="2"/>
        <v>0</v>
      </c>
      <c r="F49" s="81">
        <f t="shared" si="3"/>
        <v>2</v>
      </c>
      <c r="G49" s="82">
        <f t="shared" si="4"/>
        <v>-1</v>
      </c>
      <c r="H49" s="82">
        <f t="shared" si="35"/>
        <v>0</v>
      </c>
      <c r="I49" s="82">
        <f t="shared" si="36"/>
        <v>0</v>
      </c>
      <c r="J49" s="349">
        <f t="shared" ca="1" si="37"/>
        <v>0</v>
      </c>
      <c r="K49" s="349">
        <f t="shared" ca="1" si="38"/>
        <v>0</v>
      </c>
      <c r="L49" s="349">
        <f t="shared" ca="1" si="39"/>
        <v>0</v>
      </c>
      <c r="M49" s="356">
        <f t="shared" ca="1" si="18"/>
        <v>0</v>
      </c>
      <c r="N49" s="353" t="b">
        <f t="shared" ca="1" si="10"/>
        <v>0</v>
      </c>
      <c r="O49" s="142">
        <f ca="1">ROUNDDOWN(IF(NOT($N49),0,(MIN(INDEX(SC_EX_SSAIME,EXIDX),INDEX(SC_EA_SSBendPts, INDEX(SC_SSBaseYear,$F49)+1-SC_YearEpoch+2,1))*Lookup!$C$19+MAX(MIN(INDEX(SC_EX_SSAIME,EXIDX),INDEX(SC_EA_SSBendPts, INDEX(SC_SSBaseYear,$F49)+1-SC_YearEpoch+2,2))-INDEX(SC_EA_SSBendPts, INDEX(SC_SSBaseYear,$F49)+1-SC_YearEpoch+2,1),0)*Lookup!$C$20+MAX(INDEX(SC_EX_SSAIME,EXIDX)-INDEX(SC_EA_SSBendPts, INDEX(SC_SSBaseYear,$F49)+1-SC_YearEpoch+2,2),0)*Lookup!$C$21)/INDEX(SC_EX_SSIDXCOLA,EXIDX)),1)</f>
        <v>0</v>
      </c>
      <c r="P49" s="107">
        <f t="shared" ca="1" si="40"/>
        <v>0</v>
      </c>
      <c r="Q49" s="107">
        <f t="shared" ca="1" si="41"/>
        <v>0</v>
      </c>
      <c r="R49" s="107">
        <f t="shared" ca="1" si="42"/>
        <v>0</v>
      </c>
      <c r="S49" s="107">
        <f t="shared" ca="1" si="14"/>
        <v>0</v>
      </c>
      <c r="T49" s="388">
        <f t="shared" ca="1" si="43"/>
        <v>0</v>
      </c>
      <c r="U49" s="110">
        <f t="shared" ca="1" si="44"/>
        <v>0</v>
      </c>
      <c r="V49" s="634"/>
      <c r="W49" s="618"/>
      <c r="X49" s="15"/>
      <c r="Y49" s="15"/>
      <c r="Z49" s="8"/>
    </row>
    <row r="50" spans="2:26" x14ac:dyDescent="0.25">
      <c r="B50" s="65">
        <f ca="1">B48+1</f>
        <v>2042</v>
      </c>
      <c r="C50" s="76" t="s">
        <v>741</v>
      </c>
      <c r="D50" s="146" t="str">
        <f t="shared" si="33"/>
        <v/>
      </c>
      <c r="E50" s="77">
        <f t="shared" si="2"/>
        <v>0</v>
      </c>
      <c r="F50" s="77">
        <f t="shared" si="3"/>
        <v>1</v>
      </c>
      <c r="G50" s="76">
        <f t="shared" si="4"/>
        <v>1</v>
      </c>
      <c r="H50" s="76">
        <f t="shared" si="35"/>
        <v>0</v>
      </c>
      <c r="I50" s="76">
        <f t="shared" si="36"/>
        <v>0</v>
      </c>
      <c r="J50" s="331">
        <f t="shared" ca="1" si="37"/>
        <v>0</v>
      </c>
      <c r="K50" s="331">
        <f t="shared" ca="1" si="38"/>
        <v>0</v>
      </c>
      <c r="L50" s="331">
        <f t="shared" ca="1" si="39"/>
        <v>0</v>
      </c>
      <c r="M50" s="355">
        <f t="shared" ca="1" si="18"/>
        <v>0</v>
      </c>
      <c r="N50" s="352" t="b">
        <f t="shared" ca="1" si="10"/>
        <v>0</v>
      </c>
      <c r="O50" s="120">
        <f ca="1">ROUNDDOWN(IF(NOT($N50),0,(MIN(INDEX(SC_EX_SSAIME,EXIDX),INDEX(SC_EA_SSBendPts, INDEX(SC_SSBaseYear,$F50)+1-SC_YearEpoch+2,1))*Lookup!$C$19+MAX(MIN(INDEX(SC_EX_SSAIME,EXIDX),INDEX(SC_EA_SSBendPts, INDEX(SC_SSBaseYear,$F50)+1-SC_YearEpoch+2,2))-INDEX(SC_EA_SSBendPts, INDEX(SC_SSBaseYear,$F50)+1-SC_YearEpoch+2,1),0)*Lookup!$C$20+MAX(INDEX(SC_EX_SSAIME,EXIDX)-INDEX(SC_EA_SSBendPts, INDEX(SC_SSBaseYear,$F50)+1-SC_YearEpoch+2,2),0)*Lookup!$C$21)/INDEX(SC_EX_SSIDXCOLA,EXIDX)),1)</f>
        <v>0</v>
      </c>
      <c r="P50" s="488">
        <f t="shared" ca="1" si="40"/>
        <v>0</v>
      </c>
      <c r="Q50" s="70">
        <f t="shared" ca="1" si="41"/>
        <v>0</v>
      </c>
      <c r="R50" s="344">
        <f t="shared" ca="1" si="42"/>
        <v>0</v>
      </c>
      <c r="S50" s="347">
        <f t="shared" ca="1" si="14"/>
        <v>0</v>
      </c>
      <c r="T50" s="288">
        <f t="shared" ca="1" si="43"/>
        <v>0</v>
      </c>
      <c r="U50" s="383">
        <f t="shared" ca="1" si="44"/>
        <v>0</v>
      </c>
      <c r="V50" s="634">
        <f t="shared" ref="V50" ca="1" si="49">SUM($T50:$T51)</f>
        <v>0</v>
      </c>
      <c r="W50" s="618">
        <f ca="1">SUMPRODUCT($U50:$U51, --($E50:$E51&lt;&gt;0))</f>
        <v>0</v>
      </c>
      <c r="X50" s="15"/>
      <c r="Z50" s="8"/>
    </row>
    <row r="51" spans="2:26" x14ac:dyDescent="0.25">
      <c r="B51" s="86">
        <f t="shared" ca="1" si="17"/>
        <v>2042</v>
      </c>
      <c r="C51" s="80" t="s">
        <v>741</v>
      </c>
      <c r="D51" s="149" t="str">
        <f t="shared" si="33"/>
        <v/>
      </c>
      <c r="E51" s="81">
        <f t="shared" si="2"/>
        <v>0</v>
      </c>
      <c r="F51" s="81">
        <f t="shared" si="3"/>
        <v>2</v>
      </c>
      <c r="G51" s="82">
        <f t="shared" si="4"/>
        <v>-1</v>
      </c>
      <c r="H51" s="82">
        <f t="shared" si="35"/>
        <v>0</v>
      </c>
      <c r="I51" s="82">
        <f t="shared" si="36"/>
        <v>0</v>
      </c>
      <c r="J51" s="349">
        <f t="shared" ca="1" si="37"/>
        <v>0</v>
      </c>
      <c r="K51" s="349">
        <f t="shared" ca="1" si="38"/>
        <v>0</v>
      </c>
      <c r="L51" s="349">
        <f t="shared" ca="1" si="39"/>
        <v>0</v>
      </c>
      <c r="M51" s="356">
        <f t="shared" ca="1" si="18"/>
        <v>0</v>
      </c>
      <c r="N51" s="353" t="b">
        <f t="shared" ca="1" si="10"/>
        <v>0</v>
      </c>
      <c r="O51" s="142">
        <f ca="1">ROUNDDOWN(IF(NOT($N51),0,(MIN(INDEX(SC_EX_SSAIME,EXIDX),INDEX(SC_EA_SSBendPts, INDEX(SC_SSBaseYear,$F51)+1-SC_YearEpoch+2,1))*Lookup!$C$19+MAX(MIN(INDEX(SC_EX_SSAIME,EXIDX),INDEX(SC_EA_SSBendPts, INDEX(SC_SSBaseYear,$F51)+1-SC_YearEpoch+2,2))-INDEX(SC_EA_SSBendPts, INDEX(SC_SSBaseYear,$F51)+1-SC_YearEpoch+2,1),0)*Lookup!$C$20+MAX(INDEX(SC_EX_SSAIME,EXIDX)-INDEX(SC_EA_SSBendPts, INDEX(SC_SSBaseYear,$F51)+1-SC_YearEpoch+2,2),0)*Lookup!$C$21)/INDEX(SC_EX_SSIDXCOLA,EXIDX)),1)</f>
        <v>0</v>
      </c>
      <c r="P51" s="107">
        <f t="shared" ca="1" si="40"/>
        <v>0</v>
      </c>
      <c r="Q51" s="107">
        <f t="shared" ca="1" si="41"/>
        <v>0</v>
      </c>
      <c r="R51" s="107">
        <f t="shared" ca="1" si="42"/>
        <v>0</v>
      </c>
      <c r="S51" s="107">
        <f t="shared" ca="1" si="14"/>
        <v>0</v>
      </c>
      <c r="T51" s="388">
        <f t="shared" ca="1" si="43"/>
        <v>0</v>
      </c>
      <c r="U51" s="110">
        <f t="shared" ca="1" si="44"/>
        <v>0</v>
      </c>
      <c r="V51" s="634"/>
      <c r="W51" s="618"/>
      <c r="X51" s="15"/>
      <c r="Z51" s="8"/>
    </row>
    <row r="52" spans="2:26" x14ac:dyDescent="0.25">
      <c r="B52" s="65">
        <f ca="1">B50+1</f>
        <v>2043</v>
      </c>
      <c r="C52" s="76" t="s">
        <v>741</v>
      </c>
      <c r="D52" s="146" t="str">
        <f t="shared" si="33"/>
        <v/>
      </c>
      <c r="E52" s="77">
        <f t="shared" si="2"/>
        <v>0</v>
      </c>
      <c r="F52" s="77">
        <f t="shared" si="3"/>
        <v>1</v>
      </c>
      <c r="G52" s="76">
        <f t="shared" si="4"/>
        <v>1</v>
      </c>
      <c r="H52" s="76">
        <f t="shared" si="35"/>
        <v>0</v>
      </c>
      <c r="I52" s="76">
        <f t="shared" si="36"/>
        <v>0</v>
      </c>
      <c r="J52" s="331">
        <f t="shared" ca="1" si="37"/>
        <v>0</v>
      </c>
      <c r="K52" s="331">
        <f t="shared" ca="1" si="38"/>
        <v>0</v>
      </c>
      <c r="L52" s="331">
        <f t="shared" ca="1" si="39"/>
        <v>0</v>
      </c>
      <c r="M52" s="355">
        <f t="shared" ca="1" si="18"/>
        <v>0</v>
      </c>
      <c r="N52" s="352" t="b">
        <f t="shared" ca="1" si="10"/>
        <v>0</v>
      </c>
      <c r="O52" s="120">
        <f ca="1">ROUNDDOWN(IF(NOT($N52),0,(MIN(INDEX(SC_EX_SSAIME,EXIDX),INDEX(SC_EA_SSBendPts, INDEX(SC_SSBaseYear,$F52)+1-SC_YearEpoch+2,1))*Lookup!$C$19+MAX(MIN(INDEX(SC_EX_SSAIME,EXIDX),INDEX(SC_EA_SSBendPts, INDEX(SC_SSBaseYear,$F52)+1-SC_YearEpoch+2,2))-INDEX(SC_EA_SSBendPts, INDEX(SC_SSBaseYear,$F52)+1-SC_YearEpoch+2,1),0)*Lookup!$C$20+MAX(INDEX(SC_EX_SSAIME,EXIDX)-INDEX(SC_EA_SSBendPts, INDEX(SC_SSBaseYear,$F52)+1-SC_YearEpoch+2,2),0)*Lookup!$C$21)/INDEX(SC_EX_SSIDXCOLA,EXIDX)),1)</f>
        <v>0</v>
      </c>
      <c r="P52" s="488">
        <f t="shared" ca="1" si="40"/>
        <v>0</v>
      </c>
      <c r="Q52" s="70">
        <f t="shared" ca="1" si="41"/>
        <v>0</v>
      </c>
      <c r="R52" s="344">
        <f t="shared" ca="1" si="42"/>
        <v>0</v>
      </c>
      <c r="S52" s="347">
        <f t="shared" ca="1" si="14"/>
        <v>0</v>
      </c>
      <c r="T52" s="288">
        <f t="shared" ca="1" si="43"/>
        <v>0</v>
      </c>
      <c r="U52" s="383">
        <f t="shared" ca="1" si="44"/>
        <v>0</v>
      </c>
      <c r="V52" s="634">
        <f t="shared" ref="V52" ca="1" si="50">SUM($T52:$T53)</f>
        <v>0</v>
      </c>
      <c r="W52" s="618">
        <f ca="1">SUMPRODUCT($U52:$U53, --($E52:$E53&lt;&gt;0))</f>
        <v>0</v>
      </c>
      <c r="X52" s="15"/>
      <c r="Z52" s="8"/>
    </row>
    <row r="53" spans="2:26" x14ac:dyDescent="0.25">
      <c r="B53" s="86">
        <f t="shared" ca="1" si="17"/>
        <v>2043</v>
      </c>
      <c r="C53" s="80" t="s">
        <v>741</v>
      </c>
      <c r="D53" s="149" t="str">
        <f t="shared" si="33"/>
        <v/>
      </c>
      <c r="E53" s="81">
        <f t="shared" si="2"/>
        <v>0</v>
      </c>
      <c r="F53" s="81">
        <f t="shared" si="3"/>
        <v>2</v>
      </c>
      <c r="G53" s="82">
        <f t="shared" si="4"/>
        <v>-1</v>
      </c>
      <c r="H53" s="82">
        <f t="shared" si="35"/>
        <v>0</v>
      </c>
      <c r="I53" s="82">
        <f t="shared" si="36"/>
        <v>0</v>
      </c>
      <c r="J53" s="349">
        <f t="shared" ca="1" si="37"/>
        <v>0</v>
      </c>
      <c r="K53" s="349">
        <f t="shared" ca="1" si="38"/>
        <v>0</v>
      </c>
      <c r="L53" s="349">
        <f t="shared" ca="1" si="39"/>
        <v>0</v>
      </c>
      <c r="M53" s="356">
        <f t="shared" ca="1" si="18"/>
        <v>0</v>
      </c>
      <c r="N53" s="353" t="b">
        <f t="shared" ca="1" si="10"/>
        <v>0</v>
      </c>
      <c r="O53" s="142">
        <f ca="1">ROUNDDOWN(IF(NOT($N53),0,(MIN(INDEX(SC_EX_SSAIME,EXIDX),INDEX(SC_EA_SSBendPts, INDEX(SC_SSBaseYear,$F53)+1-SC_YearEpoch+2,1))*Lookup!$C$19+MAX(MIN(INDEX(SC_EX_SSAIME,EXIDX),INDEX(SC_EA_SSBendPts, INDEX(SC_SSBaseYear,$F53)+1-SC_YearEpoch+2,2))-INDEX(SC_EA_SSBendPts, INDEX(SC_SSBaseYear,$F53)+1-SC_YearEpoch+2,1),0)*Lookup!$C$20+MAX(INDEX(SC_EX_SSAIME,EXIDX)-INDEX(SC_EA_SSBendPts, INDEX(SC_SSBaseYear,$F53)+1-SC_YearEpoch+2,2),0)*Lookup!$C$21)/INDEX(SC_EX_SSIDXCOLA,EXIDX)),1)</f>
        <v>0</v>
      </c>
      <c r="P53" s="107">
        <f t="shared" ca="1" si="40"/>
        <v>0</v>
      </c>
      <c r="Q53" s="107">
        <f t="shared" ca="1" si="41"/>
        <v>0</v>
      </c>
      <c r="R53" s="107">
        <f t="shared" ca="1" si="42"/>
        <v>0</v>
      </c>
      <c r="S53" s="107">
        <f t="shared" ca="1" si="14"/>
        <v>0</v>
      </c>
      <c r="T53" s="388">
        <f t="shared" ca="1" si="43"/>
        <v>0</v>
      </c>
      <c r="U53" s="110">
        <f t="shared" ca="1" si="44"/>
        <v>0</v>
      </c>
      <c r="V53" s="634"/>
      <c r="W53" s="618"/>
      <c r="X53" s="15"/>
      <c r="Z53" s="8"/>
    </row>
    <row r="54" spans="2:26" x14ac:dyDescent="0.25">
      <c r="B54" s="65">
        <f ca="1">B52+1</f>
        <v>2044</v>
      </c>
      <c r="C54" s="76" t="s">
        <v>741</v>
      </c>
      <c r="D54" s="146" t="str">
        <f t="shared" si="33"/>
        <v/>
      </c>
      <c r="E54" s="77">
        <f t="shared" si="2"/>
        <v>0</v>
      </c>
      <c r="F54" s="77">
        <f t="shared" si="3"/>
        <v>1</v>
      </c>
      <c r="G54" s="76">
        <f t="shared" si="4"/>
        <v>1</v>
      </c>
      <c r="H54" s="76">
        <f t="shared" si="35"/>
        <v>0</v>
      </c>
      <c r="I54" s="76">
        <f t="shared" si="36"/>
        <v>0</v>
      </c>
      <c r="J54" s="331">
        <f t="shared" ca="1" si="37"/>
        <v>0</v>
      </c>
      <c r="K54" s="331">
        <f t="shared" ca="1" si="38"/>
        <v>0</v>
      </c>
      <c r="L54" s="331">
        <f t="shared" ca="1" si="39"/>
        <v>0</v>
      </c>
      <c r="M54" s="355">
        <f t="shared" ca="1" si="18"/>
        <v>0</v>
      </c>
      <c r="N54" s="352" t="b">
        <f t="shared" ca="1" si="10"/>
        <v>0</v>
      </c>
      <c r="O54" s="120">
        <f ca="1">ROUNDDOWN(IF(NOT($N54),0,(MIN(INDEX(SC_EX_SSAIME,EXIDX),INDEX(SC_EA_SSBendPts, INDEX(SC_SSBaseYear,$F54)+1-SC_YearEpoch+2,1))*Lookup!$C$19+MAX(MIN(INDEX(SC_EX_SSAIME,EXIDX),INDEX(SC_EA_SSBendPts, INDEX(SC_SSBaseYear,$F54)+1-SC_YearEpoch+2,2))-INDEX(SC_EA_SSBendPts, INDEX(SC_SSBaseYear,$F54)+1-SC_YearEpoch+2,1),0)*Lookup!$C$20+MAX(INDEX(SC_EX_SSAIME,EXIDX)-INDEX(SC_EA_SSBendPts, INDEX(SC_SSBaseYear,$F54)+1-SC_YearEpoch+2,2),0)*Lookup!$C$21)/INDEX(SC_EX_SSIDXCOLA,EXIDX)),1)</f>
        <v>0</v>
      </c>
      <c r="P54" s="488">
        <f t="shared" ca="1" si="40"/>
        <v>0</v>
      </c>
      <c r="Q54" s="70">
        <f t="shared" ca="1" si="41"/>
        <v>0</v>
      </c>
      <c r="R54" s="344">
        <f t="shared" ca="1" si="42"/>
        <v>0</v>
      </c>
      <c r="S54" s="347">
        <f t="shared" ca="1" si="14"/>
        <v>0</v>
      </c>
      <c r="T54" s="288">
        <f t="shared" ca="1" si="43"/>
        <v>0</v>
      </c>
      <c r="U54" s="383">
        <f t="shared" ca="1" si="44"/>
        <v>0</v>
      </c>
      <c r="V54" s="634">
        <f t="shared" ref="V54" ca="1" si="51">SUM($T54:$T55)</f>
        <v>0</v>
      </c>
      <c r="W54" s="618">
        <f ca="1">SUMPRODUCT($U54:$U55, --($E54:$E55&lt;&gt;0))</f>
        <v>0</v>
      </c>
      <c r="X54" s="15"/>
    </row>
    <row r="55" spans="2:26" x14ac:dyDescent="0.25">
      <c r="B55" s="86">
        <f t="shared" ca="1" si="17"/>
        <v>2044</v>
      </c>
      <c r="C55" s="80" t="s">
        <v>741</v>
      </c>
      <c r="D55" s="149" t="str">
        <f t="shared" si="33"/>
        <v/>
      </c>
      <c r="E55" s="81">
        <f t="shared" si="2"/>
        <v>0</v>
      </c>
      <c r="F55" s="81">
        <f t="shared" si="3"/>
        <v>2</v>
      </c>
      <c r="G55" s="82">
        <f t="shared" si="4"/>
        <v>-1</v>
      </c>
      <c r="H55" s="82">
        <f t="shared" si="35"/>
        <v>0</v>
      </c>
      <c r="I55" s="82">
        <f t="shared" si="36"/>
        <v>0</v>
      </c>
      <c r="J55" s="349">
        <f t="shared" ca="1" si="37"/>
        <v>0</v>
      </c>
      <c r="K55" s="349">
        <f t="shared" ca="1" si="38"/>
        <v>0</v>
      </c>
      <c r="L55" s="349">
        <f t="shared" ca="1" si="39"/>
        <v>0</v>
      </c>
      <c r="M55" s="356">
        <f t="shared" ca="1" si="18"/>
        <v>0</v>
      </c>
      <c r="N55" s="353" t="b">
        <f t="shared" ca="1" si="10"/>
        <v>0</v>
      </c>
      <c r="O55" s="142">
        <f ca="1">ROUNDDOWN(IF(NOT($N55),0,(MIN(INDEX(SC_EX_SSAIME,EXIDX),INDEX(SC_EA_SSBendPts, INDEX(SC_SSBaseYear,$F55)+1-SC_YearEpoch+2,1))*Lookup!$C$19+MAX(MIN(INDEX(SC_EX_SSAIME,EXIDX),INDEX(SC_EA_SSBendPts, INDEX(SC_SSBaseYear,$F55)+1-SC_YearEpoch+2,2))-INDEX(SC_EA_SSBendPts, INDEX(SC_SSBaseYear,$F55)+1-SC_YearEpoch+2,1),0)*Lookup!$C$20+MAX(INDEX(SC_EX_SSAIME,EXIDX)-INDEX(SC_EA_SSBendPts, INDEX(SC_SSBaseYear,$F55)+1-SC_YearEpoch+2,2),0)*Lookup!$C$21)/INDEX(SC_EX_SSIDXCOLA,EXIDX)),1)</f>
        <v>0</v>
      </c>
      <c r="P55" s="107">
        <f t="shared" ca="1" si="40"/>
        <v>0</v>
      </c>
      <c r="Q55" s="107">
        <f t="shared" ca="1" si="41"/>
        <v>0</v>
      </c>
      <c r="R55" s="107">
        <f t="shared" ca="1" si="42"/>
        <v>0</v>
      </c>
      <c r="S55" s="107">
        <f t="shared" ca="1" si="14"/>
        <v>0</v>
      </c>
      <c r="T55" s="388">
        <f t="shared" ca="1" si="43"/>
        <v>0</v>
      </c>
      <c r="U55" s="110">
        <f t="shared" ca="1" si="44"/>
        <v>0</v>
      </c>
      <c r="V55" s="634"/>
      <c r="W55" s="618"/>
      <c r="X55" s="15"/>
    </row>
    <row r="56" spans="2:26" x14ac:dyDescent="0.25">
      <c r="B56" s="65">
        <f ca="1">B54+1</f>
        <v>2045</v>
      </c>
      <c r="C56" s="76" t="s">
        <v>741</v>
      </c>
      <c r="D56" s="146" t="str">
        <f t="shared" si="33"/>
        <v/>
      </c>
      <c r="E56" s="77">
        <f t="shared" si="2"/>
        <v>0</v>
      </c>
      <c r="F56" s="77">
        <f t="shared" si="3"/>
        <v>1</v>
      </c>
      <c r="G56" s="76">
        <f t="shared" si="4"/>
        <v>1</v>
      </c>
      <c r="H56" s="76">
        <f t="shared" si="35"/>
        <v>0</v>
      </c>
      <c r="I56" s="76">
        <f t="shared" si="36"/>
        <v>0</v>
      </c>
      <c r="J56" s="331">
        <f t="shared" ca="1" si="37"/>
        <v>0</v>
      </c>
      <c r="K56" s="331">
        <f t="shared" ca="1" si="38"/>
        <v>0</v>
      </c>
      <c r="L56" s="331">
        <f t="shared" ca="1" si="39"/>
        <v>0</v>
      </c>
      <c r="M56" s="355">
        <f t="shared" ca="1" si="18"/>
        <v>0</v>
      </c>
      <c r="N56" s="352" t="b">
        <f t="shared" ca="1" si="10"/>
        <v>0</v>
      </c>
      <c r="O56" s="120">
        <f ca="1">ROUNDDOWN(IF(NOT($N56),0,(MIN(INDEX(SC_EX_SSAIME,EXIDX),INDEX(SC_EA_SSBendPts, INDEX(SC_SSBaseYear,$F56)+1-SC_YearEpoch+2,1))*Lookup!$C$19+MAX(MIN(INDEX(SC_EX_SSAIME,EXIDX),INDEX(SC_EA_SSBendPts, INDEX(SC_SSBaseYear,$F56)+1-SC_YearEpoch+2,2))-INDEX(SC_EA_SSBendPts, INDEX(SC_SSBaseYear,$F56)+1-SC_YearEpoch+2,1),0)*Lookup!$C$20+MAX(INDEX(SC_EX_SSAIME,EXIDX)-INDEX(SC_EA_SSBendPts, INDEX(SC_SSBaseYear,$F56)+1-SC_YearEpoch+2,2),0)*Lookup!$C$21)/INDEX(SC_EX_SSIDXCOLA,EXIDX)),1)</f>
        <v>0</v>
      </c>
      <c r="P56" s="488">
        <f t="shared" ca="1" si="40"/>
        <v>0</v>
      </c>
      <c r="Q56" s="70">
        <f t="shared" ca="1" si="41"/>
        <v>0</v>
      </c>
      <c r="R56" s="344">
        <f t="shared" ca="1" si="42"/>
        <v>0</v>
      </c>
      <c r="S56" s="347">
        <f t="shared" ca="1" si="14"/>
        <v>0</v>
      </c>
      <c r="T56" s="288">
        <f t="shared" ca="1" si="43"/>
        <v>0</v>
      </c>
      <c r="U56" s="383">
        <f t="shared" ca="1" si="44"/>
        <v>0</v>
      </c>
      <c r="V56" s="634">
        <f t="shared" ref="V56" ca="1" si="52">SUM($T56:$T57)</f>
        <v>0</v>
      </c>
      <c r="W56" s="618">
        <f ca="1">SUMPRODUCT($U56:$U57, --($E56:$E57&lt;&gt;0))</f>
        <v>0</v>
      </c>
      <c r="X56" s="15"/>
      <c r="Z56" s="8"/>
    </row>
    <row r="57" spans="2:26" x14ac:dyDescent="0.25">
      <c r="B57" s="86">
        <f t="shared" ca="1" si="17"/>
        <v>2045</v>
      </c>
      <c r="C57" s="80" t="s">
        <v>741</v>
      </c>
      <c r="D57" s="149" t="str">
        <f t="shared" si="33"/>
        <v/>
      </c>
      <c r="E57" s="81">
        <f t="shared" si="2"/>
        <v>0</v>
      </c>
      <c r="F57" s="81">
        <f t="shared" si="3"/>
        <v>2</v>
      </c>
      <c r="G57" s="82">
        <f t="shared" si="4"/>
        <v>-1</v>
      </c>
      <c r="H57" s="82">
        <f t="shared" si="35"/>
        <v>0</v>
      </c>
      <c r="I57" s="82">
        <f t="shared" si="36"/>
        <v>0</v>
      </c>
      <c r="J57" s="349">
        <f t="shared" ca="1" si="37"/>
        <v>0</v>
      </c>
      <c r="K57" s="349">
        <f t="shared" ca="1" si="38"/>
        <v>0</v>
      </c>
      <c r="L57" s="349">
        <f t="shared" ca="1" si="39"/>
        <v>0</v>
      </c>
      <c r="M57" s="356">
        <f t="shared" ca="1" si="18"/>
        <v>0</v>
      </c>
      <c r="N57" s="353" t="b">
        <f t="shared" ca="1" si="10"/>
        <v>0</v>
      </c>
      <c r="O57" s="142">
        <f ca="1">ROUNDDOWN(IF(NOT($N57),0,(MIN(INDEX(SC_EX_SSAIME,EXIDX),INDEX(SC_EA_SSBendPts, INDEX(SC_SSBaseYear,$F57)+1-SC_YearEpoch+2,1))*Lookup!$C$19+MAX(MIN(INDEX(SC_EX_SSAIME,EXIDX),INDEX(SC_EA_SSBendPts, INDEX(SC_SSBaseYear,$F57)+1-SC_YearEpoch+2,2))-INDEX(SC_EA_SSBendPts, INDEX(SC_SSBaseYear,$F57)+1-SC_YearEpoch+2,1),0)*Lookup!$C$20+MAX(INDEX(SC_EX_SSAIME,EXIDX)-INDEX(SC_EA_SSBendPts, INDEX(SC_SSBaseYear,$F57)+1-SC_YearEpoch+2,2),0)*Lookup!$C$21)/INDEX(SC_EX_SSIDXCOLA,EXIDX)),1)</f>
        <v>0</v>
      </c>
      <c r="P57" s="107">
        <f t="shared" ca="1" si="40"/>
        <v>0</v>
      </c>
      <c r="Q57" s="107">
        <f t="shared" ca="1" si="41"/>
        <v>0</v>
      </c>
      <c r="R57" s="107">
        <f t="shared" ca="1" si="42"/>
        <v>0</v>
      </c>
      <c r="S57" s="107">
        <f t="shared" ca="1" si="14"/>
        <v>0</v>
      </c>
      <c r="T57" s="388">
        <f t="shared" ca="1" si="43"/>
        <v>0</v>
      </c>
      <c r="U57" s="110">
        <f t="shared" ca="1" si="44"/>
        <v>0</v>
      </c>
      <c r="V57" s="634"/>
      <c r="W57" s="618"/>
      <c r="X57" s="15"/>
    </row>
    <row r="58" spans="2:26" x14ac:dyDescent="0.25">
      <c r="B58" s="65">
        <f ca="1">B56+1</f>
        <v>2046</v>
      </c>
      <c r="C58" s="76" t="s">
        <v>741</v>
      </c>
      <c r="D58" s="146" t="str">
        <f t="shared" si="33"/>
        <v/>
      </c>
      <c r="E58" s="77">
        <f t="shared" si="2"/>
        <v>0</v>
      </c>
      <c r="F58" s="77">
        <f t="shared" si="3"/>
        <v>1</v>
      </c>
      <c r="G58" s="76">
        <f t="shared" si="4"/>
        <v>1</v>
      </c>
      <c r="H58" s="76">
        <f t="shared" si="35"/>
        <v>0</v>
      </c>
      <c r="I58" s="76">
        <f t="shared" si="36"/>
        <v>0</v>
      </c>
      <c r="J58" s="331">
        <f t="shared" ca="1" si="37"/>
        <v>0</v>
      </c>
      <c r="K58" s="331">
        <f t="shared" ca="1" si="38"/>
        <v>0</v>
      </c>
      <c r="L58" s="331">
        <f t="shared" ca="1" si="39"/>
        <v>0</v>
      </c>
      <c r="M58" s="355">
        <f t="shared" ca="1" si="18"/>
        <v>0</v>
      </c>
      <c r="N58" s="352" t="b">
        <f t="shared" ca="1" si="10"/>
        <v>0</v>
      </c>
      <c r="O58" s="120">
        <f ca="1">ROUNDDOWN(IF(NOT($N58),0,(MIN(INDEX(SC_EX_SSAIME,EXIDX),INDEX(SC_EA_SSBendPts, INDEX(SC_SSBaseYear,$F58)+1-SC_YearEpoch+2,1))*Lookup!$C$19+MAX(MIN(INDEX(SC_EX_SSAIME,EXIDX),INDEX(SC_EA_SSBendPts, INDEX(SC_SSBaseYear,$F58)+1-SC_YearEpoch+2,2))-INDEX(SC_EA_SSBendPts, INDEX(SC_SSBaseYear,$F58)+1-SC_YearEpoch+2,1),0)*Lookup!$C$20+MAX(INDEX(SC_EX_SSAIME,EXIDX)-INDEX(SC_EA_SSBendPts, INDEX(SC_SSBaseYear,$F58)+1-SC_YearEpoch+2,2),0)*Lookup!$C$21)/INDEX(SC_EX_SSIDXCOLA,EXIDX)),1)</f>
        <v>0</v>
      </c>
      <c r="P58" s="488">
        <f t="shared" ca="1" si="40"/>
        <v>0</v>
      </c>
      <c r="Q58" s="70">
        <f t="shared" ca="1" si="41"/>
        <v>0</v>
      </c>
      <c r="R58" s="344">
        <f t="shared" ca="1" si="42"/>
        <v>0</v>
      </c>
      <c r="S58" s="347">
        <f t="shared" ca="1" si="14"/>
        <v>0</v>
      </c>
      <c r="T58" s="288">
        <f t="shared" ca="1" si="43"/>
        <v>0</v>
      </c>
      <c r="U58" s="383">
        <f t="shared" ca="1" si="44"/>
        <v>0</v>
      </c>
      <c r="V58" s="634">
        <f t="shared" ref="V58" ca="1" si="53">SUM($T58:$T59)</f>
        <v>0</v>
      </c>
      <c r="W58" s="618">
        <f ca="1">SUMPRODUCT($U58:$U59, --($E58:$E59&lt;&gt;0))</f>
        <v>0</v>
      </c>
      <c r="X58" s="15"/>
    </row>
    <row r="59" spans="2:26" x14ac:dyDescent="0.25">
      <c r="B59" s="86">
        <f t="shared" ca="1" si="17"/>
        <v>2046</v>
      </c>
      <c r="C59" s="80" t="s">
        <v>741</v>
      </c>
      <c r="D59" s="149" t="str">
        <f t="shared" si="33"/>
        <v/>
      </c>
      <c r="E59" s="81">
        <f t="shared" si="2"/>
        <v>0</v>
      </c>
      <c r="F59" s="81">
        <f t="shared" si="3"/>
        <v>2</v>
      </c>
      <c r="G59" s="82">
        <f t="shared" si="4"/>
        <v>-1</v>
      </c>
      <c r="H59" s="82">
        <f t="shared" si="35"/>
        <v>0</v>
      </c>
      <c r="I59" s="82">
        <f t="shared" si="36"/>
        <v>0</v>
      </c>
      <c r="J59" s="349">
        <f t="shared" ca="1" si="37"/>
        <v>0</v>
      </c>
      <c r="K59" s="349">
        <f t="shared" ca="1" si="38"/>
        <v>0</v>
      </c>
      <c r="L59" s="349">
        <f t="shared" ca="1" si="39"/>
        <v>0</v>
      </c>
      <c r="M59" s="356">
        <f t="shared" ca="1" si="18"/>
        <v>0</v>
      </c>
      <c r="N59" s="353" t="b">
        <f t="shared" ca="1" si="10"/>
        <v>0</v>
      </c>
      <c r="O59" s="142">
        <f ca="1">ROUNDDOWN(IF(NOT($N59),0,(MIN(INDEX(SC_EX_SSAIME,EXIDX),INDEX(SC_EA_SSBendPts, INDEX(SC_SSBaseYear,$F59)+1-SC_YearEpoch+2,1))*Lookup!$C$19+MAX(MIN(INDEX(SC_EX_SSAIME,EXIDX),INDEX(SC_EA_SSBendPts, INDEX(SC_SSBaseYear,$F59)+1-SC_YearEpoch+2,2))-INDEX(SC_EA_SSBendPts, INDEX(SC_SSBaseYear,$F59)+1-SC_YearEpoch+2,1),0)*Lookup!$C$20+MAX(INDEX(SC_EX_SSAIME,EXIDX)-INDEX(SC_EA_SSBendPts, INDEX(SC_SSBaseYear,$F59)+1-SC_YearEpoch+2,2),0)*Lookup!$C$21)/INDEX(SC_EX_SSIDXCOLA,EXIDX)),1)</f>
        <v>0</v>
      </c>
      <c r="P59" s="107">
        <f t="shared" ca="1" si="40"/>
        <v>0</v>
      </c>
      <c r="Q59" s="107">
        <f t="shared" ca="1" si="41"/>
        <v>0</v>
      </c>
      <c r="R59" s="107">
        <f t="shared" ca="1" si="42"/>
        <v>0</v>
      </c>
      <c r="S59" s="107">
        <f t="shared" ca="1" si="14"/>
        <v>0</v>
      </c>
      <c r="T59" s="388">
        <f t="shared" ca="1" si="43"/>
        <v>0</v>
      </c>
      <c r="U59" s="110">
        <f t="shared" ca="1" si="44"/>
        <v>0</v>
      </c>
      <c r="V59" s="634"/>
      <c r="W59" s="618"/>
      <c r="X59" s="15"/>
    </row>
    <row r="60" spans="2:26" x14ac:dyDescent="0.25">
      <c r="B60" s="65">
        <f ca="1">B58+1</f>
        <v>2047</v>
      </c>
      <c r="C60" s="76" t="s">
        <v>741</v>
      </c>
      <c r="D60" s="146" t="str">
        <f t="shared" si="33"/>
        <v/>
      </c>
      <c r="E60" s="77">
        <f t="shared" si="2"/>
        <v>0</v>
      </c>
      <c r="F60" s="77">
        <f t="shared" si="3"/>
        <v>1</v>
      </c>
      <c r="G60" s="76">
        <f t="shared" si="4"/>
        <v>1</v>
      </c>
      <c r="H60" s="76">
        <f t="shared" si="35"/>
        <v>0</v>
      </c>
      <c r="I60" s="76">
        <f t="shared" si="36"/>
        <v>0</v>
      </c>
      <c r="J60" s="331">
        <f t="shared" ca="1" si="37"/>
        <v>0</v>
      </c>
      <c r="K60" s="331">
        <f t="shared" ca="1" si="38"/>
        <v>0</v>
      </c>
      <c r="L60" s="331">
        <f t="shared" ca="1" si="39"/>
        <v>0</v>
      </c>
      <c r="M60" s="355">
        <f t="shared" ca="1" si="18"/>
        <v>0</v>
      </c>
      <c r="N60" s="352" t="b">
        <f t="shared" ca="1" si="10"/>
        <v>0</v>
      </c>
      <c r="O60" s="120">
        <f ca="1">ROUNDDOWN(IF(NOT($N60),0,(MIN(INDEX(SC_EX_SSAIME,EXIDX),INDEX(SC_EA_SSBendPts, INDEX(SC_SSBaseYear,$F60)+1-SC_YearEpoch+2,1))*Lookup!$C$19+MAX(MIN(INDEX(SC_EX_SSAIME,EXIDX),INDEX(SC_EA_SSBendPts, INDEX(SC_SSBaseYear,$F60)+1-SC_YearEpoch+2,2))-INDEX(SC_EA_SSBendPts, INDEX(SC_SSBaseYear,$F60)+1-SC_YearEpoch+2,1),0)*Lookup!$C$20+MAX(INDEX(SC_EX_SSAIME,EXIDX)-INDEX(SC_EA_SSBendPts, INDEX(SC_SSBaseYear,$F60)+1-SC_YearEpoch+2,2),0)*Lookup!$C$21)/INDEX(SC_EX_SSIDXCOLA,EXIDX)),1)</f>
        <v>0</v>
      </c>
      <c r="P60" s="488">
        <f t="shared" ca="1" si="40"/>
        <v>0</v>
      </c>
      <c r="Q60" s="70">
        <f t="shared" ca="1" si="41"/>
        <v>0</v>
      </c>
      <c r="R60" s="344">
        <f t="shared" ca="1" si="42"/>
        <v>0</v>
      </c>
      <c r="S60" s="347">
        <f t="shared" ca="1" si="14"/>
        <v>0</v>
      </c>
      <c r="T60" s="288">
        <f t="shared" ca="1" si="43"/>
        <v>0</v>
      </c>
      <c r="U60" s="383">
        <f t="shared" ca="1" si="44"/>
        <v>0</v>
      </c>
      <c r="V60" s="634">
        <f t="shared" ref="V60" ca="1" si="54">SUM($T60:$T61)</f>
        <v>0</v>
      </c>
      <c r="W60" s="618">
        <f ca="1">SUMPRODUCT($U60:$U61, --($E60:$E61&lt;&gt;0))</f>
        <v>0</v>
      </c>
      <c r="X60" s="15"/>
    </row>
    <row r="61" spans="2:26" x14ac:dyDescent="0.25">
      <c r="B61" s="86">
        <f t="shared" ca="1" si="17"/>
        <v>2047</v>
      </c>
      <c r="C61" s="80" t="s">
        <v>741</v>
      </c>
      <c r="D61" s="149" t="str">
        <f t="shared" si="33"/>
        <v/>
      </c>
      <c r="E61" s="81">
        <f t="shared" si="2"/>
        <v>0</v>
      </c>
      <c r="F61" s="81">
        <f t="shared" si="3"/>
        <v>2</v>
      </c>
      <c r="G61" s="82">
        <f t="shared" si="4"/>
        <v>-1</v>
      </c>
      <c r="H61" s="82">
        <f t="shared" si="35"/>
        <v>0</v>
      </c>
      <c r="I61" s="82">
        <f t="shared" si="36"/>
        <v>0</v>
      </c>
      <c r="J61" s="349">
        <f t="shared" ca="1" si="37"/>
        <v>0</v>
      </c>
      <c r="K61" s="349">
        <f t="shared" ca="1" si="38"/>
        <v>0</v>
      </c>
      <c r="L61" s="349">
        <f t="shared" ca="1" si="39"/>
        <v>0</v>
      </c>
      <c r="M61" s="356">
        <f t="shared" ca="1" si="18"/>
        <v>0</v>
      </c>
      <c r="N61" s="353" t="b">
        <f t="shared" ca="1" si="10"/>
        <v>0</v>
      </c>
      <c r="O61" s="142">
        <f ca="1">ROUNDDOWN(IF(NOT($N61),0,(MIN(INDEX(SC_EX_SSAIME,EXIDX),INDEX(SC_EA_SSBendPts, INDEX(SC_SSBaseYear,$F61)+1-SC_YearEpoch+2,1))*Lookup!$C$19+MAX(MIN(INDEX(SC_EX_SSAIME,EXIDX),INDEX(SC_EA_SSBendPts, INDEX(SC_SSBaseYear,$F61)+1-SC_YearEpoch+2,2))-INDEX(SC_EA_SSBendPts, INDEX(SC_SSBaseYear,$F61)+1-SC_YearEpoch+2,1),0)*Lookup!$C$20+MAX(INDEX(SC_EX_SSAIME,EXIDX)-INDEX(SC_EA_SSBendPts, INDEX(SC_SSBaseYear,$F61)+1-SC_YearEpoch+2,2),0)*Lookup!$C$21)/INDEX(SC_EX_SSIDXCOLA,EXIDX)),1)</f>
        <v>0</v>
      </c>
      <c r="P61" s="107">
        <f t="shared" ca="1" si="40"/>
        <v>0</v>
      </c>
      <c r="Q61" s="107">
        <f t="shared" ca="1" si="41"/>
        <v>0</v>
      </c>
      <c r="R61" s="107">
        <f t="shared" ca="1" si="42"/>
        <v>0</v>
      </c>
      <c r="S61" s="107">
        <f t="shared" ca="1" si="14"/>
        <v>0</v>
      </c>
      <c r="T61" s="388">
        <f t="shared" ca="1" si="43"/>
        <v>0</v>
      </c>
      <c r="U61" s="110">
        <f t="shared" ca="1" si="44"/>
        <v>0</v>
      </c>
      <c r="V61" s="634"/>
      <c r="W61" s="618"/>
      <c r="X61" s="15"/>
    </row>
    <row r="62" spans="2:26" x14ac:dyDescent="0.25">
      <c r="B62" s="65">
        <f ca="1">B60+1</f>
        <v>2048</v>
      </c>
      <c r="C62" s="76" t="s">
        <v>741</v>
      </c>
      <c r="D62" s="146" t="str">
        <f t="shared" si="33"/>
        <v/>
      </c>
      <c r="E62" s="77">
        <f t="shared" si="2"/>
        <v>0</v>
      </c>
      <c r="F62" s="77">
        <f t="shared" si="3"/>
        <v>1</v>
      </c>
      <c r="G62" s="76">
        <f t="shared" si="4"/>
        <v>1</v>
      </c>
      <c r="H62" s="76">
        <f t="shared" si="35"/>
        <v>0</v>
      </c>
      <c r="I62" s="76">
        <f t="shared" si="36"/>
        <v>0</v>
      </c>
      <c r="J62" s="331">
        <f t="shared" ca="1" si="37"/>
        <v>0</v>
      </c>
      <c r="K62" s="331">
        <f t="shared" ca="1" si="38"/>
        <v>0</v>
      </c>
      <c r="L62" s="331">
        <f t="shared" ca="1" si="39"/>
        <v>0</v>
      </c>
      <c r="M62" s="355">
        <f t="shared" ca="1" si="18"/>
        <v>0</v>
      </c>
      <c r="N62" s="352" t="b">
        <f t="shared" ca="1" si="10"/>
        <v>0</v>
      </c>
      <c r="O62" s="120">
        <f ca="1">ROUNDDOWN(IF(NOT($N62),0,(MIN(INDEX(SC_EX_SSAIME,EXIDX),INDEX(SC_EA_SSBendPts, INDEX(SC_SSBaseYear,$F62)+1-SC_YearEpoch+2,1))*Lookup!$C$19+MAX(MIN(INDEX(SC_EX_SSAIME,EXIDX),INDEX(SC_EA_SSBendPts, INDEX(SC_SSBaseYear,$F62)+1-SC_YearEpoch+2,2))-INDEX(SC_EA_SSBendPts, INDEX(SC_SSBaseYear,$F62)+1-SC_YearEpoch+2,1),0)*Lookup!$C$20+MAX(INDEX(SC_EX_SSAIME,EXIDX)-INDEX(SC_EA_SSBendPts, INDEX(SC_SSBaseYear,$F62)+1-SC_YearEpoch+2,2),0)*Lookup!$C$21)/INDEX(SC_EX_SSIDXCOLA,EXIDX)),1)</f>
        <v>0</v>
      </c>
      <c r="P62" s="488">
        <f t="shared" ca="1" si="40"/>
        <v>0</v>
      </c>
      <c r="Q62" s="70">
        <f t="shared" ca="1" si="41"/>
        <v>0</v>
      </c>
      <c r="R62" s="344">
        <f t="shared" ca="1" si="42"/>
        <v>0</v>
      </c>
      <c r="S62" s="347">
        <f t="shared" ca="1" si="14"/>
        <v>0</v>
      </c>
      <c r="T62" s="288">
        <f t="shared" ca="1" si="43"/>
        <v>0</v>
      </c>
      <c r="U62" s="383">
        <f t="shared" ca="1" si="44"/>
        <v>0</v>
      </c>
      <c r="V62" s="634">
        <f t="shared" ref="V62" ca="1" si="55">SUM($T62:$T63)</f>
        <v>0</v>
      </c>
      <c r="W62" s="618">
        <f ca="1">SUMPRODUCT($U62:$U63, --($E62:$E63&lt;&gt;0))</f>
        <v>0</v>
      </c>
      <c r="X62" s="15"/>
    </row>
    <row r="63" spans="2:26" x14ac:dyDescent="0.25">
      <c r="B63" s="86">
        <f t="shared" ca="1" si="17"/>
        <v>2048</v>
      </c>
      <c r="C63" s="80" t="s">
        <v>741</v>
      </c>
      <c r="D63" s="149" t="str">
        <f t="shared" si="33"/>
        <v/>
      </c>
      <c r="E63" s="81">
        <f t="shared" si="2"/>
        <v>0</v>
      </c>
      <c r="F63" s="81">
        <f t="shared" si="3"/>
        <v>2</v>
      </c>
      <c r="G63" s="82">
        <f t="shared" si="4"/>
        <v>-1</v>
      </c>
      <c r="H63" s="82">
        <f t="shared" si="35"/>
        <v>0</v>
      </c>
      <c r="I63" s="82">
        <f t="shared" si="36"/>
        <v>0</v>
      </c>
      <c r="J63" s="349">
        <f t="shared" ca="1" si="37"/>
        <v>0</v>
      </c>
      <c r="K63" s="349">
        <f t="shared" ca="1" si="38"/>
        <v>0</v>
      </c>
      <c r="L63" s="349">
        <f t="shared" ca="1" si="39"/>
        <v>0</v>
      </c>
      <c r="M63" s="356">
        <f t="shared" ca="1" si="18"/>
        <v>0</v>
      </c>
      <c r="N63" s="353" t="b">
        <f t="shared" ca="1" si="10"/>
        <v>0</v>
      </c>
      <c r="O63" s="142">
        <f ca="1">ROUNDDOWN(IF(NOT($N63),0,(MIN(INDEX(SC_EX_SSAIME,EXIDX),INDEX(SC_EA_SSBendPts, INDEX(SC_SSBaseYear,$F63)+1-SC_YearEpoch+2,1))*Lookup!$C$19+MAX(MIN(INDEX(SC_EX_SSAIME,EXIDX),INDEX(SC_EA_SSBendPts, INDEX(SC_SSBaseYear,$F63)+1-SC_YearEpoch+2,2))-INDEX(SC_EA_SSBendPts, INDEX(SC_SSBaseYear,$F63)+1-SC_YearEpoch+2,1),0)*Lookup!$C$20+MAX(INDEX(SC_EX_SSAIME,EXIDX)-INDEX(SC_EA_SSBendPts, INDEX(SC_SSBaseYear,$F63)+1-SC_YearEpoch+2,2),0)*Lookup!$C$21)/INDEX(SC_EX_SSIDXCOLA,EXIDX)),1)</f>
        <v>0</v>
      </c>
      <c r="P63" s="107">
        <f t="shared" ca="1" si="40"/>
        <v>0</v>
      </c>
      <c r="Q63" s="107">
        <f t="shared" ca="1" si="41"/>
        <v>0</v>
      </c>
      <c r="R63" s="107">
        <f t="shared" ca="1" si="42"/>
        <v>0</v>
      </c>
      <c r="S63" s="107">
        <f t="shared" ca="1" si="14"/>
        <v>0</v>
      </c>
      <c r="T63" s="388">
        <f t="shared" ca="1" si="43"/>
        <v>0</v>
      </c>
      <c r="U63" s="110">
        <f t="shared" ca="1" si="44"/>
        <v>0</v>
      </c>
      <c r="V63" s="634"/>
      <c r="W63" s="618"/>
      <c r="X63" s="15"/>
    </row>
    <row r="64" spans="2:26" x14ac:dyDescent="0.25">
      <c r="B64" s="65">
        <f ca="1">B62+1</f>
        <v>2049</v>
      </c>
      <c r="C64" s="76" t="s">
        <v>741</v>
      </c>
      <c r="D64" s="146" t="str">
        <f t="shared" si="33"/>
        <v/>
      </c>
      <c r="E64" s="77">
        <f t="shared" si="2"/>
        <v>0</v>
      </c>
      <c r="F64" s="77">
        <f t="shared" si="3"/>
        <v>1</v>
      </c>
      <c r="G64" s="76">
        <f t="shared" si="4"/>
        <v>1</v>
      </c>
      <c r="H64" s="76">
        <f t="shared" si="35"/>
        <v>0</v>
      </c>
      <c r="I64" s="76">
        <f t="shared" si="36"/>
        <v>0</v>
      </c>
      <c r="J64" s="331">
        <f t="shared" ca="1" si="37"/>
        <v>0</v>
      </c>
      <c r="K64" s="331">
        <f t="shared" ca="1" si="38"/>
        <v>0</v>
      </c>
      <c r="L64" s="331">
        <f t="shared" ca="1" si="39"/>
        <v>0</v>
      </c>
      <c r="M64" s="355">
        <f t="shared" ca="1" si="18"/>
        <v>0</v>
      </c>
      <c r="N64" s="352" t="b">
        <f t="shared" ca="1" si="10"/>
        <v>0</v>
      </c>
      <c r="O64" s="120">
        <f ca="1">ROUNDDOWN(IF(NOT($N64),0,(MIN(INDEX(SC_EX_SSAIME,EXIDX),INDEX(SC_EA_SSBendPts, INDEX(SC_SSBaseYear,$F64)+1-SC_YearEpoch+2,1))*Lookup!$C$19+MAX(MIN(INDEX(SC_EX_SSAIME,EXIDX),INDEX(SC_EA_SSBendPts, INDEX(SC_SSBaseYear,$F64)+1-SC_YearEpoch+2,2))-INDEX(SC_EA_SSBendPts, INDEX(SC_SSBaseYear,$F64)+1-SC_YearEpoch+2,1),0)*Lookup!$C$20+MAX(INDEX(SC_EX_SSAIME,EXIDX)-INDEX(SC_EA_SSBendPts, INDEX(SC_SSBaseYear,$F64)+1-SC_YearEpoch+2,2),0)*Lookup!$C$21)/INDEX(SC_EX_SSIDXCOLA,EXIDX)),1)</f>
        <v>0</v>
      </c>
      <c r="P64" s="488">
        <f t="shared" ca="1" si="40"/>
        <v>0</v>
      </c>
      <c r="Q64" s="70">
        <f t="shared" ca="1" si="41"/>
        <v>0</v>
      </c>
      <c r="R64" s="344">
        <f t="shared" ca="1" si="42"/>
        <v>0</v>
      </c>
      <c r="S64" s="347">
        <f t="shared" ca="1" si="14"/>
        <v>0</v>
      </c>
      <c r="T64" s="288">
        <f t="shared" ca="1" si="43"/>
        <v>0</v>
      </c>
      <c r="U64" s="383">
        <f t="shared" ca="1" si="44"/>
        <v>0</v>
      </c>
      <c r="V64" s="634">
        <f t="shared" ref="V64" ca="1" si="56">SUM($T64:$T65)</f>
        <v>0</v>
      </c>
      <c r="W64" s="618">
        <f ca="1">SUMPRODUCT($U64:$U65, --($E64:$E65&lt;&gt;0))</f>
        <v>0</v>
      </c>
      <c r="X64" s="15"/>
    </row>
    <row r="65" spans="2:24" x14ac:dyDescent="0.25">
      <c r="B65" s="86">
        <f t="shared" ca="1" si="17"/>
        <v>2049</v>
      </c>
      <c r="C65" s="80" t="s">
        <v>741</v>
      </c>
      <c r="D65" s="149" t="str">
        <f t="shared" si="33"/>
        <v/>
      </c>
      <c r="E65" s="81">
        <f t="shared" si="2"/>
        <v>0</v>
      </c>
      <c r="F65" s="81">
        <f t="shared" si="3"/>
        <v>2</v>
      </c>
      <c r="G65" s="82">
        <f t="shared" si="4"/>
        <v>-1</v>
      </c>
      <c r="H65" s="82">
        <f t="shared" si="35"/>
        <v>0</v>
      </c>
      <c r="I65" s="82">
        <f t="shared" si="36"/>
        <v>0</v>
      </c>
      <c r="J65" s="349">
        <f t="shared" ca="1" si="37"/>
        <v>0</v>
      </c>
      <c r="K65" s="349">
        <f t="shared" ca="1" si="38"/>
        <v>0</v>
      </c>
      <c r="L65" s="349">
        <f t="shared" ca="1" si="39"/>
        <v>0</v>
      </c>
      <c r="M65" s="356">
        <f t="shared" ca="1" si="18"/>
        <v>0</v>
      </c>
      <c r="N65" s="353" t="b">
        <f t="shared" ca="1" si="10"/>
        <v>0</v>
      </c>
      <c r="O65" s="142">
        <f ca="1">ROUNDDOWN(IF(NOT($N65),0,(MIN(INDEX(SC_EX_SSAIME,EXIDX),INDEX(SC_EA_SSBendPts, INDEX(SC_SSBaseYear,$F65)+1-SC_YearEpoch+2,1))*Lookup!$C$19+MAX(MIN(INDEX(SC_EX_SSAIME,EXIDX),INDEX(SC_EA_SSBendPts, INDEX(SC_SSBaseYear,$F65)+1-SC_YearEpoch+2,2))-INDEX(SC_EA_SSBendPts, INDEX(SC_SSBaseYear,$F65)+1-SC_YearEpoch+2,1),0)*Lookup!$C$20+MAX(INDEX(SC_EX_SSAIME,EXIDX)-INDEX(SC_EA_SSBendPts, INDEX(SC_SSBaseYear,$F65)+1-SC_YearEpoch+2,2),0)*Lookup!$C$21)/INDEX(SC_EX_SSIDXCOLA,EXIDX)),1)</f>
        <v>0</v>
      </c>
      <c r="P65" s="107">
        <f t="shared" ca="1" si="40"/>
        <v>0</v>
      </c>
      <c r="Q65" s="107">
        <f t="shared" ca="1" si="41"/>
        <v>0</v>
      </c>
      <c r="R65" s="107">
        <f t="shared" ca="1" si="42"/>
        <v>0</v>
      </c>
      <c r="S65" s="107">
        <f t="shared" ca="1" si="14"/>
        <v>0</v>
      </c>
      <c r="T65" s="388">
        <f t="shared" ca="1" si="43"/>
        <v>0</v>
      </c>
      <c r="U65" s="110">
        <f t="shared" ca="1" si="44"/>
        <v>0</v>
      </c>
      <c r="V65" s="634"/>
      <c r="W65" s="618"/>
      <c r="X65" s="15"/>
    </row>
    <row r="66" spans="2:24" x14ac:dyDescent="0.25">
      <c r="B66" s="65">
        <f ca="1">B64+1</f>
        <v>2050</v>
      </c>
      <c r="C66" s="76" t="s">
        <v>741</v>
      </c>
      <c r="D66" s="146" t="str">
        <f t="shared" si="33"/>
        <v/>
      </c>
      <c r="E66" s="77">
        <f t="shared" si="2"/>
        <v>0</v>
      </c>
      <c r="F66" s="77">
        <f t="shared" si="3"/>
        <v>1</v>
      </c>
      <c r="G66" s="76">
        <f t="shared" si="4"/>
        <v>1</v>
      </c>
      <c r="H66" s="76">
        <f t="shared" si="35"/>
        <v>0</v>
      </c>
      <c r="I66" s="76">
        <f t="shared" si="36"/>
        <v>0</v>
      </c>
      <c r="J66" s="331">
        <f t="shared" ca="1" si="37"/>
        <v>0</v>
      </c>
      <c r="K66" s="331">
        <f t="shared" ca="1" si="38"/>
        <v>0</v>
      </c>
      <c r="L66" s="331">
        <f t="shared" ca="1" si="39"/>
        <v>0</v>
      </c>
      <c r="M66" s="355">
        <f t="shared" ca="1" si="18"/>
        <v>0</v>
      </c>
      <c r="N66" s="352" t="b">
        <f t="shared" ca="1" si="10"/>
        <v>0</v>
      </c>
      <c r="O66" s="120">
        <f ca="1">ROUNDDOWN(IF(NOT($N66),0,(MIN(INDEX(SC_EX_SSAIME,EXIDX),INDEX(SC_EA_SSBendPts, INDEX(SC_SSBaseYear,$F66)+1-SC_YearEpoch+2,1))*Lookup!$C$19+MAX(MIN(INDEX(SC_EX_SSAIME,EXIDX),INDEX(SC_EA_SSBendPts, INDEX(SC_SSBaseYear,$F66)+1-SC_YearEpoch+2,2))-INDEX(SC_EA_SSBendPts, INDEX(SC_SSBaseYear,$F66)+1-SC_YearEpoch+2,1),0)*Lookup!$C$20+MAX(INDEX(SC_EX_SSAIME,EXIDX)-INDEX(SC_EA_SSBendPts, INDEX(SC_SSBaseYear,$F66)+1-SC_YearEpoch+2,2),0)*Lookup!$C$21)/INDEX(SC_EX_SSIDXCOLA,EXIDX)),1)</f>
        <v>0</v>
      </c>
      <c r="P66" s="488">
        <f t="shared" ca="1" si="40"/>
        <v>0</v>
      </c>
      <c r="Q66" s="70">
        <f t="shared" ca="1" si="41"/>
        <v>0</v>
      </c>
      <c r="R66" s="344">
        <f t="shared" ca="1" si="42"/>
        <v>0</v>
      </c>
      <c r="S66" s="347">
        <f t="shared" ca="1" si="14"/>
        <v>0</v>
      </c>
      <c r="T66" s="288">
        <f t="shared" ca="1" si="43"/>
        <v>0</v>
      </c>
      <c r="U66" s="383">
        <f t="shared" ca="1" si="44"/>
        <v>0</v>
      </c>
      <c r="V66" s="634">
        <f t="shared" ref="V66" ca="1" si="57">SUM($T66:$T67)</f>
        <v>0</v>
      </c>
      <c r="W66" s="618">
        <f ca="1">SUMPRODUCT($U66:$U67, --($E66:$E67&lt;&gt;0))</f>
        <v>0</v>
      </c>
      <c r="X66" s="15"/>
    </row>
    <row r="67" spans="2:24" x14ac:dyDescent="0.25">
      <c r="B67" s="86">
        <f t="shared" ca="1" si="17"/>
        <v>2050</v>
      </c>
      <c r="C67" s="80" t="s">
        <v>741</v>
      </c>
      <c r="D67" s="149" t="str">
        <f t="shared" si="33"/>
        <v/>
      </c>
      <c r="E67" s="81">
        <f t="shared" si="2"/>
        <v>0</v>
      </c>
      <c r="F67" s="81">
        <f t="shared" si="3"/>
        <v>2</v>
      </c>
      <c r="G67" s="82">
        <f t="shared" si="4"/>
        <v>-1</v>
      </c>
      <c r="H67" s="82">
        <f t="shared" si="35"/>
        <v>0</v>
      </c>
      <c r="I67" s="82">
        <f t="shared" si="36"/>
        <v>0</v>
      </c>
      <c r="J67" s="349">
        <f t="shared" ca="1" si="37"/>
        <v>0</v>
      </c>
      <c r="K67" s="349">
        <f t="shared" ca="1" si="38"/>
        <v>0</v>
      </c>
      <c r="L67" s="349">
        <f t="shared" ca="1" si="39"/>
        <v>0</v>
      </c>
      <c r="M67" s="356">
        <f t="shared" ca="1" si="18"/>
        <v>0</v>
      </c>
      <c r="N67" s="353" t="b">
        <f t="shared" ca="1" si="10"/>
        <v>0</v>
      </c>
      <c r="O67" s="142">
        <f ca="1">ROUNDDOWN(IF(NOT($N67),0,(MIN(INDEX(SC_EX_SSAIME,EXIDX),INDEX(SC_EA_SSBendPts, INDEX(SC_SSBaseYear,$F67)+1-SC_YearEpoch+2,1))*Lookup!$C$19+MAX(MIN(INDEX(SC_EX_SSAIME,EXIDX),INDEX(SC_EA_SSBendPts, INDEX(SC_SSBaseYear,$F67)+1-SC_YearEpoch+2,2))-INDEX(SC_EA_SSBendPts, INDEX(SC_SSBaseYear,$F67)+1-SC_YearEpoch+2,1),0)*Lookup!$C$20+MAX(INDEX(SC_EX_SSAIME,EXIDX)-INDEX(SC_EA_SSBendPts, INDEX(SC_SSBaseYear,$F67)+1-SC_YearEpoch+2,2),0)*Lookup!$C$21)/INDEX(SC_EX_SSIDXCOLA,EXIDX)),1)</f>
        <v>0</v>
      </c>
      <c r="P67" s="107">
        <f t="shared" ca="1" si="40"/>
        <v>0</v>
      </c>
      <c r="Q67" s="107">
        <f t="shared" ca="1" si="41"/>
        <v>0</v>
      </c>
      <c r="R67" s="107">
        <f t="shared" ca="1" si="42"/>
        <v>0</v>
      </c>
      <c r="S67" s="107">
        <f t="shared" ca="1" si="14"/>
        <v>0</v>
      </c>
      <c r="T67" s="388">
        <f t="shared" ca="1" si="43"/>
        <v>0</v>
      </c>
      <c r="U67" s="110">
        <f t="shared" ca="1" si="44"/>
        <v>0</v>
      </c>
      <c r="V67" s="634"/>
      <c r="W67" s="618"/>
      <c r="X67" s="15"/>
    </row>
    <row r="68" spans="2:24" x14ac:dyDescent="0.25">
      <c r="B68" s="65">
        <f ca="1">B66+1</f>
        <v>2051</v>
      </c>
      <c r="C68" s="76" t="s">
        <v>741</v>
      </c>
      <c r="D68" s="146" t="str">
        <f t="shared" si="33"/>
        <v/>
      </c>
      <c r="E68" s="77">
        <f t="shared" si="2"/>
        <v>0</v>
      </c>
      <c r="F68" s="77">
        <f t="shared" si="3"/>
        <v>1</v>
      </c>
      <c r="G68" s="76">
        <f t="shared" si="4"/>
        <v>1</v>
      </c>
      <c r="H68" s="76">
        <f t="shared" si="35"/>
        <v>0</v>
      </c>
      <c r="I68" s="76">
        <f t="shared" si="36"/>
        <v>0</v>
      </c>
      <c r="J68" s="331">
        <f t="shared" ca="1" si="37"/>
        <v>0</v>
      </c>
      <c r="K68" s="331">
        <f t="shared" ca="1" si="38"/>
        <v>0</v>
      </c>
      <c r="L68" s="331">
        <f t="shared" ca="1" si="39"/>
        <v>0</v>
      </c>
      <c r="M68" s="355">
        <f t="shared" ca="1" si="18"/>
        <v>0</v>
      </c>
      <c r="N68" s="352" t="b">
        <f t="shared" ca="1" si="10"/>
        <v>0</v>
      </c>
      <c r="O68" s="120">
        <f ca="1">ROUNDDOWN(IF(NOT($N68),0,(MIN(INDEX(SC_EX_SSAIME,EXIDX),INDEX(SC_EA_SSBendPts, INDEX(SC_SSBaseYear,$F68)+1-SC_YearEpoch+2,1))*Lookup!$C$19+MAX(MIN(INDEX(SC_EX_SSAIME,EXIDX),INDEX(SC_EA_SSBendPts, INDEX(SC_SSBaseYear,$F68)+1-SC_YearEpoch+2,2))-INDEX(SC_EA_SSBendPts, INDEX(SC_SSBaseYear,$F68)+1-SC_YearEpoch+2,1),0)*Lookup!$C$20+MAX(INDEX(SC_EX_SSAIME,EXIDX)-INDEX(SC_EA_SSBendPts, INDEX(SC_SSBaseYear,$F68)+1-SC_YearEpoch+2,2),0)*Lookup!$C$21)/INDEX(SC_EX_SSIDXCOLA,EXIDX)),1)</f>
        <v>0</v>
      </c>
      <c r="P68" s="488">
        <f t="shared" ca="1" si="40"/>
        <v>0</v>
      </c>
      <c r="Q68" s="70">
        <f t="shared" ca="1" si="41"/>
        <v>0</v>
      </c>
      <c r="R68" s="344">
        <f t="shared" ca="1" si="42"/>
        <v>0</v>
      </c>
      <c r="S68" s="347">
        <f t="shared" ca="1" si="14"/>
        <v>0</v>
      </c>
      <c r="T68" s="288">
        <f t="shared" ca="1" si="43"/>
        <v>0</v>
      </c>
      <c r="U68" s="383">
        <f t="shared" ca="1" si="44"/>
        <v>0</v>
      </c>
      <c r="V68" s="634">
        <f t="shared" ref="V68" ca="1" si="58">SUM($T68:$T69)</f>
        <v>0</v>
      </c>
      <c r="W68" s="618">
        <f ca="1">SUMPRODUCT($U68:$U69, --($E68:$E69&lt;&gt;0))</f>
        <v>0</v>
      </c>
      <c r="X68" s="15"/>
    </row>
    <row r="69" spans="2:24" x14ac:dyDescent="0.25">
      <c r="B69" s="86">
        <f t="shared" ca="1" si="17"/>
        <v>2051</v>
      </c>
      <c r="C69" s="80" t="s">
        <v>741</v>
      </c>
      <c r="D69" s="149" t="str">
        <f t="shared" si="33"/>
        <v/>
      </c>
      <c r="E69" s="81">
        <f t="shared" si="2"/>
        <v>0</v>
      </c>
      <c r="F69" s="81">
        <f t="shared" si="3"/>
        <v>2</v>
      </c>
      <c r="G69" s="82">
        <f t="shared" si="4"/>
        <v>-1</v>
      </c>
      <c r="H69" s="82">
        <f t="shared" si="35"/>
        <v>0</v>
      </c>
      <c r="I69" s="82">
        <f t="shared" si="36"/>
        <v>0</v>
      </c>
      <c r="J69" s="349">
        <f t="shared" ca="1" si="37"/>
        <v>0</v>
      </c>
      <c r="K69" s="349">
        <f t="shared" ca="1" si="38"/>
        <v>0</v>
      </c>
      <c r="L69" s="349">
        <f t="shared" ca="1" si="39"/>
        <v>0</v>
      </c>
      <c r="M69" s="356">
        <f t="shared" ca="1" si="18"/>
        <v>0</v>
      </c>
      <c r="N69" s="353" t="b">
        <f t="shared" ca="1" si="10"/>
        <v>0</v>
      </c>
      <c r="O69" s="142">
        <f ca="1">ROUNDDOWN(IF(NOT($N69),0,(MIN(INDEX(SC_EX_SSAIME,EXIDX),INDEX(SC_EA_SSBendPts, INDEX(SC_SSBaseYear,$F69)+1-SC_YearEpoch+2,1))*Lookup!$C$19+MAX(MIN(INDEX(SC_EX_SSAIME,EXIDX),INDEX(SC_EA_SSBendPts, INDEX(SC_SSBaseYear,$F69)+1-SC_YearEpoch+2,2))-INDEX(SC_EA_SSBendPts, INDEX(SC_SSBaseYear,$F69)+1-SC_YearEpoch+2,1),0)*Lookup!$C$20+MAX(INDEX(SC_EX_SSAIME,EXIDX)-INDEX(SC_EA_SSBendPts, INDEX(SC_SSBaseYear,$F69)+1-SC_YearEpoch+2,2),0)*Lookup!$C$21)/INDEX(SC_EX_SSIDXCOLA,EXIDX)),1)</f>
        <v>0</v>
      </c>
      <c r="P69" s="107">
        <f t="shared" ca="1" si="40"/>
        <v>0</v>
      </c>
      <c r="Q69" s="107">
        <f t="shared" ca="1" si="41"/>
        <v>0</v>
      </c>
      <c r="R69" s="107">
        <f t="shared" ca="1" si="42"/>
        <v>0</v>
      </c>
      <c r="S69" s="107">
        <f t="shared" ca="1" si="14"/>
        <v>0</v>
      </c>
      <c r="T69" s="388">
        <f t="shared" ca="1" si="43"/>
        <v>0</v>
      </c>
      <c r="U69" s="110">
        <f t="shared" ca="1" si="44"/>
        <v>0</v>
      </c>
      <c r="V69" s="634"/>
      <c r="W69" s="618"/>
      <c r="X69" s="15"/>
    </row>
    <row r="70" spans="2:24" x14ac:dyDescent="0.25">
      <c r="B70" s="65">
        <f ca="1">B68+1</f>
        <v>2052</v>
      </c>
      <c r="C70" s="76" t="s">
        <v>741</v>
      </c>
      <c r="D70" s="146" t="str">
        <f t="shared" si="33"/>
        <v/>
      </c>
      <c r="E70" s="77">
        <f t="shared" si="2"/>
        <v>0</v>
      </c>
      <c r="F70" s="77">
        <f t="shared" si="3"/>
        <v>1</v>
      </c>
      <c r="G70" s="76">
        <f t="shared" si="4"/>
        <v>1</v>
      </c>
      <c r="H70" s="76">
        <f t="shared" si="35"/>
        <v>0</v>
      </c>
      <c r="I70" s="76">
        <f t="shared" si="36"/>
        <v>0</v>
      </c>
      <c r="J70" s="331">
        <f t="shared" ca="1" si="37"/>
        <v>0</v>
      </c>
      <c r="K70" s="331">
        <f t="shared" ca="1" si="38"/>
        <v>0</v>
      </c>
      <c r="L70" s="331">
        <f t="shared" ca="1" si="39"/>
        <v>0</v>
      </c>
      <c r="M70" s="355">
        <f t="shared" ca="1" si="18"/>
        <v>0</v>
      </c>
      <c r="N70" s="352" t="b">
        <f t="shared" ca="1" si="10"/>
        <v>0</v>
      </c>
      <c r="O70" s="120">
        <f ca="1">ROUNDDOWN(IF(NOT($N70),0,(MIN(INDEX(SC_EX_SSAIME,EXIDX),INDEX(SC_EA_SSBendPts, INDEX(SC_SSBaseYear,$F70)+1-SC_YearEpoch+2,1))*Lookup!$C$19+MAX(MIN(INDEX(SC_EX_SSAIME,EXIDX),INDEX(SC_EA_SSBendPts, INDEX(SC_SSBaseYear,$F70)+1-SC_YearEpoch+2,2))-INDEX(SC_EA_SSBendPts, INDEX(SC_SSBaseYear,$F70)+1-SC_YearEpoch+2,1),0)*Lookup!$C$20+MAX(INDEX(SC_EX_SSAIME,EXIDX)-INDEX(SC_EA_SSBendPts, INDEX(SC_SSBaseYear,$F70)+1-SC_YearEpoch+2,2),0)*Lookup!$C$21)/INDEX(SC_EX_SSIDXCOLA,EXIDX)),1)</f>
        <v>0</v>
      </c>
      <c r="P70" s="488">
        <f t="shared" ca="1" si="40"/>
        <v>0</v>
      </c>
      <c r="Q70" s="70">
        <f t="shared" ca="1" si="41"/>
        <v>0</v>
      </c>
      <c r="R70" s="344">
        <f t="shared" ca="1" si="42"/>
        <v>0</v>
      </c>
      <c r="S70" s="347">
        <f t="shared" ca="1" si="14"/>
        <v>0</v>
      </c>
      <c r="T70" s="288">
        <f t="shared" ca="1" si="43"/>
        <v>0</v>
      </c>
      <c r="U70" s="383">
        <f t="shared" ca="1" si="44"/>
        <v>0</v>
      </c>
      <c r="V70" s="634">
        <f t="shared" ref="V70" ca="1" si="59">SUM($T70:$T71)</f>
        <v>0</v>
      </c>
      <c r="W70" s="618">
        <f ca="1">SUMPRODUCT($U70:$U71, --($E70:$E71&lt;&gt;0))</f>
        <v>0</v>
      </c>
      <c r="X70" s="15"/>
    </row>
    <row r="71" spans="2:24" x14ac:dyDescent="0.25">
      <c r="B71" s="86">
        <f t="shared" ca="1" si="17"/>
        <v>2052</v>
      </c>
      <c r="C71" s="80" t="s">
        <v>741</v>
      </c>
      <c r="D71" s="149" t="str">
        <f t="shared" si="33"/>
        <v/>
      </c>
      <c r="E71" s="81">
        <f t="shared" si="2"/>
        <v>0</v>
      </c>
      <c r="F71" s="81">
        <f t="shared" si="3"/>
        <v>2</v>
      </c>
      <c r="G71" s="82">
        <f t="shared" si="4"/>
        <v>-1</v>
      </c>
      <c r="H71" s="82">
        <f t="shared" si="35"/>
        <v>0</v>
      </c>
      <c r="I71" s="82">
        <f t="shared" si="36"/>
        <v>0</v>
      </c>
      <c r="J71" s="349">
        <f t="shared" ca="1" si="37"/>
        <v>0</v>
      </c>
      <c r="K71" s="349">
        <f t="shared" ca="1" si="38"/>
        <v>0</v>
      </c>
      <c r="L71" s="349">
        <f t="shared" ca="1" si="39"/>
        <v>0</v>
      </c>
      <c r="M71" s="356">
        <f t="shared" ca="1" si="18"/>
        <v>0</v>
      </c>
      <c r="N71" s="353" t="b">
        <f t="shared" ca="1" si="10"/>
        <v>0</v>
      </c>
      <c r="O71" s="142">
        <f ca="1">ROUNDDOWN(IF(NOT($N71),0,(MIN(INDEX(SC_EX_SSAIME,EXIDX),INDEX(SC_EA_SSBendPts, INDEX(SC_SSBaseYear,$F71)+1-SC_YearEpoch+2,1))*Lookup!$C$19+MAX(MIN(INDEX(SC_EX_SSAIME,EXIDX),INDEX(SC_EA_SSBendPts, INDEX(SC_SSBaseYear,$F71)+1-SC_YearEpoch+2,2))-INDEX(SC_EA_SSBendPts, INDEX(SC_SSBaseYear,$F71)+1-SC_YearEpoch+2,1),0)*Lookup!$C$20+MAX(INDEX(SC_EX_SSAIME,EXIDX)-INDEX(SC_EA_SSBendPts, INDEX(SC_SSBaseYear,$F71)+1-SC_YearEpoch+2,2),0)*Lookup!$C$21)/INDEX(SC_EX_SSIDXCOLA,EXIDX)),1)</f>
        <v>0</v>
      </c>
      <c r="P71" s="107">
        <f t="shared" ca="1" si="40"/>
        <v>0</v>
      </c>
      <c r="Q71" s="107">
        <f t="shared" ca="1" si="41"/>
        <v>0</v>
      </c>
      <c r="R71" s="107">
        <f t="shared" ca="1" si="42"/>
        <v>0</v>
      </c>
      <c r="S71" s="107">
        <f t="shared" ca="1" si="14"/>
        <v>0</v>
      </c>
      <c r="T71" s="388">
        <f t="shared" ca="1" si="43"/>
        <v>0</v>
      </c>
      <c r="U71" s="110">
        <f t="shared" ca="1" si="44"/>
        <v>0</v>
      </c>
      <c r="V71" s="634"/>
      <c r="W71" s="618"/>
      <c r="X71" s="15"/>
    </row>
    <row r="72" spans="2:24" x14ac:dyDescent="0.25">
      <c r="B72" s="65">
        <f ca="1">B70+1</f>
        <v>2053</v>
      </c>
      <c r="C72" s="76" t="s">
        <v>741</v>
      </c>
      <c r="D72" s="146" t="str">
        <f t="shared" ref="D72:D103" si="60">INDEX(SP_Initials,F72)</f>
        <v/>
      </c>
      <c r="E72" s="77">
        <f t="shared" ref="E72:E135" si="61">INDEX(SC_TaxIndex,$F72)</f>
        <v>0</v>
      </c>
      <c r="F72" s="77">
        <f t="shared" si="3"/>
        <v>1</v>
      </c>
      <c r="G72" s="76">
        <f t="shared" ref="G72:G135" si="62">MOD($F72,2)-($F72-1)</f>
        <v>1</v>
      </c>
      <c r="H72" s="76">
        <f t="shared" si="35"/>
        <v>0</v>
      </c>
      <c r="I72" s="76">
        <f t="shared" si="36"/>
        <v>0</v>
      </c>
      <c r="J72" s="331">
        <f t="shared" ca="1" si="37"/>
        <v>0</v>
      </c>
      <c r="K72" s="331">
        <f t="shared" ca="1" si="38"/>
        <v>0</v>
      </c>
      <c r="L72" s="331">
        <f t="shared" ca="1" si="39"/>
        <v>0</v>
      </c>
      <c r="M72" s="355">
        <f t="shared" ca="1" si="18"/>
        <v>0</v>
      </c>
      <c r="N72" s="352" t="b">
        <f t="shared" ca="1" si="10"/>
        <v>0</v>
      </c>
      <c r="O72" s="120">
        <f ca="1">ROUNDDOWN(IF(NOT($N72),0,(MIN(INDEX(SC_EX_SSAIME,EXIDX),INDEX(SC_EA_SSBendPts, INDEX(SC_SSBaseYear,$F72)+1-SC_YearEpoch+2,1))*Lookup!$C$19+MAX(MIN(INDEX(SC_EX_SSAIME,EXIDX),INDEX(SC_EA_SSBendPts, INDEX(SC_SSBaseYear,$F72)+1-SC_YearEpoch+2,2))-INDEX(SC_EA_SSBendPts, INDEX(SC_SSBaseYear,$F72)+1-SC_YearEpoch+2,1),0)*Lookup!$C$20+MAX(INDEX(SC_EX_SSAIME,EXIDX)-INDEX(SC_EA_SSBendPts, INDEX(SC_SSBaseYear,$F72)+1-SC_YearEpoch+2,2),0)*Lookup!$C$21)/INDEX(SC_EX_SSIDXCOLA,EXIDX)),1)</f>
        <v>0</v>
      </c>
      <c r="P72" s="488">
        <f t="shared" ca="1" si="40"/>
        <v>0</v>
      </c>
      <c r="Q72" s="70">
        <f t="shared" ca="1" si="41"/>
        <v>0</v>
      </c>
      <c r="R72" s="344">
        <f t="shared" ca="1" si="42"/>
        <v>0</v>
      </c>
      <c r="S72" s="347">
        <f t="shared" ca="1" si="14"/>
        <v>0</v>
      </c>
      <c r="T72" s="288">
        <f t="shared" ca="1" si="43"/>
        <v>0</v>
      </c>
      <c r="U72" s="383">
        <f t="shared" ca="1" si="44"/>
        <v>0</v>
      </c>
      <c r="V72" s="634">
        <f t="shared" ref="V72" ca="1" si="63">SUM($T72:$T73)</f>
        <v>0</v>
      </c>
      <c r="W72" s="618">
        <f ca="1">SUMPRODUCT($U72:$U73, --($E72:$E73&lt;&gt;0))</f>
        <v>0</v>
      </c>
    </row>
    <row r="73" spans="2:24" x14ac:dyDescent="0.25">
      <c r="B73" s="86">
        <f t="shared" ca="1" si="17"/>
        <v>2053</v>
      </c>
      <c r="C73" s="80" t="s">
        <v>741</v>
      </c>
      <c r="D73" s="149" t="str">
        <f t="shared" si="60"/>
        <v/>
      </c>
      <c r="E73" s="81">
        <f t="shared" si="61"/>
        <v>0</v>
      </c>
      <c r="F73" s="81">
        <f t="shared" ref="F73:F136" si="64">MOD(ROW(),2)+1</f>
        <v>2</v>
      </c>
      <c r="G73" s="82">
        <f t="shared" si="62"/>
        <v>-1</v>
      </c>
      <c r="H73" s="82">
        <f t="shared" si="35"/>
        <v>0</v>
      </c>
      <c r="I73" s="82">
        <f t="shared" si="36"/>
        <v>0</v>
      </c>
      <c r="J73" s="349">
        <f t="shared" ca="1" si="37"/>
        <v>0</v>
      </c>
      <c r="K73" s="349">
        <f t="shared" ca="1" si="38"/>
        <v>0</v>
      </c>
      <c r="L73" s="349">
        <f t="shared" ca="1" si="39"/>
        <v>0</v>
      </c>
      <c r="M73" s="356">
        <f t="shared" ca="1" si="18"/>
        <v>0</v>
      </c>
      <c r="N73" s="353" t="b">
        <f t="shared" ca="1" si="10"/>
        <v>0</v>
      </c>
      <c r="O73" s="142">
        <f ca="1">ROUNDDOWN(IF(NOT($N73),0,(MIN(INDEX(SC_EX_SSAIME,EXIDX),INDEX(SC_EA_SSBendPts, INDEX(SC_SSBaseYear,$F73)+1-SC_YearEpoch+2,1))*Lookup!$C$19+MAX(MIN(INDEX(SC_EX_SSAIME,EXIDX),INDEX(SC_EA_SSBendPts, INDEX(SC_SSBaseYear,$F73)+1-SC_YearEpoch+2,2))-INDEX(SC_EA_SSBendPts, INDEX(SC_SSBaseYear,$F73)+1-SC_YearEpoch+2,1),0)*Lookup!$C$20+MAX(INDEX(SC_EX_SSAIME,EXIDX)-INDEX(SC_EA_SSBendPts, INDEX(SC_SSBaseYear,$F73)+1-SC_YearEpoch+2,2),0)*Lookup!$C$21)/INDEX(SC_EX_SSIDXCOLA,EXIDX)),1)</f>
        <v>0</v>
      </c>
      <c r="P73" s="107">
        <f t="shared" ca="1" si="40"/>
        <v>0</v>
      </c>
      <c r="Q73" s="107">
        <f t="shared" ca="1" si="41"/>
        <v>0</v>
      </c>
      <c r="R73" s="107">
        <f t="shared" ca="1" si="42"/>
        <v>0</v>
      </c>
      <c r="S73" s="107">
        <f t="shared" ca="1" si="14"/>
        <v>0</v>
      </c>
      <c r="T73" s="388">
        <f t="shared" ca="1" si="43"/>
        <v>0</v>
      </c>
      <c r="U73" s="110">
        <f t="shared" ca="1" si="44"/>
        <v>0</v>
      </c>
      <c r="V73" s="634"/>
      <c r="W73" s="618"/>
    </row>
    <row r="74" spans="2:24" x14ac:dyDescent="0.25">
      <c r="B74" s="65">
        <f ca="1">B72+1</f>
        <v>2054</v>
      </c>
      <c r="C74" s="4" t="s">
        <v>741</v>
      </c>
      <c r="D74" s="16" t="str">
        <f t="shared" si="60"/>
        <v/>
      </c>
      <c r="E74" s="5">
        <f t="shared" si="61"/>
        <v>0</v>
      </c>
      <c r="F74" s="5">
        <f t="shared" si="64"/>
        <v>1</v>
      </c>
      <c r="G74" s="4">
        <f t="shared" si="62"/>
        <v>1</v>
      </c>
      <c r="H74" s="4">
        <f t="shared" ref="H74:H105" si="65">IF(INDEX(SC_ShowRetireatee,$F74),IF($B74&lt;YEAR(INDEX(SP_BirthDate,$F74)),0,$B74-YEAR(INDEX(SP_BirthDate,$F74))),0)</f>
        <v>0</v>
      </c>
      <c r="I74" s="4">
        <f t="shared" ref="I74:I105" si="66">IF(INDEX(SC_ShowRetireatee,$F74),IF($B74&gt;(YEAR(INDEX(SP_BirthDate,$F74))+INDEX(SP_LifeExp,$F74)),0,$H74),0)</f>
        <v>0</v>
      </c>
      <c r="J74" s="348">
        <f t="shared" ref="J74:J105" ca="1" si="67">IF(OR(INDEX(SC_SSDFD,$F74)=0,$B74&lt;YEAR(INDEX(SC_SSDFD,$F74)),$H74&gt;INDEX(SP_LifeExp,$F74)),0,IF($B74=YEAR(INDEX(SC_SSDFD,$F74)),YEARFRAC(INDEX(SC_SSDFD,$F74), DATE($B74+1,1,1)),1))</f>
        <v>0</v>
      </c>
      <c r="K74" s="348">
        <f t="shared" ref="K74:K105" ca="1" si="68">IF(OR(INDEX(SC_SSABFD,$F74)=0,$B74&lt;YEAR(INDEX(SC_SSABFD,$F74)),$H74&gt;=INDEX(SC_SurvivingAge,$F74),$H74&gt;INDEX(SP_LifeExp,$F74)),0,IF($B74=YEAR(INDEX(SC_SSABFD,$F74)),YEARFRAC(INDEX(SC_SSABFD,$F74), DATE($B74+1,1,1)),1))</f>
        <v>0</v>
      </c>
      <c r="L74" s="348">
        <f t="shared" ref="L74:L105" ca="1" si="69">IF(OR(INDEX(SC_SSABFD,$F74)=0,$B74&lt;YEAR(INDEX(SC_SSABFD,$F74)),$H74&lt;INDEX(SC_SurvivingAge,$F74),$H74&gt;INDEX(SP_LifeExp,$F74)),0,IF($B74=YEAR(INDEX(SC_SSABFD,$F74)),YEARFRAC(INDEX(SC_SSABFD,$F74), DATE($B74+1,1,1)),1))</f>
        <v>0</v>
      </c>
      <c r="M74" s="355">
        <f t="shared" ca="1" si="18"/>
        <v>0</v>
      </c>
      <c r="N74" s="345" t="b">
        <f t="shared" ref="N74:N137" ca="1" si="70">AND(SP_SSRIB,INDEX(SC_ShowRetireatee,$F74),NOT(SUMIF(OFFSET(SC_EX_RN,0,0,EXIDX-1), $F74, OFFSET(SC_EX_SSWorkCredits,0,0,EXIDX-1))&lt;INDEX(SC_SSCreditsNeeded,$F74)))</f>
        <v>0</v>
      </c>
      <c r="O74" s="143">
        <f ca="1">ROUNDDOWN(IF(NOT($N74),0,(MIN(INDEX(SC_EX_SSAIME,EXIDX),INDEX(SC_EA_SSBendPts, INDEX(SC_SSBaseYear,$F74)+1-SC_YearEpoch+2,1))*Lookup!$C$19+MAX(MIN(INDEX(SC_EX_SSAIME,EXIDX),INDEX(SC_EA_SSBendPts, INDEX(SC_SSBaseYear,$F74)+1-SC_YearEpoch+2,2))-INDEX(SC_EA_SSBendPts, INDEX(SC_SSBaseYear,$F74)+1-SC_YearEpoch+2,1),0)*Lookup!$C$20+MAX(INDEX(SC_EX_SSAIME,EXIDX)-INDEX(SC_EA_SSBendPts, INDEX(SC_SSBaseYear,$F74)+1-SC_YearEpoch+2,2),0)*Lookup!$C$21)/INDEX(SC_EX_SSIDXCOLA,EXIDX)),1)</f>
        <v>0</v>
      </c>
      <c r="P74" s="6">
        <f t="shared" ref="P74:P105" ca="1" si="71">ROUNDDOWN($O74*INDEX(SC_SSPBPct,$F74),1)</f>
        <v>0</v>
      </c>
      <c r="Q74" s="6">
        <f t="shared" ref="Q74:Q105" ca="1" si="72">ROUNDDOWN(IF(NOT($N74),0,MAX(OFFSET($O74,$G74,0)/2-$O74,0)*INDEX(SC_SSABPct,$F74)),1)</f>
        <v>0</v>
      </c>
      <c r="R74" s="6">
        <f t="shared" ref="R74:R105" ca="1" si="73">ROUNDDOWN(IF(NOT($N74),0,MAX(OFFSET($O74,$G74,0)*INDEX(SC_SSSBPct,$F74),0)),1)</f>
        <v>0</v>
      </c>
      <c r="S74" s="6">
        <f t="shared" ref="S74:S137" ca="1" si="74">-MIN($P74,$R74)</f>
        <v>0</v>
      </c>
      <c r="T74" s="288">
        <f t="shared" ref="T74:T105" ca="1" si="75">IF(OR($I74=0,NOT($N74)),0,SUMPRODUCT(SUBTOTAL(6,OFFSET(LT_AnnuityLifeTable,MAX($I74,INDEX(SC_SSFRA,$F74)),($F74-1)*3+2,OFFSET(LT_AnnuityLifeTable,1,0,LT_AnnuityMaxAge-MAX($I74,INDEX(SC_SSFRA,$F74))+1,1),1)))*O74*12)</f>
        <v>0</v>
      </c>
      <c r="U74" s="330">
        <f t="shared" ref="U74:U105" ca="1" si="76">SUMPRODUCT($P74:$S74,ABS($J74:$M74))*12</f>
        <v>0</v>
      </c>
      <c r="V74" s="634">
        <f t="shared" ref="V74" ca="1" si="77">SUM($T74:$T75)</f>
        <v>0</v>
      </c>
      <c r="W74" s="662">
        <f ca="1">SUMPRODUCT($U74:$U75, --($E74:$E75&lt;&gt;0))</f>
        <v>0</v>
      </c>
    </row>
    <row r="75" spans="2:24" x14ac:dyDescent="0.25">
      <c r="B75" s="86">
        <f t="shared" ref="B75:B137" ca="1" si="78">B73+1</f>
        <v>2054</v>
      </c>
      <c r="C75" s="46" t="s">
        <v>741</v>
      </c>
      <c r="D75" s="148" t="str">
        <f t="shared" si="60"/>
        <v/>
      </c>
      <c r="E75" s="34">
        <f t="shared" si="61"/>
        <v>0</v>
      </c>
      <c r="F75" s="34">
        <f t="shared" si="64"/>
        <v>2</v>
      </c>
      <c r="G75" s="35">
        <f t="shared" si="62"/>
        <v>-1</v>
      </c>
      <c r="H75" s="35">
        <f t="shared" si="65"/>
        <v>0</v>
      </c>
      <c r="I75" s="35">
        <f t="shared" si="66"/>
        <v>0</v>
      </c>
      <c r="J75" s="350">
        <f t="shared" ca="1" si="67"/>
        <v>0</v>
      </c>
      <c r="K75" s="350">
        <f t="shared" ca="1" si="68"/>
        <v>0</v>
      </c>
      <c r="L75" s="350">
        <f t="shared" ca="1" si="69"/>
        <v>0</v>
      </c>
      <c r="M75" s="356">
        <f t="shared" ca="1" si="18"/>
        <v>0</v>
      </c>
      <c r="N75" s="354" t="b">
        <f t="shared" ca="1" si="70"/>
        <v>0</v>
      </c>
      <c r="O75" s="144">
        <f ca="1">ROUNDDOWN(IF(NOT($N75),0,(MIN(INDEX(SC_EX_SSAIME,EXIDX),INDEX(SC_EA_SSBendPts, INDEX(SC_SSBaseYear,$F75)+1-SC_YearEpoch+2,1))*Lookup!$C$19+MAX(MIN(INDEX(SC_EX_SSAIME,EXIDX),INDEX(SC_EA_SSBendPts, INDEX(SC_SSBaseYear,$F75)+1-SC_YearEpoch+2,2))-INDEX(SC_EA_SSBendPts, INDEX(SC_SSBaseYear,$F75)+1-SC_YearEpoch+2,1),0)*Lookup!$C$20+MAX(INDEX(SC_EX_SSAIME,EXIDX)-INDEX(SC_EA_SSBendPts, INDEX(SC_SSBaseYear,$F75)+1-SC_YearEpoch+2,2),0)*Lookup!$C$21)/INDEX(SC_EX_SSIDXCOLA,EXIDX)),1)</f>
        <v>0</v>
      </c>
      <c r="P75" s="145">
        <f t="shared" ca="1" si="71"/>
        <v>0</v>
      </c>
      <c r="Q75" s="145">
        <f t="shared" ca="1" si="72"/>
        <v>0</v>
      </c>
      <c r="R75" s="145">
        <f t="shared" ca="1" si="73"/>
        <v>0</v>
      </c>
      <c r="S75" s="145">
        <f t="shared" ca="1" si="74"/>
        <v>0</v>
      </c>
      <c r="T75" s="388">
        <f t="shared" ca="1" si="75"/>
        <v>0</v>
      </c>
      <c r="U75" s="386">
        <f t="shared" ca="1" si="76"/>
        <v>0</v>
      </c>
      <c r="V75" s="634"/>
      <c r="W75" s="662"/>
    </row>
    <row r="76" spans="2:24" x14ac:dyDescent="0.25">
      <c r="B76" s="65">
        <f ca="1">B74+1</f>
        <v>2055</v>
      </c>
      <c r="C76" s="4" t="s">
        <v>741</v>
      </c>
      <c r="D76" s="16" t="str">
        <f t="shared" si="60"/>
        <v/>
      </c>
      <c r="E76" s="5">
        <f t="shared" si="61"/>
        <v>0</v>
      </c>
      <c r="F76" s="5">
        <f t="shared" si="64"/>
        <v>1</v>
      </c>
      <c r="G76" s="4">
        <f t="shared" si="62"/>
        <v>1</v>
      </c>
      <c r="H76" s="4">
        <f t="shared" si="65"/>
        <v>0</v>
      </c>
      <c r="I76" s="4">
        <f t="shared" si="66"/>
        <v>0</v>
      </c>
      <c r="J76" s="348">
        <f t="shared" ca="1" si="67"/>
        <v>0</v>
      </c>
      <c r="K76" s="348">
        <f t="shared" ca="1" si="68"/>
        <v>0</v>
      </c>
      <c r="L76" s="348">
        <f t="shared" ca="1" si="69"/>
        <v>0</v>
      </c>
      <c r="M76" s="355">
        <f t="shared" ref="M76:M139" ca="1" si="79">MAX(ABS(MAX(IF($J76&lt;=0,$J76,-1),IF($L76&lt;=0,$L76,-1)))
   +MIN(IF($J76&gt;=0,$J76,1),IF($L76&gt;=0,$L76,1))-1,0)</f>
        <v>0</v>
      </c>
      <c r="N76" s="345" t="b">
        <f t="shared" ca="1" si="70"/>
        <v>0</v>
      </c>
      <c r="O76" s="143">
        <f ca="1">ROUNDDOWN(IF(NOT($N76),0,(MIN(INDEX(SC_EX_SSAIME,EXIDX),INDEX(SC_EA_SSBendPts, INDEX(SC_SSBaseYear,$F76)+1-SC_YearEpoch+2,1))*Lookup!$C$19+MAX(MIN(INDEX(SC_EX_SSAIME,EXIDX),INDEX(SC_EA_SSBendPts, INDEX(SC_SSBaseYear,$F76)+1-SC_YearEpoch+2,2))-INDEX(SC_EA_SSBendPts, INDEX(SC_SSBaseYear,$F76)+1-SC_YearEpoch+2,1),0)*Lookup!$C$20+MAX(INDEX(SC_EX_SSAIME,EXIDX)-INDEX(SC_EA_SSBendPts, INDEX(SC_SSBaseYear,$F76)+1-SC_YearEpoch+2,2),0)*Lookup!$C$21)/INDEX(SC_EX_SSIDXCOLA,EXIDX)),1)</f>
        <v>0</v>
      </c>
      <c r="P76" s="6">
        <f t="shared" ca="1" si="71"/>
        <v>0</v>
      </c>
      <c r="Q76" s="6">
        <f t="shared" ca="1" si="72"/>
        <v>0</v>
      </c>
      <c r="R76" s="6">
        <f t="shared" ca="1" si="73"/>
        <v>0</v>
      </c>
      <c r="S76" s="6">
        <f t="shared" ca="1" si="74"/>
        <v>0</v>
      </c>
      <c r="T76" s="288">
        <f t="shared" ca="1" si="75"/>
        <v>0</v>
      </c>
      <c r="U76" s="330">
        <f t="shared" ca="1" si="76"/>
        <v>0</v>
      </c>
      <c r="V76" s="634">
        <f t="shared" ref="V76" ca="1" si="80">SUM($T76:$T77)</f>
        <v>0</v>
      </c>
      <c r="W76" s="662">
        <f ca="1">SUMPRODUCT($U76:$U77, --($E76:$E77&lt;&gt;0))</f>
        <v>0</v>
      </c>
    </row>
    <row r="77" spans="2:24" x14ac:dyDescent="0.25">
      <c r="B77" s="86">
        <f t="shared" ca="1" si="78"/>
        <v>2055</v>
      </c>
      <c r="C77" s="46" t="s">
        <v>741</v>
      </c>
      <c r="D77" s="148" t="str">
        <f t="shared" si="60"/>
        <v/>
      </c>
      <c r="E77" s="34">
        <f t="shared" si="61"/>
        <v>0</v>
      </c>
      <c r="F77" s="34">
        <f t="shared" si="64"/>
        <v>2</v>
      </c>
      <c r="G77" s="35">
        <f t="shared" si="62"/>
        <v>-1</v>
      </c>
      <c r="H77" s="35">
        <f t="shared" si="65"/>
        <v>0</v>
      </c>
      <c r="I77" s="35">
        <f t="shared" si="66"/>
        <v>0</v>
      </c>
      <c r="J77" s="350">
        <f t="shared" ca="1" si="67"/>
        <v>0</v>
      </c>
      <c r="K77" s="350">
        <f t="shared" ca="1" si="68"/>
        <v>0</v>
      </c>
      <c r="L77" s="350">
        <f t="shared" ca="1" si="69"/>
        <v>0</v>
      </c>
      <c r="M77" s="356">
        <f t="shared" ca="1" si="79"/>
        <v>0</v>
      </c>
      <c r="N77" s="354" t="b">
        <f t="shared" ca="1" si="70"/>
        <v>0</v>
      </c>
      <c r="O77" s="144">
        <f ca="1">ROUNDDOWN(IF(NOT($N77),0,(MIN(INDEX(SC_EX_SSAIME,EXIDX),INDEX(SC_EA_SSBendPts, INDEX(SC_SSBaseYear,$F77)+1-SC_YearEpoch+2,1))*Lookup!$C$19+MAX(MIN(INDEX(SC_EX_SSAIME,EXIDX),INDEX(SC_EA_SSBendPts, INDEX(SC_SSBaseYear,$F77)+1-SC_YearEpoch+2,2))-INDEX(SC_EA_SSBendPts, INDEX(SC_SSBaseYear,$F77)+1-SC_YearEpoch+2,1),0)*Lookup!$C$20+MAX(INDEX(SC_EX_SSAIME,EXIDX)-INDEX(SC_EA_SSBendPts, INDEX(SC_SSBaseYear,$F77)+1-SC_YearEpoch+2,2),0)*Lookup!$C$21)/INDEX(SC_EX_SSIDXCOLA,EXIDX)),1)</f>
        <v>0</v>
      </c>
      <c r="P77" s="145">
        <f t="shared" ca="1" si="71"/>
        <v>0</v>
      </c>
      <c r="Q77" s="145">
        <f t="shared" ca="1" si="72"/>
        <v>0</v>
      </c>
      <c r="R77" s="145">
        <f t="shared" ca="1" si="73"/>
        <v>0</v>
      </c>
      <c r="S77" s="145">
        <f t="shared" ca="1" si="74"/>
        <v>0</v>
      </c>
      <c r="T77" s="388">
        <f t="shared" ca="1" si="75"/>
        <v>0</v>
      </c>
      <c r="U77" s="386">
        <f t="shared" ca="1" si="76"/>
        <v>0</v>
      </c>
      <c r="V77" s="634"/>
      <c r="W77" s="662"/>
    </row>
    <row r="78" spans="2:24" x14ac:dyDescent="0.25">
      <c r="B78" s="65">
        <f ca="1">B76+1</f>
        <v>2056</v>
      </c>
      <c r="C78" s="4" t="s">
        <v>741</v>
      </c>
      <c r="D78" s="16" t="str">
        <f t="shared" si="60"/>
        <v/>
      </c>
      <c r="E78" s="5">
        <f t="shared" si="61"/>
        <v>0</v>
      </c>
      <c r="F78" s="5">
        <f t="shared" si="64"/>
        <v>1</v>
      </c>
      <c r="G78" s="4">
        <f t="shared" si="62"/>
        <v>1</v>
      </c>
      <c r="H78" s="4">
        <f t="shared" si="65"/>
        <v>0</v>
      </c>
      <c r="I78" s="4">
        <f t="shared" si="66"/>
        <v>0</v>
      </c>
      <c r="J78" s="348">
        <f t="shared" ca="1" si="67"/>
        <v>0</v>
      </c>
      <c r="K78" s="348">
        <f t="shared" ca="1" si="68"/>
        <v>0</v>
      </c>
      <c r="L78" s="348">
        <f t="shared" ca="1" si="69"/>
        <v>0</v>
      </c>
      <c r="M78" s="355">
        <f t="shared" ca="1" si="79"/>
        <v>0</v>
      </c>
      <c r="N78" s="345" t="b">
        <f t="shared" ca="1" si="70"/>
        <v>0</v>
      </c>
      <c r="O78" s="143">
        <f ca="1">ROUNDDOWN(IF(NOT($N78),0,(MIN(INDEX(SC_EX_SSAIME,EXIDX),INDEX(SC_EA_SSBendPts, INDEX(SC_SSBaseYear,$F78)+1-SC_YearEpoch+2,1))*Lookup!$C$19+MAX(MIN(INDEX(SC_EX_SSAIME,EXIDX),INDEX(SC_EA_SSBendPts, INDEX(SC_SSBaseYear,$F78)+1-SC_YearEpoch+2,2))-INDEX(SC_EA_SSBendPts, INDEX(SC_SSBaseYear,$F78)+1-SC_YearEpoch+2,1),0)*Lookup!$C$20+MAX(INDEX(SC_EX_SSAIME,EXIDX)-INDEX(SC_EA_SSBendPts, INDEX(SC_SSBaseYear,$F78)+1-SC_YearEpoch+2,2),0)*Lookup!$C$21)/INDEX(SC_EX_SSIDXCOLA,EXIDX)),1)</f>
        <v>0</v>
      </c>
      <c r="P78" s="6">
        <f t="shared" ca="1" si="71"/>
        <v>0</v>
      </c>
      <c r="Q78" s="6">
        <f t="shared" ca="1" si="72"/>
        <v>0</v>
      </c>
      <c r="R78" s="6">
        <f t="shared" ca="1" si="73"/>
        <v>0</v>
      </c>
      <c r="S78" s="6">
        <f t="shared" ca="1" si="74"/>
        <v>0</v>
      </c>
      <c r="T78" s="288">
        <f t="shared" ca="1" si="75"/>
        <v>0</v>
      </c>
      <c r="U78" s="330">
        <f t="shared" ca="1" si="76"/>
        <v>0</v>
      </c>
      <c r="V78" s="634">
        <f t="shared" ref="V78" ca="1" si="81">SUM($T78:$T79)</f>
        <v>0</v>
      </c>
      <c r="W78" s="662">
        <f ca="1">SUMPRODUCT($U78:$U79, --($E78:$E79&lt;&gt;0))</f>
        <v>0</v>
      </c>
    </row>
    <row r="79" spans="2:24" x14ac:dyDescent="0.25">
      <c r="B79" s="86">
        <f t="shared" ca="1" si="78"/>
        <v>2056</v>
      </c>
      <c r="C79" s="46" t="s">
        <v>741</v>
      </c>
      <c r="D79" s="148" t="str">
        <f t="shared" si="60"/>
        <v/>
      </c>
      <c r="E79" s="34">
        <f t="shared" si="61"/>
        <v>0</v>
      </c>
      <c r="F79" s="34">
        <f t="shared" si="64"/>
        <v>2</v>
      </c>
      <c r="G79" s="35">
        <f t="shared" si="62"/>
        <v>-1</v>
      </c>
      <c r="H79" s="35">
        <f t="shared" si="65"/>
        <v>0</v>
      </c>
      <c r="I79" s="35">
        <f t="shared" si="66"/>
        <v>0</v>
      </c>
      <c r="J79" s="350">
        <f t="shared" ca="1" si="67"/>
        <v>0</v>
      </c>
      <c r="K79" s="350">
        <f t="shared" ca="1" si="68"/>
        <v>0</v>
      </c>
      <c r="L79" s="350">
        <f t="shared" ca="1" si="69"/>
        <v>0</v>
      </c>
      <c r="M79" s="356">
        <f t="shared" ca="1" si="79"/>
        <v>0</v>
      </c>
      <c r="N79" s="354" t="b">
        <f t="shared" ca="1" si="70"/>
        <v>0</v>
      </c>
      <c r="O79" s="144">
        <f ca="1">ROUNDDOWN(IF(NOT($N79),0,(MIN(INDEX(SC_EX_SSAIME,EXIDX),INDEX(SC_EA_SSBendPts, INDEX(SC_SSBaseYear,$F79)+1-SC_YearEpoch+2,1))*Lookup!$C$19+MAX(MIN(INDEX(SC_EX_SSAIME,EXIDX),INDEX(SC_EA_SSBendPts, INDEX(SC_SSBaseYear,$F79)+1-SC_YearEpoch+2,2))-INDEX(SC_EA_SSBendPts, INDEX(SC_SSBaseYear,$F79)+1-SC_YearEpoch+2,1),0)*Lookup!$C$20+MAX(INDEX(SC_EX_SSAIME,EXIDX)-INDEX(SC_EA_SSBendPts, INDEX(SC_SSBaseYear,$F79)+1-SC_YearEpoch+2,2),0)*Lookup!$C$21)/INDEX(SC_EX_SSIDXCOLA,EXIDX)),1)</f>
        <v>0</v>
      </c>
      <c r="P79" s="145">
        <f t="shared" ca="1" si="71"/>
        <v>0</v>
      </c>
      <c r="Q79" s="145">
        <f t="shared" ca="1" si="72"/>
        <v>0</v>
      </c>
      <c r="R79" s="145">
        <f t="shared" ca="1" si="73"/>
        <v>0</v>
      </c>
      <c r="S79" s="145">
        <f t="shared" ca="1" si="74"/>
        <v>0</v>
      </c>
      <c r="T79" s="388">
        <f t="shared" ca="1" si="75"/>
        <v>0</v>
      </c>
      <c r="U79" s="386">
        <f t="shared" ca="1" si="76"/>
        <v>0</v>
      </c>
      <c r="V79" s="634"/>
      <c r="W79" s="662"/>
    </row>
    <row r="80" spans="2:24" x14ac:dyDescent="0.25">
      <c r="B80" s="65">
        <f ca="1">B78+1</f>
        <v>2057</v>
      </c>
      <c r="C80" s="4" t="s">
        <v>741</v>
      </c>
      <c r="D80" s="16" t="str">
        <f t="shared" si="60"/>
        <v/>
      </c>
      <c r="E80" s="5">
        <f t="shared" si="61"/>
        <v>0</v>
      </c>
      <c r="F80" s="5">
        <f t="shared" si="64"/>
        <v>1</v>
      </c>
      <c r="G80" s="4">
        <f t="shared" si="62"/>
        <v>1</v>
      </c>
      <c r="H80" s="4">
        <f t="shared" si="65"/>
        <v>0</v>
      </c>
      <c r="I80" s="4">
        <f t="shared" si="66"/>
        <v>0</v>
      </c>
      <c r="J80" s="348">
        <f t="shared" ca="1" si="67"/>
        <v>0</v>
      </c>
      <c r="K80" s="348">
        <f t="shared" ca="1" si="68"/>
        <v>0</v>
      </c>
      <c r="L80" s="348">
        <f t="shared" ca="1" si="69"/>
        <v>0</v>
      </c>
      <c r="M80" s="355">
        <f t="shared" ca="1" si="79"/>
        <v>0</v>
      </c>
      <c r="N80" s="345" t="b">
        <f t="shared" ca="1" si="70"/>
        <v>0</v>
      </c>
      <c r="O80" s="143">
        <f ca="1">ROUNDDOWN(IF(NOT($N80),0,(MIN(INDEX(SC_EX_SSAIME,EXIDX),INDEX(SC_EA_SSBendPts, INDEX(SC_SSBaseYear,$F80)+1-SC_YearEpoch+2,1))*Lookup!$C$19+MAX(MIN(INDEX(SC_EX_SSAIME,EXIDX),INDEX(SC_EA_SSBendPts, INDEX(SC_SSBaseYear,$F80)+1-SC_YearEpoch+2,2))-INDEX(SC_EA_SSBendPts, INDEX(SC_SSBaseYear,$F80)+1-SC_YearEpoch+2,1),0)*Lookup!$C$20+MAX(INDEX(SC_EX_SSAIME,EXIDX)-INDEX(SC_EA_SSBendPts, INDEX(SC_SSBaseYear,$F80)+1-SC_YearEpoch+2,2),0)*Lookup!$C$21)/INDEX(SC_EX_SSIDXCOLA,EXIDX)),1)</f>
        <v>0</v>
      </c>
      <c r="P80" s="6">
        <f t="shared" ca="1" si="71"/>
        <v>0</v>
      </c>
      <c r="Q80" s="6">
        <f t="shared" ca="1" si="72"/>
        <v>0</v>
      </c>
      <c r="R80" s="6">
        <f t="shared" ca="1" si="73"/>
        <v>0</v>
      </c>
      <c r="S80" s="6">
        <f t="shared" ca="1" si="74"/>
        <v>0</v>
      </c>
      <c r="T80" s="288">
        <f t="shared" ca="1" si="75"/>
        <v>0</v>
      </c>
      <c r="U80" s="330">
        <f t="shared" ca="1" si="76"/>
        <v>0</v>
      </c>
      <c r="V80" s="634">
        <f t="shared" ref="V80" ca="1" si="82">SUM($T80:$T81)</f>
        <v>0</v>
      </c>
      <c r="W80" s="662">
        <f ca="1">SUMPRODUCT($U80:$U81, --($E80:$E81&lt;&gt;0))</f>
        <v>0</v>
      </c>
    </row>
    <row r="81" spans="2:23" x14ac:dyDescent="0.25">
      <c r="B81" s="86">
        <f t="shared" ca="1" si="78"/>
        <v>2057</v>
      </c>
      <c r="C81" s="46" t="s">
        <v>741</v>
      </c>
      <c r="D81" s="148" t="str">
        <f t="shared" si="60"/>
        <v/>
      </c>
      <c r="E81" s="34">
        <f t="shared" si="61"/>
        <v>0</v>
      </c>
      <c r="F81" s="34">
        <f t="shared" si="64"/>
        <v>2</v>
      </c>
      <c r="G81" s="35">
        <f t="shared" si="62"/>
        <v>-1</v>
      </c>
      <c r="H81" s="35">
        <f t="shared" si="65"/>
        <v>0</v>
      </c>
      <c r="I81" s="35">
        <f t="shared" si="66"/>
        <v>0</v>
      </c>
      <c r="J81" s="350">
        <f t="shared" ca="1" si="67"/>
        <v>0</v>
      </c>
      <c r="K81" s="350">
        <f t="shared" ca="1" si="68"/>
        <v>0</v>
      </c>
      <c r="L81" s="350">
        <f t="shared" ca="1" si="69"/>
        <v>0</v>
      </c>
      <c r="M81" s="356">
        <f t="shared" ca="1" si="79"/>
        <v>0</v>
      </c>
      <c r="N81" s="354" t="b">
        <f t="shared" ca="1" si="70"/>
        <v>0</v>
      </c>
      <c r="O81" s="144">
        <f ca="1">ROUNDDOWN(IF(NOT($N81),0,(MIN(INDEX(SC_EX_SSAIME,EXIDX),INDEX(SC_EA_SSBendPts, INDEX(SC_SSBaseYear,$F81)+1-SC_YearEpoch+2,1))*Lookup!$C$19+MAX(MIN(INDEX(SC_EX_SSAIME,EXIDX),INDEX(SC_EA_SSBendPts, INDEX(SC_SSBaseYear,$F81)+1-SC_YearEpoch+2,2))-INDEX(SC_EA_SSBendPts, INDEX(SC_SSBaseYear,$F81)+1-SC_YearEpoch+2,1),0)*Lookup!$C$20+MAX(INDEX(SC_EX_SSAIME,EXIDX)-INDEX(SC_EA_SSBendPts, INDEX(SC_SSBaseYear,$F81)+1-SC_YearEpoch+2,2),0)*Lookup!$C$21)/INDEX(SC_EX_SSIDXCOLA,EXIDX)),1)</f>
        <v>0</v>
      </c>
      <c r="P81" s="145">
        <f t="shared" ca="1" si="71"/>
        <v>0</v>
      </c>
      <c r="Q81" s="145">
        <f t="shared" ca="1" si="72"/>
        <v>0</v>
      </c>
      <c r="R81" s="145">
        <f t="shared" ca="1" si="73"/>
        <v>0</v>
      </c>
      <c r="S81" s="145">
        <f t="shared" ca="1" si="74"/>
        <v>0</v>
      </c>
      <c r="T81" s="388">
        <f t="shared" ca="1" si="75"/>
        <v>0</v>
      </c>
      <c r="U81" s="386">
        <f t="shared" ca="1" si="76"/>
        <v>0</v>
      </c>
      <c r="V81" s="634"/>
      <c r="W81" s="662"/>
    </row>
    <row r="82" spans="2:23" x14ac:dyDescent="0.25">
      <c r="B82" s="65">
        <f ca="1">B80+1</f>
        <v>2058</v>
      </c>
      <c r="C82" s="4" t="s">
        <v>741</v>
      </c>
      <c r="D82" s="16" t="str">
        <f t="shared" si="60"/>
        <v/>
      </c>
      <c r="E82" s="5">
        <f t="shared" si="61"/>
        <v>0</v>
      </c>
      <c r="F82" s="5">
        <f t="shared" si="64"/>
        <v>1</v>
      </c>
      <c r="G82" s="4">
        <f t="shared" si="62"/>
        <v>1</v>
      </c>
      <c r="H82" s="4">
        <f t="shared" si="65"/>
        <v>0</v>
      </c>
      <c r="I82" s="4">
        <f t="shared" si="66"/>
        <v>0</v>
      </c>
      <c r="J82" s="348">
        <f t="shared" ca="1" si="67"/>
        <v>0</v>
      </c>
      <c r="K82" s="348">
        <f t="shared" ca="1" si="68"/>
        <v>0</v>
      </c>
      <c r="L82" s="348">
        <f t="shared" ca="1" si="69"/>
        <v>0</v>
      </c>
      <c r="M82" s="355">
        <f t="shared" ca="1" si="79"/>
        <v>0</v>
      </c>
      <c r="N82" s="345" t="b">
        <f t="shared" ca="1" si="70"/>
        <v>0</v>
      </c>
      <c r="O82" s="143">
        <f ca="1">ROUNDDOWN(IF(NOT($N82),0,(MIN(INDEX(SC_EX_SSAIME,EXIDX),INDEX(SC_EA_SSBendPts, INDEX(SC_SSBaseYear,$F82)+1-SC_YearEpoch+2,1))*Lookup!$C$19+MAX(MIN(INDEX(SC_EX_SSAIME,EXIDX),INDEX(SC_EA_SSBendPts, INDEX(SC_SSBaseYear,$F82)+1-SC_YearEpoch+2,2))-INDEX(SC_EA_SSBendPts, INDEX(SC_SSBaseYear,$F82)+1-SC_YearEpoch+2,1),0)*Lookup!$C$20+MAX(INDEX(SC_EX_SSAIME,EXIDX)-INDEX(SC_EA_SSBendPts, INDEX(SC_SSBaseYear,$F82)+1-SC_YearEpoch+2,2),0)*Lookup!$C$21)/INDEX(SC_EX_SSIDXCOLA,EXIDX)),1)</f>
        <v>0</v>
      </c>
      <c r="P82" s="6">
        <f t="shared" ca="1" si="71"/>
        <v>0</v>
      </c>
      <c r="Q82" s="6">
        <f t="shared" ca="1" si="72"/>
        <v>0</v>
      </c>
      <c r="R82" s="6">
        <f t="shared" ca="1" si="73"/>
        <v>0</v>
      </c>
      <c r="S82" s="6">
        <f t="shared" ca="1" si="74"/>
        <v>0</v>
      </c>
      <c r="T82" s="288">
        <f t="shared" ca="1" si="75"/>
        <v>0</v>
      </c>
      <c r="U82" s="330">
        <f t="shared" ca="1" si="76"/>
        <v>0</v>
      </c>
      <c r="V82" s="634">
        <f t="shared" ref="V82" ca="1" si="83">SUM($T82:$T83)</f>
        <v>0</v>
      </c>
      <c r="W82" s="662">
        <f ca="1">SUMPRODUCT($U82:$U83, --($E82:$E83&lt;&gt;0))</f>
        <v>0</v>
      </c>
    </row>
    <row r="83" spans="2:23" x14ac:dyDescent="0.25">
      <c r="B83" s="86">
        <f t="shared" ca="1" si="78"/>
        <v>2058</v>
      </c>
      <c r="C83" s="46" t="s">
        <v>741</v>
      </c>
      <c r="D83" s="148" t="str">
        <f t="shared" si="60"/>
        <v/>
      </c>
      <c r="E83" s="34">
        <f t="shared" si="61"/>
        <v>0</v>
      </c>
      <c r="F83" s="34">
        <f t="shared" si="64"/>
        <v>2</v>
      </c>
      <c r="G83" s="35">
        <f t="shared" si="62"/>
        <v>-1</v>
      </c>
      <c r="H83" s="35">
        <f t="shared" si="65"/>
        <v>0</v>
      </c>
      <c r="I83" s="35">
        <f t="shared" si="66"/>
        <v>0</v>
      </c>
      <c r="J83" s="350">
        <f t="shared" ca="1" si="67"/>
        <v>0</v>
      </c>
      <c r="K83" s="350">
        <f t="shared" ca="1" si="68"/>
        <v>0</v>
      </c>
      <c r="L83" s="350">
        <f t="shared" ca="1" si="69"/>
        <v>0</v>
      </c>
      <c r="M83" s="356">
        <f t="shared" ca="1" si="79"/>
        <v>0</v>
      </c>
      <c r="N83" s="354" t="b">
        <f t="shared" ca="1" si="70"/>
        <v>0</v>
      </c>
      <c r="O83" s="144">
        <f ca="1">ROUNDDOWN(IF(NOT($N83),0,(MIN(INDEX(SC_EX_SSAIME,EXIDX),INDEX(SC_EA_SSBendPts, INDEX(SC_SSBaseYear,$F83)+1-SC_YearEpoch+2,1))*Lookup!$C$19+MAX(MIN(INDEX(SC_EX_SSAIME,EXIDX),INDEX(SC_EA_SSBendPts, INDEX(SC_SSBaseYear,$F83)+1-SC_YearEpoch+2,2))-INDEX(SC_EA_SSBendPts, INDEX(SC_SSBaseYear,$F83)+1-SC_YearEpoch+2,1),0)*Lookup!$C$20+MAX(INDEX(SC_EX_SSAIME,EXIDX)-INDEX(SC_EA_SSBendPts, INDEX(SC_SSBaseYear,$F83)+1-SC_YearEpoch+2,2),0)*Lookup!$C$21)/INDEX(SC_EX_SSIDXCOLA,EXIDX)),1)</f>
        <v>0</v>
      </c>
      <c r="P83" s="145">
        <f t="shared" ca="1" si="71"/>
        <v>0</v>
      </c>
      <c r="Q83" s="145">
        <f t="shared" ca="1" si="72"/>
        <v>0</v>
      </c>
      <c r="R83" s="145">
        <f t="shared" ca="1" si="73"/>
        <v>0</v>
      </c>
      <c r="S83" s="145">
        <f t="shared" ca="1" si="74"/>
        <v>0</v>
      </c>
      <c r="T83" s="388">
        <f t="shared" ca="1" si="75"/>
        <v>0</v>
      </c>
      <c r="U83" s="386">
        <f t="shared" ca="1" si="76"/>
        <v>0</v>
      </c>
      <c r="V83" s="634"/>
      <c r="W83" s="662"/>
    </row>
    <row r="84" spans="2:23" x14ac:dyDescent="0.25">
      <c r="B84" s="65">
        <f ca="1">B82+1</f>
        <v>2059</v>
      </c>
      <c r="C84" s="4" t="s">
        <v>741</v>
      </c>
      <c r="D84" s="16" t="str">
        <f t="shared" si="60"/>
        <v/>
      </c>
      <c r="E84" s="5">
        <f t="shared" si="61"/>
        <v>0</v>
      </c>
      <c r="F84" s="5">
        <f t="shared" si="64"/>
        <v>1</v>
      </c>
      <c r="G84" s="4">
        <f t="shared" si="62"/>
        <v>1</v>
      </c>
      <c r="H84" s="4">
        <f t="shared" si="65"/>
        <v>0</v>
      </c>
      <c r="I84" s="4">
        <f t="shared" si="66"/>
        <v>0</v>
      </c>
      <c r="J84" s="348">
        <f t="shared" ca="1" si="67"/>
        <v>0</v>
      </c>
      <c r="K84" s="348">
        <f t="shared" ca="1" si="68"/>
        <v>0</v>
      </c>
      <c r="L84" s="348">
        <f t="shared" ca="1" si="69"/>
        <v>0</v>
      </c>
      <c r="M84" s="355">
        <f t="shared" ca="1" si="79"/>
        <v>0</v>
      </c>
      <c r="N84" s="345" t="b">
        <f t="shared" ca="1" si="70"/>
        <v>0</v>
      </c>
      <c r="O84" s="143">
        <f ca="1">ROUNDDOWN(IF(NOT($N84),0,(MIN(INDEX(SC_EX_SSAIME,EXIDX),INDEX(SC_EA_SSBendPts, INDEX(SC_SSBaseYear,$F84)+1-SC_YearEpoch+2,1))*Lookup!$C$19+MAX(MIN(INDEX(SC_EX_SSAIME,EXIDX),INDEX(SC_EA_SSBendPts, INDEX(SC_SSBaseYear,$F84)+1-SC_YearEpoch+2,2))-INDEX(SC_EA_SSBendPts, INDEX(SC_SSBaseYear,$F84)+1-SC_YearEpoch+2,1),0)*Lookup!$C$20+MAX(INDEX(SC_EX_SSAIME,EXIDX)-INDEX(SC_EA_SSBendPts, INDEX(SC_SSBaseYear,$F84)+1-SC_YearEpoch+2,2),0)*Lookup!$C$21)/INDEX(SC_EX_SSIDXCOLA,EXIDX)),1)</f>
        <v>0</v>
      </c>
      <c r="P84" s="6">
        <f t="shared" ca="1" si="71"/>
        <v>0</v>
      </c>
      <c r="Q84" s="6">
        <f t="shared" ca="1" si="72"/>
        <v>0</v>
      </c>
      <c r="R84" s="6">
        <f t="shared" ca="1" si="73"/>
        <v>0</v>
      </c>
      <c r="S84" s="6">
        <f t="shared" ca="1" si="74"/>
        <v>0</v>
      </c>
      <c r="T84" s="288">
        <f t="shared" ca="1" si="75"/>
        <v>0</v>
      </c>
      <c r="U84" s="330">
        <f t="shared" ca="1" si="76"/>
        <v>0</v>
      </c>
      <c r="V84" s="634">
        <f t="shared" ref="V84" ca="1" si="84">SUM($T84:$T85)</f>
        <v>0</v>
      </c>
      <c r="W84" s="662">
        <f ca="1">SUMPRODUCT($U84:$U85, --($E84:$E85&lt;&gt;0))</f>
        <v>0</v>
      </c>
    </row>
    <row r="85" spans="2:23" x14ac:dyDescent="0.25">
      <c r="B85" s="86">
        <f t="shared" ca="1" si="78"/>
        <v>2059</v>
      </c>
      <c r="C85" s="46" t="s">
        <v>741</v>
      </c>
      <c r="D85" s="148" t="str">
        <f t="shared" si="60"/>
        <v/>
      </c>
      <c r="E85" s="34">
        <f t="shared" si="61"/>
        <v>0</v>
      </c>
      <c r="F85" s="34">
        <f t="shared" si="64"/>
        <v>2</v>
      </c>
      <c r="G85" s="35">
        <f t="shared" si="62"/>
        <v>-1</v>
      </c>
      <c r="H85" s="35">
        <f t="shared" si="65"/>
        <v>0</v>
      </c>
      <c r="I85" s="35">
        <f t="shared" si="66"/>
        <v>0</v>
      </c>
      <c r="J85" s="350">
        <f t="shared" ca="1" si="67"/>
        <v>0</v>
      </c>
      <c r="K85" s="350">
        <f t="shared" ca="1" si="68"/>
        <v>0</v>
      </c>
      <c r="L85" s="350">
        <f t="shared" ca="1" si="69"/>
        <v>0</v>
      </c>
      <c r="M85" s="356">
        <f t="shared" ca="1" si="79"/>
        <v>0</v>
      </c>
      <c r="N85" s="354" t="b">
        <f t="shared" ca="1" si="70"/>
        <v>0</v>
      </c>
      <c r="O85" s="144">
        <f ca="1">ROUNDDOWN(IF(NOT($N85),0,(MIN(INDEX(SC_EX_SSAIME,EXIDX),INDEX(SC_EA_SSBendPts, INDEX(SC_SSBaseYear,$F85)+1-SC_YearEpoch+2,1))*Lookup!$C$19+MAX(MIN(INDEX(SC_EX_SSAIME,EXIDX),INDEX(SC_EA_SSBendPts, INDEX(SC_SSBaseYear,$F85)+1-SC_YearEpoch+2,2))-INDEX(SC_EA_SSBendPts, INDEX(SC_SSBaseYear,$F85)+1-SC_YearEpoch+2,1),0)*Lookup!$C$20+MAX(INDEX(SC_EX_SSAIME,EXIDX)-INDEX(SC_EA_SSBendPts, INDEX(SC_SSBaseYear,$F85)+1-SC_YearEpoch+2,2),0)*Lookup!$C$21)/INDEX(SC_EX_SSIDXCOLA,EXIDX)),1)</f>
        <v>0</v>
      </c>
      <c r="P85" s="145">
        <f t="shared" ca="1" si="71"/>
        <v>0</v>
      </c>
      <c r="Q85" s="145">
        <f t="shared" ca="1" si="72"/>
        <v>0</v>
      </c>
      <c r="R85" s="145">
        <f t="shared" ca="1" si="73"/>
        <v>0</v>
      </c>
      <c r="S85" s="145">
        <f t="shared" ca="1" si="74"/>
        <v>0</v>
      </c>
      <c r="T85" s="388">
        <f t="shared" ca="1" si="75"/>
        <v>0</v>
      </c>
      <c r="U85" s="386">
        <f t="shared" ca="1" si="76"/>
        <v>0</v>
      </c>
      <c r="V85" s="634"/>
      <c r="W85" s="662"/>
    </row>
    <row r="86" spans="2:23" x14ac:dyDescent="0.25">
      <c r="B86" s="65">
        <f ca="1">B84+1</f>
        <v>2060</v>
      </c>
      <c r="C86" s="4" t="s">
        <v>741</v>
      </c>
      <c r="D86" s="16" t="str">
        <f t="shared" si="60"/>
        <v/>
      </c>
      <c r="E86" s="5">
        <f t="shared" si="61"/>
        <v>0</v>
      </c>
      <c r="F86" s="5">
        <f t="shared" si="64"/>
        <v>1</v>
      </c>
      <c r="G86" s="4">
        <f t="shared" si="62"/>
        <v>1</v>
      </c>
      <c r="H86" s="4">
        <f t="shared" si="65"/>
        <v>0</v>
      </c>
      <c r="I86" s="4">
        <f t="shared" si="66"/>
        <v>0</v>
      </c>
      <c r="J86" s="348">
        <f t="shared" ca="1" si="67"/>
        <v>0</v>
      </c>
      <c r="K86" s="348">
        <f t="shared" ca="1" si="68"/>
        <v>0</v>
      </c>
      <c r="L86" s="348">
        <f t="shared" ca="1" si="69"/>
        <v>0</v>
      </c>
      <c r="M86" s="355">
        <f t="shared" ca="1" si="79"/>
        <v>0</v>
      </c>
      <c r="N86" s="345" t="b">
        <f t="shared" ca="1" si="70"/>
        <v>0</v>
      </c>
      <c r="O86" s="143">
        <f ca="1">ROUNDDOWN(IF(NOT($N86),0,(MIN(INDEX(SC_EX_SSAIME,EXIDX),INDEX(SC_EA_SSBendPts, INDEX(SC_SSBaseYear,$F86)+1-SC_YearEpoch+2,1))*Lookup!$C$19+MAX(MIN(INDEX(SC_EX_SSAIME,EXIDX),INDEX(SC_EA_SSBendPts, INDEX(SC_SSBaseYear,$F86)+1-SC_YearEpoch+2,2))-INDEX(SC_EA_SSBendPts, INDEX(SC_SSBaseYear,$F86)+1-SC_YearEpoch+2,1),0)*Lookup!$C$20+MAX(INDEX(SC_EX_SSAIME,EXIDX)-INDEX(SC_EA_SSBendPts, INDEX(SC_SSBaseYear,$F86)+1-SC_YearEpoch+2,2),0)*Lookup!$C$21)/INDEX(SC_EX_SSIDXCOLA,EXIDX)),1)</f>
        <v>0</v>
      </c>
      <c r="P86" s="6">
        <f t="shared" ca="1" si="71"/>
        <v>0</v>
      </c>
      <c r="Q86" s="6">
        <f t="shared" ca="1" si="72"/>
        <v>0</v>
      </c>
      <c r="R86" s="6">
        <f t="shared" ca="1" si="73"/>
        <v>0</v>
      </c>
      <c r="S86" s="6">
        <f t="shared" ca="1" si="74"/>
        <v>0</v>
      </c>
      <c r="T86" s="288">
        <f t="shared" ca="1" si="75"/>
        <v>0</v>
      </c>
      <c r="U86" s="330">
        <f t="shared" ca="1" si="76"/>
        <v>0</v>
      </c>
      <c r="V86" s="634">
        <f t="shared" ref="V86" ca="1" si="85">SUM($T86:$T87)</f>
        <v>0</v>
      </c>
      <c r="W86" s="662">
        <f ca="1">SUMPRODUCT($U86:$U87, --($E86:$E87&lt;&gt;0))</f>
        <v>0</v>
      </c>
    </row>
    <row r="87" spans="2:23" x14ac:dyDescent="0.25">
      <c r="B87" s="86">
        <f t="shared" ca="1" si="78"/>
        <v>2060</v>
      </c>
      <c r="C87" s="46" t="s">
        <v>741</v>
      </c>
      <c r="D87" s="148" t="str">
        <f t="shared" si="60"/>
        <v/>
      </c>
      <c r="E87" s="34">
        <f t="shared" si="61"/>
        <v>0</v>
      </c>
      <c r="F87" s="34">
        <f t="shared" si="64"/>
        <v>2</v>
      </c>
      <c r="G87" s="35">
        <f t="shared" si="62"/>
        <v>-1</v>
      </c>
      <c r="H87" s="35">
        <f t="shared" si="65"/>
        <v>0</v>
      </c>
      <c r="I87" s="35">
        <f t="shared" si="66"/>
        <v>0</v>
      </c>
      <c r="J87" s="350">
        <f t="shared" ca="1" si="67"/>
        <v>0</v>
      </c>
      <c r="K87" s="350">
        <f t="shared" ca="1" si="68"/>
        <v>0</v>
      </c>
      <c r="L87" s="350">
        <f t="shared" ca="1" si="69"/>
        <v>0</v>
      </c>
      <c r="M87" s="356">
        <f t="shared" ca="1" si="79"/>
        <v>0</v>
      </c>
      <c r="N87" s="354" t="b">
        <f t="shared" ca="1" si="70"/>
        <v>0</v>
      </c>
      <c r="O87" s="144">
        <f ca="1">ROUNDDOWN(IF(NOT($N87),0,(MIN(INDEX(SC_EX_SSAIME,EXIDX),INDEX(SC_EA_SSBendPts, INDEX(SC_SSBaseYear,$F87)+1-SC_YearEpoch+2,1))*Lookup!$C$19+MAX(MIN(INDEX(SC_EX_SSAIME,EXIDX),INDEX(SC_EA_SSBendPts, INDEX(SC_SSBaseYear,$F87)+1-SC_YearEpoch+2,2))-INDEX(SC_EA_SSBendPts, INDEX(SC_SSBaseYear,$F87)+1-SC_YearEpoch+2,1),0)*Lookup!$C$20+MAX(INDEX(SC_EX_SSAIME,EXIDX)-INDEX(SC_EA_SSBendPts, INDEX(SC_SSBaseYear,$F87)+1-SC_YearEpoch+2,2),0)*Lookup!$C$21)/INDEX(SC_EX_SSIDXCOLA,EXIDX)),1)</f>
        <v>0</v>
      </c>
      <c r="P87" s="145">
        <f t="shared" ca="1" si="71"/>
        <v>0</v>
      </c>
      <c r="Q87" s="145">
        <f t="shared" ca="1" si="72"/>
        <v>0</v>
      </c>
      <c r="R87" s="145">
        <f t="shared" ca="1" si="73"/>
        <v>0</v>
      </c>
      <c r="S87" s="145">
        <f t="shared" ca="1" si="74"/>
        <v>0</v>
      </c>
      <c r="T87" s="388">
        <f t="shared" ca="1" si="75"/>
        <v>0</v>
      </c>
      <c r="U87" s="386">
        <f t="shared" ca="1" si="76"/>
        <v>0</v>
      </c>
      <c r="V87" s="634"/>
      <c r="W87" s="662"/>
    </row>
    <row r="88" spans="2:23" x14ac:dyDescent="0.25">
      <c r="B88" s="65">
        <f ca="1">B86+1</f>
        <v>2061</v>
      </c>
      <c r="C88" s="4" t="s">
        <v>741</v>
      </c>
      <c r="D88" s="16" t="str">
        <f t="shared" si="60"/>
        <v/>
      </c>
      <c r="E88" s="5">
        <f t="shared" si="61"/>
        <v>0</v>
      </c>
      <c r="F88" s="5">
        <f t="shared" si="64"/>
        <v>1</v>
      </c>
      <c r="G88" s="4">
        <f t="shared" si="62"/>
        <v>1</v>
      </c>
      <c r="H88" s="4">
        <f t="shared" si="65"/>
        <v>0</v>
      </c>
      <c r="I88" s="4">
        <f t="shared" si="66"/>
        <v>0</v>
      </c>
      <c r="J88" s="348">
        <f t="shared" ca="1" si="67"/>
        <v>0</v>
      </c>
      <c r="K88" s="348">
        <f t="shared" ca="1" si="68"/>
        <v>0</v>
      </c>
      <c r="L88" s="348">
        <f t="shared" ca="1" si="69"/>
        <v>0</v>
      </c>
      <c r="M88" s="355">
        <f t="shared" ca="1" si="79"/>
        <v>0</v>
      </c>
      <c r="N88" s="345" t="b">
        <f t="shared" ca="1" si="70"/>
        <v>0</v>
      </c>
      <c r="O88" s="143">
        <f ca="1">ROUNDDOWN(IF(NOT($N88),0,(MIN(INDEX(SC_EX_SSAIME,EXIDX),INDEX(SC_EA_SSBendPts, INDEX(SC_SSBaseYear,$F88)+1-SC_YearEpoch+2,1))*Lookup!$C$19+MAX(MIN(INDEX(SC_EX_SSAIME,EXIDX),INDEX(SC_EA_SSBendPts, INDEX(SC_SSBaseYear,$F88)+1-SC_YearEpoch+2,2))-INDEX(SC_EA_SSBendPts, INDEX(SC_SSBaseYear,$F88)+1-SC_YearEpoch+2,1),0)*Lookup!$C$20+MAX(INDEX(SC_EX_SSAIME,EXIDX)-INDEX(SC_EA_SSBendPts, INDEX(SC_SSBaseYear,$F88)+1-SC_YearEpoch+2,2),0)*Lookup!$C$21)/INDEX(SC_EX_SSIDXCOLA,EXIDX)),1)</f>
        <v>0</v>
      </c>
      <c r="P88" s="6">
        <f t="shared" ca="1" si="71"/>
        <v>0</v>
      </c>
      <c r="Q88" s="6">
        <f t="shared" ca="1" si="72"/>
        <v>0</v>
      </c>
      <c r="R88" s="6">
        <f t="shared" ca="1" si="73"/>
        <v>0</v>
      </c>
      <c r="S88" s="6">
        <f t="shared" ca="1" si="74"/>
        <v>0</v>
      </c>
      <c r="T88" s="288">
        <f t="shared" ca="1" si="75"/>
        <v>0</v>
      </c>
      <c r="U88" s="330">
        <f t="shared" ca="1" si="76"/>
        <v>0</v>
      </c>
      <c r="V88" s="634">
        <f t="shared" ref="V88" ca="1" si="86">SUM($T88:$T89)</f>
        <v>0</v>
      </c>
      <c r="W88" s="662">
        <f ca="1">SUMPRODUCT($U88:$U89, --($E88:$E89&lt;&gt;0))</f>
        <v>0</v>
      </c>
    </row>
    <row r="89" spans="2:23" x14ac:dyDescent="0.25">
      <c r="B89" s="86">
        <f t="shared" ca="1" si="78"/>
        <v>2061</v>
      </c>
      <c r="C89" s="46" t="s">
        <v>741</v>
      </c>
      <c r="D89" s="148" t="str">
        <f t="shared" si="60"/>
        <v/>
      </c>
      <c r="E89" s="34">
        <f t="shared" si="61"/>
        <v>0</v>
      </c>
      <c r="F89" s="34">
        <f t="shared" si="64"/>
        <v>2</v>
      </c>
      <c r="G89" s="35">
        <f t="shared" si="62"/>
        <v>-1</v>
      </c>
      <c r="H89" s="35">
        <f t="shared" si="65"/>
        <v>0</v>
      </c>
      <c r="I89" s="35">
        <f t="shared" si="66"/>
        <v>0</v>
      </c>
      <c r="J89" s="350">
        <f t="shared" ca="1" si="67"/>
        <v>0</v>
      </c>
      <c r="K89" s="350">
        <f t="shared" ca="1" si="68"/>
        <v>0</v>
      </c>
      <c r="L89" s="350">
        <f t="shared" ca="1" si="69"/>
        <v>0</v>
      </c>
      <c r="M89" s="356">
        <f t="shared" ca="1" si="79"/>
        <v>0</v>
      </c>
      <c r="N89" s="354" t="b">
        <f t="shared" ca="1" si="70"/>
        <v>0</v>
      </c>
      <c r="O89" s="144">
        <f ca="1">ROUNDDOWN(IF(NOT($N89),0,(MIN(INDEX(SC_EX_SSAIME,EXIDX),INDEX(SC_EA_SSBendPts, INDEX(SC_SSBaseYear,$F89)+1-SC_YearEpoch+2,1))*Lookup!$C$19+MAX(MIN(INDEX(SC_EX_SSAIME,EXIDX),INDEX(SC_EA_SSBendPts, INDEX(SC_SSBaseYear,$F89)+1-SC_YearEpoch+2,2))-INDEX(SC_EA_SSBendPts, INDEX(SC_SSBaseYear,$F89)+1-SC_YearEpoch+2,1),0)*Lookup!$C$20+MAX(INDEX(SC_EX_SSAIME,EXIDX)-INDEX(SC_EA_SSBendPts, INDEX(SC_SSBaseYear,$F89)+1-SC_YearEpoch+2,2),0)*Lookup!$C$21)/INDEX(SC_EX_SSIDXCOLA,EXIDX)),1)</f>
        <v>0</v>
      </c>
      <c r="P89" s="145">
        <f t="shared" ca="1" si="71"/>
        <v>0</v>
      </c>
      <c r="Q89" s="145">
        <f t="shared" ca="1" si="72"/>
        <v>0</v>
      </c>
      <c r="R89" s="145">
        <f t="shared" ca="1" si="73"/>
        <v>0</v>
      </c>
      <c r="S89" s="145">
        <f t="shared" ca="1" si="74"/>
        <v>0</v>
      </c>
      <c r="T89" s="388">
        <f t="shared" ca="1" si="75"/>
        <v>0</v>
      </c>
      <c r="U89" s="386">
        <f t="shared" ca="1" si="76"/>
        <v>0</v>
      </c>
      <c r="V89" s="634"/>
      <c r="W89" s="662"/>
    </row>
    <row r="90" spans="2:23" x14ac:dyDescent="0.25">
      <c r="B90" s="65">
        <f ca="1">B88+1</f>
        <v>2062</v>
      </c>
      <c r="C90" s="4" t="s">
        <v>741</v>
      </c>
      <c r="D90" s="16" t="str">
        <f t="shared" si="60"/>
        <v/>
      </c>
      <c r="E90" s="5">
        <f t="shared" si="61"/>
        <v>0</v>
      </c>
      <c r="F90" s="5">
        <f t="shared" si="64"/>
        <v>1</v>
      </c>
      <c r="G90" s="4">
        <f t="shared" si="62"/>
        <v>1</v>
      </c>
      <c r="H90" s="4">
        <f t="shared" si="65"/>
        <v>0</v>
      </c>
      <c r="I90" s="4">
        <f t="shared" si="66"/>
        <v>0</v>
      </c>
      <c r="J90" s="348">
        <f t="shared" ca="1" si="67"/>
        <v>0</v>
      </c>
      <c r="K90" s="348">
        <f t="shared" ca="1" si="68"/>
        <v>0</v>
      </c>
      <c r="L90" s="348">
        <f t="shared" ca="1" si="69"/>
        <v>0</v>
      </c>
      <c r="M90" s="355">
        <f t="shared" ca="1" si="79"/>
        <v>0</v>
      </c>
      <c r="N90" s="345" t="b">
        <f t="shared" ca="1" si="70"/>
        <v>0</v>
      </c>
      <c r="O90" s="143">
        <f ca="1">ROUNDDOWN(IF(NOT($N90),0,(MIN(INDEX(SC_EX_SSAIME,EXIDX),INDEX(SC_EA_SSBendPts, INDEX(SC_SSBaseYear,$F90)+1-SC_YearEpoch+2,1))*Lookup!$C$19+MAX(MIN(INDEX(SC_EX_SSAIME,EXIDX),INDEX(SC_EA_SSBendPts, INDEX(SC_SSBaseYear,$F90)+1-SC_YearEpoch+2,2))-INDEX(SC_EA_SSBendPts, INDEX(SC_SSBaseYear,$F90)+1-SC_YearEpoch+2,1),0)*Lookup!$C$20+MAX(INDEX(SC_EX_SSAIME,EXIDX)-INDEX(SC_EA_SSBendPts, INDEX(SC_SSBaseYear,$F90)+1-SC_YearEpoch+2,2),0)*Lookup!$C$21)/INDEX(SC_EX_SSIDXCOLA,EXIDX)),1)</f>
        <v>0</v>
      </c>
      <c r="P90" s="6">
        <f t="shared" ca="1" si="71"/>
        <v>0</v>
      </c>
      <c r="Q90" s="6">
        <f t="shared" ca="1" si="72"/>
        <v>0</v>
      </c>
      <c r="R90" s="6">
        <f t="shared" ca="1" si="73"/>
        <v>0</v>
      </c>
      <c r="S90" s="6">
        <f t="shared" ca="1" si="74"/>
        <v>0</v>
      </c>
      <c r="T90" s="288">
        <f t="shared" ca="1" si="75"/>
        <v>0</v>
      </c>
      <c r="U90" s="330">
        <f t="shared" ca="1" si="76"/>
        <v>0</v>
      </c>
      <c r="V90" s="634">
        <f t="shared" ref="V90" ca="1" si="87">SUM($T90:$T91)</f>
        <v>0</v>
      </c>
      <c r="W90" s="662">
        <f ca="1">SUMPRODUCT($U90:$U91, --($E90:$E91&lt;&gt;0))</f>
        <v>0</v>
      </c>
    </row>
    <row r="91" spans="2:23" x14ac:dyDescent="0.25">
      <c r="B91" s="86">
        <f t="shared" ca="1" si="78"/>
        <v>2062</v>
      </c>
      <c r="C91" s="46" t="s">
        <v>741</v>
      </c>
      <c r="D91" s="148" t="str">
        <f t="shared" si="60"/>
        <v/>
      </c>
      <c r="E91" s="34">
        <f t="shared" si="61"/>
        <v>0</v>
      </c>
      <c r="F91" s="34">
        <f t="shared" si="64"/>
        <v>2</v>
      </c>
      <c r="G91" s="35">
        <f t="shared" si="62"/>
        <v>-1</v>
      </c>
      <c r="H91" s="35">
        <f t="shared" si="65"/>
        <v>0</v>
      </c>
      <c r="I91" s="35">
        <f t="shared" si="66"/>
        <v>0</v>
      </c>
      <c r="J91" s="350">
        <f t="shared" ca="1" si="67"/>
        <v>0</v>
      </c>
      <c r="K91" s="350">
        <f t="shared" ca="1" si="68"/>
        <v>0</v>
      </c>
      <c r="L91" s="350">
        <f t="shared" ca="1" si="69"/>
        <v>0</v>
      </c>
      <c r="M91" s="356">
        <f t="shared" ca="1" si="79"/>
        <v>0</v>
      </c>
      <c r="N91" s="354" t="b">
        <f t="shared" ca="1" si="70"/>
        <v>0</v>
      </c>
      <c r="O91" s="144">
        <f ca="1">ROUNDDOWN(IF(NOT($N91),0,(MIN(INDEX(SC_EX_SSAIME,EXIDX),INDEX(SC_EA_SSBendPts, INDEX(SC_SSBaseYear,$F91)+1-SC_YearEpoch+2,1))*Lookup!$C$19+MAX(MIN(INDEX(SC_EX_SSAIME,EXIDX),INDEX(SC_EA_SSBendPts, INDEX(SC_SSBaseYear,$F91)+1-SC_YearEpoch+2,2))-INDEX(SC_EA_SSBendPts, INDEX(SC_SSBaseYear,$F91)+1-SC_YearEpoch+2,1),0)*Lookup!$C$20+MAX(INDEX(SC_EX_SSAIME,EXIDX)-INDEX(SC_EA_SSBendPts, INDEX(SC_SSBaseYear,$F91)+1-SC_YearEpoch+2,2),0)*Lookup!$C$21)/INDEX(SC_EX_SSIDXCOLA,EXIDX)),1)</f>
        <v>0</v>
      </c>
      <c r="P91" s="145">
        <f t="shared" ca="1" si="71"/>
        <v>0</v>
      </c>
      <c r="Q91" s="145">
        <f t="shared" ca="1" si="72"/>
        <v>0</v>
      </c>
      <c r="R91" s="145">
        <f t="shared" ca="1" si="73"/>
        <v>0</v>
      </c>
      <c r="S91" s="145">
        <f t="shared" ca="1" si="74"/>
        <v>0</v>
      </c>
      <c r="T91" s="388">
        <f t="shared" ca="1" si="75"/>
        <v>0</v>
      </c>
      <c r="U91" s="386">
        <f t="shared" ca="1" si="76"/>
        <v>0</v>
      </c>
      <c r="V91" s="634"/>
      <c r="W91" s="662"/>
    </row>
    <row r="92" spans="2:23" x14ac:dyDescent="0.25">
      <c r="B92" s="65">
        <f ca="1">B90+1</f>
        <v>2063</v>
      </c>
      <c r="C92" s="4" t="s">
        <v>741</v>
      </c>
      <c r="D92" s="16" t="str">
        <f t="shared" si="60"/>
        <v/>
      </c>
      <c r="E92" s="5">
        <f t="shared" si="61"/>
        <v>0</v>
      </c>
      <c r="F92" s="5">
        <f t="shared" si="64"/>
        <v>1</v>
      </c>
      <c r="G92" s="4">
        <f t="shared" si="62"/>
        <v>1</v>
      </c>
      <c r="H92" s="4">
        <f t="shared" si="65"/>
        <v>0</v>
      </c>
      <c r="I92" s="4">
        <f t="shared" si="66"/>
        <v>0</v>
      </c>
      <c r="J92" s="348">
        <f t="shared" ca="1" si="67"/>
        <v>0</v>
      </c>
      <c r="K92" s="348">
        <f t="shared" ca="1" si="68"/>
        <v>0</v>
      </c>
      <c r="L92" s="348">
        <f t="shared" ca="1" si="69"/>
        <v>0</v>
      </c>
      <c r="M92" s="355">
        <f t="shared" ca="1" si="79"/>
        <v>0</v>
      </c>
      <c r="N92" s="345" t="b">
        <f t="shared" ca="1" si="70"/>
        <v>0</v>
      </c>
      <c r="O92" s="143">
        <f ca="1">ROUNDDOWN(IF(NOT($N92),0,(MIN(INDEX(SC_EX_SSAIME,EXIDX),INDEX(SC_EA_SSBendPts, INDEX(SC_SSBaseYear,$F92)+1-SC_YearEpoch+2,1))*Lookup!$C$19+MAX(MIN(INDEX(SC_EX_SSAIME,EXIDX),INDEX(SC_EA_SSBendPts, INDEX(SC_SSBaseYear,$F92)+1-SC_YearEpoch+2,2))-INDEX(SC_EA_SSBendPts, INDEX(SC_SSBaseYear,$F92)+1-SC_YearEpoch+2,1),0)*Lookup!$C$20+MAX(INDEX(SC_EX_SSAIME,EXIDX)-INDEX(SC_EA_SSBendPts, INDEX(SC_SSBaseYear,$F92)+1-SC_YearEpoch+2,2),0)*Lookup!$C$21)/INDEX(SC_EX_SSIDXCOLA,EXIDX)),1)</f>
        <v>0</v>
      </c>
      <c r="P92" s="6">
        <f t="shared" ca="1" si="71"/>
        <v>0</v>
      </c>
      <c r="Q92" s="6">
        <f t="shared" ca="1" si="72"/>
        <v>0</v>
      </c>
      <c r="R92" s="6">
        <f t="shared" ca="1" si="73"/>
        <v>0</v>
      </c>
      <c r="S92" s="6">
        <f t="shared" ca="1" si="74"/>
        <v>0</v>
      </c>
      <c r="T92" s="288">
        <f t="shared" ca="1" si="75"/>
        <v>0</v>
      </c>
      <c r="U92" s="330">
        <f t="shared" ca="1" si="76"/>
        <v>0</v>
      </c>
      <c r="V92" s="634">
        <f t="shared" ref="V92" ca="1" si="88">SUM($T92:$T93)</f>
        <v>0</v>
      </c>
      <c r="W92" s="662">
        <f ca="1">SUMPRODUCT($U92:$U93, --($E92:$E93&lt;&gt;0))</f>
        <v>0</v>
      </c>
    </row>
    <row r="93" spans="2:23" x14ac:dyDescent="0.25">
      <c r="B93" s="86">
        <f t="shared" ca="1" si="78"/>
        <v>2063</v>
      </c>
      <c r="C93" s="46" t="s">
        <v>741</v>
      </c>
      <c r="D93" s="148" t="str">
        <f t="shared" si="60"/>
        <v/>
      </c>
      <c r="E93" s="34">
        <f t="shared" si="61"/>
        <v>0</v>
      </c>
      <c r="F93" s="34">
        <f t="shared" si="64"/>
        <v>2</v>
      </c>
      <c r="G93" s="35">
        <f t="shared" si="62"/>
        <v>-1</v>
      </c>
      <c r="H93" s="35">
        <f t="shared" si="65"/>
        <v>0</v>
      </c>
      <c r="I93" s="35">
        <f t="shared" si="66"/>
        <v>0</v>
      </c>
      <c r="J93" s="350">
        <f t="shared" ca="1" si="67"/>
        <v>0</v>
      </c>
      <c r="K93" s="350">
        <f t="shared" ca="1" si="68"/>
        <v>0</v>
      </c>
      <c r="L93" s="350">
        <f t="shared" ca="1" si="69"/>
        <v>0</v>
      </c>
      <c r="M93" s="356">
        <f t="shared" ca="1" si="79"/>
        <v>0</v>
      </c>
      <c r="N93" s="354" t="b">
        <f t="shared" ca="1" si="70"/>
        <v>0</v>
      </c>
      <c r="O93" s="144">
        <f ca="1">ROUNDDOWN(IF(NOT($N93),0,(MIN(INDEX(SC_EX_SSAIME,EXIDX),INDEX(SC_EA_SSBendPts, INDEX(SC_SSBaseYear,$F93)+1-SC_YearEpoch+2,1))*Lookup!$C$19+MAX(MIN(INDEX(SC_EX_SSAIME,EXIDX),INDEX(SC_EA_SSBendPts, INDEX(SC_SSBaseYear,$F93)+1-SC_YearEpoch+2,2))-INDEX(SC_EA_SSBendPts, INDEX(SC_SSBaseYear,$F93)+1-SC_YearEpoch+2,1),0)*Lookup!$C$20+MAX(INDEX(SC_EX_SSAIME,EXIDX)-INDEX(SC_EA_SSBendPts, INDEX(SC_SSBaseYear,$F93)+1-SC_YearEpoch+2,2),0)*Lookup!$C$21)/INDEX(SC_EX_SSIDXCOLA,EXIDX)),1)</f>
        <v>0</v>
      </c>
      <c r="P93" s="145">
        <f t="shared" ca="1" si="71"/>
        <v>0</v>
      </c>
      <c r="Q93" s="145">
        <f t="shared" ca="1" si="72"/>
        <v>0</v>
      </c>
      <c r="R93" s="145">
        <f t="shared" ca="1" si="73"/>
        <v>0</v>
      </c>
      <c r="S93" s="145">
        <f t="shared" ca="1" si="74"/>
        <v>0</v>
      </c>
      <c r="T93" s="388">
        <f t="shared" ca="1" si="75"/>
        <v>0</v>
      </c>
      <c r="U93" s="386">
        <f t="shared" ca="1" si="76"/>
        <v>0</v>
      </c>
      <c r="V93" s="634"/>
      <c r="W93" s="662"/>
    </row>
    <row r="94" spans="2:23" x14ac:dyDescent="0.25">
      <c r="B94" s="65">
        <f ca="1">B92+1</f>
        <v>2064</v>
      </c>
      <c r="C94" s="4" t="s">
        <v>741</v>
      </c>
      <c r="D94" s="16" t="str">
        <f t="shared" si="60"/>
        <v/>
      </c>
      <c r="E94" s="5">
        <f t="shared" si="61"/>
        <v>0</v>
      </c>
      <c r="F94" s="5">
        <f t="shared" si="64"/>
        <v>1</v>
      </c>
      <c r="G94" s="4">
        <f t="shared" si="62"/>
        <v>1</v>
      </c>
      <c r="H94" s="4">
        <f t="shared" si="65"/>
        <v>0</v>
      </c>
      <c r="I94" s="4">
        <f t="shared" si="66"/>
        <v>0</v>
      </c>
      <c r="J94" s="348">
        <f t="shared" ca="1" si="67"/>
        <v>0</v>
      </c>
      <c r="K94" s="348">
        <f t="shared" ca="1" si="68"/>
        <v>0</v>
      </c>
      <c r="L94" s="348">
        <f t="shared" ca="1" si="69"/>
        <v>0</v>
      </c>
      <c r="M94" s="355">
        <f t="shared" ca="1" si="79"/>
        <v>0</v>
      </c>
      <c r="N94" s="345" t="b">
        <f t="shared" ca="1" si="70"/>
        <v>0</v>
      </c>
      <c r="O94" s="143">
        <f ca="1">ROUNDDOWN(IF(NOT($N94),0,(MIN(INDEX(SC_EX_SSAIME,EXIDX),INDEX(SC_EA_SSBendPts, INDEX(SC_SSBaseYear,$F94)+1-SC_YearEpoch+2,1))*Lookup!$C$19+MAX(MIN(INDEX(SC_EX_SSAIME,EXIDX),INDEX(SC_EA_SSBendPts, INDEX(SC_SSBaseYear,$F94)+1-SC_YearEpoch+2,2))-INDEX(SC_EA_SSBendPts, INDEX(SC_SSBaseYear,$F94)+1-SC_YearEpoch+2,1),0)*Lookup!$C$20+MAX(INDEX(SC_EX_SSAIME,EXIDX)-INDEX(SC_EA_SSBendPts, INDEX(SC_SSBaseYear,$F94)+1-SC_YearEpoch+2,2),0)*Lookup!$C$21)/INDEX(SC_EX_SSIDXCOLA,EXIDX)),1)</f>
        <v>0</v>
      </c>
      <c r="P94" s="6">
        <f t="shared" ca="1" si="71"/>
        <v>0</v>
      </c>
      <c r="Q94" s="6">
        <f t="shared" ca="1" si="72"/>
        <v>0</v>
      </c>
      <c r="R94" s="6">
        <f t="shared" ca="1" si="73"/>
        <v>0</v>
      </c>
      <c r="S94" s="6">
        <f t="shared" ca="1" si="74"/>
        <v>0</v>
      </c>
      <c r="T94" s="288">
        <f t="shared" ca="1" si="75"/>
        <v>0</v>
      </c>
      <c r="U94" s="330">
        <f t="shared" ca="1" si="76"/>
        <v>0</v>
      </c>
      <c r="V94" s="634">
        <f t="shared" ref="V94" ca="1" si="89">SUM($T94:$T95)</f>
        <v>0</v>
      </c>
      <c r="W94" s="662">
        <f ca="1">SUMPRODUCT($U94:$U95, --($E94:$E95&lt;&gt;0))</f>
        <v>0</v>
      </c>
    </row>
    <row r="95" spans="2:23" x14ac:dyDescent="0.25">
      <c r="B95" s="86">
        <f t="shared" ca="1" si="78"/>
        <v>2064</v>
      </c>
      <c r="C95" s="46" t="s">
        <v>741</v>
      </c>
      <c r="D95" s="148" t="str">
        <f t="shared" si="60"/>
        <v/>
      </c>
      <c r="E95" s="34">
        <f t="shared" si="61"/>
        <v>0</v>
      </c>
      <c r="F95" s="34">
        <f t="shared" si="64"/>
        <v>2</v>
      </c>
      <c r="G95" s="35">
        <f t="shared" si="62"/>
        <v>-1</v>
      </c>
      <c r="H95" s="35">
        <f t="shared" si="65"/>
        <v>0</v>
      </c>
      <c r="I95" s="35">
        <f t="shared" si="66"/>
        <v>0</v>
      </c>
      <c r="J95" s="350">
        <f t="shared" ca="1" si="67"/>
        <v>0</v>
      </c>
      <c r="K95" s="350">
        <f t="shared" ca="1" si="68"/>
        <v>0</v>
      </c>
      <c r="L95" s="350">
        <f t="shared" ca="1" si="69"/>
        <v>0</v>
      </c>
      <c r="M95" s="356">
        <f t="shared" ca="1" si="79"/>
        <v>0</v>
      </c>
      <c r="N95" s="354" t="b">
        <f t="shared" ca="1" si="70"/>
        <v>0</v>
      </c>
      <c r="O95" s="144">
        <f ca="1">ROUNDDOWN(IF(NOT($N95),0,(MIN(INDEX(SC_EX_SSAIME,EXIDX),INDEX(SC_EA_SSBendPts, INDEX(SC_SSBaseYear,$F95)+1-SC_YearEpoch+2,1))*Lookup!$C$19+MAX(MIN(INDEX(SC_EX_SSAIME,EXIDX),INDEX(SC_EA_SSBendPts, INDEX(SC_SSBaseYear,$F95)+1-SC_YearEpoch+2,2))-INDEX(SC_EA_SSBendPts, INDEX(SC_SSBaseYear,$F95)+1-SC_YearEpoch+2,1),0)*Lookup!$C$20+MAX(INDEX(SC_EX_SSAIME,EXIDX)-INDEX(SC_EA_SSBendPts, INDEX(SC_SSBaseYear,$F95)+1-SC_YearEpoch+2,2),0)*Lookup!$C$21)/INDEX(SC_EX_SSIDXCOLA,EXIDX)),1)</f>
        <v>0</v>
      </c>
      <c r="P95" s="145">
        <f t="shared" ca="1" si="71"/>
        <v>0</v>
      </c>
      <c r="Q95" s="145">
        <f t="shared" ca="1" si="72"/>
        <v>0</v>
      </c>
      <c r="R95" s="145">
        <f t="shared" ca="1" si="73"/>
        <v>0</v>
      </c>
      <c r="S95" s="145">
        <f t="shared" ca="1" si="74"/>
        <v>0</v>
      </c>
      <c r="T95" s="388">
        <f t="shared" ca="1" si="75"/>
        <v>0</v>
      </c>
      <c r="U95" s="386">
        <f t="shared" ca="1" si="76"/>
        <v>0</v>
      </c>
      <c r="V95" s="634"/>
      <c r="W95" s="662"/>
    </row>
    <row r="96" spans="2:23" x14ac:dyDescent="0.25">
      <c r="B96" s="65">
        <f ca="1">B94+1</f>
        <v>2065</v>
      </c>
      <c r="C96" s="4" t="s">
        <v>741</v>
      </c>
      <c r="D96" s="16" t="str">
        <f t="shared" si="60"/>
        <v/>
      </c>
      <c r="E96" s="5">
        <f t="shared" si="61"/>
        <v>0</v>
      </c>
      <c r="F96" s="5">
        <f t="shared" si="64"/>
        <v>1</v>
      </c>
      <c r="G96" s="4">
        <f t="shared" si="62"/>
        <v>1</v>
      </c>
      <c r="H96" s="4">
        <f t="shared" si="65"/>
        <v>0</v>
      </c>
      <c r="I96" s="4">
        <f t="shared" si="66"/>
        <v>0</v>
      </c>
      <c r="J96" s="348">
        <f t="shared" ca="1" si="67"/>
        <v>0</v>
      </c>
      <c r="K96" s="348">
        <f t="shared" ca="1" si="68"/>
        <v>0</v>
      </c>
      <c r="L96" s="348">
        <f t="shared" ca="1" si="69"/>
        <v>0</v>
      </c>
      <c r="M96" s="355">
        <f t="shared" ca="1" si="79"/>
        <v>0</v>
      </c>
      <c r="N96" s="345" t="b">
        <f t="shared" ca="1" si="70"/>
        <v>0</v>
      </c>
      <c r="O96" s="143">
        <f ca="1">ROUNDDOWN(IF(NOT($N96),0,(MIN(INDEX(SC_EX_SSAIME,EXIDX),INDEX(SC_EA_SSBendPts, INDEX(SC_SSBaseYear,$F96)+1-SC_YearEpoch+2,1))*Lookup!$C$19+MAX(MIN(INDEX(SC_EX_SSAIME,EXIDX),INDEX(SC_EA_SSBendPts, INDEX(SC_SSBaseYear,$F96)+1-SC_YearEpoch+2,2))-INDEX(SC_EA_SSBendPts, INDEX(SC_SSBaseYear,$F96)+1-SC_YearEpoch+2,1),0)*Lookup!$C$20+MAX(INDEX(SC_EX_SSAIME,EXIDX)-INDEX(SC_EA_SSBendPts, INDEX(SC_SSBaseYear,$F96)+1-SC_YearEpoch+2,2),0)*Lookup!$C$21)/INDEX(SC_EX_SSIDXCOLA,EXIDX)),1)</f>
        <v>0</v>
      </c>
      <c r="P96" s="6">
        <f t="shared" ca="1" si="71"/>
        <v>0</v>
      </c>
      <c r="Q96" s="6">
        <f t="shared" ca="1" si="72"/>
        <v>0</v>
      </c>
      <c r="R96" s="6">
        <f t="shared" ca="1" si="73"/>
        <v>0</v>
      </c>
      <c r="S96" s="6">
        <f t="shared" ca="1" si="74"/>
        <v>0</v>
      </c>
      <c r="T96" s="288">
        <f t="shared" ca="1" si="75"/>
        <v>0</v>
      </c>
      <c r="U96" s="330">
        <f t="shared" ca="1" si="76"/>
        <v>0</v>
      </c>
      <c r="V96" s="634">
        <f t="shared" ref="V96" ca="1" si="90">SUM($T96:$T97)</f>
        <v>0</v>
      </c>
      <c r="W96" s="662">
        <f ca="1">SUMPRODUCT($U96:$U97, --($E96:$E97&lt;&gt;0))</f>
        <v>0</v>
      </c>
    </row>
    <row r="97" spans="2:24" x14ac:dyDescent="0.25">
      <c r="B97" s="86">
        <f t="shared" ca="1" si="78"/>
        <v>2065</v>
      </c>
      <c r="C97" s="46" t="s">
        <v>741</v>
      </c>
      <c r="D97" s="148" t="str">
        <f t="shared" si="60"/>
        <v/>
      </c>
      <c r="E97" s="34">
        <f t="shared" si="61"/>
        <v>0</v>
      </c>
      <c r="F97" s="34">
        <f t="shared" si="64"/>
        <v>2</v>
      </c>
      <c r="G97" s="35">
        <f t="shared" si="62"/>
        <v>-1</v>
      </c>
      <c r="H97" s="35">
        <f t="shared" si="65"/>
        <v>0</v>
      </c>
      <c r="I97" s="35">
        <f t="shared" si="66"/>
        <v>0</v>
      </c>
      <c r="J97" s="350">
        <f t="shared" ca="1" si="67"/>
        <v>0</v>
      </c>
      <c r="K97" s="350">
        <f t="shared" ca="1" si="68"/>
        <v>0</v>
      </c>
      <c r="L97" s="350">
        <f t="shared" ca="1" si="69"/>
        <v>0</v>
      </c>
      <c r="M97" s="356">
        <f t="shared" ca="1" si="79"/>
        <v>0</v>
      </c>
      <c r="N97" s="354" t="b">
        <f t="shared" ca="1" si="70"/>
        <v>0</v>
      </c>
      <c r="O97" s="144">
        <f ca="1">ROUNDDOWN(IF(NOT($N97),0,(MIN(INDEX(SC_EX_SSAIME,EXIDX),INDEX(SC_EA_SSBendPts, INDEX(SC_SSBaseYear,$F97)+1-SC_YearEpoch+2,1))*Lookup!$C$19+MAX(MIN(INDEX(SC_EX_SSAIME,EXIDX),INDEX(SC_EA_SSBendPts, INDEX(SC_SSBaseYear,$F97)+1-SC_YearEpoch+2,2))-INDEX(SC_EA_SSBendPts, INDEX(SC_SSBaseYear,$F97)+1-SC_YearEpoch+2,1),0)*Lookup!$C$20+MAX(INDEX(SC_EX_SSAIME,EXIDX)-INDEX(SC_EA_SSBendPts, INDEX(SC_SSBaseYear,$F97)+1-SC_YearEpoch+2,2),0)*Lookup!$C$21)/INDEX(SC_EX_SSIDXCOLA,EXIDX)),1)</f>
        <v>0</v>
      </c>
      <c r="P97" s="145">
        <f t="shared" ca="1" si="71"/>
        <v>0</v>
      </c>
      <c r="Q97" s="145">
        <f t="shared" ca="1" si="72"/>
        <v>0</v>
      </c>
      <c r="R97" s="145">
        <f t="shared" ca="1" si="73"/>
        <v>0</v>
      </c>
      <c r="S97" s="145">
        <f t="shared" ca="1" si="74"/>
        <v>0</v>
      </c>
      <c r="T97" s="388">
        <f t="shared" ca="1" si="75"/>
        <v>0</v>
      </c>
      <c r="U97" s="386">
        <f t="shared" ca="1" si="76"/>
        <v>0</v>
      </c>
      <c r="V97" s="634"/>
      <c r="W97" s="662"/>
      <c r="X97" t="s">
        <v>1017</v>
      </c>
    </row>
    <row r="98" spans="2:24" x14ac:dyDescent="0.25">
      <c r="B98" s="65">
        <f ca="1">B96+1</f>
        <v>2066</v>
      </c>
      <c r="C98" s="4" t="s">
        <v>741</v>
      </c>
      <c r="D98" s="16" t="str">
        <f t="shared" si="60"/>
        <v/>
      </c>
      <c r="E98" s="5">
        <f t="shared" si="61"/>
        <v>0</v>
      </c>
      <c r="F98" s="5">
        <f t="shared" si="64"/>
        <v>1</v>
      </c>
      <c r="G98" s="4">
        <f t="shared" si="62"/>
        <v>1</v>
      </c>
      <c r="H98" s="4">
        <f t="shared" si="65"/>
        <v>0</v>
      </c>
      <c r="I98" s="4">
        <f t="shared" si="66"/>
        <v>0</v>
      </c>
      <c r="J98" s="348">
        <f t="shared" ca="1" si="67"/>
        <v>0</v>
      </c>
      <c r="K98" s="348">
        <f t="shared" ca="1" si="68"/>
        <v>0</v>
      </c>
      <c r="L98" s="348">
        <f t="shared" ca="1" si="69"/>
        <v>0</v>
      </c>
      <c r="M98" s="355">
        <f t="shared" ca="1" si="79"/>
        <v>0</v>
      </c>
      <c r="N98" s="345" t="b">
        <f t="shared" ca="1" si="70"/>
        <v>0</v>
      </c>
      <c r="O98" s="143">
        <f ca="1">ROUNDDOWN(IF(NOT($N98),0,(MIN(INDEX(SC_EX_SSAIME,EXIDX),INDEX(SC_EA_SSBendPts, INDEX(SC_SSBaseYear,$F98)+1-SC_YearEpoch+2,1))*Lookup!$C$19+MAX(MIN(INDEX(SC_EX_SSAIME,EXIDX),INDEX(SC_EA_SSBendPts, INDEX(SC_SSBaseYear,$F98)+1-SC_YearEpoch+2,2))-INDEX(SC_EA_SSBendPts, INDEX(SC_SSBaseYear,$F98)+1-SC_YearEpoch+2,1),0)*Lookup!$C$20+MAX(INDEX(SC_EX_SSAIME,EXIDX)-INDEX(SC_EA_SSBendPts, INDEX(SC_SSBaseYear,$F98)+1-SC_YearEpoch+2,2),0)*Lookup!$C$21)/INDEX(SC_EX_SSIDXCOLA,EXIDX)),1)</f>
        <v>0</v>
      </c>
      <c r="P98" s="6">
        <f t="shared" ca="1" si="71"/>
        <v>0</v>
      </c>
      <c r="Q98" s="6">
        <f t="shared" ca="1" si="72"/>
        <v>0</v>
      </c>
      <c r="R98" s="6">
        <f t="shared" ca="1" si="73"/>
        <v>0</v>
      </c>
      <c r="S98" s="6">
        <f t="shared" ca="1" si="74"/>
        <v>0</v>
      </c>
      <c r="T98" s="288">
        <f t="shared" ca="1" si="75"/>
        <v>0</v>
      </c>
      <c r="U98" s="330">
        <f t="shared" ca="1" si="76"/>
        <v>0</v>
      </c>
      <c r="V98" s="634">
        <f t="shared" ref="V98" ca="1" si="91">SUM($T98:$T99)</f>
        <v>0</v>
      </c>
      <c r="W98" s="662">
        <f ca="1">SUMPRODUCT($U98:$U99, --($E98:$E99&lt;&gt;0))</f>
        <v>0</v>
      </c>
    </row>
    <row r="99" spans="2:24" x14ac:dyDescent="0.25">
      <c r="B99" s="86">
        <f t="shared" ca="1" si="78"/>
        <v>2066</v>
      </c>
      <c r="C99" s="46" t="s">
        <v>741</v>
      </c>
      <c r="D99" s="148" t="str">
        <f t="shared" si="60"/>
        <v/>
      </c>
      <c r="E99" s="34">
        <f t="shared" si="61"/>
        <v>0</v>
      </c>
      <c r="F99" s="34">
        <f t="shared" si="64"/>
        <v>2</v>
      </c>
      <c r="G99" s="35">
        <f t="shared" si="62"/>
        <v>-1</v>
      </c>
      <c r="H99" s="35">
        <f t="shared" si="65"/>
        <v>0</v>
      </c>
      <c r="I99" s="35">
        <f t="shared" si="66"/>
        <v>0</v>
      </c>
      <c r="J99" s="350">
        <f t="shared" ca="1" si="67"/>
        <v>0</v>
      </c>
      <c r="K99" s="350">
        <f t="shared" ca="1" si="68"/>
        <v>0</v>
      </c>
      <c r="L99" s="350">
        <f t="shared" ca="1" si="69"/>
        <v>0</v>
      </c>
      <c r="M99" s="356">
        <f t="shared" ca="1" si="79"/>
        <v>0</v>
      </c>
      <c r="N99" s="354" t="b">
        <f t="shared" ca="1" si="70"/>
        <v>0</v>
      </c>
      <c r="O99" s="144">
        <f ca="1">ROUNDDOWN(IF(NOT($N99),0,(MIN(INDEX(SC_EX_SSAIME,EXIDX),INDEX(SC_EA_SSBendPts, INDEX(SC_SSBaseYear,$F99)+1-SC_YearEpoch+2,1))*Lookup!$C$19+MAX(MIN(INDEX(SC_EX_SSAIME,EXIDX),INDEX(SC_EA_SSBendPts, INDEX(SC_SSBaseYear,$F99)+1-SC_YearEpoch+2,2))-INDEX(SC_EA_SSBendPts, INDEX(SC_SSBaseYear,$F99)+1-SC_YearEpoch+2,1),0)*Lookup!$C$20+MAX(INDEX(SC_EX_SSAIME,EXIDX)-INDEX(SC_EA_SSBendPts, INDEX(SC_SSBaseYear,$F99)+1-SC_YearEpoch+2,2),0)*Lookup!$C$21)/INDEX(SC_EX_SSIDXCOLA,EXIDX)),1)</f>
        <v>0</v>
      </c>
      <c r="P99" s="145">
        <f t="shared" ca="1" si="71"/>
        <v>0</v>
      </c>
      <c r="Q99" s="145">
        <f t="shared" ca="1" si="72"/>
        <v>0</v>
      </c>
      <c r="R99" s="145">
        <f t="shared" ca="1" si="73"/>
        <v>0</v>
      </c>
      <c r="S99" s="145">
        <f t="shared" ca="1" si="74"/>
        <v>0</v>
      </c>
      <c r="T99" s="388">
        <f t="shared" ca="1" si="75"/>
        <v>0</v>
      </c>
      <c r="U99" s="386">
        <f t="shared" ca="1" si="76"/>
        <v>0</v>
      </c>
      <c r="V99" s="634"/>
      <c r="W99" s="662"/>
    </row>
    <row r="100" spans="2:24" x14ac:dyDescent="0.25">
      <c r="B100" s="65">
        <f ca="1">B98+1</f>
        <v>2067</v>
      </c>
      <c r="C100" s="4" t="s">
        <v>741</v>
      </c>
      <c r="D100" s="16" t="str">
        <f t="shared" si="60"/>
        <v/>
      </c>
      <c r="E100" s="5">
        <f t="shared" si="61"/>
        <v>0</v>
      </c>
      <c r="F100" s="5">
        <f t="shared" si="64"/>
        <v>1</v>
      </c>
      <c r="G100" s="4">
        <f t="shared" si="62"/>
        <v>1</v>
      </c>
      <c r="H100" s="4">
        <f t="shared" si="65"/>
        <v>0</v>
      </c>
      <c r="I100" s="4">
        <f t="shared" si="66"/>
        <v>0</v>
      </c>
      <c r="J100" s="348">
        <f t="shared" ca="1" si="67"/>
        <v>0</v>
      </c>
      <c r="K100" s="348">
        <f t="shared" ca="1" si="68"/>
        <v>0</v>
      </c>
      <c r="L100" s="348">
        <f t="shared" ca="1" si="69"/>
        <v>0</v>
      </c>
      <c r="M100" s="355">
        <f t="shared" ca="1" si="79"/>
        <v>0</v>
      </c>
      <c r="N100" s="345" t="b">
        <f t="shared" ca="1" si="70"/>
        <v>0</v>
      </c>
      <c r="O100" s="143">
        <f ca="1">ROUNDDOWN(IF(NOT($N100),0,(MIN(INDEX(SC_EX_SSAIME,EXIDX),INDEX(SC_EA_SSBendPts, INDEX(SC_SSBaseYear,$F100)+1-SC_YearEpoch+2,1))*Lookup!$C$19+MAX(MIN(INDEX(SC_EX_SSAIME,EXIDX),INDEX(SC_EA_SSBendPts, INDEX(SC_SSBaseYear,$F100)+1-SC_YearEpoch+2,2))-INDEX(SC_EA_SSBendPts, INDEX(SC_SSBaseYear,$F100)+1-SC_YearEpoch+2,1),0)*Lookup!$C$20+MAX(INDEX(SC_EX_SSAIME,EXIDX)-INDEX(SC_EA_SSBendPts, INDEX(SC_SSBaseYear,$F100)+1-SC_YearEpoch+2,2),0)*Lookup!$C$21)/INDEX(SC_EX_SSIDXCOLA,EXIDX)),1)</f>
        <v>0</v>
      </c>
      <c r="P100" s="6">
        <f t="shared" ca="1" si="71"/>
        <v>0</v>
      </c>
      <c r="Q100" s="6">
        <f t="shared" ca="1" si="72"/>
        <v>0</v>
      </c>
      <c r="R100" s="6">
        <f t="shared" ca="1" si="73"/>
        <v>0</v>
      </c>
      <c r="S100" s="6">
        <f t="shared" ca="1" si="74"/>
        <v>0</v>
      </c>
      <c r="T100" s="288">
        <f t="shared" ca="1" si="75"/>
        <v>0</v>
      </c>
      <c r="U100" s="330">
        <f t="shared" ca="1" si="76"/>
        <v>0</v>
      </c>
      <c r="V100" s="634">
        <f t="shared" ref="V100" ca="1" si="92">SUM($T100:$T101)</f>
        <v>0</v>
      </c>
      <c r="W100" s="662">
        <f ca="1">SUMPRODUCT($U100:$U101, --($E100:$E101&lt;&gt;0))</f>
        <v>0</v>
      </c>
    </row>
    <row r="101" spans="2:24" x14ac:dyDescent="0.25">
      <c r="B101" s="86">
        <f t="shared" ca="1" si="78"/>
        <v>2067</v>
      </c>
      <c r="C101" s="46" t="s">
        <v>741</v>
      </c>
      <c r="D101" s="148" t="str">
        <f t="shared" si="60"/>
        <v/>
      </c>
      <c r="E101" s="34">
        <f t="shared" si="61"/>
        <v>0</v>
      </c>
      <c r="F101" s="34">
        <f t="shared" si="64"/>
        <v>2</v>
      </c>
      <c r="G101" s="35">
        <f t="shared" si="62"/>
        <v>-1</v>
      </c>
      <c r="H101" s="35">
        <f t="shared" si="65"/>
        <v>0</v>
      </c>
      <c r="I101" s="35">
        <f t="shared" si="66"/>
        <v>0</v>
      </c>
      <c r="J101" s="350">
        <f t="shared" ca="1" si="67"/>
        <v>0</v>
      </c>
      <c r="K101" s="350">
        <f t="shared" ca="1" si="68"/>
        <v>0</v>
      </c>
      <c r="L101" s="350">
        <f t="shared" ca="1" si="69"/>
        <v>0</v>
      </c>
      <c r="M101" s="356">
        <f t="shared" ca="1" si="79"/>
        <v>0</v>
      </c>
      <c r="N101" s="354" t="b">
        <f t="shared" ca="1" si="70"/>
        <v>0</v>
      </c>
      <c r="O101" s="144">
        <f ca="1">ROUNDDOWN(IF(NOT($N101),0,(MIN(INDEX(SC_EX_SSAIME,EXIDX),INDEX(SC_EA_SSBendPts, INDEX(SC_SSBaseYear,$F101)+1-SC_YearEpoch+2,1))*Lookup!$C$19+MAX(MIN(INDEX(SC_EX_SSAIME,EXIDX),INDEX(SC_EA_SSBendPts, INDEX(SC_SSBaseYear,$F101)+1-SC_YearEpoch+2,2))-INDEX(SC_EA_SSBendPts, INDEX(SC_SSBaseYear,$F101)+1-SC_YearEpoch+2,1),0)*Lookup!$C$20+MAX(INDEX(SC_EX_SSAIME,EXIDX)-INDEX(SC_EA_SSBendPts, INDEX(SC_SSBaseYear,$F101)+1-SC_YearEpoch+2,2),0)*Lookup!$C$21)/INDEX(SC_EX_SSIDXCOLA,EXIDX)),1)</f>
        <v>0</v>
      </c>
      <c r="P101" s="145">
        <f t="shared" ca="1" si="71"/>
        <v>0</v>
      </c>
      <c r="Q101" s="145">
        <f t="shared" ca="1" si="72"/>
        <v>0</v>
      </c>
      <c r="R101" s="145">
        <f t="shared" ca="1" si="73"/>
        <v>0</v>
      </c>
      <c r="S101" s="145">
        <f t="shared" ca="1" si="74"/>
        <v>0</v>
      </c>
      <c r="T101" s="388">
        <f t="shared" ca="1" si="75"/>
        <v>0</v>
      </c>
      <c r="U101" s="386">
        <f t="shared" ca="1" si="76"/>
        <v>0</v>
      </c>
      <c r="V101" s="634"/>
      <c r="W101" s="662"/>
    </row>
    <row r="102" spans="2:24" x14ac:dyDescent="0.25">
      <c r="B102" s="65">
        <f ca="1">B100+1</f>
        <v>2068</v>
      </c>
      <c r="C102" s="4" t="s">
        <v>741</v>
      </c>
      <c r="D102" s="16" t="str">
        <f t="shared" si="60"/>
        <v/>
      </c>
      <c r="E102" s="5">
        <f t="shared" si="61"/>
        <v>0</v>
      </c>
      <c r="F102" s="5">
        <f t="shared" si="64"/>
        <v>1</v>
      </c>
      <c r="G102" s="4">
        <f t="shared" si="62"/>
        <v>1</v>
      </c>
      <c r="H102" s="4">
        <f t="shared" si="65"/>
        <v>0</v>
      </c>
      <c r="I102" s="4">
        <f t="shared" si="66"/>
        <v>0</v>
      </c>
      <c r="J102" s="348">
        <f t="shared" ca="1" si="67"/>
        <v>0</v>
      </c>
      <c r="K102" s="348">
        <f t="shared" ca="1" si="68"/>
        <v>0</v>
      </c>
      <c r="L102" s="348">
        <f t="shared" ca="1" si="69"/>
        <v>0</v>
      </c>
      <c r="M102" s="355">
        <f t="shared" ca="1" si="79"/>
        <v>0</v>
      </c>
      <c r="N102" s="345" t="b">
        <f t="shared" ca="1" si="70"/>
        <v>0</v>
      </c>
      <c r="O102" s="143">
        <f ca="1">ROUNDDOWN(IF(NOT($N102),0,(MIN(INDEX(SC_EX_SSAIME,EXIDX),INDEX(SC_EA_SSBendPts, INDEX(SC_SSBaseYear,$F102)+1-SC_YearEpoch+2,1))*Lookup!$C$19+MAX(MIN(INDEX(SC_EX_SSAIME,EXIDX),INDEX(SC_EA_SSBendPts, INDEX(SC_SSBaseYear,$F102)+1-SC_YearEpoch+2,2))-INDEX(SC_EA_SSBendPts, INDEX(SC_SSBaseYear,$F102)+1-SC_YearEpoch+2,1),0)*Lookup!$C$20+MAX(INDEX(SC_EX_SSAIME,EXIDX)-INDEX(SC_EA_SSBendPts, INDEX(SC_SSBaseYear,$F102)+1-SC_YearEpoch+2,2),0)*Lookup!$C$21)/INDEX(SC_EX_SSIDXCOLA,EXIDX)),1)</f>
        <v>0</v>
      </c>
      <c r="P102" s="6">
        <f t="shared" ca="1" si="71"/>
        <v>0</v>
      </c>
      <c r="Q102" s="6">
        <f t="shared" ca="1" si="72"/>
        <v>0</v>
      </c>
      <c r="R102" s="6">
        <f t="shared" ca="1" si="73"/>
        <v>0</v>
      </c>
      <c r="S102" s="6">
        <f t="shared" ca="1" si="74"/>
        <v>0</v>
      </c>
      <c r="T102" s="288">
        <f t="shared" ca="1" si="75"/>
        <v>0</v>
      </c>
      <c r="U102" s="330">
        <f t="shared" ca="1" si="76"/>
        <v>0</v>
      </c>
      <c r="V102" s="634">
        <f t="shared" ref="V102" ca="1" si="93">SUM($T102:$T103)</f>
        <v>0</v>
      </c>
      <c r="W102" s="662">
        <f ca="1">SUMPRODUCT($U102:$U103, --($E102:$E103&lt;&gt;0))</f>
        <v>0</v>
      </c>
    </row>
    <row r="103" spans="2:24" x14ac:dyDescent="0.25">
      <c r="B103" s="86">
        <f t="shared" ca="1" si="78"/>
        <v>2068</v>
      </c>
      <c r="C103" s="46" t="s">
        <v>741</v>
      </c>
      <c r="D103" s="148" t="str">
        <f t="shared" si="60"/>
        <v/>
      </c>
      <c r="E103" s="34">
        <f t="shared" si="61"/>
        <v>0</v>
      </c>
      <c r="F103" s="34">
        <f t="shared" si="64"/>
        <v>2</v>
      </c>
      <c r="G103" s="35">
        <f t="shared" si="62"/>
        <v>-1</v>
      </c>
      <c r="H103" s="35">
        <f t="shared" si="65"/>
        <v>0</v>
      </c>
      <c r="I103" s="35">
        <f t="shared" si="66"/>
        <v>0</v>
      </c>
      <c r="J103" s="350">
        <f t="shared" ca="1" si="67"/>
        <v>0</v>
      </c>
      <c r="K103" s="350">
        <f t="shared" ca="1" si="68"/>
        <v>0</v>
      </c>
      <c r="L103" s="350">
        <f t="shared" ca="1" si="69"/>
        <v>0</v>
      </c>
      <c r="M103" s="356">
        <f t="shared" ca="1" si="79"/>
        <v>0</v>
      </c>
      <c r="N103" s="354" t="b">
        <f t="shared" ca="1" si="70"/>
        <v>0</v>
      </c>
      <c r="O103" s="144">
        <f ca="1">ROUNDDOWN(IF(NOT($N103),0,(MIN(INDEX(SC_EX_SSAIME,EXIDX),INDEX(SC_EA_SSBendPts, INDEX(SC_SSBaseYear,$F103)+1-SC_YearEpoch+2,1))*Lookup!$C$19+MAX(MIN(INDEX(SC_EX_SSAIME,EXIDX),INDEX(SC_EA_SSBendPts, INDEX(SC_SSBaseYear,$F103)+1-SC_YearEpoch+2,2))-INDEX(SC_EA_SSBendPts, INDEX(SC_SSBaseYear,$F103)+1-SC_YearEpoch+2,1),0)*Lookup!$C$20+MAX(INDEX(SC_EX_SSAIME,EXIDX)-INDEX(SC_EA_SSBendPts, INDEX(SC_SSBaseYear,$F103)+1-SC_YearEpoch+2,2),0)*Lookup!$C$21)/INDEX(SC_EX_SSIDXCOLA,EXIDX)),1)</f>
        <v>0</v>
      </c>
      <c r="P103" s="145">
        <f t="shared" ca="1" si="71"/>
        <v>0</v>
      </c>
      <c r="Q103" s="145">
        <f t="shared" ca="1" si="72"/>
        <v>0</v>
      </c>
      <c r="R103" s="145">
        <f t="shared" ca="1" si="73"/>
        <v>0</v>
      </c>
      <c r="S103" s="145">
        <f t="shared" ca="1" si="74"/>
        <v>0</v>
      </c>
      <c r="T103" s="388">
        <f t="shared" ca="1" si="75"/>
        <v>0</v>
      </c>
      <c r="U103" s="386">
        <f t="shared" ca="1" si="76"/>
        <v>0</v>
      </c>
      <c r="V103" s="634"/>
      <c r="W103" s="662"/>
    </row>
    <row r="104" spans="2:24" x14ac:dyDescent="0.25">
      <c r="B104" s="65">
        <f ca="1">B102+1</f>
        <v>2069</v>
      </c>
      <c r="C104" s="4" t="s">
        <v>741</v>
      </c>
      <c r="D104" s="16" t="str">
        <f t="shared" ref="D104:D135" si="94">INDEX(SP_Initials,F104)</f>
        <v/>
      </c>
      <c r="E104" s="5">
        <f t="shared" si="61"/>
        <v>0</v>
      </c>
      <c r="F104" s="5">
        <f t="shared" si="64"/>
        <v>1</v>
      </c>
      <c r="G104" s="4">
        <f t="shared" si="62"/>
        <v>1</v>
      </c>
      <c r="H104" s="4">
        <f t="shared" si="65"/>
        <v>0</v>
      </c>
      <c r="I104" s="4">
        <f t="shared" si="66"/>
        <v>0</v>
      </c>
      <c r="J104" s="348">
        <f t="shared" ca="1" si="67"/>
        <v>0</v>
      </c>
      <c r="K104" s="348">
        <f t="shared" ca="1" si="68"/>
        <v>0</v>
      </c>
      <c r="L104" s="348">
        <f t="shared" ca="1" si="69"/>
        <v>0</v>
      </c>
      <c r="M104" s="355">
        <f t="shared" ca="1" si="79"/>
        <v>0</v>
      </c>
      <c r="N104" s="345" t="b">
        <f t="shared" ca="1" si="70"/>
        <v>0</v>
      </c>
      <c r="O104" s="143">
        <f ca="1">ROUNDDOWN(IF(NOT($N104),0,(MIN(INDEX(SC_EX_SSAIME,EXIDX),INDEX(SC_EA_SSBendPts, INDEX(SC_SSBaseYear,$F104)+1-SC_YearEpoch+2,1))*Lookup!$C$19+MAX(MIN(INDEX(SC_EX_SSAIME,EXIDX),INDEX(SC_EA_SSBendPts, INDEX(SC_SSBaseYear,$F104)+1-SC_YearEpoch+2,2))-INDEX(SC_EA_SSBendPts, INDEX(SC_SSBaseYear,$F104)+1-SC_YearEpoch+2,1),0)*Lookup!$C$20+MAX(INDEX(SC_EX_SSAIME,EXIDX)-INDEX(SC_EA_SSBendPts, INDEX(SC_SSBaseYear,$F104)+1-SC_YearEpoch+2,2),0)*Lookup!$C$21)/INDEX(SC_EX_SSIDXCOLA,EXIDX)),1)</f>
        <v>0</v>
      </c>
      <c r="P104" s="6">
        <f t="shared" ca="1" si="71"/>
        <v>0</v>
      </c>
      <c r="Q104" s="6">
        <f t="shared" ca="1" si="72"/>
        <v>0</v>
      </c>
      <c r="R104" s="6">
        <f t="shared" ca="1" si="73"/>
        <v>0</v>
      </c>
      <c r="S104" s="6">
        <f t="shared" ca="1" si="74"/>
        <v>0</v>
      </c>
      <c r="T104" s="288">
        <f t="shared" ca="1" si="75"/>
        <v>0</v>
      </c>
      <c r="U104" s="330">
        <f t="shared" ca="1" si="76"/>
        <v>0</v>
      </c>
      <c r="V104" s="634">
        <f t="shared" ref="V104" ca="1" si="95">SUM($T104:$T105)</f>
        <v>0</v>
      </c>
      <c r="W104" s="662">
        <f ca="1">SUMPRODUCT($U104:$U105, --($E104:$E105&lt;&gt;0))</f>
        <v>0</v>
      </c>
      <c r="X104" s="2"/>
    </row>
    <row r="105" spans="2:24" x14ac:dyDescent="0.25">
      <c r="B105" s="86">
        <f t="shared" ca="1" si="78"/>
        <v>2069</v>
      </c>
      <c r="C105" s="46" t="s">
        <v>741</v>
      </c>
      <c r="D105" s="148" t="str">
        <f t="shared" si="94"/>
        <v/>
      </c>
      <c r="E105" s="34">
        <f t="shared" si="61"/>
        <v>0</v>
      </c>
      <c r="F105" s="34">
        <f t="shared" si="64"/>
        <v>2</v>
      </c>
      <c r="G105" s="35">
        <f t="shared" si="62"/>
        <v>-1</v>
      </c>
      <c r="H105" s="35">
        <f t="shared" si="65"/>
        <v>0</v>
      </c>
      <c r="I105" s="35">
        <f t="shared" si="66"/>
        <v>0</v>
      </c>
      <c r="J105" s="350">
        <f t="shared" ca="1" si="67"/>
        <v>0</v>
      </c>
      <c r="K105" s="350">
        <f t="shared" ca="1" si="68"/>
        <v>0</v>
      </c>
      <c r="L105" s="350">
        <f t="shared" ca="1" si="69"/>
        <v>0</v>
      </c>
      <c r="M105" s="356">
        <f t="shared" ca="1" si="79"/>
        <v>0</v>
      </c>
      <c r="N105" s="354" t="b">
        <f t="shared" ca="1" si="70"/>
        <v>0</v>
      </c>
      <c r="O105" s="144">
        <f ca="1">ROUNDDOWN(IF(NOT($N105),0,(MIN(INDEX(SC_EX_SSAIME,EXIDX),INDEX(SC_EA_SSBendPts, INDEX(SC_SSBaseYear,$F105)+1-SC_YearEpoch+2,1))*Lookup!$C$19+MAX(MIN(INDEX(SC_EX_SSAIME,EXIDX),INDEX(SC_EA_SSBendPts, INDEX(SC_SSBaseYear,$F105)+1-SC_YearEpoch+2,2))-INDEX(SC_EA_SSBendPts, INDEX(SC_SSBaseYear,$F105)+1-SC_YearEpoch+2,1),0)*Lookup!$C$20+MAX(INDEX(SC_EX_SSAIME,EXIDX)-INDEX(SC_EA_SSBendPts, INDEX(SC_SSBaseYear,$F105)+1-SC_YearEpoch+2,2),0)*Lookup!$C$21)/INDEX(SC_EX_SSIDXCOLA,EXIDX)),1)</f>
        <v>0</v>
      </c>
      <c r="P105" s="145">
        <f t="shared" ca="1" si="71"/>
        <v>0</v>
      </c>
      <c r="Q105" s="145">
        <f t="shared" ca="1" si="72"/>
        <v>0</v>
      </c>
      <c r="R105" s="145">
        <f t="shared" ca="1" si="73"/>
        <v>0</v>
      </c>
      <c r="S105" s="145">
        <f t="shared" ca="1" si="74"/>
        <v>0</v>
      </c>
      <c r="T105" s="388">
        <f t="shared" ca="1" si="75"/>
        <v>0</v>
      </c>
      <c r="U105" s="386">
        <f t="shared" ca="1" si="76"/>
        <v>0</v>
      </c>
      <c r="V105" s="634"/>
      <c r="W105" s="662"/>
    </row>
    <row r="106" spans="2:24" x14ac:dyDescent="0.25">
      <c r="B106" s="65">
        <f ca="1">B104+1</f>
        <v>2070</v>
      </c>
      <c r="C106" s="4" t="s">
        <v>741</v>
      </c>
      <c r="D106" s="16" t="str">
        <f t="shared" si="94"/>
        <v/>
      </c>
      <c r="E106" s="5">
        <f t="shared" si="61"/>
        <v>0</v>
      </c>
      <c r="F106" s="5">
        <f t="shared" si="64"/>
        <v>1</v>
      </c>
      <c r="G106" s="4">
        <f t="shared" si="62"/>
        <v>1</v>
      </c>
      <c r="H106" s="4">
        <f t="shared" ref="H106:H137" si="96">IF(INDEX(SC_ShowRetireatee,$F106),IF($B106&lt;YEAR(INDEX(SP_BirthDate,$F106)),0,$B106-YEAR(INDEX(SP_BirthDate,$F106))),0)</f>
        <v>0</v>
      </c>
      <c r="I106" s="4">
        <f t="shared" ref="I106:I137" si="97">IF(INDEX(SC_ShowRetireatee,$F106),IF($B106&gt;(YEAR(INDEX(SP_BirthDate,$F106))+INDEX(SP_LifeExp,$F106)),0,$H106),0)</f>
        <v>0</v>
      </c>
      <c r="J106" s="348">
        <f t="shared" ref="J106:J137" ca="1" si="98">IF(OR(INDEX(SC_SSDFD,$F106)=0,$B106&lt;YEAR(INDEX(SC_SSDFD,$F106)),$H106&gt;INDEX(SP_LifeExp,$F106)),0,IF($B106=YEAR(INDEX(SC_SSDFD,$F106)),YEARFRAC(INDEX(SC_SSDFD,$F106), DATE($B106+1,1,1)),1))</f>
        <v>0</v>
      </c>
      <c r="K106" s="348">
        <f t="shared" ref="K106:K137" ca="1" si="99">IF(OR(INDEX(SC_SSABFD,$F106)=0,$B106&lt;YEAR(INDEX(SC_SSABFD,$F106)),$H106&gt;=INDEX(SC_SurvivingAge,$F106),$H106&gt;INDEX(SP_LifeExp,$F106)),0,IF($B106=YEAR(INDEX(SC_SSABFD,$F106)),YEARFRAC(INDEX(SC_SSABFD,$F106), DATE($B106+1,1,1)),1))</f>
        <v>0</v>
      </c>
      <c r="L106" s="348">
        <f t="shared" ref="L106:L137" ca="1" si="100">IF(OR(INDEX(SC_SSABFD,$F106)=0,$B106&lt;YEAR(INDEX(SC_SSABFD,$F106)),$H106&lt;INDEX(SC_SurvivingAge,$F106),$H106&gt;INDEX(SP_LifeExp,$F106)),0,IF($B106=YEAR(INDEX(SC_SSABFD,$F106)),YEARFRAC(INDEX(SC_SSABFD,$F106), DATE($B106+1,1,1)),1))</f>
        <v>0</v>
      </c>
      <c r="M106" s="355">
        <f t="shared" ca="1" si="79"/>
        <v>0</v>
      </c>
      <c r="N106" s="345" t="b">
        <f t="shared" ca="1" si="70"/>
        <v>0</v>
      </c>
      <c r="O106" s="143">
        <f ca="1">ROUNDDOWN(IF(NOT($N106),0,(MIN(INDEX(SC_EX_SSAIME,EXIDX),INDEX(SC_EA_SSBendPts, INDEX(SC_SSBaseYear,$F106)+1-SC_YearEpoch+2,1))*Lookup!$C$19+MAX(MIN(INDEX(SC_EX_SSAIME,EXIDX),INDEX(SC_EA_SSBendPts, INDEX(SC_SSBaseYear,$F106)+1-SC_YearEpoch+2,2))-INDEX(SC_EA_SSBendPts, INDEX(SC_SSBaseYear,$F106)+1-SC_YearEpoch+2,1),0)*Lookup!$C$20+MAX(INDEX(SC_EX_SSAIME,EXIDX)-INDEX(SC_EA_SSBendPts, INDEX(SC_SSBaseYear,$F106)+1-SC_YearEpoch+2,2),0)*Lookup!$C$21)/INDEX(SC_EX_SSIDXCOLA,EXIDX)),1)</f>
        <v>0</v>
      </c>
      <c r="P106" s="6">
        <f t="shared" ref="P106:P137" ca="1" si="101">ROUNDDOWN($O106*INDEX(SC_SSPBPct,$F106),1)</f>
        <v>0</v>
      </c>
      <c r="Q106" s="6">
        <f t="shared" ref="Q106:Q137" ca="1" si="102">ROUNDDOWN(IF(NOT($N106),0,MAX(OFFSET($O106,$G106,0)/2-$O106,0)*INDEX(SC_SSABPct,$F106)),1)</f>
        <v>0</v>
      </c>
      <c r="R106" s="6">
        <f t="shared" ref="R106:R137" ca="1" si="103">ROUNDDOWN(IF(NOT($N106),0,MAX(OFFSET($O106,$G106,0)*INDEX(SC_SSSBPct,$F106),0)),1)</f>
        <v>0</v>
      </c>
      <c r="S106" s="6">
        <f t="shared" ca="1" si="74"/>
        <v>0</v>
      </c>
      <c r="T106" s="288">
        <f t="shared" ref="T106:T137" ca="1" si="104">IF(OR($I106=0,NOT($N106)),0,SUMPRODUCT(SUBTOTAL(6,OFFSET(LT_AnnuityLifeTable,MAX($I106,INDEX(SC_SSFRA,$F106)),($F106-1)*3+2,OFFSET(LT_AnnuityLifeTable,1,0,LT_AnnuityMaxAge-MAX($I106,INDEX(SC_SSFRA,$F106))+1,1),1)))*O106*12)</f>
        <v>0</v>
      </c>
      <c r="U106" s="330">
        <f t="shared" ref="U106:U137" ca="1" si="105">SUMPRODUCT($P106:$S106,ABS($J106:$M106))*12</f>
        <v>0</v>
      </c>
      <c r="V106" s="634">
        <f t="shared" ref="V106" ca="1" si="106">SUM($T106:$T107)</f>
        <v>0</v>
      </c>
      <c r="W106" s="662">
        <f ca="1">SUMPRODUCT($U106:$U107, --($E106:$E107&lt;&gt;0))</f>
        <v>0</v>
      </c>
    </row>
    <row r="107" spans="2:24" x14ac:dyDescent="0.25">
      <c r="B107" s="86">
        <f t="shared" ca="1" si="78"/>
        <v>2070</v>
      </c>
      <c r="C107" s="46" t="s">
        <v>741</v>
      </c>
      <c r="D107" s="148" t="str">
        <f t="shared" si="94"/>
        <v/>
      </c>
      <c r="E107" s="34">
        <f t="shared" si="61"/>
        <v>0</v>
      </c>
      <c r="F107" s="34">
        <f t="shared" si="64"/>
        <v>2</v>
      </c>
      <c r="G107" s="35">
        <f t="shared" si="62"/>
        <v>-1</v>
      </c>
      <c r="H107" s="35">
        <f t="shared" si="96"/>
        <v>0</v>
      </c>
      <c r="I107" s="35">
        <f t="shared" si="97"/>
        <v>0</v>
      </c>
      <c r="J107" s="350">
        <f t="shared" ca="1" si="98"/>
        <v>0</v>
      </c>
      <c r="K107" s="350">
        <f t="shared" ca="1" si="99"/>
        <v>0</v>
      </c>
      <c r="L107" s="350">
        <f t="shared" ca="1" si="100"/>
        <v>0</v>
      </c>
      <c r="M107" s="356">
        <f t="shared" ca="1" si="79"/>
        <v>0</v>
      </c>
      <c r="N107" s="354" t="b">
        <f t="shared" ca="1" si="70"/>
        <v>0</v>
      </c>
      <c r="O107" s="144">
        <f ca="1">ROUNDDOWN(IF(NOT($N107),0,(MIN(INDEX(SC_EX_SSAIME,EXIDX),INDEX(SC_EA_SSBendPts, INDEX(SC_SSBaseYear,$F107)+1-SC_YearEpoch+2,1))*Lookup!$C$19+MAX(MIN(INDEX(SC_EX_SSAIME,EXIDX),INDEX(SC_EA_SSBendPts, INDEX(SC_SSBaseYear,$F107)+1-SC_YearEpoch+2,2))-INDEX(SC_EA_SSBendPts, INDEX(SC_SSBaseYear,$F107)+1-SC_YearEpoch+2,1),0)*Lookup!$C$20+MAX(INDEX(SC_EX_SSAIME,EXIDX)-INDEX(SC_EA_SSBendPts, INDEX(SC_SSBaseYear,$F107)+1-SC_YearEpoch+2,2),0)*Lookup!$C$21)/INDEX(SC_EX_SSIDXCOLA,EXIDX)),1)</f>
        <v>0</v>
      </c>
      <c r="P107" s="145">
        <f t="shared" ca="1" si="101"/>
        <v>0</v>
      </c>
      <c r="Q107" s="145">
        <f t="shared" ca="1" si="102"/>
        <v>0</v>
      </c>
      <c r="R107" s="145">
        <f t="shared" ca="1" si="103"/>
        <v>0</v>
      </c>
      <c r="S107" s="145">
        <f t="shared" ca="1" si="74"/>
        <v>0</v>
      </c>
      <c r="T107" s="388">
        <f t="shared" ca="1" si="104"/>
        <v>0</v>
      </c>
      <c r="U107" s="386">
        <f t="shared" ca="1" si="105"/>
        <v>0</v>
      </c>
      <c r="V107" s="634"/>
      <c r="W107" s="662"/>
    </row>
    <row r="108" spans="2:24" x14ac:dyDescent="0.25">
      <c r="B108" s="65">
        <f ca="1">B106+1</f>
        <v>2071</v>
      </c>
      <c r="C108" s="4" t="s">
        <v>741</v>
      </c>
      <c r="D108" s="16" t="str">
        <f t="shared" si="94"/>
        <v/>
      </c>
      <c r="E108" s="5">
        <f t="shared" si="61"/>
        <v>0</v>
      </c>
      <c r="F108" s="5">
        <f t="shared" si="64"/>
        <v>1</v>
      </c>
      <c r="G108" s="4">
        <f t="shared" si="62"/>
        <v>1</v>
      </c>
      <c r="H108" s="4">
        <f t="shared" si="96"/>
        <v>0</v>
      </c>
      <c r="I108" s="4">
        <f t="shared" si="97"/>
        <v>0</v>
      </c>
      <c r="J108" s="348">
        <f t="shared" ca="1" si="98"/>
        <v>0</v>
      </c>
      <c r="K108" s="348">
        <f t="shared" ca="1" si="99"/>
        <v>0</v>
      </c>
      <c r="L108" s="348">
        <f t="shared" ca="1" si="100"/>
        <v>0</v>
      </c>
      <c r="M108" s="355">
        <f t="shared" ca="1" si="79"/>
        <v>0</v>
      </c>
      <c r="N108" s="345" t="b">
        <f t="shared" ca="1" si="70"/>
        <v>0</v>
      </c>
      <c r="O108" s="143">
        <f ca="1">ROUNDDOWN(IF(NOT($N108),0,(MIN(INDEX(SC_EX_SSAIME,EXIDX),INDEX(SC_EA_SSBendPts, INDEX(SC_SSBaseYear,$F108)+1-SC_YearEpoch+2,1))*Lookup!$C$19+MAX(MIN(INDEX(SC_EX_SSAIME,EXIDX),INDEX(SC_EA_SSBendPts, INDEX(SC_SSBaseYear,$F108)+1-SC_YearEpoch+2,2))-INDEX(SC_EA_SSBendPts, INDEX(SC_SSBaseYear,$F108)+1-SC_YearEpoch+2,1),0)*Lookup!$C$20+MAX(INDEX(SC_EX_SSAIME,EXIDX)-INDEX(SC_EA_SSBendPts, INDEX(SC_SSBaseYear,$F108)+1-SC_YearEpoch+2,2),0)*Lookup!$C$21)/INDEX(SC_EX_SSIDXCOLA,EXIDX)),1)</f>
        <v>0</v>
      </c>
      <c r="P108" s="6">
        <f t="shared" ca="1" si="101"/>
        <v>0</v>
      </c>
      <c r="Q108" s="6">
        <f t="shared" ca="1" si="102"/>
        <v>0</v>
      </c>
      <c r="R108" s="6">
        <f t="shared" ca="1" si="103"/>
        <v>0</v>
      </c>
      <c r="S108" s="6">
        <f t="shared" ca="1" si="74"/>
        <v>0</v>
      </c>
      <c r="T108" s="288">
        <f t="shared" ca="1" si="104"/>
        <v>0</v>
      </c>
      <c r="U108" s="330">
        <f t="shared" ca="1" si="105"/>
        <v>0</v>
      </c>
      <c r="V108" s="634">
        <f t="shared" ref="V108" ca="1" si="107">SUM($T108:$T109)</f>
        <v>0</v>
      </c>
      <c r="W108" s="662">
        <f ca="1">SUMPRODUCT($U108:$U109, --($E108:$E109&lt;&gt;0))</f>
        <v>0</v>
      </c>
    </row>
    <row r="109" spans="2:24" x14ac:dyDescent="0.25">
      <c r="B109" s="86">
        <f t="shared" ca="1" si="78"/>
        <v>2071</v>
      </c>
      <c r="C109" s="46" t="s">
        <v>741</v>
      </c>
      <c r="D109" s="148" t="str">
        <f t="shared" si="94"/>
        <v/>
      </c>
      <c r="E109" s="34">
        <f t="shared" si="61"/>
        <v>0</v>
      </c>
      <c r="F109" s="34">
        <f t="shared" si="64"/>
        <v>2</v>
      </c>
      <c r="G109" s="35">
        <f t="shared" si="62"/>
        <v>-1</v>
      </c>
      <c r="H109" s="35">
        <f t="shared" si="96"/>
        <v>0</v>
      </c>
      <c r="I109" s="35">
        <f t="shared" si="97"/>
        <v>0</v>
      </c>
      <c r="J109" s="350">
        <f t="shared" ca="1" si="98"/>
        <v>0</v>
      </c>
      <c r="K109" s="350">
        <f t="shared" ca="1" si="99"/>
        <v>0</v>
      </c>
      <c r="L109" s="350">
        <f t="shared" ca="1" si="100"/>
        <v>0</v>
      </c>
      <c r="M109" s="356">
        <f t="shared" ca="1" si="79"/>
        <v>0</v>
      </c>
      <c r="N109" s="354" t="b">
        <f t="shared" ca="1" si="70"/>
        <v>0</v>
      </c>
      <c r="O109" s="144">
        <f ca="1">ROUNDDOWN(IF(NOT($N109),0,(MIN(INDEX(SC_EX_SSAIME,EXIDX),INDEX(SC_EA_SSBendPts, INDEX(SC_SSBaseYear,$F109)+1-SC_YearEpoch+2,1))*Lookup!$C$19+MAX(MIN(INDEX(SC_EX_SSAIME,EXIDX),INDEX(SC_EA_SSBendPts, INDEX(SC_SSBaseYear,$F109)+1-SC_YearEpoch+2,2))-INDEX(SC_EA_SSBendPts, INDEX(SC_SSBaseYear,$F109)+1-SC_YearEpoch+2,1),0)*Lookup!$C$20+MAX(INDEX(SC_EX_SSAIME,EXIDX)-INDEX(SC_EA_SSBendPts, INDEX(SC_SSBaseYear,$F109)+1-SC_YearEpoch+2,2),0)*Lookup!$C$21)/INDEX(SC_EX_SSIDXCOLA,EXIDX)),1)</f>
        <v>0</v>
      </c>
      <c r="P109" s="145">
        <f t="shared" ca="1" si="101"/>
        <v>0</v>
      </c>
      <c r="Q109" s="145">
        <f t="shared" ca="1" si="102"/>
        <v>0</v>
      </c>
      <c r="R109" s="145">
        <f t="shared" ca="1" si="103"/>
        <v>0</v>
      </c>
      <c r="S109" s="145">
        <f t="shared" ca="1" si="74"/>
        <v>0</v>
      </c>
      <c r="T109" s="388">
        <f t="shared" ca="1" si="104"/>
        <v>0</v>
      </c>
      <c r="U109" s="386">
        <f t="shared" ca="1" si="105"/>
        <v>0</v>
      </c>
      <c r="V109" s="634"/>
      <c r="W109" s="662"/>
    </row>
    <row r="110" spans="2:24" x14ac:dyDescent="0.25">
      <c r="B110" s="65">
        <f ca="1">B108+1</f>
        <v>2072</v>
      </c>
      <c r="C110" s="4" t="s">
        <v>741</v>
      </c>
      <c r="D110" s="16" t="str">
        <f t="shared" si="94"/>
        <v/>
      </c>
      <c r="E110" s="5">
        <f t="shared" si="61"/>
        <v>0</v>
      </c>
      <c r="F110" s="5">
        <f t="shared" si="64"/>
        <v>1</v>
      </c>
      <c r="G110" s="4">
        <f t="shared" si="62"/>
        <v>1</v>
      </c>
      <c r="H110" s="4">
        <f t="shared" si="96"/>
        <v>0</v>
      </c>
      <c r="I110" s="4">
        <f t="shared" si="97"/>
        <v>0</v>
      </c>
      <c r="J110" s="348">
        <f t="shared" ca="1" si="98"/>
        <v>0</v>
      </c>
      <c r="K110" s="348">
        <f t="shared" ca="1" si="99"/>
        <v>0</v>
      </c>
      <c r="L110" s="348">
        <f t="shared" ca="1" si="100"/>
        <v>0</v>
      </c>
      <c r="M110" s="355">
        <f t="shared" ca="1" si="79"/>
        <v>0</v>
      </c>
      <c r="N110" s="345" t="b">
        <f t="shared" ca="1" si="70"/>
        <v>0</v>
      </c>
      <c r="O110" s="143">
        <f ca="1">ROUNDDOWN(IF(NOT($N110),0,(MIN(INDEX(SC_EX_SSAIME,EXIDX),INDEX(SC_EA_SSBendPts, INDEX(SC_SSBaseYear,$F110)+1-SC_YearEpoch+2,1))*Lookup!$C$19+MAX(MIN(INDEX(SC_EX_SSAIME,EXIDX),INDEX(SC_EA_SSBendPts, INDEX(SC_SSBaseYear,$F110)+1-SC_YearEpoch+2,2))-INDEX(SC_EA_SSBendPts, INDEX(SC_SSBaseYear,$F110)+1-SC_YearEpoch+2,1),0)*Lookup!$C$20+MAX(INDEX(SC_EX_SSAIME,EXIDX)-INDEX(SC_EA_SSBendPts, INDEX(SC_SSBaseYear,$F110)+1-SC_YearEpoch+2,2),0)*Lookup!$C$21)/INDEX(SC_EX_SSIDXCOLA,EXIDX)),1)</f>
        <v>0</v>
      </c>
      <c r="P110" s="6">
        <f t="shared" ca="1" si="101"/>
        <v>0</v>
      </c>
      <c r="Q110" s="6">
        <f t="shared" ca="1" si="102"/>
        <v>0</v>
      </c>
      <c r="R110" s="6">
        <f t="shared" ca="1" si="103"/>
        <v>0</v>
      </c>
      <c r="S110" s="6">
        <f t="shared" ca="1" si="74"/>
        <v>0</v>
      </c>
      <c r="T110" s="288">
        <f t="shared" ca="1" si="104"/>
        <v>0</v>
      </c>
      <c r="U110" s="330">
        <f t="shared" ca="1" si="105"/>
        <v>0</v>
      </c>
      <c r="V110" s="634">
        <f t="shared" ref="V110" ca="1" si="108">SUM($T110:$T111)</f>
        <v>0</v>
      </c>
      <c r="W110" s="662">
        <f ca="1">SUMPRODUCT($U110:$U111, --($E110:$E111&lt;&gt;0))</f>
        <v>0</v>
      </c>
    </row>
    <row r="111" spans="2:24" x14ac:dyDescent="0.25">
      <c r="B111" s="86">
        <f t="shared" ca="1" si="78"/>
        <v>2072</v>
      </c>
      <c r="C111" s="46" t="s">
        <v>741</v>
      </c>
      <c r="D111" s="148" t="str">
        <f t="shared" si="94"/>
        <v/>
      </c>
      <c r="E111" s="34">
        <f t="shared" si="61"/>
        <v>0</v>
      </c>
      <c r="F111" s="34">
        <f t="shared" si="64"/>
        <v>2</v>
      </c>
      <c r="G111" s="35">
        <f t="shared" si="62"/>
        <v>-1</v>
      </c>
      <c r="H111" s="35">
        <f t="shared" si="96"/>
        <v>0</v>
      </c>
      <c r="I111" s="35">
        <f t="shared" si="97"/>
        <v>0</v>
      </c>
      <c r="J111" s="350">
        <f t="shared" ca="1" si="98"/>
        <v>0</v>
      </c>
      <c r="K111" s="350">
        <f t="shared" ca="1" si="99"/>
        <v>0</v>
      </c>
      <c r="L111" s="350">
        <f t="shared" ca="1" si="100"/>
        <v>0</v>
      </c>
      <c r="M111" s="356">
        <f t="shared" ca="1" si="79"/>
        <v>0</v>
      </c>
      <c r="N111" s="354" t="b">
        <f t="shared" ca="1" si="70"/>
        <v>0</v>
      </c>
      <c r="O111" s="144">
        <f ca="1">ROUNDDOWN(IF(NOT($N111),0,(MIN(INDEX(SC_EX_SSAIME,EXIDX),INDEX(SC_EA_SSBendPts, INDEX(SC_SSBaseYear,$F111)+1-SC_YearEpoch+2,1))*Lookup!$C$19+MAX(MIN(INDEX(SC_EX_SSAIME,EXIDX),INDEX(SC_EA_SSBendPts, INDEX(SC_SSBaseYear,$F111)+1-SC_YearEpoch+2,2))-INDEX(SC_EA_SSBendPts, INDEX(SC_SSBaseYear,$F111)+1-SC_YearEpoch+2,1),0)*Lookup!$C$20+MAX(INDEX(SC_EX_SSAIME,EXIDX)-INDEX(SC_EA_SSBendPts, INDEX(SC_SSBaseYear,$F111)+1-SC_YearEpoch+2,2),0)*Lookup!$C$21)/INDEX(SC_EX_SSIDXCOLA,EXIDX)),1)</f>
        <v>0</v>
      </c>
      <c r="P111" s="145">
        <f t="shared" ca="1" si="101"/>
        <v>0</v>
      </c>
      <c r="Q111" s="145">
        <f t="shared" ca="1" si="102"/>
        <v>0</v>
      </c>
      <c r="R111" s="145">
        <f t="shared" ca="1" si="103"/>
        <v>0</v>
      </c>
      <c r="S111" s="145">
        <f t="shared" ca="1" si="74"/>
        <v>0</v>
      </c>
      <c r="T111" s="388">
        <f t="shared" ca="1" si="104"/>
        <v>0</v>
      </c>
      <c r="U111" s="386">
        <f t="shared" ca="1" si="105"/>
        <v>0</v>
      </c>
      <c r="V111" s="634"/>
      <c r="W111" s="662"/>
    </row>
    <row r="112" spans="2:24" x14ac:dyDescent="0.25">
      <c r="B112" s="65">
        <f ca="1">B110+1</f>
        <v>2073</v>
      </c>
      <c r="C112" s="4" t="s">
        <v>741</v>
      </c>
      <c r="D112" s="16" t="str">
        <f t="shared" si="94"/>
        <v/>
      </c>
      <c r="E112" s="5">
        <f t="shared" si="61"/>
        <v>0</v>
      </c>
      <c r="F112" s="5">
        <f t="shared" si="64"/>
        <v>1</v>
      </c>
      <c r="G112" s="4">
        <f t="shared" si="62"/>
        <v>1</v>
      </c>
      <c r="H112" s="4">
        <f t="shared" si="96"/>
        <v>0</v>
      </c>
      <c r="I112" s="4">
        <f t="shared" si="97"/>
        <v>0</v>
      </c>
      <c r="J112" s="348">
        <f t="shared" ca="1" si="98"/>
        <v>0</v>
      </c>
      <c r="K112" s="348">
        <f t="shared" ca="1" si="99"/>
        <v>0</v>
      </c>
      <c r="L112" s="348">
        <f t="shared" ca="1" si="100"/>
        <v>0</v>
      </c>
      <c r="M112" s="355">
        <f t="shared" ca="1" si="79"/>
        <v>0</v>
      </c>
      <c r="N112" s="345" t="b">
        <f t="shared" ca="1" si="70"/>
        <v>0</v>
      </c>
      <c r="O112" s="143">
        <f ca="1">ROUNDDOWN(IF(NOT($N112),0,(MIN(INDEX(SC_EX_SSAIME,EXIDX),INDEX(SC_EA_SSBendPts, INDEX(SC_SSBaseYear,$F112)+1-SC_YearEpoch+2,1))*Lookup!$C$19+MAX(MIN(INDEX(SC_EX_SSAIME,EXIDX),INDEX(SC_EA_SSBendPts, INDEX(SC_SSBaseYear,$F112)+1-SC_YearEpoch+2,2))-INDEX(SC_EA_SSBendPts, INDEX(SC_SSBaseYear,$F112)+1-SC_YearEpoch+2,1),0)*Lookup!$C$20+MAX(INDEX(SC_EX_SSAIME,EXIDX)-INDEX(SC_EA_SSBendPts, INDEX(SC_SSBaseYear,$F112)+1-SC_YearEpoch+2,2),0)*Lookup!$C$21)/INDEX(SC_EX_SSIDXCOLA,EXIDX)),1)</f>
        <v>0</v>
      </c>
      <c r="P112" s="6">
        <f t="shared" ca="1" si="101"/>
        <v>0</v>
      </c>
      <c r="Q112" s="6">
        <f t="shared" ca="1" si="102"/>
        <v>0</v>
      </c>
      <c r="R112" s="6">
        <f t="shared" ca="1" si="103"/>
        <v>0</v>
      </c>
      <c r="S112" s="6">
        <f t="shared" ca="1" si="74"/>
        <v>0</v>
      </c>
      <c r="T112" s="288">
        <f t="shared" ca="1" si="104"/>
        <v>0</v>
      </c>
      <c r="U112" s="330">
        <f t="shared" ca="1" si="105"/>
        <v>0</v>
      </c>
      <c r="V112" s="634">
        <f t="shared" ref="V112" ca="1" si="109">SUM($T112:$T113)</f>
        <v>0</v>
      </c>
      <c r="W112" s="662">
        <f ca="1">SUMPRODUCT($U112:$U113, --($E112:$E113&lt;&gt;0))</f>
        <v>0</v>
      </c>
    </row>
    <row r="113" spans="2:23" x14ac:dyDescent="0.25">
      <c r="B113" s="86">
        <f t="shared" ca="1" si="78"/>
        <v>2073</v>
      </c>
      <c r="C113" s="46" t="s">
        <v>741</v>
      </c>
      <c r="D113" s="148" t="str">
        <f t="shared" si="94"/>
        <v/>
      </c>
      <c r="E113" s="34">
        <f t="shared" si="61"/>
        <v>0</v>
      </c>
      <c r="F113" s="34">
        <f t="shared" si="64"/>
        <v>2</v>
      </c>
      <c r="G113" s="35">
        <f t="shared" si="62"/>
        <v>-1</v>
      </c>
      <c r="H113" s="35">
        <f t="shared" si="96"/>
        <v>0</v>
      </c>
      <c r="I113" s="35">
        <f t="shared" si="97"/>
        <v>0</v>
      </c>
      <c r="J113" s="350">
        <f t="shared" ca="1" si="98"/>
        <v>0</v>
      </c>
      <c r="K113" s="350">
        <f t="shared" ca="1" si="99"/>
        <v>0</v>
      </c>
      <c r="L113" s="350">
        <f t="shared" ca="1" si="100"/>
        <v>0</v>
      </c>
      <c r="M113" s="356">
        <f t="shared" ca="1" si="79"/>
        <v>0</v>
      </c>
      <c r="N113" s="354" t="b">
        <f t="shared" ca="1" si="70"/>
        <v>0</v>
      </c>
      <c r="O113" s="144">
        <f ca="1">ROUNDDOWN(IF(NOT($N113),0,(MIN(INDEX(SC_EX_SSAIME,EXIDX),INDEX(SC_EA_SSBendPts, INDEX(SC_SSBaseYear,$F113)+1-SC_YearEpoch+2,1))*Lookup!$C$19+MAX(MIN(INDEX(SC_EX_SSAIME,EXIDX),INDEX(SC_EA_SSBendPts, INDEX(SC_SSBaseYear,$F113)+1-SC_YearEpoch+2,2))-INDEX(SC_EA_SSBendPts, INDEX(SC_SSBaseYear,$F113)+1-SC_YearEpoch+2,1),0)*Lookup!$C$20+MAX(INDEX(SC_EX_SSAIME,EXIDX)-INDEX(SC_EA_SSBendPts, INDEX(SC_SSBaseYear,$F113)+1-SC_YearEpoch+2,2),0)*Lookup!$C$21)/INDEX(SC_EX_SSIDXCOLA,EXIDX)),1)</f>
        <v>0</v>
      </c>
      <c r="P113" s="145">
        <f t="shared" ca="1" si="101"/>
        <v>0</v>
      </c>
      <c r="Q113" s="145">
        <f t="shared" ca="1" si="102"/>
        <v>0</v>
      </c>
      <c r="R113" s="145">
        <f t="shared" ca="1" si="103"/>
        <v>0</v>
      </c>
      <c r="S113" s="145">
        <f t="shared" ca="1" si="74"/>
        <v>0</v>
      </c>
      <c r="T113" s="388">
        <f t="shared" ca="1" si="104"/>
        <v>0</v>
      </c>
      <c r="U113" s="386">
        <f t="shared" ca="1" si="105"/>
        <v>0</v>
      </c>
      <c r="V113" s="634"/>
      <c r="W113" s="662"/>
    </row>
    <row r="114" spans="2:23" x14ac:dyDescent="0.25">
      <c r="B114" s="65">
        <f ca="1">B112+1</f>
        <v>2074</v>
      </c>
      <c r="C114" s="4" t="s">
        <v>741</v>
      </c>
      <c r="D114" s="16" t="str">
        <f t="shared" si="94"/>
        <v/>
      </c>
      <c r="E114" s="5">
        <f t="shared" si="61"/>
        <v>0</v>
      </c>
      <c r="F114" s="5">
        <f t="shared" si="64"/>
        <v>1</v>
      </c>
      <c r="G114" s="4">
        <f t="shared" si="62"/>
        <v>1</v>
      </c>
      <c r="H114" s="4">
        <f t="shared" si="96"/>
        <v>0</v>
      </c>
      <c r="I114" s="4">
        <f t="shared" si="97"/>
        <v>0</v>
      </c>
      <c r="J114" s="348">
        <f t="shared" ca="1" si="98"/>
        <v>0</v>
      </c>
      <c r="K114" s="348">
        <f t="shared" ca="1" si="99"/>
        <v>0</v>
      </c>
      <c r="L114" s="348">
        <f t="shared" ca="1" si="100"/>
        <v>0</v>
      </c>
      <c r="M114" s="355">
        <f t="shared" ca="1" si="79"/>
        <v>0</v>
      </c>
      <c r="N114" s="345" t="b">
        <f t="shared" ca="1" si="70"/>
        <v>0</v>
      </c>
      <c r="O114" s="143">
        <f ca="1">ROUNDDOWN(IF(NOT($N114),0,(MIN(INDEX(SC_EX_SSAIME,EXIDX),INDEX(SC_EA_SSBendPts, INDEX(SC_SSBaseYear,$F114)+1-SC_YearEpoch+2,1))*Lookup!$C$19+MAX(MIN(INDEX(SC_EX_SSAIME,EXIDX),INDEX(SC_EA_SSBendPts, INDEX(SC_SSBaseYear,$F114)+1-SC_YearEpoch+2,2))-INDEX(SC_EA_SSBendPts, INDEX(SC_SSBaseYear,$F114)+1-SC_YearEpoch+2,1),0)*Lookup!$C$20+MAX(INDEX(SC_EX_SSAIME,EXIDX)-INDEX(SC_EA_SSBendPts, INDEX(SC_SSBaseYear,$F114)+1-SC_YearEpoch+2,2),0)*Lookup!$C$21)/INDEX(SC_EX_SSIDXCOLA,EXIDX)),1)</f>
        <v>0</v>
      </c>
      <c r="P114" s="6">
        <f t="shared" ca="1" si="101"/>
        <v>0</v>
      </c>
      <c r="Q114" s="6">
        <f t="shared" ca="1" si="102"/>
        <v>0</v>
      </c>
      <c r="R114" s="6">
        <f t="shared" ca="1" si="103"/>
        <v>0</v>
      </c>
      <c r="S114" s="6">
        <f t="shared" ca="1" si="74"/>
        <v>0</v>
      </c>
      <c r="T114" s="288">
        <f t="shared" ca="1" si="104"/>
        <v>0</v>
      </c>
      <c r="U114" s="330">
        <f t="shared" ca="1" si="105"/>
        <v>0</v>
      </c>
      <c r="V114" s="634">
        <f t="shared" ref="V114" ca="1" si="110">SUM($T114:$T115)</f>
        <v>0</v>
      </c>
      <c r="W114" s="662">
        <f ca="1">SUMPRODUCT($U114:$U115, --($E114:$E115&lt;&gt;0))</f>
        <v>0</v>
      </c>
    </row>
    <row r="115" spans="2:23" x14ac:dyDescent="0.25">
      <c r="B115" s="86">
        <f t="shared" ca="1" si="78"/>
        <v>2074</v>
      </c>
      <c r="C115" s="46" t="s">
        <v>741</v>
      </c>
      <c r="D115" s="148" t="str">
        <f t="shared" si="94"/>
        <v/>
      </c>
      <c r="E115" s="34">
        <f t="shared" si="61"/>
        <v>0</v>
      </c>
      <c r="F115" s="34">
        <f t="shared" si="64"/>
        <v>2</v>
      </c>
      <c r="G115" s="35">
        <f t="shared" si="62"/>
        <v>-1</v>
      </c>
      <c r="H115" s="35">
        <f t="shared" si="96"/>
        <v>0</v>
      </c>
      <c r="I115" s="35">
        <f t="shared" si="97"/>
        <v>0</v>
      </c>
      <c r="J115" s="350">
        <f t="shared" ca="1" si="98"/>
        <v>0</v>
      </c>
      <c r="K115" s="350">
        <f t="shared" ca="1" si="99"/>
        <v>0</v>
      </c>
      <c r="L115" s="350">
        <f t="shared" ca="1" si="100"/>
        <v>0</v>
      </c>
      <c r="M115" s="356">
        <f t="shared" ca="1" si="79"/>
        <v>0</v>
      </c>
      <c r="N115" s="354" t="b">
        <f t="shared" ca="1" si="70"/>
        <v>0</v>
      </c>
      <c r="O115" s="144">
        <f ca="1">ROUNDDOWN(IF(NOT($N115),0,(MIN(INDEX(SC_EX_SSAIME,EXIDX),INDEX(SC_EA_SSBendPts, INDEX(SC_SSBaseYear,$F115)+1-SC_YearEpoch+2,1))*Lookup!$C$19+MAX(MIN(INDEX(SC_EX_SSAIME,EXIDX),INDEX(SC_EA_SSBendPts, INDEX(SC_SSBaseYear,$F115)+1-SC_YearEpoch+2,2))-INDEX(SC_EA_SSBendPts, INDEX(SC_SSBaseYear,$F115)+1-SC_YearEpoch+2,1),0)*Lookup!$C$20+MAX(INDEX(SC_EX_SSAIME,EXIDX)-INDEX(SC_EA_SSBendPts, INDEX(SC_SSBaseYear,$F115)+1-SC_YearEpoch+2,2),0)*Lookup!$C$21)/INDEX(SC_EX_SSIDXCOLA,EXIDX)),1)</f>
        <v>0</v>
      </c>
      <c r="P115" s="145">
        <f t="shared" ca="1" si="101"/>
        <v>0</v>
      </c>
      <c r="Q115" s="145">
        <f t="shared" ca="1" si="102"/>
        <v>0</v>
      </c>
      <c r="R115" s="145">
        <f t="shared" ca="1" si="103"/>
        <v>0</v>
      </c>
      <c r="S115" s="145">
        <f t="shared" ca="1" si="74"/>
        <v>0</v>
      </c>
      <c r="T115" s="388">
        <f t="shared" ca="1" si="104"/>
        <v>0</v>
      </c>
      <c r="U115" s="386">
        <f t="shared" ca="1" si="105"/>
        <v>0</v>
      </c>
      <c r="V115" s="634"/>
      <c r="W115" s="662"/>
    </row>
    <row r="116" spans="2:23" x14ac:dyDescent="0.25">
      <c r="B116" s="65">
        <f ca="1">B114+1</f>
        <v>2075</v>
      </c>
      <c r="C116" s="4" t="s">
        <v>741</v>
      </c>
      <c r="D116" s="16" t="str">
        <f t="shared" si="94"/>
        <v/>
      </c>
      <c r="E116" s="5">
        <f t="shared" si="61"/>
        <v>0</v>
      </c>
      <c r="F116" s="5">
        <f t="shared" si="64"/>
        <v>1</v>
      </c>
      <c r="G116" s="4">
        <f t="shared" si="62"/>
        <v>1</v>
      </c>
      <c r="H116" s="4">
        <f t="shared" si="96"/>
        <v>0</v>
      </c>
      <c r="I116" s="4">
        <f t="shared" si="97"/>
        <v>0</v>
      </c>
      <c r="J116" s="348">
        <f t="shared" ca="1" si="98"/>
        <v>0</v>
      </c>
      <c r="K116" s="348">
        <f t="shared" ca="1" si="99"/>
        <v>0</v>
      </c>
      <c r="L116" s="348">
        <f t="shared" ca="1" si="100"/>
        <v>0</v>
      </c>
      <c r="M116" s="355">
        <f t="shared" ca="1" si="79"/>
        <v>0</v>
      </c>
      <c r="N116" s="345" t="b">
        <f t="shared" ca="1" si="70"/>
        <v>0</v>
      </c>
      <c r="O116" s="143">
        <f ca="1">ROUNDDOWN(IF(NOT($N116),0,(MIN(INDEX(SC_EX_SSAIME,EXIDX),INDEX(SC_EA_SSBendPts, INDEX(SC_SSBaseYear,$F116)+1-SC_YearEpoch+2,1))*Lookup!$C$19+MAX(MIN(INDEX(SC_EX_SSAIME,EXIDX),INDEX(SC_EA_SSBendPts, INDEX(SC_SSBaseYear,$F116)+1-SC_YearEpoch+2,2))-INDEX(SC_EA_SSBendPts, INDEX(SC_SSBaseYear,$F116)+1-SC_YearEpoch+2,1),0)*Lookup!$C$20+MAX(INDEX(SC_EX_SSAIME,EXIDX)-INDEX(SC_EA_SSBendPts, INDEX(SC_SSBaseYear,$F116)+1-SC_YearEpoch+2,2),0)*Lookup!$C$21)/INDEX(SC_EX_SSIDXCOLA,EXIDX)),1)</f>
        <v>0</v>
      </c>
      <c r="P116" s="6">
        <f t="shared" ca="1" si="101"/>
        <v>0</v>
      </c>
      <c r="Q116" s="6">
        <f t="shared" ca="1" si="102"/>
        <v>0</v>
      </c>
      <c r="R116" s="6">
        <f t="shared" ca="1" si="103"/>
        <v>0</v>
      </c>
      <c r="S116" s="6">
        <f t="shared" ca="1" si="74"/>
        <v>0</v>
      </c>
      <c r="T116" s="288">
        <f t="shared" ca="1" si="104"/>
        <v>0</v>
      </c>
      <c r="U116" s="330">
        <f t="shared" ca="1" si="105"/>
        <v>0</v>
      </c>
      <c r="V116" s="634">
        <f t="shared" ref="V116" ca="1" si="111">SUM($T116:$T117)</f>
        <v>0</v>
      </c>
      <c r="W116" s="662">
        <f ca="1">SUMPRODUCT($U116:$U117, --($E116:$E117&lt;&gt;0))</f>
        <v>0</v>
      </c>
    </row>
    <row r="117" spans="2:23" x14ac:dyDescent="0.25">
      <c r="B117" s="86">
        <f t="shared" ca="1" si="78"/>
        <v>2075</v>
      </c>
      <c r="C117" s="46" t="s">
        <v>741</v>
      </c>
      <c r="D117" s="148" t="str">
        <f t="shared" si="94"/>
        <v/>
      </c>
      <c r="E117" s="34">
        <f t="shared" si="61"/>
        <v>0</v>
      </c>
      <c r="F117" s="34">
        <f t="shared" si="64"/>
        <v>2</v>
      </c>
      <c r="G117" s="35">
        <f t="shared" si="62"/>
        <v>-1</v>
      </c>
      <c r="H117" s="35">
        <f t="shared" si="96"/>
        <v>0</v>
      </c>
      <c r="I117" s="35">
        <f t="shared" si="97"/>
        <v>0</v>
      </c>
      <c r="J117" s="350">
        <f t="shared" ca="1" si="98"/>
        <v>0</v>
      </c>
      <c r="K117" s="350">
        <f t="shared" ca="1" si="99"/>
        <v>0</v>
      </c>
      <c r="L117" s="350">
        <f t="shared" ca="1" si="100"/>
        <v>0</v>
      </c>
      <c r="M117" s="356">
        <f t="shared" ca="1" si="79"/>
        <v>0</v>
      </c>
      <c r="N117" s="354" t="b">
        <f t="shared" ca="1" si="70"/>
        <v>0</v>
      </c>
      <c r="O117" s="144">
        <f ca="1">ROUNDDOWN(IF(NOT($N117),0,(MIN(INDEX(SC_EX_SSAIME,EXIDX),INDEX(SC_EA_SSBendPts, INDEX(SC_SSBaseYear,$F117)+1-SC_YearEpoch+2,1))*Lookup!$C$19+MAX(MIN(INDEX(SC_EX_SSAIME,EXIDX),INDEX(SC_EA_SSBendPts, INDEX(SC_SSBaseYear,$F117)+1-SC_YearEpoch+2,2))-INDEX(SC_EA_SSBendPts, INDEX(SC_SSBaseYear,$F117)+1-SC_YearEpoch+2,1),0)*Lookup!$C$20+MAX(INDEX(SC_EX_SSAIME,EXIDX)-INDEX(SC_EA_SSBendPts, INDEX(SC_SSBaseYear,$F117)+1-SC_YearEpoch+2,2),0)*Lookup!$C$21)/INDEX(SC_EX_SSIDXCOLA,EXIDX)),1)</f>
        <v>0</v>
      </c>
      <c r="P117" s="145">
        <f t="shared" ca="1" si="101"/>
        <v>0</v>
      </c>
      <c r="Q117" s="145">
        <f t="shared" ca="1" si="102"/>
        <v>0</v>
      </c>
      <c r="R117" s="145">
        <f t="shared" ca="1" si="103"/>
        <v>0</v>
      </c>
      <c r="S117" s="145">
        <f t="shared" ca="1" si="74"/>
        <v>0</v>
      </c>
      <c r="T117" s="388">
        <f t="shared" ca="1" si="104"/>
        <v>0</v>
      </c>
      <c r="U117" s="386">
        <f t="shared" ca="1" si="105"/>
        <v>0</v>
      </c>
      <c r="V117" s="634"/>
      <c r="W117" s="662"/>
    </row>
    <row r="118" spans="2:23" x14ac:dyDescent="0.25">
      <c r="B118" s="65">
        <f ca="1">B116+1</f>
        <v>2076</v>
      </c>
      <c r="C118" s="4" t="s">
        <v>741</v>
      </c>
      <c r="D118" s="16" t="str">
        <f t="shared" si="94"/>
        <v/>
      </c>
      <c r="E118" s="5">
        <f t="shared" si="61"/>
        <v>0</v>
      </c>
      <c r="F118" s="5">
        <f t="shared" si="64"/>
        <v>1</v>
      </c>
      <c r="G118" s="4">
        <f t="shared" si="62"/>
        <v>1</v>
      </c>
      <c r="H118" s="4">
        <f t="shared" si="96"/>
        <v>0</v>
      </c>
      <c r="I118" s="4">
        <f t="shared" si="97"/>
        <v>0</v>
      </c>
      <c r="J118" s="348">
        <f t="shared" ca="1" si="98"/>
        <v>0</v>
      </c>
      <c r="K118" s="348">
        <f t="shared" ca="1" si="99"/>
        <v>0</v>
      </c>
      <c r="L118" s="348">
        <f t="shared" ca="1" si="100"/>
        <v>0</v>
      </c>
      <c r="M118" s="355">
        <f t="shared" ca="1" si="79"/>
        <v>0</v>
      </c>
      <c r="N118" s="345" t="b">
        <f t="shared" ca="1" si="70"/>
        <v>0</v>
      </c>
      <c r="O118" s="143">
        <f ca="1">ROUNDDOWN(IF(NOT($N118),0,(MIN(INDEX(SC_EX_SSAIME,EXIDX),INDEX(SC_EA_SSBendPts, INDEX(SC_SSBaseYear,$F118)+1-SC_YearEpoch+2,1))*Lookup!$C$19+MAX(MIN(INDEX(SC_EX_SSAIME,EXIDX),INDEX(SC_EA_SSBendPts, INDEX(SC_SSBaseYear,$F118)+1-SC_YearEpoch+2,2))-INDEX(SC_EA_SSBendPts, INDEX(SC_SSBaseYear,$F118)+1-SC_YearEpoch+2,1),0)*Lookup!$C$20+MAX(INDEX(SC_EX_SSAIME,EXIDX)-INDEX(SC_EA_SSBendPts, INDEX(SC_SSBaseYear,$F118)+1-SC_YearEpoch+2,2),0)*Lookup!$C$21)/INDEX(SC_EX_SSIDXCOLA,EXIDX)),1)</f>
        <v>0</v>
      </c>
      <c r="P118" s="6">
        <f t="shared" ca="1" si="101"/>
        <v>0</v>
      </c>
      <c r="Q118" s="6">
        <f t="shared" ca="1" si="102"/>
        <v>0</v>
      </c>
      <c r="R118" s="6">
        <f t="shared" ca="1" si="103"/>
        <v>0</v>
      </c>
      <c r="S118" s="6">
        <f t="shared" ca="1" si="74"/>
        <v>0</v>
      </c>
      <c r="T118" s="288">
        <f t="shared" ca="1" si="104"/>
        <v>0</v>
      </c>
      <c r="U118" s="330">
        <f t="shared" ca="1" si="105"/>
        <v>0</v>
      </c>
      <c r="V118" s="634">
        <f t="shared" ref="V118" ca="1" si="112">SUM($T118:$T119)</f>
        <v>0</v>
      </c>
      <c r="W118" s="662">
        <f ca="1">SUMPRODUCT($U118:$U119, --($E118:$E119&lt;&gt;0))</f>
        <v>0</v>
      </c>
    </row>
    <row r="119" spans="2:23" x14ac:dyDescent="0.25">
      <c r="B119" s="86">
        <f t="shared" ca="1" si="78"/>
        <v>2076</v>
      </c>
      <c r="C119" s="46" t="s">
        <v>741</v>
      </c>
      <c r="D119" s="148" t="str">
        <f t="shared" si="94"/>
        <v/>
      </c>
      <c r="E119" s="34">
        <f t="shared" si="61"/>
        <v>0</v>
      </c>
      <c r="F119" s="34">
        <f t="shared" si="64"/>
        <v>2</v>
      </c>
      <c r="G119" s="35">
        <f t="shared" si="62"/>
        <v>-1</v>
      </c>
      <c r="H119" s="35">
        <f t="shared" si="96"/>
        <v>0</v>
      </c>
      <c r="I119" s="35">
        <f t="shared" si="97"/>
        <v>0</v>
      </c>
      <c r="J119" s="350">
        <f t="shared" ca="1" si="98"/>
        <v>0</v>
      </c>
      <c r="K119" s="350">
        <f t="shared" ca="1" si="99"/>
        <v>0</v>
      </c>
      <c r="L119" s="350">
        <f t="shared" ca="1" si="100"/>
        <v>0</v>
      </c>
      <c r="M119" s="356">
        <f t="shared" ca="1" si="79"/>
        <v>0</v>
      </c>
      <c r="N119" s="354" t="b">
        <f t="shared" ca="1" si="70"/>
        <v>0</v>
      </c>
      <c r="O119" s="144">
        <f ca="1">ROUNDDOWN(IF(NOT($N119),0,(MIN(INDEX(SC_EX_SSAIME,EXIDX),INDEX(SC_EA_SSBendPts, INDEX(SC_SSBaseYear,$F119)+1-SC_YearEpoch+2,1))*Lookup!$C$19+MAX(MIN(INDEX(SC_EX_SSAIME,EXIDX),INDEX(SC_EA_SSBendPts, INDEX(SC_SSBaseYear,$F119)+1-SC_YearEpoch+2,2))-INDEX(SC_EA_SSBendPts, INDEX(SC_SSBaseYear,$F119)+1-SC_YearEpoch+2,1),0)*Lookup!$C$20+MAX(INDEX(SC_EX_SSAIME,EXIDX)-INDEX(SC_EA_SSBendPts, INDEX(SC_SSBaseYear,$F119)+1-SC_YearEpoch+2,2),0)*Lookup!$C$21)/INDEX(SC_EX_SSIDXCOLA,EXIDX)),1)</f>
        <v>0</v>
      </c>
      <c r="P119" s="145">
        <f t="shared" ca="1" si="101"/>
        <v>0</v>
      </c>
      <c r="Q119" s="145">
        <f t="shared" ca="1" si="102"/>
        <v>0</v>
      </c>
      <c r="R119" s="145">
        <f t="shared" ca="1" si="103"/>
        <v>0</v>
      </c>
      <c r="S119" s="145">
        <f t="shared" ca="1" si="74"/>
        <v>0</v>
      </c>
      <c r="T119" s="388">
        <f t="shared" ca="1" si="104"/>
        <v>0</v>
      </c>
      <c r="U119" s="386">
        <f t="shared" ca="1" si="105"/>
        <v>0</v>
      </c>
      <c r="V119" s="634"/>
      <c r="W119" s="662"/>
    </row>
    <row r="120" spans="2:23" x14ac:dyDescent="0.25">
      <c r="B120" s="65">
        <f ca="1">B118+1</f>
        <v>2077</v>
      </c>
      <c r="C120" s="4" t="s">
        <v>741</v>
      </c>
      <c r="D120" s="16" t="str">
        <f t="shared" si="94"/>
        <v/>
      </c>
      <c r="E120" s="5">
        <f t="shared" si="61"/>
        <v>0</v>
      </c>
      <c r="F120" s="5">
        <f t="shared" si="64"/>
        <v>1</v>
      </c>
      <c r="G120" s="4">
        <f t="shared" si="62"/>
        <v>1</v>
      </c>
      <c r="H120" s="4">
        <f t="shared" si="96"/>
        <v>0</v>
      </c>
      <c r="I120" s="4">
        <f t="shared" si="97"/>
        <v>0</v>
      </c>
      <c r="J120" s="348">
        <f t="shared" ca="1" si="98"/>
        <v>0</v>
      </c>
      <c r="K120" s="348">
        <f t="shared" ca="1" si="99"/>
        <v>0</v>
      </c>
      <c r="L120" s="348">
        <f t="shared" ca="1" si="100"/>
        <v>0</v>
      </c>
      <c r="M120" s="355">
        <f t="shared" ca="1" si="79"/>
        <v>0</v>
      </c>
      <c r="N120" s="345" t="b">
        <f t="shared" ca="1" si="70"/>
        <v>0</v>
      </c>
      <c r="O120" s="143">
        <f ca="1">ROUNDDOWN(IF(NOT($N120),0,(MIN(INDEX(SC_EX_SSAIME,EXIDX),INDEX(SC_EA_SSBendPts, INDEX(SC_SSBaseYear,$F120)+1-SC_YearEpoch+2,1))*Lookup!$C$19+MAX(MIN(INDEX(SC_EX_SSAIME,EXIDX),INDEX(SC_EA_SSBendPts, INDEX(SC_SSBaseYear,$F120)+1-SC_YearEpoch+2,2))-INDEX(SC_EA_SSBendPts, INDEX(SC_SSBaseYear,$F120)+1-SC_YearEpoch+2,1),0)*Lookup!$C$20+MAX(INDEX(SC_EX_SSAIME,EXIDX)-INDEX(SC_EA_SSBendPts, INDEX(SC_SSBaseYear,$F120)+1-SC_YearEpoch+2,2),0)*Lookup!$C$21)/INDEX(SC_EX_SSIDXCOLA,EXIDX)),1)</f>
        <v>0</v>
      </c>
      <c r="P120" s="6">
        <f t="shared" ca="1" si="101"/>
        <v>0</v>
      </c>
      <c r="Q120" s="6">
        <f t="shared" ca="1" si="102"/>
        <v>0</v>
      </c>
      <c r="R120" s="6">
        <f t="shared" ca="1" si="103"/>
        <v>0</v>
      </c>
      <c r="S120" s="6">
        <f t="shared" ca="1" si="74"/>
        <v>0</v>
      </c>
      <c r="T120" s="288">
        <f t="shared" ca="1" si="104"/>
        <v>0</v>
      </c>
      <c r="U120" s="330">
        <f t="shared" ca="1" si="105"/>
        <v>0</v>
      </c>
      <c r="V120" s="634">
        <f t="shared" ref="V120" ca="1" si="113">SUM($T120:$T121)</f>
        <v>0</v>
      </c>
      <c r="W120" s="662">
        <f ca="1">SUMPRODUCT($U120:$U121, --($E120:$E121&lt;&gt;0))</f>
        <v>0</v>
      </c>
    </row>
    <row r="121" spans="2:23" x14ac:dyDescent="0.25">
      <c r="B121" s="86">
        <f t="shared" ca="1" si="78"/>
        <v>2077</v>
      </c>
      <c r="C121" s="46" t="s">
        <v>741</v>
      </c>
      <c r="D121" s="148" t="str">
        <f t="shared" si="94"/>
        <v/>
      </c>
      <c r="E121" s="34">
        <f t="shared" si="61"/>
        <v>0</v>
      </c>
      <c r="F121" s="34">
        <f t="shared" si="64"/>
        <v>2</v>
      </c>
      <c r="G121" s="35">
        <f t="shared" si="62"/>
        <v>-1</v>
      </c>
      <c r="H121" s="35">
        <f t="shared" si="96"/>
        <v>0</v>
      </c>
      <c r="I121" s="35">
        <f t="shared" si="97"/>
        <v>0</v>
      </c>
      <c r="J121" s="350">
        <f t="shared" ca="1" si="98"/>
        <v>0</v>
      </c>
      <c r="K121" s="350">
        <f t="shared" ca="1" si="99"/>
        <v>0</v>
      </c>
      <c r="L121" s="350">
        <f t="shared" ca="1" si="100"/>
        <v>0</v>
      </c>
      <c r="M121" s="356">
        <f t="shared" ca="1" si="79"/>
        <v>0</v>
      </c>
      <c r="N121" s="354" t="b">
        <f t="shared" ca="1" si="70"/>
        <v>0</v>
      </c>
      <c r="O121" s="144">
        <f ca="1">ROUNDDOWN(IF(NOT($N121),0,(MIN(INDEX(SC_EX_SSAIME,EXIDX),INDEX(SC_EA_SSBendPts, INDEX(SC_SSBaseYear,$F121)+1-SC_YearEpoch+2,1))*Lookup!$C$19+MAX(MIN(INDEX(SC_EX_SSAIME,EXIDX),INDEX(SC_EA_SSBendPts, INDEX(SC_SSBaseYear,$F121)+1-SC_YearEpoch+2,2))-INDEX(SC_EA_SSBendPts, INDEX(SC_SSBaseYear,$F121)+1-SC_YearEpoch+2,1),0)*Lookup!$C$20+MAX(INDEX(SC_EX_SSAIME,EXIDX)-INDEX(SC_EA_SSBendPts, INDEX(SC_SSBaseYear,$F121)+1-SC_YearEpoch+2,2),0)*Lookup!$C$21)/INDEX(SC_EX_SSIDXCOLA,EXIDX)),1)</f>
        <v>0</v>
      </c>
      <c r="P121" s="145">
        <f t="shared" ca="1" si="101"/>
        <v>0</v>
      </c>
      <c r="Q121" s="145">
        <f t="shared" ca="1" si="102"/>
        <v>0</v>
      </c>
      <c r="R121" s="145">
        <f t="shared" ca="1" si="103"/>
        <v>0</v>
      </c>
      <c r="S121" s="145">
        <f t="shared" ca="1" si="74"/>
        <v>0</v>
      </c>
      <c r="T121" s="388">
        <f t="shared" ca="1" si="104"/>
        <v>0</v>
      </c>
      <c r="U121" s="386">
        <f t="shared" ca="1" si="105"/>
        <v>0</v>
      </c>
      <c r="V121" s="634"/>
      <c r="W121" s="662"/>
    </row>
    <row r="122" spans="2:23" x14ac:dyDescent="0.25">
      <c r="B122" s="65">
        <f ca="1">B120+1</f>
        <v>2078</v>
      </c>
      <c r="C122" s="4" t="s">
        <v>741</v>
      </c>
      <c r="D122" s="16" t="str">
        <f t="shared" si="94"/>
        <v/>
      </c>
      <c r="E122" s="5">
        <f t="shared" si="61"/>
        <v>0</v>
      </c>
      <c r="F122" s="5">
        <f t="shared" si="64"/>
        <v>1</v>
      </c>
      <c r="G122" s="4">
        <f t="shared" si="62"/>
        <v>1</v>
      </c>
      <c r="H122" s="4">
        <f t="shared" si="96"/>
        <v>0</v>
      </c>
      <c r="I122" s="4">
        <f t="shared" si="97"/>
        <v>0</v>
      </c>
      <c r="J122" s="348">
        <f t="shared" ca="1" si="98"/>
        <v>0</v>
      </c>
      <c r="K122" s="348">
        <f t="shared" ca="1" si="99"/>
        <v>0</v>
      </c>
      <c r="L122" s="348">
        <f t="shared" ca="1" si="100"/>
        <v>0</v>
      </c>
      <c r="M122" s="355">
        <f t="shared" ca="1" si="79"/>
        <v>0</v>
      </c>
      <c r="N122" s="345" t="b">
        <f t="shared" ca="1" si="70"/>
        <v>0</v>
      </c>
      <c r="O122" s="143">
        <f ca="1">ROUNDDOWN(IF(NOT($N122),0,(MIN(INDEX(SC_EX_SSAIME,EXIDX),INDEX(SC_EA_SSBendPts, INDEX(SC_SSBaseYear,$F122)+1-SC_YearEpoch+2,1))*Lookup!$C$19+MAX(MIN(INDEX(SC_EX_SSAIME,EXIDX),INDEX(SC_EA_SSBendPts, INDEX(SC_SSBaseYear,$F122)+1-SC_YearEpoch+2,2))-INDEX(SC_EA_SSBendPts, INDEX(SC_SSBaseYear,$F122)+1-SC_YearEpoch+2,1),0)*Lookup!$C$20+MAX(INDEX(SC_EX_SSAIME,EXIDX)-INDEX(SC_EA_SSBendPts, INDEX(SC_SSBaseYear,$F122)+1-SC_YearEpoch+2,2),0)*Lookup!$C$21)/INDEX(SC_EX_SSIDXCOLA,EXIDX)),1)</f>
        <v>0</v>
      </c>
      <c r="P122" s="6">
        <f t="shared" ca="1" si="101"/>
        <v>0</v>
      </c>
      <c r="Q122" s="6">
        <f t="shared" ca="1" si="102"/>
        <v>0</v>
      </c>
      <c r="R122" s="6">
        <f t="shared" ca="1" si="103"/>
        <v>0</v>
      </c>
      <c r="S122" s="6">
        <f t="shared" ca="1" si="74"/>
        <v>0</v>
      </c>
      <c r="T122" s="288">
        <f t="shared" ca="1" si="104"/>
        <v>0</v>
      </c>
      <c r="U122" s="330">
        <f t="shared" ca="1" si="105"/>
        <v>0</v>
      </c>
      <c r="V122" s="634">
        <f t="shared" ref="V122" ca="1" si="114">SUM($T122:$T123)</f>
        <v>0</v>
      </c>
      <c r="W122" s="662">
        <f ca="1">SUMPRODUCT($U122:$U123, --($E122:$E123&lt;&gt;0))</f>
        <v>0</v>
      </c>
    </row>
    <row r="123" spans="2:23" x14ac:dyDescent="0.25">
      <c r="B123" s="86">
        <f t="shared" ca="1" si="78"/>
        <v>2078</v>
      </c>
      <c r="C123" s="46" t="s">
        <v>741</v>
      </c>
      <c r="D123" s="148" t="str">
        <f t="shared" si="94"/>
        <v/>
      </c>
      <c r="E123" s="34">
        <f t="shared" si="61"/>
        <v>0</v>
      </c>
      <c r="F123" s="34">
        <f t="shared" si="64"/>
        <v>2</v>
      </c>
      <c r="G123" s="35">
        <f t="shared" si="62"/>
        <v>-1</v>
      </c>
      <c r="H123" s="35">
        <f t="shared" si="96"/>
        <v>0</v>
      </c>
      <c r="I123" s="35">
        <f t="shared" si="97"/>
        <v>0</v>
      </c>
      <c r="J123" s="350">
        <f t="shared" ca="1" si="98"/>
        <v>0</v>
      </c>
      <c r="K123" s="350">
        <f t="shared" ca="1" si="99"/>
        <v>0</v>
      </c>
      <c r="L123" s="350">
        <f t="shared" ca="1" si="100"/>
        <v>0</v>
      </c>
      <c r="M123" s="356">
        <f t="shared" ca="1" si="79"/>
        <v>0</v>
      </c>
      <c r="N123" s="354" t="b">
        <f t="shared" ca="1" si="70"/>
        <v>0</v>
      </c>
      <c r="O123" s="144">
        <f ca="1">ROUNDDOWN(IF(NOT($N123),0,(MIN(INDEX(SC_EX_SSAIME,EXIDX),INDEX(SC_EA_SSBendPts, INDEX(SC_SSBaseYear,$F123)+1-SC_YearEpoch+2,1))*Lookup!$C$19+MAX(MIN(INDEX(SC_EX_SSAIME,EXIDX),INDEX(SC_EA_SSBendPts, INDEX(SC_SSBaseYear,$F123)+1-SC_YearEpoch+2,2))-INDEX(SC_EA_SSBendPts, INDEX(SC_SSBaseYear,$F123)+1-SC_YearEpoch+2,1),0)*Lookup!$C$20+MAX(INDEX(SC_EX_SSAIME,EXIDX)-INDEX(SC_EA_SSBendPts, INDEX(SC_SSBaseYear,$F123)+1-SC_YearEpoch+2,2),0)*Lookup!$C$21)/INDEX(SC_EX_SSIDXCOLA,EXIDX)),1)</f>
        <v>0</v>
      </c>
      <c r="P123" s="145">
        <f t="shared" ca="1" si="101"/>
        <v>0</v>
      </c>
      <c r="Q123" s="145">
        <f t="shared" ca="1" si="102"/>
        <v>0</v>
      </c>
      <c r="R123" s="145">
        <f t="shared" ca="1" si="103"/>
        <v>0</v>
      </c>
      <c r="S123" s="145">
        <f t="shared" ca="1" si="74"/>
        <v>0</v>
      </c>
      <c r="T123" s="388">
        <f t="shared" ca="1" si="104"/>
        <v>0</v>
      </c>
      <c r="U123" s="386">
        <f t="shared" ca="1" si="105"/>
        <v>0</v>
      </c>
      <c r="V123" s="634"/>
      <c r="W123" s="662"/>
    </row>
    <row r="124" spans="2:23" x14ac:dyDescent="0.25">
      <c r="B124" s="65">
        <f ca="1">B122+1</f>
        <v>2079</v>
      </c>
      <c r="C124" s="4" t="s">
        <v>741</v>
      </c>
      <c r="D124" s="16" t="str">
        <f t="shared" si="94"/>
        <v/>
      </c>
      <c r="E124" s="5">
        <f t="shared" si="61"/>
        <v>0</v>
      </c>
      <c r="F124" s="5">
        <f t="shared" si="64"/>
        <v>1</v>
      </c>
      <c r="G124" s="4">
        <f t="shared" si="62"/>
        <v>1</v>
      </c>
      <c r="H124" s="4">
        <f t="shared" si="96"/>
        <v>0</v>
      </c>
      <c r="I124" s="4">
        <f t="shared" si="97"/>
        <v>0</v>
      </c>
      <c r="J124" s="348">
        <f t="shared" ca="1" si="98"/>
        <v>0</v>
      </c>
      <c r="K124" s="348">
        <f t="shared" ca="1" si="99"/>
        <v>0</v>
      </c>
      <c r="L124" s="348">
        <f t="shared" ca="1" si="100"/>
        <v>0</v>
      </c>
      <c r="M124" s="355">
        <f t="shared" ca="1" si="79"/>
        <v>0</v>
      </c>
      <c r="N124" s="345" t="b">
        <f t="shared" ca="1" si="70"/>
        <v>0</v>
      </c>
      <c r="O124" s="143">
        <f ca="1">ROUNDDOWN(IF(NOT($N124),0,(MIN(INDEX(SC_EX_SSAIME,EXIDX),INDEX(SC_EA_SSBendPts, INDEX(SC_SSBaseYear,$F124)+1-SC_YearEpoch+2,1))*Lookup!$C$19+MAX(MIN(INDEX(SC_EX_SSAIME,EXIDX),INDEX(SC_EA_SSBendPts, INDEX(SC_SSBaseYear,$F124)+1-SC_YearEpoch+2,2))-INDEX(SC_EA_SSBendPts, INDEX(SC_SSBaseYear,$F124)+1-SC_YearEpoch+2,1),0)*Lookup!$C$20+MAX(INDEX(SC_EX_SSAIME,EXIDX)-INDEX(SC_EA_SSBendPts, INDEX(SC_SSBaseYear,$F124)+1-SC_YearEpoch+2,2),0)*Lookup!$C$21)/INDEX(SC_EX_SSIDXCOLA,EXIDX)),1)</f>
        <v>0</v>
      </c>
      <c r="P124" s="6">
        <f t="shared" ca="1" si="101"/>
        <v>0</v>
      </c>
      <c r="Q124" s="6">
        <f t="shared" ca="1" si="102"/>
        <v>0</v>
      </c>
      <c r="R124" s="6">
        <f t="shared" ca="1" si="103"/>
        <v>0</v>
      </c>
      <c r="S124" s="6">
        <f t="shared" ca="1" si="74"/>
        <v>0</v>
      </c>
      <c r="T124" s="288">
        <f t="shared" ca="1" si="104"/>
        <v>0</v>
      </c>
      <c r="U124" s="330">
        <f t="shared" ca="1" si="105"/>
        <v>0</v>
      </c>
      <c r="V124" s="634">
        <f t="shared" ref="V124" ca="1" si="115">SUM($T124:$T125)</f>
        <v>0</v>
      </c>
      <c r="W124" s="662">
        <f ca="1">SUMPRODUCT($U124:$U125, --($E124:$E125&lt;&gt;0))</f>
        <v>0</v>
      </c>
    </row>
    <row r="125" spans="2:23" x14ac:dyDescent="0.25">
      <c r="B125" s="86">
        <f t="shared" ca="1" si="78"/>
        <v>2079</v>
      </c>
      <c r="C125" s="46" t="s">
        <v>741</v>
      </c>
      <c r="D125" s="148" t="str">
        <f t="shared" si="94"/>
        <v/>
      </c>
      <c r="E125" s="34">
        <f t="shared" si="61"/>
        <v>0</v>
      </c>
      <c r="F125" s="34">
        <f t="shared" si="64"/>
        <v>2</v>
      </c>
      <c r="G125" s="35">
        <f t="shared" si="62"/>
        <v>-1</v>
      </c>
      <c r="H125" s="35">
        <f t="shared" si="96"/>
        <v>0</v>
      </c>
      <c r="I125" s="35">
        <f t="shared" si="97"/>
        <v>0</v>
      </c>
      <c r="J125" s="350">
        <f t="shared" ca="1" si="98"/>
        <v>0</v>
      </c>
      <c r="K125" s="350">
        <f t="shared" ca="1" si="99"/>
        <v>0</v>
      </c>
      <c r="L125" s="350">
        <f t="shared" ca="1" si="100"/>
        <v>0</v>
      </c>
      <c r="M125" s="356">
        <f t="shared" ca="1" si="79"/>
        <v>0</v>
      </c>
      <c r="N125" s="354" t="b">
        <f t="shared" ca="1" si="70"/>
        <v>0</v>
      </c>
      <c r="O125" s="144">
        <f ca="1">ROUNDDOWN(IF(NOT($N125),0,(MIN(INDEX(SC_EX_SSAIME,EXIDX),INDEX(SC_EA_SSBendPts, INDEX(SC_SSBaseYear,$F125)+1-SC_YearEpoch+2,1))*Lookup!$C$19+MAX(MIN(INDEX(SC_EX_SSAIME,EXIDX),INDEX(SC_EA_SSBendPts, INDEX(SC_SSBaseYear,$F125)+1-SC_YearEpoch+2,2))-INDEX(SC_EA_SSBendPts, INDEX(SC_SSBaseYear,$F125)+1-SC_YearEpoch+2,1),0)*Lookup!$C$20+MAX(INDEX(SC_EX_SSAIME,EXIDX)-INDEX(SC_EA_SSBendPts, INDEX(SC_SSBaseYear,$F125)+1-SC_YearEpoch+2,2),0)*Lookup!$C$21)/INDEX(SC_EX_SSIDXCOLA,EXIDX)),1)</f>
        <v>0</v>
      </c>
      <c r="P125" s="145">
        <f t="shared" ca="1" si="101"/>
        <v>0</v>
      </c>
      <c r="Q125" s="145">
        <f t="shared" ca="1" si="102"/>
        <v>0</v>
      </c>
      <c r="R125" s="145">
        <f t="shared" ca="1" si="103"/>
        <v>0</v>
      </c>
      <c r="S125" s="145">
        <f t="shared" ca="1" si="74"/>
        <v>0</v>
      </c>
      <c r="T125" s="388">
        <f t="shared" ca="1" si="104"/>
        <v>0</v>
      </c>
      <c r="U125" s="386">
        <f t="shared" ca="1" si="105"/>
        <v>0</v>
      </c>
      <c r="V125" s="634"/>
      <c r="W125" s="662"/>
    </row>
    <row r="126" spans="2:23" x14ac:dyDescent="0.25">
      <c r="B126" s="65">
        <f ca="1">B124+1</f>
        <v>2080</v>
      </c>
      <c r="C126" s="4" t="s">
        <v>741</v>
      </c>
      <c r="D126" s="16" t="str">
        <f t="shared" si="94"/>
        <v/>
      </c>
      <c r="E126" s="5">
        <f t="shared" si="61"/>
        <v>0</v>
      </c>
      <c r="F126" s="5">
        <f t="shared" si="64"/>
        <v>1</v>
      </c>
      <c r="G126" s="4">
        <f t="shared" si="62"/>
        <v>1</v>
      </c>
      <c r="H126" s="4">
        <f t="shared" si="96"/>
        <v>0</v>
      </c>
      <c r="I126" s="4">
        <f t="shared" si="97"/>
        <v>0</v>
      </c>
      <c r="J126" s="348">
        <f t="shared" ca="1" si="98"/>
        <v>0</v>
      </c>
      <c r="K126" s="348">
        <f t="shared" ca="1" si="99"/>
        <v>0</v>
      </c>
      <c r="L126" s="348">
        <f t="shared" ca="1" si="100"/>
        <v>0</v>
      </c>
      <c r="M126" s="355">
        <f t="shared" ca="1" si="79"/>
        <v>0</v>
      </c>
      <c r="N126" s="345" t="b">
        <f t="shared" ca="1" si="70"/>
        <v>0</v>
      </c>
      <c r="O126" s="143">
        <f ca="1">ROUNDDOWN(IF(NOT($N126),0,(MIN(INDEX(SC_EX_SSAIME,EXIDX),INDEX(SC_EA_SSBendPts, INDEX(SC_SSBaseYear,$F126)+1-SC_YearEpoch+2,1))*Lookup!$C$19+MAX(MIN(INDEX(SC_EX_SSAIME,EXIDX),INDEX(SC_EA_SSBendPts, INDEX(SC_SSBaseYear,$F126)+1-SC_YearEpoch+2,2))-INDEX(SC_EA_SSBendPts, INDEX(SC_SSBaseYear,$F126)+1-SC_YearEpoch+2,1),0)*Lookup!$C$20+MAX(INDEX(SC_EX_SSAIME,EXIDX)-INDEX(SC_EA_SSBendPts, INDEX(SC_SSBaseYear,$F126)+1-SC_YearEpoch+2,2),0)*Lookup!$C$21)/INDEX(SC_EX_SSIDXCOLA,EXIDX)),1)</f>
        <v>0</v>
      </c>
      <c r="P126" s="6">
        <f t="shared" ca="1" si="101"/>
        <v>0</v>
      </c>
      <c r="Q126" s="6">
        <f t="shared" ca="1" si="102"/>
        <v>0</v>
      </c>
      <c r="R126" s="6">
        <f t="shared" ca="1" si="103"/>
        <v>0</v>
      </c>
      <c r="S126" s="6">
        <f t="shared" ca="1" si="74"/>
        <v>0</v>
      </c>
      <c r="T126" s="288">
        <f t="shared" ca="1" si="104"/>
        <v>0</v>
      </c>
      <c r="U126" s="330">
        <f t="shared" ca="1" si="105"/>
        <v>0</v>
      </c>
      <c r="V126" s="634">
        <f t="shared" ref="V126" ca="1" si="116">SUM($T126:$T127)</f>
        <v>0</v>
      </c>
      <c r="W126" s="662">
        <f ca="1">SUMPRODUCT($U126:$U127, --($E126:$E127&lt;&gt;0))</f>
        <v>0</v>
      </c>
    </row>
    <row r="127" spans="2:23" x14ac:dyDescent="0.25">
      <c r="B127" s="86">
        <f t="shared" ca="1" si="78"/>
        <v>2080</v>
      </c>
      <c r="C127" s="46" t="s">
        <v>741</v>
      </c>
      <c r="D127" s="148" t="str">
        <f t="shared" si="94"/>
        <v/>
      </c>
      <c r="E127" s="34">
        <f t="shared" si="61"/>
        <v>0</v>
      </c>
      <c r="F127" s="34">
        <f t="shared" si="64"/>
        <v>2</v>
      </c>
      <c r="G127" s="35">
        <f t="shared" si="62"/>
        <v>-1</v>
      </c>
      <c r="H127" s="35">
        <f t="shared" si="96"/>
        <v>0</v>
      </c>
      <c r="I127" s="35">
        <f t="shared" si="97"/>
        <v>0</v>
      </c>
      <c r="J127" s="350">
        <f t="shared" ca="1" si="98"/>
        <v>0</v>
      </c>
      <c r="K127" s="350">
        <f t="shared" ca="1" si="99"/>
        <v>0</v>
      </c>
      <c r="L127" s="350">
        <f t="shared" ca="1" si="100"/>
        <v>0</v>
      </c>
      <c r="M127" s="356">
        <f t="shared" ca="1" si="79"/>
        <v>0</v>
      </c>
      <c r="N127" s="354" t="b">
        <f t="shared" ca="1" si="70"/>
        <v>0</v>
      </c>
      <c r="O127" s="144">
        <f ca="1">ROUNDDOWN(IF(NOT($N127),0,(MIN(INDEX(SC_EX_SSAIME,EXIDX),INDEX(SC_EA_SSBendPts, INDEX(SC_SSBaseYear,$F127)+1-SC_YearEpoch+2,1))*Lookup!$C$19+MAX(MIN(INDEX(SC_EX_SSAIME,EXIDX),INDEX(SC_EA_SSBendPts, INDEX(SC_SSBaseYear,$F127)+1-SC_YearEpoch+2,2))-INDEX(SC_EA_SSBendPts, INDEX(SC_SSBaseYear,$F127)+1-SC_YearEpoch+2,1),0)*Lookup!$C$20+MAX(INDEX(SC_EX_SSAIME,EXIDX)-INDEX(SC_EA_SSBendPts, INDEX(SC_SSBaseYear,$F127)+1-SC_YearEpoch+2,2),0)*Lookup!$C$21)/INDEX(SC_EX_SSIDXCOLA,EXIDX)),1)</f>
        <v>0</v>
      </c>
      <c r="P127" s="145">
        <f t="shared" ca="1" si="101"/>
        <v>0</v>
      </c>
      <c r="Q127" s="145">
        <f t="shared" ca="1" si="102"/>
        <v>0</v>
      </c>
      <c r="R127" s="145">
        <f t="shared" ca="1" si="103"/>
        <v>0</v>
      </c>
      <c r="S127" s="145">
        <f t="shared" ca="1" si="74"/>
        <v>0</v>
      </c>
      <c r="T127" s="388">
        <f t="shared" ca="1" si="104"/>
        <v>0</v>
      </c>
      <c r="U127" s="386">
        <f t="shared" ca="1" si="105"/>
        <v>0</v>
      </c>
      <c r="V127" s="634"/>
      <c r="W127" s="662"/>
    </row>
    <row r="128" spans="2:23" x14ac:dyDescent="0.25">
      <c r="B128" s="65">
        <f ca="1">B126+1</f>
        <v>2081</v>
      </c>
      <c r="C128" s="4" t="s">
        <v>741</v>
      </c>
      <c r="D128" s="16" t="str">
        <f t="shared" si="94"/>
        <v/>
      </c>
      <c r="E128" s="5">
        <f t="shared" si="61"/>
        <v>0</v>
      </c>
      <c r="F128" s="5">
        <f t="shared" si="64"/>
        <v>1</v>
      </c>
      <c r="G128" s="4">
        <f t="shared" si="62"/>
        <v>1</v>
      </c>
      <c r="H128" s="4">
        <f t="shared" si="96"/>
        <v>0</v>
      </c>
      <c r="I128" s="4">
        <f t="shared" si="97"/>
        <v>0</v>
      </c>
      <c r="J128" s="348">
        <f t="shared" ca="1" si="98"/>
        <v>0</v>
      </c>
      <c r="K128" s="348">
        <f t="shared" ca="1" si="99"/>
        <v>0</v>
      </c>
      <c r="L128" s="348">
        <f t="shared" ca="1" si="100"/>
        <v>0</v>
      </c>
      <c r="M128" s="355">
        <f t="shared" ca="1" si="79"/>
        <v>0</v>
      </c>
      <c r="N128" s="345" t="b">
        <f t="shared" ca="1" si="70"/>
        <v>0</v>
      </c>
      <c r="O128" s="143">
        <f ca="1">ROUNDDOWN(IF(NOT($N128),0,(MIN(INDEX(SC_EX_SSAIME,EXIDX),INDEX(SC_EA_SSBendPts, INDEX(SC_SSBaseYear,$F128)+1-SC_YearEpoch+2,1))*Lookup!$C$19+MAX(MIN(INDEX(SC_EX_SSAIME,EXIDX),INDEX(SC_EA_SSBendPts, INDEX(SC_SSBaseYear,$F128)+1-SC_YearEpoch+2,2))-INDEX(SC_EA_SSBendPts, INDEX(SC_SSBaseYear,$F128)+1-SC_YearEpoch+2,1),0)*Lookup!$C$20+MAX(INDEX(SC_EX_SSAIME,EXIDX)-INDEX(SC_EA_SSBendPts, INDEX(SC_SSBaseYear,$F128)+1-SC_YearEpoch+2,2),0)*Lookup!$C$21)/INDEX(SC_EX_SSIDXCOLA,EXIDX)),1)</f>
        <v>0</v>
      </c>
      <c r="P128" s="6">
        <f t="shared" ca="1" si="101"/>
        <v>0</v>
      </c>
      <c r="Q128" s="6">
        <f t="shared" ca="1" si="102"/>
        <v>0</v>
      </c>
      <c r="R128" s="6">
        <f t="shared" ca="1" si="103"/>
        <v>0</v>
      </c>
      <c r="S128" s="6">
        <f t="shared" ca="1" si="74"/>
        <v>0</v>
      </c>
      <c r="T128" s="288">
        <f t="shared" ca="1" si="104"/>
        <v>0</v>
      </c>
      <c r="U128" s="330">
        <f t="shared" ca="1" si="105"/>
        <v>0</v>
      </c>
      <c r="V128" s="634">
        <f t="shared" ref="V128" ca="1" si="117">SUM($T128:$T129)</f>
        <v>0</v>
      </c>
      <c r="W128" s="662">
        <f ca="1">SUMPRODUCT($U128:$U129, --($E128:$E129&lt;&gt;0))</f>
        <v>0</v>
      </c>
    </row>
    <row r="129" spans="2:23" x14ac:dyDescent="0.25">
      <c r="B129" s="86">
        <f t="shared" ca="1" si="78"/>
        <v>2081</v>
      </c>
      <c r="C129" s="46" t="s">
        <v>741</v>
      </c>
      <c r="D129" s="148" t="str">
        <f t="shared" si="94"/>
        <v/>
      </c>
      <c r="E129" s="34">
        <f t="shared" si="61"/>
        <v>0</v>
      </c>
      <c r="F129" s="34">
        <f t="shared" si="64"/>
        <v>2</v>
      </c>
      <c r="G129" s="35">
        <f t="shared" si="62"/>
        <v>-1</v>
      </c>
      <c r="H129" s="35">
        <f t="shared" si="96"/>
        <v>0</v>
      </c>
      <c r="I129" s="35">
        <f t="shared" si="97"/>
        <v>0</v>
      </c>
      <c r="J129" s="350">
        <f t="shared" ca="1" si="98"/>
        <v>0</v>
      </c>
      <c r="K129" s="350">
        <f t="shared" ca="1" si="99"/>
        <v>0</v>
      </c>
      <c r="L129" s="350">
        <f t="shared" ca="1" si="100"/>
        <v>0</v>
      </c>
      <c r="M129" s="356">
        <f t="shared" ca="1" si="79"/>
        <v>0</v>
      </c>
      <c r="N129" s="354" t="b">
        <f t="shared" ca="1" si="70"/>
        <v>0</v>
      </c>
      <c r="O129" s="144">
        <f ca="1">ROUNDDOWN(IF(NOT($N129),0,(MIN(INDEX(SC_EX_SSAIME,EXIDX),INDEX(SC_EA_SSBendPts, INDEX(SC_SSBaseYear,$F129)+1-SC_YearEpoch+2,1))*Lookup!$C$19+MAX(MIN(INDEX(SC_EX_SSAIME,EXIDX),INDEX(SC_EA_SSBendPts, INDEX(SC_SSBaseYear,$F129)+1-SC_YearEpoch+2,2))-INDEX(SC_EA_SSBendPts, INDEX(SC_SSBaseYear,$F129)+1-SC_YearEpoch+2,1),0)*Lookup!$C$20+MAX(INDEX(SC_EX_SSAIME,EXIDX)-INDEX(SC_EA_SSBendPts, INDEX(SC_SSBaseYear,$F129)+1-SC_YearEpoch+2,2),0)*Lookup!$C$21)/INDEX(SC_EX_SSIDXCOLA,EXIDX)),1)</f>
        <v>0</v>
      </c>
      <c r="P129" s="145">
        <f t="shared" ca="1" si="101"/>
        <v>0</v>
      </c>
      <c r="Q129" s="145">
        <f t="shared" ca="1" si="102"/>
        <v>0</v>
      </c>
      <c r="R129" s="145">
        <f t="shared" ca="1" si="103"/>
        <v>0</v>
      </c>
      <c r="S129" s="145">
        <f t="shared" ca="1" si="74"/>
        <v>0</v>
      </c>
      <c r="T129" s="388">
        <f t="shared" ca="1" si="104"/>
        <v>0</v>
      </c>
      <c r="U129" s="386">
        <f t="shared" ca="1" si="105"/>
        <v>0</v>
      </c>
      <c r="V129" s="634"/>
      <c r="W129" s="662"/>
    </row>
    <row r="130" spans="2:23" x14ac:dyDescent="0.25">
      <c r="B130" s="65">
        <f ca="1">B128+1</f>
        <v>2082</v>
      </c>
      <c r="C130" s="4" t="s">
        <v>741</v>
      </c>
      <c r="D130" s="16" t="str">
        <f t="shared" si="94"/>
        <v/>
      </c>
      <c r="E130" s="5">
        <f t="shared" si="61"/>
        <v>0</v>
      </c>
      <c r="F130" s="5">
        <f t="shared" si="64"/>
        <v>1</v>
      </c>
      <c r="G130" s="4">
        <f t="shared" si="62"/>
        <v>1</v>
      </c>
      <c r="H130" s="4">
        <f t="shared" si="96"/>
        <v>0</v>
      </c>
      <c r="I130" s="4">
        <f t="shared" si="97"/>
        <v>0</v>
      </c>
      <c r="J130" s="348">
        <f t="shared" ca="1" si="98"/>
        <v>0</v>
      </c>
      <c r="K130" s="348">
        <f t="shared" ca="1" si="99"/>
        <v>0</v>
      </c>
      <c r="L130" s="348">
        <f t="shared" ca="1" si="100"/>
        <v>0</v>
      </c>
      <c r="M130" s="355">
        <f t="shared" ca="1" si="79"/>
        <v>0</v>
      </c>
      <c r="N130" s="345" t="b">
        <f t="shared" ca="1" si="70"/>
        <v>0</v>
      </c>
      <c r="O130" s="143">
        <f ca="1">ROUNDDOWN(IF(NOT($N130),0,(MIN(INDEX(SC_EX_SSAIME,EXIDX),INDEX(SC_EA_SSBendPts, INDEX(SC_SSBaseYear,$F130)+1-SC_YearEpoch+2,1))*Lookup!$C$19+MAX(MIN(INDEX(SC_EX_SSAIME,EXIDX),INDEX(SC_EA_SSBendPts, INDEX(SC_SSBaseYear,$F130)+1-SC_YearEpoch+2,2))-INDEX(SC_EA_SSBendPts, INDEX(SC_SSBaseYear,$F130)+1-SC_YearEpoch+2,1),0)*Lookup!$C$20+MAX(INDEX(SC_EX_SSAIME,EXIDX)-INDEX(SC_EA_SSBendPts, INDEX(SC_SSBaseYear,$F130)+1-SC_YearEpoch+2,2),0)*Lookup!$C$21)/INDEX(SC_EX_SSIDXCOLA,EXIDX)),1)</f>
        <v>0</v>
      </c>
      <c r="P130" s="6">
        <f t="shared" ca="1" si="101"/>
        <v>0</v>
      </c>
      <c r="Q130" s="6">
        <f t="shared" ca="1" si="102"/>
        <v>0</v>
      </c>
      <c r="R130" s="6">
        <f t="shared" ca="1" si="103"/>
        <v>0</v>
      </c>
      <c r="S130" s="6">
        <f t="shared" ca="1" si="74"/>
        <v>0</v>
      </c>
      <c r="T130" s="288">
        <f t="shared" ca="1" si="104"/>
        <v>0</v>
      </c>
      <c r="U130" s="330">
        <f t="shared" ca="1" si="105"/>
        <v>0</v>
      </c>
      <c r="V130" s="634">
        <f t="shared" ref="V130" ca="1" si="118">SUM($T130:$T131)</f>
        <v>0</v>
      </c>
      <c r="W130" s="662">
        <f ca="1">SUMPRODUCT($U130:$U131, --($E130:$E131&lt;&gt;0))</f>
        <v>0</v>
      </c>
    </row>
    <row r="131" spans="2:23" x14ac:dyDescent="0.25">
      <c r="B131" s="86">
        <f t="shared" ca="1" si="78"/>
        <v>2082</v>
      </c>
      <c r="C131" s="46" t="s">
        <v>741</v>
      </c>
      <c r="D131" s="148" t="str">
        <f t="shared" si="94"/>
        <v/>
      </c>
      <c r="E131" s="34">
        <f t="shared" si="61"/>
        <v>0</v>
      </c>
      <c r="F131" s="34">
        <f t="shared" si="64"/>
        <v>2</v>
      </c>
      <c r="G131" s="35">
        <f t="shared" si="62"/>
        <v>-1</v>
      </c>
      <c r="H131" s="35">
        <f t="shared" si="96"/>
        <v>0</v>
      </c>
      <c r="I131" s="35">
        <f t="shared" si="97"/>
        <v>0</v>
      </c>
      <c r="J131" s="350">
        <f t="shared" ca="1" si="98"/>
        <v>0</v>
      </c>
      <c r="K131" s="350">
        <f t="shared" ca="1" si="99"/>
        <v>0</v>
      </c>
      <c r="L131" s="350">
        <f t="shared" ca="1" si="100"/>
        <v>0</v>
      </c>
      <c r="M131" s="356">
        <f t="shared" ca="1" si="79"/>
        <v>0</v>
      </c>
      <c r="N131" s="354" t="b">
        <f t="shared" ca="1" si="70"/>
        <v>0</v>
      </c>
      <c r="O131" s="144">
        <f ca="1">ROUNDDOWN(IF(NOT($N131),0,(MIN(INDEX(SC_EX_SSAIME,EXIDX),INDEX(SC_EA_SSBendPts, INDEX(SC_SSBaseYear,$F131)+1-SC_YearEpoch+2,1))*Lookup!$C$19+MAX(MIN(INDEX(SC_EX_SSAIME,EXIDX),INDEX(SC_EA_SSBendPts, INDEX(SC_SSBaseYear,$F131)+1-SC_YearEpoch+2,2))-INDEX(SC_EA_SSBendPts, INDEX(SC_SSBaseYear,$F131)+1-SC_YearEpoch+2,1),0)*Lookup!$C$20+MAX(INDEX(SC_EX_SSAIME,EXIDX)-INDEX(SC_EA_SSBendPts, INDEX(SC_SSBaseYear,$F131)+1-SC_YearEpoch+2,2),0)*Lookup!$C$21)/INDEX(SC_EX_SSIDXCOLA,EXIDX)),1)</f>
        <v>0</v>
      </c>
      <c r="P131" s="145">
        <f t="shared" ca="1" si="101"/>
        <v>0</v>
      </c>
      <c r="Q131" s="145">
        <f t="shared" ca="1" si="102"/>
        <v>0</v>
      </c>
      <c r="R131" s="145">
        <f t="shared" ca="1" si="103"/>
        <v>0</v>
      </c>
      <c r="S131" s="145">
        <f t="shared" ca="1" si="74"/>
        <v>0</v>
      </c>
      <c r="T131" s="388">
        <f t="shared" ca="1" si="104"/>
        <v>0</v>
      </c>
      <c r="U131" s="386">
        <f t="shared" ca="1" si="105"/>
        <v>0</v>
      </c>
      <c r="V131" s="634"/>
      <c r="W131" s="662"/>
    </row>
    <row r="132" spans="2:23" x14ac:dyDescent="0.25">
      <c r="B132" s="65">
        <f ca="1">B130+1</f>
        <v>2083</v>
      </c>
      <c r="C132" s="4" t="s">
        <v>741</v>
      </c>
      <c r="D132" s="16" t="str">
        <f t="shared" si="94"/>
        <v/>
      </c>
      <c r="E132" s="5">
        <f t="shared" si="61"/>
        <v>0</v>
      </c>
      <c r="F132" s="5">
        <f t="shared" si="64"/>
        <v>1</v>
      </c>
      <c r="G132" s="4">
        <f t="shared" si="62"/>
        <v>1</v>
      </c>
      <c r="H132" s="4">
        <f t="shared" si="96"/>
        <v>0</v>
      </c>
      <c r="I132" s="4">
        <f t="shared" si="97"/>
        <v>0</v>
      </c>
      <c r="J132" s="348">
        <f t="shared" ca="1" si="98"/>
        <v>0</v>
      </c>
      <c r="K132" s="348">
        <f t="shared" ca="1" si="99"/>
        <v>0</v>
      </c>
      <c r="L132" s="348">
        <f t="shared" ca="1" si="100"/>
        <v>0</v>
      </c>
      <c r="M132" s="355">
        <f t="shared" ca="1" si="79"/>
        <v>0</v>
      </c>
      <c r="N132" s="345" t="b">
        <f t="shared" ca="1" si="70"/>
        <v>0</v>
      </c>
      <c r="O132" s="143">
        <f ca="1">ROUNDDOWN(IF(NOT($N132),0,(MIN(INDEX(SC_EX_SSAIME,EXIDX),INDEX(SC_EA_SSBendPts, INDEX(SC_SSBaseYear,$F132)+1-SC_YearEpoch+2,1))*Lookup!$C$19+MAX(MIN(INDEX(SC_EX_SSAIME,EXIDX),INDEX(SC_EA_SSBendPts, INDEX(SC_SSBaseYear,$F132)+1-SC_YearEpoch+2,2))-INDEX(SC_EA_SSBendPts, INDEX(SC_SSBaseYear,$F132)+1-SC_YearEpoch+2,1),0)*Lookup!$C$20+MAX(INDEX(SC_EX_SSAIME,EXIDX)-INDEX(SC_EA_SSBendPts, INDEX(SC_SSBaseYear,$F132)+1-SC_YearEpoch+2,2),0)*Lookup!$C$21)/INDEX(SC_EX_SSIDXCOLA,EXIDX)),1)</f>
        <v>0</v>
      </c>
      <c r="P132" s="6">
        <f t="shared" ca="1" si="101"/>
        <v>0</v>
      </c>
      <c r="Q132" s="6">
        <f t="shared" ca="1" si="102"/>
        <v>0</v>
      </c>
      <c r="R132" s="6">
        <f t="shared" ca="1" si="103"/>
        <v>0</v>
      </c>
      <c r="S132" s="6">
        <f t="shared" ca="1" si="74"/>
        <v>0</v>
      </c>
      <c r="T132" s="288">
        <f t="shared" ca="1" si="104"/>
        <v>0</v>
      </c>
      <c r="U132" s="330">
        <f t="shared" ca="1" si="105"/>
        <v>0</v>
      </c>
      <c r="V132" s="634">
        <f t="shared" ref="V132" ca="1" si="119">SUM($T132:$T133)</f>
        <v>0</v>
      </c>
      <c r="W132" s="662">
        <f ca="1">SUMPRODUCT($U132:$U133, --($E132:$E133&lt;&gt;0))</f>
        <v>0</v>
      </c>
    </row>
    <row r="133" spans="2:23" x14ac:dyDescent="0.25">
      <c r="B133" s="86">
        <f t="shared" ca="1" si="78"/>
        <v>2083</v>
      </c>
      <c r="C133" s="46" t="s">
        <v>741</v>
      </c>
      <c r="D133" s="148" t="str">
        <f t="shared" si="94"/>
        <v/>
      </c>
      <c r="E133" s="34">
        <f t="shared" si="61"/>
        <v>0</v>
      </c>
      <c r="F133" s="34">
        <f t="shared" si="64"/>
        <v>2</v>
      </c>
      <c r="G133" s="35">
        <f t="shared" si="62"/>
        <v>-1</v>
      </c>
      <c r="H133" s="35">
        <f t="shared" si="96"/>
        <v>0</v>
      </c>
      <c r="I133" s="35">
        <f t="shared" si="97"/>
        <v>0</v>
      </c>
      <c r="J133" s="350">
        <f t="shared" ca="1" si="98"/>
        <v>0</v>
      </c>
      <c r="K133" s="350">
        <f t="shared" ca="1" si="99"/>
        <v>0</v>
      </c>
      <c r="L133" s="350">
        <f t="shared" ca="1" si="100"/>
        <v>0</v>
      </c>
      <c r="M133" s="356">
        <f t="shared" ca="1" si="79"/>
        <v>0</v>
      </c>
      <c r="N133" s="354" t="b">
        <f t="shared" ca="1" si="70"/>
        <v>0</v>
      </c>
      <c r="O133" s="144">
        <f ca="1">ROUNDDOWN(IF(NOT($N133),0,(MIN(INDEX(SC_EX_SSAIME,EXIDX),INDEX(SC_EA_SSBendPts, INDEX(SC_SSBaseYear,$F133)+1-SC_YearEpoch+2,1))*Lookup!$C$19+MAX(MIN(INDEX(SC_EX_SSAIME,EXIDX),INDEX(SC_EA_SSBendPts, INDEX(SC_SSBaseYear,$F133)+1-SC_YearEpoch+2,2))-INDEX(SC_EA_SSBendPts, INDEX(SC_SSBaseYear,$F133)+1-SC_YearEpoch+2,1),0)*Lookup!$C$20+MAX(INDEX(SC_EX_SSAIME,EXIDX)-INDEX(SC_EA_SSBendPts, INDEX(SC_SSBaseYear,$F133)+1-SC_YearEpoch+2,2),0)*Lookup!$C$21)/INDEX(SC_EX_SSIDXCOLA,EXIDX)),1)</f>
        <v>0</v>
      </c>
      <c r="P133" s="145">
        <f t="shared" ca="1" si="101"/>
        <v>0</v>
      </c>
      <c r="Q133" s="145">
        <f t="shared" ca="1" si="102"/>
        <v>0</v>
      </c>
      <c r="R133" s="145">
        <f t="shared" ca="1" si="103"/>
        <v>0</v>
      </c>
      <c r="S133" s="145">
        <f t="shared" ca="1" si="74"/>
        <v>0</v>
      </c>
      <c r="T133" s="388">
        <f t="shared" ca="1" si="104"/>
        <v>0</v>
      </c>
      <c r="U133" s="386">
        <f t="shared" ca="1" si="105"/>
        <v>0</v>
      </c>
      <c r="V133" s="634"/>
      <c r="W133" s="662"/>
    </row>
    <row r="134" spans="2:23" x14ac:dyDescent="0.25">
      <c r="B134" s="65">
        <f ca="1">B132+1</f>
        <v>2084</v>
      </c>
      <c r="C134" s="4" t="s">
        <v>741</v>
      </c>
      <c r="D134" s="16" t="str">
        <f t="shared" si="94"/>
        <v/>
      </c>
      <c r="E134" s="5">
        <f t="shared" si="61"/>
        <v>0</v>
      </c>
      <c r="F134" s="5">
        <f t="shared" si="64"/>
        <v>1</v>
      </c>
      <c r="G134" s="4">
        <f t="shared" si="62"/>
        <v>1</v>
      </c>
      <c r="H134" s="4">
        <f t="shared" si="96"/>
        <v>0</v>
      </c>
      <c r="I134" s="4">
        <f t="shared" si="97"/>
        <v>0</v>
      </c>
      <c r="J134" s="348">
        <f t="shared" ca="1" si="98"/>
        <v>0</v>
      </c>
      <c r="K134" s="348">
        <f t="shared" ca="1" si="99"/>
        <v>0</v>
      </c>
      <c r="L134" s="348">
        <f t="shared" ca="1" si="100"/>
        <v>0</v>
      </c>
      <c r="M134" s="355">
        <f t="shared" ca="1" si="79"/>
        <v>0</v>
      </c>
      <c r="N134" s="345" t="b">
        <f t="shared" ca="1" si="70"/>
        <v>0</v>
      </c>
      <c r="O134" s="143">
        <f ca="1">ROUNDDOWN(IF(NOT($N134),0,(MIN(INDEX(SC_EX_SSAIME,EXIDX),INDEX(SC_EA_SSBendPts, INDEX(SC_SSBaseYear,$F134)+1-SC_YearEpoch+2,1))*Lookup!$C$19+MAX(MIN(INDEX(SC_EX_SSAIME,EXIDX),INDEX(SC_EA_SSBendPts, INDEX(SC_SSBaseYear,$F134)+1-SC_YearEpoch+2,2))-INDEX(SC_EA_SSBendPts, INDEX(SC_SSBaseYear,$F134)+1-SC_YearEpoch+2,1),0)*Lookup!$C$20+MAX(INDEX(SC_EX_SSAIME,EXIDX)-INDEX(SC_EA_SSBendPts, INDEX(SC_SSBaseYear,$F134)+1-SC_YearEpoch+2,2),0)*Lookup!$C$21)/INDEX(SC_EX_SSIDXCOLA,EXIDX)),1)</f>
        <v>0</v>
      </c>
      <c r="P134" s="6">
        <f t="shared" ca="1" si="101"/>
        <v>0</v>
      </c>
      <c r="Q134" s="6">
        <f t="shared" ca="1" si="102"/>
        <v>0</v>
      </c>
      <c r="R134" s="6">
        <f t="shared" ca="1" si="103"/>
        <v>0</v>
      </c>
      <c r="S134" s="6">
        <f t="shared" ca="1" si="74"/>
        <v>0</v>
      </c>
      <c r="T134" s="288">
        <f t="shared" ca="1" si="104"/>
        <v>0</v>
      </c>
      <c r="U134" s="330">
        <f t="shared" ca="1" si="105"/>
        <v>0</v>
      </c>
      <c r="V134" s="634">
        <f t="shared" ref="V134" ca="1" si="120">SUM($T134:$T135)</f>
        <v>0</v>
      </c>
      <c r="W134" s="662">
        <f ca="1">SUMPRODUCT($U134:$U135, --($E134:$E135&lt;&gt;0))</f>
        <v>0</v>
      </c>
    </row>
    <row r="135" spans="2:23" x14ac:dyDescent="0.25">
      <c r="B135" s="86">
        <f t="shared" ca="1" si="78"/>
        <v>2084</v>
      </c>
      <c r="C135" s="46" t="s">
        <v>741</v>
      </c>
      <c r="D135" s="148" t="str">
        <f t="shared" si="94"/>
        <v/>
      </c>
      <c r="E135" s="34">
        <f t="shared" si="61"/>
        <v>0</v>
      </c>
      <c r="F135" s="34">
        <f t="shared" si="64"/>
        <v>2</v>
      </c>
      <c r="G135" s="35">
        <f t="shared" si="62"/>
        <v>-1</v>
      </c>
      <c r="H135" s="35">
        <f t="shared" si="96"/>
        <v>0</v>
      </c>
      <c r="I135" s="35">
        <f t="shared" si="97"/>
        <v>0</v>
      </c>
      <c r="J135" s="350">
        <f t="shared" ca="1" si="98"/>
        <v>0</v>
      </c>
      <c r="K135" s="350">
        <f t="shared" ca="1" si="99"/>
        <v>0</v>
      </c>
      <c r="L135" s="350">
        <f t="shared" ca="1" si="100"/>
        <v>0</v>
      </c>
      <c r="M135" s="356">
        <f t="shared" ca="1" si="79"/>
        <v>0</v>
      </c>
      <c r="N135" s="354" t="b">
        <f t="shared" ca="1" si="70"/>
        <v>0</v>
      </c>
      <c r="O135" s="144">
        <f ca="1">ROUNDDOWN(IF(NOT($N135),0,(MIN(INDEX(SC_EX_SSAIME,EXIDX),INDEX(SC_EA_SSBendPts, INDEX(SC_SSBaseYear,$F135)+1-SC_YearEpoch+2,1))*Lookup!$C$19+MAX(MIN(INDEX(SC_EX_SSAIME,EXIDX),INDEX(SC_EA_SSBendPts, INDEX(SC_SSBaseYear,$F135)+1-SC_YearEpoch+2,2))-INDEX(SC_EA_SSBendPts, INDEX(SC_SSBaseYear,$F135)+1-SC_YearEpoch+2,1),0)*Lookup!$C$20+MAX(INDEX(SC_EX_SSAIME,EXIDX)-INDEX(SC_EA_SSBendPts, INDEX(SC_SSBaseYear,$F135)+1-SC_YearEpoch+2,2),0)*Lookup!$C$21)/INDEX(SC_EX_SSIDXCOLA,EXIDX)),1)</f>
        <v>0</v>
      </c>
      <c r="P135" s="145">
        <f t="shared" ca="1" si="101"/>
        <v>0</v>
      </c>
      <c r="Q135" s="145">
        <f t="shared" ca="1" si="102"/>
        <v>0</v>
      </c>
      <c r="R135" s="145">
        <f t="shared" ca="1" si="103"/>
        <v>0</v>
      </c>
      <c r="S135" s="145">
        <f t="shared" ca="1" si="74"/>
        <v>0</v>
      </c>
      <c r="T135" s="388">
        <f t="shared" ca="1" si="104"/>
        <v>0</v>
      </c>
      <c r="U135" s="386">
        <f t="shared" ca="1" si="105"/>
        <v>0</v>
      </c>
      <c r="V135" s="634"/>
      <c r="W135" s="662"/>
    </row>
    <row r="136" spans="2:23" x14ac:dyDescent="0.25">
      <c r="B136" s="65">
        <f ca="1">B134+1</f>
        <v>2085</v>
      </c>
      <c r="C136" s="4" t="s">
        <v>741</v>
      </c>
      <c r="D136" s="16" t="str">
        <f t="shared" ref="D136:D167" si="121">INDEX(SP_Initials,F136)</f>
        <v/>
      </c>
      <c r="E136" s="5">
        <f t="shared" ref="E136:E169" si="122">INDEX(SC_TaxIndex,$F136)</f>
        <v>0</v>
      </c>
      <c r="F136" s="5">
        <f t="shared" si="64"/>
        <v>1</v>
      </c>
      <c r="G136" s="4">
        <f t="shared" ref="G136:G169" si="123">MOD($F136,2)-($F136-1)</f>
        <v>1</v>
      </c>
      <c r="H136" s="4">
        <f t="shared" si="96"/>
        <v>0</v>
      </c>
      <c r="I136" s="4">
        <f t="shared" si="97"/>
        <v>0</v>
      </c>
      <c r="J136" s="348">
        <f t="shared" ca="1" si="98"/>
        <v>0</v>
      </c>
      <c r="K136" s="348">
        <f t="shared" ca="1" si="99"/>
        <v>0</v>
      </c>
      <c r="L136" s="348">
        <f t="shared" ca="1" si="100"/>
        <v>0</v>
      </c>
      <c r="M136" s="355">
        <f t="shared" ca="1" si="79"/>
        <v>0</v>
      </c>
      <c r="N136" s="345" t="b">
        <f t="shared" ca="1" si="70"/>
        <v>0</v>
      </c>
      <c r="O136" s="143">
        <f ca="1">ROUNDDOWN(IF(NOT($N136),0,(MIN(INDEX(SC_EX_SSAIME,EXIDX),INDEX(SC_EA_SSBendPts, INDEX(SC_SSBaseYear,$F136)+1-SC_YearEpoch+2,1))*Lookup!$C$19+MAX(MIN(INDEX(SC_EX_SSAIME,EXIDX),INDEX(SC_EA_SSBendPts, INDEX(SC_SSBaseYear,$F136)+1-SC_YearEpoch+2,2))-INDEX(SC_EA_SSBendPts, INDEX(SC_SSBaseYear,$F136)+1-SC_YearEpoch+2,1),0)*Lookup!$C$20+MAX(INDEX(SC_EX_SSAIME,EXIDX)-INDEX(SC_EA_SSBendPts, INDEX(SC_SSBaseYear,$F136)+1-SC_YearEpoch+2,2),0)*Lookup!$C$21)/INDEX(SC_EX_SSIDXCOLA,EXIDX)),1)</f>
        <v>0</v>
      </c>
      <c r="P136" s="6">
        <f t="shared" ca="1" si="101"/>
        <v>0</v>
      </c>
      <c r="Q136" s="6">
        <f t="shared" ca="1" si="102"/>
        <v>0</v>
      </c>
      <c r="R136" s="6">
        <f t="shared" ca="1" si="103"/>
        <v>0</v>
      </c>
      <c r="S136" s="6">
        <f t="shared" ca="1" si="74"/>
        <v>0</v>
      </c>
      <c r="T136" s="288">
        <f t="shared" ca="1" si="104"/>
        <v>0</v>
      </c>
      <c r="U136" s="330">
        <f t="shared" ca="1" si="105"/>
        <v>0</v>
      </c>
      <c r="V136" s="634">
        <f t="shared" ref="V136" ca="1" si="124">SUM($T136:$T137)</f>
        <v>0</v>
      </c>
      <c r="W136" s="662">
        <f ca="1">SUMPRODUCT($U136:$U137, --($E136:$E137&lt;&gt;0))</f>
        <v>0</v>
      </c>
    </row>
    <row r="137" spans="2:23" x14ac:dyDescent="0.25">
      <c r="B137" s="86">
        <f t="shared" ca="1" si="78"/>
        <v>2085</v>
      </c>
      <c r="C137" s="46" t="s">
        <v>741</v>
      </c>
      <c r="D137" s="148" t="str">
        <f t="shared" si="121"/>
        <v/>
      </c>
      <c r="E137" s="34">
        <f t="shared" si="122"/>
        <v>0</v>
      </c>
      <c r="F137" s="34">
        <f t="shared" ref="F137:F169" si="125">MOD(ROW(),2)+1</f>
        <v>2</v>
      </c>
      <c r="G137" s="35">
        <f t="shared" si="123"/>
        <v>-1</v>
      </c>
      <c r="H137" s="35">
        <f t="shared" si="96"/>
        <v>0</v>
      </c>
      <c r="I137" s="35">
        <f t="shared" si="97"/>
        <v>0</v>
      </c>
      <c r="J137" s="350">
        <f t="shared" ca="1" si="98"/>
        <v>0</v>
      </c>
      <c r="K137" s="350">
        <f t="shared" ca="1" si="99"/>
        <v>0</v>
      </c>
      <c r="L137" s="350">
        <f t="shared" ca="1" si="100"/>
        <v>0</v>
      </c>
      <c r="M137" s="356">
        <f t="shared" ca="1" si="79"/>
        <v>0</v>
      </c>
      <c r="N137" s="354" t="b">
        <f t="shared" ca="1" si="70"/>
        <v>0</v>
      </c>
      <c r="O137" s="144">
        <f ca="1">ROUNDDOWN(IF(NOT($N137),0,(MIN(INDEX(SC_EX_SSAIME,EXIDX),INDEX(SC_EA_SSBendPts, INDEX(SC_SSBaseYear,$F137)+1-SC_YearEpoch+2,1))*Lookup!$C$19+MAX(MIN(INDEX(SC_EX_SSAIME,EXIDX),INDEX(SC_EA_SSBendPts, INDEX(SC_SSBaseYear,$F137)+1-SC_YearEpoch+2,2))-INDEX(SC_EA_SSBendPts, INDEX(SC_SSBaseYear,$F137)+1-SC_YearEpoch+2,1),0)*Lookup!$C$20+MAX(INDEX(SC_EX_SSAIME,EXIDX)-INDEX(SC_EA_SSBendPts, INDEX(SC_SSBaseYear,$F137)+1-SC_YearEpoch+2,2),0)*Lookup!$C$21)/INDEX(SC_EX_SSIDXCOLA,EXIDX)),1)</f>
        <v>0</v>
      </c>
      <c r="P137" s="145">
        <f t="shared" ca="1" si="101"/>
        <v>0</v>
      </c>
      <c r="Q137" s="145">
        <f t="shared" ca="1" si="102"/>
        <v>0</v>
      </c>
      <c r="R137" s="145">
        <f t="shared" ca="1" si="103"/>
        <v>0</v>
      </c>
      <c r="S137" s="145">
        <f t="shared" ca="1" si="74"/>
        <v>0</v>
      </c>
      <c r="T137" s="388">
        <f t="shared" ca="1" si="104"/>
        <v>0</v>
      </c>
      <c r="U137" s="386">
        <f t="shared" ca="1" si="105"/>
        <v>0</v>
      </c>
      <c r="V137" s="634"/>
      <c r="W137" s="662"/>
    </row>
    <row r="138" spans="2:23" x14ac:dyDescent="0.25">
      <c r="B138" s="65">
        <f ca="1">B136+1</f>
        <v>2086</v>
      </c>
      <c r="C138" s="4" t="s">
        <v>741</v>
      </c>
      <c r="D138" s="16" t="str">
        <f t="shared" si="121"/>
        <v/>
      </c>
      <c r="E138" s="5">
        <f t="shared" si="122"/>
        <v>0</v>
      </c>
      <c r="F138" s="5">
        <f t="shared" si="125"/>
        <v>1</v>
      </c>
      <c r="G138" s="4">
        <f t="shared" si="123"/>
        <v>1</v>
      </c>
      <c r="H138" s="4">
        <f t="shared" ref="H138:H169" si="126">IF(INDEX(SC_ShowRetireatee,$F138),IF($B138&lt;YEAR(INDEX(SP_BirthDate,$F138)),0,$B138-YEAR(INDEX(SP_BirthDate,$F138))),0)</f>
        <v>0</v>
      </c>
      <c r="I138" s="4">
        <f t="shared" ref="I138:I169" si="127">IF(INDEX(SC_ShowRetireatee,$F138),IF($B138&gt;(YEAR(INDEX(SP_BirthDate,$F138))+INDEX(SP_LifeExp,$F138)),0,$H138),0)</f>
        <v>0</v>
      </c>
      <c r="J138" s="348">
        <f t="shared" ref="J138:J169" ca="1" si="128">IF(OR(INDEX(SC_SSDFD,$F138)=0,$B138&lt;YEAR(INDEX(SC_SSDFD,$F138)),$H138&gt;INDEX(SP_LifeExp,$F138)),0,IF($B138=YEAR(INDEX(SC_SSDFD,$F138)),YEARFRAC(INDEX(SC_SSDFD,$F138), DATE($B138+1,1,1)),1))</f>
        <v>0</v>
      </c>
      <c r="K138" s="348">
        <f t="shared" ref="K138:K169" ca="1" si="129">IF(OR(INDEX(SC_SSABFD,$F138)=0,$B138&lt;YEAR(INDEX(SC_SSABFD,$F138)),$H138&gt;=INDEX(SC_SurvivingAge,$F138),$H138&gt;INDEX(SP_LifeExp,$F138)),0,IF($B138=YEAR(INDEX(SC_SSABFD,$F138)),YEARFRAC(INDEX(SC_SSABFD,$F138), DATE($B138+1,1,1)),1))</f>
        <v>0</v>
      </c>
      <c r="L138" s="348">
        <f t="shared" ref="L138:L169" ca="1" si="130">IF(OR(INDEX(SC_SSABFD,$F138)=0,$B138&lt;YEAR(INDEX(SC_SSABFD,$F138)),$H138&lt;INDEX(SC_SurvivingAge,$F138),$H138&gt;INDEX(SP_LifeExp,$F138)),0,IF($B138=YEAR(INDEX(SC_SSABFD,$F138)),YEARFRAC(INDEX(SC_SSABFD,$F138), DATE($B138+1,1,1)),1))</f>
        <v>0</v>
      </c>
      <c r="M138" s="355">
        <f t="shared" ca="1" si="79"/>
        <v>0</v>
      </c>
      <c r="N138" s="345" t="b">
        <f t="shared" ref="N138:N169" ca="1" si="131">AND(SP_SSRIB,INDEX(SC_ShowRetireatee,$F138),NOT(SUMIF(OFFSET(SC_EX_RN,0,0,EXIDX-1), $F138, OFFSET(SC_EX_SSWorkCredits,0,0,EXIDX-1))&lt;INDEX(SC_SSCreditsNeeded,$F138)))</f>
        <v>0</v>
      </c>
      <c r="O138" s="143">
        <f ca="1">ROUNDDOWN(IF(NOT($N138),0,(MIN(INDEX(SC_EX_SSAIME,EXIDX),INDEX(SC_EA_SSBendPts, INDEX(SC_SSBaseYear,$F138)+1-SC_YearEpoch+2,1))*Lookup!$C$19+MAX(MIN(INDEX(SC_EX_SSAIME,EXIDX),INDEX(SC_EA_SSBendPts, INDEX(SC_SSBaseYear,$F138)+1-SC_YearEpoch+2,2))-INDEX(SC_EA_SSBendPts, INDEX(SC_SSBaseYear,$F138)+1-SC_YearEpoch+2,1),0)*Lookup!$C$20+MAX(INDEX(SC_EX_SSAIME,EXIDX)-INDEX(SC_EA_SSBendPts, INDEX(SC_SSBaseYear,$F138)+1-SC_YearEpoch+2,2),0)*Lookup!$C$21)/INDEX(SC_EX_SSIDXCOLA,EXIDX)),1)</f>
        <v>0</v>
      </c>
      <c r="P138" s="6">
        <f t="shared" ref="P138:P169" ca="1" si="132">ROUNDDOWN($O138*INDEX(SC_SSPBPct,$F138),1)</f>
        <v>0</v>
      </c>
      <c r="Q138" s="6">
        <f t="shared" ref="Q138:Q169" ca="1" si="133">ROUNDDOWN(IF(NOT($N138),0,MAX(OFFSET($O138,$G138,0)/2-$O138,0)*INDEX(SC_SSABPct,$F138)),1)</f>
        <v>0</v>
      </c>
      <c r="R138" s="6">
        <f t="shared" ref="R138:R169" ca="1" si="134">ROUNDDOWN(IF(NOT($N138),0,MAX(OFFSET($O138,$G138,0)*INDEX(SC_SSSBPct,$F138),0)),1)</f>
        <v>0</v>
      </c>
      <c r="S138" s="6">
        <f t="shared" ref="S138:S169" ca="1" si="135">-MIN($P138,$R138)</f>
        <v>0</v>
      </c>
      <c r="T138" s="288">
        <f t="shared" ref="T138:T169" ca="1" si="136">IF(OR($I138=0,NOT($N138)),0,SUMPRODUCT(SUBTOTAL(6,OFFSET(LT_AnnuityLifeTable,MAX($I138,INDEX(SC_SSFRA,$F138)),($F138-1)*3+2,OFFSET(LT_AnnuityLifeTable,1,0,LT_AnnuityMaxAge-MAX($I138,INDEX(SC_SSFRA,$F138))+1,1),1)))*O138*12)</f>
        <v>0</v>
      </c>
      <c r="U138" s="330">
        <f t="shared" ref="U138:U169" ca="1" si="137">SUMPRODUCT($P138:$S138,ABS($J138:$M138))*12</f>
        <v>0</v>
      </c>
      <c r="V138" s="634">
        <f t="shared" ref="V138" ca="1" si="138">SUM($T138:$T139)</f>
        <v>0</v>
      </c>
      <c r="W138" s="662">
        <f ca="1">SUMPRODUCT($U138:$U139, --($E138:$E139&lt;&gt;0))</f>
        <v>0</v>
      </c>
    </row>
    <row r="139" spans="2:23" x14ac:dyDescent="0.25">
      <c r="B139" s="86">
        <f t="shared" ref="B139:B169" ca="1" si="139">B137+1</f>
        <v>2086</v>
      </c>
      <c r="C139" s="46" t="s">
        <v>741</v>
      </c>
      <c r="D139" s="148" t="str">
        <f t="shared" si="121"/>
        <v/>
      </c>
      <c r="E139" s="34">
        <f t="shared" si="122"/>
        <v>0</v>
      </c>
      <c r="F139" s="34">
        <f t="shared" si="125"/>
        <v>2</v>
      </c>
      <c r="G139" s="35">
        <f t="shared" si="123"/>
        <v>-1</v>
      </c>
      <c r="H139" s="35">
        <f t="shared" si="126"/>
        <v>0</v>
      </c>
      <c r="I139" s="35">
        <f t="shared" si="127"/>
        <v>0</v>
      </c>
      <c r="J139" s="350">
        <f t="shared" ca="1" si="128"/>
        <v>0</v>
      </c>
      <c r="K139" s="350">
        <f t="shared" ca="1" si="129"/>
        <v>0</v>
      </c>
      <c r="L139" s="350">
        <f t="shared" ca="1" si="130"/>
        <v>0</v>
      </c>
      <c r="M139" s="356">
        <f t="shared" ca="1" si="79"/>
        <v>0</v>
      </c>
      <c r="N139" s="354" t="b">
        <f t="shared" ca="1" si="131"/>
        <v>0</v>
      </c>
      <c r="O139" s="144">
        <f ca="1">ROUNDDOWN(IF(NOT($N139),0,(MIN(INDEX(SC_EX_SSAIME,EXIDX),INDEX(SC_EA_SSBendPts, INDEX(SC_SSBaseYear,$F139)+1-SC_YearEpoch+2,1))*Lookup!$C$19+MAX(MIN(INDEX(SC_EX_SSAIME,EXIDX),INDEX(SC_EA_SSBendPts, INDEX(SC_SSBaseYear,$F139)+1-SC_YearEpoch+2,2))-INDEX(SC_EA_SSBendPts, INDEX(SC_SSBaseYear,$F139)+1-SC_YearEpoch+2,1),0)*Lookup!$C$20+MAX(INDEX(SC_EX_SSAIME,EXIDX)-INDEX(SC_EA_SSBendPts, INDEX(SC_SSBaseYear,$F139)+1-SC_YearEpoch+2,2),0)*Lookup!$C$21)/INDEX(SC_EX_SSIDXCOLA,EXIDX)),1)</f>
        <v>0</v>
      </c>
      <c r="P139" s="145">
        <f t="shared" ca="1" si="132"/>
        <v>0</v>
      </c>
      <c r="Q139" s="145">
        <f t="shared" ca="1" si="133"/>
        <v>0</v>
      </c>
      <c r="R139" s="145">
        <f t="shared" ca="1" si="134"/>
        <v>0</v>
      </c>
      <c r="S139" s="145">
        <f t="shared" ca="1" si="135"/>
        <v>0</v>
      </c>
      <c r="T139" s="388">
        <f t="shared" ca="1" si="136"/>
        <v>0</v>
      </c>
      <c r="U139" s="386">
        <f t="shared" ca="1" si="137"/>
        <v>0</v>
      </c>
      <c r="V139" s="634"/>
      <c r="W139" s="662"/>
    </row>
    <row r="140" spans="2:23" x14ac:dyDescent="0.25">
      <c r="B140" s="65">
        <f ca="1">B138+1</f>
        <v>2087</v>
      </c>
      <c r="C140" s="4" t="s">
        <v>741</v>
      </c>
      <c r="D140" s="16" t="str">
        <f t="shared" si="121"/>
        <v/>
      </c>
      <c r="E140" s="5">
        <f t="shared" si="122"/>
        <v>0</v>
      </c>
      <c r="F140" s="5">
        <f t="shared" si="125"/>
        <v>1</v>
      </c>
      <c r="G140" s="4">
        <f t="shared" si="123"/>
        <v>1</v>
      </c>
      <c r="H140" s="4">
        <f t="shared" si="126"/>
        <v>0</v>
      </c>
      <c r="I140" s="4">
        <f t="shared" si="127"/>
        <v>0</v>
      </c>
      <c r="J140" s="348">
        <f t="shared" ca="1" si="128"/>
        <v>0</v>
      </c>
      <c r="K140" s="348">
        <f t="shared" ca="1" si="129"/>
        <v>0</v>
      </c>
      <c r="L140" s="348">
        <f t="shared" ca="1" si="130"/>
        <v>0</v>
      </c>
      <c r="M140" s="355">
        <f t="shared" ref="M140:M169" ca="1" si="140">MAX(ABS(MAX(IF($J140&lt;=0,$J140,-1),IF($L140&lt;=0,$L140,-1)))
   +MIN(IF($J140&gt;=0,$J140,1),IF($L140&gt;=0,$L140,1))-1,0)</f>
        <v>0</v>
      </c>
      <c r="N140" s="345" t="b">
        <f t="shared" ca="1" si="131"/>
        <v>0</v>
      </c>
      <c r="O140" s="143">
        <f ca="1">ROUNDDOWN(IF(NOT($N140),0,(MIN(INDEX(SC_EX_SSAIME,EXIDX),INDEX(SC_EA_SSBendPts, INDEX(SC_SSBaseYear,$F140)+1-SC_YearEpoch+2,1))*Lookup!$C$19+MAX(MIN(INDEX(SC_EX_SSAIME,EXIDX),INDEX(SC_EA_SSBendPts, INDEX(SC_SSBaseYear,$F140)+1-SC_YearEpoch+2,2))-INDEX(SC_EA_SSBendPts, INDEX(SC_SSBaseYear,$F140)+1-SC_YearEpoch+2,1),0)*Lookup!$C$20+MAX(INDEX(SC_EX_SSAIME,EXIDX)-INDEX(SC_EA_SSBendPts, INDEX(SC_SSBaseYear,$F140)+1-SC_YearEpoch+2,2),0)*Lookup!$C$21)/INDEX(SC_EX_SSIDXCOLA,EXIDX)),1)</f>
        <v>0</v>
      </c>
      <c r="P140" s="6">
        <f t="shared" ca="1" si="132"/>
        <v>0</v>
      </c>
      <c r="Q140" s="6">
        <f t="shared" ca="1" si="133"/>
        <v>0</v>
      </c>
      <c r="R140" s="6">
        <f t="shared" ca="1" si="134"/>
        <v>0</v>
      </c>
      <c r="S140" s="6">
        <f t="shared" ca="1" si="135"/>
        <v>0</v>
      </c>
      <c r="T140" s="288">
        <f t="shared" ca="1" si="136"/>
        <v>0</v>
      </c>
      <c r="U140" s="330">
        <f t="shared" ca="1" si="137"/>
        <v>0</v>
      </c>
      <c r="V140" s="634">
        <f t="shared" ref="V140" ca="1" si="141">SUM($T140:$T141)</f>
        <v>0</v>
      </c>
      <c r="W140" s="662">
        <f ca="1">SUMPRODUCT($U140:$U141, --($E140:$E141&lt;&gt;0))</f>
        <v>0</v>
      </c>
    </row>
    <row r="141" spans="2:23" x14ac:dyDescent="0.25">
      <c r="B141" s="86">
        <f t="shared" ca="1" si="139"/>
        <v>2087</v>
      </c>
      <c r="C141" s="46" t="s">
        <v>741</v>
      </c>
      <c r="D141" s="148" t="str">
        <f t="shared" si="121"/>
        <v/>
      </c>
      <c r="E141" s="34">
        <f t="shared" si="122"/>
        <v>0</v>
      </c>
      <c r="F141" s="34">
        <f t="shared" si="125"/>
        <v>2</v>
      </c>
      <c r="G141" s="35">
        <f t="shared" si="123"/>
        <v>-1</v>
      </c>
      <c r="H141" s="35">
        <f t="shared" si="126"/>
        <v>0</v>
      </c>
      <c r="I141" s="35">
        <f t="shared" si="127"/>
        <v>0</v>
      </c>
      <c r="J141" s="350">
        <f t="shared" ca="1" si="128"/>
        <v>0</v>
      </c>
      <c r="K141" s="350">
        <f t="shared" ca="1" si="129"/>
        <v>0</v>
      </c>
      <c r="L141" s="350">
        <f t="shared" ca="1" si="130"/>
        <v>0</v>
      </c>
      <c r="M141" s="356">
        <f t="shared" ca="1" si="140"/>
        <v>0</v>
      </c>
      <c r="N141" s="354" t="b">
        <f t="shared" ca="1" si="131"/>
        <v>0</v>
      </c>
      <c r="O141" s="144">
        <f ca="1">ROUNDDOWN(IF(NOT($N141),0,(MIN(INDEX(SC_EX_SSAIME,EXIDX),INDEX(SC_EA_SSBendPts, INDEX(SC_SSBaseYear,$F141)+1-SC_YearEpoch+2,1))*Lookup!$C$19+MAX(MIN(INDEX(SC_EX_SSAIME,EXIDX),INDEX(SC_EA_SSBendPts, INDEX(SC_SSBaseYear,$F141)+1-SC_YearEpoch+2,2))-INDEX(SC_EA_SSBendPts, INDEX(SC_SSBaseYear,$F141)+1-SC_YearEpoch+2,1),0)*Lookup!$C$20+MAX(INDEX(SC_EX_SSAIME,EXIDX)-INDEX(SC_EA_SSBendPts, INDEX(SC_SSBaseYear,$F141)+1-SC_YearEpoch+2,2),0)*Lookup!$C$21)/INDEX(SC_EX_SSIDXCOLA,EXIDX)),1)</f>
        <v>0</v>
      </c>
      <c r="P141" s="145">
        <f t="shared" ca="1" si="132"/>
        <v>0</v>
      </c>
      <c r="Q141" s="145">
        <f t="shared" ca="1" si="133"/>
        <v>0</v>
      </c>
      <c r="R141" s="145">
        <f t="shared" ca="1" si="134"/>
        <v>0</v>
      </c>
      <c r="S141" s="145">
        <f t="shared" ca="1" si="135"/>
        <v>0</v>
      </c>
      <c r="T141" s="388">
        <f t="shared" ca="1" si="136"/>
        <v>0</v>
      </c>
      <c r="U141" s="386">
        <f t="shared" ca="1" si="137"/>
        <v>0</v>
      </c>
      <c r="V141" s="634"/>
      <c r="W141" s="662"/>
    </row>
    <row r="142" spans="2:23" x14ac:dyDescent="0.25">
      <c r="B142" s="65">
        <f ca="1">B140+1</f>
        <v>2088</v>
      </c>
      <c r="C142" s="4" t="s">
        <v>741</v>
      </c>
      <c r="D142" s="16" t="str">
        <f t="shared" si="121"/>
        <v/>
      </c>
      <c r="E142" s="5">
        <f t="shared" si="122"/>
        <v>0</v>
      </c>
      <c r="F142" s="5">
        <f t="shared" si="125"/>
        <v>1</v>
      </c>
      <c r="G142" s="4">
        <f t="shared" si="123"/>
        <v>1</v>
      </c>
      <c r="H142" s="4">
        <f t="shared" si="126"/>
        <v>0</v>
      </c>
      <c r="I142" s="4">
        <f t="shared" si="127"/>
        <v>0</v>
      </c>
      <c r="J142" s="348">
        <f t="shared" ca="1" si="128"/>
        <v>0</v>
      </c>
      <c r="K142" s="348">
        <f t="shared" ca="1" si="129"/>
        <v>0</v>
      </c>
      <c r="L142" s="348">
        <f t="shared" ca="1" si="130"/>
        <v>0</v>
      </c>
      <c r="M142" s="355">
        <f t="shared" ca="1" si="140"/>
        <v>0</v>
      </c>
      <c r="N142" s="345" t="b">
        <f t="shared" ca="1" si="131"/>
        <v>0</v>
      </c>
      <c r="O142" s="143">
        <f ca="1">ROUNDDOWN(IF(NOT($N142),0,(MIN(INDEX(SC_EX_SSAIME,EXIDX),INDEX(SC_EA_SSBendPts, INDEX(SC_SSBaseYear,$F142)+1-SC_YearEpoch+2,1))*Lookup!$C$19+MAX(MIN(INDEX(SC_EX_SSAIME,EXIDX),INDEX(SC_EA_SSBendPts, INDEX(SC_SSBaseYear,$F142)+1-SC_YearEpoch+2,2))-INDEX(SC_EA_SSBendPts, INDEX(SC_SSBaseYear,$F142)+1-SC_YearEpoch+2,1),0)*Lookup!$C$20+MAX(INDEX(SC_EX_SSAIME,EXIDX)-INDEX(SC_EA_SSBendPts, INDEX(SC_SSBaseYear,$F142)+1-SC_YearEpoch+2,2),0)*Lookup!$C$21)/INDEX(SC_EX_SSIDXCOLA,EXIDX)),1)</f>
        <v>0</v>
      </c>
      <c r="P142" s="6">
        <f t="shared" ca="1" si="132"/>
        <v>0</v>
      </c>
      <c r="Q142" s="6">
        <f t="shared" ca="1" si="133"/>
        <v>0</v>
      </c>
      <c r="R142" s="6">
        <f t="shared" ca="1" si="134"/>
        <v>0</v>
      </c>
      <c r="S142" s="6">
        <f t="shared" ca="1" si="135"/>
        <v>0</v>
      </c>
      <c r="T142" s="288">
        <f t="shared" ca="1" si="136"/>
        <v>0</v>
      </c>
      <c r="U142" s="330">
        <f t="shared" ca="1" si="137"/>
        <v>0</v>
      </c>
      <c r="V142" s="634">
        <f t="shared" ref="V142" ca="1" si="142">SUM($T142:$T143)</f>
        <v>0</v>
      </c>
      <c r="W142" s="662">
        <f ca="1">SUMPRODUCT($U142:$U143, --($E142:$E143&lt;&gt;0))</f>
        <v>0</v>
      </c>
    </row>
    <row r="143" spans="2:23" x14ac:dyDescent="0.25">
      <c r="B143" s="86">
        <f t="shared" ca="1" si="139"/>
        <v>2088</v>
      </c>
      <c r="C143" s="46" t="s">
        <v>741</v>
      </c>
      <c r="D143" s="148" t="str">
        <f t="shared" si="121"/>
        <v/>
      </c>
      <c r="E143" s="34">
        <f t="shared" si="122"/>
        <v>0</v>
      </c>
      <c r="F143" s="34">
        <f t="shared" si="125"/>
        <v>2</v>
      </c>
      <c r="G143" s="35">
        <f t="shared" si="123"/>
        <v>-1</v>
      </c>
      <c r="H143" s="35">
        <f t="shared" si="126"/>
        <v>0</v>
      </c>
      <c r="I143" s="35">
        <f t="shared" si="127"/>
        <v>0</v>
      </c>
      <c r="J143" s="350">
        <f t="shared" ca="1" si="128"/>
        <v>0</v>
      </c>
      <c r="K143" s="350">
        <f t="shared" ca="1" si="129"/>
        <v>0</v>
      </c>
      <c r="L143" s="350">
        <f t="shared" ca="1" si="130"/>
        <v>0</v>
      </c>
      <c r="M143" s="356">
        <f t="shared" ca="1" si="140"/>
        <v>0</v>
      </c>
      <c r="N143" s="354" t="b">
        <f t="shared" ca="1" si="131"/>
        <v>0</v>
      </c>
      <c r="O143" s="144">
        <f ca="1">ROUNDDOWN(IF(NOT($N143),0,(MIN(INDEX(SC_EX_SSAIME,EXIDX),INDEX(SC_EA_SSBendPts, INDEX(SC_SSBaseYear,$F143)+1-SC_YearEpoch+2,1))*Lookup!$C$19+MAX(MIN(INDEX(SC_EX_SSAIME,EXIDX),INDEX(SC_EA_SSBendPts, INDEX(SC_SSBaseYear,$F143)+1-SC_YearEpoch+2,2))-INDEX(SC_EA_SSBendPts, INDEX(SC_SSBaseYear,$F143)+1-SC_YearEpoch+2,1),0)*Lookup!$C$20+MAX(INDEX(SC_EX_SSAIME,EXIDX)-INDEX(SC_EA_SSBendPts, INDEX(SC_SSBaseYear,$F143)+1-SC_YearEpoch+2,2),0)*Lookup!$C$21)/INDEX(SC_EX_SSIDXCOLA,EXIDX)),1)</f>
        <v>0</v>
      </c>
      <c r="P143" s="145">
        <f t="shared" ca="1" si="132"/>
        <v>0</v>
      </c>
      <c r="Q143" s="145">
        <f t="shared" ca="1" si="133"/>
        <v>0</v>
      </c>
      <c r="R143" s="145">
        <f t="shared" ca="1" si="134"/>
        <v>0</v>
      </c>
      <c r="S143" s="145">
        <f t="shared" ca="1" si="135"/>
        <v>0</v>
      </c>
      <c r="T143" s="388">
        <f t="shared" ca="1" si="136"/>
        <v>0</v>
      </c>
      <c r="U143" s="386">
        <f t="shared" ca="1" si="137"/>
        <v>0</v>
      </c>
      <c r="V143" s="634"/>
      <c r="W143" s="662"/>
    </row>
    <row r="144" spans="2:23" x14ac:dyDescent="0.25">
      <c r="B144" s="65">
        <f ca="1">B142+1</f>
        <v>2089</v>
      </c>
      <c r="C144" s="4" t="s">
        <v>741</v>
      </c>
      <c r="D144" s="16" t="str">
        <f t="shared" si="121"/>
        <v/>
      </c>
      <c r="E144" s="5">
        <f t="shared" si="122"/>
        <v>0</v>
      </c>
      <c r="F144" s="5">
        <f t="shared" si="125"/>
        <v>1</v>
      </c>
      <c r="G144" s="4">
        <f t="shared" si="123"/>
        <v>1</v>
      </c>
      <c r="H144" s="4">
        <f t="shared" si="126"/>
        <v>0</v>
      </c>
      <c r="I144" s="4">
        <f t="shared" si="127"/>
        <v>0</v>
      </c>
      <c r="J144" s="348">
        <f t="shared" ca="1" si="128"/>
        <v>0</v>
      </c>
      <c r="K144" s="348">
        <f t="shared" ca="1" si="129"/>
        <v>0</v>
      </c>
      <c r="L144" s="348">
        <f t="shared" ca="1" si="130"/>
        <v>0</v>
      </c>
      <c r="M144" s="355">
        <f t="shared" ca="1" si="140"/>
        <v>0</v>
      </c>
      <c r="N144" s="345" t="b">
        <f t="shared" ca="1" si="131"/>
        <v>0</v>
      </c>
      <c r="O144" s="143">
        <f ca="1">ROUNDDOWN(IF(NOT($N144),0,(MIN(INDEX(SC_EX_SSAIME,EXIDX),INDEX(SC_EA_SSBendPts, INDEX(SC_SSBaseYear,$F144)+1-SC_YearEpoch+2,1))*Lookup!$C$19+MAX(MIN(INDEX(SC_EX_SSAIME,EXIDX),INDEX(SC_EA_SSBendPts, INDEX(SC_SSBaseYear,$F144)+1-SC_YearEpoch+2,2))-INDEX(SC_EA_SSBendPts, INDEX(SC_SSBaseYear,$F144)+1-SC_YearEpoch+2,1),0)*Lookup!$C$20+MAX(INDEX(SC_EX_SSAIME,EXIDX)-INDEX(SC_EA_SSBendPts, INDEX(SC_SSBaseYear,$F144)+1-SC_YearEpoch+2,2),0)*Lookup!$C$21)/INDEX(SC_EX_SSIDXCOLA,EXIDX)),1)</f>
        <v>0</v>
      </c>
      <c r="P144" s="6">
        <f t="shared" ca="1" si="132"/>
        <v>0</v>
      </c>
      <c r="Q144" s="6">
        <f t="shared" ca="1" si="133"/>
        <v>0</v>
      </c>
      <c r="R144" s="6">
        <f t="shared" ca="1" si="134"/>
        <v>0</v>
      </c>
      <c r="S144" s="6">
        <f t="shared" ca="1" si="135"/>
        <v>0</v>
      </c>
      <c r="T144" s="288">
        <f t="shared" ca="1" si="136"/>
        <v>0</v>
      </c>
      <c r="U144" s="330">
        <f t="shared" ca="1" si="137"/>
        <v>0</v>
      </c>
      <c r="V144" s="634">
        <f t="shared" ref="V144" ca="1" si="143">SUM($T144:$T145)</f>
        <v>0</v>
      </c>
      <c r="W144" s="662">
        <f ca="1">SUMPRODUCT($U144:$U145, --($E144:$E145&lt;&gt;0))</f>
        <v>0</v>
      </c>
    </row>
    <row r="145" spans="2:23" x14ac:dyDescent="0.25">
      <c r="B145" s="86">
        <f t="shared" ca="1" si="139"/>
        <v>2089</v>
      </c>
      <c r="C145" s="46" t="s">
        <v>741</v>
      </c>
      <c r="D145" s="148" t="str">
        <f t="shared" si="121"/>
        <v/>
      </c>
      <c r="E145" s="34">
        <f t="shared" si="122"/>
        <v>0</v>
      </c>
      <c r="F145" s="34">
        <f t="shared" si="125"/>
        <v>2</v>
      </c>
      <c r="G145" s="35">
        <f t="shared" si="123"/>
        <v>-1</v>
      </c>
      <c r="H145" s="35">
        <f t="shared" si="126"/>
        <v>0</v>
      </c>
      <c r="I145" s="35">
        <f t="shared" si="127"/>
        <v>0</v>
      </c>
      <c r="J145" s="350">
        <f t="shared" ca="1" si="128"/>
        <v>0</v>
      </c>
      <c r="K145" s="350">
        <f t="shared" ca="1" si="129"/>
        <v>0</v>
      </c>
      <c r="L145" s="350">
        <f t="shared" ca="1" si="130"/>
        <v>0</v>
      </c>
      <c r="M145" s="356">
        <f t="shared" ca="1" si="140"/>
        <v>0</v>
      </c>
      <c r="N145" s="354" t="b">
        <f t="shared" ca="1" si="131"/>
        <v>0</v>
      </c>
      <c r="O145" s="144">
        <f ca="1">ROUNDDOWN(IF(NOT($N145),0,(MIN(INDEX(SC_EX_SSAIME,EXIDX),INDEX(SC_EA_SSBendPts, INDEX(SC_SSBaseYear,$F145)+1-SC_YearEpoch+2,1))*Lookup!$C$19+MAX(MIN(INDEX(SC_EX_SSAIME,EXIDX),INDEX(SC_EA_SSBendPts, INDEX(SC_SSBaseYear,$F145)+1-SC_YearEpoch+2,2))-INDEX(SC_EA_SSBendPts, INDEX(SC_SSBaseYear,$F145)+1-SC_YearEpoch+2,1),0)*Lookup!$C$20+MAX(INDEX(SC_EX_SSAIME,EXIDX)-INDEX(SC_EA_SSBendPts, INDEX(SC_SSBaseYear,$F145)+1-SC_YearEpoch+2,2),0)*Lookup!$C$21)/INDEX(SC_EX_SSIDXCOLA,EXIDX)),1)</f>
        <v>0</v>
      </c>
      <c r="P145" s="145">
        <f t="shared" ca="1" si="132"/>
        <v>0</v>
      </c>
      <c r="Q145" s="145">
        <f t="shared" ca="1" si="133"/>
        <v>0</v>
      </c>
      <c r="R145" s="145">
        <f t="shared" ca="1" si="134"/>
        <v>0</v>
      </c>
      <c r="S145" s="145">
        <f t="shared" ca="1" si="135"/>
        <v>0</v>
      </c>
      <c r="T145" s="388">
        <f t="shared" ca="1" si="136"/>
        <v>0</v>
      </c>
      <c r="U145" s="386">
        <f t="shared" ca="1" si="137"/>
        <v>0</v>
      </c>
      <c r="V145" s="634"/>
      <c r="W145" s="662"/>
    </row>
    <row r="146" spans="2:23" x14ac:dyDescent="0.25">
      <c r="B146" s="65">
        <f ca="1">B144+1</f>
        <v>2090</v>
      </c>
      <c r="C146" s="4" t="s">
        <v>741</v>
      </c>
      <c r="D146" s="16" t="str">
        <f t="shared" si="121"/>
        <v/>
      </c>
      <c r="E146" s="5">
        <f t="shared" si="122"/>
        <v>0</v>
      </c>
      <c r="F146" s="5">
        <f t="shared" si="125"/>
        <v>1</v>
      </c>
      <c r="G146" s="4">
        <f t="shared" si="123"/>
        <v>1</v>
      </c>
      <c r="H146" s="4">
        <f t="shared" si="126"/>
        <v>0</v>
      </c>
      <c r="I146" s="4">
        <f t="shared" si="127"/>
        <v>0</v>
      </c>
      <c r="J146" s="348">
        <f t="shared" ca="1" si="128"/>
        <v>0</v>
      </c>
      <c r="K146" s="348">
        <f t="shared" ca="1" si="129"/>
        <v>0</v>
      </c>
      <c r="L146" s="348">
        <f t="shared" ca="1" si="130"/>
        <v>0</v>
      </c>
      <c r="M146" s="355">
        <f t="shared" ca="1" si="140"/>
        <v>0</v>
      </c>
      <c r="N146" s="345" t="b">
        <f t="shared" ca="1" si="131"/>
        <v>0</v>
      </c>
      <c r="O146" s="143">
        <f ca="1">ROUNDDOWN(IF(NOT($N146),0,(MIN(INDEX(SC_EX_SSAIME,EXIDX),INDEX(SC_EA_SSBendPts, INDEX(SC_SSBaseYear,$F146)+1-SC_YearEpoch+2,1))*Lookup!$C$19+MAX(MIN(INDEX(SC_EX_SSAIME,EXIDX),INDEX(SC_EA_SSBendPts, INDEX(SC_SSBaseYear,$F146)+1-SC_YearEpoch+2,2))-INDEX(SC_EA_SSBendPts, INDEX(SC_SSBaseYear,$F146)+1-SC_YearEpoch+2,1),0)*Lookup!$C$20+MAX(INDEX(SC_EX_SSAIME,EXIDX)-INDEX(SC_EA_SSBendPts, INDEX(SC_SSBaseYear,$F146)+1-SC_YearEpoch+2,2),0)*Lookup!$C$21)/INDEX(SC_EX_SSIDXCOLA,EXIDX)),1)</f>
        <v>0</v>
      </c>
      <c r="P146" s="6">
        <f t="shared" ca="1" si="132"/>
        <v>0</v>
      </c>
      <c r="Q146" s="6">
        <f t="shared" ca="1" si="133"/>
        <v>0</v>
      </c>
      <c r="R146" s="6">
        <f t="shared" ca="1" si="134"/>
        <v>0</v>
      </c>
      <c r="S146" s="6">
        <f t="shared" ca="1" si="135"/>
        <v>0</v>
      </c>
      <c r="T146" s="288">
        <f t="shared" ca="1" si="136"/>
        <v>0</v>
      </c>
      <c r="U146" s="330">
        <f t="shared" ca="1" si="137"/>
        <v>0</v>
      </c>
      <c r="V146" s="634">
        <f t="shared" ref="V146" ca="1" si="144">SUM($T146:$T147)</f>
        <v>0</v>
      </c>
      <c r="W146" s="662">
        <f ca="1">SUMPRODUCT($U146:$U147, --($E146:$E147&lt;&gt;0))</f>
        <v>0</v>
      </c>
    </row>
    <row r="147" spans="2:23" x14ac:dyDescent="0.25">
      <c r="B147" s="86">
        <f t="shared" ca="1" si="139"/>
        <v>2090</v>
      </c>
      <c r="C147" s="46" t="s">
        <v>741</v>
      </c>
      <c r="D147" s="148" t="str">
        <f t="shared" si="121"/>
        <v/>
      </c>
      <c r="E147" s="34">
        <f t="shared" si="122"/>
        <v>0</v>
      </c>
      <c r="F147" s="34">
        <f t="shared" si="125"/>
        <v>2</v>
      </c>
      <c r="G147" s="35">
        <f t="shared" si="123"/>
        <v>-1</v>
      </c>
      <c r="H147" s="35">
        <f t="shared" si="126"/>
        <v>0</v>
      </c>
      <c r="I147" s="35">
        <f t="shared" si="127"/>
        <v>0</v>
      </c>
      <c r="J147" s="350">
        <f t="shared" ca="1" si="128"/>
        <v>0</v>
      </c>
      <c r="K147" s="350">
        <f t="shared" ca="1" si="129"/>
        <v>0</v>
      </c>
      <c r="L147" s="350">
        <f t="shared" ca="1" si="130"/>
        <v>0</v>
      </c>
      <c r="M147" s="356">
        <f t="shared" ca="1" si="140"/>
        <v>0</v>
      </c>
      <c r="N147" s="354" t="b">
        <f t="shared" ca="1" si="131"/>
        <v>0</v>
      </c>
      <c r="O147" s="144">
        <f ca="1">ROUNDDOWN(IF(NOT($N147),0,(MIN(INDEX(SC_EX_SSAIME,EXIDX),INDEX(SC_EA_SSBendPts, INDEX(SC_SSBaseYear,$F147)+1-SC_YearEpoch+2,1))*Lookup!$C$19+MAX(MIN(INDEX(SC_EX_SSAIME,EXIDX),INDEX(SC_EA_SSBendPts, INDEX(SC_SSBaseYear,$F147)+1-SC_YearEpoch+2,2))-INDEX(SC_EA_SSBendPts, INDEX(SC_SSBaseYear,$F147)+1-SC_YearEpoch+2,1),0)*Lookup!$C$20+MAX(INDEX(SC_EX_SSAIME,EXIDX)-INDEX(SC_EA_SSBendPts, INDEX(SC_SSBaseYear,$F147)+1-SC_YearEpoch+2,2),0)*Lookup!$C$21)/INDEX(SC_EX_SSIDXCOLA,EXIDX)),1)</f>
        <v>0</v>
      </c>
      <c r="P147" s="145">
        <f t="shared" ca="1" si="132"/>
        <v>0</v>
      </c>
      <c r="Q147" s="145">
        <f t="shared" ca="1" si="133"/>
        <v>0</v>
      </c>
      <c r="R147" s="145">
        <f t="shared" ca="1" si="134"/>
        <v>0</v>
      </c>
      <c r="S147" s="145">
        <f t="shared" ca="1" si="135"/>
        <v>0</v>
      </c>
      <c r="T147" s="388">
        <f t="shared" ca="1" si="136"/>
        <v>0</v>
      </c>
      <c r="U147" s="386">
        <f t="shared" ca="1" si="137"/>
        <v>0</v>
      </c>
      <c r="V147" s="634"/>
      <c r="W147" s="662"/>
    </row>
    <row r="148" spans="2:23" x14ac:dyDescent="0.25">
      <c r="B148" s="65">
        <f ca="1">B146+1</f>
        <v>2091</v>
      </c>
      <c r="C148" s="4" t="s">
        <v>741</v>
      </c>
      <c r="D148" s="16" t="str">
        <f t="shared" si="121"/>
        <v/>
      </c>
      <c r="E148" s="5">
        <f t="shared" si="122"/>
        <v>0</v>
      </c>
      <c r="F148" s="5">
        <f t="shared" si="125"/>
        <v>1</v>
      </c>
      <c r="G148" s="4">
        <f t="shared" si="123"/>
        <v>1</v>
      </c>
      <c r="H148" s="4">
        <f t="shared" si="126"/>
        <v>0</v>
      </c>
      <c r="I148" s="4">
        <f t="shared" si="127"/>
        <v>0</v>
      </c>
      <c r="J148" s="348">
        <f t="shared" ca="1" si="128"/>
        <v>0</v>
      </c>
      <c r="K148" s="348">
        <f t="shared" ca="1" si="129"/>
        <v>0</v>
      </c>
      <c r="L148" s="348">
        <f t="shared" ca="1" si="130"/>
        <v>0</v>
      </c>
      <c r="M148" s="355">
        <f t="shared" ca="1" si="140"/>
        <v>0</v>
      </c>
      <c r="N148" s="345" t="b">
        <f t="shared" ca="1" si="131"/>
        <v>0</v>
      </c>
      <c r="O148" s="143">
        <f ca="1">ROUNDDOWN(IF(NOT($N148),0,(MIN(INDEX(SC_EX_SSAIME,EXIDX),INDEX(SC_EA_SSBendPts, INDEX(SC_SSBaseYear,$F148)+1-SC_YearEpoch+2,1))*Lookup!$C$19+MAX(MIN(INDEX(SC_EX_SSAIME,EXIDX),INDEX(SC_EA_SSBendPts, INDEX(SC_SSBaseYear,$F148)+1-SC_YearEpoch+2,2))-INDEX(SC_EA_SSBendPts, INDEX(SC_SSBaseYear,$F148)+1-SC_YearEpoch+2,1),0)*Lookup!$C$20+MAX(INDEX(SC_EX_SSAIME,EXIDX)-INDEX(SC_EA_SSBendPts, INDEX(SC_SSBaseYear,$F148)+1-SC_YearEpoch+2,2),0)*Lookup!$C$21)/INDEX(SC_EX_SSIDXCOLA,EXIDX)),1)</f>
        <v>0</v>
      </c>
      <c r="P148" s="6">
        <f t="shared" ca="1" si="132"/>
        <v>0</v>
      </c>
      <c r="Q148" s="6">
        <f t="shared" ca="1" si="133"/>
        <v>0</v>
      </c>
      <c r="R148" s="6">
        <f t="shared" ca="1" si="134"/>
        <v>0</v>
      </c>
      <c r="S148" s="6">
        <f t="shared" ca="1" si="135"/>
        <v>0</v>
      </c>
      <c r="T148" s="288">
        <f t="shared" ca="1" si="136"/>
        <v>0</v>
      </c>
      <c r="U148" s="330">
        <f t="shared" ca="1" si="137"/>
        <v>0</v>
      </c>
      <c r="V148" s="634">
        <f t="shared" ref="V148" ca="1" si="145">SUM($T148:$T149)</f>
        <v>0</v>
      </c>
      <c r="W148" s="662">
        <f ca="1">SUMPRODUCT($U148:$U149, --($E148:$E149&lt;&gt;0))</f>
        <v>0</v>
      </c>
    </row>
    <row r="149" spans="2:23" x14ac:dyDescent="0.25">
      <c r="B149" s="86">
        <f t="shared" ca="1" si="139"/>
        <v>2091</v>
      </c>
      <c r="C149" s="46" t="s">
        <v>741</v>
      </c>
      <c r="D149" s="148" t="str">
        <f t="shared" si="121"/>
        <v/>
      </c>
      <c r="E149" s="34">
        <f t="shared" si="122"/>
        <v>0</v>
      </c>
      <c r="F149" s="34">
        <f t="shared" si="125"/>
        <v>2</v>
      </c>
      <c r="G149" s="35">
        <f t="shared" si="123"/>
        <v>-1</v>
      </c>
      <c r="H149" s="35">
        <f t="shared" si="126"/>
        <v>0</v>
      </c>
      <c r="I149" s="35">
        <f t="shared" si="127"/>
        <v>0</v>
      </c>
      <c r="J149" s="350">
        <f t="shared" ca="1" si="128"/>
        <v>0</v>
      </c>
      <c r="K149" s="350">
        <f t="shared" ca="1" si="129"/>
        <v>0</v>
      </c>
      <c r="L149" s="350">
        <f t="shared" ca="1" si="130"/>
        <v>0</v>
      </c>
      <c r="M149" s="356">
        <f t="shared" ca="1" si="140"/>
        <v>0</v>
      </c>
      <c r="N149" s="354" t="b">
        <f t="shared" ca="1" si="131"/>
        <v>0</v>
      </c>
      <c r="O149" s="144">
        <f ca="1">ROUNDDOWN(IF(NOT($N149),0,(MIN(INDEX(SC_EX_SSAIME,EXIDX),INDEX(SC_EA_SSBendPts, INDEX(SC_SSBaseYear,$F149)+1-SC_YearEpoch+2,1))*Lookup!$C$19+MAX(MIN(INDEX(SC_EX_SSAIME,EXIDX),INDEX(SC_EA_SSBendPts, INDEX(SC_SSBaseYear,$F149)+1-SC_YearEpoch+2,2))-INDEX(SC_EA_SSBendPts, INDEX(SC_SSBaseYear,$F149)+1-SC_YearEpoch+2,1),0)*Lookup!$C$20+MAX(INDEX(SC_EX_SSAIME,EXIDX)-INDEX(SC_EA_SSBendPts, INDEX(SC_SSBaseYear,$F149)+1-SC_YearEpoch+2,2),0)*Lookup!$C$21)/INDEX(SC_EX_SSIDXCOLA,EXIDX)),1)</f>
        <v>0</v>
      </c>
      <c r="P149" s="145">
        <f t="shared" ca="1" si="132"/>
        <v>0</v>
      </c>
      <c r="Q149" s="145">
        <f t="shared" ca="1" si="133"/>
        <v>0</v>
      </c>
      <c r="R149" s="145">
        <f t="shared" ca="1" si="134"/>
        <v>0</v>
      </c>
      <c r="S149" s="145">
        <f t="shared" ca="1" si="135"/>
        <v>0</v>
      </c>
      <c r="T149" s="388">
        <f t="shared" ca="1" si="136"/>
        <v>0</v>
      </c>
      <c r="U149" s="386">
        <f t="shared" ca="1" si="137"/>
        <v>0</v>
      </c>
      <c r="V149" s="634"/>
      <c r="W149" s="662"/>
    </row>
    <row r="150" spans="2:23" x14ac:dyDescent="0.25">
      <c r="B150" s="65">
        <f ca="1">B148+1</f>
        <v>2092</v>
      </c>
      <c r="C150" s="4" t="s">
        <v>741</v>
      </c>
      <c r="D150" s="16" t="str">
        <f t="shared" si="121"/>
        <v/>
      </c>
      <c r="E150" s="5">
        <f t="shared" si="122"/>
        <v>0</v>
      </c>
      <c r="F150" s="5">
        <f t="shared" si="125"/>
        <v>1</v>
      </c>
      <c r="G150" s="4">
        <f t="shared" si="123"/>
        <v>1</v>
      </c>
      <c r="H150" s="4">
        <f t="shared" si="126"/>
        <v>0</v>
      </c>
      <c r="I150" s="4">
        <f t="shared" si="127"/>
        <v>0</v>
      </c>
      <c r="J150" s="348">
        <f t="shared" ca="1" si="128"/>
        <v>0</v>
      </c>
      <c r="K150" s="348">
        <f t="shared" ca="1" si="129"/>
        <v>0</v>
      </c>
      <c r="L150" s="348">
        <f t="shared" ca="1" si="130"/>
        <v>0</v>
      </c>
      <c r="M150" s="355">
        <f t="shared" ca="1" si="140"/>
        <v>0</v>
      </c>
      <c r="N150" s="345" t="b">
        <f t="shared" ca="1" si="131"/>
        <v>0</v>
      </c>
      <c r="O150" s="143">
        <f ca="1">ROUNDDOWN(IF(NOT($N150),0,(MIN(INDEX(SC_EX_SSAIME,EXIDX),INDEX(SC_EA_SSBendPts, INDEX(SC_SSBaseYear,$F150)+1-SC_YearEpoch+2,1))*Lookup!$C$19+MAX(MIN(INDEX(SC_EX_SSAIME,EXIDX),INDEX(SC_EA_SSBendPts, INDEX(SC_SSBaseYear,$F150)+1-SC_YearEpoch+2,2))-INDEX(SC_EA_SSBendPts, INDEX(SC_SSBaseYear,$F150)+1-SC_YearEpoch+2,1),0)*Lookup!$C$20+MAX(INDEX(SC_EX_SSAIME,EXIDX)-INDEX(SC_EA_SSBendPts, INDEX(SC_SSBaseYear,$F150)+1-SC_YearEpoch+2,2),0)*Lookup!$C$21)/INDEX(SC_EX_SSIDXCOLA,EXIDX)),1)</f>
        <v>0</v>
      </c>
      <c r="P150" s="6">
        <f t="shared" ca="1" si="132"/>
        <v>0</v>
      </c>
      <c r="Q150" s="6">
        <f t="shared" ca="1" si="133"/>
        <v>0</v>
      </c>
      <c r="R150" s="6">
        <f t="shared" ca="1" si="134"/>
        <v>0</v>
      </c>
      <c r="S150" s="6">
        <f t="shared" ca="1" si="135"/>
        <v>0</v>
      </c>
      <c r="T150" s="288">
        <f t="shared" ca="1" si="136"/>
        <v>0</v>
      </c>
      <c r="U150" s="330">
        <f t="shared" ca="1" si="137"/>
        <v>0</v>
      </c>
      <c r="V150" s="634">
        <f t="shared" ref="V150" ca="1" si="146">SUM($T150:$T151)</f>
        <v>0</v>
      </c>
      <c r="W150" s="662">
        <f ca="1">SUMPRODUCT($U150:$U151, --($E150:$E151&lt;&gt;0))</f>
        <v>0</v>
      </c>
    </row>
    <row r="151" spans="2:23" x14ac:dyDescent="0.25">
      <c r="B151" s="86">
        <f t="shared" ca="1" si="139"/>
        <v>2092</v>
      </c>
      <c r="C151" s="46" t="s">
        <v>741</v>
      </c>
      <c r="D151" s="148" t="str">
        <f t="shared" si="121"/>
        <v/>
      </c>
      <c r="E151" s="34">
        <f t="shared" si="122"/>
        <v>0</v>
      </c>
      <c r="F151" s="34">
        <f t="shared" si="125"/>
        <v>2</v>
      </c>
      <c r="G151" s="35">
        <f t="shared" si="123"/>
        <v>-1</v>
      </c>
      <c r="H151" s="35">
        <f t="shared" si="126"/>
        <v>0</v>
      </c>
      <c r="I151" s="35">
        <f t="shared" si="127"/>
        <v>0</v>
      </c>
      <c r="J151" s="350">
        <f t="shared" ca="1" si="128"/>
        <v>0</v>
      </c>
      <c r="K151" s="350">
        <f t="shared" ca="1" si="129"/>
        <v>0</v>
      </c>
      <c r="L151" s="350">
        <f t="shared" ca="1" si="130"/>
        <v>0</v>
      </c>
      <c r="M151" s="356">
        <f t="shared" ca="1" si="140"/>
        <v>0</v>
      </c>
      <c r="N151" s="354" t="b">
        <f t="shared" ca="1" si="131"/>
        <v>0</v>
      </c>
      <c r="O151" s="144">
        <f ca="1">ROUNDDOWN(IF(NOT($N151),0,(MIN(INDEX(SC_EX_SSAIME,EXIDX),INDEX(SC_EA_SSBendPts, INDEX(SC_SSBaseYear,$F151)+1-SC_YearEpoch+2,1))*Lookup!$C$19+MAX(MIN(INDEX(SC_EX_SSAIME,EXIDX),INDEX(SC_EA_SSBendPts, INDEX(SC_SSBaseYear,$F151)+1-SC_YearEpoch+2,2))-INDEX(SC_EA_SSBendPts, INDEX(SC_SSBaseYear,$F151)+1-SC_YearEpoch+2,1),0)*Lookup!$C$20+MAX(INDEX(SC_EX_SSAIME,EXIDX)-INDEX(SC_EA_SSBendPts, INDEX(SC_SSBaseYear,$F151)+1-SC_YearEpoch+2,2),0)*Lookup!$C$21)/INDEX(SC_EX_SSIDXCOLA,EXIDX)),1)</f>
        <v>0</v>
      </c>
      <c r="P151" s="145">
        <f t="shared" ca="1" si="132"/>
        <v>0</v>
      </c>
      <c r="Q151" s="145">
        <f t="shared" ca="1" si="133"/>
        <v>0</v>
      </c>
      <c r="R151" s="145">
        <f t="shared" ca="1" si="134"/>
        <v>0</v>
      </c>
      <c r="S151" s="145">
        <f t="shared" ca="1" si="135"/>
        <v>0</v>
      </c>
      <c r="T151" s="388">
        <f t="shared" ca="1" si="136"/>
        <v>0</v>
      </c>
      <c r="U151" s="386">
        <f t="shared" ca="1" si="137"/>
        <v>0</v>
      </c>
      <c r="V151" s="634"/>
      <c r="W151" s="662"/>
    </row>
    <row r="152" spans="2:23" x14ac:dyDescent="0.25">
      <c r="B152" s="65">
        <f ca="1">B150+1</f>
        <v>2093</v>
      </c>
      <c r="C152" s="4" t="s">
        <v>741</v>
      </c>
      <c r="D152" s="16" t="str">
        <f t="shared" si="121"/>
        <v/>
      </c>
      <c r="E152" s="5">
        <f t="shared" si="122"/>
        <v>0</v>
      </c>
      <c r="F152" s="5">
        <f t="shared" si="125"/>
        <v>1</v>
      </c>
      <c r="G152" s="4">
        <f t="shared" si="123"/>
        <v>1</v>
      </c>
      <c r="H152" s="4">
        <f t="shared" si="126"/>
        <v>0</v>
      </c>
      <c r="I152" s="4">
        <f t="shared" si="127"/>
        <v>0</v>
      </c>
      <c r="J152" s="348">
        <f t="shared" ca="1" si="128"/>
        <v>0</v>
      </c>
      <c r="K152" s="348">
        <f t="shared" ca="1" si="129"/>
        <v>0</v>
      </c>
      <c r="L152" s="348">
        <f t="shared" ca="1" si="130"/>
        <v>0</v>
      </c>
      <c r="M152" s="355">
        <f t="shared" ca="1" si="140"/>
        <v>0</v>
      </c>
      <c r="N152" s="345" t="b">
        <f t="shared" ca="1" si="131"/>
        <v>0</v>
      </c>
      <c r="O152" s="143">
        <f ca="1">ROUNDDOWN(IF(NOT($N152),0,(MIN(INDEX(SC_EX_SSAIME,EXIDX),INDEX(SC_EA_SSBendPts, INDEX(SC_SSBaseYear,$F152)+1-SC_YearEpoch+2,1))*Lookup!$C$19+MAX(MIN(INDEX(SC_EX_SSAIME,EXIDX),INDEX(SC_EA_SSBendPts, INDEX(SC_SSBaseYear,$F152)+1-SC_YearEpoch+2,2))-INDEX(SC_EA_SSBendPts, INDEX(SC_SSBaseYear,$F152)+1-SC_YearEpoch+2,1),0)*Lookup!$C$20+MAX(INDEX(SC_EX_SSAIME,EXIDX)-INDEX(SC_EA_SSBendPts, INDEX(SC_SSBaseYear,$F152)+1-SC_YearEpoch+2,2),0)*Lookup!$C$21)/INDEX(SC_EX_SSIDXCOLA,EXIDX)),1)</f>
        <v>0</v>
      </c>
      <c r="P152" s="6">
        <f t="shared" ca="1" si="132"/>
        <v>0</v>
      </c>
      <c r="Q152" s="6">
        <f t="shared" ca="1" si="133"/>
        <v>0</v>
      </c>
      <c r="R152" s="6">
        <f t="shared" ca="1" si="134"/>
        <v>0</v>
      </c>
      <c r="S152" s="6">
        <f t="shared" ca="1" si="135"/>
        <v>0</v>
      </c>
      <c r="T152" s="288">
        <f t="shared" ca="1" si="136"/>
        <v>0</v>
      </c>
      <c r="U152" s="330">
        <f t="shared" ca="1" si="137"/>
        <v>0</v>
      </c>
      <c r="V152" s="634">
        <f t="shared" ref="V152" ca="1" si="147">SUM($T152:$T153)</f>
        <v>0</v>
      </c>
      <c r="W152" s="662">
        <f ca="1">SUMPRODUCT($U152:$U153, --($E152:$E153&lt;&gt;0))</f>
        <v>0</v>
      </c>
    </row>
    <row r="153" spans="2:23" x14ac:dyDescent="0.25">
      <c r="B153" s="86">
        <f t="shared" ca="1" si="139"/>
        <v>2093</v>
      </c>
      <c r="C153" s="46" t="s">
        <v>741</v>
      </c>
      <c r="D153" s="148" t="str">
        <f t="shared" si="121"/>
        <v/>
      </c>
      <c r="E153" s="34">
        <f t="shared" si="122"/>
        <v>0</v>
      </c>
      <c r="F153" s="34">
        <f t="shared" si="125"/>
        <v>2</v>
      </c>
      <c r="G153" s="35">
        <f t="shared" si="123"/>
        <v>-1</v>
      </c>
      <c r="H153" s="35">
        <f t="shared" si="126"/>
        <v>0</v>
      </c>
      <c r="I153" s="35">
        <f t="shared" si="127"/>
        <v>0</v>
      </c>
      <c r="J153" s="350">
        <f t="shared" ca="1" si="128"/>
        <v>0</v>
      </c>
      <c r="K153" s="350">
        <f t="shared" ca="1" si="129"/>
        <v>0</v>
      </c>
      <c r="L153" s="350">
        <f t="shared" ca="1" si="130"/>
        <v>0</v>
      </c>
      <c r="M153" s="356">
        <f t="shared" ca="1" si="140"/>
        <v>0</v>
      </c>
      <c r="N153" s="354" t="b">
        <f t="shared" ca="1" si="131"/>
        <v>0</v>
      </c>
      <c r="O153" s="144">
        <f ca="1">ROUNDDOWN(IF(NOT($N153),0,(MIN(INDEX(SC_EX_SSAIME,EXIDX),INDEX(SC_EA_SSBendPts, INDEX(SC_SSBaseYear,$F153)+1-SC_YearEpoch+2,1))*Lookup!$C$19+MAX(MIN(INDEX(SC_EX_SSAIME,EXIDX),INDEX(SC_EA_SSBendPts, INDEX(SC_SSBaseYear,$F153)+1-SC_YearEpoch+2,2))-INDEX(SC_EA_SSBendPts, INDEX(SC_SSBaseYear,$F153)+1-SC_YearEpoch+2,1),0)*Lookup!$C$20+MAX(INDEX(SC_EX_SSAIME,EXIDX)-INDEX(SC_EA_SSBendPts, INDEX(SC_SSBaseYear,$F153)+1-SC_YearEpoch+2,2),0)*Lookup!$C$21)/INDEX(SC_EX_SSIDXCOLA,EXIDX)),1)</f>
        <v>0</v>
      </c>
      <c r="P153" s="145">
        <f t="shared" ca="1" si="132"/>
        <v>0</v>
      </c>
      <c r="Q153" s="145">
        <f t="shared" ca="1" si="133"/>
        <v>0</v>
      </c>
      <c r="R153" s="145">
        <f t="shared" ca="1" si="134"/>
        <v>0</v>
      </c>
      <c r="S153" s="145">
        <f t="shared" ca="1" si="135"/>
        <v>0</v>
      </c>
      <c r="T153" s="388">
        <f t="shared" ca="1" si="136"/>
        <v>0</v>
      </c>
      <c r="U153" s="386">
        <f t="shared" ca="1" si="137"/>
        <v>0</v>
      </c>
      <c r="V153" s="634"/>
      <c r="W153" s="662"/>
    </row>
    <row r="154" spans="2:23" x14ac:dyDescent="0.25">
      <c r="B154" s="65">
        <f ca="1">B152+1</f>
        <v>2094</v>
      </c>
      <c r="C154" s="4" t="s">
        <v>741</v>
      </c>
      <c r="D154" s="16" t="str">
        <f t="shared" si="121"/>
        <v/>
      </c>
      <c r="E154" s="5">
        <f t="shared" si="122"/>
        <v>0</v>
      </c>
      <c r="F154" s="5">
        <f t="shared" si="125"/>
        <v>1</v>
      </c>
      <c r="G154" s="4">
        <f t="shared" si="123"/>
        <v>1</v>
      </c>
      <c r="H154" s="4">
        <f t="shared" si="126"/>
        <v>0</v>
      </c>
      <c r="I154" s="4">
        <f t="shared" si="127"/>
        <v>0</v>
      </c>
      <c r="J154" s="348">
        <f t="shared" ca="1" si="128"/>
        <v>0</v>
      </c>
      <c r="K154" s="348">
        <f t="shared" ca="1" si="129"/>
        <v>0</v>
      </c>
      <c r="L154" s="348">
        <f t="shared" ca="1" si="130"/>
        <v>0</v>
      </c>
      <c r="M154" s="355">
        <f t="shared" ca="1" si="140"/>
        <v>0</v>
      </c>
      <c r="N154" s="345" t="b">
        <f t="shared" ca="1" si="131"/>
        <v>0</v>
      </c>
      <c r="O154" s="143">
        <f ca="1">ROUNDDOWN(IF(NOT($N154),0,(MIN(INDEX(SC_EX_SSAIME,EXIDX),INDEX(SC_EA_SSBendPts, INDEX(SC_SSBaseYear,$F154)+1-SC_YearEpoch+2,1))*Lookup!$C$19+MAX(MIN(INDEX(SC_EX_SSAIME,EXIDX),INDEX(SC_EA_SSBendPts, INDEX(SC_SSBaseYear,$F154)+1-SC_YearEpoch+2,2))-INDEX(SC_EA_SSBendPts, INDEX(SC_SSBaseYear,$F154)+1-SC_YearEpoch+2,1),0)*Lookup!$C$20+MAX(INDEX(SC_EX_SSAIME,EXIDX)-INDEX(SC_EA_SSBendPts, INDEX(SC_SSBaseYear,$F154)+1-SC_YearEpoch+2,2),0)*Lookup!$C$21)/INDEX(SC_EX_SSIDXCOLA,EXIDX)),1)</f>
        <v>0</v>
      </c>
      <c r="P154" s="6">
        <f t="shared" ca="1" si="132"/>
        <v>0</v>
      </c>
      <c r="Q154" s="6">
        <f t="shared" ca="1" si="133"/>
        <v>0</v>
      </c>
      <c r="R154" s="6">
        <f t="shared" ca="1" si="134"/>
        <v>0</v>
      </c>
      <c r="S154" s="6">
        <f t="shared" ca="1" si="135"/>
        <v>0</v>
      </c>
      <c r="T154" s="288">
        <f t="shared" ca="1" si="136"/>
        <v>0</v>
      </c>
      <c r="U154" s="330">
        <f t="shared" ca="1" si="137"/>
        <v>0</v>
      </c>
      <c r="V154" s="634">
        <f t="shared" ref="V154" ca="1" si="148">SUM($T154:$T155)</f>
        <v>0</v>
      </c>
      <c r="W154" s="662">
        <f ca="1">SUMPRODUCT($U154:$U155, --($E154:$E155&lt;&gt;0))</f>
        <v>0</v>
      </c>
    </row>
    <row r="155" spans="2:23" x14ac:dyDescent="0.25">
      <c r="B155" s="86">
        <f t="shared" ca="1" si="139"/>
        <v>2094</v>
      </c>
      <c r="C155" s="46" t="s">
        <v>741</v>
      </c>
      <c r="D155" s="148" t="str">
        <f t="shared" si="121"/>
        <v/>
      </c>
      <c r="E155" s="34">
        <f t="shared" si="122"/>
        <v>0</v>
      </c>
      <c r="F155" s="34">
        <f t="shared" si="125"/>
        <v>2</v>
      </c>
      <c r="G155" s="35">
        <f t="shared" si="123"/>
        <v>-1</v>
      </c>
      <c r="H155" s="35">
        <f t="shared" si="126"/>
        <v>0</v>
      </c>
      <c r="I155" s="35">
        <f t="shared" si="127"/>
        <v>0</v>
      </c>
      <c r="J155" s="350">
        <f t="shared" ca="1" si="128"/>
        <v>0</v>
      </c>
      <c r="K155" s="350">
        <f t="shared" ca="1" si="129"/>
        <v>0</v>
      </c>
      <c r="L155" s="350">
        <f t="shared" ca="1" si="130"/>
        <v>0</v>
      </c>
      <c r="M155" s="356">
        <f t="shared" ca="1" si="140"/>
        <v>0</v>
      </c>
      <c r="N155" s="354" t="b">
        <f t="shared" ca="1" si="131"/>
        <v>0</v>
      </c>
      <c r="O155" s="144">
        <f ca="1">ROUNDDOWN(IF(NOT($N155),0,(MIN(INDEX(SC_EX_SSAIME,EXIDX),INDEX(SC_EA_SSBendPts, INDEX(SC_SSBaseYear,$F155)+1-SC_YearEpoch+2,1))*Lookup!$C$19+MAX(MIN(INDEX(SC_EX_SSAIME,EXIDX),INDEX(SC_EA_SSBendPts, INDEX(SC_SSBaseYear,$F155)+1-SC_YearEpoch+2,2))-INDEX(SC_EA_SSBendPts, INDEX(SC_SSBaseYear,$F155)+1-SC_YearEpoch+2,1),0)*Lookup!$C$20+MAX(INDEX(SC_EX_SSAIME,EXIDX)-INDEX(SC_EA_SSBendPts, INDEX(SC_SSBaseYear,$F155)+1-SC_YearEpoch+2,2),0)*Lookup!$C$21)/INDEX(SC_EX_SSIDXCOLA,EXIDX)),1)</f>
        <v>0</v>
      </c>
      <c r="P155" s="145">
        <f t="shared" ca="1" si="132"/>
        <v>0</v>
      </c>
      <c r="Q155" s="145">
        <f t="shared" ca="1" si="133"/>
        <v>0</v>
      </c>
      <c r="R155" s="145">
        <f t="shared" ca="1" si="134"/>
        <v>0</v>
      </c>
      <c r="S155" s="145">
        <f t="shared" ca="1" si="135"/>
        <v>0</v>
      </c>
      <c r="T155" s="388">
        <f t="shared" ca="1" si="136"/>
        <v>0</v>
      </c>
      <c r="U155" s="386">
        <f t="shared" ca="1" si="137"/>
        <v>0</v>
      </c>
      <c r="V155" s="634"/>
      <c r="W155" s="662"/>
    </row>
    <row r="156" spans="2:23" x14ac:dyDescent="0.25">
      <c r="B156" s="65">
        <f ca="1">B154+1</f>
        <v>2095</v>
      </c>
      <c r="C156" s="4" t="s">
        <v>741</v>
      </c>
      <c r="D156" s="16" t="str">
        <f t="shared" si="121"/>
        <v/>
      </c>
      <c r="E156" s="5">
        <f t="shared" si="122"/>
        <v>0</v>
      </c>
      <c r="F156" s="5">
        <f t="shared" si="125"/>
        <v>1</v>
      </c>
      <c r="G156" s="4">
        <f t="shared" si="123"/>
        <v>1</v>
      </c>
      <c r="H156" s="4">
        <f t="shared" si="126"/>
        <v>0</v>
      </c>
      <c r="I156" s="4">
        <f t="shared" si="127"/>
        <v>0</v>
      </c>
      <c r="J156" s="348">
        <f t="shared" ca="1" si="128"/>
        <v>0</v>
      </c>
      <c r="K156" s="348">
        <f t="shared" ca="1" si="129"/>
        <v>0</v>
      </c>
      <c r="L156" s="348">
        <f t="shared" ca="1" si="130"/>
        <v>0</v>
      </c>
      <c r="M156" s="355">
        <f t="shared" ca="1" si="140"/>
        <v>0</v>
      </c>
      <c r="N156" s="345" t="b">
        <f t="shared" ca="1" si="131"/>
        <v>0</v>
      </c>
      <c r="O156" s="143">
        <f ca="1">ROUNDDOWN(IF(NOT($N156),0,(MIN(INDEX(SC_EX_SSAIME,EXIDX),INDEX(SC_EA_SSBendPts, INDEX(SC_SSBaseYear,$F156)+1-SC_YearEpoch+2,1))*Lookup!$C$19+MAX(MIN(INDEX(SC_EX_SSAIME,EXIDX),INDEX(SC_EA_SSBendPts, INDEX(SC_SSBaseYear,$F156)+1-SC_YearEpoch+2,2))-INDEX(SC_EA_SSBendPts, INDEX(SC_SSBaseYear,$F156)+1-SC_YearEpoch+2,1),0)*Lookup!$C$20+MAX(INDEX(SC_EX_SSAIME,EXIDX)-INDEX(SC_EA_SSBendPts, INDEX(SC_SSBaseYear,$F156)+1-SC_YearEpoch+2,2),0)*Lookup!$C$21)/INDEX(SC_EX_SSIDXCOLA,EXIDX)),1)</f>
        <v>0</v>
      </c>
      <c r="P156" s="6">
        <f t="shared" ca="1" si="132"/>
        <v>0</v>
      </c>
      <c r="Q156" s="6">
        <f t="shared" ca="1" si="133"/>
        <v>0</v>
      </c>
      <c r="R156" s="6">
        <f t="shared" ca="1" si="134"/>
        <v>0</v>
      </c>
      <c r="S156" s="6">
        <f t="shared" ca="1" si="135"/>
        <v>0</v>
      </c>
      <c r="T156" s="288">
        <f t="shared" ca="1" si="136"/>
        <v>0</v>
      </c>
      <c r="U156" s="330">
        <f t="shared" ca="1" si="137"/>
        <v>0</v>
      </c>
      <c r="V156" s="634">
        <f t="shared" ref="V156" ca="1" si="149">SUM($T156:$T157)</f>
        <v>0</v>
      </c>
      <c r="W156" s="662">
        <f ca="1">SUMPRODUCT($U156:$U157, --($E156:$E157&lt;&gt;0))</f>
        <v>0</v>
      </c>
    </row>
    <row r="157" spans="2:23" x14ac:dyDescent="0.25">
      <c r="B157" s="86">
        <f t="shared" ca="1" si="139"/>
        <v>2095</v>
      </c>
      <c r="C157" s="46" t="s">
        <v>741</v>
      </c>
      <c r="D157" s="148" t="str">
        <f t="shared" si="121"/>
        <v/>
      </c>
      <c r="E157" s="34">
        <f t="shared" si="122"/>
        <v>0</v>
      </c>
      <c r="F157" s="34">
        <f t="shared" si="125"/>
        <v>2</v>
      </c>
      <c r="G157" s="35">
        <f t="shared" si="123"/>
        <v>-1</v>
      </c>
      <c r="H157" s="35">
        <f t="shared" si="126"/>
        <v>0</v>
      </c>
      <c r="I157" s="35">
        <f t="shared" si="127"/>
        <v>0</v>
      </c>
      <c r="J157" s="350">
        <f t="shared" ca="1" si="128"/>
        <v>0</v>
      </c>
      <c r="K157" s="350">
        <f t="shared" ca="1" si="129"/>
        <v>0</v>
      </c>
      <c r="L157" s="350">
        <f t="shared" ca="1" si="130"/>
        <v>0</v>
      </c>
      <c r="M157" s="356">
        <f t="shared" ca="1" si="140"/>
        <v>0</v>
      </c>
      <c r="N157" s="354" t="b">
        <f t="shared" ca="1" si="131"/>
        <v>0</v>
      </c>
      <c r="O157" s="144">
        <f ca="1">ROUNDDOWN(IF(NOT($N157),0,(MIN(INDEX(SC_EX_SSAIME,EXIDX),INDEX(SC_EA_SSBendPts, INDEX(SC_SSBaseYear,$F157)+1-SC_YearEpoch+2,1))*Lookup!$C$19+MAX(MIN(INDEX(SC_EX_SSAIME,EXIDX),INDEX(SC_EA_SSBendPts, INDEX(SC_SSBaseYear,$F157)+1-SC_YearEpoch+2,2))-INDEX(SC_EA_SSBendPts, INDEX(SC_SSBaseYear,$F157)+1-SC_YearEpoch+2,1),0)*Lookup!$C$20+MAX(INDEX(SC_EX_SSAIME,EXIDX)-INDEX(SC_EA_SSBendPts, INDEX(SC_SSBaseYear,$F157)+1-SC_YearEpoch+2,2),0)*Lookup!$C$21)/INDEX(SC_EX_SSIDXCOLA,EXIDX)),1)</f>
        <v>0</v>
      </c>
      <c r="P157" s="145">
        <f t="shared" ca="1" si="132"/>
        <v>0</v>
      </c>
      <c r="Q157" s="145">
        <f t="shared" ca="1" si="133"/>
        <v>0</v>
      </c>
      <c r="R157" s="145">
        <f t="shared" ca="1" si="134"/>
        <v>0</v>
      </c>
      <c r="S157" s="145">
        <f t="shared" ca="1" si="135"/>
        <v>0</v>
      </c>
      <c r="T157" s="388">
        <f t="shared" ca="1" si="136"/>
        <v>0</v>
      </c>
      <c r="U157" s="386">
        <f t="shared" ca="1" si="137"/>
        <v>0</v>
      </c>
      <c r="V157" s="634"/>
      <c r="W157" s="662"/>
    </row>
    <row r="158" spans="2:23" x14ac:dyDescent="0.25">
      <c r="B158" s="65">
        <f ca="1">B156+1</f>
        <v>2096</v>
      </c>
      <c r="C158" s="4" t="s">
        <v>741</v>
      </c>
      <c r="D158" s="16" t="str">
        <f t="shared" si="121"/>
        <v/>
      </c>
      <c r="E158" s="5">
        <f t="shared" si="122"/>
        <v>0</v>
      </c>
      <c r="F158" s="5">
        <f t="shared" si="125"/>
        <v>1</v>
      </c>
      <c r="G158" s="4">
        <f t="shared" si="123"/>
        <v>1</v>
      </c>
      <c r="H158" s="4">
        <f t="shared" si="126"/>
        <v>0</v>
      </c>
      <c r="I158" s="4">
        <f t="shared" si="127"/>
        <v>0</v>
      </c>
      <c r="J158" s="348">
        <f t="shared" ca="1" si="128"/>
        <v>0</v>
      </c>
      <c r="K158" s="348">
        <f t="shared" ca="1" si="129"/>
        <v>0</v>
      </c>
      <c r="L158" s="348">
        <f t="shared" ca="1" si="130"/>
        <v>0</v>
      </c>
      <c r="M158" s="355">
        <f t="shared" ca="1" si="140"/>
        <v>0</v>
      </c>
      <c r="N158" s="345" t="b">
        <f t="shared" ca="1" si="131"/>
        <v>0</v>
      </c>
      <c r="O158" s="143">
        <f ca="1">ROUNDDOWN(IF(NOT($N158),0,(MIN(INDEX(SC_EX_SSAIME,EXIDX),INDEX(SC_EA_SSBendPts, INDEX(SC_SSBaseYear,$F158)+1-SC_YearEpoch+2,1))*Lookup!$C$19+MAX(MIN(INDEX(SC_EX_SSAIME,EXIDX),INDEX(SC_EA_SSBendPts, INDEX(SC_SSBaseYear,$F158)+1-SC_YearEpoch+2,2))-INDEX(SC_EA_SSBendPts, INDEX(SC_SSBaseYear,$F158)+1-SC_YearEpoch+2,1),0)*Lookup!$C$20+MAX(INDEX(SC_EX_SSAIME,EXIDX)-INDEX(SC_EA_SSBendPts, INDEX(SC_SSBaseYear,$F158)+1-SC_YearEpoch+2,2),0)*Lookup!$C$21)/INDEX(SC_EX_SSIDXCOLA,EXIDX)),1)</f>
        <v>0</v>
      </c>
      <c r="P158" s="6">
        <f t="shared" ca="1" si="132"/>
        <v>0</v>
      </c>
      <c r="Q158" s="6">
        <f t="shared" ca="1" si="133"/>
        <v>0</v>
      </c>
      <c r="R158" s="6">
        <f t="shared" ca="1" si="134"/>
        <v>0</v>
      </c>
      <c r="S158" s="6">
        <f t="shared" ca="1" si="135"/>
        <v>0</v>
      </c>
      <c r="T158" s="288">
        <f t="shared" ca="1" si="136"/>
        <v>0</v>
      </c>
      <c r="U158" s="330">
        <f t="shared" ca="1" si="137"/>
        <v>0</v>
      </c>
      <c r="V158" s="634">
        <f t="shared" ref="V158" ca="1" si="150">SUM($T158:$T159)</f>
        <v>0</v>
      </c>
      <c r="W158" s="662">
        <f ca="1">SUMPRODUCT($U158:$U159, --($E158:$E159&lt;&gt;0))</f>
        <v>0</v>
      </c>
    </row>
    <row r="159" spans="2:23" x14ac:dyDescent="0.25">
      <c r="B159" s="86">
        <f t="shared" ca="1" si="139"/>
        <v>2096</v>
      </c>
      <c r="C159" s="46" t="s">
        <v>741</v>
      </c>
      <c r="D159" s="148" t="str">
        <f t="shared" si="121"/>
        <v/>
      </c>
      <c r="E159" s="34">
        <f t="shared" si="122"/>
        <v>0</v>
      </c>
      <c r="F159" s="34">
        <f t="shared" si="125"/>
        <v>2</v>
      </c>
      <c r="G159" s="35">
        <f t="shared" si="123"/>
        <v>-1</v>
      </c>
      <c r="H159" s="35">
        <f t="shared" si="126"/>
        <v>0</v>
      </c>
      <c r="I159" s="35">
        <f t="shared" si="127"/>
        <v>0</v>
      </c>
      <c r="J159" s="350">
        <f t="shared" ca="1" si="128"/>
        <v>0</v>
      </c>
      <c r="K159" s="350">
        <f t="shared" ca="1" si="129"/>
        <v>0</v>
      </c>
      <c r="L159" s="350">
        <f t="shared" ca="1" si="130"/>
        <v>0</v>
      </c>
      <c r="M159" s="356">
        <f t="shared" ca="1" si="140"/>
        <v>0</v>
      </c>
      <c r="N159" s="354" t="b">
        <f t="shared" ca="1" si="131"/>
        <v>0</v>
      </c>
      <c r="O159" s="144">
        <f ca="1">ROUNDDOWN(IF(NOT($N159),0,(MIN(INDEX(SC_EX_SSAIME,EXIDX),INDEX(SC_EA_SSBendPts, INDEX(SC_SSBaseYear,$F159)+1-SC_YearEpoch+2,1))*Lookup!$C$19+MAX(MIN(INDEX(SC_EX_SSAIME,EXIDX),INDEX(SC_EA_SSBendPts, INDEX(SC_SSBaseYear,$F159)+1-SC_YearEpoch+2,2))-INDEX(SC_EA_SSBendPts, INDEX(SC_SSBaseYear,$F159)+1-SC_YearEpoch+2,1),0)*Lookup!$C$20+MAX(INDEX(SC_EX_SSAIME,EXIDX)-INDEX(SC_EA_SSBendPts, INDEX(SC_SSBaseYear,$F159)+1-SC_YearEpoch+2,2),0)*Lookup!$C$21)/INDEX(SC_EX_SSIDXCOLA,EXIDX)),1)</f>
        <v>0</v>
      </c>
      <c r="P159" s="145">
        <f t="shared" ca="1" si="132"/>
        <v>0</v>
      </c>
      <c r="Q159" s="145">
        <f t="shared" ca="1" si="133"/>
        <v>0</v>
      </c>
      <c r="R159" s="145">
        <f t="shared" ca="1" si="134"/>
        <v>0</v>
      </c>
      <c r="S159" s="145">
        <f t="shared" ca="1" si="135"/>
        <v>0</v>
      </c>
      <c r="T159" s="388">
        <f t="shared" ca="1" si="136"/>
        <v>0</v>
      </c>
      <c r="U159" s="386">
        <f t="shared" ca="1" si="137"/>
        <v>0</v>
      </c>
      <c r="V159" s="634"/>
      <c r="W159" s="662"/>
    </row>
    <row r="160" spans="2:23" x14ac:dyDescent="0.25">
      <c r="B160" s="65">
        <f ca="1">B158+1</f>
        <v>2097</v>
      </c>
      <c r="C160" s="4" t="s">
        <v>741</v>
      </c>
      <c r="D160" s="16" t="str">
        <f t="shared" si="121"/>
        <v/>
      </c>
      <c r="E160" s="5">
        <f t="shared" si="122"/>
        <v>0</v>
      </c>
      <c r="F160" s="5">
        <f t="shared" si="125"/>
        <v>1</v>
      </c>
      <c r="G160" s="4">
        <f t="shared" si="123"/>
        <v>1</v>
      </c>
      <c r="H160" s="4">
        <f t="shared" si="126"/>
        <v>0</v>
      </c>
      <c r="I160" s="4">
        <f t="shared" si="127"/>
        <v>0</v>
      </c>
      <c r="J160" s="348">
        <f t="shared" ca="1" si="128"/>
        <v>0</v>
      </c>
      <c r="K160" s="348">
        <f t="shared" ca="1" si="129"/>
        <v>0</v>
      </c>
      <c r="L160" s="348">
        <f t="shared" ca="1" si="130"/>
        <v>0</v>
      </c>
      <c r="M160" s="355">
        <f t="shared" ca="1" si="140"/>
        <v>0</v>
      </c>
      <c r="N160" s="345" t="b">
        <f t="shared" ca="1" si="131"/>
        <v>0</v>
      </c>
      <c r="O160" s="143">
        <f ca="1">ROUNDDOWN(IF(NOT($N160),0,(MIN(INDEX(SC_EX_SSAIME,EXIDX),INDEX(SC_EA_SSBendPts, INDEX(SC_SSBaseYear,$F160)+1-SC_YearEpoch+2,1))*Lookup!$C$19+MAX(MIN(INDEX(SC_EX_SSAIME,EXIDX),INDEX(SC_EA_SSBendPts, INDEX(SC_SSBaseYear,$F160)+1-SC_YearEpoch+2,2))-INDEX(SC_EA_SSBendPts, INDEX(SC_SSBaseYear,$F160)+1-SC_YearEpoch+2,1),0)*Lookup!$C$20+MAX(INDEX(SC_EX_SSAIME,EXIDX)-INDEX(SC_EA_SSBendPts, INDEX(SC_SSBaseYear,$F160)+1-SC_YearEpoch+2,2),0)*Lookup!$C$21)/INDEX(SC_EX_SSIDXCOLA,EXIDX)),1)</f>
        <v>0</v>
      </c>
      <c r="P160" s="6">
        <f t="shared" ca="1" si="132"/>
        <v>0</v>
      </c>
      <c r="Q160" s="6">
        <f t="shared" ca="1" si="133"/>
        <v>0</v>
      </c>
      <c r="R160" s="6">
        <f t="shared" ca="1" si="134"/>
        <v>0</v>
      </c>
      <c r="S160" s="6">
        <f t="shared" ca="1" si="135"/>
        <v>0</v>
      </c>
      <c r="T160" s="288">
        <f t="shared" ca="1" si="136"/>
        <v>0</v>
      </c>
      <c r="U160" s="330">
        <f t="shared" ca="1" si="137"/>
        <v>0</v>
      </c>
      <c r="V160" s="634">
        <f t="shared" ref="V160" ca="1" si="151">SUM($T160:$T161)</f>
        <v>0</v>
      </c>
      <c r="W160" s="662">
        <f ca="1">SUMPRODUCT($U160:$U161, --($E160:$E161&lt;&gt;0))</f>
        <v>0</v>
      </c>
    </row>
    <row r="161" spans="2:23" x14ac:dyDescent="0.25">
      <c r="B161" s="86">
        <f t="shared" ca="1" si="139"/>
        <v>2097</v>
      </c>
      <c r="C161" s="46" t="s">
        <v>741</v>
      </c>
      <c r="D161" s="148" t="str">
        <f t="shared" si="121"/>
        <v/>
      </c>
      <c r="E161" s="34">
        <f t="shared" si="122"/>
        <v>0</v>
      </c>
      <c r="F161" s="34">
        <f t="shared" si="125"/>
        <v>2</v>
      </c>
      <c r="G161" s="35">
        <f t="shared" si="123"/>
        <v>-1</v>
      </c>
      <c r="H161" s="35">
        <f t="shared" si="126"/>
        <v>0</v>
      </c>
      <c r="I161" s="35">
        <f t="shared" si="127"/>
        <v>0</v>
      </c>
      <c r="J161" s="350">
        <f t="shared" ca="1" si="128"/>
        <v>0</v>
      </c>
      <c r="K161" s="350">
        <f t="shared" ca="1" si="129"/>
        <v>0</v>
      </c>
      <c r="L161" s="350">
        <f t="shared" ca="1" si="130"/>
        <v>0</v>
      </c>
      <c r="M161" s="356">
        <f t="shared" ca="1" si="140"/>
        <v>0</v>
      </c>
      <c r="N161" s="354" t="b">
        <f t="shared" ca="1" si="131"/>
        <v>0</v>
      </c>
      <c r="O161" s="144">
        <f ca="1">ROUNDDOWN(IF(NOT($N161),0,(MIN(INDEX(SC_EX_SSAIME,EXIDX),INDEX(SC_EA_SSBendPts, INDEX(SC_SSBaseYear,$F161)+1-SC_YearEpoch+2,1))*Lookup!$C$19+MAX(MIN(INDEX(SC_EX_SSAIME,EXIDX),INDEX(SC_EA_SSBendPts, INDEX(SC_SSBaseYear,$F161)+1-SC_YearEpoch+2,2))-INDEX(SC_EA_SSBendPts, INDEX(SC_SSBaseYear,$F161)+1-SC_YearEpoch+2,1),0)*Lookup!$C$20+MAX(INDEX(SC_EX_SSAIME,EXIDX)-INDEX(SC_EA_SSBendPts, INDEX(SC_SSBaseYear,$F161)+1-SC_YearEpoch+2,2),0)*Lookup!$C$21)/INDEX(SC_EX_SSIDXCOLA,EXIDX)),1)</f>
        <v>0</v>
      </c>
      <c r="P161" s="145">
        <f t="shared" ca="1" si="132"/>
        <v>0</v>
      </c>
      <c r="Q161" s="145">
        <f t="shared" ca="1" si="133"/>
        <v>0</v>
      </c>
      <c r="R161" s="145">
        <f t="shared" ca="1" si="134"/>
        <v>0</v>
      </c>
      <c r="S161" s="145">
        <f t="shared" ca="1" si="135"/>
        <v>0</v>
      </c>
      <c r="T161" s="388">
        <f t="shared" ca="1" si="136"/>
        <v>0</v>
      </c>
      <c r="U161" s="386">
        <f t="shared" ca="1" si="137"/>
        <v>0</v>
      </c>
      <c r="V161" s="634"/>
      <c r="W161" s="662"/>
    </row>
    <row r="162" spans="2:23" x14ac:dyDescent="0.25">
      <c r="B162" s="65">
        <f ca="1">B160+1</f>
        <v>2098</v>
      </c>
      <c r="C162" s="4" t="s">
        <v>741</v>
      </c>
      <c r="D162" s="16" t="str">
        <f t="shared" si="121"/>
        <v/>
      </c>
      <c r="E162" s="5">
        <f t="shared" si="122"/>
        <v>0</v>
      </c>
      <c r="F162" s="5">
        <f t="shared" si="125"/>
        <v>1</v>
      </c>
      <c r="G162" s="4">
        <f t="shared" si="123"/>
        <v>1</v>
      </c>
      <c r="H162" s="4">
        <f t="shared" si="126"/>
        <v>0</v>
      </c>
      <c r="I162" s="4">
        <f t="shared" si="127"/>
        <v>0</v>
      </c>
      <c r="J162" s="348">
        <f t="shared" ca="1" si="128"/>
        <v>0</v>
      </c>
      <c r="K162" s="348">
        <f t="shared" ca="1" si="129"/>
        <v>0</v>
      </c>
      <c r="L162" s="348">
        <f t="shared" ca="1" si="130"/>
        <v>0</v>
      </c>
      <c r="M162" s="355">
        <f t="shared" ca="1" si="140"/>
        <v>0</v>
      </c>
      <c r="N162" s="345" t="b">
        <f t="shared" ca="1" si="131"/>
        <v>0</v>
      </c>
      <c r="O162" s="143">
        <f ca="1">ROUNDDOWN(IF(NOT($N162),0,(MIN(INDEX(SC_EX_SSAIME,EXIDX),INDEX(SC_EA_SSBendPts, INDEX(SC_SSBaseYear,$F162)+1-SC_YearEpoch+2,1))*Lookup!$C$19+MAX(MIN(INDEX(SC_EX_SSAIME,EXIDX),INDEX(SC_EA_SSBendPts, INDEX(SC_SSBaseYear,$F162)+1-SC_YearEpoch+2,2))-INDEX(SC_EA_SSBendPts, INDEX(SC_SSBaseYear,$F162)+1-SC_YearEpoch+2,1),0)*Lookup!$C$20+MAX(INDEX(SC_EX_SSAIME,EXIDX)-INDEX(SC_EA_SSBendPts, INDEX(SC_SSBaseYear,$F162)+1-SC_YearEpoch+2,2),0)*Lookup!$C$21)/INDEX(SC_EX_SSIDXCOLA,EXIDX)),1)</f>
        <v>0</v>
      </c>
      <c r="P162" s="6">
        <f t="shared" ca="1" si="132"/>
        <v>0</v>
      </c>
      <c r="Q162" s="6">
        <f t="shared" ca="1" si="133"/>
        <v>0</v>
      </c>
      <c r="R162" s="6">
        <f t="shared" ca="1" si="134"/>
        <v>0</v>
      </c>
      <c r="S162" s="6">
        <f t="shared" ca="1" si="135"/>
        <v>0</v>
      </c>
      <c r="T162" s="288">
        <f t="shared" ca="1" si="136"/>
        <v>0</v>
      </c>
      <c r="U162" s="330">
        <f t="shared" ca="1" si="137"/>
        <v>0</v>
      </c>
      <c r="V162" s="634">
        <f t="shared" ref="V162" ca="1" si="152">SUM($T162:$T163)</f>
        <v>0</v>
      </c>
      <c r="W162" s="662">
        <f ca="1">SUMPRODUCT($U162:$U163, --($E162:$E163&lt;&gt;0))</f>
        <v>0</v>
      </c>
    </row>
    <row r="163" spans="2:23" x14ac:dyDescent="0.25">
      <c r="B163" s="86">
        <f t="shared" ca="1" si="139"/>
        <v>2098</v>
      </c>
      <c r="C163" s="46" t="s">
        <v>741</v>
      </c>
      <c r="D163" s="148" t="str">
        <f t="shared" si="121"/>
        <v/>
      </c>
      <c r="E163" s="34">
        <f t="shared" si="122"/>
        <v>0</v>
      </c>
      <c r="F163" s="34">
        <f t="shared" si="125"/>
        <v>2</v>
      </c>
      <c r="G163" s="35">
        <f t="shared" si="123"/>
        <v>-1</v>
      </c>
      <c r="H163" s="35">
        <f t="shared" si="126"/>
        <v>0</v>
      </c>
      <c r="I163" s="35">
        <f t="shared" si="127"/>
        <v>0</v>
      </c>
      <c r="J163" s="350">
        <f t="shared" ca="1" si="128"/>
        <v>0</v>
      </c>
      <c r="K163" s="350">
        <f t="shared" ca="1" si="129"/>
        <v>0</v>
      </c>
      <c r="L163" s="350">
        <f t="shared" ca="1" si="130"/>
        <v>0</v>
      </c>
      <c r="M163" s="356">
        <f t="shared" ca="1" si="140"/>
        <v>0</v>
      </c>
      <c r="N163" s="354" t="b">
        <f t="shared" ca="1" si="131"/>
        <v>0</v>
      </c>
      <c r="O163" s="144">
        <f ca="1">ROUNDDOWN(IF(NOT($N163),0,(MIN(INDEX(SC_EX_SSAIME,EXIDX),INDEX(SC_EA_SSBendPts, INDEX(SC_SSBaseYear,$F163)+1-SC_YearEpoch+2,1))*Lookup!$C$19+MAX(MIN(INDEX(SC_EX_SSAIME,EXIDX),INDEX(SC_EA_SSBendPts, INDEX(SC_SSBaseYear,$F163)+1-SC_YearEpoch+2,2))-INDEX(SC_EA_SSBendPts, INDEX(SC_SSBaseYear,$F163)+1-SC_YearEpoch+2,1),0)*Lookup!$C$20+MAX(INDEX(SC_EX_SSAIME,EXIDX)-INDEX(SC_EA_SSBendPts, INDEX(SC_SSBaseYear,$F163)+1-SC_YearEpoch+2,2),0)*Lookup!$C$21)/INDEX(SC_EX_SSIDXCOLA,EXIDX)),1)</f>
        <v>0</v>
      </c>
      <c r="P163" s="145">
        <f t="shared" ca="1" si="132"/>
        <v>0</v>
      </c>
      <c r="Q163" s="145">
        <f t="shared" ca="1" si="133"/>
        <v>0</v>
      </c>
      <c r="R163" s="145">
        <f t="shared" ca="1" si="134"/>
        <v>0</v>
      </c>
      <c r="S163" s="145">
        <f t="shared" ca="1" si="135"/>
        <v>0</v>
      </c>
      <c r="T163" s="388">
        <f t="shared" ca="1" si="136"/>
        <v>0</v>
      </c>
      <c r="U163" s="386">
        <f t="shared" ca="1" si="137"/>
        <v>0</v>
      </c>
      <c r="V163" s="634"/>
      <c r="W163" s="662"/>
    </row>
    <row r="164" spans="2:23" x14ac:dyDescent="0.25">
      <c r="B164" s="65">
        <f ca="1">B162+1</f>
        <v>2099</v>
      </c>
      <c r="C164" s="4" t="s">
        <v>741</v>
      </c>
      <c r="D164" s="16" t="str">
        <f t="shared" si="121"/>
        <v/>
      </c>
      <c r="E164" s="5">
        <f t="shared" si="122"/>
        <v>0</v>
      </c>
      <c r="F164" s="5">
        <f t="shared" si="125"/>
        <v>1</v>
      </c>
      <c r="G164" s="4">
        <f t="shared" si="123"/>
        <v>1</v>
      </c>
      <c r="H164" s="4">
        <f t="shared" si="126"/>
        <v>0</v>
      </c>
      <c r="I164" s="4">
        <f t="shared" si="127"/>
        <v>0</v>
      </c>
      <c r="J164" s="348">
        <f t="shared" ca="1" si="128"/>
        <v>0</v>
      </c>
      <c r="K164" s="348">
        <f t="shared" ca="1" si="129"/>
        <v>0</v>
      </c>
      <c r="L164" s="348">
        <f t="shared" ca="1" si="130"/>
        <v>0</v>
      </c>
      <c r="M164" s="355">
        <f t="shared" ca="1" si="140"/>
        <v>0</v>
      </c>
      <c r="N164" s="345" t="b">
        <f t="shared" ca="1" si="131"/>
        <v>0</v>
      </c>
      <c r="O164" s="143">
        <f ca="1">ROUNDDOWN(IF(NOT($N164),0,(MIN(INDEX(SC_EX_SSAIME,EXIDX),INDEX(SC_EA_SSBendPts, INDEX(SC_SSBaseYear,$F164)+1-SC_YearEpoch+2,1))*Lookup!$C$19+MAX(MIN(INDEX(SC_EX_SSAIME,EXIDX),INDEX(SC_EA_SSBendPts, INDEX(SC_SSBaseYear,$F164)+1-SC_YearEpoch+2,2))-INDEX(SC_EA_SSBendPts, INDEX(SC_SSBaseYear,$F164)+1-SC_YearEpoch+2,1),0)*Lookup!$C$20+MAX(INDEX(SC_EX_SSAIME,EXIDX)-INDEX(SC_EA_SSBendPts, INDEX(SC_SSBaseYear,$F164)+1-SC_YearEpoch+2,2),0)*Lookup!$C$21)/INDEX(SC_EX_SSIDXCOLA,EXIDX)),1)</f>
        <v>0</v>
      </c>
      <c r="P164" s="6">
        <f t="shared" ca="1" si="132"/>
        <v>0</v>
      </c>
      <c r="Q164" s="6">
        <f t="shared" ca="1" si="133"/>
        <v>0</v>
      </c>
      <c r="R164" s="6">
        <f t="shared" ca="1" si="134"/>
        <v>0</v>
      </c>
      <c r="S164" s="6">
        <f t="shared" ca="1" si="135"/>
        <v>0</v>
      </c>
      <c r="T164" s="288">
        <f t="shared" ca="1" si="136"/>
        <v>0</v>
      </c>
      <c r="U164" s="330">
        <f t="shared" ca="1" si="137"/>
        <v>0</v>
      </c>
      <c r="V164" s="634">
        <f t="shared" ref="V164" ca="1" si="153">SUM($T164:$T165)</f>
        <v>0</v>
      </c>
      <c r="W164" s="662">
        <f ca="1">SUMPRODUCT($U164:$U165, --($E164:$E165&lt;&gt;0))</f>
        <v>0</v>
      </c>
    </row>
    <row r="165" spans="2:23" x14ac:dyDescent="0.25">
      <c r="B165" s="86">
        <f t="shared" ca="1" si="139"/>
        <v>2099</v>
      </c>
      <c r="C165" s="46" t="s">
        <v>741</v>
      </c>
      <c r="D165" s="148" t="str">
        <f t="shared" si="121"/>
        <v/>
      </c>
      <c r="E165" s="34">
        <f t="shared" si="122"/>
        <v>0</v>
      </c>
      <c r="F165" s="34">
        <f t="shared" si="125"/>
        <v>2</v>
      </c>
      <c r="G165" s="35">
        <f t="shared" si="123"/>
        <v>-1</v>
      </c>
      <c r="H165" s="35">
        <f t="shared" si="126"/>
        <v>0</v>
      </c>
      <c r="I165" s="35">
        <f t="shared" si="127"/>
        <v>0</v>
      </c>
      <c r="J165" s="350">
        <f t="shared" ca="1" si="128"/>
        <v>0</v>
      </c>
      <c r="K165" s="350">
        <f t="shared" ca="1" si="129"/>
        <v>0</v>
      </c>
      <c r="L165" s="350">
        <f t="shared" ca="1" si="130"/>
        <v>0</v>
      </c>
      <c r="M165" s="356">
        <f t="shared" ca="1" si="140"/>
        <v>0</v>
      </c>
      <c r="N165" s="354" t="b">
        <f t="shared" ca="1" si="131"/>
        <v>0</v>
      </c>
      <c r="O165" s="144">
        <f ca="1">ROUNDDOWN(IF(NOT($N165),0,(MIN(INDEX(SC_EX_SSAIME,EXIDX),INDEX(SC_EA_SSBendPts, INDEX(SC_SSBaseYear,$F165)+1-SC_YearEpoch+2,1))*Lookup!$C$19+MAX(MIN(INDEX(SC_EX_SSAIME,EXIDX),INDEX(SC_EA_SSBendPts, INDEX(SC_SSBaseYear,$F165)+1-SC_YearEpoch+2,2))-INDEX(SC_EA_SSBendPts, INDEX(SC_SSBaseYear,$F165)+1-SC_YearEpoch+2,1),0)*Lookup!$C$20+MAX(INDEX(SC_EX_SSAIME,EXIDX)-INDEX(SC_EA_SSBendPts, INDEX(SC_SSBaseYear,$F165)+1-SC_YearEpoch+2,2),0)*Lookup!$C$21)/INDEX(SC_EX_SSIDXCOLA,EXIDX)),1)</f>
        <v>0</v>
      </c>
      <c r="P165" s="145">
        <f t="shared" ca="1" si="132"/>
        <v>0</v>
      </c>
      <c r="Q165" s="145">
        <f t="shared" ca="1" si="133"/>
        <v>0</v>
      </c>
      <c r="R165" s="145">
        <f t="shared" ca="1" si="134"/>
        <v>0</v>
      </c>
      <c r="S165" s="145">
        <f t="shared" ca="1" si="135"/>
        <v>0</v>
      </c>
      <c r="T165" s="388">
        <f t="shared" ca="1" si="136"/>
        <v>0</v>
      </c>
      <c r="U165" s="386">
        <f t="shared" ca="1" si="137"/>
        <v>0</v>
      </c>
      <c r="V165" s="634"/>
      <c r="W165" s="662"/>
    </row>
    <row r="166" spans="2:23" x14ac:dyDescent="0.25">
      <c r="B166" s="65">
        <f ca="1">B164+1</f>
        <v>2100</v>
      </c>
      <c r="C166" s="4" t="s">
        <v>741</v>
      </c>
      <c r="D166" s="16" t="str">
        <f t="shared" si="121"/>
        <v/>
      </c>
      <c r="E166" s="5">
        <f t="shared" si="122"/>
        <v>0</v>
      </c>
      <c r="F166" s="5">
        <f t="shared" si="125"/>
        <v>1</v>
      </c>
      <c r="G166" s="4">
        <f t="shared" si="123"/>
        <v>1</v>
      </c>
      <c r="H166" s="4">
        <f t="shared" si="126"/>
        <v>0</v>
      </c>
      <c r="I166" s="4">
        <f t="shared" si="127"/>
        <v>0</v>
      </c>
      <c r="J166" s="348">
        <f t="shared" ca="1" si="128"/>
        <v>0</v>
      </c>
      <c r="K166" s="348">
        <f t="shared" ca="1" si="129"/>
        <v>0</v>
      </c>
      <c r="L166" s="348">
        <f t="shared" ca="1" si="130"/>
        <v>0</v>
      </c>
      <c r="M166" s="355">
        <f t="shared" ca="1" si="140"/>
        <v>0</v>
      </c>
      <c r="N166" s="345" t="b">
        <f t="shared" ca="1" si="131"/>
        <v>0</v>
      </c>
      <c r="O166" s="143">
        <f ca="1">ROUNDDOWN(IF(NOT($N166),0,(MIN(INDEX(SC_EX_SSAIME,EXIDX),INDEX(SC_EA_SSBendPts, INDEX(SC_SSBaseYear,$F166)+1-SC_YearEpoch+2,1))*Lookup!$C$19+MAX(MIN(INDEX(SC_EX_SSAIME,EXIDX),INDEX(SC_EA_SSBendPts, INDEX(SC_SSBaseYear,$F166)+1-SC_YearEpoch+2,2))-INDEX(SC_EA_SSBendPts, INDEX(SC_SSBaseYear,$F166)+1-SC_YearEpoch+2,1),0)*Lookup!$C$20+MAX(INDEX(SC_EX_SSAIME,EXIDX)-INDEX(SC_EA_SSBendPts, INDEX(SC_SSBaseYear,$F166)+1-SC_YearEpoch+2,2),0)*Lookup!$C$21)/INDEX(SC_EX_SSIDXCOLA,EXIDX)),1)</f>
        <v>0</v>
      </c>
      <c r="P166" s="6">
        <f t="shared" ca="1" si="132"/>
        <v>0</v>
      </c>
      <c r="Q166" s="6">
        <f t="shared" ca="1" si="133"/>
        <v>0</v>
      </c>
      <c r="R166" s="6">
        <f t="shared" ca="1" si="134"/>
        <v>0</v>
      </c>
      <c r="S166" s="6">
        <f t="shared" ca="1" si="135"/>
        <v>0</v>
      </c>
      <c r="T166" s="288">
        <f t="shared" ca="1" si="136"/>
        <v>0</v>
      </c>
      <c r="U166" s="330">
        <f t="shared" ca="1" si="137"/>
        <v>0</v>
      </c>
      <c r="V166" s="634">
        <f t="shared" ref="V166" ca="1" si="154">SUM($T166:$T167)</f>
        <v>0</v>
      </c>
      <c r="W166" s="662">
        <f ca="1">SUMPRODUCT($U166:$U167, --($E166:$E167&lt;&gt;0))</f>
        <v>0</v>
      </c>
    </row>
    <row r="167" spans="2:23" x14ac:dyDescent="0.25">
      <c r="B167" s="86">
        <f t="shared" ca="1" si="139"/>
        <v>2100</v>
      </c>
      <c r="C167" s="46" t="s">
        <v>741</v>
      </c>
      <c r="D167" s="148" t="str">
        <f t="shared" si="121"/>
        <v/>
      </c>
      <c r="E167" s="34">
        <f t="shared" si="122"/>
        <v>0</v>
      </c>
      <c r="F167" s="34">
        <f t="shared" si="125"/>
        <v>2</v>
      </c>
      <c r="G167" s="35">
        <f t="shared" si="123"/>
        <v>-1</v>
      </c>
      <c r="H167" s="35">
        <f t="shared" si="126"/>
        <v>0</v>
      </c>
      <c r="I167" s="35">
        <f t="shared" si="127"/>
        <v>0</v>
      </c>
      <c r="J167" s="350">
        <f t="shared" ca="1" si="128"/>
        <v>0</v>
      </c>
      <c r="K167" s="350">
        <f t="shared" ca="1" si="129"/>
        <v>0</v>
      </c>
      <c r="L167" s="350">
        <f t="shared" ca="1" si="130"/>
        <v>0</v>
      </c>
      <c r="M167" s="356">
        <f t="shared" ca="1" si="140"/>
        <v>0</v>
      </c>
      <c r="N167" s="354" t="b">
        <f t="shared" ca="1" si="131"/>
        <v>0</v>
      </c>
      <c r="O167" s="144">
        <f ca="1">ROUNDDOWN(IF(NOT($N167),0,(MIN(INDEX(SC_EX_SSAIME,EXIDX),INDEX(SC_EA_SSBendPts, INDEX(SC_SSBaseYear,$F167)+1-SC_YearEpoch+2,1))*Lookup!$C$19+MAX(MIN(INDEX(SC_EX_SSAIME,EXIDX),INDEX(SC_EA_SSBendPts, INDEX(SC_SSBaseYear,$F167)+1-SC_YearEpoch+2,2))-INDEX(SC_EA_SSBendPts, INDEX(SC_SSBaseYear,$F167)+1-SC_YearEpoch+2,1),0)*Lookup!$C$20+MAX(INDEX(SC_EX_SSAIME,EXIDX)-INDEX(SC_EA_SSBendPts, INDEX(SC_SSBaseYear,$F167)+1-SC_YearEpoch+2,2),0)*Lookup!$C$21)/INDEX(SC_EX_SSIDXCOLA,EXIDX)),1)</f>
        <v>0</v>
      </c>
      <c r="P167" s="145">
        <f t="shared" ca="1" si="132"/>
        <v>0</v>
      </c>
      <c r="Q167" s="145">
        <f t="shared" ca="1" si="133"/>
        <v>0</v>
      </c>
      <c r="R167" s="145">
        <f t="shared" ca="1" si="134"/>
        <v>0</v>
      </c>
      <c r="S167" s="145">
        <f t="shared" ca="1" si="135"/>
        <v>0</v>
      </c>
      <c r="T167" s="388">
        <f t="shared" ca="1" si="136"/>
        <v>0</v>
      </c>
      <c r="U167" s="386">
        <f t="shared" ca="1" si="137"/>
        <v>0</v>
      </c>
      <c r="V167" s="634"/>
      <c r="W167" s="662"/>
    </row>
    <row r="168" spans="2:23" x14ac:dyDescent="0.25">
      <c r="B168" s="65">
        <f ca="1">B166+1</f>
        <v>2101</v>
      </c>
      <c r="C168" s="4" t="s">
        <v>741</v>
      </c>
      <c r="D168" s="16" t="str">
        <f t="shared" ref="D168:D169" si="155">INDEX(SP_Initials,F168)</f>
        <v/>
      </c>
      <c r="E168" s="5">
        <f t="shared" si="122"/>
        <v>0</v>
      </c>
      <c r="F168" s="5">
        <f t="shared" si="125"/>
        <v>1</v>
      </c>
      <c r="G168" s="4">
        <f t="shared" si="123"/>
        <v>1</v>
      </c>
      <c r="H168" s="4">
        <f t="shared" si="126"/>
        <v>0</v>
      </c>
      <c r="I168" s="4">
        <f t="shared" si="127"/>
        <v>0</v>
      </c>
      <c r="J168" s="348">
        <f t="shared" ca="1" si="128"/>
        <v>0</v>
      </c>
      <c r="K168" s="348">
        <f t="shared" ca="1" si="129"/>
        <v>0</v>
      </c>
      <c r="L168" s="348">
        <f t="shared" ca="1" si="130"/>
        <v>0</v>
      </c>
      <c r="M168" s="355">
        <f t="shared" ca="1" si="140"/>
        <v>0</v>
      </c>
      <c r="N168" s="345" t="b">
        <f t="shared" ca="1" si="131"/>
        <v>0</v>
      </c>
      <c r="O168" s="143">
        <f ca="1">ROUNDDOWN(IF(NOT($N168),0,(MIN(INDEX(SC_EX_SSAIME,EXIDX),INDEX(SC_EA_SSBendPts, INDEX(SC_SSBaseYear,$F168)+1-SC_YearEpoch+2,1))*Lookup!$C$19+MAX(MIN(INDEX(SC_EX_SSAIME,EXIDX),INDEX(SC_EA_SSBendPts, INDEX(SC_SSBaseYear,$F168)+1-SC_YearEpoch+2,2))-INDEX(SC_EA_SSBendPts, INDEX(SC_SSBaseYear,$F168)+1-SC_YearEpoch+2,1),0)*Lookup!$C$20+MAX(INDEX(SC_EX_SSAIME,EXIDX)-INDEX(SC_EA_SSBendPts, INDEX(SC_SSBaseYear,$F168)+1-SC_YearEpoch+2,2),0)*Lookup!$C$21)/INDEX(SC_EX_SSIDXCOLA,EXIDX)),1)</f>
        <v>0</v>
      </c>
      <c r="P168" s="6">
        <f t="shared" ca="1" si="132"/>
        <v>0</v>
      </c>
      <c r="Q168" s="6">
        <f t="shared" ca="1" si="133"/>
        <v>0</v>
      </c>
      <c r="R168" s="6">
        <f t="shared" ca="1" si="134"/>
        <v>0</v>
      </c>
      <c r="S168" s="6">
        <f t="shared" ca="1" si="135"/>
        <v>0</v>
      </c>
      <c r="T168" s="288">
        <f t="shared" ca="1" si="136"/>
        <v>0</v>
      </c>
      <c r="U168" s="330">
        <f t="shared" ca="1" si="137"/>
        <v>0</v>
      </c>
      <c r="V168" s="634">
        <f t="shared" ref="V168" ca="1" si="156">SUM($T168:$T169)</f>
        <v>0</v>
      </c>
      <c r="W168" s="662">
        <f ca="1">SUMPRODUCT($U168:$U169, --($E168:$E169&lt;&gt;0))</f>
        <v>0</v>
      </c>
    </row>
    <row r="169" spans="2:23" x14ac:dyDescent="0.25">
      <c r="B169" s="86">
        <f t="shared" ca="1" si="139"/>
        <v>2101</v>
      </c>
      <c r="C169" s="46" t="s">
        <v>741</v>
      </c>
      <c r="D169" s="148" t="str">
        <f t="shared" si="155"/>
        <v/>
      </c>
      <c r="E169" s="34">
        <f t="shared" si="122"/>
        <v>0</v>
      </c>
      <c r="F169" s="34">
        <f t="shared" si="125"/>
        <v>2</v>
      </c>
      <c r="G169" s="35">
        <f t="shared" si="123"/>
        <v>-1</v>
      </c>
      <c r="H169" s="35">
        <f t="shared" si="126"/>
        <v>0</v>
      </c>
      <c r="I169" s="35">
        <f t="shared" si="127"/>
        <v>0</v>
      </c>
      <c r="J169" s="350">
        <f t="shared" ca="1" si="128"/>
        <v>0</v>
      </c>
      <c r="K169" s="350">
        <f t="shared" ca="1" si="129"/>
        <v>0</v>
      </c>
      <c r="L169" s="350">
        <f t="shared" ca="1" si="130"/>
        <v>0</v>
      </c>
      <c r="M169" s="356">
        <f t="shared" ca="1" si="140"/>
        <v>0</v>
      </c>
      <c r="N169" s="354" t="b">
        <f t="shared" ca="1" si="131"/>
        <v>0</v>
      </c>
      <c r="O169" s="144">
        <f ca="1">ROUNDDOWN(IF(NOT($N169),0,(MIN(INDEX(SC_EX_SSAIME,EXIDX),INDEX(SC_EA_SSBendPts, INDEX(SC_SSBaseYear,$F169)+1-SC_YearEpoch+2,1))*Lookup!$C$19+MAX(MIN(INDEX(SC_EX_SSAIME,EXIDX),INDEX(SC_EA_SSBendPts, INDEX(SC_SSBaseYear,$F169)+1-SC_YearEpoch+2,2))-INDEX(SC_EA_SSBendPts, INDEX(SC_SSBaseYear,$F169)+1-SC_YearEpoch+2,1),0)*Lookup!$C$20+MAX(INDEX(SC_EX_SSAIME,EXIDX)-INDEX(SC_EA_SSBendPts, INDEX(SC_SSBaseYear,$F169)+1-SC_YearEpoch+2,2),0)*Lookup!$C$21)/INDEX(SC_EX_SSIDXCOLA,EXIDX)),1)</f>
        <v>0</v>
      </c>
      <c r="P169" s="145">
        <f t="shared" ca="1" si="132"/>
        <v>0</v>
      </c>
      <c r="Q169" s="145">
        <f t="shared" ca="1" si="133"/>
        <v>0</v>
      </c>
      <c r="R169" s="145">
        <f t="shared" ca="1" si="134"/>
        <v>0</v>
      </c>
      <c r="S169" s="145">
        <f t="shared" ca="1" si="135"/>
        <v>0</v>
      </c>
      <c r="T169" s="388">
        <f t="shared" ca="1" si="136"/>
        <v>0</v>
      </c>
      <c r="U169" s="386">
        <f t="shared" ca="1" si="137"/>
        <v>0</v>
      </c>
      <c r="V169" s="634"/>
      <c r="W169" s="662"/>
    </row>
    <row r="171" spans="2:23" x14ac:dyDescent="0.25">
      <c r="U171" s="2"/>
      <c r="V171" s="2"/>
    </row>
  </sheetData>
  <sheetProtection sheet="1" objects="1" scenarios="1" autoFilter="0"/>
  <mergeCells count="163">
    <mergeCell ref="W18:W19"/>
    <mergeCell ref="W20:W21"/>
    <mergeCell ref="W22:W23"/>
    <mergeCell ref="W24:W25"/>
    <mergeCell ref="W26:W27"/>
    <mergeCell ref="W10:W11"/>
    <mergeCell ref="W12:W13"/>
    <mergeCell ref="W14:W15"/>
    <mergeCell ref="W16:W17"/>
    <mergeCell ref="W38:W39"/>
    <mergeCell ref="W40:W41"/>
    <mergeCell ref="W42:W43"/>
    <mergeCell ref="W44:W45"/>
    <mergeCell ref="W46:W47"/>
    <mergeCell ref="W28:W29"/>
    <mergeCell ref="W30:W31"/>
    <mergeCell ref="W32:W33"/>
    <mergeCell ref="W34:W35"/>
    <mergeCell ref="W36:W37"/>
    <mergeCell ref="W58:W59"/>
    <mergeCell ref="W60:W61"/>
    <mergeCell ref="W62:W63"/>
    <mergeCell ref="W64:W65"/>
    <mergeCell ref="W66:W67"/>
    <mergeCell ref="W48:W49"/>
    <mergeCell ref="W50:W51"/>
    <mergeCell ref="W52:W53"/>
    <mergeCell ref="W54:W55"/>
    <mergeCell ref="W56:W57"/>
    <mergeCell ref="W78:W79"/>
    <mergeCell ref="W80:W81"/>
    <mergeCell ref="W82:W83"/>
    <mergeCell ref="W84:W85"/>
    <mergeCell ref="W86:W87"/>
    <mergeCell ref="W68:W69"/>
    <mergeCell ref="W70:W71"/>
    <mergeCell ref="W72:W73"/>
    <mergeCell ref="W74:W75"/>
    <mergeCell ref="W76:W77"/>
    <mergeCell ref="W98:W99"/>
    <mergeCell ref="W100:W101"/>
    <mergeCell ref="W102:W103"/>
    <mergeCell ref="W104:W105"/>
    <mergeCell ref="W106:W107"/>
    <mergeCell ref="W88:W89"/>
    <mergeCell ref="W90:W91"/>
    <mergeCell ref="W92:W93"/>
    <mergeCell ref="W94:W95"/>
    <mergeCell ref="W96:W97"/>
    <mergeCell ref="W118:W119"/>
    <mergeCell ref="W120:W121"/>
    <mergeCell ref="W122:W123"/>
    <mergeCell ref="W124:W125"/>
    <mergeCell ref="W126:W127"/>
    <mergeCell ref="W108:W109"/>
    <mergeCell ref="W110:W111"/>
    <mergeCell ref="W112:W113"/>
    <mergeCell ref="W114:W115"/>
    <mergeCell ref="W116:W117"/>
    <mergeCell ref="W138:W139"/>
    <mergeCell ref="W140:W141"/>
    <mergeCell ref="W142:W143"/>
    <mergeCell ref="W144:W145"/>
    <mergeCell ref="W146:W147"/>
    <mergeCell ref="W128:W129"/>
    <mergeCell ref="W130:W131"/>
    <mergeCell ref="W132:W133"/>
    <mergeCell ref="W134:W135"/>
    <mergeCell ref="W136:W137"/>
    <mergeCell ref="W168:W169"/>
    <mergeCell ref="W154:W155"/>
    <mergeCell ref="W156:W157"/>
    <mergeCell ref="W158:W159"/>
    <mergeCell ref="W160:W161"/>
    <mergeCell ref="W162:W163"/>
    <mergeCell ref="W148:W149"/>
    <mergeCell ref="W150:W151"/>
    <mergeCell ref="W152:W153"/>
    <mergeCell ref="W164:W165"/>
    <mergeCell ref="W166:W167"/>
    <mergeCell ref="V16:V17"/>
    <mergeCell ref="V18:V19"/>
    <mergeCell ref="V20:V21"/>
    <mergeCell ref="V22:V23"/>
    <mergeCell ref="V24:V25"/>
    <mergeCell ref="T2:U2"/>
    <mergeCell ref="J2:S2"/>
    <mergeCell ref="V10:V11"/>
    <mergeCell ref="V12:V13"/>
    <mergeCell ref="V14:V15"/>
    <mergeCell ref="V36:V37"/>
    <mergeCell ref="V38:V39"/>
    <mergeCell ref="V40:V41"/>
    <mergeCell ref="V42:V43"/>
    <mergeCell ref="V44:V45"/>
    <mergeCell ref="V26:V27"/>
    <mergeCell ref="V28:V29"/>
    <mergeCell ref="V30:V31"/>
    <mergeCell ref="V32:V33"/>
    <mergeCell ref="V34:V35"/>
    <mergeCell ref="V56:V57"/>
    <mergeCell ref="V58:V59"/>
    <mergeCell ref="V60:V61"/>
    <mergeCell ref="V62:V63"/>
    <mergeCell ref="V64:V65"/>
    <mergeCell ref="V46:V47"/>
    <mergeCell ref="V48:V49"/>
    <mergeCell ref="V50:V51"/>
    <mergeCell ref="V52:V53"/>
    <mergeCell ref="V54:V55"/>
    <mergeCell ref="V76:V77"/>
    <mergeCell ref="V78:V79"/>
    <mergeCell ref="V80:V81"/>
    <mergeCell ref="V82:V83"/>
    <mergeCell ref="V84:V85"/>
    <mergeCell ref="V66:V67"/>
    <mergeCell ref="V68:V69"/>
    <mergeCell ref="V70:V71"/>
    <mergeCell ref="V72:V73"/>
    <mergeCell ref="V74:V75"/>
    <mergeCell ref="V96:V97"/>
    <mergeCell ref="V98:V99"/>
    <mergeCell ref="V100:V101"/>
    <mergeCell ref="V102:V103"/>
    <mergeCell ref="V104:V105"/>
    <mergeCell ref="V86:V87"/>
    <mergeCell ref="V88:V89"/>
    <mergeCell ref="V90:V91"/>
    <mergeCell ref="V92:V93"/>
    <mergeCell ref="V94:V95"/>
    <mergeCell ref="V118:V119"/>
    <mergeCell ref="V120:V121"/>
    <mergeCell ref="V122:V123"/>
    <mergeCell ref="V124:V125"/>
    <mergeCell ref="V106:V107"/>
    <mergeCell ref="V108:V109"/>
    <mergeCell ref="V110:V111"/>
    <mergeCell ref="V112:V113"/>
    <mergeCell ref="V114:V115"/>
    <mergeCell ref="V166:V167"/>
    <mergeCell ref="V168:V169"/>
    <mergeCell ref="V2:W2"/>
    <mergeCell ref="V156:V157"/>
    <mergeCell ref="V158:V159"/>
    <mergeCell ref="V160:V161"/>
    <mergeCell ref="V162:V163"/>
    <mergeCell ref="V164:V165"/>
    <mergeCell ref="V146:V147"/>
    <mergeCell ref="V148:V149"/>
    <mergeCell ref="V150:V151"/>
    <mergeCell ref="V152:V153"/>
    <mergeCell ref="V154:V155"/>
    <mergeCell ref="V136:V137"/>
    <mergeCell ref="V138:V139"/>
    <mergeCell ref="V140:V141"/>
    <mergeCell ref="V142:V143"/>
    <mergeCell ref="V144:V145"/>
    <mergeCell ref="V126:V127"/>
    <mergeCell ref="V128:V129"/>
    <mergeCell ref="V130:V131"/>
    <mergeCell ref="V132:V133"/>
    <mergeCell ref="V134:V135"/>
    <mergeCell ref="V116:V117"/>
  </mergeCells>
  <conditionalFormatting sqref="B10:B169">
    <cfRule type="expression" dxfId="4" priority="1">
      <formula>($B10=SP_CurrentYear)</formula>
    </cfRule>
  </conditionalFormatting>
  <pageMargins left="0.7" right="0.7" top="0.75" bottom="0.75" header="0.3" footer="0.3"/>
  <pageSetup orientation="portrait" horizontalDpi="4294967293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4"/>
  <dimension ref="A1:Z169"/>
  <sheetViews>
    <sheetView zoomScaleNormal="100" workbookViewId="0">
      <pane xSplit="5" ySplit="3" topLeftCell="F4" activePane="bottomRight" state="frozen"/>
      <selection activeCell="Y17" sqref="Y17"/>
      <selection pane="topRight" activeCell="Y17" sqref="Y17"/>
      <selection pane="bottomLeft" activeCell="Y17" sqref="Y17"/>
      <selection pane="bottomRight"/>
    </sheetView>
  </sheetViews>
  <sheetFormatPr defaultRowHeight="15" x14ac:dyDescent="0.25"/>
  <cols>
    <col min="1" max="1" width="9.140625" hidden="1" customWidth="1"/>
    <col min="2" max="2" width="5" hidden="1" customWidth="1"/>
    <col min="3" max="3" width="4.28515625" hidden="1" customWidth="1"/>
    <col min="4" max="5" width="6.5703125" style="334" hidden="1" customWidth="1"/>
    <col min="6" max="6" width="4.42578125" hidden="1" customWidth="1"/>
    <col min="7" max="7" width="11.85546875" hidden="1" customWidth="1"/>
    <col min="8" max="9" width="13.140625" hidden="1" customWidth="1"/>
    <col min="10" max="10" width="7.140625" hidden="1" customWidth="1"/>
    <col min="11" max="11" width="6.5703125" hidden="1" customWidth="1"/>
    <col min="12" max="12" width="9.7109375" hidden="1" customWidth="1"/>
    <col min="13" max="16" width="13.140625" hidden="1" customWidth="1"/>
    <col min="17" max="17" width="13.28515625" hidden="1" customWidth="1"/>
    <col min="18" max="18" width="11" style="277" hidden="1" customWidth="1"/>
    <col min="19" max="19" width="13.28515625" style="276" hidden="1" customWidth="1"/>
    <col min="20" max="20" width="9.7109375" style="277" hidden="1" customWidth="1"/>
    <col min="21" max="21" width="13.140625" style="278" hidden="1" customWidth="1"/>
    <col min="22" max="22" width="13.140625" style="277" hidden="1" customWidth="1"/>
    <col min="23" max="23" width="13.140625" style="277" customWidth="1"/>
    <col min="24" max="25" width="13.140625" customWidth="1"/>
    <col min="26" max="26" width="12.85546875" customWidth="1"/>
  </cols>
  <sheetData>
    <row r="1" spans="1:26" hidden="1" x14ac:dyDescent="0.25">
      <c r="A1">
        <f>PMADVANCED+IF(SP_HM, VMONLINE+VMMACRO, 0)</f>
        <v>32</v>
      </c>
      <c r="B1">
        <f>PMBASIC+PMADVANCED+VMONLINE+VMMACRO</f>
        <v>54</v>
      </c>
      <c r="C1">
        <f>PMBASIC+PMADVANCED+VMONLINE+VMMACRO</f>
        <v>54</v>
      </c>
      <c r="D1" s="334">
        <f>PMBASIC+PMADVANCED+IF(INDEX(SC_ShowRetireatee,1), VMONLINE+VMMACRO, 0)</f>
        <v>48</v>
      </c>
      <c r="E1" s="334">
        <f>PMBASIC+PMADVANCED+IF(INDEX(SC_ShowRetireatee,2), VMONLINE+VMMACRO,0)</f>
        <v>48</v>
      </c>
      <c r="F1">
        <f>PMBASIC+PMADVANCED</f>
        <v>48</v>
      </c>
      <c r="G1">
        <f>PMBASIC+PMADVANCED+VMONLINE+VMMACRO</f>
        <v>54</v>
      </c>
      <c r="H1">
        <f>PMBASIC+PMADVANCED</f>
        <v>48</v>
      </c>
      <c r="I1">
        <f>PMBASIC+PMADVANCED+VMONLINE+VMMACRO</f>
        <v>54</v>
      </c>
      <c r="J1">
        <f>PMBASIC+PMADVANCED</f>
        <v>48</v>
      </c>
      <c r="K1">
        <f>PMBASIC+PMADVANCED</f>
        <v>48</v>
      </c>
      <c r="L1">
        <f>PMBASIC+PMADVANCED</f>
        <v>48</v>
      </c>
      <c r="M1">
        <f>PMBASIC+PMADVANCED+VMONLINE+VMMACRO</f>
        <v>54</v>
      </c>
      <c r="N1">
        <f>PMBASIC+PMADVANCED+VMONLINE+VMMACRO</f>
        <v>54</v>
      </c>
      <c r="O1" s="278">
        <f>PMADVANCED+VMONLINE+VMMACRO</f>
        <v>38</v>
      </c>
      <c r="P1">
        <f>PMBASIC+PMADVANCED+VMONLINE+VMMACRO</f>
        <v>54</v>
      </c>
      <c r="Q1">
        <f>PMBASIC+PMADVANCED+VMONLINE+VMMACRO</f>
        <v>54</v>
      </c>
      <c r="R1" s="278">
        <f>PMBASIC+PMADVANCED</f>
        <v>48</v>
      </c>
      <c r="S1" s="278">
        <f>PMADVANCED+VMONLINE+VMMACRO</f>
        <v>38</v>
      </c>
      <c r="T1" s="278">
        <f>PMBASIC+PMADVANCED</f>
        <v>48</v>
      </c>
      <c r="U1" s="278">
        <f>PMADVANCED+VMONLINE+VMMACRO</f>
        <v>38</v>
      </c>
      <c r="V1" s="278">
        <f>PMADVANCED+VMONLINE+VMMACRO</f>
        <v>38</v>
      </c>
      <c r="X1">
        <f>PMBASIC+PMADVANCED+IF(INDEX(SC_ShowRetireatee,1), VMONLINE+VMMACRO, 0)</f>
        <v>48</v>
      </c>
      <c r="Y1">
        <f>PMBASIC+PMADVANCED+IF(INDEX(SC_ShowRetireatee,2), VMONLINE+VMMACRO, 0)</f>
        <v>48</v>
      </c>
      <c r="Z1">
        <f>PMBASIC+PMADVANCED+VMONLINE+VMMACRO</f>
        <v>54</v>
      </c>
    </row>
    <row r="2" spans="1:26" hidden="1" x14ac:dyDescent="0.25">
      <c r="A2">
        <f>PMBASIC+PMADVANCED+VMONLINE+VMMACRO</f>
        <v>54</v>
      </c>
      <c r="G2" s="582" t="s">
        <v>31</v>
      </c>
      <c r="H2" s="583"/>
      <c r="I2" s="583"/>
      <c r="J2" s="583"/>
      <c r="K2" s="583"/>
      <c r="L2" s="583"/>
      <c r="M2" s="583"/>
      <c r="N2" s="583"/>
      <c r="O2" s="583"/>
      <c r="P2" s="583"/>
      <c r="Q2" s="584"/>
      <c r="R2" s="582" t="s">
        <v>999</v>
      </c>
      <c r="S2" s="583"/>
      <c r="T2" s="583"/>
      <c r="U2" s="583"/>
      <c r="V2" s="584"/>
      <c r="W2" s="616" t="s">
        <v>716</v>
      </c>
      <c r="X2" s="583"/>
      <c r="Y2" s="583"/>
      <c r="Z2" s="584"/>
    </row>
    <row r="3" spans="1:26" ht="45" hidden="1" x14ac:dyDescent="0.25">
      <c r="A3">
        <f>PMBASIC+PMADVANCED+VMONLINE+VMMACRO</f>
        <v>54</v>
      </c>
      <c r="B3" s="22" t="s">
        <v>0</v>
      </c>
      <c r="C3" s="47" t="s">
        <v>740</v>
      </c>
      <c r="D3" s="44" t="str">
        <f>"Age " &amp; INDEX(SP_Initials,1)</f>
        <v xml:space="preserve">Age </v>
      </c>
      <c r="E3" s="44" t="str">
        <f>"Age " &amp; INDEX(SP_Initials,2)</f>
        <v xml:space="preserve">Age </v>
      </c>
      <c r="F3" s="22" t="s">
        <v>827</v>
      </c>
      <c r="G3" s="41" t="s">
        <v>984</v>
      </c>
      <c r="H3" s="17" t="s">
        <v>986</v>
      </c>
      <c r="I3" s="303" t="s">
        <v>924</v>
      </c>
      <c r="J3" s="303" t="s">
        <v>928</v>
      </c>
      <c r="K3" s="303" t="s">
        <v>987</v>
      </c>
      <c r="L3" s="303" t="s">
        <v>929</v>
      </c>
      <c r="M3" s="17" t="s">
        <v>925</v>
      </c>
      <c r="N3" s="17" t="s">
        <v>926</v>
      </c>
      <c r="O3" s="17" t="s">
        <v>787</v>
      </c>
      <c r="P3" s="17" t="s">
        <v>29</v>
      </c>
      <c r="Q3" s="25" t="s">
        <v>76</v>
      </c>
      <c r="R3" s="292" t="s">
        <v>986</v>
      </c>
      <c r="S3" s="287" t="s">
        <v>924</v>
      </c>
      <c r="T3" s="287" t="s">
        <v>929</v>
      </c>
      <c r="U3" s="287" t="s">
        <v>1001</v>
      </c>
      <c r="V3" s="27" t="s">
        <v>1000</v>
      </c>
      <c r="W3" s="281" t="s">
        <v>927</v>
      </c>
      <c r="X3" s="17" t="s">
        <v>748</v>
      </c>
      <c r="Y3" s="17" t="s">
        <v>749</v>
      </c>
      <c r="Z3" s="25" t="s">
        <v>750</v>
      </c>
    </row>
    <row r="4" spans="1:26" x14ac:dyDescent="0.25">
      <c r="B4" s="90">
        <v>0</v>
      </c>
      <c r="C4" s="200"/>
      <c r="D4" s="200"/>
      <c r="E4" s="200"/>
      <c r="F4" s="194">
        <f ca="1">(YEAR(SP_AdjustedDate)-SP_CurrentYear)</f>
        <v>0</v>
      </c>
      <c r="G4" s="201"/>
      <c r="H4" s="304" t="str">
        <f ca="1">IF(OR(SP_MortOriginDate="",BA_MortOriginBalance=0),"",MAX(DATE(YEAR(SP_AdjustedDate),1,1),SP_MortOriginDate))</f>
        <v/>
      </c>
      <c r="I4" s="285">
        <f ca="1">OFFSET(I$7,$F4,0)</f>
        <v>0</v>
      </c>
      <c r="J4" s="271"/>
      <c r="K4" s="305">
        <f ca="1">OFFSET(K$7,$F4,0)</f>
        <v>0</v>
      </c>
      <c r="L4" s="306"/>
      <c r="M4" s="284"/>
      <c r="N4" s="284"/>
      <c r="O4" s="286"/>
      <c r="P4" s="286"/>
      <c r="Q4" s="27"/>
      <c r="R4" s="289" t="str">
        <f>IF(SP_HECMOriginDate="","",MAX(DATE(YEAR(SP_AdjustedDate),1,1),SP_HECMOriginDate))</f>
        <v/>
      </c>
      <c r="S4" s="285">
        <f ca="1">OFFSET(S$7,$F4,0)</f>
        <v>0</v>
      </c>
      <c r="T4" s="271"/>
      <c r="U4" s="384"/>
      <c r="V4" s="291"/>
      <c r="W4" s="280"/>
      <c r="X4" s="286"/>
      <c r="Y4" s="26"/>
      <c r="Z4" s="31"/>
    </row>
    <row r="5" spans="1:26" x14ac:dyDescent="0.25">
      <c r="B5" s="90">
        <v>0</v>
      </c>
      <c r="C5" s="200"/>
      <c r="D5" s="200"/>
      <c r="E5" s="200"/>
      <c r="F5" s="28"/>
      <c r="G5" s="201"/>
      <c r="H5" s="271"/>
      <c r="I5" s="271"/>
      <c r="J5" s="271"/>
      <c r="K5" s="271"/>
      <c r="L5" s="306"/>
      <c r="M5" s="284"/>
      <c r="N5" s="284"/>
      <c r="O5" s="286"/>
      <c r="P5" s="286"/>
      <c r="Q5" s="27"/>
      <c r="R5" s="24"/>
      <c r="S5" s="271"/>
      <c r="T5" s="271"/>
      <c r="U5" s="384"/>
      <c r="V5" s="291"/>
      <c r="W5" s="280"/>
      <c r="X5" s="286"/>
      <c r="Y5" s="286"/>
      <c r="Z5" s="27"/>
    </row>
    <row r="6" spans="1:26" x14ac:dyDescent="0.25">
      <c r="B6" s="90">
        <f ca="1">SP_CurrentYear-1</f>
        <v>2021</v>
      </c>
      <c r="C6" s="65"/>
      <c r="D6" s="200"/>
      <c r="E6" s="200"/>
      <c r="F6" s="28"/>
      <c r="G6" s="201"/>
      <c r="H6" s="284"/>
      <c r="I6" s="285">
        <f ca="1">IFERROR(IF(SP_MortOriginDate&gt;=DATE($B$7,1,1),SP_MortOriginBalance,SP_MortOriginBalance+CUMPRINC(SP_MortRate/12,SP_MortNper,SP_MortOriginBalance,1,DATEDIF(SP_MortOriginDate, DATE($B$7,1,1), "m"),0)),0)</f>
        <v>0</v>
      </c>
      <c r="J6" s="306"/>
      <c r="K6" s="306"/>
      <c r="L6" s="306"/>
      <c r="M6" s="285">
        <v>0</v>
      </c>
      <c r="N6" s="284"/>
      <c r="O6" s="286"/>
      <c r="P6" s="286"/>
      <c r="Q6" s="27"/>
      <c r="R6" s="24"/>
      <c r="S6" s="285">
        <f ca="1">IFERROR(IF(SP_HECMOriginDate&gt;=DATE($B$7,1,1),SP_HECMOriginBalance,SP_HECMOriginBalance*POWER(1+SP_HECMRate/12,DATEDIF(SP_HECMOriginDate, DATE($B$7,1,1), "m"))),0)</f>
        <v>0</v>
      </c>
      <c r="T6" s="271"/>
      <c r="U6" s="285">
        <v>0</v>
      </c>
      <c r="V6" s="282">
        <v>0</v>
      </c>
      <c r="W6" s="280"/>
      <c r="X6" s="286"/>
      <c r="Y6" s="286"/>
      <c r="Z6" s="27"/>
    </row>
    <row r="7" spans="1:26" x14ac:dyDescent="0.25">
      <c r="B7" s="65">
        <f ca="1">B6+1</f>
        <v>2022</v>
      </c>
      <c r="C7" s="65" t="s">
        <v>741</v>
      </c>
      <c r="D7" s="77">
        <f t="shared" ref="D7:D38" si="0">IF(INDEX(SC_ShowRetireatee,1),IF($B7&lt;YEAR(INDEX(SP_BirthDate,1)),0,$B7-YEAR(INDEX(SP_BirthDate,1))),0)</f>
        <v>0</v>
      </c>
      <c r="E7" s="77">
        <f t="shared" ref="E7:E38" si="1">IF(INDEX(SC_ShowRetireatee,2),IF($B7&lt;YEAR(INDEX(SP_BirthDate,2)),0,$B7-YEAR(INDEX(SP_BirthDate,2))),0)</f>
        <v>0</v>
      </c>
      <c r="F7" s="77"/>
      <c r="G7" s="302">
        <f t="shared" ref="G7:G38" ca="1" si="2">SP_HomeValue/INDEX(SC_EA_InflationCPIdx,EAIDX)</f>
        <v>0</v>
      </c>
      <c r="H7" s="284"/>
      <c r="I7" s="284">
        <f t="shared" ref="I7:I38" ca="1" si="3">$I6+$M6</f>
        <v>0</v>
      </c>
      <c r="J7" s="306">
        <f t="shared" ref="J7:J38" ca="1" si="4">IFERROR(NPER(SP_MortRate/12,PMT(SP_MortRate/12,SP_MortNper,SP_MortOriginBalance,0,0)-SP_MortExtraPayment,$I7,0,0),0)</f>
        <v>0</v>
      </c>
      <c r="K7" s="306">
        <f t="shared" ref="K7:K38" ca="1" si="5">IFERROR(NPER(SP_MortRate/12,PMT(SP_MortRate/12,SP_MortNper,SP_MortOriginBalance,0,0),$I7,0,0),0)</f>
        <v>0</v>
      </c>
      <c r="L7" s="306">
        <f t="shared" ref="L7:L38" ca="1" si="6">MIN(IFERROR(DATEDIF(SP_MortOriginDate, DATE($B7+1,1,1), "m"),0),12,$J7)</f>
        <v>0</v>
      </c>
      <c r="M7" s="284">
        <f t="shared" ref="M7:M38" ca="1" si="7">IF($L7&gt;0,IF(MOD($L7, 1)=0,CUMPRINC(SP_MortRate/12,MAX($J7,1),$I7,1,MAX($L7,1),0),-$I7),0)</f>
        <v>0</v>
      </c>
      <c r="N7" s="284">
        <f t="shared" ref="N7:N38" ca="1" si="8">IF($L7&gt;0,CUMIPMT(SP_MortRate/12,MAX($J7,1),$I7,1,MAX($L7,1),0),0)</f>
        <v>0</v>
      </c>
      <c r="O7" s="307">
        <v>0</v>
      </c>
      <c r="P7" s="284">
        <f t="shared" ref="P7:P38" ca="1" si="9">-ABS(SP_RealEstateTax)*12/INDEX(SC_EA_InflationCPIdx,EAIDX)</f>
        <v>0</v>
      </c>
      <c r="Q7" s="301">
        <f t="shared" ref="Q7:Q38" ca="1" si="10">-ABS(SP_HomeIns)*12/INDEX(SC_EA_InflationCPIdx,EAIDX)</f>
        <v>0</v>
      </c>
      <c r="R7" s="288"/>
      <c r="S7" s="284">
        <f t="shared" ref="S7:S38" ca="1" si="11">MIN($S6+$U6+$V6,$G7*(1-LT_RealtorFees))</f>
        <v>0</v>
      </c>
      <c r="T7" s="283">
        <f t="shared" ref="T7:T38" ca="1" si="12">MIN(IFERROR(DATEDIF(SP_HECMOriginDate, DATE($B7+1,1,1), "m"),0),12)</f>
        <v>0</v>
      </c>
      <c r="U7" s="284">
        <f t="shared" ref="U7:U38" ca="1" si="13">IF(AND(IFERROR(YEAR(SP_HECMOriginDate),0)=$B7,SP_HECMOriginBalance=0),MIN(SC_HECMPLF*$G7,LT_HECMMaxLoan/INDEX(SC_EA_InflationCPIdx,EAIDX)),0)</f>
        <v>0</v>
      </c>
      <c r="V7" s="291">
        <f t="shared" ref="V7:V38" ca="1" si="14">(S7+U7)*POWER(1+SP_HECMRate/12,T7)-(S7+U7)</f>
        <v>0</v>
      </c>
      <c r="W7" s="280">
        <f ca="1">$G7-$I7-$S7</f>
        <v>0</v>
      </c>
      <c r="X7" s="284">
        <f t="array" aca="1" ref="X7" ca="1">SUMPRODUCT(--(RIGHT(SP_MortDeduct,2)=":1"),TRANSPOSE($M7:$Q7))</f>
        <v>0</v>
      </c>
      <c r="Y7" s="284">
        <f t="array" aca="1" ref="Y7" ca="1">SUMPRODUCT(--(RIGHT(SP_MortDeduct,2)=":2"),TRANSPOSE($M7:$Q7))</f>
        <v>0</v>
      </c>
      <c r="Z7" s="279">
        <f t="shared" ref="Z7:Z38" ca="1" si="15">SUM(M7:Q7)</f>
        <v>0</v>
      </c>
    </row>
    <row r="8" spans="1:26" x14ac:dyDescent="0.25">
      <c r="B8" s="65">
        <f t="shared" ref="B8:B70" ca="1" si="16">B7+1</f>
        <v>2023</v>
      </c>
      <c r="C8" s="65" t="s">
        <v>741</v>
      </c>
      <c r="D8" s="77">
        <f t="shared" si="0"/>
        <v>0</v>
      </c>
      <c r="E8" s="77">
        <f t="shared" si="1"/>
        <v>0</v>
      </c>
      <c r="F8" s="77"/>
      <c r="G8" s="302">
        <f t="shared" ca="1" si="2"/>
        <v>0</v>
      </c>
      <c r="H8" s="284"/>
      <c r="I8" s="284">
        <f t="shared" ca="1" si="3"/>
        <v>0</v>
      </c>
      <c r="J8" s="306">
        <f t="shared" ca="1" si="4"/>
        <v>0</v>
      </c>
      <c r="K8" s="306">
        <f t="shared" ca="1" si="5"/>
        <v>0</v>
      </c>
      <c r="L8" s="306">
        <f t="shared" ca="1" si="6"/>
        <v>0</v>
      </c>
      <c r="M8" s="284">
        <f t="shared" ca="1" si="7"/>
        <v>0</v>
      </c>
      <c r="N8" s="284">
        <f t="shared" ca="1" si="8"/>
        <v>0</v>
      </c>
      <c r="O8" s="307">
        <v>0</v>
      </c>
      <c r="P8" s="284">
        <f t="shared" ca="1" si="9"/>
        <v>0</v>
      </c>
      <c r="Q8" s="301">
        <f t="shared" ca="1" si="10"/>
        <v>0</v>
      </c>
      <c r="R8" s="288"/>
      <c r="S8" s="284">
        <f t="shared" ca="1" si="11"/>
        <v>0</v>
      </c>
      <c r="T8" s="283">
        <f t="shared" ca="1" si="12"/>
        <v>0</v>
      </c>
      <c r="U8" s="284">
        <f t="shared" ca="1" si="13"/>
        <v>0</v>
      </c>
      <c r="V8" s="291">
        <f t="shared" ca="1" si="14"/>
        <v>0</v>
      </c>
      <c r="W8" s="308">
        <f t="shared" ref="W8:W71" ca="1" si="17">$G8-$I8-$S8</f>
        <v>0</v>
      </c>
      <c r="X8" s="284">
        <f t="array" aca="1" ref="X8" ca="1">SUMPRODUCT(--(RIGHT(SP_MortDeduct,2)=":1"),TRANSPOSE($M8:$Q8))</f>
        <v>0</v>
      </c>
      <c r="Y8" s="284">
        <f t="array" aca="1" ref="Y8" ca="1">SUMPRODUCT(--(RIGHT(SP_MortDeduct,2)=":2"),TRANSPOSE($M8:$Q8))</f>
        <v>0</v>
      </c>
      <c r="Z8" s="279">
        <f t="shared" ca="1" si="15"/>
        <v>0</v>
      </c>
    </row>
    <row r="9" spans="1:26" x14ac:dyDescent="0.25">
      <c r="B9" s="65">
        <f t="shared" ca="1" si="16"/>
        <v>2024</v>
      </c>
      <c r="C9" s="65" t="s">
        <v>741</v>
      </c>
      <c r="D9" s="77">
        <f t="shared" si="0"/>
        <v>0</v>
      </c>
      <c r="E9" s="77">
        <f t="shared" si="1"/>
        <v>0</v>
      </c>
      <c r="F9" s="77"/>
      <c r="G9" s="302">
        <f t="shared" ca="1" si="2"/>
        <v>0</v>
      </c>
      <c r="H9" s="284"/>
      <c r="I9" s="284">
        <f t="shared" ca="1" si="3"/>
        <v>0</v>
      </c>
      <c r="J9" s="306">
        <f t="shared" ca="1" si="4"/>
        <v>0</v>
      </c>
      <c r="K9" s="306">
        <f t="shared" ca="1" si="5"/>
        <v>0</v>
      </c>
      <c r="L9" s="306">
        <f t="shared" ca="1" si="6"/>
        <v>0</v>
      </c>
      <c r="M9" s="284">
        <f t="shared" ca="1" si="7"/>
        <v>0</v>
      </c>
      <c r="N9" s="284">
        <f t="shared" ca="1" si="8"/>
        <v>0</v>
      </c>
      <c r="O9" s="307">
        <v>0</v>
      </c>
      <c r="P9" s="284">
        <f t="shared" ca="1" si="9"/>
        <v>0</v>
      </c>
      <c r="Q9" s="301">
        <f t="shared" ca="1" si="10"/>
        <v>0</v>
      </c>
      <c r="R9" s="288"/>
      <c r="S9" s="284">
        <f t="shared" ca="1" si="11"/>
        <v>0</v>
      </c>
      <c r="T9" s="283">
        <f t="shared" ca="1" si="12"/>
        <v>0</v>
      </c>
      <c r="U9" s="284">
        <f t="shared" ca="1" si="13"/>
        <v>0</v>
      </c>
      <c r="V9" s="291">
        <f t="shared" ca="1" si="14"/>
        <v>0</v>
      </c>
      <c r="W9" s="308">
        <f t="shared" ca="1" si="17"/>
        <v>0</v>
      </c>
      <c r="X9" s="284">
        <f t="array" aca="1" ref="X9" ca="1">SUMPRODUCT(--(RIGHT(SP_MortDeduct,2)=":1"),TRANSPOSE($M9:$Q9))</f>
        <v>0</v>
      </c>
      <c r="Y9" s="284">
        <f t="array" aca="1" ref="Y9" ca="1">SUMPRODUCT(--(RIGHT(SP_MortDeduct,2)=":2"),TRANSPOSE($M9:$Q9))</f>
        <v>0</v>
      </c>
      <c r="Z9" s="279">
        <f t="shared" ca="1" si="15"/>
        <v>0</v>
      </c>
    </row>
    <row r="10" spans="1:26" x14ac:dyDescent="0.25">
      <c r="B10" s="65">
        <f t="shared" ca="1" si="16"/>
        <v>2025</v>
      </c>
      <c r="C10" s="65" t="s">
        <v>741</v>
      </c>
      <c r="D10" s="77">
        <f t="shared" si="0"/>
        <v>0</v>
      </c>
      <c r="E10" s="77">
        <f t="shared" si="1"/>
        <v>0</v>
      </c>
      <c r="F10" s="77"/>
      <c r="G10" s="302">
        <f t="shared" ca="1" si="2"/>
        <v>0</v>
      </c>
      <c r="H10" s="284"/>
      <c r="I10" s="284">
        <f t="shared" ca="1" si="3"/>
        <v>0</v>
      </c>
      <c r="J10" s="306">
        <f t="shared" ca="1" si="4"/>
        <v>0</v>
      </c>
      <c r="K10" s="306">
        <f t="shared" ca="1" si="5"/>
        <v>0</v>
      </c>
      <c r="L10" s="306">
        <f t="shared" ca="1" si="6"/>
        <v>0</v>
      </c>
      <c r="M10" s="284">
        <f t="shared" ca="1" si="7"/>
        <v>0</v>
      </c>
      <c r="N10" s="284">
        <f t="shared" ca="1" si="8"/>
        <v>0</v>
      </c>
      <c r="O10" s="307">
        <v>0</v>
      </c>
      <c r="P10" s="284">
        <f t="shared" ca="1" si="9"/>
        <v>0</v>
      </c>
      <c r="Q10" s="301">
        <f t="shared" ca="1" si="10"/>
        <v>0</v>
      </c>
      <c r="R10" s="288"/>
      <c r="S10" s="284">
        <f t="shared" ca="1" si="11"/>
        <v>0</v>
      </c>
      <c r="T10" s="283">
        <f t="shared" ca="1" si="12"/>
        <v>0</v>
      </c>
      <c r="U10" s="284">
        <f t="shared" ca="1" si="13"/>
        <v>0</v>
      </c>
      <c r="V10" s="291">
        <f t="shared" ca="1" si="14"/>
        <v>0</v>
      </c>
      <c r="W10" s="308">
        <f t="shared" ca="1" si="17"/>
        <v>0</v>
      </c>
      <c r="X10" s="284">
        <f t="array" aca="1" ref="X10" ca="1">SUMPRODUCT(--(RIGHT(SP_MortDeduct,2)=":1"),TRANSPOSE($M10:$Q10))</f>
        <v>0</v>
      </c>
      <c r="Y10" s="284">
        <f t="array" aca="1" ref="Y10" ca="1">SUMPRODUCT(--(RIGHT(SP_MortDeduct,2)=":2"),TRANSPOSE($M10:$Q10))</f>
        <v>0</v>
      </c>
      <c r="Z10" s="279">
        <f t="shared" ca="1" si="15"/>
        <v>0</v>
      </c>
    </row>
    <row r="11" spans="1:26" x14ac:dyDescent="0.25">
      <c r="B11" s="65">
        <f t="shared" ca="1" si="16"/>
        <v>2026</v>
      </c>
      <c r="C11" s="65" t="s">
        <v>741</v>
      </c>
      <c r="D11" s="77">
        <f t="shared" si="0"/>
        <v>0</v>
      </c>
      <c r="E11" s="77">
        <f t="shared" si="1"/>
        <v>0</v>
      </c>
      <c r="F11" s="77"/>
      <c r="G11" s="302">
        <f t="shared" ca="1" si="2"/>
        <v>0</v>
      </c>
      <c r="H11" s="284"/>
      <c r="I11" s="284">
        <f t="shared" ca="1" si="3"/>
        <v>0</v>
      </c>
      <c r="J11" s="306">
        <f t="shared" ca="1" si="4"/>
        <v>0</v>
      </c>
      <c r="K11" s="306">
        <f t="shared" ca="1" si="5"/>
        <v>0</v>
      </c>
      <c r="L11" s="306">
        <f t="shared" ca="1" si="6"/>
        <v>0</v>
      </c>
      <c r="M11" s="284">
        <f t="shared" ca="1" si="7"/>
        <v>0</v>
      </c>
      <c r="N11" s="284">
        <f t="shared" ca="1" si="8"/>
        <v>0</v>
      </c>
      <c r="O11" s="307">
        <v>0</v>
      </c>
      <c r="P11" s="284">
        <f t="shared" ca="1" si="9"/>
        <v>0</v>
      </c>
      <c r="Q11" s="301">
        <f t="shared" ca="1" si="10"/>
        <v>0</v>
      </c>
      <c r="R11" s="288"/>
      <c r="S11" s="284">
        <f t="shared" ca="1" si="11"/>
        <v>0</v>
      </c>
      <c r="T11" s="283">
        <f t="shared" ca="1" si="12"/>
        <v>0</v>
      </c>
      <c r="U11" s="284">
        <f t="shared" ca="1" si="13"/>
        <v>0</v>
      </c>
      <c r="V11" s="291">
        <f t="shared" ca="1" si="14"/>
        <v>0</v>
      </c>
      <c r="W11" s="308">
        <f t="shared" ca="1" si="17"/>
        <v>0</v>
      </c>
      <c r="X11" s="284">
        <f t="array" aca="1" ref="X11" ca="1">SUMPRODUCT(--(RIGHT(SP_MortDeduct,2)=":1"),TRANSPOSE($M11:$Q11))</f>
        <v>0</v>
      </c>
      <c r="Y11" s="284">
        <f t="array" aca="1" ref="Y11" ca="1">SUMPRODUCT(--(RIGHT(SP_MortDeduct,2)=":2"),TRANSPOSE($M11:$Q11))</f>
        <v>0</v>
      </c>
      <c r="Z11" s="279">
        <f t="shared" ca="1" si="15"/>
        <v>0</v>
      </c>
    </row>
    <row r="12" spans="1:26" x14ac:dyDescent="0.25">
      <c r="B12" s="65">
        <f t="shared" ca="1" si="16"/>
        <v>2027</v>
      </c>
      <c r="C12" s="65" t="s">
        <v>741</v>
      </c>
      <c r="D12" s="77">
        <f t="shared" si="0"/>
        <v>0</v>
      </c>
      <c r="E12" s="77">
        <f t="shared" si="1"/>
        <v>0</v>
      </c>
      <c r="F12" s="77"/>
      <c r="G12" s="302">
        <f t="shared" ca="1" si="2"/>
        <v>0</v>
      </c>
      <c r="H12" s="284"/>
      <c r="I12" s="284">
        <f t="shared" ca="1" si="3"/>
        <v>0</v>
      </c>
      <c r="J12" s="306">
        <f t="shared" ca="1" si="4"/>
        <v>0</v>
      </c>
      <c r="K12" s="306">
        <f t="shared" ca="1" si="5"/>
        <v>0</v>
      </c>
      <c r="L12" s="306">
        <f t="shared" ca="1" si="6"/>
        <v>0</v>
      </c>
      <c r="M12" s="284">
        <f t="shared" ca="1" si="7"/>
        <v>0</v>
      </c>
      <c r="N12" s="284">
        <f t="shared" ca="1" si="8"/>
        <v>0</v>
      </c>
      <c r="O12" s="307">
        <v>0</v>
      </c>
      <c r="P12" s="284">
        <f t="shared" ca="1" si="9"/>
        <v>0</v>
      </c>
      <c r="Q12" s="301">
        <f t="shared" ca="1" si="10"/>
        <v>0</v>
      </c>
      <c r="R12" s="288"/>
      <c r="S12" s="284">
        <f t="shared" ca="1" si="11"/>
        <v>0</v>
      </c>
      <c r="T12" s="283">
        <f t="shared" ca="1" si="12"/>
        <v>0</v>
      </c>
      <c r="U12" s="284">
        <f t="shared" ca="1" si="13"/>
        <v>0</v>
      </c>
      <c r="V12" s="291">
        <f t="shared" ca="1" si="14"/>
        <v>0</v>
      </c>
      <c r="W12" s="308">
        <f t="shared" ca="1" si="17"/>
        <v>0</v>
      </c>
      <c r="X12" s="284">
        <f t="array" aca="1" ref="X12" ca="1">SUMPRODUCT(--(RIGHT(SP_MortDeduct,2)=":1"),TRANSPOSE($M12:$Q12))</f>
        <v>0</v>
      </c>
      <c r="Y12" s="284">
        <f t="array" aca="1" ref="Y12" ca="1">SUMPRODUCT(--(RIGHT(SP_MortDeduct,2)=":2"),TRANSPOSE($M12:$Q12))</f>
        <v>0</v>
      </c>
      <c r="Z12" s="279">
        <f t="shared" ca="1" si="15"/>
        <v>0</v>
      </c>
    </row>
    <row r="13" spans="1:26" x14ac:dyDescent="0.25">
      <c r="B13" s="65">
        <f t="shared" ca="1" si="16"/>
        <v>2028</v>
      </c>
      <c r="C13" s="65" t="s">
        <v>741</v>
      </c>
      <c r="D13" s="77">
        <f t="shared" si="0"/>
        <v>0</v>
      </c>
      <c r="E13" s="77">
        <f t="shared" si="1"/>
        <v>0</v>
      </c>
      <c r="F13" s="77"/>
      <c r="G13" s="302">
        <f t="shared" ca="1" si="2"/>
        <v>0</v>
      </c>
      <c r="H13" s="284"/>
      <c r="I13" s="284">
        <f t="shared" ca="1" si="3"/>
        <v>0</v>
      </c>
      <c r="J13" s="306">
        <f t="shared" ca="1" si="4"/>
        <v>0</v>
      </c>
      <c r="K13" s="306">
        <f t="shared" ca="1" si="5"/>
        <v>0</v>
      </c>
      <c r="L13" s="306">
        <f t="shared" ca="1" si="6"/>
        <v>0</v>
      </c>
      <c r="M13" s="284">
        <f t="shared" ca="1" si="7"/>
        <v>0</v>
      </c>
      <c r="N13" s="284">
        <f t="shared" ca="1" si="8"/>
        <v>0</v>
      </c>
      <c r="O13" s="307">
        <v>0</v>
      </c>
      <c r="P13" s="284">
        <f t="shared" ca="1" si="9"/>
        <v>0</v>
      </c>
      <c r="Q13" s="301">
        <f t="shared" ca="1" si="10"/>
        <v>0</v>
      </c>
      <c r="R13" s="288"/>
      <c r="S13" s="284">
        <f t="shared" ca="1" si="11"/>
        <v>0</v>
      </c>
      <c r="T13" s="283">
        <f t="shared" ca="1" si="12"/>
        <v>0</v>
      </c>
      <c r="U13" s="284">
        <f t="shared" ca="1" si="13"/>
        <v>0</v>
      </c>
      <c r="V13" s="291">
        <f t="shared" ca="1" si="14"/>
        <v>0</v>
      </c>
      <c r="W13" s="308">
        <f t="shared" ca="1" si="17"/>
        <v>0</v>
      </c>
      <c r="X13" s="284">
        <f t="array" aca="1" ref="X13" ca="1">SUMPRODUCT(--(RIGHT(SP_MortDeduct,2)=":1"),TRANSPOSE($M13:$Q13))</f>
        <v>0</v>
      </c>
      <c r="Y13" s="284">
        <f t="array" aca="1" ref="Y13" ca="1">SUMPRODUCT(--(RIGHT(SP_MortDeduct,2)=":2"),TRANSPOSE($M13:$Q13))</f>
        <v>0</v>
      </c>
      <c r="Z13" s="279">
        <f t="shared" ca="1" si="15"/>
        <v>0</v>
      </c>
    </row>
    <row r="14" spans="1:26" x14ac:dyDescent="0.25">
      <c r="B14" s="65">
        <f t="shared" ca="1" si="16"/>
        <v>2029</v>
      </c>
      <c r="C14" s="65" t="s">
        <v>741</v>
      </c>
      <c r="D14" s="77">
        <f t="shared" si="0"/>
        <v>0</v>
      </c>
      <c r="E14" s="77">
        <f t="shared" si="1"/>
        <v>0</v>
      </c>
      <c r="F14" s="77"/>
      <c r="G14" s="302">
        <f t="shared" ca="1" si="2"/>
        <v>0</v>
      </c>
      <c r="H14" s="284"/>
      <c r="I14" s="284">
        <f t="shared" ca="1" si="3"/>
        <v>0</v>
      </c>
      <c r="J14" s="306">
        <f t="shared" ca="1" si="4"/>
        <v>0</v>
      </c>
      <c r="K14" s="306">
        <f t="shared" ca="1" si="5"/>
        <v>0</v>
      </c>
      <c r="L14" s="306">
        <f t="shared" ca="1" si="6"/>
        <v>0</v>
      </c>
      <c r="M14" s="284">
        <f t="shared" ca="1" si="7"/>
        <v>0</v>
      </c>
      <c r="N14" s="284">
        <f t="shared" ca="1" si="8"/>
        <v>0</v>
      </c>
      <c r="O14" s="307">
        <v>0</v>
      </c>
      <c r="P14" s="284">
        <f t="shared" ca="1" si="9"/>
        <v>0</v>
      </c>
      <c r="Q14" s="301">
        <f t="shared" ca="1" si="10"/>
        <v>0</v>
      </c>
      <c r="R14" s="288"/>
      <c r="S14" s="284">
        <f t="shared" ca="1" si="11"/>
        <v>0</v>
      </c>
      <c r="T14" s="283">
        <f t="shared" ca="1" si="12"/>
        <v>0</v>
      </c>
      <c r="U14" s="284">
        <f t="shared" ca="1" si="13"/>
        <v>0</v>
      </c>
      <c r="V14" s="291">
        <f t="shared" ca="1" si="14"/>
        <v>0</v>
      </c>
      <c r="W14" s="308">
        <f t="shared" ca="1" si="17"/>
        <v>0</v>
      </c>
      <c r="X14" s="284">
        <f t="array" aca="1" ref="X14" ca="1">SUMPRODUCT(--(RIGHT(SP_MortDeduct,2)=":1"),TRANSPOSE($M14:$Q14))</f>
        <v>0</v>
      </c>
      <c r="Y14" s="284">
        <f t="array" aca="1" ref="Y14" ca="1">SUMPRODUCT(--(RIGHT(SP_MortDeduct,2)=":2"),TRANSPOSE($M14:$Q14))</f>
        <v>0</v>
      </c>
      <c r="Z14" s="279">
        <f t="shared" ca="1" si="15"/>
        <v>0</v>
      </c>
    </row>
    <row r="15" spans="1:26" x14ac:dyDescent="0.25">
      <c r="B15" s="65">
        <f t="shared" ca="1" si="16"/>
        <v>2030</v>
      </c>
      <c r="C15" s="65" t="s">
        <v>741</v>
      </c>
      <c r="D15" s="77">
        <f t="shared" si="0"/>
        <v>0</v>
      </c>
      <c r="E15" s="77">
        <f t="shared" si="1"/>
        <v>0</v>
      </c>
      <c r="F15" s="77"/>
      <c r="G15" s="302">
        <f t="shared" ca="1" si="2"/>
        <v>0</v>
      </c>
      <c r="H15" s="284"/>
      <c r="I15" s="284">
        <f t="shared" ca="1" si="3"/>
        <v>0</v>
      </c>
      <c r="J15" s="306">
        <f t="shared" ca="1" si="4"/>
        <v>0</v>
      </c>
      <c r="K15" s="306">
        <f t="shared" ca="1" si="5"/>
        <v>0</v>
      </c>
      <c r="L15" s="306">
        <f t="shared" ca="1" si="6"/>
        <v>0</v>
      </c>
      <c r="M15" s="284">
        <f t="shared" ca="1" si="7"/>
        <v>0</v>
      </c>
      <c r="N15" s="284">
        <f t="shared" ca="1" si="8"/>
        <v>0</v>
      </c>
      <c r="O15" s="307">
        <v>0</v>
      </c>
      <c r="P15" s="284">
        <f t="shared" ca="1" si="9"/>
        <v>0</v>
      </c>
      <c r="Q15" s="301">
        <f t="shared" ca="1" si="10"/>
        <v>0</v>
      </c>
      <c r="R15" s="288"/>
      <c r="S15" s="284">
        <f t="shared" ca="1" si="11"/>
        <v>0</v>
      </c>
      <c r="T15" s="283">
        <f t="shared" ca="1" si="12"/>
        <v>0</v>
      </c>
      <c r="U15" s="284">
        <f t="shared" ca="1" si="13"/>
        <v>0</v>
      </c>
      <c r="V15" s="291">
        <f t="shared" ca="1" si="14"/>
        <v>0</v>
      </c>
      <c r="W15" s="308">
        <f t="shared" ca="1" si="17"/>
        <v>0</v>
      </c>
      <c r="X15" s="284">
        <f t="array" aca="1" ref="X15" ca="1">SUMPRODUCT(--(RIGHT(SP_MortDeduct,2)=":1"),TRANSPOSE($M15:$Q15))</f>
        <v>0</v>
      </c>
      <c r="Y15" s="284">
        <f t="array" aca="1" ref="Y15" ca="1">SUMPRODUCT(--(RIGHT(SP_MortDeduct,2)=":2"),TRANSPOSE($M15:$Q15))</f>
        <v>0</v>
      </c>
      <c r="Z15" s="279">
        <f t="shared" ca="1" si="15"/>
        <v>0</v>
      </c>
    </row>
    <row r="16" spans="1:26" x14ac:dyDescent="0.25">
      <c r="B16" s="65">
        <f t="shared" ca="1" si="16"/>
        <v>2031</v>
      </c>
      <c r="C16" s="65" t="s">
        <v>741</v>
      </c>
      <c r="D16" s="77">
        <f t="shared" si="0"/>
        <v>0</v>
      </c>
      <c r="E16" s="77">
        <f t="shared" si="1"/>
        <v>0</v>
      </c>
      <c r="F16" s="77"/>
      <c r="G16" s="302">
        <f t="shared" ca="1" si="2"/>
        <v>0</v>
      </c>
      <c r="H16" s="284"/>
      <c r="I16" s="284">
        <f t="shared" ca="1" si="3"/>
        <v>0</v>
      </c>
      <c r="J16" s="306">
        <f t="shared" ca="1" si="4"/>
        <v>0</v>
      </c>
      <c r="K16" s="306">
        <f t="shared" ca="1" si="5"/>
        <v>0</v>
      </c>
      <c r="L16" s="306">
        <f t="shared" ca="1" si="6"/>
        <v>0</v>
      </c>
      <c r="M16" s="284">
        <f t="shared" ca="1" si="7"/>
        <v>0</v>
      </c>
      <c r="N16" s="284">
        <f t="shared" ca="1" si="8"/>
        <v>0</v>
      </c>
      <c r="O16" s="307">
        <v>0</v>
      </c>
      <c r="P16" s="284">
        <f t="shared" ca="1" si="9"/>
        <v>0</v>
      </c>
      <c r="Q16" s="301">
        <f t="shared" ca="1" si="10"/>
        <v>0</v>
      </c>
      <c r="R16" s="288"/>
      <c r="S16" s="284">
        <f t="shared" ca="1" si="11"/>
        <v>0</v>
      </c>
      <c r="T16" s="283">
        <f t="shared" ca="1" si="12"/>
        <v>0</v>
      </c>
      <c r="U16" s="284">
        <f t="shared" ca="1" si="13"/>
        <v>0</v>
      </c>
      <c r="V16" s="291">
        <f t="shared" ca="1" si="14"/>
        <v>0</v>
      </c>
      <c r="W16" s="308">
        <f t="shared" ca="1" si="17"/>
        <v>0</v>
      </c>
      <c r="X16" s="284">
        <f t="array" aca="1" ref="X16" ca="1">SUMPRODUCT(--(RIGHT(SP_MortDeduct,2)=":1"),TRANSPOSE($M16:$Q16))</f>
        <v>0</v>
      </c>
      <c r="Y16" s="284">
        <f t="array" aca="1" ref="Y16" ca="1">SUMPRODUCT(--(RIGHT(SP_MortDeduct,2)=":2"),TRANSPOSE($M16:$Q16))</f>
        <v>0</v>
      </c>
      <c r="Z16" s="279">
        <f t="shared" ca="1" si="15"/>
        <v>0</v>
      </c>
    </row>
    <row r="17" spans="2:26" x14ac:dyDescent="0.25">
      <c r="B17" s="65">
        <f t="shared" ca="1" si="16"/>
        <v>2032</v>
      </c>
      <c r="C17" s="65" t="s">
        <v>741</v>
      </c>
      <c r="D17" s="77">
        <f t="shared" si="0"/>
        <v>0</v>
      </c>
      <c r="E17" s="77">
        <f t="shared" si="1"/>
        <v>0</v>
      </c>
      <c r="F17" s="77"/>
      <c r="G17" s="302">
        <f t="shared" ca="1" si="2"/>
        <v>0</v>
      </c>
      <c r="H17" s="284"/>
      <c r="I17" s="284">
        <f t="shared" ca="1" si="3"/>
        <v>0</v>
      </c>
      <c r="J17" s="306">
        <f t="shared" ca="1" si="4"/>
        <v>0</v>
      </c>
      <c r="K17" s="306">
        <f t="shared" ca="1" si="5"/>
        <v>0</v>
      </c>
      <c r="L17" s="306">
        <f t="shared" ca="1" si="6"/>
        <v>0</v>
      </c>
      <c r="M17" s="284">
        <f t="shared" ca="1" si="7"/>
        <v>0</v>
      </c>
      <c r="N17" s="284">
        <f t="shared" ca="1" si="8"/>
        <v>0</v>
      </c>
      <c r="O17" s="307">
        <v>0</v>
      </c>
      <c r="P17" s="284">
        <f t="shared" ca="1" si="9"/>
        <v>0</v>
      </c>
      <c r="Q17" s="301">
        <f t="shared" ca="1" si="10"/>
        <v>0</v>
      </c>
      <c r="R17" s="288"/>
      <c r="S17" s="284">
        <f t="shared" ca="1" si="11"/>
        <v>0</v>
      </c>
      <c r="T17" s="283">
        <f t="shared" ca="1" si="12"/>
        <v>0</v>
      </c>
      <c r="U17" s="284">
        <f t="shared" ca="1" si="13"/>
        <v>0</v>
      </c>
      <c r="V17" s="291">
        <f t="shared" ca="1" si="14"/>
        <v>0</v>
      </c>
      <c r="W17" s="308">
        <f t="shared" ca="1" si="17"/>
        <v>0</v>
      </c>
      <c r="X17" s="284">
        <f t="array" aca="1" ref="X17" ca="1">SUMPRODUCT(--(RIGHT(SP_MortDeduct,2)=":1"),TRANSPOSE($M17:$Q17))</f>
        <v>0</v>
      </c>
      <c r="Y17" s="284">
        <f t="array" aca="1" ref="Y17" ca="1">SUMPRODUCT(--(RIGHT(SP_MortDeduct,2)=":2"),TRANSPOSE($M17:$Q17))</f>
        <v>0</v>
      </c>
      <c r="Z17" s="279">
        <f t="shared" ca="1" si="15"/>
        <v>0</v>
      </c>
    </row>
    <row r="18" spans="2:26" x14ac:dyDescent="0.25">
      <c r="B18" s="65">
        <f t="shared" ca="1" si="16"/>
        <v>2033</v>
      </c>
      <c r="C18" s="65" t="s">
        <v>741</v>
      </c>
      <c r="D18" s="77">
        <f t="shared" si="0"/>
        <v>0</v>
      </c>
      <c r="E18" s="77">
        <f t="shared" si="1"/>
        <v>0</v>
      </c>
      <c r="F18" s="77"/>
      <c r="G18" s="302">
        <f t="shared" ca="1" si="2"/>
        <v>0</v>
      </c>
      <c r="H18" s="284"/>
      <c r="I18" s="284">
        <f t="shared" ca="1" si="3"/>
        <v>0</v>
      </c>
      <c r="J18" s="306">
        <f t="shared" ca="1" si="4"/>
        <v>0</v>
      </c>
      <c r="K18" s="306">
        <f t="shared" ca="1" si="5"/>
        <v>0</v>
      </c>
      <c r="L18" s="306">
        <f t="shared" ca="1" si="6"/>
        <v>0</v>
      </c>
      <c r="M18" s="284">
        <f t="shared" ca="1" si="7"/>
        <v>0</v>
      </c>
      <c r="N18" s="284">
        <f t="shared" ca="1" si="8"/>
        <v>0</v>
      </c>
      <c r="O18" s="307">
        <v>0</v>
      </c>
      <c r="P18" s="284">
        <f t="shared" ca="1" si="9"/>
        <v>0</v>
      </c>
      <c r="Q18" s="301">
        <f t="shared" ca="1" si="10"/>
        <v>0</v>
      </c>
      <c r="R18" s="288"/>
      <c r="S18" s="284">
        <f t="shared" ca="1" si="11"/>
        <v>0</v>
      </c>
      <c r="T18" s="283">
        <f t="shared" ca="1" si="12"/>
        <v>0</v>
      </c>
      <c r="U18" s="284">
        <f t="shared" ca="1" si="13"/>
        <v>0</v>
      </c>
      <c r="V18" s="291">
        <f t="shared" ca="1" si="14"/>
        <v>0</v>
      </c>
      <c r="W18" s="308">
        <f t="shared" ca="1" si="17"/>
        <v>0</v>
      </c>
      <c r="X18" s="284">
        <f t="array" aca="1" ref="X18" ca="1">SUMPRODUCT(--(RIGHT(SP_MortDeduct,2)=":1"),TRANSPOSE($M18:$Q18))</f>
        <v>0</v>
      </c>
      <c r="Y18" s="284">
        <f t="array" aca="1" ref="Y18" ca="1">SUMPRODUCT(--(RIGHT(SP_MortDeduct,2)=":2"),TRANSPOSE($M18:$Q18))</f>
        <v>0</v>
      </c>
      <c r="Z18" s="279">
        <f t="shared" ca="1" si="15"/>
        <v>0</v>
      </c>
    </row>
    <row r="19" spans="2:26" x14ac:dyDescent="0.25">
      <c r="B19" s="65">
        <f t="shared" ca="1" si="16"/>
        <v>2034</v>
      </c>
      <c r="C19" s="65" t="s">
        <v>741</v>
      </c>
      <c r="D19" s="77">
        <f t="shared" si="0"/>
        <v>0</v>
      </c>
      <c r="E19" s="77">
        <f t="shared" si="1"/>
        <v>0</v>
      </c>
      <c r="F19" s="77"/>
      <c r="G19" s="302">
        <f t="shared" ca="1" si="2"/>
        <v>0</v>
      </c>
      <c r="H19" s="284"/>
      <c r="I19" s="284">
        <f t="shared" ca="1" si="3"/>
        <v>0</v>
      </c>
      <c r="J19" s="306">
        <f t="shared" ca="1" si="4"/>
        <v>0</v>
      </c>
      <c r="K19" s="306">
        <f t="shared" ca="1" si="5"/>
        <v>0</v>
      </c>
      <c r="L19" s="306">
        <f t="shared" ca="1" si="6"/>
        <v>0</v>
      </c>
      <c r="M19" s="284">
        <f t="shared" ca="1" si="7"/>
        <v>0</v>
      </c>
      <c r="N19" s="284">
        <f t="shared" ca="1" si="8"/>
        <v>0</v>
      </c>
      <c r="O19" s="307">
        <v>0</v>
      </c>
      <c r="P19" s="284">
        <f t="shared" ca="1" si="9"/>
        <v>0</v>
      </c>
      <c r="Q19" s="301">
        <f t="shared" ca="1" si="10"/>
        <v>0</v>
      </c>
      <c r="R19" s="288"/>
      <c r="S19" s="284">
        <f t="shared" ca="1" si="11"/>
        <v>0</v>
      </c>
      <c r="T19" s="283">
        <f t="shared" ca="1" si="12"/>
        <v>0</v>
      </c>
      <c r="U19" s="284">
        <f t="shared" ca="1" si="13"/>
        <v>0</v>
      </c>
      <c r="V19" s="291">
        <f t="shared" ca="1" si="14"/>
        <v>0</v>
      </c>
      <c r="W19" s="308">
        <f t="shared" ca="1" si="17"/>
        <v>0</v>
      </c>
      <c r="X19" s="284">
        <f t="array" aca="1" ref="X19" ca="1">SUMPRODUCT(--(RIGHT(SP_MortDeduct,2)=":1"),TRANSPOSE($M19:$Q19))</f>
        <v>0</v>
      </c>
      <c r="Y19" s="284">
        <f t="array" aca="1" ref="Y19" ca="1">SUMPRODUCT(--(RIGHT(SP_MortDeduct,2)=":2"),TRANSPOSE($M19:$Q19))</f>
        <v>0</v>
      </c>
      <c r="Z19" s="279">
        <f t="shared" ca="1" si="15"/>
        <v>0</v>
      </c>
    </row>
    <row r="20" spans="2:26" x14ac:dyDescent="0.25">
      <c r="B20" s="65">
        <f t="shared" ca="1" si="16"/>
        <v>2035</v>
      </c>
      <c r="C20" s="65" t="s">
        <v>741</v>
      </c>
      <c r="D20" s="77">
        <f t="shared" si="0"/>
        <v>0</v>
      </c>
      <c r="E20" s="77">
        <f t="shared" si="1"/>
        <v>0</v>
      </c>
      <c r="F20" s="77"/>
      <c r="G20" s="302">
        <f t="shared" ca="1" si="2"/>
        <v>0</v>
      </c>
      <c r="H20" s="284"/>
      <c r="I20" s="284">
        <f t="shared" ca="1" si="3"/>
        <v>0</v>
      </c>
      <c r="J20" s="306">
        <f t="shared" ca="1" si="4"/>
        <v>0</v>
      </c>
      <c r="K20" s="306">
        <f t="shared" ca="1" si="5"/>
        <v>0</v>
      </c>
      <c r="L20" s="306">
        <f t="shared" ca="1" si="6"/>
        <v>0</v>
      </c>
      <c r="M20" s="284">
        <f t="shared" ca="1" si="7"/>
        <v>0</v>
      </c>
      <c r="N20" s="284">
        <f t="shared" ca="1" si="8"/>
        <v>0</v>
      </c>
      <c r="O20" s="307">
        <v>0</v>
      </c>
      <c r="P20" s="284">
        <f t="shared" ca="1" si="9"/>
        <v>0</v>
      </c>
      <c r="Q20" s="301">
        <f t="shared" ca="1" si="10"/>
        <v>0</v>
      </c>
      <c r="R20" s="288"/>
      <c r="S20" s="284">
        <f t="shared" ca="1" si="11"/>
        <v>0</v>
      </c>
      <c r="T20" s="283">
        <f t="shared" ca="1" si="12"/>
        <v>0</v>
      </c>
      <c r="U20" s="284">
        <f t="shared" ca="1" si="13"/>
        <v>0</v>
      </c>
      <c r="V20" s="291">
        <f t="shared" ca="1" si="14"/>
        <v>0</v>
      </c>
      <c r="W20" s="308">
        <f t="shared" ca="1" si="17"/>
        <v>0</v>
      </c>
      <c r="X20" s="284">
        <f t="array" aca="1" ref="X20" ca="1">SUMPRODUCT(--(RIGHT(SP_MortDeduct,2)=":1"),TRANSPOSE($M20:$Q20))</f>
        <v>0</v>
      </c>
      <c r="Y20" s="284">
        <f t="array" aca="1" ref="Y20" ca="1">SUMPRODUCT(--(RIGHT(SP_MortDeduct,2)=":2"),TRANSPOSE($M20:$Q20))</f>
        <v>0</v>
      </c>
      <c r="Z20" s="279">
        <f t="shared" ca="1" si="15"/>
        <v>0</v>
      </c>
    </row>
    <row r="21" spans="2:26" x14ac:dyDescent="0.25">
      <c r="B21" s="65">
        <f t="shared" ca="1" si="16"/>
        <v>2036</v>
      </c>
      <c r="C21" s="65" t="s">
        <v>741</v>
      </c>
      <c r="D21" s="77">
        <f t="shared" si="0"/>
        <v>0</v>
      </c>
      <c r="E21" s="77">
        <f t="shared" si="1"/>
        <v>0</v>
      </c>
      <c r="F21" s="77"/>
      <c r="G21" s="302">
        <f t="shared" ca="1" si="2"/>
        <v>0</v>
      </c>
      <c r="H21" s="284"/>
      <c r="I21" s="284">
        <f t="shared" ca="1" si="3"/>
        <v>0</v>
      </c>
      <c r="J21" s="306">
        <f t="shared" ca="1" si="4"/>
        <v>0</v>
      </c>
      <c r="K21" s="306">
        <f t="shared" ca="1" si="5"/>
        <v>0</v>
      </c>
      <c r="L21" s="306">
        <f t="shared" ca="1" si="6"/>
        <v>0</v>
      </c>
      <c r="M21" s="284">
        <f t="shared" ca="1" si="7"/>
        <v>0</v>
      </c>
      <c r="N21" s="284">
        <f t="shared" ca="1" si="8"/>
        <v>0</v>
      </c>
      <c r="O21" s="307">
        <v>0</v>
      </c>
      <c r="P21" s="284">
        <f t="shared" ca="1" si="9"/>
        <v>0</v>
      </c>
      <c r="Q21" s="301">
        <f t="shared" ca="1" si="10"/>
        <v>0</v>
      </c>
      <c r="R21" s="288"/>
      <c r="S21" s="284">
        <f t="shared" ca="1" si="11"/>
        <v>0</v>
      </c>
      <c r="T21" s="283">
        <f t="shared" ca="1" si="12"/>
        <v>0</v>
      </c>
      <c r="U21" s="284">
        <f t="shared" ca="1" si="13"/>
        <v>0</v>
      </c>
      <c r="V21" s="291">
        <f t="shared" ca="1" si="14"/>
        <v>0</v>
      </c>
      <c r="W21" s="308">
        <f t="shared" ca="1" si="17"/>
        <v>0</v>
      </c>
      <c r="X21" s="284">
        <f t="array" aca="1" ref="X21" ca="1">SUMPRODUCT(--(RIGHT(SP_MortDeduct,2)=":1"),TRANSPOSE($M21:$Q21))</f>
        <v>0</v>
      </c>
      <c r="Y21" s="284">
        <f t="array" aca="1" ref="Y21" ca="1">SUMPRODUCT(--(RIGHT(SP_MortDeduct,2)=":2"),TRANSPOSE($M21:$Q21))</f>
        <v>0</v>
      </c>
      <c r="Z21" s="279">
        <f t="shared" ca="1" si="15"/>
        <v>0</v>
      </c>
    </row>
    <row r="22" spans="2:26" x14ac:dyDescent="0.25">
      <c r="B22" s="65">
        <f t="shared" ca="1" si="16"/>
        <v>2037</v>
      </c>
      <c r="C22" s="65" t="s">
        <v>741</v>
      </c>
      <c r="D22" s="77">
        <f t="shared" si="0"/>
        <v>0</v>
      </c>
      <c r="E22" s="77">
        <f t="shared" si="1"/>
        <v>0</v>
      </c>
      <c r="F22" s="77"/>
      <c r="G22" s="302">
        <f t="shared" ca="1" si="2"/>
        <v>0</v>
      </c>
      <c r="H22" s="284"/>
      <c r="I22" s="284">
        <f t="shared" ca="1" si="3"/>
        <v>0</v>
      </c>
      <c r="J22" s="306">
        <f t="shared" ca="1" si="4"/>
        <v>0</v>
      </c>
      <c r="K22" s="306">
        <f t="shared" ca="1" si="5"/>
        <v>0</v>
      </c>
      <c r="L22" s="306">
        <f t="shared" ca="1" si="6"/>
        <v>0</v>
      </c>
      <c r="M22" s="284">
        <f t="shared" ca="1" si="7"/>
        <v>0</v>
      </c>
      <c r="N22" s="284">
        <f t="shared" ca="1" si="8"/>
        <v>0</v>
      </c>
      <c r="O22" s="307">
        <v>0</v>
      </c>
      <c r="P22" s="284">
        <f t="shared" ca="1" si="9"/>
        <v>0</v>
      </c>
      <c r="Q22" s="301">
        <f t="shared" ca="1" si="10"/>
        <v>0</v>
      </c>
      <c r="R22" s="288"/>
      <c r="S22" s="284">
        <f t="shared" ca="1" si="11"/>
        <v>0</v>
      </c>
      <c r="T22" s="283">
        <f t="shared" ca="1" si="12"/>
        <v>0</v>
      </c>
      <c r="U22" s="284">
        <f t="shared" ca="1" si="13"/>
        <v>0</v>
      </c>
      <c r="V22" s="291">
        <f t="shared" ca="1" si="14"/>
        <v>0</v>
      </c>
      <c r="W22" s="308">
        <f t="shared" ca="1" si="17"/>
        <v>0</v>
      </c>
      <c r="X22" s="284">
        <f t="array" aca="1" ref="X22" ca="1">SUMPRODUCT(--(RIGHT(SP_MortDeduct,2)=":1"),TRANSPOSE($M22:$Q22))</f>
        <v>0</v>
      </c>
      <c r="Y22" s="284">
        <f t="array" aca="1" ref="Y22" ca="1">SUMPRODUCT(--(RIGHT(SP_MortDeduct,2)=":2"),TRANSPOSE($M22:$Q22))</f>
        <v>0</v>
      </c>
      <c r="Z22" s="279">
        <f t="shared" ca="1" si="15"/>
        <v>0</v>
      </c>
    </row>
    <row r="23" spans="2:26" x14ac:dyDescent="0.25">
      <c r="B23" s="65">
        <f t="shared" ca="1" si="16"/>
        <v>2038</v>
      </c>
      <c r="C23" s="65" t="s">
        <v>741</v>
      </c>
      <c r="D23" s="77">
        <f t="shared" si="0"/>
        <v>0</v>
      </c>
      <c r="E23" s="77">
        <f t="shared" si="1"/>
        <v>0</v>
      </c>
      <c r="F23" s="77"/>
      <c r="G23" s="302">
        <f t="shared" ca="1" si="2"/>
        <v>0</v>
      </c>
      <c r="H23" s="284"/>
      <c r="I23" s="284">
        <f t="shared" ca="1" si="3"/>
        <v>0</v>
      </c>
      <c r="J23" s="306">
        <f t="shared" ca="1" si="4"/>
        <v>0</v>
      </c>
      <c r="K23" s="306">
        <f t="shared" ca="1" si="5"/>
        <v>0</v>
      </c>
      <c r="L23" s="306">
        <f t="shared" ca="1" si="6"/>
        <v>0</v>
      </c>
      <c r="M23" s="284">
        <f t="shared" ca="1" si="7"/>
        <v>0</v>
      </c>
      <c r="N23" s="284">
        <f t="shared" ca="1" si="8"/>
        <v>0</v>
      </c>
      <c r="O23" s="307">
        <v>0</v>
      </c>
      <c r="P23" s="284">
        <f t="shared" ca="1" si="9"/>
        <v>0</v>
      </c>
      <c r="Q23" s="301">
        <f t="shared" ca="1" si="10"/>
        <v>0</v>
      </c>
      <c r="R23" s="288"/>
      <c r="S23" s="284">
        <f t="shared" ca="1" si="11"/>
        <v>0</v>
      </c>
      <c r="T23" s="283">
        <f t="shared" ca="1" si="12"/>
        <v>0</v>
      </c>
      <c r="U23" s="284">
        <f t="shared" ca="1" si="13"/>
        <v>0</v>
      </c>
      <c r="V23" s="291">
        <f t="shared" ca="1" si="14"/>
        <v>0</v>
      </c>
      <c r="W23" s="308">
        <f t="shared" ca="1" si="17"/>
        <v>0</v>
      </c>
      <c r="X23" s="284">
        <f t="array" aca="1" ref="X23" ca="1">SUMPRODUCT(--(RIGHT(SP_MortDeduct,2)=":1"),TRANSPOSE($M23:$Q23))</f>
        <v>0</v>
      </c>
      <c r="Y23" s="284">
        <f t="array" aca="1" ref="Y23" ca="1">SUMPRODUCT(--(RIGHT(SP_MortDeduct,2)=":2"),TRANSPOSE($M23:$Q23))</f>
        <v>0</v>
      </c>
      <c r="Z23" s="279">
        <f t="shared" ca="1" si="15"/>
        <v>0</v>
      </c>
    </row>
    <row r="24" spans="2:26" x14ac:dyDescent="0.25">
      <c r="B24" s="65">
        <f t="shared" ca="1" si="16"/>
        <v>2039</v>
      </c>
      <c r="C24" s="65" t="s">
        <v>741</v>
      </c>
      <c r="D24" s="77">
        <f t="shared" si="0"/>
        <v>0</v>
      </c>
      <c r="E24" s="77">
        <f t="shared" si="1"/>
        <v>0</v>
      </c>
      <c r="F24" s="77"/>
      <c r="G24" s="302">
        <f t="shared" ca="1" si="2"/>
        <v>0</v>
      </c>
      <c r="H24" s="284"/>
      <c r="I24" s="284">
        <f t="shared" ca="1" si="3"/>
        <v>0</v>
      </c>
      <c r="J24" s="306">
        <f t="shared" ca="1" si="4"/>
        <v>0</v>
      </c>
      <c r="K24" s="306">
        <f t="shared" ca="1" si="5"/>
        <v>0</v>
      </c>
      <c r="L24" s="306">
        <f t="shared" ca="1" si="6"/>
        <v>0</v>
      </c>
      <c r="M24" s="284">
        <f t="shared" ca="1" si="7"/>
        <v>0</v>
      </c>
      <c r="N24" s="284">
        <f t="shared" ca="1" si="8"/>
        <v>0</v>
      </c>
      <c r="O24" s="307">
        <v>0</v>
      </c>
      <c r="P24" s="284">
        <f t="shared" ca="1" si="9"/>
        <v>0</v>
      </c>
      <c r="Q24" s="301">
        <f t="shared" ca="1" si="10"/>
        <v>0</v>
      </c>
      <c r="R24" s="288"/>
      <c r="S24" s="284">
        <f t="shared" ca="1" si="11"/>
        <v>0</v>
      </c>
      <c r="T24" s="283">
        <f t="shared" ca="1" si="12"/>
        <v>0</v>
      </c>
      <c r="U24" s="284">
        <f t="shared" ca="1" si="13"/>
        <v>0</v>
      </c>
      <c r="V24" s="291">
        <f t="shared" ca="1" si="14"/>
        <v>0</v>
      </c>
      <c r="W24" s="308">
        <f t="shared" ca="1" si="17"/>
        <v>0</v>
      </c>
      <c r="X24" s="284">
        <f t="array" aca="1" ref="X24" ca="1">SUMPRODUCT(--(RIGHT(SP_MortDeduct,2)=":1"),TRANSPOSE($M24:$Q24))</f>
        <v>0</v>
      </c>
      <c r="Y24" s="284">
        <f t="array" aca="1" ref="Y24" ca="1">SUMPRODUCT(--(RIGHT(SP_MortDeduct,2)=":2"),TRANSPOSE($M24:$Q24))</f>
        <v>0</v>
      </c>
      <c r="Z24" s="279">
        <f t="shared" ca="1" si="15"/>
        <v>0</v>
      </c>
    </row>
    <row r="25" spans="2:26" x14ac:dyDescent="0.25">
      <c r="B25" s="65">
        <f t="shared" ca="1" si="16"/>
        <v>2040</v>
      </c>
      <c r="C25" s="65" t="s">
        <v>741</v>
      </c>
      <c r="D25" s="77">
        <f t="shared" si="0"/>
        <v>0</v>
      </c>
      <c r="E25" s="77">
        <f t="shared" si="1"/>
        <v>0</v>
      </c>
      <c r="F25" s="77"/>
      <c r="G25" s="302">
        <f t="shared" ca="1" si="2"/>
        <v>0</v>
      </c>
      <c r="H25" s="284"/>
      <c r="I25" s="284">
        <f t="shared" ca="1" si="3"/>
        <v>0</v>
      </c>
      <c r="J25" s="306">
        <f t="shared" ca="1" si="4"/>
        <v>0</v>
      </c>
      <c r="K25" s="306">
        <f t="shared" ca="1" si="5"/>
        <v>0</v>
      </c>
      <c r="L25" s="306">
        <f t="shared" ca="1" si="6"/>
        <v>0</v>
      </c>
      <c r="M25" s="284">
        <f t="shared" ca="1" si="7"/>
        <v>0</v>
      </c>
      <c r="N25" s="284">
        <f t="shared" ca="1" si="8"/>
        <v>0</v>
      </c>
      <c r="O25" s="307">
        <v>0</v>
      </c>
      <c r="P25" s="284">
        <f t="shared" ca="1" si="9"/>
        <v>0</v>
      </c>
      <c r="Q25" s="301">
        <f t="shared" ca="1" si="10"/>
        <v>0</v>
      </c>
      <c r="R25" s="288"/>
      <c r="S25" s="284">
        <f t="shared" ca="1" si="11"/>
        <v>0</v>
      </c>
      <c r="T25" s="283">
        <f t="shared" ca="1" si="12"/>
        <v>0</v>
      </c>
      <c r="U25" s="284">
        <f t="shared" ca="1" si="13"/>
        <v>0</v>
      </c>
      <c r="V25" s="291">
        <f t="shared" ca="1" si="14"/>
        <v>0</v>
      </c>
      <c r="W25" s="308">
        <f t="shared" ca="1" si="17"/>
        <v>0</v>
      </c>
      <c r="X25" s="284">
        <f t="array" aca="1" ref="X25" ca="1">SUMPRODUCT(--(RIGHT(SP_MortDeduct,2)=":1"),TRANSPOSE($M25:$Q25))</f>
        <v>0</v>
      </c>
      <c r="Y25" s="284">
        <f t="array" aca="1" ref="Y25" ca="1">SUMPRODUCT(--(RIGHT(SP_MortDeduct,2)=":2"),TRANSPOSE($M25:$Q25))</f>
        <v>0</v>
      </c>
      <c r="Z25" s="279">
        <f t="shared" ca="1" si="15"/>
        <v>0</v>
      </c>
    </row>
    <row r="26" spans="2:26" x14ac:dyDescent="0.25">
      <c r="B26" s="65">
        <f t="shared" ca="1" si="16"/>
        <v>2041</v>
      </c>
      <c r="C26" s="65" t="s">
        <v>741</v>
      </c>
      <c r="D26" s="77">
        <f t="shared" si="0"/>
        <v>0</v>
      </c>
      <c r="E26" s="77">
        <f t="shared" si="1"/>
        <v>0</v>
      </c>
      <c r="F26" s="77"/>
      <c r="G26" s="302">
        <f t="shared" ca="1" si="2"/>
        <v>0</v>
      </c>
      <c r="H26" s="284"/>
      <c r="I26" s="284">
        <f t="shared" ca="1" si="3"/>
        <v>0</v>
      </c>
      <c r="J26" s="306">
        <f t="shared" ca="1" si="4"/>
        <v>0</v>
      </c>
      <c r="K26" s="306">
        <f t="shared" ca="1" si="5"/>
        <v>0</v>
      </c>
      <c r="L26" s="306">
        <f t="shared" ca="1" si="6"/>
        <v>0</v>
      </c>
      <c r="M26" s="284">
        <f t="shared" ca="1" si="7"/>
        <v>0</v>
      </c>
      <c r="N26" s="284">
        <f t="shared" ca="1" si="8"/>
        <v>0</v>
      </c>
      <c r="O26" s="307">
        <v>0</v>
      </c>
      <c r="P26" s="284">
        <f t="shared" ca="1" si="9"/>
        <v>0</v>
      </c>
      <c r="Q26" s="301">
        <f t="shared" ca="1" si="10"/>
        <v>0</v>
      </c>
      <c r="R26" s="288"/>
      <c r="S26" s="284">
        <f t="shared" ca="1" si="11"/>
        <v>0</v>
      </c>
      <c r="T26" s="283">
        <f t="shared" ca="1" si="12"/>
        <v>0</v>
      </c>
      <c r="U26" s="284">
        <f t="shared" ca="1" si="13"/>
        <v>0</v>
      </c>
      <c r="V26" s="291">
        <f t="shared" ca="1" si="14"/>
        <v>0</v>
      </c>
      <c r="W26" s="308">
        <f t="shared" ca="1" si="17"/>
        <v>0</v>
      </c>
      <c r="X26" s="284">
        <f t="array" aca="1" ref="X26" ca="1">SUMPRODUCT(--(RIGHT(SP_MortDeduct,2)=":1"),TRANSPOSE($M26:$Q26))</f>
        <v>0</v>
      </c>
      <c r="Y26" s="284">
        <f t="array" aca="1" ref="Y26" ca="1">SUMPRODUCT(--(RIGHT(SP_MortDeduct,2)=":2"),TRANSPOSE($M26:$Q26))</f>
        <v>0</v>
      </c>
      <c r="Z26" s="279">
        <f t="shared" ca="1" si="15"/>
        <v>0</v>
      </c>
    </row>
    <row r="27" spans="2:26" x14ac:dyDescent="0.25">
      <c r="B27" s="65">
        <f t="shared" ca="1" si="16"/>
        <v>2042</v>
      </c>
      <c r="C27" s="65" t="s">
        <v>741</v>
      </c>
      <c r="D27" s="77">
        <f t="shared" si="0"/>
        <v>0</v>
      </c>
      <c r="E27" s="77">
        <f t="shared" si="1"/>
        <v>0</v>
      </c>
      <c r="F27" s="77"/>
      <c r="G27" s="302">
        <f t="shared" ca="1" si="2"/>
        <v>0</v>
      </c>
      <c r="H27" s="284"/>
      <c r="I27" s="284">
        <f t="shared" ca="1" si="3"/>
        <v>0</v>
      </c>
      <c r="J27" s="306">
        <f t="shared" ca="1" si="4"/>
        <v>0</v>
      </c>
      <c r="K27" s="306">
        <f t="shared" ca="1" si="5"/>
        <v>0</v>
      </c>
      <c r="L27" s="306">
        <f t="shared" ca="1" si="6"/>
        <v>0</v>
      </c>
      <c r="M27" s="284">
        <f t="shared" ca="1" si="7"/>
        <v>0</v>
      </c>
      <c r="N27" s="284">
        <f t="shared" ca="1" si="8"/>
        <v>0</v>
      </c>
      <c r="O27" s="307">
        <v>0</v>
      </c>
      <c r="P27" s="284">
        <f t="shared" ca="1" si="9"/>
        <v>0</v>
      </c>
      <c r="Q27" s="301">
        <f t="shared" ca="1" si="10"/>
        <v>0</v>
      </c>
      <c r="R27" s="288"/>
      <c r="S27" s="284">
        <f t="shared" ca="1" si="11"/>
        <v>0</v>
      </c>
      <c r="T27" s="283">
        <f t="shared" ca="1" si="12"/>
        <v>0</v>
      </c>
      <c r="U27" s="284">
        <f t="shared" ca="1" si="13"/>
        <v>0</v>
      </c>
      <c r="V27" s="291">
        <f t="shared" ca="1" si="14"/>
        <v>0</v>
      </c>
      <c r="W27" s="308">
        <f t="shared" ca="1" si="17"/>
        <v>0</v>
      </c>
      <c r="X27" s="284">
        <f t="array" aca="1" ref="X27" ca="1">SUMPRODUCT(--(RIGHT(SP_MortDeduct,2)=":1"),TRANSPOSE($M27:$Q27))</f>
        <v>0</v>
      </c>
      <c r="Y27" s="284">
        <f t="array" aca="1" ref="Y27" ca="1">SUMPRODUCT(--(RIGHT(SP_MortDeduct,2)=":2"),TRANSPOSE($M27:$Q27))</f>
        <v>0</v>
      </c>
      <c r="Z27" s="279">
        <f t="shared" ca="1" si="15"/>
        <v>0</v>
      </c>
    </row>
    <row r="28" spans="2:26" x14ac:dyDescent="0.25">
      <c r="B28" s="65">
        <f t="shared" ca="1" si="16"/>
        <v>2043</v>
      </c>
      <c r="C28" s="65" t="s">
        <v>741</v>
      </c>
      <c r="D28" s="77">
        <f t="shared" si="0"/>
        <v>0</v>
      </c>
      <c r="E28" s="77">
        <f t="shared" si="1"/>
        <v>0</v>
      </c>
      <c r="F28" s="77"/>
      <c r="G28" s="302">
        <f t="shared" ca="1" si="2"/>
        <v>0</v>
      </c>
      <c r="H28" s="284"/>
      <c r="I28" s="284">
        <f t="shared" ca="1" si="3"/>
        <v>0</v>
      </c>
      <c r="J28" s="306">
        <f t="shared" ca="1" si="4"/>
        <v>0</v>
      </c>
      <c r="K28" s="306">
        <f t="shared" ca="1" si="5"/>
        <v>0</v>
      </c>
      <c r="L28" s="306">
        <f t="shared" ca="1" si="6"/>
        <v>0</v>
      </c>
      <c r="M28" s="284">
        <f t="shared" ca="1" si="7"/>
        <v>0</v>
      </c>
      <c r="N28" s="284">
        <f t="shared" ca="1" si="8"/>
        <v>0</v>
      </c>
      <c r="O28" s="307">
        <v>0</v>
      </c>
      <c r="P28" s="284">
        <f t="shared" ca="1" si="9"/>
        <v>0</v>
      </c>
      <c r="Q28" s="301">
        <f t="shared" ca="1" si="10"/>
        <v>0</v>
      </c>
      <c r="R28" s="288"/>
      <c r="S28" s="284">
        <f t="shared" ca="1" si="11"/>
        <v>0</v>
      </c>
      <c r="T28" s="283">
        <f t="shared" ca="1" si="12"/>
        <v>0</v>
      </c>
      <c r="U28" s="284">
        <f t="shared" ca="1" si="13"/>
        <v>0</v>
      </c>
      <c r="V28" s="291">
        <f t="shared" ca="1" si="14"/>
        <v>0</v>
      </c>
      <c r="W28" s="308">
        <f t="shared" ca="1" si="17"/>
        <v>0</v>
      </c>
      <c r="X28" s="284">
        <f t="array" aca="1" ref="X28" ca="1">SUMPRODUCT(--(RIGHT(SP_MortDeduct,2)=":1"),TRANSPOSE($M28:$Q28))</f>
        <v>0</v>
      </c>
      <c r="Y28" s="284">
        <f t="array" aca="1" ref="Y28" ca="1">SUMPRODUCT(--(RIGHT(SP_MortDeduct,2)=":2"),TRANSPOSE($M28:$Q28))</f>
        <v>0</v>
      </c>
      <c r="Z28" s="279">
        <f t="shared" ca="1" si="15"/>
        <v>0</v>
      </c>
    </row>
    <row r="29" spans="2:26" x14ac:dyDescent="0.25">
      <c r="B29" s="65">
        <f t="shared" ca="1" si="16"/>
        <v>2044</v>
      </c>
      <c r="C29" s="65" t="s">
        <v>741</v>
      </c>
      <c r="D29" s="77">
        <f t="shared" si="0"/>
        <v>0</v>
      </c>
      <c r="E29" s="77">
        <f t="shared" si="1"/>
        <v>0</v>
      </c>
      <c r="F29" s="77"/>
      <c r="G29" s="302">
        <f t="shared" ca="1" si="2"/>
        <v>0</v>
      </c>
      <c r="H29" s="284"/>
      <c r="I29" s="284">
        <f t="shared" ca="1" si="3"/>
        <v>0</v>
      </c>
      <c r="J29" s="306">
        <f t="shared" ca="1" si="4"/>
        <v>0</v>
      </c>
      <c r="K29" s="306">
        <f t="shared" ca="1" si="5"/>
        <v>0</v>
      </c>
      <c r="L29" s="306">
        <f t="shared" ca="1" si="6"/>
        <v>0</v>
      </c>
      <c r="M29" s="284">
        <f t="shared" ca="1" si="7"/>
        <v>0</v>
      </c>
      <c r="N29" s="284">
        <f t="shared" ca="1" si="8"/>
        <v>0</v>
      </c>
      <c r="O29" s="307">
        <v>0</v>
      </c>
      <c r="P29" s="284">
        <f t="shared" ca="1" si="9"/>
        <v>0</v>
      </c>
      <c r="Q29" s="301">
        <f t="shared" ca="1" si="10"/>
        <v>0</v>
      </c>
      <c r="R29" s="288"/>
      <c r="S29" s="284">
        <f t="shared" ca="1" si="11"/>
        <v>0</v>
      </c>
      <c r="T29" s="283">
        <f t="shared" ca="1" si="12"/>
        <v>0</v>
      </c>
      <c r="U29" s="284">
        <f t="shared" ca="1" si="13"/>
        <v>0</v>
      </c>
      <c r="V29" s="291">
        <f t="shared" ca="1" si="14"/>
        <v>0</v>
      </c>
      <c r="W29" s="308">
        <f t="shared" ca="1" si="17"/>
        <v>0</v>
      </c>
      <c r="X29" s="284">
        <f t="array" aca="1" ref="X29" ca="1">SUMPRODUCT(--(RIGHT(SP_MortDeduct,2)=":1"),TRANSPOSE($M29:$Q29))</f>
        <v>0</v>
      </c>
      <c r="Y29" s="284">
        <f t="array" aca="1" ref="Y29" ca="1">SUMPRODUCT(--(RIGHT(SP_MortDeduct,2)=":2"),TRANSPOSE($M29:$Q29))</f>
        <v>0</v>
      </c>
      <c r="Z29" s="279">
        <f t="shared" ca="1" si="15"/>
        <v>0</v>
      </c>
    </row>
    <row r="30" spans="2:26" x14ac:dyDescent="0.25">
      <c r="B30" s="65">
        <f t="shared" ca="1" si="16"/>
        <v>2045</v>
      </c>
      <c r="C30" s="65" t="s">
        <v>741</v>
      </c>
      <c r="D30" s="77">
        <f t="shared" si="0"/>
        <v>0</v>
      </c>
      <c r="E30" s="77">
        <f t="shared" si="1"/>
        <v>0</v>
      </c>
      <c r="F30" s="77"/>
      <c r="G30" s="302">
        <f t="shared" ca="1" si="2"/>
        <v>0</v>
      </c>
      <c r="H30" s="284"/>
      <c r="I30" s="284">
        <f t="shared" ca="1" si="3"/>
        <v>0</v>
      </c>
      <c r="J30" s="306">
        <f t="shared" ca="1" si="4"/>
        <v>0</v>
      </c>
      <c r="K30" s="306">
        <f t="shared" ca="1" si="5"/>
        <v>0</v>
      </c>
      <c r="L30" s="306">
        <f t="shared" ca="1" si="6"/>
        <v>0</v>
      </c>
      <c r="M30" s="284">
        <f t="shared" ca="1" si="7"/>
        <v>0</v>
      </c>
      <c r="N30" s="284">
        <f t="shared" ca="1" si="8"/>
        <v>0</v>
      </c>
      <c r="O30" s="307">
        <v>0</v>
      </c>
      <c r="P30" s="284">
        <f t="shared" ca="1" si="9"/>
        <v>0</v>
      </c>
      <c r="Q30" s="301">
        <f t="shared" ca="1" si="10"/>
        <v>0</v>
      </c>
      <c r="R30" s="288"/>
      <c r="S30" s="284">
        <f t="shared" ca="1" si="11"/>
        <v>0</v>
      </c>
      <c r="T30" s="283">
        <f t="shared" ca="1" si="12"/>
        <v>0</v>
      </c>
      <c r="U30" s="284">
        <f t="shared" ca="1" si="13"/>
        <v>0</v>
      </c>
      <c r="V30" s="291">
        <f t="shared" ca="1" si="14"/>
        <v>0</v>
      </c>
      <c r="W30" s="308">
        <f t="shared" ca="1" si="17"/>
        <v>0</v>
      </c>
      <c r="X30" s="284">
        <f t="array" aca="1" ref="X30" ca="1">SUMPRODUCT(--(RIGHT(SP_MortDeduct,2)=":1"),TRANSPOSE($M30:$Q30))</f>
        <v>0</v>
      </c>
      <c r="Y30" s="284">
        <f t="array" aca="1" ref="Y30" ca="1">SUMPRODUCT(--(RIGHT(SP_MortDeduct,2)=":2"),TRANSPOSE($M30:$Q30))</f>
        <v>0</v>
      </c>
      <c r="Z30" s="279">
        <f t="shared" ca="1" si="15"/>
        <v>0</v>
      </c>
    </row>
    <row r="31" spans="2:26" x14ac:dyDescent="0.25">
      <c r="B31" s="65">
        <f t="shared" ca="1" si="16"/>
        <v>2046</v>
      </c>
      <c r="C31" s="65" t="s">
        <v>741</v>
      </c>
      <c r="D31" s="77">
        <f t="shared" si="0"/>
        <v>0</v>
      </c>
      <c r="E31" s="77">
        <f t="shared" si="1"/>
        <v>0</v>
      </c>
      <c r="F31" s="77"/>
      <c r="G31" s="302">
        <f t="shared" ca="1" si="2"/>
        <v>0</v>
      </c>
      <c r="H31" s="284"/>
      <c r="I31" s="284">
        <f t="shared" ca="1" si="3"/>
        <v>0</v>
      </c>
      <c r="J31" s="306">
        <f t="shared" ca="1" si="4"/>
        <v>0</v>
      </c>
      <c r="K31" s="306">
        <f t="shared" ca="1" si="5"/>
        <v>0</v>
      </c>
      <c r="L31" s="306">
        <f t="shared" ca="1" si="6"/>
        <v>0</v>
      </c>
      <c r="M31" s="284">
        <f t="shared" ca="1" si="7"/>
        <v>0</v>
      </c>
      <c r="N31" s="284">
        <f t="shared" ca="1" si="8"/>
        <v>0</v>
      </c>
      <c r="O31" s="307">
        <v>0</v>
      </c>
      <c r="P31" s="284">
        <f t="shared" ca="1" si="9"/>
        <v>0</v>
      </c>
      <c r="Q31" s="301">
        <f t="shared" ca="1" si="10"/>
        <v>0</v>
      </c>
      <c r="R31" s="288"/>
      <c r="S31" s="284">
        <f t="shared" ca="1" si="11"/>
        <v>0</v>
      </c>
      <c r="T31" s="283">
        <f t="shared" ca="1" si="12"/>
        <v>0</v>
      </c>
      <c r="U31" s="284">
        <f t="shared" ca="1" si="13"/>
        <v>0</v>
      </c>
      <c r="V31" s="291">
        <f t="shared" ca="1" si="14"/>
        <v>0</v>
      </c>
      <c r="W31" s="308">
        <f t="shared" ca="1" si="17"/>
        <v>0</v>
      </c>
      <c r="X31" s="284">
        <f t="array" aca="1" ref="X31" ca="1">SUMPRODUCT(--(RIGHT(SP_MortDeduct,2)=":1"),TRANSPOSE($M31:$Q31))</f>
        <v>0</v>
      </c>
      <c r="Y31" s="284">
        <f t="array" aca="1" ref="Y31" ca="1">SUMPRODUCT(--(RIGHT(SP_MortDeduct,2)=":2"),TRANSPOSE($M31:$Q31))</f>
        <v>0</v>
      </c>
      <c r="Z31" s="279">
        <f t="shared" ca="1" si="15"/>
        <v>0</v>
      </c>
    </row>
    <row r="32" spans="2:26" x14ac:dyDescent="0.25">
      <c r="B32" s="65">
        <f t="shared" ca="1" si="16"/>
        <v>2047</v>
      </c>
      <c r="C32" s="65" t="s">
        <v>741</v>
      </c>
      <c r="D32" s="77">
        <f t="shared" si="0"/>
        <v>0</v>
      </c>
      <c r="E32" s="77">
        <f t="shared" si="1"/>
        <v>0</v>
      </c>
      <c r="F32" s="77"/>
      <c r="G32" s="302">
        <f t="shared" ca="1" si="2"/>
        <v>0</v>
      </c>
      <c r="H32" s="284"/>
      <c r="I32" s="284">
        <f t="shared" ca="1" si="3"/>
        <v>0</v>
      </c>
      <c r="J32" s="306">
        <f t="shared" ca="1" si="4"/>
        <v>0</v>
      </c>
      <c r="K32" s="306">
        <f t="shared" ca="1" si="5"/>
        <v>0</v>
      </c>
      <c r="L32" s="306">
        <f t="shared" ca="1" si="6"/>
        <v>0</v>
      </c>
      <c r="M32" s="284">
        <f t="shared" ca="1" si="7"/>
        <v>0</v>
      </c>
      <c r="N32" s="284">
        <f t="shared" ca="1" si="8"/>
        <v>0</v>
      </c>
      <c r="O32" s="307">
        <v>0</v>
      </c>
      <c r="P32" s="284">
        <f t="shared" ca="1" si="9"/>
        <v>0</v>
      </c>
      <c r="Q32" s="301">
        <f t="shared" ca="1" si="10"/>
        <v>0</v>
      </c>
      <c r="R32" s="288"/>
      <c r="S32" s="284">
        <f t="shared" ca="1" si="11"/>
        <v>0</v>
      </c>
      <c r="T32" s="283">
        <f t="shared" ca="1" si="12"/>
        <v>0</v>
      </c>
      <c r="U32" s="284">
        <f t="shared" ca="1" si="13"/>
        <v>0</v>
      </c>
      <c r="V32" s="291">
        <f t="shared" ca="1" si="14"/>
        <v>0</v>
      </c>
      <c r="W32" s="308">
        <f t="shared" ca="1" si="17"/>
        <v>0</v>
      </c>
      <c r="X32" s="284">
        <f t="array" aca="1" ref="X32" ca="1">SUMPRODUCT(--(RIGHT(SP_MortDeduct,2)=":1"),TRANSPOSE($M32:$Q32))</f>
        <v>0</v>
      </c>
      <c r="Y32" s="284">
        <f t="array" aca="1" ref="Y32" ca="1">SUMPRODUCT(--(RIGHT(SP_MortDeduct,2)=":2"),TRANSPOSE($M32:$Q32))</f>
        <v>0</v>
      </c>
      <c r="Z32" s="279">
        <f t="shared" ca="1" si="15"/>
        <v>0</v>
      </c>
    </row>
    <row r="33" spans="2:26" x14ac:dyDescent="0.25">
      <c r="B33" s="65">
        <f t="shared" ca="1" si="16"/>
        <v>2048</v>
      </c>
      <c r="C33" s="65" t="s">
        <v>741</v>
      </c>
      <c r="D33" s="77">
        <f t="shared" si="0"/>
        <v>0</v>
      </c>
      <c r="E33" s="77">
        <f t="shared" si="1"/>
        <v>0</v>
      </c>
      <c r="F33" s="77"/>
      <c r="G33" s="302">
        <f t="shared" ca="1" si="2"/>
        <v>0</v>
      </c>
      <c r="H33" s="284"/>
      <c r="I33" s="284">
        <f t="shared" ca="1" si="3"/>
        <v>0</v>
      </c>
      <c r="J33" s="306">
        <f t="shared" ca="1" si="4"/>
        <v>0</v>
      </c>
      <c r="K33" s="306">
        <f t="shared" ca="1" si="5"/>
        <v>0</v>
      </c>
      <c r="L33" s="306">
        <f t="shared" ca="1" si="6"/>
        <v>0</v>
      </c>
      <c r="M33" s="284">
        <f t="shared" ca="1" si="7"/>
        <v>0</v>
      </c>
      <c r="N33" s="284">
        <f t="shared" ca="1" si="8"/>
        <v>0</v>
      </c>
      <c r="O33" s="307">
        <v>0</v>
      </c>
      <c r="P33" s="284">
        <f t="shared" ca="1" si="9"/>
        <v>0</v>
      </c>
      <c r="Q33" s="301">
        <f t="shared" ca="1" si="10"/>
        <v>0</v>
      </c>
      <c r="R33" s="288"/>
      <c r="S33" s="284">
        <f t="shared" ca="1" si="11"/>
        <v>0</v>
      </c>
      <c r="T33" s="283">
        <f t="shared" ca="1" si="12"/>
        <v>0</v>
      </c>
      <c r="U33" s="284">
        <f t="shared" ca="1" si="13"/>
        <v>0</v>
      </c>
      <c r="V33" s="291">
        <f t="shared" ca="1" si="14"/>
        <v>0</v>
      </c>
      <c r="W33" s="308">
        <f t="shared" ca="1" si="17"/>
        <v>0</v>
      </c>
      <c r="X33" s="284">
        <f t="array" aca="1" ref="X33" ca="1">SUMPRODUCT(--(RIGHT(SP_MortDeduct,2)=":1"),TRANSPOSE($M33:$Q33))</f>
        <v>0</v>
      </c>
      <c r="Y33" s="284">
        <f t="array" aca="1" ref="Y33" ca="1">SUMPRODUCT(--(RIGHT(SP_MortDeduct,2)=":2"),TRANSPOSE($M33:$Q33))</f>
        <v>0</v>
      </c>
      <c r="Z33" s="279">
        <f t="shared" ca="1" si="15"/>
        <v>0</v>
      </c>
    </row>
    <row r="34" spans="2:26" x14ac:dyDescent="0.25">
      <c r="B34" s="65">
        <f t="shared" ca="1" si="16"/>
        <v>2049</v>
      </c>
      <c r="C34" s="65" t="s">
        <v>741</v>
      </c>
      <c r="D34" s="77">
        <f t="shared" si="0"/>
        <v>0</v>
      </c>
      <c r="E34" s="77">
        <f t="shared" si="1"/>
        <v>0</v>
      </c>
      <c r="F34" s="77"/>
      <c r="G34" s="302">
        <f t="shared" ca="1" si="2"/>
        <v>0</v>
      </c>
      <c r="H34" s="284"/>
      <c r="I34" s="284">
        <f t="shared" ca="1" si="3"/>
        <v>0</v>
      </c>
      <c r="J34" s="306">
        <f t="shared" ca="1" si="4"/>
        <v>0</v>
      </c>
      <c r="K34" s="306">
        <f t="shared" ca="1" si="5"/>
        <v>0</v>
      </c>
      <c r="L34" s="306">
        <f t="shared" ca="1" si="6"/>
        <v>0</v>
      </c>
      <c r="M34" s="284">
        <f t="shared" ca="1" si="7"/>
        <v>0</v>
      </c>
      <c r="N34" s="284">
        <f t="shared" ca="1" si="8"/>
        <v>0</v>
      </c>
      <c r="O34" s="307">
        <v>0</v>
      </c>
      <c r="P34" s="284">
        <f t="shared" ca="1" si="9"/>
        <v>0</v>
      </c>
      <c r="Q34" s="301">
        <f t="shared" ca="1" si="10"/>
        <v>0</v>
      </c>
      <c r="R34" s="288"/>
      <c r="S34" s="284">
        <f t="shared" ca="1" si="11"/>
        <v>0</v>
      </c>
      <c r="T34" s="283">
        <f t="shared" ca="1" si="12"/>
        <v>0</v>
      </c>
      <c r="U34" s="284">
        <f t="shared" ca="1" si="13"/>
        <v>0</v>
      </c>
      <c r="V34" s="291">
        <f t="shared" ca="1" si="14"/>
        <v>0</v>
      </c>
      <c r="W34" s="308">
        <f t="shared" ca="1" si="17"/>
        <v>0</v>
      </c>
      <c r="X34" s="284">
        <f t="array" aca="1" ref="X34" ca="1">SUMPRODUCT(--(RIGHT(SP_MortDeduct,2)=":1"),TRANSPOSE($M34:$Q34))</f>
        <v>0</v>
      </c>
      <c r="Y34" s="284">
        <f t="array" aca="1" ref="Y34" ca="1">SUMPRODUCT(--(RIGHT(SP_MortDeduct,2)=":2"),TRANSPOSE($M34:$Q34))</f>
        <v>0</v>
      </c>
      <c r="Z34" s="279">
        <f t="shared" ca="1" si="15"/>
        <v>0</v>
      </c>
    </row>
    <row r="35" spans="2:26" x14ac:dyDescent="0.25">
      <c r="B35" s="65">
        <f t="shared" ca="1" si="16"/>
        <v>2050</v>
      </c>
      <c r="C35" s="65" t="s">
        <v>741</v>
      </c>
      <c r="D35" s="77">
        <f t="shared" si="0"/>
        <v>0</v>
      </c>
      <c r="E35" s="77">
        <f t="shared" si="1"/>
        <v>0</v>
      </c>
      <c r="F35" s="77"/>
      <c r="G35" s="302">
        <f t="shared" ca="1" si="2"/>
        <v>0</v>
      </c>
      <c r="H35" s="284"/>
      <c r="I35" s="284">
        <f t="shared" ca="1" si="3"/>
        <v>0</v>
      </c>
      <c r="J35" s="306">
        <f t="shared" ca="1" si="4"/>
        <v>0</v>
      </c>
      <c r="K35" s="306">
        <f t="shared" ca="1" si="5"/>
        <v>0</v>
      </c>
      <c r="L35" s="306">
        <f t="shared" ca="1" si="6"/>
        <v>0</v>
      </c>
      <c r="M35" s="284">
        <f t="shared" ca="1" si="7"/>
        <v>0</v>
      </c>
      <c r="N35" s="284">
        <f t="shared" ca="1" si="8"/>
        <v>0</v>
      </c>
      <c r="O35" s="307">
        <v>0</v>
      </c>
      <c r="P35" s="284">
        <f t="shared" ca="1" si="9"/>
        <v>0</v>
      </c>
      <c r="Q35" s="301">
        <f t="shared" ca="1" si="10"/>
        <v>0</v>
      </c>
      <c r="R35" s="288"/>
      <c r="S35" s="284">
        <f t="shared" ca="1" si="11"/>
        <v>0</v>
      </c>
      <c r="T35" s="283">
        <f t="shared" ca="1" si="12"/>
        <v>0</v>
      </c>
      <c r="U35" s="284">
        <f t="shared" ca="1" si="13"/>
        <v>0</v>
      </c>
      <c r="V35" s="291">
        <f t="shared" ca="1" si="14"/>
        <v>0</v>
      </c>
      <c r="W35" s="308">
        <f t="shared" ca="1" si="17"/>
        <v>0</v>
      </c>
      <c r="X35" s="284">
        <f t="array" aca="1" ref="X35" ca="1">SUMPRODUCT(--(RIGHT(SP_MortDeduct,2)=":1"),TRANSPOSE($M35:$Q35))</f>
        <v>0</v>
      </c>
      <c r="Y35" s="284">
        <f t="array" aca="1" ref="Y35" ca="1">SUMPRODUCT(--(RIGHT(SP_MortDeduct,2)=":2"),TRANSPOSE($M35:$Q35))</f>
        <v>0</v>
      </c>
      <c r="Z35" s="279">
        <f t="shared" ca="1" si="15"/>
        <v>0</v>
      </c>
    </row>
    <row r="36" spans="2:26" x14ac:dyDescent="0.25">
      <c r="B36" s="65">
        <f t="shared" ca="1" si="16"/>
        <v>2051</v>
      </c>
      <c r="C36" s="65" t="s">
        <v>741</v>
      </c>
      <c r="D36" s="77">
        <f t="shared" si="0"/>
        <v>0</v>
      </c>
      <c r="E36" s="77">
        <f t="shared" si="1"/>
        <v>0</v>
      </c>
      <c r="F36" s="77"/>
      <c r="G36" s="302">
        <f t="shared" ca="1" si="2"/>
        <v>0</v>
      </c>
      <c r="H36" s="284"/>
      <c r="I36" s="284">
        <f t="shared" ca="1" si="3"/>
        <v>0</v>
      </c>
      <c r="J36" s="306">
        <f t="shared" ca="1" si="4"/>
        <v>0</v>
      </c>
      <c r="K36" s="306">
        <f t="shared" ca="1" si="5"/>
        <v>0</v>
      </c>
      <c r="L36" s="306">
        <f t="shared" ca="1" si="6"/>
        <v>0</v>
      </c>
      <c r="M36" s="284">
        <f t="shared" ca="1" si="7"/>
        <v>0</v>
      </c>
      <c r="N36" s="284">
        <f t="shared" ca="1" si="8"/>
        <v>0</v>
      </c>
      <c r="O36" s="307">
        <v>0</v>
      </c>
      <c r="P36" s="284">
        <f t="shared" ca="1" si="9"/>
        <v>0</v>
      </c>
      <c r="Q36" s="301">
        <f t="shared" ca="1" si="10"/>
        <v>0</v>
      </c>
      <c r="R36" s="288"/>
      <c r="S36" s="284">
        <f t="shared" ca="1" si="11"/>
        <v>0</v>
      </c>
      <c r="T36" s="283">
        <f t="shared" ca="1" si="12"/>
        <v>0</v>
      </c>
      <c r="U36" s="284">
        <f t="shared" ca="1" si="13"/>
        <v>0</v>
      </c>
      <c r="V36" s="291">
        <f t="shared" ca="1" si="14"/>
        <v>0</v>
      </c>
      <c r="W36" s="308">
        <f t="shared" ca="1" si="17"/>
        <v>0</v>
      </c>
      <c r="X36" s="284">
        <f t="array" aca="1" ref="X36" ca="1">SUMPRODUCT(--(RIGHT(SP_MortDeduct,2)=":1"),TRANSPOSE($M36:$Q36))</f>
        <v>0</v>
      </c>
      <c r="Y36" s="284">
        <f t="array" aca="1" ref="Y36" ca="1">SUMPRODUCT(--(RIGHT(SP_MortDeduct,2)=":2"),TRANSPOSE($M36:$Q36))</f>
        <v>0</v>
      </c>
      <c r="Z36" s="279">
        <f t="shared" ca="1" si="15"/>
        <v>0</v>
      </c>
    </row>
    <row r="37" spans="2:26" x14ac:dyDescent="0.25">
      <c r="B37" s="65">
        <f t="shared" ca="1" si="16"/>
        <v>2052</v>
      </c>
      <c r="C37" s="65" t="s">
        <v>741</v>
      </c>
      <c r="D37" s="77">
        <f t="shared" si="0"/>
        <v>0</v>
      </c>
      <c r="E37" s="77">
        <f t="shared" si="1"/>
        <v>0</v>
      </c>
      <c r="F37" s="77"/>
      <c r="G37" s="302">
        <f t="shared" ca="1" si="2"/>
        <v>0</v>
      </c>
      <c r="H37" s="284"/>
      <c r="I37" s="284">
        <f t="shared" ca="1" si="3"/>
        <v>0</v>
      </c>
      <c r="J37" s="306">
        <f t="shared" ca="1" si="4"/>
        <v>0</v>
      </c>
      <c r="K37" s="306">
        <f t="shared" ca="1" si="5"/>
        <v>0</v>
      </c>
      <c r="L37" s="306">
        <f t="shared" ca="1" si="6"/>
        <v>0</v>
      </c>
      <c r="M37" s="284">
        <f t="shared" ca="1" si="7"/>
        <v>0</v>
      </c>
      <c r="N37" s="284">
        <f t="shared" ca="1" si="8"/>
        <v>0</v>
      </c>
      <c r="O37" s="307">
        <v>0</v>
      </c>
      <c r="P37" s="284">
        <f t="shared" ca="1" si="9"/>
        <v>0</v>
      </c>
      <c r="Q37" s="301">
        <f t="shared" ca="1" si="10"/>
        <v>0</v>
      </c>
      <c r="R37" s="288"/>
      <c r="S37" s="284">
        <f t="shared" ca="1" si="11"/>
        <v>0</v>
      </c>
      <c r="T37" s="283">
        <f t="shared" ca="1" si="12"/>
        <v>0</v>
      </c>
      <c r="U37" s="284">
        <f t="shared" ca="1" si="13"/>
        <v>0</v>
      </c>
      <c r="V37" s="291">
        <f t="shared" ca="1" si="14"/>
        <v>0</v>
      </c>
      <c r="W37" s="308">
        <f t="shared" ca="1" si="17"/>
        <v>0</v>
      </c>
      <c r="X37" s="284">
        <f t="array" aca="1" ref="X37" ca="1">SUMPRODUCT(--(RIGHT(SP_MortDeduct,2)=":1"),TRANSPOSE($M37:$Q37))</f>
        <v>0</v>
      </c>
      <c r="Y37" s="284">
        <f t="array" aca="1" ref="Y37" ca="1">SUMPRODUCT(--(RIGHT(SP_MortDeduct,2)=":2"),TRANSPOSE($M37:$Q37))</f>
        <v>0</v>
      </c>
      <c r="Z37" s="279">
        <f t="shared" ca="1" si="15"/>
        <v>0</v>
      </c>
    </row>
    <row r="38" spans="2:26" x14ac:dyDescent="0.25">
      <c r="B38" s="65">
        <f t="shared" ca="1" si="16"/>
        <v>2053</v>
      </c>
      <c r="C38" s="65" t="s">
        <v>741</v>
      </c>
      <c r="D38" s="77">
        <f t="shared" si="0"/>
        <v>0</v>
      </c>
      <c r="E38" s="77">
        <f t="shared" si="1"/>
        <v>0</v>
      </c>
      <c r="F38" s="77"/>
      <c r="G38" s="302">
        <f t="shared" ca="1" si="2"/>
        <v>0</v>
      </c>
      <c r="H38" s="284"/>
      <c r="I38" s="284">
        <f t="shared" ca="1" si="3"/>
        <v>0</v>
      </c>
      <c r="J38" s="306">
        <f t="shared" ca="1" si="4"/>
        <v>0</v>
      </c>
      <c r="K38" s="306">
        <f t="shared" ca="1" si="5"/>
        <v>0</v>
      </c>
      <c r="L38" s="306">
        <f t="shared" ca="1" si="6"/>
        <v>0</v>
      </c>
      <c r="M38" s="284">
        <f t="shared" ca="1" si="7"/>
        <v>0</v>
      </c>
      <c r="N38" s="284">
        <f t="shared" ca="1" si="8"/>
        <v>0</v>
      </c>
      <c r="O38" s="307">
        <v>0</v>
      </c>
      <c r="P38" s="284">
        <f t="shared" ca="1" si="9"/>
        <v>0</v>
      </c>
      <c r="Q38" s="301">
        <f t="shared" ca="1" si="10"/>
        <v>0</v>
      </c>
      <c r="R38" s="288"/>
      <c r="S38" s="284">
        <f t="shared" ca="1" si="11"/>
        <v>0</v>
      </c>
      <c r="T38" s="283">
        <f t="shared" ca="1" si="12"/>
        <v>0</v>
      </c>
      <c r="U38" s="284">
        <f t="shared" ca="1" si="13"/>
        <v>0</v>
      </c>
      <c r="V38" s="291">
        <f t="shared" ca="1" si="14"/>
        <v>0</v>
      </c>
      <c r="W38" s="308">
        <f t="shared" ca="1" si="17"/>
        <v>0</v>
      </c>
      <c r="X38" s="284">
        <f t="array" aca="1" ref="X38" ca="1">SUMPRODUCT(--(RIGHT(SP_MortDeduct,2)=":1"),TRANSPOSE($M38:$Q38))</f>
        <v>0</v>
      </c>
      <c r="Y38" s="284">
        <f t="array" aca="1" ref="Y38" ca="1">SUMPRODUCT(--(RIGHT(SP_MortDeduct,2)=":2"),TRANSPOSE($M38:$Q38))</f>
        <v>0</v>
      </c>
      <c r="Z38" s="279">
        <f t="shared" ca="1" si="15"/>
        <v>0</v>
      </c>
    </row>
    <row r="39" spans="2:26" x14ac:dyDescent="0.25">
      <c r="B39" s="65">
        <f t="shared" ca="1" si="16"/>
        <v>2054</v>
      </c>
      <c r="C39" s="65" t="s">
        <v>741</v>
      </c>
      <c r="D39" s="77">
        <f t="shared" ref="D39:D70" si="18">IF(INDEX(SC_ShowRetireatee,1),IF($B39&lt;YEAR(INDEX(SP_BirthDate,1)),0,$B39-YEAR(INDEX(SP_BirthDate,1))),0)</f>
        <v>0</v>
      </c>
      <c r="E39" s="77">
        <f t="shared" ref="E39:E70" si="19">IF(INDEX(SC_ShowRetireatee,2),IF($B39&lt;YEAR(INDEX(SP_BirthDate,2)),0,$B39-YEAR(INDEX(SP_BirthDate,2))),0)</f>
        <v>0</v>
      </c>
      <c r="F39" s="77"/>
      <c r="G39" s="302">
        <f t="shared" ref="G39:G70" ca="1" si="20">SP_HomeValue/INDEX(SC_EA_InflationCPIdx,EAIDX)</f>
        <v>0</v>
      </c>
      <c r="H39" s="284"/>
      <c r="I39" s="284">
        <f t="shared" ref="I39:I70" ca="1" si="21">$I38+$M38</f>
        <v>0</v>
      </c>
      <c r="J39" s="306">
        <f t="shared" ref="J39:J70" ca="1" si="22">IFERROR(NPER(SP_MortRate/12,PMT(SP_MortRate/12,SP_MortNper,SP_MortOriginBalance,0,0)-SP_MortExtraPayment,$I39,0,0),0)</f>
        <v>0</v>
      </c>
      <c r="K39" s="306">
        <f t="shared" ref="K39:K70" ca="1" si="23">IFERROR(NPER(SP_MortRate/12,PMT(SP_MortRate/12,SP_MortNper,SP_MortOriginBalance,0,0),$I39,0,0),0)</f>
        <v>0</v>
      </c>
      <c r="L39" s="306">
        <f t="shared" ref="L39:L70" ca="1" si="24">MIN(IFERROR(DATEDIF(SP_MortOriginDate, DATE($B39+1,1,1), "m"),0),12,$J39)</f>
        <v>0</v>
      </c>
      <c r="M39" s="284">
        <f t="shared" ref="M39:M70" ca="1" si="25">IF($L39&gt;0,IF(MOD($L39, 1)=0,CUMPRINC(SP_MortRate/12,MAX($J39,1),$I39,1,MAX($L39,1),0),-$I39),0)</f>
        <v>0</v>
      </c>
      <c r="N39" s="284">
        <f t="shared" ref="N39:N70" ca="1" si="26">IF($L39&gt;0,CUMIPMT(SP_MortRate/12,MAX($J39,1),$I39,1,MAX($L39,1),0),0)</f>
        <v>0</v>
      </c>
      <c r="O39" s="307">
        <v>0</v>
      </c>
      <c r="P39" s="284">
        <f t="shared" ref="P39:P70" ca="1" si="27">-ABS(SP_RealEstateTax)*12/INDEX(SC_EA_InflationCPIdx,EAIDX)</f>
        <v>0</v>
      </c>
      <c r="Q39" s="301">
        <f t="shared" ref="Q39:Q70" ca="1" si="28">-ABS(SP_HomeIns)*12/INDEX(SC_EA_InflationCPIdx,EAIDX)</f>
        <v>0</v>
      </c>
      <c r="R39" s="288"/>
      <c r="S39" s="284">
        <f t="shared" ref="S39:S70" ca="1" si="29">MIN($S38+$U38+$V38,$G39*(1-LT_RealtorFees))</f>
        <v>0</v>
      </c>
      <c r="T39" s="283">
        <f t="shared" ref="T39:T70" ca="1" si="30">MIN(IFERROR(DATEDIF(SP_HECMOriginDate, DATE($B39+1,1,1), "m"),0),12)</f>
        <v>0</v>
      </c>
      <c r="U39" s="284">
        <f t="shared" ref="U39:U70" ca="1" si="31">IF(AND(IFERROR(YEAR(SP_HECMOriginDate),0)=$B39,SP_HECMOriginBalance=0),MIN(SC_HECMPLF*$G39,LT_HECMMaxLoan/INDEX(SC_EA_InflationCPIdx,EAIDX)),0)</f>
        <v>0</v>
      </c>
      <c r="V39" s="291">
        <f t="shared" ref="V39:V70" ca="1" si="32">(S39+U39)*POWER(1+SP_HECMRate/12,T39)-(S39+U39)</f>
        <v>0</v>
      </c>
      <c r="W39" s="308">
        <f t="shared" ca="1" si="17"/>
        <v>0</v>
      </c>
      <c r="X39" s="284">
        <f t="array" aca="1" ref="X39" ca="1">SUMPRODUCT(--(RIGHT(SP_MortDeduct,2)=":1"),TRANSPOSE($M39:$Q39))</f>
        <v>0</v>
      </c>
      <c r="Y39" s="284">
        <f t="array" aca="1" ref="Y39" ca="1">SUMPRODUCT(--(RIGHT(SP_MortDeduct,2)=":2"),TRANSPOSE($M39:$Q39))</f>
        <v>0</v>
      </c>
      <c r="Z39" s="279">
        <f t="shared" ref="Z39:Z70" ca="1" si="33">SUM(M39:Q39)</f>
        <v>0</v>
      </c>
    </row>
    <row r="40" spans="2:26" x14ac:dyDescent="0.25">
      <c r="B40" s="65">
        <f t="shared" ca="1" si="16"/>
        <v>2055</v>
      </c>
      <c r="C40" s="65" t="s">
        <v>741</v>
      </c>
      <c r="D40" s="77">
        <f t="shared" si="18"/>
        <v>0</v>
      </c>
      <c r="E40" s="77">
        <f t="shared" si="19"/>
        <v>0</v>
      </c>
      <c r="F40" s="77"/>
      <c r="G40" s="302">
        <f t="shared" ca="1" si="20"/>
        <v>0</v>
      </c>
      <c r="H40" s="284"/>
      <c r="I40" s="284">
        <f t="shared" ca="1" si="21"/>
        <v>0</v>
      </c>
      <c r="J40" s="306">
        <f t="shared" ca="1" si="22"/>
        <v>0</v>
      </c>
      <c r="K40" s="306">
        <f t="shared" ca="1" si="23"/>
        <v>0</v>
      </c>
      <c r="L40" s="306">
        <f t="shared" ca="1" si="24"/>
        <v>0</v>
      </c>
      <c r="M40" s="284">
        <f t="shared" ca="1" si="25"/>
        <v>0</v>
      </c>
      <c r="N40" s="284">
        <f t="shared" ca="1" si="26"/>
        <v>0</v>
      </c>
      <c r="O40" s="307">
        <v>0</v>
      </c>
      <c r="P40" s="284">
        <f t="shared" ca="1" si="27"/>
        <v>0</v>
      </c>
      <c r="Q40" s="301">
        <f t="shared" ca="1" si="28"/>
        <v>0</v>
      </c>
      <c r="R40" s="288"/>
      <c r="S40" s="284">
        <f t="shared" ca="1" si="29"/>
        <v>0</v>
      </c>
      <c r="T40" s="283">
        <f t="shared" ca="1" si="30"/>
        <v>0</v>
      </c>
      <c r="U40" s="284">
        <f t="shared" ca="1" si="31"/>
        <v>0</v>
      </c>
      <c r="V40" s="291">
        <f t="shared" ca="1" si="32"/>
        <v>0</v>
      </c>
      <c r="W40" s="308">
        <f t="shared" ca="1" si="17"/>
        <v>0</v>
      </c>
      <c r="X40" s="284">
        <f t="array" aca="1" ref="X40" ca="1">SUMPRODUCT(--(RIGHT(SP_MortDeduct,2)=":1"),TRANSPOSE($M40:$Q40))</f>
        <v>0</v>
      </c>
      <c r="Y40" s="284">
        <f t="array" aca="1" ref="Y40" ca="1">SUMPRODUCT(--(RIGHT(SP_MortDeduct,2)=":2"),TRANSPOSE($M40:$Q40))</f>
        <v>0</v>
      </c>
      <c r="Z40" s="279">
        <f t="shared" ca="1" si="33"/>
        <v>0</v>
      </c>
    </row>
    <row r="41" spans="2:26" x14ac:dyDescent="0.25">
      <c r="B41" s="65">
        <f t="shared" ca="1" si="16"/>
        <v>2056</v>
      </c>
      <c r="C41" s="65" t="s">
        <v>741</v>
      </c>
      <c r="D41" s="77">
        <f t="shared" si="18"/>
        <v>0</v>
      </c>
      <c r="E41" s="77">
        <f t="shared" si="19"/>
        <v>0</v>
      </c>
      <c r="F41" s="77"/>
      <c r="G41" s="302">
        <f t="shared" ca="1" si="20"/>
        <v>0</v>
      </c>
      <c r="H41" s="284"/>
      <c r="I41" s="284">
        <f t="shared" ca="1" si="21"/>
        <v>0</v>
      </c>
      <c r="J41" s="306">
        <f t="shared" ca="1" si="22"/>
        <v>0</v>
      </c>
      <c r="K41" s="306">
        <f t="shared" ca="1" si="23"/>
        <v>0</v>
      </c>
      <c r="L41" s="306">
        <f t="shared" ca="1" si="24"/>
        <v>0</v>
      </c>
      <c r="M41" s="284">
        <f t="shared" ca="1" si="25"/>
        <v>0</v>
      </c>
      <c r="N41" s="284">
        <f t="shared" ca="1" si="26"/>
        <v>0</v>
      </c>
      <c r="O41" s="307">
        <v>0</v>
      </c>
      <c r="P41" s="284">
        <f t="shared" ca="1" si="27"/>
        <v>0</v>
      </c>
      <c r="Q41" s="301">
        <f t="shared" ca="1" si="28"/>
        <v>0</v>
      </c>
      <c r="R41" s="288"/>
      <c r="S41" s="284">
        <f t="shared" ca="1" si="29"/>
        <v>0</v>
      </c>
      <c r="T41" s="283">
        <f t="shared" ca="1" si="30"/>
        <v>0</v>
      </c>
      <c r="U41" s="284">
        <f t="shared" ca="1" si="31"/>
        <v>0</v>
      </c>
      <c r="V41" s="291">
        <f t="shared" ca="1" si="32"/>
        <v>0</v>
      </c>
      <c r="W41" s="308">
        <f t="shared" ca="1" si="17"/>
        <v>0</v>
      </c>
      <c r="X41" s="284">
        <f t="array" aca="1" ref="X41" ca="1">SUMPRODUCT(--(RIGHT(SP_MortDeduct,2)=":1"),TRANSPOSE($M41:$Q41))</f>
        <v>0</v>
      </c>
      <c r="Y41" s="284">
        <f t="array" aca="1" ref="Y41" ca="1">SUMPRODUCT(--(RIGHT(SP_MortDeduct,2)=":2"),TRANSPOSE($M41:$Q41))</f>
        <v>0</v>
      </c>
      <c r="Z41" s="279">
        <f t="shared" ca="1" si="33"/>
        <v>0</v>
      </c>
    </row>
    <row r="42" spans="2:26" x14ac:dyDescent="0.25">
      <c r="B42" s="65">
        <f t="shared" ca="1" si="16"/>
        <v>2057</v>
      </c>
      <c r="C42" s="65" t="s">
        <v>741</v>
      </c>
      <c r="D42" s="77">
        <f t="shared" si="18"/>
        <v>0</v>
      </c>
      <c r="E42" s="77">
        <f t="shared" si="19"/>
        <v>0</v>
      </c>
      <c r="F42" s="77"/>
      <c r="G42" s="302">
        <f t="shared" ca="1" si="20"/>
        <v>0</v>
      </c>
      <c r="H42" s="284"/>
      <c r="I42" s="284">
        <f t="shared" ca="1" si="21"/>
        <v>0</v>
      </c>
      <c r="J42" s="306">
        <f t="shared" ca="1" si="22"/>
        <v>0</v>
      </c>
      <c r="K42" s="306">
        <f t="shared" ca="1" si="23"/>
        <v>0</v>
      </c>
      <c r="L42" s="306">
        <f t="shared" ca="1" si="24"/>
        <v>0</v>
      </c>
      <c r="M42" s="284">
        <f t="shared" ca="1" si="25"/>
        <v>0</v>
      </c>
      <c r="N42" s="284">
        <f t="shared" ca="1" si="26"/>
        <v>0</v>
      </c>
      <c r="O42" s="307">
        <v>0</v>
      </c>
      <c r="P42" s="284">
        <f t="shared" ca="1" si="27"/>
        <v>0</v>
      </c>
      <c r="Q42" s="301">
        <f t="shared" ca="1" si="28"/>
        <v>0</v>
      </c>
      <c r="R42" s="288"/>
      <c r="S42" s="284">
        <f t="shared" ca="1" si="29"/>
        <v>0</v>
      </c>
      <c r="T42" s="283">
        <f t="shared" ca="1" si="30"/>
        <v>0</v>
      </c>
      <c r="U42" s="284">
        <f t="shared" ca="1" si="31"/>
        <v>0</v>
      </c>
      <c r="V42" s="291">
        <f t="shared" ca="1" si="32"/>
        <v>0</v>
      </c>
      <c r="W42" s="308">
        <f t="shared" ca="1" si="17"/>
        <v>0</v>
      </c>
      <c r="X42" s="284">
        <f t="array" aca="1" ref="X42" ca="1">SUMPRODUCT(--(RIGHT(SP_MortDeduct,2)=":1"),TRANSPOSE($M42:$Q42))</f>
        <v>0</v>
      </c>
      <c r="Y42" s="284">
        <f t="array" aca="1" ref="Y42" ca="1">SUMPRODUCT(--(RIGHT(SP_MortDeduct,2)=":2"),TRANSPOSE($M42:$Q42))</f>
        <v>0</v>
      </c>
      <c r="Z42" s="279">
        <f t="shared" ca="1" si="33"/>
        <v>0</v>
      </c>
    </row>
    <row r="43" spans="2:26" x14ac:dyDescent="0.25">
      <c r="B43" s="65">
        <f t="shared" ca="1" si="16"/>
        <v>2058</v>
      </c>
      <c r="C43" s="65" t="s">
        <v>741</v>
      </c>
      <c r="D43" s="77">
        <f t="shared" si="18"/>
        <v>0</v>
      </c>
      <c r="E43" s="77">
        <f t="shared" si="19"/>
        <v>0</v>
      </c>
      <c r="F43" s="77"/>
      <c r="G43" s="302">
        <f t="shared" ca="1" si="20"/>
        <v>0</v>
      </c>
      <c r="H43" s="284"/>
      <c r="I43" s="284">
        <f t="shared" ca="1" si="21"/>
        <v>0</v>
      </c>
      <c r="J43" s="306">
        <f t="shared" ca="1" si="22"/>
        <v>0</v>
      </c>
      <c r="K43" s="306">
        <f t="shared" ca="1" si="23"/>
        <v>0</v>
      </c>
      <c r="L43" s="306">
        <f t="shared" ca="1" si="24"/>
        <v>0</v>
      </c>
      <c r="M43" s="284">
        <f t="shared" ca="1" si="25"/>
        <v>0</v>
      </c>
      <c r="N43" s="284">
        <f t="shared" ca="1" si="26"/>
        <v>0</v>
      </c>
      <c r="O43" s="307">
        <v>0</v>
      </c>
      <c r="P43" s="284">
        <f t="shared" ca="1" si="27"/>
        <v>0</v>
      </c>
      <c r="Q43" s="301">
        <f t="shared" ca="1" si="28"/>
        <v>0</v>
      </c>
      <c r="R43" s="288"/>
      <c r="S43" s="284">
        <f t="shared" ca="1" si="29"/>
        <v>0</v>
      </c>
      <c r="T43" s="283">
        <f t="shared" ca="1" si="30"/>
        <v>0</v>
      </c>
      <c r="U43" s="284">
        <f t="shared" ca="1" si="31"/>
        <v>0</v>
      </c>
      <c r="V43" s="291">
        <f t="shared" ca="1" si="32"/>
        <v>0</v>
      </c>
      <c r="W43" s="308">
        <f t="shared" ca="1" si="17"/>
        <v>0</v>
      </c>
      <c r="X43" s="284">
        <f t="array" aca="1" ref="X43" ca="1">SUMPRODUCT(--(RIGHT(SP_MortDeduct,2)=":1"),TRANSPOSE($M43:$Q43))</f>
        <v>0</v>
      </c>
      <c r="Y43" s="284">
        <f t="array" aca="1" ref="Y43" ca="1">SUMPRODUCT(--(RIGHT(SP_MortDeduct,2)=":2"),TRANSPOSE($M43:$Q43))</f>
        <v>0</v>
      </c>
      <c r="Z43" s="279">
        <f t="shared" ca="1" si="33"/>
        <v>0</v>
      </c>
    </row>
    <row r="44" spans="2:26" x14ac:dyDescent="0.25">
      <c r="B44" s="65">
        <f t="shared" ca="1" si="16"/>
        <v>2059</v>
      </c>
      <c r="C44" s="65" t="s">
        <v>741</v>
      </c>
      <c r="D44" s="77">
        <f t="shared" si="18"/>
        <v>0</v>
      </c>
      <c r="E44" s="77">
        <f t="shared" si="19"/>
        <v>0</v>
      </c>
      <c r="F44" s="77"/>
      <c r="G44" s="302">
        <f t="shared" ca="1" si="20"/>
        <v>0</v>
      </c>
      <c r="H44" s="284"/>
      <c r="I44" s="284">
        <f t="shared" ca="1" si="21"/>
        <v>0</v>
      </c>
      <c r="J44" s="306">
        <f t="shared" ca="1" si="22"/>
        <v>0</v>
      </c>
      <c r="K44" s="306">
        <f t="shared" ca="1" si="23"/>
        <v>0</v>
      </c>
      <c r="L44" s="306">
        <f t="shared" ca="1" si="24"/>
        <v>0</v>
      </c>
      <c r="M44" s="284">
        <f t="shared" ca="1" si="25"/>
        <v>0</v>
      </c>
      <c r="N44" s="284">
        <f t="shared" ca="1" si="26"/>
        <v>0</v>
      </c>
      <c r="O44" s="307">
        <v>0</v>
      </c>
      <c r="P44" s="284">
        <f t="shared" ca="1" si="27"/>
        <v>0</v>
      </c>
      <c r="Q44" s="301">
        <f t="shared" ca="1" si="28"/>
        <v>0</v>
      </c>
      <c r="R44" s="288"/>
      <c r="S44" s="284">
        <f t="shared" ca="1" si="29"/>
        <v>0</v>
      </c>
      <c r="T44" s="283">
        <f t="shared" ca="1" si="30"/>
        <v>0</v>
      </c>
      <c r="U44" s="284">
        <f t="shared" ca="1" si="31"/>
        <v>0</v>
      </c>
      <c r="V44" s="291">
        <f t="shared" ca="1" si="32"/>
        <v>0</v>
      </c>
      <c r="W44" s="308">
        <f t="shared" ca="1" si="17"/>
        <v>0</v>
      </c>
      <c r="X44" s="284">
        <f t="array" aca="1" ref="X44" ca="1">SUMPRODUCT(--(RIGHT(SP_MortDeduct,2)=":1"),TRANSPOSE($M44:$Q44))</f>
        <v>0</v>
      </c>
      <c r="Y44" s="284">
        <f t="array" aca="1" ref="Y44" ca="1">SUMPRODUCT(--(RIGHT(SP_MortDeduct,2)=":2"),TRANSPOSE($M44:$Q44))</f>
        <v>0</v>
      </c>
      <c r="Z44" s="279">
        <f t="shared" ca="1" si="33"/>
        <v>0</v>
      </c>
    </row>
    <row r="45" spans="2:26" x14ac:dyDescent="0.25">
      <c r="B45" s="65">
        <f t="shared" ca="1" si="16"/>
        <v>2060</v>
      </c>
      <c r="C45" s="65" t="s">
        <v>741</v>
      </c>
      <c r="D45" s="77">
        <f t="shared" si="18"/>
        <v>0</v>
      </c>
      <c r="E45" s="77">
        <f t="shared" si="19"/>
        <v>0</v>
      </c>
      <c r="F45" s="77"/>
      <c r="G45" s="302">
        <f t="shared" ca="1" si="20"/>
        <v>0</v>
      </c>
      <c r="H45" s="284"/>
      <c r="I45" s="284">
        <f t="shared" ca="1" si="21"/>
        <v>0</v>
      </c>
      <c r="J45" s="306">
        <f t="shared" ca="1" si="22"/>
        <v>0</v>
      </c>
      <c r="K45" s="306">
        <f t="shared" ca="1" si="23"/>
        <v>0</v>
      </c>
      <c r="L45" s="306">
        <f t="shared" ca="1" si="24"/>
        <v>0</v>
      </c>
      <c r="M45" s="284">
        <f t="shared" ca="1" si="25"/>
        <v>0</v>
      </c>
      <c r="N45" s="284">
        <f t="shared" ca="1" si="26"/>
        <v>0</v>
      </c>
      <c r="O45" s="307">
        <v>0</v>
      </c>
      <c r="P45" s="284">
        <f t="shared" ca="1" si="27"/>
        <v>0</v>
      </c>
      <c r="Q45" s="301">
        <f t="shared" ca="1" si="28"/>
        <v>0</v>
      </c>
      <c r="R45" s="288"/>
      <c r="S45" s="284">
        <f t="shared" ca="1" si="29"/>
        <v>0</v>
      </c>
      <c r="T45" s="283">
        <f t="shared" ca="1" si="30"/>
        <v>0</v>
      </c>
      <c r="U45" s="284">
        <f t="shared" ca="1" si="31"/>
        <v>0</v>
      </c>
      <c r="V45" s="291">
        <f t="shared" ca="1" si="32"/>
        <v>0</v>
      </c>
      <c r="W45" s="308">
        <f t="shared" ca="1" si="17"/>
        <v>0</v>
      </c>
      <c r="X45" s="284">
        <f t="array" aca="1" ref="X45" ca="1">SUMPRODUCT(--(RIGHT(SP_MortDeduct,2)=":1"),TRANSPOSE($M45:$Q45))</f>
        <v>0</v>
      </c>
      <c r="Y45" s="284">
        <f t="array" aca="1" ref="Y45" ca="1">SUMPRODUCT(--(RIGHT(SP_MortDeduct,2)=":2"),TRANSPOSE($M45:$Q45))</f>
        <v>0</v>
      </c>
      <c r="Z45" s="279">
        <f t="shared" ca="1" si="33"/>
        <v>0</v>
      </c>
    </row>
    <row r="46" spans="2:26" x14ac:dyDescent="0.25">
      <c r="B46" s="65">
        <f t="shared" ca="1" si="16"/>
        <v>2061</v>
      </c>
      <c r="C46" s="65" t="s">
        <v>741</v>
      </c>
      <c r="D46" s="77">
        <f t="shared" si="18"/>
        <v>0</v>
      </c>
      <c r="E46" s="77">
        <f t="shared" si="19"/>
        <v>0</v>
      </c>
      <c r="F46" s="77"/>
      <c r="G46" s="302">
        <f t="shared" ca="1" si="20"/>
        <v>0</v>
      </c>
      <c r="H46" s="284"/>
      <c r="I46" s="284">
        <f t="shared" ca="1" si="21"/>
        <v>0</v>
      </c>
      <c r="J46" s="306">
        <f t="shared" ca="1" si="22"/>
        <v>0</v>
      </c>
      <c r="K46" s="306">
        <f t="shared" ca="1" si="23"/>
        <v>0</v>
      </c>
      <c r="L46" s="306">
        <f t="shared" ca="1" si="24"/>
        <v>0</v>
      </c>
      <c r="M46" s="284">
        <f t="shared" ca="1" si="25"/>
        <v>0</v>
      </c>
      <c r="N46" s="284">
        <f t="shared" ca="1" si="26"/>
        <v>0</v>
      </c>
      <c r="O46" s="307">
        <v>0</v>
      </c>
      <c r="P46" s="284">
        <f t="shared" ca="1" si="27"/>
        <v>0</v>
      </c>
      <c r="Q46" s="301">
        <f t="shared" ca="1" si="28"/>
        <v>0</v>
      </c>
      <c r="R46" s="288"/>
      <c r="S46" s="284">
        <f t="shared" ca="1" si="29"/>
        <v>0</v>
      </c>
      <c r="T46" s="283">
        <f t="shared" ca="1" si="30"/>
        <v>0</v>
      </c>
      <c r="U46" s="284">
        <f t="shared" ca="1" si="31"/>
        <v>0</v>
      </c>
      <c r="V46" s="291">
        <f t="shared" ca="1" si="32"/>
        <v>0</v>
      </c>
      <c r="W46" s="308">
        <f t="shared" ca="1" si="17"/>
        <v>0</v>
      </c>
      <c r="X46" s="284">
        <f t="array" aca="1" ref="X46" ca="1">SUMPRODUCT(--(RIGHT(SP_MortDeduct,2)=":1"),TRANSPOSE($M46:$Q46))</f>
        <v>0</v>
      </c>
      <c r="Y46" s="284">
        <f t="array" aca="1" ref="Y46" ca="1">SUMPRODUCT(--(RIGHT(SP_MortDeduct,2)=":2"),TRANSPOSE($M46:$Q46))</f>
        <v>0</v>
      </c>
      <c r="Z46" s="279">
        <f t="shared" ca="1" si="33"/>
        <v>0</v>
      </c>
    </row>
    <row r="47" spans="2:26" x14ac:dyDescent="0.25">
      <c r="B47" s="65">
        <f t="shared" ca="1" si="16"/>
        <v>2062</v>
      </c>
      <c r="C47" s="65" t="s">
        <v>741</v>
      </c>
      <c r="D47" s="77">
        <f t="shared" si="18"/>
        <v>0</v>
      </c>
      <c r="E47" s="77">
        <f t="shared" si="19"/>
        <v>0</v>
      </c>
      <c r="F47" s="77"/>
      <c r="G47" s="302">
        <f t="shared" ca="1" si="20"/>
        <v>0</v>
      </c>
      <c r="H47" s="284"/>
      <c r="I47" s="284">
        <f t="shared" ca="1" si="21"/>
        <v>0</v>
      </c>
      <c r="J47" s="306">
        <f t="shared" ca="1" si="22"/>
        <v>0</v>
      </c>
      <c r="K47" s="306">
        <f t="shared" ca="1" si="23"/>
        <v>0</v>
      </c>
      <c r="L47" s="306">
        <f t="shared" ca="1" si="24"/>
        <v>0</v>
      </c>
      <c r="M47" s="284">
        <f t="shared" ca="1" si="25"/>
        <v>0</v>
      </c>
      <c r="N47" s="284">
        <f t="shared" ca="1" si="26"/>
        <v>0</v>
      </c>
      <c r="O47" s="307">
        <v>0</v>
      </c>
      <c r="P47" s="284">
        <f t="shared" ca="1" si="27"/>
        <v>0</v>
      </c>
      <c r="Q47" s="301">
        <f t="shared" ca="1" si="28"/>
        <v>0</v>
      </c>
      <c r="R47" s="288"/>
      <c r="S47" s="284">
        <f t="shared" ca="1" si="29"/>
        <v>0</v>
      </c>
      <c r="T47" s="283">
        <f t="shared" ca="1" si="30"/>
        <v>0</v>
      </c>
      <c r="U47" s="284">
        <f t="shared" ca="1" si="31"/>
        <v>0</v>
      </c>
      <c r="V47" s="291">
        <f t="shared" ca="1" si="32"/>
        <v>0</v>
      </c>
      <c r="W47" s="308">
        <f t="shared" ca="1" si="17"/>
        <v>0</v>
      </c>
      <c r="X47" s="284">
        <f t="array" aca="1" ref="X47" ca="1">SUMPRODUCT(--(RIGHT(SP_MortDeduct,2)=":1"),TRANSPOSE($M47:$Q47))</f>
        <v>0</v>
      </c>
      <c r="Y47" s="284">
        <f t="array" aca="1" ref="Y47" ca="1">SUMPRODUCT(--(RIGHT(SP_MortDeduct,2)=":2"),TRANSPOSE($M47:$Q47))</f>
        <v>0</v>
      </c>
      <c r="Z47" s="279">
        <f t="shared" ca="1" si="33"/>
        <v>0</v>
      </c>
    </row>
    <row r="48" spans="2:26" x14ac:dyDescent="0.25">
      <c r="B48" s="65">
        <f t="shared" ca="1" si="16"/>
        <v>2063</v>
      </c>
      <c r="C48" s="65" t="s">
        <v>741</v>
      </c>
      <c r="D48" s="77">
        <f t="shared" si="18"/>
        <v>0</v>
      </c>
      <c r="E48" s="77">
        <f t="shared" si="19"/>
        <v>0</v>
      </c>
      <c r="F48" s="77"/>
      <c r="G48" s="302">
        <f t="shared" ca="1" si="20"/>
        <v>0</v>
      </c>
      <c r="H48" s="284"/>
      <c r="I48" s="284">
        <f t="shared" ca="1" si="21"/>
        <v>0</v>
      </c>
      <c r="J48" s="306">
        <f t="shared" ca="1" si="22"/>
        <v>0</v>
      </c>
      <c r="K48" s="306">
        <f t="shared" ca="1" si="23"/>
        <v>0</v>
      </c>
      <c r="L48" s="306">
        <f t="shared" ca="1" si="24"/>
        <v>0</v>
      </c>
      <c r="M48" s="284">
        <f t="shared" ca="1" si="25"/>
        <v>0</v>
      </c>
      <c r="N48" s="284">
        <f t="shared" ca="1" si="26"/>
        <v>0</v>
      </c>
      <c r="O48" s="307">
        <v>0</v>
      </c>
      <c r="P48" s="284">
        <f t="shared" ca="1" si="27"/>
        <v>0</v>
      </c>
      <c r="Q48" s="301">
        <f t="shared" ca="1" si="28"/>
        <v>0</v>
      </c>
      <c r="R48" s="288"/>
      <c r="S48" s="284">
        <f t="shared" ca="1" si="29"/>
        <v>0</v>
      </c>
      <c r="T48" s="283">
        <f t="shared" ca="1" si="30"/>
        <v>0</v>
      </c>
      <c r="U48" s="284">
        <f t="shared" ca="1" si="31"/>
        <v>0</v>
      </c>
      <c r="V48" s="291">
        <f t="shared" ca="1" si="32"/>
        <v>0</v>
      </c>
      <c r="W48" s="308">
        <f t="shared" ca="1" si="17"/>
        <v>0</v>
      </c>
      <c r="X48" s="284">
        <f t="array" aca="1" ref="X48" ca="1">SUMPRODUCT(--(RIGHT(SP_MortDeduct,2)=":1"),TRANSPOSE($M48:$Q48))</f>
        <v>0</v>
      </c>
      <c r="Y48" s="284">
        <f t="array" aca="1" ref="Y48" ca="1">SUMPRODUCT(--(RIGHT(SP_MortDeduct,2)=":2"),TRANSPOSE($M48:$Q48))</f>
        <v>0</v>
      </c>
      <c r="Z48" s="279">
        <f t="shared" ca="1" si="33"/>
        <v>0</v>
      </c>
    </row>
    <row r="49" spans="2:26" x14ac:dyDescent="0.25">
      <c r="B49" s="65">
        <f t="shared" ca="1" si="16"/>
        <v>2064</v>
      </c>
      <c r="C49" s="65" t="s">
        <v>741</v>
      </c>
      <c r="D49" s="77">
        <f t="shared" si="18"/>
        <v>0</v>
      </c>
      <c r="E49" s="77">
        <f t="shared" si="19"/>
        <v>0</v>
      </c>
      <c r="F49" s="77"/>
      <c r="G49" s="302">
        <f t="shared" ca="1" si="20"/>
        <v>0</v>
      </c>
      <c r="H49" s="284"/>
      <c r="I49" s="284">
        <f t="shared" ca="1" si="21"/>
        <v>0</v>
      </c>
      <c r="J49" s="306">
        <f t="shared" ca="1" si="22"/>
        <v>0</v>
      </c>
      <c r="K49" s="306">
        <f t="shared" ca="1" si="23"/>
        <v>0</v>
      </c>
      <c r="L49" s="306">
        <f t="shared" ca="1" si="24"/>
        <v>0</v>
      </c>
      <c r="M49" s="284">
        <f t="shared" ca="1" si="25"/>
        <v>0</v>
      </c>
      <c r="N49" s="284">
        <f t="shared" ca="1" si="26"/>
        <v>0</v>
      </c>
      <c r="O49" s="307">
        <v>0</v>
      </c>
      <c r="P49" s="284">
        <f t="shared" ca="1" si="27"/>
        <v>0</v>
      </c>
      <c r="Q49" s="301">
        <f t="shared" ca="1" si="28"/>
        <v>0</v>
      </c>
      <c r="R49" s="288"/>
      <c r="S49" s="284">
        <f t="shared" ca="1" si="29"/>
        <v>0</v>
      </c>
      <c r="T49" s="283">
        <f t="shared" ca="1" si="30"/>
        <v>0</v>
      </c>
      <c r="U49" s="284">
        <f t="shared" ca="1" si="31"/>
        <v>0</v>
      </c>
      <c r="V49" s="291">
        <f t="shared" ca="1" si="32"/>
        <v>0</v>
      </c>
      <c r="W49" s="308">
        <f t="shared" ca="1" si="17"/>
        <v>0</v>
      </c>
      <c r="X49" s="284">
        <f t="array" aca="1" ref="X49" ca="1">SUMPRODUCT(--(RIGHT(SP_MortDeduct,2)=":1"),TRANSPOSE($M49:$Q49))</f>
        <v>0</v>
      </c>
      <c r="Y49" s="284">
        <f t="array" aca="1" ref="Y49" ca="1">SUMPRODUCT(--(RIGHT(SP_MortDeduct,2)=":2"),TRANSPOSE($M49:$Q49))</f>
        <v>0</v>
      </c>
      <c r="Z49" s="279">
        <f t="shared" ca="1" si="33"/>
        <v>0</v>
      </c>
    </row>
    <row r="50" spans="2:26" x14ac:dyDescent="0.25">
      <c r="B50" s="65">
        <f t="shared" ca="1" si="16"/>
        <v>2065</v>
      </c>
      <c r="C50" s="65" t="s">
        <v>741</v>
      </c>
      <c r="D50" s="77">
        <f t="shared" si="18"/>
        <v>0</v>
      </c>
      <c r="E50" s="77">
        <f t="shared" si="19"/>
        <v>0</v>
      </c>
      <c r="F50" s="77"/>
      <c r="G50" s="302">
        <f t="shared" ca="1" si="20"/>
        <v>0</v>
      </c>
      <c r="H50" s="284"/>
      <c r="I50" s="284">
        <f t="shared" ca="1" si="21"/>
        <v>0</v>
      </c>
      <c r="J50" s="306">
        <f t="shared" ca="1" si="22"/>
        <v>0</v>
      </c>
      <c r="K50" s="306">
        <f t="shared" ca="1" si="23"/>
        <v>0</v>
      </c>
      <c r="L50" s="306">
        <f t="shared" ca="1" si="24"/>
        <v>0</v>
      </c>
      <c r="M50" s="284">
        <f t="shared" ca="1" si="25"/>
        <v>0</v>
      </c>
      <c r="N50" s="284">
        <f t="shared" ca="1" si="26"/>
        <v>0</v>
      </c>
      <c r="O50" s="307">
        <v>0</v>
      </c>
      <c r="P50" s="284">
        <f t="shared" ca="1" si="27"/>
        <v>0</v>
      </c>
      <c r="Q50" s="301">
        <f t="shared" ca="1" si="28"/>
        <v>0</v>
      </c>
      <c r="R50" s="288"/>
      <c r="S50" s="284">
        <f t="shared" ca="1" si="29"/>
        <v>0</v>
      </c>
      <c r="T50" s="283">
        <f t="shared" ca="1" si="30"/>
        <v>0</v>
      </c>
      <c r="U50" s="284">
        <f t="shared" ca="1" si="31"/>
        <v>0</v>
      </c>
      <c r="V50" s="291">
        <f t="shared" ca="1" si="32"/>
        <v>0</v>
      </c>
      <c r="W50" s="308">
        <f t="shared" ca="1" si="17"/>
        <v>0</v>
      </c>
      <c r="X50" s="284">
        <f t="array" aca="1" ref="X50" ca="1">SUMPRODUCT(--(RIGHT(SP_MortDeduct,2)=":1"),TRANSPOSE($M50:$Q50))</f>
        <v>0</v>
      </c>
      <c r="Y50" s="284">
        <f t="array" aca="1" ref="Y50" ca="1">SUMPRODUCT(--(RIGHT(SP_MortDeduct,2)=":2"),TRANSPOSE($M50:$Q50))</f>
        <v>0</v>
      </c>
      <c r="Z50" s="279">
        <f t="shared" ca="1" si="33"/>
        <v>0</v>
      </c>
    </row>
    <row r="51" spans="2:26" x14ac:dyDescent="0.25">
      <c r="B51" s="65">
        <f t="shared" ca="1" si="16"/>
        <v>2066</v>
      </c>
      <c r="C51" s="65" t="s">
        <v>741</v>
      </c>
      <c r="D51" s="77">
        <f t="shared" si="18"/>
        <v>0</v>
      </c>
      <c r="E51" s="77">
        <f t="shared" si="19"/>
        <v>0</v>
      </c>
      <c r="F51" s="77"/>
      <c r="G51" s="302">
        <f t="shared" ca="1" si="20"/>
        <v>0</v>
      </c>
      <c r="H51" s="284"/>
      <c r="I51" s="284">
        <f t="shared" ca="1" si="21"/>
        <v>0</v>
      </c>
      <c r="J51" s="306">
        <f t="shared" ca="1" si="22"/>
        <v>0</v>
      </c>
      <c r="K51" s="306">
        <f t="shared" ca="1" si="23"/>
        <v>0</v>
      </c>
      <c r="L51" s="306">
        <f t="shared" ca="1" si="24"/>
        <v>0</v>
      </c>
      <c r="M51" s="284">
        <f t="shared" ca="1" si="25"/>
        <v>0</v>
      </c>
      <c r="N51" s="284">
        <f t="shared" ca="1" si="26"/>
        <v>0</v>
      </c>
      <c r="O51" s="307">
        <v>0</v>
      </c>
      <c r="P51" s="284">
        <f t="shared" ca="1" si="27"/>
        <v>0</v>
      </c>
      <c r="Q51" s="301">
        <f t="shared" ca="1" si="28"/>
        <v>0</v>
      </c>
      <c r="R51" s="288"/>
      <c r="S51" s="284">
        <f t="shared" ca="1" si="29"/>
        <v>0</v>
      </c>
      <c r="T51" s="283">
        <f t="shared" ca="1" si="30"/>
        <v>0</v>
      </c>
      <c r="U51" s="284">
        <f t="shared" ca="1" si="31"/>
        <v>0</v>
      </c>
      <c r="V51" s="291">
        <f t="shared" ca="1" si="32"/>
        <v>0</v>
      </c>
      <c r="W51" s="308">
        <f t="shared" ca="1" si="17"/>
        <v>0</v>
      </c>
      <c r="X51" s="284">
        <f t="array" aca="1" ref="X51" ca="1">SUMPRODUCT(--(RIGHT(SP_MortDeduct,2)=":1"),TRANSPOSE($M51:$Q51))</f>
        <v>0</v>
      </c>
      <c r="Y51" s="284">
        <f t="array" aca="1" ref="Y51" ca="1">SUMPRODUCT(--(RIGHT(SP_MortDeduct,2)=":2"),TRANSPOSE($M51:$Q51))</f>
        <v>0</v>
      </c>
      <c r="Z51" s="279">
        <f t="shared" ca="1" si="33"/>
        <v>0</v>
      </c>
    </row>
    <row r="52" spans="2:26" x14ac:dyDescent="0.25">
      <c r="B52" s="65">
        <f t="shared" ca="1" si="16"/>
        <v>2067</v>
      </c>
      <c r="C52" s="65" t="s">
        <v>741</v>
      </c>
      <c r="D52" s="77">
        <f t="shared" si="18"/>
        <v>0</v>
      </c>
      <c r="E52" s="77">
        <f t="shared" si="19"/>
        <v>0</v>
      </c>
      <c r="F52" s="77"/>
      <c r="G52" s="302">
        <f t="shared" ca="1" si="20"/>
        <v>0</v>
      </c>
      <c r="H52" s="284"/>
      <c r="I52" s="284">
        <f t="shared" ca="1" si="21"/>
        <v>0</v>
      </c>
      <c r="J52" s="306">
        <f t="shared" ca="1" si="22"/>
        <v>0</v>
      </c>
      <c r="K52" s="306">
        <f t="shared" ca="1" si="23"/>
        <v>0</v>
      </c>
      <c r="L52" s="306">
        <f t="shared" ca="1" si="24"/>
        <v>0</v>
      </c>
      <c r="M52" s="284">
        <f t="shared" ca="1" si="25"/>
        <v>0</v>
      </c>
      <c r="N52" s="284">
        <f t="shared" ca="1" si="26"/>
        <v>0</v>
      </c>
      <c r="O52" s="307">
        <v>0</v>
      </c>
      <c r="P52" s="284">
        <f t="shared" ca="1" si="27"/>
        <v>0</v>
      </c>
      <c r="Q52" s="301">
        <f t="shared" ca="1" si="28"/>
        <v>0</v>
      </c>
      <c r="R52" s="288"/>
      <c r="S52" s="284">
        <f t="shared" ca="1" si="29"/>
        <v>0</v>
      </c>
      <c r="T52" s="283">
        <f t="shared" ca="1" si="30"/>
        <v>0</v>
      </c>
      <c r="U52" s="284">
        <f t="shared" ca="1" si="31"/>
        <v>0</v>
      </c>
      <c r="V52" s="291">
        <f t="shared" ca="1" si="32"/>
        <v>0</v>
      </c>
      <c r="W52" s="308">
        <f t="shared" ca="1" si="17"/>
        <v>0</v>
      </c>
      <c r="X52" s="284">
        <f t="array" aca="1" ref="X52" ca="1">SUMPRODUCT(--(RIGHT(SP_MortDeduct,2)=":1"),TRANSPOSE($M52:$Q52))</f>
        <v>0</v>
      </c>
      <c r="Y52" s="284">
        <f t="array" aca="1" ref="Y52" ca="1">SUMPRODUCT(--(RIGHT(SP_MortDeduct,2)=":2"),TRANSPOSE($M52:$Q52))</f>
        <v>0</v>
      </c>
      <c r="Z52" s="279">
        <f t="shared" ca="1" si="33"/>
        <v>0</v>
      </c>
    </row>
    <row r="53" spans="2:26" x14ac:dyDescent="0.25">
      <c r="B53" s="65">
        <f t="shared" ca="1" si="16"/>
        <v>2068</v>
      </c>
      <c r="C53" s="65" t="s">
        <v>741</v>
      </c>
      <c r="D53" s="77">
        <f t="shared" si="18"/>
        <v>0</v>
      </c>
      <c r="E53" s="77">
        <f t="shared" si="19"/>
        <v>0</v>
      </c>
      <c r="F53" s="77"/>
      <c r="G53" s="302">
        <f t="shared" ca="1" si="20"/>
        <v>0</v>
      </c>
      <c r="H53" s="284"/>
      <c r="I53" s="284">
        <f t="shared" ca="1" si="21"/>
        <v>0</v>
      </c>
      <c r="J53" s="306">
        <f t="shared" ca="1" si="22"/>
        <v>0</v>
      </c>
      <c r="K53" s="306">
        <f t="shared" ca="1" si="23"/>
        <v>0</v>
      </c>
      <c r="L53" s="306">
        <f t="shared" ca="1" si="24"/>
        <v>0</v>
      </c>
      <c r="M53" s="284">
        <f t="shared" ca="1" si="25"/>
        <v>0</v>
      </c>
      <c r="N53" s="284">
        <f t="shared" ca="1" si="26"/>
        <v>0</v>
      </c>
      <c r="O53" s="307">
        <v>0</v>
      </c>
      <c r="P53" s="284">
        <f t="shared" ca="1" si="27"/>
        <v>0</v>
      </c>
      <c r="Q53" s="301">
        <f t="shared" ca="1" si="28"/>
        <v>0</v>
      </c>
      <c r="R53" s="288"/>
      <c r="S53" s="284">
        <f t="shared" ca="1" si="29"/>
        <v>0</v>
      </c>
      <c r="T53" s="283">
        <f t="shared" ca="1" si="30"/>
        <v>0</v>
      </c>
      <c r="U53" s="284">
        <f t="shared" ca="1" si="31"/>
        <v>0</v>
      </c>
      <c r="V53" s="291">
        <f t="shared" ca="1" si="32"/>
        <v>0</v>
      </c>
      <c r="W53" s="308">
        <f t="shared" ca="1" si="17"/>
        <v>0</v>
      </c>
      <c r="X53" s="284">
        <f t="array" aca="1" ref="X53" ca="1">SUMPRODUCT(--(RIGHT(SP_MortDeduct,2)=":1"),TRANSPOSE($M53:$Q53))</f>
        <v>0</v>
      </c>
      <c r="Y53" s="284">
        <f t="array" aca="1" ref="Y53" ca="1">SUMPRODUCT(--(RIGHT(SP_MortDeduct,2)=":2"),TRANSPOSE($M53:$Q53))</f>
        <v>0</v>
      </c>
      <c r="Z53" s="279">
        <f t="shared" ca="1" si="33"/>
        <v>0</v>
      </c>
    </row>
    <row r="54" spans="2:26" x14ac:dyDescent="0.25">
      <c r="B54" s="65">
        <f t="shared" ca="1" si="16"/>
        <v>2069</v>
      </c>
      <c r="C54" s="65" t="s">
        <v>741</v>
      </c>
      <c r="D54" s="77">
        <f t="shared" si="18"/>
        <v>0</v>
      </c>
      <c r="E54" s="77">
        <f t="shared" si="19"/>
        <v>0</v>
      </c>
      <c r="F54" s="77"/>
      <c r="G54" s="302">
        <f t="shared" ca="1" si="20"/>
        <v>0</v>
      </c>
      <c r="H54" s="284"/>
      <c r="I54" s="284">
        <f t="shared" ca="1" si="21"/>
        <v>0</v>
      </c>
      <c r="J54" s="306">
        <f t="shared" ca="1" si="22"/>
        <v>0</v>
      </c>
      <c r="K54" s="306">
        <f t="shared" ca="1" si="23"/>
        <v>0</v>
      </c>
      <c r="L54" s="306">
        <f t="shared" ca="1" si="24"/>
        <v>0</v>
      </c>
      <c r="M54" s="284">
        <f t="shared" ca="1" si="25"/>
        <v>0</v>
      </c>
      <c r="N54" s="284">
        <f t="shared" ca="1" si="26"/>
        <v>0</v>
      </c>
      <c r="O54" s="307">
        <v>0</v>
      </c>
      <c r="P54" s="284">
        <f t="shared" ca="1" si="27"/>
        <v>0</v>
      </c>
      <c r="Q54" s="301">
        <f t="shared" ca="1" si="28"/>
        <v>0</v>
      </c>
      <c r="R54" s="288"/>
      <c r="S54" s="284">
        <f t="shared" ca="1" si="29"/>
        <v>0</v>
      </c>
      <c r="T54" s="283">
        <f t="shared" ca="1" si="30"/>
        <v>0</v>
      </c>
      <c r="U54" s="284">
        <f t="shared" ca="1" si="31"/>
        <v>0</v>
      </c>
      <c r="V54" s="291">
        <f t="shared" ca="1" si="32"/>
        <v>0</v>
      </c>
      <c r="W54" s="308">
        <f t="shared" ca="1" si="17"/>
        <v>0</v>
      </c>
      <c r="X54" s="284">
        <f t="array" aca="1" ref="X54" ca="1">SUMPRODUCT(--(RIGHT(SP_MortDeduct,2)=":1"),TRANSPOSE($M54:$Q54))</f>
        <v>0</v>
      </c>
      <c r="Y54" s="284">
        <f t="array" aca="1" ref="Y54" ca="1">SUMPRODUCT(--(RIGHT(SP_MortDeduct,2)=":2"),TRANSPOSE($M54:$Q54))</f>
        <v>0</v>
      </c>
      <c r="Z54" s="279">
        <f t="shared" ca="1" si="33"/>
        <v>0</v>
      </c>
    </row>
    <row r="55" spans="2:26" x14ac:dyDescent="0.25">
      <c r="B55" s="65">
        <f t="shared" ca="1" si="16"/>
        <v>2070</v>
      </c>
      <c r="C55" s="65" t="s">
        <v>741</v>
      </c>
      <c r="D55" s="77">
        <f t="shared" si="18"/>
        <v>0</v>
      </c>
      <c r="E55" s="77">
        <f t="shared" si="19"/>
        <v>0</v>
      </c>
      <c r="F55" s="77"/>
      <c r="G55" s="302">
        <f t="shared" ca="1" si="20"/>
        <v>0</v>
      </c>
      <c r="H55" s="284"/>
      <c r="I55" s="284">
        <f t="shared" ca="1" si="21"/>
        <v>0</v>
      </c>
      <c r="J55" s="306">
        <f t="shared" ca="1" si="22"/>
        <v>0</v>
      </c>
      <c r="K55" s="306">
        <f t="shared" ca="1" si="23"/>
        <v>0</v>
      </c>
      <c r="L55" s="306">
        <f t="shared" ca="1" si="24"/>
        <v>0</v>
      </c>
      <c r="M55" s="284">
        <f t="shared" ca="1" si="25"/>
        <v>0</v>
      </c>
      <c r="N55" s="284">
        <f t="shared" ca="1" si="26"/>
        <v>0</v>
      </c>
      <c r="O55" s="307">
        <v>0</v>
      </c>
      <c r="P55" s="284">
        <f t="shared" ca="1" si="27"/>
        <v>0</v>
      </c>
      <c r="Q55" s="301">
        <f t="shared" ca="1" si="28"/>
        <v>0</v>
      </c>
      <c r="R55" s="288"/>
      <c r="S55" s="284">
        <f t="shared" ca="1" si="29"/>
        <v>0</v>
      </c>
      <c r="T55" s="283">
        <f t="shared" ca="1" si="30"/>
        <v>0</v>
      </c>
      <c r="U55" s="284">
        <f t="shared" ca="1" si="31"/>
        <v>0</v>
      </c>
      <c r="V55" s="291">
        <f t="shared" ca="1" si="32"/>
        <v>0</v>
      </c>
      <c r="W55" s="308">
        <f t="shared" ca="1" si="17"/>
        <v>0</v>
      </c>
      <c r="X55" s="284">
        <f t="array" aca="1" ref="X55" ca="1">SUMPRODUCT(--(RIGHT(SP_MortDeduct,2)=":1"),TRANSPOSE($M55:$Q55))</f>
        <v>0</v>
      </c>
      <c r="Y55" s="284">
        <f t="array" aca="1" ref="Y55" ca="1">SUMPRODUCT(--(RIGHT(SP_MortDeduct,2)=":2"),TRANSPOSE($M55:$Q55))</f>
        <v>0</v>
      </c>
      <c r="Z55" s="279">
        <f t="shared" ca="1" si="33"/>
        <v>0</v>
      </c>
    </row>
    <row r="56" spans="2:26" x14ac:dyDescent="0.25">
      <c r="B56" s="65">
        <f t="shared" ca="1" si="16"/>
        <v>2071</v>
      </c>
      <c r="C56" s="65" t="s">
        <v>741</v>
      </c>
      <c r="D56" s="77">
        <f t="shared" si="18"/>
        <v>0</v>
      </c>
      <c r="E56" s="77">
        <f t="shared" si="19"/>
        <v>0</v>
      </c>
      <c r="F56" s="77"/>
      <c r="G56" s="302">
        <f t="shared" ca="1" si="20"/>
        <v>0</v>
      </c>
      <c r="H56" s="284"/>
      <c r="I56" s="284">
        <f t="shared" ca="1" si="21"/>
        <v>0</v>
      </c>
      <c r="J56" s="306">
        <f t="shared" ca="1" si="22"/>
        <v>0</v>
      </c>
      <c r="K56" s="306">
        <f t="shared" ca="1" si="23"/>
        <v>0</v>
      </c>
      <c r="L56" s="306">
        <f t="shared" ca="1" si="24"/>
        <v>0</v>
      </c>
      <c r="M56" s="284">
        <f t="shared" ca="1" si="25"/>
        <v>0</v>
      </c>
      <c r="N56" s="284">
        <f t="shared" ca="1" si="26"/>
        <v>0</v>
      </c>
      <c r="O56" s="307">
        <v>0</v>
      </c>
      <c r="P56" s="284">
        <f t="shared" ca="1" si="27"/>
        <v>0</v>
      </c>
      <c r="Q56" s="301">
        <f t="shared" ca="1" si="28"/>
        <v>0</v>
      </c>
      <c r="R56" s="288"/>
      <c r="S56" s="284">
        <f t="shared" ca="1" si="29"/>
        <v>0</v>
      </c>
      <c r="T56" s="283">
        <f t="shared" ca="1" si="30"/>
        <v>0</v>
      </c>
      <c r="U56" s="284">
        <f t="shared" ca="1" si="31"/>
        <v>0</v>
      </c>
      <c r="V56" s="291">
        <f t="shared" ca="1" si="32"/>
        <v>0</v>
      </c>
      <c r="W56" s="308">
        <f t="shared" ca="1" si="17"/>
        <v>0</v>
      </c>
      <c r="X56" s="284">
        <f t="array" aca="1" ref="X56" ca="1">SUMPRODUCT(--(RIGHT(SP_MortDeduct,2)=":1"),TRANSPOSE($M56:$Q56))</f>
        <v>0</v>
      </c>
      <c r="Y56" s="284">
        <f t="array" aca="1" ref="Y56" ca="1">SUMPRODUCT(--(RIGHT(SP_MortDeduct,2)=":2"),TRANSPOSE($M56:$Q56))</f>
        <v>0</v>
      </c>
      <c r="Z56" s="279">
        <f t="shared" ca="1" si="33"/>
        <v>0</v>
      </c>
    </row>
    <row r="57" spans="2:26" x14ac:dyDescent="0.25">
      <c r="B57" s="65">
        <f t="shared" ca="1" si="16"/>
        <v>2072</v>
      </c>
      <c r="C57" s="65" t="s">
        <v>741</v>
      </c>
      <c r="D57" s="77">
        <f t="shared" si="18"/>
        <v>0</v>
      </c>
      <c r="E57" s="77">
        <f t="shared" si="19"/>
        <v>0</v>
      </c>
      <c r="F57" s="77"/>
      <c r="G57" s="302">
        <f t="shared" ca="1" si="20"/>
        <v>0</v>
      </c>
      <c r="H57" s="284"/>
      <c r="I57" s="284">
        <f t="shared" ca="1" si="21"/>
        <v>0</v>
      </c>
      <c r="J57" s="306">
        <f t="shared" ca="1" si="22"/>
        <v>0</v>
      </c>
      <c r="K57" s="306">
        <f t="shared" ca="1" si="23"/>
        <v>0</v>
      </c>
      <c r="L57" s="306">
        <f t="shared" ca="1" si="24"/>
        <v>0</v>
      </c>
      <c r="M57" s="284">
        <f t="shared" ca="1" si="25"/>
        <v>0</v>
      </c>
      <c r="N57" s="284">
        <f t="shared" ca="1" si="26"/>
        <v>0</v>
      </c>
      <c r="O57" s="307">
        <v>0</v>
      </c>
      <c r="P57" s="284">
        <f t="shared" ca="1" si="27"/>
        <v>0</v>
      </c>
      <c r="Q57" s="301">
        <f t="shared" ca="1" si="28"/>
        <v>0</v>
      </c>
      <c r="R57" s="288"/>
      <c r="S57" s="284">
        <f t="shared" ca="1" si="29"/>
        <v>0</v>
      </c>
      <c r="T57" s="283">
        <f t="shared" ca="1" si="30"/>
        <v>0</v>
      </c>
      <c r="U57" s="284">
        <f t="shared" ca="1" si="31"/>
        <v>0</v>
      </c>
      <c r="V57" s="291">
        <f t="shared" ca="1" si="32"/>
        <v>0</v>
      </c>
      <c r="W57" s="308">
        <f t="shared" ca="1" si="17"/>
        <v>0</v>
      </c>
      <c r="X57" s="284">
        <f t="array" aca="1" ref="X57" ca="1">SUMPRODUCT(--(RIGHT(SP_MortDeduct,2)=":1"),TRANSPOSE($M57:$Q57))</f>
        <v>0</v>
      </c>
      <c r="Y57" s="284">
        <f t="array" aca="1" ref="Y57" ca="1">SUMPRODUCT(--(RIGHT(SP_MortDeduct,2)=":2"),TRANSPOSE($M57:$Q57))</f>
        <v>0</v>
      </c>
      <c r="Z57" s="279">
        <f t="shared" ca="1" si="33"/>
        <v>0</v>
      </c>
    </row>
    <row r="58" spans="2:26" x14ac:dyDescent="0.25">
      <c r="B58" s="65">
        <f t="shared" ca="1" si="16"/>
        <v>2073</v>
      </c>
      <c r="C58" s="65" t="s">
        <v>741</v>
      </c>
      <c r="D58" s="77">
        <f t="shared" si="18"/>
        <v>0</v>
      </c>
      <c r="E58" s="77">
        <f t="shared" si="19"/>
        <v>0</v>
      </c>
      <c r="F58" s="77"/>
      <c r="G58" s="302">
        <f t="shared" ca="1" si="20"/>
        <v>0</v>
      </c>
      <c r="H58" s="284"/>
      <c r="I58" s="284">
        <f t="shared" ca="1" si="21"/>
        <v>0</v>
      </c>
      <c r="J58" s="306">
        <f t="shared" ca="1" si="22"/>
        <v>0</v>
      </c>
      <c r="K58" s="306">
        <f t="shared" ca="1" si="23"/>
        <v>0</v>
      </c>
      <c r="L58" s="306">
        <f t="shared" ca="1" si="24"/>
        <v>0</v>
      </c>
      <c r="M58" s="284">
        <f t="shared" ca="1" si="25"/>
        <v>0</v>
      </c>
      <c r="N58" s="284">
        <f t="shared" ca="1" si="26"/>
        <v>0</v>
      </c>
      <c r="O58" s="307">
        <v>0</v>
      </c>
      <c r="P58" s="284">
        <f t="shared" ca="1" si="27"/>
        <v>0</v>
      </c>
      <c r="Q58" s="301">
        <f t="shared" ca="1" si="28"/>
        <v>0</v>
      </c>
      <c r="R58" s="288"/>
      <c r="S58" s="284">
        <f t="shared" ca="1" si="29"/>
        <v>0</v>
      </c>
      <c r="T58" s="283">
        <f t="shared" ca="1" si="30"/>
        <v>0</v>
      </c>
      <c r="U58" s="284">
        <f t="shared" ca="1" si="31"/>
        <v>0</v>
      </c>
      <c r="V58" s="291">
        <f t="shared" ca="1" si="32"/>
        <v>0</v>
      </c>
      <c r="W58" s="308">
        <f t="shared" ca="1" si="17"/>
        <v>0</v>
      </c>
      <c r="X58" s="284">
        <f t="array" aca="1" ref="X58" ca="1">SUMPRODUCT(--(RIGHT(SP_MortDeduct,2)=":1"),TRANSPOSE($M58:$Q58))</f>
        <v>0</v>
      </c>
      <c r="Y58" s="284">
        <f t="array" aca="1" ref="Y58" ca="1">SUMPRODUCT(--(RIGHT(SP_MortDeduct,2)=":2"),TRANSPOSE($M58:$Q58))</f>
        <v>0</v>
      </c>
      <c r="Z58" s="279">
        <f t="shared" ca="1" si="33"/>
        <v>0</v>
      </c>
    </row>
    <row r="59" spans="2:26" x14ac:dyDescent="0.25">
      <c r="B59" s="65">
        <f t="shared" ca="1" si="16"/>
        <v>2074</v>
      </c>
      <c r="C59" s="65" t="s">
        <v>741</v>
      </c>
      <c r="D59" s="77">
        <f t="shared" si="18"/>
        <v>0</v>
      </c>
      <c r="E59" s="77">
        <f t="shared" si="19"/>
        <v>0</v>
      </c>
      <c r="F59" s="77"/>
      <c r="G59" s="302">
        <f t="shared" ca="1" si="20"/>
        <v>0</v>
      </c>
      <c r="H59" s="284"/>
      <c r="I59" s="284">
        <f t="shared" ca="1" si="21"/>
        <v>0</v>
      </c>
      <c r="J59" s="306">
        <f t="shared" ca="1" si="22"/>
        <v>0</v>
      </c>
      <c r="K59" s="306">
        <f t="shared" ca="1" si="23"/>
        <v>0</v>
      </c>
      <c r="L59" s="306">
        <f t="shared" ca="1" si="24"/>
        <v>0</v>
      </c>
      <c r="M59" s="284">
        <f t="shared" ca="1" si="25"/>
        <v>0</v>
      </c>
      <c r="N59" s="284">
        <f t="shared" ca="1" si="26"/>
        <v>0</v>
      </c>
      <c r="O59" s="307">
        <v>0</v>
      </c>
      <c r="P59" s="284">
        <f t="shared" ca="1" si="27"/>
        <v>0</v>
      </c>
      <c r="Q59" s="301">
        <f t="shared" ca="1" si="28"/>
        <v>0</v>
      </c>
      <c r="R59" s="288"/>
      <c r="S59" s="284">
        <f t="shared" ca="1" si="29"/>
        <v>0</v>
      </c>
      <c r="T59" s="283">
        <f t="shared" ca="1" si="30"/>
        <v>0</v>
      </c>
      <c r="U59" s="284">
        <f t="shared" ca="1" si="31"/>
        <v>0</v>
      </c>
      <c r="V59" s="291">
        <f t="shared" ca="1" si="32"/>
        <v>0</v>
      </c>
      <c r="W59" s="308">
        <f t="shared" ca="1" si="17"/>
        <v>0</v>
      </c>
      <c r="X59" s="284">
        <f t="array" aca="1" ref="X59" ca="1">SUMPRODUCT(--(RIGHT(SP_MortDeduct,2)=":1"),TRANSPOSE($M59:$Q59))</f>
        <v>0</v>
      </c>
      <c r="Y59" s="284">
        <f t="array" aca="1" ref="Y59" ca="1">SUMPRODUCT(--(RIGHT(SP_MortDeduct,2)=":2"),TRANSPOSE($M59:$Q59))</f>
        <v>0</v>
      </c>
      <c r="Z59" s="279">
        <f t="shared" ca="1" si="33"/>
        <v>0</v>
      </c>
    </row>
    <row r="60" spans="2:26" x14ac:dyDescent="0.25">
      <c r="B60" s="65">
        <f t="shared" ca="1" si="16"/>
        <v>2075</v>
      </c>
      <c r="C60" s="65" t="s">
        <v>741</v>
      </c>
      <c r="D60" s="77">
        <f t="shared" si="18"/>
        <v>0</v>
      </c>
      <c r="E60" s="77">
        <f t="shared" si="19"/>
        <v>0</v>
      </c>
      <c r="F60" s="77"/>
      <c r="G60" s="302">
        <f t="shared" ca="1" si="20"/>
        <v>0</v>
      </c>
      <c r="H60" s="284"/>
      <c r="I60" s="284">
        <f t="shared" ca="1" si="21"/>
        <v>0</v>
      </c>
      <c r="J60" s="306">
        <f t="shared" ca="1" si="22"/>
        <v>0</v>
      </c>
      <c r="K60" s="306">
        <f t="shared" ca="1" si="23"/>
        <v>0</v>
      </c>
      <c r="L60" s="306">
        <f t="shared" ca="1" si="24"/>
        <v>0</v>
      </c>
      <c r="M60" s="284">
        <f t="shared" ca="1" si="25"/>
        <v>0</v>
      </c>
      <c r="N60" s="284">
        <f t="shared" ca="1" si="26"/>
        <v>0</v>
      </c>
      <c r="O60" s="307">
        <v>0</v>
      </c>
      <c r="P60" s="284">
        <f t="shared" ca="1" si="27"/>
        <v>0</v>
      </c>
      <c r="Q60" s="301">
        <f t="shared" ca="1" si="28"/>
        <v>0</v>
      </c>
      <c r="R60" s="288"/>
      <c r="S60" s="284">
        <f t="shared" ca="1" si="29"/>
        <v>0</v>
      </c>
      <c r="T60" s="283">
        <f t="shared" ca="1" si="30"/>
        <v>0</v>
      </c>
      <c r="U60" s="284">
        <f t="shared" ca="1" si="31"/>
        <v>0</v>
      </c>
      <c r="V60" s="291">
        <f t="shared" ca="1" si="32"/>
        <v>0</v>
      </c>
      <c r="W60" s="308">
        <f t="shared" ca="1" si="17"/>
        <v>0</v>
      </c>
      <c r="X60" s="284">
        <f t="array" aca="1" ref="X60" ca="1">SUMPRODUCT(--(RIGHT(SP_MortDeduct,2)=":1"),TRANSPOSE($M60:$Q60))</f>
        <v>0</v>
      </c>
      <c r="Y60" s="284">
        <f t="array" aca="1" ref="Y60" ca="1">SUMPRODUCT(--(RIGHT(SP_MortDeduct,2)=":2"),TRANSPOSE($M60:$Q60))</f>
        <v>0</v>
      </c>
      <c r="Z60" s="279">
        <f t="shared" ca="1" si="33"/>
        <v>0</v>
      </c>
    </row>
    <row r="61" spans="2:26" x14ac:dyDescent="0.25">
      <c r="B61" s="65">
        <f t="shared" ca="1" si="16"/>
        <v>2076</v>
      </c>
      <c r="C61" s="65" t="s">
        <v>741</v>
      </c>
      <c r="D61" s="77">
        <f t="shared" si="18"/>
        <v>0</v>
      </c>
      <c r="E61" s="77">
        <f t="shared" si="19"/>
        <v>0</v>
      </c>
      <c r="F61" s="77"/>
      <c r="G61" s="302">
        <f t="shared" ca="1" si="20"/>
        <v>0</v>
      </c>
      <c r="H61" s="284"/>
      <c r="I61" s="284">
        <f t="shared" ca="1" si="21"/>
        <v>0</v>
      </c>
      <c r="J61" s="306">
        <f t="shared" ca="1" si="22"/>
        <v>0</v>
      </c>
      <c r="K61" s="306">
        <f t="shared" ca="1" si="23"/>
        <v>0</v>
      </c>
      <c r="L61" s="306">
        <f t="shared" ca="1" si="24"/>
        <v>0</v>
      </c>
      <c r="M61" s="284">
        <f t="shared" ca="1" si="25"/>
        <v>0</v>
      </c>
      <c r="N61" s="284">
        <f t="shared" ca="1" si="26"/>
        <v>0</v>
      </c>
      <c r="O61" s="307">
        <v>0</v>
      </c>
      <c r="P61" s="284">
        <f t="shared" ca="1" si="27"/>
        <v>0</v>
      </c>
      <c r="Q61" s="301">
        <f t="shared" ca="1" si="28"/>
        <v>0</v>
      </c>
      <c r="R61" s="288"/>
      <c r="S61" s="284">
        <f t="shared" ca="1" si="29"/>
        <v>0</v>
      </c>
      <c r="T61" s="283">
        <f t="shared" ca="1" si="30"/>
        <v>0</v>
      </c>
      <c r="U61" s="284">
        <f t="shared" ca="1" si="31"/>
        <v>0</v>
      </c>
      <c r="V61" s="291">
        <f t="shared" ca="1" si="32"/>
        <v>0</v>
      </c>
      <c r="W61" s="308">
        <f t="shared" ca="1" si="17"/>
        <v>0</v>
      </c>
      <c r="X61" s="284">
        <f t="array" aca="1" ref="X61" ca="1">SUMPRODUCT(--(RIGHT(SP_MortDeduct,2)=":1"),TRANSPOSE($M61:$Q61))</f>
        <v>0</v>
      </c>
      <c r="Y61" s="284">
        <f t="array" aca="1" ref="Y61" ca="1">SUMPRODUCT(--(RIGHT(SP_MortDeduct,2)=":2"),TRANSPOSE($M61:$Q61))</f>
        <v>0</v>
      </c>
      <c r="Z61" s="279">
        <f t="shared" ca="1" si="33"/>
        <v>0</v>
      </c>
    </row>
    <row r="62" spans="2:26" x14ac:dyDescent="0.25">
      <c r="B62" s="65">
        <f t="shared" ca="1" si="16"/>
        <v>2077</v>
      </c>
      <c r="C62" s="65" t="s">
        <v>741</v>
      </c>
      <c r="D62" s="77">
        <f t="shared" si="18"/>
        <v>0</v>
      </c>
      <c r="E62" s="77">
        <f t="shared" si="19"/>
        <v>0</v>
      </c>
      <c r="F62" s="77"/>
      <c r="G62" s="302">
        <f t="shared" ca="1" si="20"/>
        <v>0</v>
      </c>
      <c r="H62" s="284"/>
      <c r="I62" s="284">
        <f t="shared" ca="1" si="21"/>
        <v>0</v>
      </c>
      <c r="J62" s="306">
        <f t="shared" ca="1" si="22"/>
        <v>0</v>
      </c>
      <c r="K62" s="306">
        <f t="shared" ca="1" si="23"/>
        <v>0</v>
      </c>
      <c r="L62" s="306">
        <f t="shared" ca="1" si="24"/>
        <v>0</v>
      </c>
      <c r="M62" s="284">
        <f t="shared" ca="1" si="25"/>
        <v>0</v>
      </c>
      <c r="N62" s="284">
        <f t="shared" ca="1" si="26"/>
        <v>0</v>
      </c>
      <c r="O62" s="307">
        <v>0</v>
      </c>
      <c r="P62" s="284">
        <f t="shared" ca="1" si="27"/>
        <v>0</v>
      </c>
      <c r="Q62" s="301">
        <f t="shared" ca="1" si="28"/>
        <v>0</v>
      </c>
      <c r="R62" s="288"/>
      <c r="S62" s="284">
        <f t="shared" ca="1" si="29"/>
        <v>0</v>
      </c>
      <c r="T62" s="283">
        <f t="shared" ca="1" si="30"/>
        <v>0</v>
      </c>
      <c r="U62" s="284">
        <f t="shared" ca="1" si="31"/>
        <v>0</v>
      </c>
      <c r="V62" s="291">
        <f t="shared" ca="1" si="32"/>
        <v>0</v>
      </c>
      <c r="W62" s="308">
        <f t="shared" ca="1" si="17"/>
        <v>0</v>
      </c>
      <c r="X62" s="284">
        <f t="array" aca="1" ref="X62" ca="1">SUMPRODUCT(--(RIGHT(SP_MortDeduct,2)=":1"),TRANSPOSE($M62:$Q62))</f>
        <v>0</v>
      </c>
      <c r="Y62" s="284">
        <f t="array" aca="1" ref="Y62" ca="1">SUMPRODUCT(--(RIGHT(SP_MortDeduct,2)=":2"),TRANSPOSE($M62:$Q62))</f>
        <v>0</v>
      </c>
      <c r="Z62" s="279">
        <f t="shared" ca="1" si="33"/>
        <v>0</v>
      </c>
    </row>
    <row r="63" spans="2:26" x14ac:dyDescent="0.25">
      <c r="B63" s="65">
        <f t="shared" ca="1" si="16"/>
        <v>2078</v>
      </c>
      <c r="C63" s="65" t="s">
        <v>741</v>
      </c>
      <c r="D63" s="77">
        <f t="shared" si="18"/>
        <v>0</v>
      </c>
      <c r="E63" s="77">
        <f t="shared" si="19"/>
        <v>0</v>
      </c>
      <c r="F63" s="77"/>
      <c r="G63" s="302">
        <f t="shared" ca="1" si="20"/>
        <v>0</v>
      </c>
      <c r="H63" s="284"/>
      <c r="I63" s="284">
        <f t="shared" ca="1" si="21"/>
        <v>0</v>
      </c>
      <c r="J63" s="306">
        <f t="shared" ca="1" si="22"/>
        <v>0</v>
      </c>
      <c r="K63" s="306">
        <f t="shared" ca="1" si="23"/>
        <v>0</v>
      </c>
      <c r="L63" s="306">
        <f t="shared" ca="1" si="24"/>
        <v>0</v>
      </c>
      <c r="M63" s="284">
        <f t="shared" ca="1" si="25"/>
        <v>0</v>
      </c>
      <c r="N63" s="284">
        <f t="shared" ca="1" si="26"/>
        <v>0</v>
      </c>
      <c r="O63" s="307">
        <v>0</v>
      </c>
      <c r="P63" s="284">
        <f t="shared" ca="1" si="27"/>
        <v>0</v>
      </c>
      <c r="Q63" s="301">
        <f t="shared" ca="1" si="28"/>
        <v>0</v>
      </c>
      <c r="R63" s="288"/>
      <c r="S63" s="284">
        <f t="shared" ca="1" si="29"/>
        <v>0</v>
      </c>
      <c r="T63" s="283">
        <f t="shared" ca="1" si="30"/>
        <v>0</v>
      </c>
      <c r="U63" s="284">
        <f t="shared" ca="1" si="31"/>
        <v>0</v>
      </c>
      <c r="V63" s="291">
        <f t="shared" ca="1" si="32"/>
        <v>0</v>
      </c>
      <c r="W63" s="308">
        <f t="shared" ca="1" si="17"/>
        <v>0</v>
      </c>
      <c r="X63" s="284">
        <f t="array" aca="1" ref="X63" ca="1">SUMPRODUCT(--(RIGHT(SP_MortDeduct,2)=":1"),TRANSPOSE($M63:$Q63))</f>
        <v>0</v>
      </c>
      <c r="Y63" s="284">
        <f t="array" aca="1" ref="Y63" ca="1">SUMPRODUCT(--(RIGHT(SP_MortDeduct,2)=":2"),TRANSPOSE($M63:$Q63))</f>
        <v>0</v>
      </c>
      <c r="Z63" s="279">
        <f t="shared" ca="1" si="33"/>
        <v>0</v>
      </c>
    </row>
    <row r="64" spans="2:26" x14ac:dyDescent="0.25">
      <c r="B64" s="65">
        <f t="shared" ca="1" si="16"/>
        <v>2079</v>
      </c>
      <c r="C64" s="65" t="s">
        <v>741</v>
      </c>
      <c r="D64" s="77">
        <f t="shared" si="18"/>
        <v>0</v>
      </c>
      <c r="E64" s="77">
        <f t="shared" si="19"/>
        <v>0</v>
      </c>
      <c r="F64" s="77"/>
      <c r="G64" s="302">
        <f t="shared" ca="1" si="20"/>
        <v>0</v>
      </c>
      <c r="H64" s="284"/>
      <c r="I64" s="284">
        <f t="shared" ca="1" si="21"/>
        <v>0</v>
      </c>
      <c r="J64" s="306">
        <f t="shared" ca="1" si="22"/>
        <v>0</v>
      </c>
      <c r="K64" s="306">
        <f t="shared" ca="1" si="23"/>
        <v>0</v>
      </c>
      <c r="L64" s="306">
        <f t="shared" ca="1" si="24"/>
        <v>0</v>
      </c>
      <c r="M64" s="284">
        <f t="shared" ca="1" si="25"/>
        <v>0</v>
      </c>
      <c r="N64" s="284">
        <f t="shared" ca="1" si="26"/>
        <v>0</v>
      </c>
      <c r="O64" s="307">
        <v>0</v>
      </c>
      <c r="P64" s="284">
        <f t="shared" ca="1" si="27"/>
        <v>0</v>
      </c>
      <c r="Q64" s="301">
        <f t="shared" ca="1" si="28"/>
        <v>0</v>
      </c>
      <c r="R64" s="288"/>
      <c r="S64" s="284">
        <f t="shared" ca="1" si="29"/>
        <v>0</v>
      </c>
      <c r="T64" s="283">
        <f t="shared" ca="1" si="30"/>
        <v>0</v>
      </c>
      <c r="U64" s="284">
        <f t="shared" ca="1" si="31"/>
        <v>0</v>
      </c>
      <c r="V64" s="291">
        <f t="shared" ca="1" si="32"/>
        <v>0</v>
      </c>
      <c r="W64" s="308">
        <f t="shared" ca="1" si="17"/>
        <v>0</v>
      </c>
      <c r="X64" s="284">
        <f t="array" aca="1" ref="X64" ca="1">SUMPRODUCT(--(RIGHT(SP_MortDeduct,2)=":1"),TRANSPOSE($M64:$Q64))</f>
        <v>0</v>
      </c>
      <c r="Y64" s="284">
        <f t="array" aca="1" ref="Y64" ca="1">SUMPRODUCT(--(RIGHT(SP_MortDeduct,2)=":2"),TRANSPOSE($M64:$Q64))</f>
        <v>0</v>
      </c>
      <c r="Z64" s="279">
        <f t="shared" ca="1" si="33"/>
        <v>0</v>
      </c>
    </row>
    <row r="65" spans="2:26" x14ac:dyDescent="0.25">
      <c r="B65" s="65">
        <f t="shared" ca="1" si="16"/>
        <v>2080</v>
      </c>
      <c r="C65" s="65" t="s">
        <v>741</v>
      </c>
      <c r="D65" s="77">
        <f t="shared" si="18"/>
        <v>0</v>
      </c>
      <c r="E65" s="77">
        <f t="shared" si="19"/>
        <v>0</v>
      </c>
      <c r="F65" s="77"/>
      <c r="G65" s="302">
        <f t="shared" ca="1" si="20"/>
        <v>0</v>
      </c>
      <c r="H65" s="284"/>
      <c r="I65" s="284">
        <f t="shared" ca="1" si="21"/>
        <v>0</v>
      </c>
      <c r="J65" s="306">
        <f t="shared" ca="1" si="22"/>
        <v>0</v>
      </c>
      <c r="K65" s="306">
        <f t="shared" ca="1" si="23"/>
        <v>0</v>
      </c>
      <c r="L65" s="306">
        <f t="shared" ca="1" si="24"/>
        <v>0</v>
      </c>
      <c r="M65" s="284">
        <f t="shared" ca="1" si="25"/>
        <v>0</v>
      </c>
      <c r="N65" s="284">
        <f t="shared" ca="1" si="26"/>
        <v>0</v>
      </c>
      <c r="O65" s="307">
        <v>0</v>
      </c>
      <c r="P65" s="284">
        <f t="shared" ca="1" si="27"/>
        <v>0</v>
      </c>
      <c r="Q65" s="301">
        <f t="shared" ca="1" si="28"/>
        <v>0</v>
      </c>
      <c r="R65" s="288"/>
      <c r="S65" s="284">
        <f t="shared" ca="1" si="29"/>
        <v>0</v>
      </c>
      <c r="T65" s="283">
        <f t="shared" ca="1" si="30"/>
        <v>0</v>
      </c>
      <c r="U65" s="284">
        <f t="shared" ca="1" si="31"/>
        <v>0</v>
      </c>
      <c r="V65" s="291">
        <f t="shared" ca="1" si="32"/>
        <v>0</v>
      </c>
      <c r="W65" s="308">
        <f t="shared" ca="1" si="17"/>
        <v>0</v>
      </c>
      <c r="X65" s="284">
        <f t="array" aca="1" ref="X65" ca="1">SUMPRODUCT(--(RIGHT(SP_MortDeduct,2)=":1"),TRANSPOSE($M65:$Q65))</f>
        <v>0</v>
      </c>
      <c r="Y65" s="284">
        <f t="array" aca="1" ref="Y65" ca="1">SUMPRODUCT(--(RIGHT(SP_MortDeduct,2)=":2"),TRANSPOSE($M65:$Q65))</f>
        <v>0</v>
      </c>
      <c r="Z65" s="279">
        <f t="shared" ca="1" si="33"/>
        <v>0</v>
      </c>
    </row>
    <row r="66" spans="2:26" x14ac:dyDescent="0.25">
      <c r="B66" s="65">
        <f t="shared" ca="1" si="16"/>
        <v>2081</v>
      </c>
      <c r="C66" s="65" t="s">
        <v>741</v>
      </c>
      <c r="D66" s="77">
        <f t="shared" si="18"/>
        <v>0</v>
      </c>
      <c r="E66" s="77">
        <f t="shared" si="19"/>
        <v>0</v>
      </c>
      <c r="F66" s="77"/>
      <c r="G66" s="302">
        <f t="shared" ca="1" si="20"/>
        <v>0</v>
      </c>
      <c r="H66" s="284"/>
      <c r="I66" s="284">
        <f t="shared" ca="1" si="21"/>
        <v>0</v>
      </c>
      <c r="J66" s="306">
        <f t="shared" ca="1" si="22"/>
        <v>0</v>
      </c>
      <c r="K66" s="306">
        <f t="shared" ca="1" si="23"/>
        <v>0</v>
      </c>
      <c r="L66" s="306">
        <f t="shared" ca="1" si="24"/>
        <v>0</v>
      </c>
      <c r="M66" s="284">
        <f t="shared" ca="1" si="25"/>
        <v>0</v>
      </c>
      <c r="N66" s="284">
        <f t="shared" ca="1" si="26"/>
        <v>0</v>
      </c>
      <c r="O66" s="307">
        <v>0</v>
      </c>
      <c r="P66" s="284">
        <f t="shared" ca="1" si="27"/>
        <v>0</v>
      </c>
      <c r="Q66" s="301">
        <f t="shared" ca="1" si="28"/>
        <v>0</v>
      </c>
      <c r="R66" s="288"/>
      <c r="S66" s="284">
        <f t="shared" ca="1" si="29"/>
        <v>0</v>
      </c>
      <c r="T66" s="283">
        <f t="shared" ca="1" si="30"/>
        <v>0</v>
      </c>
      <c r="U66" s="284">
        <f t="shared" ca="1" si="31"/>
        <v>0</v>
      </c>
      <c r="V66" s="291">
        <f t="shared" ca="1" si="32"/>
        <v>0</v>
      </c>
      <c r="W66" s="308">
        <f t="shared" ca="1" si="17"/>
        <v>0</v>
      </c>
      <c r="X66" s="284">
        <f t="array" aca="1" ref="X66" ca="1">SUMPRODUCT(--(RIGHT(SP_MortDeduct,2)=":1"),TRANSPOSE($M66:$Q66))</f>
        <v>0</v>
      </c>
      <c r="Y66" s="284">
        <f t="array" aca="1" ref="Y66" ca="1">SUMPRODUCT(--(RIGHT(SP_MortDeduct,2)=":2"),TRANSPOSE($M66:$Q66))</f>
        <v>0</v>
      </c>
      <c r="Z66" s="279">
        <f t="shared" ca="1" si="33"/>
        <v>0</v>
      </c>
    </row>
    <row r="67" spans="2:26" x14ac:dyDescent="0.25">
      <c r="B67" s="65">
        <f t="shared" ca="1" si="16"/>
        <v>2082</v>
      </c>
      <c r="C67" s="65" t="s">
        <v>741</v>
      </c>
      <c r="D67" s="77">
        <f t="shared" si="18"/>
        <v>0</v>
      </c>
      <c r="E67" s="77">
        <f t="shared" si="19"/>
        <v>0</v>
      </c>
      <c r="F67" s="77"/>
      <c r="G67" s="302">
        <f t="shared" ca="1" si="20"/>
        <v>0</v>
      </c>
      <c r="H67" s="284"/>
      <c r="I67" s="284">
        <f t="shared" ca="1" si="21"/>
        <v>0</v>
      </c>
      <c r="J67" s="306">
        <f t="shared" ca="1" si="22"/>
        <v>0</v>
      </c>
      <c r="K67" s="306">
        <f t="shared" ca="1" si="23"/>
        <v>0</v>
      </c>
      <c r="L67" s="306">
        <f t="shared" ca="1" si="24"/>
        <v>0</v>
      </c>
      <c r="M67" s="284">
        <f t="shared" ca="1" si="25"/>
        <v>0</v>
      </c>
      <c r="N67" s="284">
        <f t="shared" ca="1" si="26"/>
        <v>0</v>
      </c>
      <c r="O67" s="307">
        <v>0</v>
      </c>
      <c r="P67" s="284">
        <f t="shared" ca="1" si="27"/>
        <v>0</v>
      </c>
      <c r="Q67" s="301">
        <f t="shared" ca="1" si="28"/>
        <v>0</v>
      </c>
      <c r="R67" s="288"/>
      <c r="S67" s="284">
        <f t="shared" ca="1" si="29"/>
        <v>0</v>
      </c>
      <c r="T67" s="283">
        <f t="shared" ca="1" si="30"/>
        <v>0</v>
      </c>
      <c r="U67" s="284">
        <f t="shared" ca="1" si="31"/>
        <v>0</v>
      </c>
      <c r="V67" s="291">
        <f t="shared" ca="1" si="32"/>
        <v>0</v>
      </c>
      <c r="W67" s="308">
        <f t="shared" ca="1" si="17"/>
        <v>0</v>
      </c>
      <c r="X67" s="284">
        <f t="array" aca="1" ref="X67" ca="1">SUMPRODUCT(--(RIGHT(SP_MortDeduct,2)=":1"),TRANSPOSE($M67:$Q67))</f>
        <v>0</v>
      </c>
      <c r="Y67" s="284">
        <f t="array" aca="1" ref="Y67" ca="1">SUMPRODUCT(--(RIGHT(SP_MortDeduct,2)=":2"),TRANSPOSE($M67:$Q67))</f>
        <v>0</v>
      </c>
      <c r="Z67" s="279">
        <f t="shared" ca="1" si="33"/>
        <v>0</v>
      </c>
    </row>
    <row r="68" spans="2:26" x14ac:dyDescent="0.25">
      <c r="B68" s="65">
        <f t="shared" ca="1" si="16"/>
        <v>2083</v>
      </c>
      <c r="C68" s="65" t="s">
        <v>741</v>
      </c>
      <c r="D68" s="77">
        <f t="shared" si="18"/>
        <v>0</v>
      </c>
      <c r="E68" s="77">
        <f t="shared" si="19"/>
        <v>0</v>
      </c>
      <c r="F68" s="77"/>
      <c r="G68" s="302">
        <f t="shared" ca="1" si="20"/>
        <v>0</v>
      </c>
      <c r="H68" s="284"/>
      <c r="I68" s="284">
        <f t="shared" ca="1" si="21"/>
        <v>0</v>
      </c>
      <c r="J68" s="306">
        <f t="shared" ca="1" si="22"/>
        <v>0</v>
      </c>
      <c r="K68" s="306">
        <f t="shared" ca="1" si="23"/>
        <v>0</v>
      </c>
      <c r="L68" s="306">
        <f t="shared" ca="1" si="24"/>
        <v>0</v>
      </c>
      <c r="M68" s="284">
        <f t="shared" ca="1" si="25"/>
        <v>0</v>
      </c>
      <c r="N68" s="284">
        <f t="shared" ca="1" si="26"/>
        <v>0</v>
      </c>
      <c r="O68" s="307">
        <v>0</v>
      </c>
      <c r="P68" s="284">
        <f t="shared" ca="1" si="27"/>
        <v>0</v>
      </c>
      <c r="Q68" s="301">
        <f t="shared" ca="1" si="28"/>
        <v>0</v>
      </c>
      <c r="R68" s="288"/>
      <c r="S68" s="284">
        <f t="shared" ca="1" si="29"/>
        <v>0</v>
      </c>
      <c r="T68" s="283">
        <f t="shared" ca="1" si="30"/>
        <v>0</v>
      </c>
      <c r="U68" s="284">
        <f t="shared" ca="1" si="31"/>
        <v>0</v>
      </c>
      <c r="V68" s="291">
        <f t="shared" ca="1" si="32"/>
        <v>0</v>
      </c>
      <c r="W68" s="308">
        <f t="shared" ca="1" si="17"/>
        <v>0</v>
      </c>
      <c r="X68" s="284">
        <f t="array" aca="1" ref="X68" ca="1">SUMPRODUCT(--(RIGHT(SP_MortDeduct,2)=":1"),TRANSPOSE($M68:$Q68))</f>
        <v>0</v>
      </c>
      <c r="Y68" s="284">
        <f t="array" aca="1" ref="Y68" ca="1">SUMPRODUCT(--(RIGHT(SP_MortDeduct,2)=":2"),TRANSPOSE($M68:$Q68))</f>
        <v>0</v>
      </c>
      <c r="Z68" s="279">
        <f t="shared" ca="1" si="33"/>
        <v>0</v>
      </c>
    </row>
    <row r="69" spans="2:26" x14ac:dyDescent="0.25">
      <c r="B69" s="65">
        <f t="shared" ca="1" si="16"/>
        <v>2084</v>
      </c>
      <c r="C69" s="65" t="s">
        <v>741</v>
      </c>
      <c r="D69" s="77">
        <f t="shared" si="18"/>
        <v>0</v>
      </c>
      <c r="E69" s="77">
        <f t="shared" si="19"/>
        <v>0</v>
      </c>
      <c r="F69" s="77"/>
      <c r="G69" s="302">
        <f t="shared" ca="1" si="20"/>
        <v>0</v>
      </c>
      <c r="H69" s="284"/>
      <c r="I69" s="284">
        <f t="shared" ca="1" si="21"/>
        <v>0</v>
      </c>
      <c r="J69" s="306">
        <f t="shared" ca="1" si="22"/>
        <v>0</v>
      </c>
      <c r="K69" s="306">
        <f t="shared" ca="1" si="23"/>
        <v>0</v>
      </c>
      <c r="L69" s="306">
        <f t="shared" ca="1" si="24"/>
        <v>0</v>
      </c>
      <c r="M69" s="284">
        <f t="shared" ca="1" si="25"/>
        <v>0</v>
      </c>
      <c r="N69" s="284">
        <f t="shared" ca="1" si="26"/>
        <v>0</v>
      </c>
      <c r="O69" s="307">
        <v>0</v>
      </c>
      <c r="P69" s="284">
        <f t="shared" ca="1" si="27"/>
        <v>0</v>
      </c>
      <c r="Q69" s="301">
        <f t="shared" ca="1" si="28"/>
        <v>0</v>
      </c>
      <c r="R69" s="288"/>
      <c r="S69" s="284">
        <f t="shared" ca="1" si="29"/>
        <v>0</v>
      </c>
      <c r="T69" s="283">
        <f t="shared" ca="1" si="30"/>
        <v>0</v>
      </c>
      <c r="U69" s="284">
        <f t="shared" ca="1" si="31"/>
        <v>0</v>
      </c>
      <c r="V69" s="291">
        <f t="shared" ca="1" si="32"/>
        <v>0</v>
      </c>
      <c r="W69" s="308">
        <f t="shared" ca="1" si="17"/>
        <v>0</v>
      </c>
      <c r="X69" s="284">
        <f t="array" aca="1" ref="X69" ca="1">SUMPRODUCT(--(RIGHT(SP_MortDeduct,2)=":1"),TRANSPOSE($M69:$Q69))</f>
        <v>0</v>
      </c>
      <c r="Y69" s="284">
        <f t="array" aca="1" ref="Y69" ca="1">SUMPRODUCT(--(RIGHT(SP_MortDeduct,2)=":2"),TRANSPOSE($M69:$Q69))</f>
        <v>0</v>
      </c>
      <c r="Z69" s="279">
        <f t="shared" ca="1" si="33"/>
        <v>0</v>
      </c>
    </row>
    <row r="70" spans="2:26" x14ac:dyDescent="0.25">
      <c r="B70" s="65">
        <f t="shared" ca="1" si="16"/>
        <v>2085</v>
      </c>
      <c r="C70" s="65" t="s">
        <v>741</v>
      </c>
      <c r="D70" s="77">
        <f t="shared" si="18"/>
        <v>0</v>
      </c>
      <c r="E70" s="77">
        <f t="shared" si="19"/>
        <v>0</v>
      </c>
      <c r="F70" s="77"/>
      <c r="G70" s="302">
        <f t="shared" ca="1" si="20"/>
        <v>0</v>
      </c>
      <c r="H70" s="284"/>
      <c r="I70" s="284">
        <f t="shared" ca="1" si="21"/>
        <v>0</v>
      </c>
      <c r="J70" s="306">
        <f t="shared" ca="1" si="22"/>
        <v>0</v>
      </c>
      <c r="K70" s="306">
        <f t="shared" ca="1" si="23"/>
        <v>0</v>
      </c>
      <c r="L70" s="306">
        <f t="shared" ca="1" si="24"/>
        <v>0</v>
      </c>
      <c r="M70" s="284">
        <f t="shared" ca="1" si="25"/>
        <v>0</v>
      </c>
      <c r="N70" s="284">
        <f t="shared" ca="1" si="26"/>
        <v>0</v>
      </c>
      <c r="O70" s="307">
        <v>0</v>
      </c>
      <c r="P70" s="284">
        <f t="shared" ca="1" si="27"/>
        <v>0</v>
      </c>
      <c r="Q70" s="301">
        <f t="shared" ca="1" si="28"/>
        <v>0</v>
      </c>
      <c r="R70" s="288"/>
      <c r="S70" s="284">
        <f t="shared" ca="1" si="29"/>
        <v>0</v>
      </c>
      <c r="T70" s="283">
        <f t="shared" ca="1" si="30"/>
        <v>0</v>
      </c>
      <c r="U70" s="284">
        <f t="shared" ca="1" si="31"/>
        <v>0</v>
      </c>
      <c r="V70" s="291">
        <f t="shared" ca="1" si="32"/>
        <v>0</v>
      </c>
      <c r="W70" s="308">
        <f t="shared" ca="1" si="17"/>
        <v>0</v>
      </c>
      <c r="X70" s="284">
        <f t="array" aca="1" ref="X70" ca="1">SUMPRODUCT(--(RIGHT(SP_MortDeduct,2)=":1"),TRANSPOSE($M70:$Q70))</f>
        <v>0</v>
      </c>
      <c r="Y70" s="284">
        <f t="array" aca="1" ref="Y70" ca="1">SUMPRODUCT(--(RIGHT(SP_MortDeduct,2)=":2"),TRANSPOSE($M70:$Q70))</f>
        <v>0</v>
      </c>
      <c r="Z70" s="279">
        <f t="shared" ca="1" si="33"/>
        <v>0</v>
      </c>
    </row>
    <row r="71" spans="2:26" x14ac:dyDescent="0.25">
      <c r="B71" s="65">
        <f t="shared" ref="B71:B86" ca="1" si="34">B70+1</f>
        <v>2086</v>
      </c>
      <c r="C71" s="65" t="s">
        <v>741</v>
      </c>
      <c r="D71" s="77">
        <f t="shared" ref="D71:D86" si="35">IF(INDEX(SC_ShowRetireatee,1),IF($B71&lt;YEAR(INDEX(SP_BirthDate,1)),0,$B71-YEAR(INDEX(SP_BirthDate,1))),0)</f>
        <v>0</v>
      </c>
      <c r="E71" s="77">
        <f t="shared" ref="E71:E86" si="36">IF(INDEX(SC_ShowRetireatee,2),IF($B71&lt;YEAR(INDEX(SP_BirthDate,2)),0,$B71-YEAR(INDEX(SP_BirthDate,2))),0)</f>
        <v>0</v>
      </c>
      <c r="F71" s="77"/>
      <c r="G71" s="302">
        <f t="shared" ref="G71:G86" ca="1" si="37">SP_HomeValue/INDEX(SC_EA_InflationCPIdx,EAIDX)</f>
        <v>0</v>
      </c>
      <c r="H71" s="284"/>
      <c r="I71" s="284">
        <f t="shared" ref="I71:I86" ca="1" si="38">$I70+$M70</f>
        <v>0</v>
      </c>
      <c r="J71" s="306">
        <f t="shared" ref="J71:J86" ca="1" si="39">IFERROR(NPER(SP_MortRate/12,PMT(SP_MortRate/12,SP_MortNper,SP_MortOriginBalance,0,0)-SP_MortExtraPayment,$I71,0,0),0)</f>
        <v>0</v>
      </c>
      <c r="K71" s="306">
        <f t="shared" ref="K71:K86" ca="1" si="40">IFERROR(NPER(SP_MortRate/12,PMT(SP_MortRate/12,SP_MortNper,SP_MortOriginBalance,0,0),$I71,0,0),0)</f>
        <v>0</v>
      </c>
      <c r="L71" s="306">
        <f t="shared" ref="L71:L86" ca="1" si="41">MIN(IFERROR(DATEDIF(SP_MortOriginDate, DATE($B71+1,1,1), "m"),0),12,$J71)</f>
        <v>0</v>
      </c>
      <c r="M71" s="284">
        <f t="shared" ref="M71:M86" ca="1" si="42">IF($L71&gt;0,IF(MOD($L71, 1)=0,CUMPRINC(SP_MortRate/12,MAX($J71,1),$I71,1,MAX($L71,1),0),-$I71),0)</f>
        <v>0</v>
      </c>
      <c r="N71" s="284">
        <f t="shared" ref="N71:N86" ca="1" si="43">IF($L71&gt;0,CUMIPMT(SP_MortRate/12,MAX($J71,1),$I71,1,MAX($L71,1),0),0)</f>
        <v>0</v>
      </c>
      <c r="O71" s="307">
        <v>0</v>
      </c>
      <c r="P71" s="284">
        <f t="shared" ref="P71:P86" ca="1" si="44">-ABS(SP_RealEstateTax)*12/INDEX(SC_EA_InflationCPIdx,EAIDX)</f>
        <v>0</v>
      </c>
      <c r="Q71" s="301">
        <f t="shared" ref="Q71:Q86" ca="1" si="45">-ABS(SP_HomeIns)*12/INDEX(SC_EA_InflationCPIdx,EAIDX)</f>
        <v>0</v>
      </c>
      <c r="R71" s="288"/>
      <c r="S71" s="284">
        <f t="shared" ref="S71:S86" ca="1" si="46">MIN($S70+$U70+$V70,$G71*(1-LT_RealtorFees))</f>
        <v>0</v>
      </c>
      <c r="T71" s="283">
        <f t="shared" ref="T71:T86" ca="1" si="47">MIN(IFERROR(DATEDIF(SP_HECMOriginDate, DATE($B71+1,1,1), "m"),0),12)</f>
        <v>0</v>
      </c>
      <c r="U71" s="284">
        <f t="shared" ref="U71:U86" ca="1" si="48">IF(AND(IFERROR(YEAR(SP_HECMOriginDate),0)=$B71,SP_HECMOriginBalance=0),MIN(SC_HECMPLF*$G71,LT_HECMMaxLoan/INDEX(SC_EA_InflationCPIdx,EAIDX)),0)</f>
        <v>0</v>
      </c>
      <c r="V71" s="291">
        <f t="shared" ref="V71:V86" ca="1" si="49">(S71+U71)*POWER(1+SP_HECMRate/12,T71)-(S71+U71)</f>
        <v>0</v>
      </c>
      <c r="W71" s="308">
        <f t="shared" ca="1" si="17"/>
        <v>0</v>
      </c>
      <c r="X71" s="284">
        <f t="array" aca="1" ref="X71" ca="1">SUMPRODUCT(--(RIGHT(SP_MortDeduct,2)=":1"),TRANSPOSE($M71:$Q71))</f>
        <v>0</v>
      </c>
      <c r="Y71" s="284">
        <f t="array" aca="1" ref="Y71" ca="1">SUMPRODUCT(--(RIGHT(SP_MortDeduct,2)=":2"),TRANSPOSE($M71:$Q71))</f>
        <v>0</v>
      </c>
      <c r="Z71" s="279">
        <f t="shared" ref="Z71:Z86" ca="1" si="50">SUM(M71:Q71)</f>
        <v>0</v>
      </c>
    </row>
    <row r="72" spans="2:26" x14ac:dyDescent="0.25">
      <c r="B72" s="65">
        <f t="shared" ca="1" si="34"/>
        <v>2087</v>
      </c>
      <c r="C72" s="65" t="s">
        <v>741</v>
      </c>
      <c r="D72" s="77">
        <f t="shared" si="35"/>
        <v>0</v>
      </c>
      <c r="E72" s="77">
        <f t="shared" si="36"/>
        <v>0</v>
      </c>
      <c r="F72" s="77"/>
      <c r="G72" s="302">
        <f t="shared" ca="1" si="37"/>
        <v>0</v>
      </c>
      <c r="H72" s="284"/>
      <c r="I72" s="284">
        <f t="shared" ca="1" si="38"/>
        <v>0</v>
      </c>
      <c r="J72" s="306">
        <f t="shared" ca="1" si="39"/>
        <v>0</v>
      </c>
      <c r="K72" s="306">
        <f t="shared" ca="1" si="40"/>
        <v>0</v>
      </c>
      <c r="L72" s="306">
        <f t="shared" ca="1" si="41"/>
        <v>0</v>
      </c>
      <c r="M72" s="284">
        <f t="shared" ca="1" si="42"/>
        <v>0</v>
      </c>
      <c r="N72" s="284">
        <f t="shared" ca="1" si="43"/>
        <v>0</v>
      </c>
      <c r="O72" s="307">
        <v>0</v>
      </c>
      <c r="P72" s="284">
        <f t="shared" ca="1" si="44"/>
        <v>0</v>
      </c>
      <c r="Q72" s="301">
        <f t="shared" ca="1" si="45"/>
        <v>0</v>
      </c>
      <c r="R72" s="288"/>
      <c r="S72" s="284">
        <f t="shared" ca="1" si="46"/>
        <v>0</v>
      </c>
      <c r="T72" s="283">
        <f t="shared" ca="1" si="47"/>
        <v>0</v>
      </c>
      <c r="U72" s="284">
        <f t="shared" ca="1" si="48"/>
        <v>0</v>
      </c>
      <c r="V72" s="291">
        <f t="shared" ca="1" si="49"/>
        <v>0</v>
      </c>
      <c r="W72" s="308">
        <f t="shared" ref="W72:W86" ca="1" si="51">$G72-$I72-$S72</f>
        <v>0</v>
      </c>
      <c r="X72" s="284">
        <f t="array" aca="1" ref="X72" ca="1">SUMPRODUCT(--(RIGHT(SP_MortDeduct,2)=":1"),TRANSPOSE($M72:$Q72))</f>
        <v>0</v>
      </c>
      <c r="Y72" s="284">
        <f t="array" aca="1" ref="Y72" ca="1">SUMPRODUCT(--(RIGHT(SP_MortDeduct,2)=":2"),TRANSPOSE($M72:$Q72))</f>
        <v>0</v>
      </c>
      <c r="Z72" s="279">
        <f t="shared" ca="1" si="50"/>
        <v>0</v>
      </c>
    </row>
    <row r="73" spans="2:26" x14ac:dyDescent="0.25">
      <c r="B73" s="65">
        <f t="shared" ca="1" si="34"/>
        <v>2088</v>
      </c>
      <c r="C73" s="65" t="s">
        <v>741</v>
      </c>
      <c r="D73" s="77">
        <f t="shared" si="35"/>
        <v>0</v>
      </c>
      <c r="E73" s="77">
        <f t="shared" si="36"/>
        <v>0</v>
      </c>
      <c r="F73" s="77"/>
      <c r="G73" s="302">
        <f t="shared" ca="1" si="37"/>
        <v>0</v>
      </c>
      <c r="H73" s="284"/>
      <c r="I73" s="284">
        <f t="shared" ca="1" si="38"/>
        <v>0</v>
      </c>
      <c r="J73" s="306">
        <f t="shared" ca="1" si="39"/>
        <v>0</v>
      </c>
      <c r="K73" s="306">
        <f t="shared" ca="1" si="40"/>
        <v>0</v>
      </c>
      <c r="L73" s="306">
        <f t="shared" ca="1" si="41"/>
        <v>0</v>
      </c>
      <c r="M73" s="284">
        <f t="shared" ca="1" si="42"/>
        <v>0</v>
      </c>
      <c r="N73" s="284">
        <f t="shared" ca="1" si="43"/>
        <v>0</v>
      </c>
      <c r="O73" s="307">
        <v>0</v>
      </c>
      <c r="P73" s="284">
        <f t="shared" ca="1" si="44"/>
        <v>0</v>
      </c>
      <c r="Q73" s="301">
        <f t="shared" ca="1" si="45"/>
        <v>0</v>
      </c>
      <c r="R73" s="288"/>
      <c r="S73" s="284">
        <f t="shared" ca="1" si="46"/>
        <v>0</v>
      </c>
      <c r="T73" s="283">
        <f t="shared" ca="1" si="47"/>
        <v>0</v>
      </c>
      <c r="U73" s="284">
        <f t="shared" ca="1" si="48"/>
        <v>0</v>
      </c>
      <c r="V73" s="291">
        <f t="shared" ca="1" si="49"/>
        <v>0</v>
      </c>
      <c r="W73" s="308">
        <f t="shared" ca="1" si="51"/>
        <v>0</v>
      </c>
      <c r="X73" s="284">
        <f t="array" aca="1" ref="X73" ca="1">SUMPRODUCT(--(RIGHT(SP_MortDeduct,2)=":1"),TRANSPOSE($M73:$Q73))</f>
        <v>0</v>
      </c>
      <c r="Y73" s="284">
        <f t="array" aca="1" ref="Y73" ca="1">SUMPRODUCT(--(RIGHT(SP_MortDeduct,2)=":2"),TRANSPOSE($M73:$Q73))</f>
        <v>0</v>
      </c>
      <c r="Z73" s="279">
        <f t="shared" ca="1" si="50"/>
        <v>0</v>
      </c>
    </row>
    <row r="74" spans="2:26" x14ac:dyDescent="0.25">
      <c r="B74" s="65">
        <f t="shared" ca="1" si="34"/>
        <v>2089</v>
      </c>
      <c r="C74" s="65" t="s">
        <v>741</v>
      </c>
      <c r="D74" s="77">
        <f t="shared" si="35"/>
        <v>0</v>
      </c>
      <c r="E74" s="77">
        <f t="shared" si="36"/>
        <v>0</v>
      </c>
      <c r="F74" s="77"/>
      <c r="G74" s="302">
        <f t="shared" ca="1" si="37"/>
        <v>0</v>
      </c>
      <c r="H74" s="284"/>
      <c r="I74" s="284">
        <f t="shared" ca="1" si="38"/>
        <v>0</v>
      </c>
      <c r="J74" s="306">
        <f t="shared" ca="1" si="39"/>
        <v>0</v>
      </c>
      <c r="K74" s="306">
        <f t="shared" ca="1" si="40"/>
        <v>0</v>
      </c>
      <c r="L74" s="306">
        <f t="shared" ca="1" si="41"/>
        <v>0</v>
      </c>
      <c r="M74" s="284">
        <f t="shared" ca="1" si="42"/>
        <v>0</v>
      </c>
      <c r="N74" s="284">
        <f t="shared" ca="1" si="43"/>
        <v>0</v>
      </c>
      <c r="O74" s="307">
        <v>0</v>
      </c>
      <c r="P74" s="284">
        <f t="shared" ca="1" si="44"/>
        <v>0</v>
      </c>
      <c r="Q74" s="301">
        <f t="shared" ca="1" si="45"/>
        <v>0</v>
      </c>
      <c r="R74" s="288"/>
      <c r="S74" s="284">
        <f t="shared" ca="1" si="46"/>
        <v>0</v>
      </c>
      <c r="T74" s="283">
        <f t="shared" ca="1" si="47"/>
        <v>0</v>
      </c>
      <c r="U74" s="284">
        <f t="shared" ca="1" si="48"/>
        <v>0</v>
      </c>
      <c r="V74" s="291">
        <f t="shared" ca="1" si="49"/>
        <v>0</v>
      </c>
      <c r="W74" s="308">
        <f t="shared" ca="1" si="51"/>
        <v>0</v>
      </c>
      <c r="X74" s="284">
        <f t="array" aca="1" ref="X74" ca="1">SUMPRODUCT(--(RIGHT(SP_MortDeduct,2)=":1"),TRANSPOSE($M74:$Q74))</f>
        <v>0</v>
      </c>
      <c r="Y74" s="284">
        <f t="array" aca="1" ref="Y74" ca="1">SUMPRODUCT(--(RIGHT(SP_MortDeduct,2)=":2"),TRANSPOSE($M74:$Q74))</f>
        <v>0</v>
      </c>
      <c r="Z74" s="279">
        <f t="shared" ca="1" si="50"/>
        <v>0</v>
      </c>
    </row>
    <row r="75" spans="2:26" x14ac:dyDescent="0.25">
      <c r="B75" s="65">
        <f t="shared" ca="1" si="34"/>
        <v>2090</v>
      </c>
      <c r="C75" s="65" t="s">
        <v>741</v>
      </c>
      <c r="D75" s="77">
        <f t="shared" si="35"/>
        <v>0</v>
      </c>
      <c r="E75" s="77">
        <f t="shared" si="36"/>
        <v>0</v>
      </c>
      <c r="F75" s="77"/>
      <c r="G75" s="302">
        <f t="shared" ca="1" si="37"/>
        <v>0</v>
      </c>
      <c r="H75" s="284"/>
      <c r="I75" s="284">
        <f t="shared" ca="1" si="38"/>
        <v>0</v>
      </c>
      <c r="J75" s="306">
        <f t="shared" ca="1" si="39"/>
        <v>0</v>
      </c>
      <c r="K75" s="306">
        <f t="shared" ca="1" si="40"/>
        <v>0</v>
      </c>
      <c r="L75" s="306">
        <f t="shared" ca="1" si="41"/>
        <v>0</v>
      </c>
      <c r="M75" s="284">
        <f t="shared" ca="1" si="42"/>
        <v>0</v>
      </c>
      <c r="N75" s="284">
        <f t="shared" ca="1" si="43"/>
        <v>0</v>
      </c>
      <c r="O75" s="307">
        <v>0</v>
      </c>
      <c r="P75" s="284">
        <f t="shared" ca="1" si="44"/>
        <v>0</v>
      </c>
      <c r="Q75" s="301">
        <f t="shared" ca="1" si="45"/>
        <v>0</v>
      </c>
      <c r="R75" s="288"/>
      <c r="S75" s="284">
        <f t="shared" ca="1" si="46"/>
        <v>0</v>
      </c>
      <c r="T75" s="283">
        <f t="shared" ca="1" si="47"/>
        <v>0</v>
      </c>
      <c r="U75" s="284">
        <f t="shared" ca="1" si="48"/>
        <v>0</v>
      </c>
      <c r="V75" s="291">
        <f t="shared" ca="1" si="49"/>
        <v>0</v>
      </c>
      <c r="W75" s="308">
        <f t="shared" ca="1" si="51"/>
        <v>0</v>
      </c>
      <c r="X75" s="284">
        <f t="array" aca="1" ref="X75" ca="1">SUMPRODUCT(--(RIGHT(SP_MortDeduct,2)=":1"),TRANSPOSE($M75:$Q75))</f>
        <v>0</v>
      </c>
      <c r="Y75" s="284">
        <f t="array" aca="1" ref="Y75" ca="1">SUMPRODUCT(--(RIGHT(SP_MortDeduct,2)=":2"),TRANSPOSE($M75:$Q75))</f>
        <v>0</v>
      </c>
      <c r="Z75" s="279">
        <f t="shared" ca="1" si="50"/>
        <v>0</v>
      </c>
    </row>
    <row r="76" spans="2:26" x14ac:dyDescent="0.25">
      <c r="B76" s="65">
        <f t="shared" ca="1" si="34"/>
        <v>2091</v>
      </c>
      <c r="C76" s="65" t="s">
        <v>741</v>
      </c>
      <c r="D76" s="77">
        <f t="shared" si="35"/>
        <v>0</v>
      </c>
      <c r="E76" s="77">
        <f t="shared" si="36"/>
        <v>0</v>
      </c>
      <c r="F76" s="77"/>
      <c r="G76" s="302">
        <f t="shared" ca="1" si="37"/>
        <v>0</v>
      </c>
      <c r="H76" s="284"/>
      <c r="I76" s="284">
        <f t="shared" ca="1" si="38"/>
        <v>0</v>
      </c>
      <c r="J76" s="306">
        <f t="shared" ca="1" si="39"/>
        <v>0</v>
      </c>
      <c r="K76" s="306">
        <f t="shared" ca="1" si="40"/>
        <v>0</v>
      </c>
      <c r="L76" s="306">
        <f t="shared" ca="1" si="41"/>
        <v>0</v>
      </c>
      <c r="M76" s="284">
        <f t="shared" ca="1" si="42"/>
        <v>0</v>
      </c>
      <c r="N76" s="284">
        <f t="shared" ca="1" si="43"/>
        <v>0</v>
      </c>
      <c r="O76" s="307">
        <v>0</v>
      </c>
      <c r="P76" s="284">
        <f t="shared" ca="1" si="44"/>
        <v>0</v>
      </c>
      <c r="Q76" s="301">
        <f t="shared" ca="1" si="45"/>
        <v>0</v>
      </c>
      <c r="R76" s="288"/>
      <c r="S76" s="284">
        <f t="shared" ca="1" si="46"/>
        <v>0</v>
      </c>
      <c r="T76" s="283">
        <f t="shared" ca="1" si="47"/>
        <v>0</v>
      </c>
      <c r="U76" s="284">
        <f t="shared" ca="1" si="48"/>
        <v>0</v>
      </c>
      <c r="V76" s="291">
        <f t="shared" ca="1" si="49"/>
        <v>0</v>
      </c>
      <c r="W76" s="308">
        <f t="shared" ca="1" si="51"/>
        <v>0</v>
      </c>
      <c r="X76" s="284">
        <f t="array" aca="1" ref="X76" ca="1">SUMPRODUCT(--(RIGHT(SP_MortDeduct,2)=":1"),TRANSPOSE($M76:$Q76))</f>
        <v>0</v>
      </c>
      <c r="Y76" s="284">
        <f t="array" aca="1" ref="Y76" ca="1">SUMPRODUCT(--(RIGHT(SP_MortDeduct,2)=":2"),TRANSPOSE($M76:$Q76))</f>
        <v>0</v>
      </c>
      <c r="Z76" s="279">
        <f t="shared" ca="1" si="50"/>
        <v>0</v>
      </c>
    </row>
    <row r="77" spans="2:26" x14ac:dyDescent="0.25">
      <c r="B77" s="65">
        <f t="shared" ca="1" si="34"/>
        <v>2092</v>
      </c>
      <c r="C77" s="65" t="s">
        <v>741</v>
      </c>
      <c r="D77" s="77">
        <f t="shared" si="35"/>
        <v>0</v>
      </c>
      <c r="E77" s="77">
        <f t="shared" si="36"/>
        <v>0</v>
      </c>
      <c r="F77" s="77"/>
      <c r="G77" s="302">
        <f t="shared" ca="1" si="37"/>
        <v>0</v>
      </c>
      <c r="H77" s="284"/>
      <c r="I77" s="284">
        <f t="shared" ca="1" si="38"/>
        <v>0</v>
      </c>
      <c r="J77" s="306">
        <f t="shared" ca="1" si="39"/>
        <v>0</v>
      </c>
      <c r="K77" s="306">
        <f t="shared" ca="1" si="40"/>
        <v>0</v>
      </c>
      <c r="L77" s="306">
        <f t="shared" ca="1" si="41"/>
        <v>0</v>
      </c>
      <c r="M77" s="284">
        <f t="shared" ca="1" si="42"/>
        <v>0</v>
      </c>
      <c r="N77" s="284">
        <f t="shared" ca="1" si="43"/>
        <v>0</v>
      </c>
      <c r="O77" s="307">
        <v>0</v>
      </c>
      <c r="P77" s="284">
        <f t="shared" ca="1" si="44"/>
        <v>0</v>
      </c>
      <c r="Q77" s="301">
        <f t="shared" ca="1" si="45"/>
        <v>0</v>
      </c>
      <c r="R77" s="288"/>
      <c r="S77" s="284">
        <f t="shared" ca="1" si="46"/>
        <v>0</v>
      </c>
      <c r="T77" s="283">
        <f t="shared" ca="1" si="47"/>
        <v>0</v>
      </c>
      <c r="U77" s="284">
        <f t="shared" ca="1" si="48"/>
        <v>0</v>
      </c>
      <c r="V77" s="291">
        <f t="shared" ca="1" si="49"/>
        <v>0</v>
      </c>
      <c r="W77" s="308">
        <f t="shared" ca="1" si="51"/>
        <v>0</v>
      </c>
      <c r="X77" s="284">
        <f t="array" aca="1" ref="X77" ca="1">SUMPRODUCT(--(RIGHT(SP_MortDeduct,2)=":1"),TRANSPOSE($M77:$Q77))</f>
        <v>0</v>
      </c>
      <c r="Y77" s="284">
        <f t="array" aca="1" ref="Y77" ca="1">SUMPRODUCT(--(RIGHT(SP_MortDeduct,2)=":2"),TRANSPOSE($M77:$Q77))</f>
        <v>0</v>
      </c>
      <c r="Z77" s="279">
        <f t="shared" ca="1" si="50"/>
        <v>0</v>
      </c>
    </row>
    <row r="78" spans="2:26" x14ac:dyDescent="0.25">
      <c r="B78" s="65">
        <f t="shared" ca="1" si="34"/>
        <v>2093</v>
      </c>
      <c r="C78" s="65" t="s">
        <v>741</v>
      </c>
      <c r="D78" s="77">
        <f t="shared" si="35"/>
        <v>0</v>
      </c>
      <c r="E78" s="77">
        <f t="shared" si="36"/>
        <v>0</v>
      </c>
      <c r="F78" s="77"/>
      <c r="G78" s="302">
        <f t="shared" ca="1" si="37"/>
        <v>0</v>
      </c>
      <c r="H78" s="284"/>
      <c r="I78" s="284">
        <f t="shared" ca="1" si="38"/>
        <v>0</v>
      </c>
      <c r="J78" s="306">
        <f t="shared" ca="1" si="39"/>
        <v>0</v>
      </c>
      <c r="K78" s="306">
        <f t="shared" ca="1" si="40"/>
        <v>0</v>
      </c>
      <c r="L78" s="306">
        <f t="shared" ca="1" si="41"/>
        <v>0</v>
      </c>
      <c r="M78" s="284">
        <f t="shared" ca="1" si="42"/>
        <v>0</v>
      </c>
      <c r="N78" s="284">
        <f t="shared" ca="1" si="43"/>
        <v>0</v>
      </c>
      <c r="O78" s="307">
        <v>0</v>
      </c>
      <c r="P78" s="284">
        <f t="shared" ca="1" si="44"/>
        <v>0</v>
      </c>
      <c r="Q78" s="301">
        <f t="shared" ca="1" si="45"/>
        <v>0</v>
      </c>
      <c r="R78" s="288"/>
      <c r="S78" s="284">
        <f t="shared" ca="1" si="46"/>
        <v>0</v>
      </c>
      <c r="T78" s="283">
        <f t="shared" ca="1" si="47"/>
        <v>0</v>
      </c>
      <c r="U78" s="284">
        <f t="shared" ca="1" si="48"/>
        <v>0</v>
      </c>
      <c r="V78" s="291">
        <f t="shared" ca="1" si="49"/>
        <v>0</v>
      </c>
      <c r="W78" s="308">
        <f t="shared" ca="1" si="51"/>
        <v>0</v>
      </c>
      <c r="X78" s="284">
        <f t="array" aca="1" ref="X78" ca="1">SUMPRODUCT(--(RIGHT(SP_MortDeduct,2)=":1"),TRANSPOSE($M78:$Q78))</f>
        <v>0</v>
      </c>
      <c r="Y78" s="284">
        <f t="array" aca="1" ref="Y78" ca="1">SUMPRODUCT(--(RIGHT(SP_MortDeduct,2)=":2"),TRANSPOSE($M78:$Q78))</f>
        <v>0</v>
      </c>
      <c r="Z78" s="279">
        <f t="shared" ca="1" si="50"/>
        <v>0</v>
      </c>
    </row>
    <row r="79" spans="2:26" x14ac:dyDescent="0.25">
      <c r="B79" s="65">
        <f t="shared" ca="1" si="34"/>
        <v>2094</v>
      </c>
      <c r="C79" s="65" t="s">
        <v>741</v>
      </c>
      <c r="D79" s="77">
        <f t="shared" si="35"/>
        <v>0</v>
      </c>
      <c r="E79" s="77">
        <f t="shared" si="36"/>
        <v>0</v>
      </c>
      <c r="F79" s="77"/>
      <c r="G79" s="302">
        <f t="shared" ca="1" si="37"/>
        <v>0</v>
      </c>
      <c r="H79" s="284"/>
      <c r="I79" s="284">
        <f t="shared" ca="1" si="38"/>
        <v>0</v>
      </c>
      <c r="J79" s="306">
        <f t="shared" ca="1" si="39"/>
        <v>0</v>
      </c>
      <c r="K79" s="306">
        <f t="shared" ca="1" si="40"/>
        <v>0</v>
      </c>
      <c r="L79" s="306">
        <f t="shared" ca="1" si="41"/>
        <v>0</v>
      </c>
      <c r="M79" s="284">
        <f t="shared" ca="1" si="42"/>
        <v>0</v>
      </c>
      <c r="N79" s="284">
        <f t="shared" ca="1" si="43"/>
        <v>0</v>
      </c>
      <c r="O79" s="307">
        <v>0</v>
      </c>
      <c r="P79" s="284">
        <f t="shared" ca="1" si="44"/>
        <v>0</v>
      </c>
      <c r="Q79" s="301">
        <f t="shared" ca="1" si="45"/>
        <v>0</v>
      </c>
      <c r="R79" s="288"/>
      <c r="S79" s="284">
        <f t="shared" ca="1" si="46"/>
        <v>0</v>
      </c>
      <c r="T79" s="283">
        <f t="shared" ca="1" si="47"/>
        <v>0</v>
      </c>
      <c r="U79" s="284">
        <f t="shared" ca="1" si="48"/>
        <v>0</v>
      </c>
      <c r="V79" s="291">
        <f t="shared" ca="1" si="49"/>
        <v>0</v>
      </c>
      <c r="W79" s="308">
        <f t="shared" ca="1" si="51"/>
        <v>0</v>
      </c>
      <c r="X79" s="284">
        <f t="array" aca="1" ref="X79" ca="1">SUMPRODUCT(--(RIGHT(SP_MortDeduct,2)=":1"),TRANSPOSE($M79:$Q79))</f>
        <v>0</v>
      </c>
      <c r="Y79" s="284">
        <f t="array" aca="1" ref="Y79" ca="1">SUMPRODUCT(--(RIGHT(SP_MortDeduct,2)=":2"),TRANSPOSE($M79:$Q79))</f>
        <v>0</v>
      </c>
      <c r="Z79" s="279">
        <f t="shared" ca="1" si="50"/>
        <v>0</v>
      </c>
    </row>
    <row r="80" spans="2:26" x14ac:dyDescent="0.25">
      <c r="B80" s="65">
        <f t="shared" ca="1" si="34"/>
        <v>2095</v>
      </c>
      <c r="C80" s="65" t="s">
        <v>741</v>
      </c>
      <c r="D80" s="77">
        <f t="shared" si="35"/>
        <v>0</v>
      </c>
      <c r="E80" s="77">
        <f t="shared" si="36"/>
        <v>0</v>
      </c>
      <c r="F80" s="77"/>
      <c r="G80" s="302">
        <f t="shared" ca="1" si="37"/>
        <v>0</v>
      </c>
      <c r="H80" s="284"/>
      <c r="I80" s="284">
        <f t="shared" ca="1" si="38"/>
        <v>0</v>
      </c>
      <c r="J80" s="306">
        <f t="shared" ca="1" si="39"/>
        <v>0</v>
      </c>
      <c r="K80" s="306">
        <f t="shared" ca="1" si="40"/>
        <v>0</v>
      </c>
      <c r="L80" s="306">
        <f t="shared" ca="1" si="41"/>
        <v>0</v>
      </c>
      <c r="M80" s="284">
        <f t="shared" ca="1" si="42"/>
        <v>0</v>
      </c>
      <c r="N80" s="284">
        <f t="shared" ca="1" si="43"/>
        <v>0</v>
      </c>
      <c r="O80" s="307">
        <v>0</v>
      </c>
      <c r="P80" s="284">
        <f t="shared" ca="1" si="44"/>
        <v>0</v>
      </c>
      <c r="Q80" s="301">
        <f t="shared" ca="1" si="45"/>
        <v>0</v>
      </c>
      <c r="R80" s="288"/>
      <c r="S80" s="284">
        <f t="shared" ca="1" si="46"/>
        <v>0</v>
      </c>
      <c r="T80" s="283">
        <f t="shared" ca="1" si="47"/>
        <v>0</v>
      </c>
      <c r="U80" s="284">
        <f t="shared" ca="1" si="48"/>
        <v>0</v>
      </c>
      <c r="V80" s="291">
        <f t="shared" ca="1" si="49"/>
        <v>0</v>
      </c>
      <c r="W80" s="308">
        <f t="shared" ca="1" si="51"/>
        <v>0</v>
      </c>
      <c r="X80" s="284">
        <f t="array" aca="1" ref="X80" ca="1">SUMPRODUCT(--(RIGHT(SP_MortDeduct,2)=":1"),TRANSPOSE($M80:$Q80))</f>
        <v>0</v>
      </c>
      <c r="Y80" s="284">
        <f t="array" aca="1" ref="Y80" ca="1">SUMPRODUCT(--(RIGHT(SP_MortDeduct,2)=":2"),TRANSPOSE($M80:$Q80))</f>
        <v>0</v>
      </c>
      <c r="Z80" s="279">
        <f t="shared" ca="1" si="50"/>
        <v>0</v>
      </c>
    </row>
    <row r="81" spans="2:26" x14ac:dyDescent="0.25">
      <c r="B81" s="65">
        <f t="shared" ca="1" si="34"/>
        <v>2096</v>
      </c>
      <c r="C81" s="65" t="s">
        <v>741</v>
      </c>
      <c r="D81" s="77">
        <f t="shared" si="35"/>
        <v>0</v>
      </c>
      <c r="E81" s="77">
        <f t="shared" si="36"/>
        <v>0</v>
      </c>
      <c r="F81" s="77"/>
      <c r="G81" s="302">
        <f t="shared" ca="1" si="37"/>
        <v>0</v>
      </c>
      <c r="H81" s="284"/>
      <c r="I81" s="284">
        <f t="shared" ca="1" si="38"/>
        <v>0</v>
      </c>
      <c r="J81" s="306">
        <f t="shared" ca="1" si="39"/>
        <v>0</v>
      </c>
      <c r="K81" s="306">
        <f t="shared" ca="1" si="40"/>
        <v>0</v>
      </c>
      <c r="L81" s="306">
        <f t="shared" ca="1" si="41"/>
        <v>0</v>
      </c>
      <c r="M81" s="284">
        <f t="shared" ca="1" si="42"/>
        <v>0</v>
      </c>
      <c r="N81" s="284">
        <f t="shared" ca="1" si="43"/>
        <v>0</v>
      </c>
      <c r="O81" s="307">
        <v>0</v>
      </c>
      <c r="P81" s="284">
        <f t="shared" ca="1" si="44"/>
        <v>0</v>
      </c>
      <c r="Q81" s="301">
        <f t="shared" ca="1" si="45"/>
        <v>0</v>
      </c>
      <c r="R81" s="288"/>
      <c r="S81" s="284">
        <f t="shared" ca="1" si="46"/>
        <v>0</v>
      </c>
      <c r="T81" s="283">
        <f t="shared" ca="1" si="47"/>
        <v>0</v>
      </c>
      <c r="U81" s="284">
        <f t="shared" ca="1" si="48"/>
        <v>0</v>
      </c>
      <c r="V81" s="291">
        <f t="shared" ca="1" si="49"/>
        <v>0</v>
      </c>
      <c r="W81" s="308">
        <f t="shared" ca="1" si="51"/>
        <v>0</v>
      </c>
      <c r="X81" s="284">
        <f t="array" aca="1" ref="X81" ca="1">SUMPRODUCT(--(RIGHT(SP_MortDeduct,2)=":1"),TRANSPOSE($M81:$Q81))</f>
        <v>0</v>
      </c>
      <c r="Y81" s="284">
        <f t="array" aca="1" ref="Y81" ca="1">SUMPRODUCT(--(RIGHT(SP_MortDeduct,2)=":2"),TRANSPOSE($M81:$Q81))</f>
        <v>0</v>
      </c>
      <c r="Z81" s="279">
        <f t="shared" ca="1" si="50"/>
        <v>0</v>
      </c>
    </row>
    <row r="82" spans="2:26" x14ac:dyDescent="0.25">
      <c r="B82" s="65">
        <f t="shared" ca="1" si="34"/>
        <v>2097</v>
      </c>
      <c r="C82" s="65" t="s">
        <v>741</v>
      </c>
      <c r="D82" s="77">
        <f t="shared" si="35"/>
        <v>0</v>
      </c>
      <c r="E82" s="77">
        <f t="shared" si="36"/>
        <v>0</v>
      </c>
      <c r="F82" s="77"/>
      <c r="G82" s="302">
        <f t="shared" ca="1" si="37"/>
        <v>0</v>
      </c>
      <c r="H82" s="284"/>
      <c r="I82" s="284">
        <f t="shared" ca="1" si="38"/>
        <v>0</v>
      </c>
      <c r="J82" s="306">
        <f t="shared" ca="1" si="39"/>
        <v>0</v>
      </c>
      <c r="K82" s="306">
        <f t="shared" ca="1" si="40"/>
        <v>0</v>
      </c>
      <c r="L82" s="306">
        <f t="shared" ca="1" si="41"/>
        <v>0</v>
      </c>
      <c r="M82" s="284">
        <f t="shared" ca="1" si="42"/>
        <v>0</v>
      </c>
      <c r="N82" s="284">
        <f t="shared" ca="1" si="43"/>
        <v>0</v>
      </c>
      <c r="O82" s="307">
        <v>0</v>
      </c>
      <c r="P82" s="284">
        <f t="shared" ca="1" si="44"/>
        <v>0</v>
      </c>
      <c r="Q82" s="301">
        <f t="shared" ca="1" si="45"/>
        <v>0</v>
      </c>
      <c r="R82" s="288"/>
      <c r="S82" s="284">
        <f t="shared" ca="1" si="46"/>
        <v>0</v>
      </c>
      <c r="T82" s="283">
        <f t="shared" ca="1" si="47"/>
        <v>0</v>
      </c>
      <c r="U82" s="284">
        <f t="shared" ca="1" si="48"/>
        <v>0</v>
      </c>
      <c r="V82" s="291">
        <f t="shared" ca="1" si="49"/>
        <v>0</v>
      </c>
      <c r="W82" s="308">
        <f t="shared" ca="1" si="51"/>
        <v>0</v>
      </c>
      <c r="X82" s="284">
        <f t="array" aca="1" ref="X82" ca="1">SUMPRODUCT(--(RIGHT(SP_MortDeduct,2)=":1"),TRANSPOSE($M82:$Q82))</f>
        <v>0</v>
      </c>
      <c r="Y82" s="284">
        <f t="array" aca="1" ref="Y82" ca="1">SUMPRODUCT(--(RIGHT(SP_MortDeduct,2)=":2"),TRANSPOSE($M82:$Q82))</f>
        <v>0</v>
      </c>
      <c r="Z82" s="279">
        <f t="shared" ca="1" si="50"/>
        <v>0</v>
      </c>
    </row>
    <row r="83" spans="2:26" x14ac:dyDescent="0.25">
      <c r="B83" s="65">
        <f t="shared" ca="1" si="34"/>
        <v>2098</v>
      </c>
      <c r="C83" s="65" t="s">
        <v>741</v>
      </c>
      <c r="D83" s="77">
        <f t="shared" si="35"/>
        <v>0</v>
      </c>
      <c r="E83" s="77">
        <f t="shared" si="36"/>
        <v>0</v>
      </c>
      <c r="F83" s="77"/>
      <c r="G83" s="302">
        <f t="shared" ca="1" si="37"/>
        <v>0</v>
      </c>
      <c r="H83" s="284"/>
      <c r="I83" s="284">
        <f t="shared" ca="1" si="38"/>
        <v>0</v>
      </c>
      <c r="J83" s="306">
        <f t="shared" ca="1" si="39"/>
        <v>0</v>
      </c>
      <c r="K83" s="306">
        <f t="shared" ca="1" si="40"/>
        <v>0</v>
      </c>
      <c r="L83" s="306">
        <f t="shared" ca="1" si="41"/>
        <v>0</v>
      </c>
      <c r="M83" s="284">
        <f t="shared" ca="1" si="42"/>
        <v>0</v>
      </c>
      <c r="N83" s="284">
        <f t="shared" ca="1" si="43"/>
        <v>0</v>
      </c>
      <c r="O83" s="307">
        <v>0</v>
      </c>
      <c r="P83" s="284">
        <f t="shared" ca="1" si="44"/>
        <v>0</v>
      </c>
      <c r="Q83" s="301">
        <f t="shared" ca="1" si="45"/>
        <v>0</v>
      </c>
      <c r="R83" s="288"/>
      <c r="S83" s="284">
        <f t="shared" ca="1" si="46"/>
        <v>0</v>
      </c>
      <c r="T83" s="283">
        <f t="shared" ca="1" si="47"/>
        <v>0</v>
      </c>
      <c r="U83" s="284">
        <f t="shared" ca="1" si="48"/>
        <v>0</v>
      </c>
      <c r="V83" s="291">
        <f t="shared" ca="1" si="49"/>
        <v>0</v>
      </c>
      <c r="W83" s="308">
        <f t="shared" ca="1" si="51"/>
        <v>0</v>
      </c>
      <c r="X83" s="284">
        <f t="array" aca="1" ref="X83" ca="1">SUMPRODUCT(--(RIGHT(SP_MortDeduct,2)=":1"),TRANSPOSE($M83:$Q83))</f>
        <v>0</v>
      </c>
      <c r="Y83" s="284">
        <f t="array" aca="1" ref="Y83" ca="1">SUMPRODUCT(--(RIGHT(SP_MortDeduct,2)=":2"),TRANSPOSE($M83:$Q83))</f>
        <v>0</v>
      </c>
      <c r="Z83" s="279">
        <f t="shared" ca="1" si="50"/>
        <v>0</v>
      </c>
    </row>
    <row r="84" spans="2:26" x14ac:dyDescent="0.25">
      <c r="B84" s="65">
        <f t="shared" ca="1" si="34"/>
        <v>2099</v>
      </c>
      <c r="C84" s="65" t="s">
        <v>741</v>
      </c>
      <c r="D84" s="77">
        <f t="shared" si="35"/>
        <v>0</v>
      </c>
      <c r="E84" s="77">
        <f t="shared" si="36"/>
        <v>0</v>
      </c>
      <c r="F84" s="77"/>
      <c r="G84" s="302">
        <f t="shared" ca="1" si="37"/>
        <v>0</v>
      </c>
      <c r="H84" s="284"/>
      <c r="I84" s="284">
        <f t="shared" ca="1" si="38"/>
        <v>0</v>
      </c>
      <c r="J84" s="306">
        <f t="shared" ca="1" si="39"/>
        <v>0</v>
      </c>
      <c r="K84" s="306">
        <f t="shared" ca="1" si="40"/>
        <v>0</v>
      </c>
      <c r="L84" s="306">
        <f t="shared" ca="1" si="41"/>
        <v>0</v>
      </c>
      <c r="M84" s="284">
        <f t="shared" ca="1" si="42"/>
        <v>0</v>
      </c>
      <c r="N84" s="284">
        <f t="shared" ca="1" si="43"/>
        <v>0</v>
      </c>
      <c r="O84" s="307">
        <v>0</v>
      </c>
      <c r="P84" s="284">
        <f t="shared" ca="1" si="44"/>
        <v>0</v>
      </c>
      <c r="Q84" s="301">
        <f t="shared" ca="1" si="45"/>
        <v>0</v>
      </c>
      <c r="R84" s="288"/>
      <c r="S84" s="284">
        <f t="shared" ca="1" si="46"/>
        <v>0</v>
      </c>
      <c r="T84" s="283">
        <f t="shared" ca="1" si="47"/>
        <v>0</v>
      </c>
      <c r="U84" s="284">
        <f t="shared" ca="1" si="48"/>
        <v>0</v>
      </c>
      <c r="V84" s="291">
        <f t="shared" ca="1" si="49"/>
        <v>0</v>
      </c>
      <c r="W84" s="308">
        <f t="shared" ca="1" si="51"/>
        <v>0</v>
      </c>
      <c r="X84" s="284">
        <f t="array" aca="1" ref="X84" ca="1">SUMPRODUCT(--(RIGHT(SP_MortDeduct,2)=":1"),TRANSPOSE($M84:$Q84))</f>
        <v>0</v>
      </c>
      <c r="Y84" s="284">
        <f t="array" aca="1" ref="Y84" ca="1">SUMPRODUCT(--(RIGHT(SP_MortDeduct,2)=":2"),TRANSPOSE($M84:$Q84))</f>
        <v>0</v>
      </c>
      <c r="Z84" s="279">
        <f t="shared" ca="1" si="50"/>
        <v>0</v>
      </c>
    </row>
    <row r="85" spans="2:26" x14ac:dyDescent="0.25">
      <c r="B85" s="65">
        <f t="shared" ca="1" si="34"/>
        <v>2100</v>
      </c>
      <c r="C85" s="65" t="s">
        <v>741</v>
      </c>
      <c r="D85" s="77">
        <f t="shared" si="35"/>
        <v>0</v>
      </c>
      <c r="E85" s="77">
        <f t="shared" si="36"/>
        <v>0</v>
      </c>
      <c r="F85" s="77"/>
      <c r="G85" s="302">
        <f t="shared" ca="1" si="37"/>
        <v>0</v>
      </c>
      <c r="H85" s="284"/>
      <c r="I85" s="284">
        <f t="shared" ca="1" si="38"/>
        <v>0</v>
      </c>
      <c r="J85" s="306">
        <f t="shared" ca="1" si="39"/>
        <v>0</v>
      </c>
      <c r="K85" s="306">
        <f t="shared" ca="1" si="40"/>
        <v>0</v>
      </c>
      <c r="L85" s="306">
        <f t="shared" ca="1" si="41"/>
        <v>0</v>
      </c>
      <c r="M85" s="284">
        <f t="shared" ca="1" si="42"/>
        <v>0</v>
      </c>
      <c r="N85" s="284">
        <f t="shared" ca="1" si="43"/>
        <v>0</v>
      </c>
      <c r="O85" s="307">
        <v>0</v>
      </c>
      <c r="P85" s="284">
        <f t="shared" ca="1" si="44"/>
        <v>0</v>
      </c>
      <c r="Q85" s="301">
        <f t="shared" ca="1" si="45"/>
        <v>0</v>
      </c>
      <c r="R85" s="288"/>
      <c r="S85" s="284">
        <f t="shared" ca="1" si="46"/>
        <v>0</v>
      </c>
      <c r="T85" s="283">
        <f t="shared" ca="1" si="47"/>
        <v>0</v>
      </c>
      <c r="U85" s="284">
        <f t="shared" ca="1" si="48"/>
        <v>0</v>
      </c>
      <c r="V85" s="291">
        <f t="shared" ca="1" si="49"/>
        <v>0</v>
      </c>
      <c r="W85" s="308">
        <f t="shared" ca="1" si="51"/>
        <v>0</v>
      </c>
      <c r="X85" s="284">
        <f t="array" aca="1" ref="X85" ca="1">SUMPRODUCT(--(RIGHT(SP_MortDeduct,2)=":1"),TRANSPOSE($M85:$Q85))</f>
        <v>0</v>
      </c>
      <c r="Y85" s="284">
        <f t="array" aca="1" ref="Y85" ca="1">SUMPRODUCT(--(RIGHT(SP_MortDeduct,2)=":2"),TRANSPOSE($M85:$Q85))</f>
        <v>0</v>
      </c>
      <c r="Z85" s="279">
        <f t="shared" ca="1" si="50"/>
        <v>0</v>
      </c>
    </row>
    <row r="86" spans="2:26" x14ac:dyDescent="0.25">
      <c r="B86" s="65">
        <f t="shared" ca="1" si="34"/>
        <v>2101</v>
      </c>
      <c r="C86" s="65" t="s">
        <v>741</v>
      </c>
      <c r="D86" s="77">
        <f t="shared" si="35"/>
        <v>0</v>
      </c>
      <c r="E86" s="77">
        <f t="shared" si="36"/>
        <v>0</v>
      </c>
      <c r="F86" s="77"/>
      <c r="G86" s="302">
        <f t="shared" ca="1" si="37"/>
        <v>0</v>
      </c>
      <c r="H86" s="284"/>
      <c r="I86" s="284">
        <f t="shared" ca="1" si="38"/>
        <v>0</v>
      </c>
      <c r="J86" s="306">
        <f t="shared" ca="1" si="39"/>
        <v>0</v>
      </c>
      <c r="K86" s="306">
        <f t="shared" ca="1" si="40"/>
        <v>0</v>
      </c>
      <c r="L86" s="306">
        <f t="shared" ca="1" si="41"/>
        <v>0</v>
      </c>
      <c r="M86" s="284">
        <f t="shared" ca="1" si="42"/>
        <v>0</v>
      </c>
      <c r="N86" s="284">
        <f t="shared" ca="1" si="43"/>
        <v>0</v>
      </c>
      <c r="O86" s="307">
        <v>0</v>
      </c>
      <c r="P86" s="284">
        <f t="shared" ca="1" si="44"/>
        <v>0</v>
      </c>
      <c r="Q86" s="301">
        <f t="shared" ca="1" si="45"/>
        <v>0</v>
      </c>
      <c r="R86" s="288"/>
      <c r="S86" s="284">
        <f t="shared" ca="1" si="46"/>
        <v>0</v>
      </c>
      <c r="T86" s="283">
        <f t="shared" ca="1" si="47"/>
        <v>0</v>
      </c>
      <c r="U86" s="284">
        <f t="shared" ca="1" si="48"/>
        <v>0</v>
      </c>
      <c r="V86" s="291">
        <f t="shared" ca="1" si="49"/>
        <v>0</v>
      </c>
      <c r="W86" s="308">
        <f t="shared" ca="1" si="51"/>
        <v>0</v>
      </c>
      <c r="X86" s="284">
        <f t="array" aca="1" ref="X86" ca="1">SUMPRODUCT(--(RIGHT(SP_MortDeduct,2)=":1"),TRANSPOSE($M86:$Q86))</f>
        <v>0</v>
      </c>
      <c r="Y86" s="284">
        <f t="array" aca="1" ref="Y86" ca="1">SUMPRODUCT(--(RIGHT(SP_MortDeduct,2)=":2"),TRANSPOSE($M86:$Q86))</f>
        <v>0</v>
      </c>
      <c r="Z86" s="279">
        <f t="shared" ca="1" si="50"/>
        <v>0</v>
      </c>
    </row>
    <row r="87" spans="2:26" x14ac:dyDescent="0.25">
      <c r="U87" s="384"/>
    </row>
    <row r="88" spans="2:26" x14ac:dyDescent="0.25">
      <c r="U88" s="384"/>
    </row>
    <row r="89" spans="2:26" x14ac:dyDescent="0.25">
      <c r="U89" s="384"/>
    </row>
    <row r="90" spans="2:26" x14ac:dyDescent="0.25">
      <c r="U90" s="384"/>
    </row>
    <row r="91" spans="2:26" x14ac:dyDescent="0.25">
      <c r="U91" s="384"/>
    </row>
    <row r="92" spans="2:26" x14ac:dyDescent="0.25">
      <c r="U92" s="384"/>
    </row>
    <row r="93" spans="2:26" x14ac:dyDescent="0.25">
      <c r="U93" s="384"/>
    </row>
    <row r="94" spans="2:26" x14ac:dyDescent="0.25">
      <c r="U94" s="384"/>
    </row>
    <row r="95" spans="2:26" x14ac:dyDescent="0.25">
      <c r="U95" s="384"/>
    </row>
    <row r="96" spans="2:26" x14ac:dyDescent="0.25">
      <c r="U96" s="384"/>
    </row>
    <row r="97" spans="21:21" x14ac:dyDescent="0.25">
      <c r="U97" s="384"/>
    </row>
    <row r="98" spans="21:21" x14ac:dyDescent="0.25">
      <c r="U98" s="384"/>
    </row>
    <row r="99" spans="21:21" x14ac:dyDescent="0.25">
      <c r="U99" s="384"/>
    </row>
    <row r="100" spans="21:21" x14ac:dyDescent="0.25">
      <c r="U100" s="384"/>
    </row>
    <row r="101" spans="21:21" x14ac:dyDescent="0.25">
      <c r="U101" s="384"/>
    </row>
    <row r="102" spans="21:21" x14ac:dyDescent="0.25">
      <c r="U102" s="384"/>
    </row>
    <row r="103" spans="21:21" x14ac:dyDescent="0.25">
      <c r="U103" s="384"/>
    </row>
    <row r="104" spans="21:21" x14ac:dyDescent="0.25">
      <c r="U104" s="384"/>
    </row>
    <row r="105" spans="21:21" x14ac:dyDescent="0.25">
      <c r="U105" s="384"/>
    </row>
    <row r="106" spans="21:21" x14ac:dyDescent="0.25">
      <c r="U106" s="384"/>
    </row>
    <row r="107" spans="21:21" x14ac:dyDescent="0.25">
      <c r="U107" s="384"/>
    </row>
    <row r="108" spans="21:21" x14ac:dyDescent="0.25">
      <c r="U108" s="384"/>
    </row>
    <row r="109" spans="21:21" x14ac:dyDescent="0.25">
      <c r="U109" s="384"/>
    </row>
    <row r="110" spans="21:21" x14ac:dyDescent="0.25">
      <c r="U110" s="384"/>
    </row>
    <row r="111" spans="21:21" x14ac:dyDescent="0.25">
      <c r="U111" s="384"/>
    </row>
    <row r="112" spans="21:21" x14ac:dyDescent="0.25">
      <c r="U112" s="384"/>
    </row>
    <row r="113" spans="21:21" x14ac:dyDescent="0.25">
      <c r="U113" s="384"/>
    </row>
    <row r="114" spans="21:21" x14ac:dyDescent="0.25">
      <c r="U114" s="384"/>
    </row>
    <row r="115" spans="21:21" x14ac:dyDescent="0.25">
      <c r="U115" s="384"/>
    </row>
    <row r="116" spans="21:21" x14ac:dyDescent="0.25">
      <c r="U116" s="384"/>
    </row>
    <row r="117" spans="21:21" x14ac:dyDescent="0.25">
      <c r="U117" s="384"/>
    </row>
    <row r="118" spans="21:21" x14ac:dyDescent="0.25">
      <c r="U118" s="384"/>
    </row>
    <row r="119" spans="21:21" x14ac:dyDescent="0.25">
      <c r="U119" s="384"/>
    </row>
    <row r="120" spans="21:21" x14ac:dyDescent="0.25">
      <c r="U120" s="384"/>
    </row>
    <row r="121" spans="21:21" x14ac:dyDescent="0.25">
      <c r="U121" s="384"/>
    </row>
    <row r="122" spans="21:21" x14ac:dyDescent="0.25">
      <c r="U122" s="384"/>
    </row>
    <row r="123" spans="21:21" x14ac:dyDescent="0.25">
      <c r="U123" s="384"/>
    </row>
    <row r="124" spans="21:21" x14ac:dyDescent="0.25">
      <c r="U124" s="384"/>
    </row>
    <row r="125" spans="21:21" x14ac:dyDescent="0.25">
      <c r="U125" s="384"/>
    </row>
    <row r="126" spans="21:21" x14ac:dyDescent="0.25">
      <c r="U126" s="384"/>
    </row>
    <row r="127" spans="21:21" x14ac:dyDescent="0.25">
      <c r="U127" s="384"/>
    </row>
    <row r="128" spans="21:21" x14ac:dyDescent="0.25">
      <c r="U128" s="384"/>
    </row>
    <row r="129" spans="21:21" x14ac:dyDescent="0.25">
      <c r="U129" s="384"/>
    </row>
    <row r="130" spans="21:21" x14ac:dyDescent="0.25">
      <c r="U130" s="384"/>
    </row>
    <row r="131" spans="21:21" x14ac:dyDescent="0.25">
      <c r="U131" s="384"/>
    </row>
    <row r="132" spans="21:21" x14ac:dyDescent="0.25">
      <c r="U132" s="384"/>
    </row>
    <row r="133" spans="21:21" x14ac:dyDescent="0.25">
      <c r="U133" s="384"/>
    </row>
    <row r="134" spans="21:21" x14ac:dyDescent="0.25">
      <c r="U134" s="384"/>
    </row>
    <row r="135" spans="21:21" x14ac:dyDescent="0.25">
      <c r="U135" s="384"/>
    </row>
    <row r="136" spans="21:21" x14ac:dyDescent="0.25">
      <c r="U136" s="384"/>
    </row>
    <row r="137" spans="21:21" x14ac:dyDescent="0.25">
      <c r="U137" s="384"/>
    </row>
    <row r="138" spans="21:21" x14ac:dyDescent="0.25">
      <c r="U138" s="384"/>
    </row>
    <row r="139" spans="21:21" x14ac:dyDescent="0.25">
      <c r="U139" s="384"/>
    </row>
    <row r="140" spans="21:21" x14ac:dyDescent="0.25">
      <c r="U140" s="384"/>
    </row>
    <row r="141" spans="21:21" x14ac:dyDescent="0.25">
      <c r="U141" s="384"/>
    </row>
    <row r="142" spans="21:21" x14ac:dyDescent="0.25">
      <c r="U142" s="384"/>
    </row>
    <row r="143" spans="21:21" x14ac:dyDescent="0.25">
      <c r="U143" s="384"/>
    </row>
    <row r="144" spans="21:21" x14ac:dyDescent="0.25">
      <c r="U144" s="384"/>
    </row>
    <row r="145" spans="21:21" x14ac:dyDescent="0.25">
      <c r="U145" s="384"/>
    </row>
    <row r="146" spans="21:21" x14ac:dyDescent="0.25">
      <c r="U146" s="384"/>
    </row>
    <row r="147" spans="21:21" x14ac:dyDescent="0.25">
      <c r="U147" s="384"/>
    </row>
    <row r="148" spans="21:21" x14ac:dyDescent="0.25">
      <c r="U148" s="384"/>
    </row>
    <row r="149" spans="21:21" x14ac:dyDescent="0.25">
      <c r="U149" s="384"/>
    </row>
    <row r="150" spans="21:21" x14ac:dyDescent="0.25">
      <c r="U150" s="384"/>
    </row>
    <row r="151" spans="21:21" x14ac:dyDescent="0.25">
      <c r="U151" s="384"/>
    </row>
    <row r="152" spans="21:21" x14ac:dyDescent="0.25">
      <c r="U152" s="384"/>
    </row>
    <row r="153" spans="21:21" x14ac:dyDescent="0.25">
      <c r="U153" s="384"/>
    </row>
    <row r="154" spans="21:21" x14ac:dyDescent="0.25">
      <c r="U154" s="384"/>
    </row>
    <row r="155" spans="21:21" x14ac:dyDescent="0.25">
      <c r="U155" s="384"/>
    </row>
    <row r="156" spans="21:21" x14ac:dyDescent="0.25">
      <c r="U156" s="384"/>
    </row>
    <row r="157" spans="21:21" x14ac:dyDescent="0.25">
      <c r="U157" s="384"/>
    </row>
    <row r="158" spans="21:21" x14ac:dyDescent="0.25">
      <c r="U158" s="384"/>
    </row>
    <row r="159" spans="21:21" x14ac:dyDescent="0.25">
      <c r="U159" s="384"/>
    </row>
    <row r="160" spans="21:21" x14ac:dyDescent="0.25">
      <c r="U160" s="384"/>
    </row>
    <row r="161" spans="21:21" x14ac:dyDescent="0.25">
      <c r="U161" s="384"/>
    </row>
    <row r="162" spans="21:21" x14ac:dyDescent="0.25">
      <c r="U162" s="384"/>
    </row>
    <row r="163" spans="21:21" x14ac:dyDescent="0.25">
      <c r="U163" s="384"/>
    </row>
    <row r="164" spans="21:21" x14ac:dyDescent="0.25">
      <c r="U164" s="384"/>
    </row>
    <row r="165" spans="21:21" x14ac:dyDescent="0.25">
      <c r="U165" s="384"/>
    </row>
    <row r="166" spans="21:21" x14ac:dyDescent="0.25">
      <c r="U166" s="384"/>
    </row>
    <row r="167" spans="21:21" x14ac:dyDescent="0.25">
      <c r="U167" s="384"/>
    </row>
    <row r="168" spans="21:21" x14ac:dyDescent="0.25">
      <c r="U168" s="384"/>
    </row>
    <row r="169" spans="21:21" x14ac:dyDescent="0.25">
      <c r="U169" s="384"/>
    </row>
  </sheetData>
  <sheetProtection sheet="1" objects="1" scenarios="1" autoFilter="0"/>
  <mergeCells count="3">
    <mergeCell ref="G2:Q2"/>
    <mergeCell ref="W2:Z2"/>
    <mergeCell ref="R2:V2"/>
  </mergeCells>
  <conditionalFormatting sqref="B7:B86">
    <cfRule type="expression" dxfId="3" priority="1">
      <formula>($B7=SP_CurrentYear)</formula>
    </cfRule>
  </conditionalFormatting>
  <pageMargins left="0.7" right="0.7" top="0.75" bottom="0.75" header="0.3" footer="0.3"/>
  <pageSetup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15</vt:i4>
      </vt:variant>
      <vt:variant>
        <vt:lpstr>Charts</vt:lpstr>
      </vt:variant>
      <vt:variant>
        <vt:i4>2</vt:i4>
      </vt:variant>
      <vt:variant>
        <vt:lpstr>Named Ranges</vt:lpstr>
      </vt:variant>
      <vt:variant>
        <vt:i4>166</vt:i4>
      </vt:variant>
    </vt:vector>
  </HeadingPairs>
  <TitlesOfParts>
    <vt:vector size="183" baseType="lpstr">
      <vt:lpstr>Sys</vt:lpstr>
      <vt:lpstr>Main</vt:lpstr>
      <vt:lpstr>Economy</vt:lpstr>
      <vt:lpstr>Income</vt:lpstr>
      <vt:lpstr>Expenses</vt:lpstr>
      <vt:lpstr>Portfolio</vt:lpstr>
      <vt:lpstr>Annuitizer</vt:lpstr>
      <vt:lpstr>SSRIB</vt:lpstr>
      <vt:lpstr>Amortizer</vt:lpstr>
      <vt:lpstr>Taxes</vt:lpstr>
      <vt:lpstr>Net Worth</vt:lpstr>
      <vt:lpstr>Annualizer</vt:lpstr>
      <vt:lpstr>Lookup</vt:lpstr>
      <vt:lpstr>Readme</vt:lpstr>
      <vt:lpstr>License</vt:lpstr>
      <vt:lpstr>DBChart</vt:lpstr>
      <vt:lpstr>Chart</vt:lpstr>
      <vt:lpstr>BA_401KBalance</vt:lpstr>
      <vt:lpstr>BA_AnnyBalance</vt:lpstr>
      <vt:lpstr>BA_AnnyCostBasis</vt:lpstr>
      <vt:lpstr>BA_CoreBalance</vt:lpstr>
      <vt:lpstr>BA_CoreCostBasis</vt:lpstr>
      <vt:lpstr>BA_DebtBalance</vt:lpstr>
      <vt:lpstr>BA_HECMOriginBalance</vt:lpstr>
      <vt:lpstr>BA_HECMOriginDate</vt:lpstr>
      <vt:lpstr>BA_IRABalance</vt:lpstr>
      <vt:lpstr>BA_MortNper</vt:lpstr>
      <vt:lpstr>BA_MortOriginBalance</vt:lpstr>
      <vt:lpstr>BA_MortOriginDate</vt:lpstr>
      <vt:lpstr>BA_Roth401KBalance</vt:lpstr>
      <vt:lpstr>BA_Roth401KCostBasis</vt:lpstr>
      <vt:lpstr>BA_RothIRABalance</vt:lpstr>
      <vt:lpstr>BA_RothIRACostBasis</vt:lpstr>
      <vt:lpstr>BA_RothSolo401KBalance</vt:lpstr>
      <vt:lpstr>BA_RothSolo401KCostBasis</vt:lpstr>
      <vt:lpstr>BA_Solo401KBalance</vt:lpstr>
      <vt:lpstr>IV_CodeTable</vt:lpstr>
      <vt:lpstr>Amortizer!IV_FilterRange</vt:lpstr>
      <vt:lpstr>Annualizer!IV_FilterRange</vt:lpstr>
      <vt:lpstr>Annuitizer!IV_FilterRange</vt:lpstr>
      <vt:lpstr>Economy!IV_FilterRange</vt:lpstr>
      <vt:lpstr>Income!IV_FilterRange</vt:lpstr>
      <vt:lpstr>Main!IV_FilterRange</vt:lpstr>
      <vt:lpstr>'Net Worth'!IV_FilterRange</vt:lpstr>
      <vt:lpstr>Portfolio!IV_FilterRange</vt:lpstr>
      <vt:lpstr>SSRIB!IV_FilterRange</vt:lpstr>
      <vt:lpstr>Taxes!IV_FilterRange</vt:lpstr>
      <vt:lpstr>IV_MacroLinks</vt:lpstr>
      <vt:lpstr>Expenses!IV_Output</vt:lpstr>
      <vt:lpstr>Main!IV_Output</vt:lpstr>
      <vt:lpstr>LT_AnnuityLifeTable</vt:lpstr>
      <vt:lpstr>LT_AnnuityMaxAge</vt:lpstr>
      <vt:lpstr>LT_HECMMaxLoan</vt:lpstr>
      <vt:lpstr>LT_MedicareRate</vt:lpstr>
      <vt:lpstr>LT_PersonalExemptAmt</vt:lpstr>
      <vt:lpstr>LT_RealtorFees</vt:lpstr>
      <vt:lpstr>LT_SSMaxCredit</vt:lpstr>
      <vt:lpstr>LT_SSOneCredit</vt:lpstr>
      <vt:lpstr>LT_SSPIA</vt:lpstr>
      <vt:lpstr>LT_SSRate</vt:lpstr>
      <vt:lpstr>LT_StateTax</vt:lpstr>
      <vt:lpstr>SC_AnnyPmntPr</vt:lpstr>
      <vt:lpstr>SC_CurrentDatePr</vt:lpstr>
      <vt:lpstr>SC_DataMode</vt:lpstr>
      <vt:lpstr>SC_ExpensesLiving</vt:lpstr>
      <vt:lpstr>SC_ExpensesLivingD</vt:lpstr>
      <vt:lpstr>SC_ExpensesLivingPF</vt:lpstr>
      <vt:lpstr>SC_HECMNper</vt:lpstr>
      <vt:lpstr>SC_HECMPLF</vt:lpstr>
      <vt:lpstr>SC_MaxForecastYears</vt:lpstr>
      <vt:lpstr>SC_MaxForecastYearsEx</vt:lpstr>
      <vt:lpstr>SC_ShowRetireatee</vt:lpstr>
      <vt:lpstr>SC_SSABFD</vt:lpstr>
      <vt:lpstr>SC_SSABPct</vt:lpstr>
      <vt:lpstr>SC_SSBaseYear</vt:lpstr>
      <vt:lpstr>SC_SSCreditsNeeded</vt:lpstr>
      <vt:lpstr>SC_SSDelayedCredit</vt:lpstr>
      <vt:lpstr>SC_SSDFA</vt:lpstr>
      <vt:lpstr>SC_SSDFD</vt:lpstr>
      <vt:lpstr>SC_SSFRA</vt:lpstr>
      <vt:lpstr>SC_SSFRD</vt:lpstr>
      <vt:lpstr>SC_SSPBFD</vt:lpstr>
      <vt:lpstr>SC_SSPBPct</vt:lpstr>
      <vt:lpstr>SC_SSSBPct</vt:lpstr>
      <vt:lpstr>SC_SurvivingAge</vt:lpstr>
      <vt:lpstr>SC_TaxIndex</vt:lpstr>
      <vt:lpstr>SC_VersionMaj</vt:lpstr>
      <vt:lpstr>SC_VersionMin</vt:lpstr>
      <vt:lpstr>SC_ViewMode</vt:lpstr>
      <vt:lpstr>SC_YearEpoch</vt:lpstr>
      <vt:lpstr>SC_YearStop</vt:lpstr>
      <vt:lpstr>SP_401KBalance</vt:lpstr>
      <vt:lpstr>SP_401KContrib</vt:lpstr>
      <vt:lpstr>SP_401KDistribAge</vt:lpstr>
      <vt:lpstr>SP_401KMatch</vt:lpstr>
      <vt:lpstr>SP_AdditionalRI</vt:lpstr>
      <vt:lpstr>SP_AdjustedDate</vt:lpstr>
      <vt:lpstr>SP_AnnyBalance</vt:lpstr>
      <vt:lpstr>SP_AnnyCeiling</vt:lpstr>
      <vt:lpstr>SP_AnnyContrib</vt:lpstr>
      <vt:lpstr>SP_AnnyCostBasis</vt:lpstr>
      <vt:lpstr>SP_AnnyFees</vt:lpstr>
      <vt:lpstr>SP_AnnyFloor</vt:lpstr>
      <vt:lpstr>SP_AnnyInflation</vt:lpstr>
      <vt:lpstr>SP_AnnyParticipation</vt:lpstr>
      <vt:lpstr>SP_AnnyPeriod</vt:lpstr>
      <vt:lpstr>SP_AnnyRate</vt:lpstr>
      <vt:lpstr>SP_AnnySurvivor</vt:lpstr>
      <vt:lpstr>SP_AnnyTerms</vt:lpstr>
      <vt:lpstr>SP_ARStocksDef</vt:lpstr>
      <vt:lpstr>SP_ASD</vt:lpstr>
      <vt:lpstr>SP_AWI</vt:lpstr>
      <vt:lpstr>SP_BirthDate</vt:lpstr>
      <vt:lpstr>SP_BondYieldDef</vt:lpstr>
      <vt:lpstr>SP_CoreBalance</vt:lpstr>
      <vt:lpstr>SP_CoreCostBasis</vt:lpstr>
      <vt:lpstr>SP_CPI</vt:lpstr>
      <vt:lpstr>SP_CurrencyMode</vt:lpstr>
      <vt:lpstr>SP_CurrentDate</vt:lpstr>
      <vt:lpstr>SP_CurrentYear</vt:lpstr>
      <vt:lpstr>SP_DebtBalance</vt:lpstr>
      <vt:lpstr>SP_DebtLimit</vt:lpstr>
      <vt:lpstr>SP_DebtRate</vt:lpstr>
      <vt:lpstr>SP_DeductionsLiving</vt:lpstr>
      <vt:lpstr>SP_Dependents</vt:lpstr>
      <vt:lpstr>SP_EI</vt:lpstr>
      <vt:lpstr>SP_ExpensesLiving</vt:lpstr>
      <vt:lpstr>SP_ExpensesTags</vt:lpstr>
      <vt:lpstr>SP_FilingStatus</vt:lpstr>
      <vt:lpstr>SP_HECMOriginBalance</vt:lpstr>
      <vt:lpstr>SP_HECMOriginDate</vt:lpstr>
      <vt:lpstr>SP_HECMRate</vt:lpstr>
      <vt:lpstr>SP_HM</vt:lpstr>
      <vt:lpstr>SP_HomeIns</vt:lpstr>
      <vt:lpstr>SP_HomeValue</vt:lpstr>
      <vt:lpstr>SP_IncomeEmployerAdj</vt:lpstr>
      <vt:lpstr>SP_IncomePassiveAdj</vt:lpstr>
      <vt:lpstr>SP_IncomeSEAdj</vt:lpstr>
      <vt:lpstr>SP_Initials</vt:lpstr>
      <vt:lpstr>SP_InvestmentStrategy</vt:lpstr>
      <vt:lpstr>SP_IRABalance</vt:lpstr>
      <vt:lpstr>SP_IRAContrib</vt:lpstr>
      <vt:lpstr>SP_IRADistribAge</vt:lpstr>
      <vt:lpstr>SP_IRASpousalContrib</vt:lpstr>
      <vt:lpstr>SP_LifeExp</vt:lpstr>
      <vt:lpstr>SP_LumpSumAmounts</vt:lpstr>
      <vt:lpstr>SP_LumpSumTags</vt:lpstr>
      <vt:lpstr>SP_LumpSumYears</vt:lpstr>
      <vt:lpstr>SP_MaritalStatus</vt:lpstr>
      <vt:lpstr>SP_MortDeduct</vt:lpstr>
      <vt:lpstr>SP_MortExtraPayment</vt:lpstr>
      <vt:lpstr>SP_MortNper</vt:lpstr>
      <vt:lpstr>SP_MortOriginBalance</vt:lpstr>
      <vt:lpstr>SP_MortOriginDate</vt:lpstr>
      <vt:lpstr>SP_MortRate</vt:lpstr>
      <vt:lpstr>SP_OtherAssets</vt:lpstr>
      <vt:lpstr>SP_ParameterMode</vt:lpstr>
      <vt:lpstr>SP_PensionFAE</vt:lpstr>
      <vt:lpstr>SP_PensionPayout</vt:lpstr>
      <vt:lpstr>SP_PensionPCT</vt:lpstr>
      <vt:lpstr>SP_PensionSWD</vt:lpstr>
      <vt:lpstr>SP_PIIRP</vt:lpstr>
      <vt:lpstr>SP_RealEstateTax</vt:lpstr>
      <vt:lpstr>SP_Roth401KBalance</vt:lpstr>
      <vt:lpstr>SP_Roth401KContrib</vt:lpstr>
      <vt:lpstr>SP_Roth401KCostBasis</vt:lpstr>
      <vt:lpstr>SP_RothIRABalance</vt:lpstr>
      <vt:lpstr>SP_RothIRAContrib</vt:lpstr>
      <vt:lpstr>SP_RothIRACostBasis</vt:lpstr>
      <vt:lpstr>SP_RothSolo401KBalance</vt:lpstr>
      <vt:lpstr>SP_RothSolo401KContrib</vt:lpstr>
      <vt:lpstr>SP_RothSolo401KCostBasis</vt:lpstr>
      <vt:lpstr>SP_SEI</vt:lpstr>
      <vt:lpstr>SP_Solo401KBalance</vt:lpstr>
      <vt:lpstr>SP_Solo401KContrib</vt:lpstr>
      <vt:lpstr>SP_Solo401KDistribAge</vt:lpstr>
      <vt:lpstr>SP_Solo401KMatch</vt:lpstr>
      <vt:lpstr>SP_SSABFA</vt:lpstr>
      <vt:lpstr>SP_SSPBFA</vt:lpstr>
      <vt:lpstr>SP_SSRIB</vt:lpstr>
      <vt:lpstr>SP_StartWorkAge</vt:lpstr>
      <vt:lpstr>SP_TargetRD</vt:lpstr>
      <vt:lpstr>SP_Taxes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LLB</dc:creator>
  <cp:lastModifiedBy>LLB</cp:lastModifiedBy>
  <dcterms:created xsi:type="dcterms:W3CDTF">2015-01-11T16:51:10Z</dcterms:created>
  <dcterms:modified xsi:type="dcterms:W3CDTF">2022-02-13T12:57:52Z</dcterms:modified>
</cp:coreProperties>
</file>